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defaultThemeVersion="124226"/>
  <bookViews>
    <workbookView xWindow="-120" yWindow="-120" windowWidth="15600" windowHeight="11040" tabRatio="843" activeTab="10"/>
  </bookViews>
  <sheets>
    <sheet name="APORTE FAOV" sheetId="36" r:id="rId1"/>
    <sheet name="Aporte SSO-SPF" sheetId="37" r:id="rId2"/>
    <sheet name="RETENC FAOV" sheetId="40" r:id="rId3"/>
    <sheet name="Retencion SSO-SPF" sheetId="41" r:id="rId4"/>
    <sheet name="Imprimir 4TO Agui " sheetId="52" state="hidden" r:id="rId5"/>
    <sheet name="Imprimir CT" sheetId="42" r:id="rId6"/>
    <sheet name="Imprimir 2a" sheetId="58" r:id="rId7"/>
    <sheet name="Aportes" sheetId="44" r:id="rId8"/>
    <sheet name="CALC BONO+OPERAC" sheetId="53" state="hidden" r:id="rId9"/>
    <sheet name="Imprimir 1a" sheetId="57" r:id="rId10"/>
    <sheet name="NOMINA" sheetId="1" r:id="rId11"/>
    <sheet name="Hoja3" sheetId="59" r:id="rId12"/>
    <sheet name="HIJOS 12 AÑOS" sheetId="55" r:id="rId13"/>
    <sheet name="Hoja2" sheetId="54" r:id="rId14"/>
    <sheet name="CONCEPTOS Y PARAMETROS" sheetId="15" r:id="rId15"/>
    <sheet name="HIJOS " sheetId="20" r:id="rId16"/>
    <sheet name="Hoja1" sheetId="34" r:id="rId17"/>
    <sheet name="TAB EMP" sheetId="9" r:id="rId18"/>
    <sheet name="TAB OBR" sheetId="10" r:id="rId19"/>
    <sheet name="CARGOS" sheetId="8" r:id="rId20"/>
    <sheet name="CARGOS POA" sheetId="18" r:id="rId21"/>
    <sheet name="TAB EMP (2)" sheetId="19" r:id="rId22"/>
    <sheet name="Varios" sheetId="21" r:id="rId23"/>
    <sheet name="EJEMPLO CALCULO AGUINALDOS NUEV" sheetId="49" r:id="rId24"/>
  </sheets>
  <functionGroups builtInGroupCount="17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</externalReferences>
  <definedNames>
    <definedName name="__shared_1_0_0" localSheetId="0">#REF!*7.5*(#REF!/30)</definedName>
    <definedName name="__shared_1_0_0" localSheetId="1">#REF!*7.5*(#REF!/30)</definedName>
    <definedName name="__shared_1_0_0" localSheetId="7">#REF!*7.5*(#REF!/30)</definedName>
    <definedName name="__shared_1_0_0" localSheetId="9">#REF!*7.5*(#REF!/30)</definedName>
    <definedName name="__shared_1_0_0" localSheetId="6">#REF!*7.5*(#REF!/30)</definedName>
    <definedName name="__shared_1_0_0" localSheetId="4">#REF!*7.5*(#REF!/30)</definedName>
    <definedName name="__shared_1_0_0" localSheetId="5">#REF!*7.5*(#REF!/30)</definedName>
    <definedName name="__shared_1_0_0" localSheetId="2">#REF!*7.5*(#REF!/30)</definedName>
    <definedName name="__shared_1_0_0" localSheetId="21">#REF!*7.5*(#REF!/30)</definedName>
    <definedName name="__shared_1_0_1" localSheetId="0">#REF!</definedName>
    <definedName name="__shared_1_0_1" localSheetId="1">#REF!</definedName>
    <definedName name="__shared_1_0_1" localSheetId="7">#REF!</definedName>
    <definedName name="__shared_1_0_1" localSheetId="9">#REF!</definedName>
    <definedName name="__shared_1_0_1" localSheetId="6">#REF!</definedName>
    <definedName name="__shared_1_0_1" localSheetId="4">#REF!</definedName>
    <definedName name="__shared_1_0_1" localSheetId="5">#REF!</definedName>
    <definedName name="__shared_1_0_1" localSheetId="2">#REF!</definedName>
    <definedName name="__shared_1_0_1" localSheetId="21">#REF!</definedName>
    <definedName name="__shared_1_0_11" localSheetId="0">#REF!*7.5*(#REF!/30)</definedName>
    <definedName name="__shared_1_0_11" localSheetId="1">#REF!*7.5*(#REF!/30)</definedName>
    <definedName name="__shared_1_0_11" localSheetId="7">#REF!*7.5*(#REF!/30)</definedName>
    <definedName name="__shared_1_0_11" localSheetId="9">#REF!*7.5*(#REF!/30)</definedName>
    <definedName name="__shared_1_0_11" localSheetId="6">#REF!*7.5*(#REF!/30)</definedName>
    <definedName name="__shared_1_0_11" localSheetId="4">#REF!*7.5*(#REF!/30)</definedName>
    <definedName name="__shared_1_0_11" localSheetId="5">#REF!*7.5*(#REF!/30)</definedName>
    <definedName name="__shared_1_0_11" localSheetId="2">#REF!*7.5*(#REF!/30)</definedName>
    <definedName name="__shared_1_0_11" localSheetId="21">#REF!*7.5*(#REF!/30)</definedName>
    <definedName name="__shared_1_0_12" localSheetId="0">#REF!</definedName>
    <definedName name="__shared_1_0_12" localSheetId="1">#REF!</definedName>
    <definedName name="__shared_1_0_12" localSheetId="7">#REF!</definedName>
    <definedName name="__shared_1_0_12" localSheetId="9">#REF!</definedName>
    <definedName name="__shared_1_0_12" localSheetId="6">#REF!</definedName>
    <definedName name="__shared_1_0_12" localSheetId="4">#REF!</definedName>
    <definedName name="__shared_1_0_12" localSheetId="5">#REF!</definedName>
    <definedName name="__shared_1_0_12" localSheetId="2">#REF!</definedName>
    <definedName name="__shared_1_0_12" localSheetId="21">#REF!</definedName>
    <definedName name="__shared_1_0_13" localSheetId="0">#REF!+1</definedName>
    <definedName name="__shared_1_0_13" localSheetId="1">#REF!+1</definedName>
    <definedName name="__shared_1_0_13" localSheetId="7">#REF!+1</definedName>
    <definedName name="__shared_1_0_13" localSheetId="9">#REF!+1</definedName>
    <definedName name="__shared_1_0_13" localSheetId="6">#REF!+1</definedName>
    <definedName name="__shared_1_0_13" localSheetId="4">#REF!+1</definedName>
    <definedName name="__shared_1_0_13" localSheetId="5">#REF!+1</definedName>
    <definedName name="__shared_1_0_13" localSheetId="2">#REF!+1</definedName>
    <definedName name="__shared_1_0_13" localSheetId="21">#REF!+1</definedName>
    <definedName name="__shared_1_0_15" localSheetId="0">#REF!*7.5*(#REF!/30)</definedName>
    <definedName name="__shared_1_0_15" localSheetId="1">#REF!*7.5*(#REF!/30)</definedName>
    <definedName name="__shared_1_0_15" localSheetId="7">#REF!*7.5*(#REF!/30)</definedName>
    <definedName name="__shared_1_0_15" localSheetId="9">#REF!*7.5*(#REF!/30)</definedName>
    <definedName name="__shared_1_0_15" localSheetId="6">#REF!*7.5*(#REF!/30)</definedName>
    <definedName name="__shared_1_0_15" localSheetId="4">#REF!*7.5*(#REF!/30)</definedName>
    <definedName name="__shared_1_0_15" localSheetId="5">#REF!*7.5*(#REF!/30)</definedName>
    <definedName name="__shared_1_0_15" localSheetId="2">#REF!*7.5*(#REF!/30)</definedName>
    <definedName name="__shared_1_0_15" localSheetId="21">#REF!*7.5*(#REF!/30)</definedName>
    <definedName name="__shared_1_0_16" localSheetId="0">#REF!</definedName>
    <definedName name="__shared_1_0_16" localSheetId="1">#REF!</definedName>
    <definedName name="__shared_1_0_16" localSheetId="7">#REF!</definedName>
    <definedName name="__shared_1_0_16" localSheetId="9">#REF!</definedName>
    <definedName name="__shared_1_0_16" localSheetId="6">#REF!</definedName>
    <definedName name="__shared_1_0_16" localSheetId="4">#REF!</definedName>
    <definedName name="__shared_1_0_16" localSheetId="5">#REF!</definedName>
    <definedName name="__shared_1_0_16" localSheetId="2">#REF!</definedName>
    <definedName name="__shared_1_0_16" localSheetId="21">#REF!</definedName>
    <definedName name="__shared_1_0_17" localSheetId="0">#REF!+1</definedName>
    <definedName name="__shared_1_0_17" localSheetId="1">#REF!+1</definedName>
    <definedName name="__shared_1_0_17" localSheetId="7">#REF!+1</definedName>
    <definedName name="__shared_1_0_17" localSheetId="9">#REF!+1</definedName>
    <definedName name="__shared_1_0_17" localSheetId="6">#REF!+1</definedName>
    <definedName name="__shared_1_0_17" localSheetId="4">#REF!+1</definedName>
    <definedName name="__shared_1_0_17" localSheetId="5">#REF!+1</definedName>
    <definedName name="__shared_1_0_17" localSheetId="2">#REF!+1</definedName>
    <definedName name="__shared_1_0_17" localSheetId="21">#REF!+1</definedName>
    <definedName name="__shared_1_0_19" localSheetId="0">#REF!*7.5*(#REF!/30)</definedName>
    <definedName name="__shared_1_0_19" localSheetId="1">#REF!*7.5*(#REF!/30)</definedName>
    <definedName name="__shared_1_0_19" localSheetId="7">#REF!*7.5*(#REF!/30)</definedName>
    <definedName name="__shared_1_0_19" localSheetId="9">#REF!*7.5*(#REF!/30)</definedName>
    <definedName name="__shared_1_0_19" localSheetId="6">#REF!*7.5*(#REF!/30)</definedName>
    <definedName name="__shared_1_0_19" localSheetId="4">#REF!*7.5*(#REF!/30)</definedName>
    <definedName name="__shared_1_0_19" localSheetId="5">#REF!*7.5*(#REF!/30)</definedName>
    <definedName name="__shared_1_0_19" localSheetId="2">#REF!*7.5*(#REF!/30)</definedName>
    <definedName name="__shared_1_0_19" localSheetId="21">#REF!*7.5*(#REF!/30)</definedName>
    <definedName name="__shared_1_0_20" localSheetId="0">#REF!</definedName>
    <definedName name="__shared_1_0_20" localSheetId="1">#REF!</definedName>
    <definedName name="__shared_1_0_20" localSheetId="7">#REF!</definedName>
    <definedName name="__shared_1_0_20" localSheetId="9">#REF!</definedName>
    <definedName name="__shared_1_0_20" localSheetId="6">#REF!</definedName>
    <definedName name="__shared_1_0_20" localSheetId="4">#REF!</definedName>
    <definedName name="__shared_1_0_20" localSheetId="5">#REF!</definedName>
    <definedName name="__shared_1_0_20" localSheetId="2">#REF!</definedName>
    <definedName name="__shared_1_0_20" localSheetId="21">#REF!</definedName>
    <definedName name="__shared_1_0_21" localSheetId="0">#REF!+1</definedName>
    <definedName name="__shared_1_0_21" localSheetId="1">#REF!+1</definedName>
    <definedName name="__shared_1_0_21" localSheetId="7">#REF!+1</definedName>
    <definedName name="__shared_1_0_21" localSheetId="9">#REF!+1</definedName>
    <definedName name="__shared_1_0_21" localSheetId="6">#REF!+1</definedName>
    <definedName name="__shared_1_0_21" localSheetId="4">#REF!+1</definedName>
    <definedName name="__shared_1_0_21" localSheetId="5">#REF!+1</definedName>
    <definedName name="__shared_1_0_21" localSheetId="2">#REF!+1</definedName>
    <definedName name="__shared_1_0_21" localSheetId="21">#REF!+1</definedName>
    <definedName name="__shared_1_0_23" localSheetId="0">#REF!*7.5*(#REF!/30)</definedName>
    <definedName name="__shared_1_0_23" localSheetId="1">#REF!*7.5*(#REF!/30)</definedName>
    <definedName name="__shared_1_0_23" localSheetId="7">#REF!*7.5*(#REF!/30)</definedName>
    <definedName name="__shared_1_0_23" localSheetId="9">#REF!*7.5*(#REF!/30)</definedName>
    <definedName name="__shared_1_0_23" localSheetId="6">#REF!*7.5*(#REF!/30)</definedName>
    <definedName name="__shared_1_0_23" localSheetId="4">#REF!*7.5*(#REF!/30)</definedName>
    <definedName name="__shared_1_0_23" localSheetId="5">#REF!*7.5*(#REF!/30)</definedName>
    <definedName name="__shared_1_0_23" localSheetId="2">#REF!*7.5*(#REF!/30)</definedName>
    <definedName name="__shared_1_0_23" localSheetId="21">#REF!*7.5*(#REF!/30)</definedName>
    <definedName name="__shared_1_0_24" localSheetId="0">#REF!</definedName>
    <definedName name="__shared_1_0_24" localSheetId="1">#REF!</definedName>
    <definedName name="__shared_1_0_24" localSheetId="7">#REF!</definedName>
    <definedName name="__shared_1_0_24" localSheetId="9">#REF!</definedName>
    <definedName name="__shared_1_0_24" localSheetId="6">#REF!</definedName>
    <definedName name="__shared_1_0_24" localSheetId="4">#REF!</definedName>
    <definedName name="__shared_1_0_24" localSheetId="5">#REF!</definedName>
    <definedName name="__shared_1_0_24" localSheetId="2">#REF!</definedName>
    <definedName name="__shared_1_0_24" localSheetId="21">#REF!</definedName>
    <definedName name="__shared_1_0_25" localSheetId="0">#REF!+1</definedName>
    <definedName name="__shared_1_0_25" localSheetId="1">#REF!+1</definedName>
    <definedName name="__shared_1_0_25" localSheetId="7">#REF!+1</definedName>
    <definedName name="__shared_1_0_25" localSheetId="9">#REF!+1</definedName>
    <definedName name="__shared_1_0_25" localSheetId="6">#REF!+1</definedName>
    <definedName name="__shared_1_0_25" localSheetId="4">#REF!+1</definedName>
    <definedName name="__shared_1_0_25" localSheetId="5">#REF!+1</definedName>
    <definedName name="__shared_1_0_25" localSheetId="2">#REF!+1</definedName>
    <definedName name="__shared_1_0_25" localSheetId="21">#REF!+1</definedName>
    <definedName name="__shared_1_0_27" localSheetId="0">#REF!*7.5*(#REF!/30)</definedName>
    <definedName name="__shared_1_0_27" localSheetId="1">#REF!*7.5*(#REF!/30)</definedName>
    <definedName name="__shared_1_0_27" localSheetId="7">#REF!*7.5*(#REF!/30)</definedName>
    <definedName name="__shared_1_0_27" localSheetId="9">#REF!*7.5*(#REF!/30)</definedName>
    <definedName name="__shared_1_0_27" localSheetId="6">#REF!*7.5*(#REF!/30)</definedName>
    <definedName name="__shared_1_0_27" localSheetId="4">#REF!*7.5*(#REF!/30)</definedName>
    <definedName name="__shared_1_0_27" localSheetId="5">#REF!*7.5*(#REF!/30)</definedName>
    <definedName name="__shared_1_0_27" localSheetId="2">#REF!*7.5*(#REF!/30)</definedName>
    <definedName name="__shared_1_0_27" localSheetId="21">#REF!*7.5*(#REF!/30)</definedName>
    <definedName name="__shared_1_0_28" localSheetId="0">#REF!</definedName>
    <definedName name="__shared_1_0_28" localSheetId="1">#REF!</definedName>
    <definedName name="__shared_1_0_28" localSheetId="7">#REF!</definedName>
    <definedName name="__shared_1_0_28" localSheetId="9">#REF!</definedName>
    <definedName name="__shared_1_0_28" localSheetId="6">#REF!</definedName>
    <definedName name="__shared_1_0_28" localSheetId="4">#REF!</definedName>
    <definedName name="__shared_1_0_28" localSheetId="5">#REF!</definedName>
    <definedName name="__shared_1_0_28" localSheetId="2">#REF!</definedName>
    <definedName name="__shared_1_0_28" localSheetId="21">#REF!</definedName>
    <definedName name="__shared_1_0_29" localSheetId="0">#REF!+1</definedName>
    <definedName name="__shared_1_0_29" localSheetId="1">#REF!+1</definedName>
    <definedName name="__shared_1_0_29" localSheetId="7">#REF!+1</definedName>
    <definedName name="__shared_1_0_29" localSheetId="9">#REF!+1</definedName>
    <definedName name="__shared_1_0_29" localSheetId="6">#REF!+1</definedName>
    <definedName name="__shared_1_0_29" localSheetId="4">#REF!+1</definedName>
    <definedName name="__shared_1_0_29" localSheetId="5">#REF!+1</definedName>
    <definedName name="__shared_1_0_29" localSheetId="2">#REF!+1</definedName>
    <definedName name="__shared_1_0_29" localSheetId="21">#REF!+1</definedName>
    <definedName name="__shared_1_0_3" localSheetId="0">#REF!+1</definedName>
    <definedName name="__shared_1_0_3" localSheetId="1">#REF!+1</definedName>
    <definedName name="__shared_1_0_3" localSheetId="7">#REF!+1</definedName>
    <definedName name="__shared_1_0_3" localSheetId="9">#REF!+1</definedName>
    <definedName name="__shared_1_0_3" localSheetId="6">#REF!+1</definedName>
    <definedName name="__shared_1_0_3" localSheetId="4">#REF!+1</definedName>
    <definedName name="__shared_1_0_3" localSheetId="5">#REF!+1</definedName>
    <definedName name="__shared_1_0_3" localSheetId="2">#REF!+1</definedName>
    <definedName name="__shared_1_0_3" localSheetId="21">#REF!+1</definedName>
    <definedName name="__shared_1_0_31" localSheetId="0">#REF!*7.5*(#REF!/30)</definedName>
    <definedName name="__shared_1_0_31" localSheetId="1">#REF!*7.5*(#REF!/30)</definedName>
    <definedName name="__shared_1_0_31" localSheetId="7">#REF!*7.5*(#REF!/30)</definedName>
    <definedName name="__shared_1_0_31" localSheetId="9">#REF!*7.5*(#REF!/30)</definedName>
    <definedName name="__shared_1_0_31" localSheetId="6">#REF!*7.5*(#REF!/30)</definedName>
    <definedName name="__shared_1_0_31" localSheetId="4">#REF!*7.5*(#REF!/30)</definedName>
    <definedName name="__shared_1_0_31" localSheetId="5">#REF!*7.5*(#REF!/30)</definedName>
    <definedName name="__shared_1_0_31" localSheetId="2">#REF!*7.5*(#REF!/30)</definedName>
    <definedName name="__shared_1_0_31" localSheetId="21">#REF!*7.5*(#REF!/30)</definedName>
    <definedName name="__shared_1_0_32" localSheetId="0">#REF!</definedName>
    <definedName name="__shared_1_0_32" localSheetId="1">#REF!</definedName>
    <definedName name="__shared_1_0_32" localSheetId="7">#REF!</definedName>
    <definedName name="__shared_1_0_32" localSheetId="9">#REF!</definedName>
    <definedName name="__shared_1_0_32" localSheetId="6">#REF!</definedName>
    <definedName name="__shared_1_0_32" localSheetId="4">#REF!</definedName>
    <definedName name="__shared_1_0_32" localSheetId="5">#REF!</definedName>
    <definedName name="__shared_1_0_32" localSheetId="2">#REF!</definedName>
    <definedName name="__shared_1_0_32" localSheetId="21">#REF!</definedName>
    <definedName name="__shared_1_0_33" localSheetId="0">#REF!+1</definedName>
    <definedName name="__shared_1_0_33" localSheetId="1">#REF!+1</definedName>
    <definedName name="__shared_1_0_33" localSheetId="7">#REF!+1</definedName>
    <definedName name="__shared_1_0_33" localSheetId="9">#REF!+1</definedName>
    <definedName name="__shared_1_0_33" localSheetId="6">#REF!+1</definedName>
    <definedName name="__shared_1_0_33" localSheetId="4">#REF!+1</definedName>
    <definedName name="__shared_1_0_33" localSheetId="5">#REF!+1</definedName>
    <definedName name="__shared_1_0_33" localSheetId="2">#REF!+1</definedName>
    <definedName name="__shared_1_0_33" localSheetId="21">#REF!+1</definedName>
    <definedName name="__shared_1_0_35" localSheetId="0">#REF!*7.5*(#REF!/30)</definedName>
    <definedName name="__shared_1_0_35" localSheetId="1">#REF!*7.5*(#REF!/30)</definedName>
    <definedName name="__shared_1_0_35" localSheetId="7">#REF!*7.5*(#REF!/30)</definedName>
    <definedName name="__shared_1_0_35" localSheetId="9">#REF!*7.5*(#REF!/30)</definedName>
    <definedName name="__shared_1_0_35" localSheetId="6">#REF!*7.5*(#REF!/30)</definedName>
    <definedName name="__shared_1_0_35" localSheetId="4">#REF!*7.5*(#REF!/30)</definedName>
    <definedName name="__shared_1_0_35" localSheetId="5">#REF!*7.5*(#REF!/30)</definedName>
    <definedName name="__shared_1_0_35" localSheetId="2">#REF!*7.5*(#REF!/30)</definedName>
    <definedName name="__shared_1_0_35" localSheetId="21">#REF!*7.5*(#REF!/30)</definedName>
    <definedName name="__shared_1_0_36" localSheetId="0">#REF!</definedName>
    <definedName name="__shared_1_0_36" localSheetId="1">#REF!</definedName>
    <definedName name="__shared_1_0_36" localSheetId="7">#REF!</definedName>
    <definedName name="__shared_1_0_36" localSheetId="9">#REF!</definedName>
    <definedName name="__shared_1_0_36" localSheetId="6">#REF!</definedName>
    <definedName name="__shared_1_0_36" localSheetId="4">#REF!</definedName>
    <definedName name="__shared_1_0_36" localSheetId="5">#REF!</definedName>
    <definedName name="__shared_1_0_36" localSheetId="2">#REF!</definedName>
    <definedName name="__shared_1_0_36" localSheetId="21">#REF!</definedName>
    <definedName name="__shared_1_0_37" localSheetId="0">#REF!+1</definedName>
    <definedName name="__shared_1_0_37" localSheetId="1">#REF!+1</definedName>
    <definedName name="__shared_1_0_37" localSheetId="7">#REF!+1</definedName>
    <definedName name="__shared_1_0_37" localSheetId="9">#REF!+1</definedName>
    <definedName name="__shared_1_0_37" localSheetId="6">#REF!+1</definedName>
    <definedName name="__shared_1_0_37" localSheetId="4">#REF!+1</definedName>
    <definedName name="__shared_1_0_37" localSheetId="5">#REF!+1</definedName>
    <definedName name="__shared_1_0_37" localSheetId="2">#REF!+1</definedName>
    <definedName name="__shared_1_0_37" localSheetId="21">#REF!+1</definedName>
    <definedName name="__shared_1_0_39" localSheetId="0">#REF!*7.5*(#REF!/30)</definedName>
    <definedName name="__shared_1_0_39" localSheetId="1">#REF!*7.5*(#REF!/30)</definedName>
    <definedName name="__shared_1_0_39" localSheetId="7">#REF!*7.5*(#REF!/30)</definedName>
    <definedName name="__shared_1_0_39" localSheetId="9">#REF!*7.5*(#REF!/30)</definedName>
    <definedName name="__shared_1_0_39" localSheetId="6">#REF!*7.5*(#REF!/30)</definedName>
    <definedName name="__shared_1_0_39" localSheetId="4">#REF!*7.5*(#REF!/30)</definedName>
    <definedName name="__shared_1_0_39" localSheetId="5">#REF!*7.5*(#REF!/30)</definedName>
    <definedName name="__shared_1_0_39" localSheetId="2">#REF!*7.5*(#REF!/30)</definedName>
    <definedName name="__shared_1_0_39" localSheetId="21">#REF!*7.5*(#REF!/30)</definedName>
    <definedName name="__shared_1_0_40" localSheetId="0">#REF!</definedName>
    <definedName name="__shared_1_0_40" localSheetId="1">#REF!</definedName>
    <definedName name="__shared_1_0_40" localSheetId="7">#REF!</definedName>
    <definedName name="__shared_1_0_40" localSheetId="9">#REF!</definedName>
    <definedName name="__shared_1_0_40" localSheetId="6">#REF!</definedName>
    <definedName name="__shared_1_0_40" localSheetId="4">#REF!</definedName>
    <definedName name="__shared_1_0_40" localSheetId="5">#REF!</definedName>
    <definedName name="__shared_1_0_40" localSheetId="2">#REF!</definedName>
    <definedName name="__shared_1_0_40" localSheetId="21">#REF!</definedName>
    <definedName name="__shared_1_0_41" localSheetId="0">#REF!+1</definedName>
    <definedName name="__shared_1_0_41" localSheetId="1">#REF!+1</definedName>
    <definedName name="__shared_1_0_41" localSheetId="7">#REF!+1</definedName>
    <definedName name="__shared_1_0_41" localSheetId="9">#REF!+1</definedName>
    <definedName name="__shared_1_0_41" localSheetId="6">#REF!+1</definedName>
    <definedName name="__shared_1_0_41" localSheetId="4">#REF!+1</definedName>
    <definedName name="__shared_1_0_41" localSheetId="5">#REF!+1</definedName>
    <definedName name="__shared_1_0_41" localSheetId="2">#REF!+1</definedName>
    <definedName name="__shared_1_0_41" localSheetId="21">#REF!+1</definedName>
    <definedName name="__shared_1_0_5" localSheetId="0">#REF!*7.5*(#REF!/30)</definedName>
    <definedName name="__shared_1_0_5" localSheetId="1">#REF!*7.5*(#REF!/30)</definedName>
    <definedName name="__shared_1_0_5" localSheetId="7">#REF!*7.5*(#REF!/30)</definedName>
    <definedName name="__shared_1_0_5" localSheetId="9">#REF!*7.5*(#REF!/30)</definedName>
    <definedName name="__shared_1_0_5" localSheetId="6">#REF!*7.5*(#REF!/30)</definedName>
    <definedName name="__shared_1_0_5" localSheetId="4">#REF!*7.5*(#REF!/30)</definedName>
    <definedName name="__shared_1_0_5" localSheetId="5">#REF!*7.5*(#REF!/30)</definedName>
    <definedName name="__shared_1_0_5" localSheetId="2">#REF!*7.5*(#REF!/30)</definedName>
    <definedName name="__shared_1_0_5" localSheetId="21">#REF!*7.5*(#REF!/30)</definedName>
    <definedName name="__shared_1_0_6" localSheetId="0">#REF!</definedName>
    <definedName name="__shared_1_0_6" localSheetId="1">#REF!</definedName>
    <definedName name="__shared_1_0_6" localSheetId="7">#REF!</definedName>
    <definedName name="__shared_1_0_6" localSheetId="9">#REF!</definedName>
    <definedName name="__shared_1_0_6" localSheetId="6">#REF!</definedName>
    <definedName name="__shared_1_0_6" localSheetId="4">#REF!</definedName>
    <definedName name="__shared_1_0_6" localSheetId="5">#REF!</definedName>
    <definedName name="__shared_1_0_6" localSheetId="2">#REF!</definedName>
    <definedName name="__shared_1_0_6" localSheetId="21">#REF!</definedName>
    <definedName name="__shared_1_0_8" localSheetId="0">#REF!*7.5*(#REF!/30)</definedName>
    <definedName name="__shared_1_0_8" localSheetId="1">#REF!*7.5*(#REF!/30)</definedName>
    <definedName name="__shared_1_0_8" localSheetId="7">#REF!*7.5*(#REF!/30)</definedName>
    <definedName name="__shared_1_0_8" localSheetId="9">#REF!*7.5*(#REF!/30)</definedName>
    <definedName name="__shared_1_0_8" localSheetId="6">#REF!*7.5*(#REF!/30)</definedName>
    <definedName name="__shared_1_0_8" localSheetId="4">#REF!*7.5*(#REF!/30)</definedName>
    <definedName name="__shared_1_0_8" localSheetId="5">#REF!*7.5*(#REF!/30)</definedName>
    <definedName name="__shared_1_0_8" localSheetId="2">#REF!*7.5*(#REF!/30)</definedName>
    <definedName name="__shared_1_0_8" localSheetId="21">#REF!*7.5*(#REF!/30)</definedName>
    <definedName name="__shared_1_0_9" localSheetId="0">#REF!</definedName>
    <definedName name="__shared_1_0_9" localSheetId="1">#REF!</definedName>
    <definedName name="__shared_1_0_9" localSheetId="7">#REF!</definedName>
    <definedName name="__shared_1_0_9" localSheetId="9">#REF!</definedName>
    <definedName name="__shared_1_0_9" localSheetId="6">#REF!</definedName>
    <definedName name="__shared_1_0_9" localSheetId="4">#REF!</definedName>
    <definedName name="__shared_1_0_9" localSheetId="5">#REF!</definedName>
    <definedName name="__shared_1_0_9" localSheetId="2">#REF!</definedName>
    <definedName name="__shared_1_0_9" localSheetId="21">#REF!</definedName>
    <definedName name="__shared_2_0_0" localSheetId="0">#REF!</definedName>
    <definedName name="__shared_2_0_0" localSheetId="1">#REF!</definedName>
    <definedName name="__shared_2_0_0" localSheetId="7">#REF!</definedName>
    <definedName name="__shared_2_0_0" localSheetId="9">#REF!</definedName>
    <definedName name="__shared_2_0_0" localSheetId="6">#REF!</definedName>
    <definedName name="__shared_2_0_0" localSheetId="4">#REF!</definedName>
    <definedName name="__shared_2_0_0" localSheetId="5">#REF!</definedName>
    <definedName name="__shared_2_0_0" localSheetId="2">#REF!</definedName>
    <definedName name="__shared_2_0_0" localSheetId="21">#REF!</definedName>
    <definedName name="__shared_2_0_11" localSheetId="0">#REF!*7.5*(#REF!/30)*2/3</definedName>
    <definedName name="__shared_2_0_11" localSheetId="1">#REF!*7.5*(#REF!/30)*2/3</definedName>
    <definedName name="__shared_2_0_11" localSheetId="7">#REF!*7.5*(#REF!/30)*2/3</definedName>
    <definedName name="__shared_2_0_11" localSheetId="9">#REF!*7.5*(#REF!/30)*2/3</definedName>
    <definedName name="__shared_2_0_11" localSheetId="6">#REF!*7.5*(#REF!/30)*2/3</definedName>
    <definedName name="__shared_2_0_11" localSheetId="4">#REF!*7.5*(#REF!/30)*2/3</definedName>
    <definedName name="__shared_2_0_11" localSheetId="5">#REF!*7.5*(#REF!/30)*2/3</definedName>
    <definedName name="__shared_2_0_11" localSheetId="2">#REF!*7.5*(#REF!/30)*2/3</definedName>
    <definedName name="__shared_2_0_11" localSheetId="21">#REF!*7.5*(#REF!/30)*2/3</definedName>
    <definedName name="__shared_2_0_12" localSheetId="0">#REF!</definedName>
    <definedName name="__shared_2_0_12" localSheetId="1">#REF!</definedName>
    <definedName name="__shared_2_0_12" localSheetId="7">#REF!</definedName>
    <definedName name="__shared_2_0_12" localSheetId="9">#REF!</definedName>
    <definedName name="__shared_2_0_12" localSheetId="6">#REF!</definedName>
    <definedName name="__shared_2_0_12" localSheetId="4">#REF!</definedName>
    <definedName name="__shared_2_0_12" localSheetId="5">#REF!</definedName>
    <definedName name="__shared_2_0_12" localSheetId="2">#REF!</definedName>
    <definedName name="__shared_2_0_12" localSheetId="21">#REF!</definedName>
    <definedName name="__shared_2_0_14" localSheetId="0">#REF!*7.5*(#REF!/30)*2/3</definedName>
    <definedName name="__shared_2_0_14" localSheetId="1">#REF!*7.5*(#REF!/30)*2/3</definedName>
    <definedName name="__shared_2_0_14" localSheetId="7">#REF!*7.5*(#REF!/30)*2/3</definedName>
    <definedName name="__shared_2_0_14" localSheetId="9">#REF!*7.5*(#REF!/30)*2/3</definedName>
    <definedName name="__shared_2_0_14" localSheetId="6">#REF!*7.5*(#REF!/30)*2/3</definedName>
    <definedName name="__shared_2_0_14" localSheetId="4">#REF!*7.5*(#REF!/30)*2/3</definedName>
    <definedName name="__shared_2_0_14" localSheetId="5">#REF!*7.5*(#REF!/30)*2/3</definedName>
    <definedName name="__shared_2_0_14" localSheetId="2">#REF!*7.5*(#REF!/30)*2/3</definedName>
    <definedName name="__shared_2_0_14" localSheetId="21">#REF!*7.5*(#REF!/30)*2/3</definedName>
    <definedName name="__shared_2_0_15" localSheetId="0">#REF!</definedName>
    <definedName name="__shared_2_0_15" localSheetId="1">#REF!</definedName>
    <definedName name="__shared_2_0_15" localSheetId="7">#REF!</definedName>
    <definedName name="__shared_2_0_15" localSheetId="9">#REF!</definedName>
    <definedName name="__shared_2_0_15" localSheetId="6">#REF!</definedName>
    <definedName name="__shared_2_0_15" localSheetId="4">#REF!</definedName>
    <definedName name="__shared_2_0_15" localSheetId="5">#REF!</definedName>
    <definedName name="__shared_2_0_15" localSheetId="2">#REF!</definedName>
    <definedName name="__shared_2_0_15" localSheetId="21">#REF!</definedName>
    <definedName name="__shared_2_0_17" localSheetId="0">#REF!*7.5*(#REF!/30)*2/3</definedName>
    <definedName name="__shared_2_0_17" localSheetId="1">#REF!*7.5*(#REF!/30)*2/3</definedName>
    <definedName name="__shared_2_0_17" localSheetId="7">#REF!*7.5*(#REF!/30)*2/3</definedName>
    <definedName name="__shared_2_0_17" localSheetId="9">#REF!*7.5*(#REF!/30)*2/3</definedName>
    <definedName name="__shared_2_0_17" localSheetId="6">#REF!*7.5*(#REF!/30)*2/3</definedName>
    <definedName name="__shared_2_0_17" localSheetId="4">#REF!*7.5*(#REF!/30)*2/3</definedName>
    <definedName name="__shared_2_0_17" localSheetId="5">#REF!*7.5*(#REF!/30)*2/3</definedName>
    <definedName name="__shared_2_0_17" localSheetId="2">#REF!*7.5*(#REF!/30)*2/3</definedName>
    <definedName name="__shared_2_0_17" localSheetId="21">#REF!*7.5*(#REF!/30)*2/3</definedName>
    <definedName name="__shared_2_0_2" localSheetId="0">#REF!*7.5*(#REF!/30)*2/3</definedName>
    <definedName name="__shared_2_0_2" localSheetId="1">#REF!*7.5*(#REF!/30)*2/3</definedName>
    <definedName name="__shared_2_0_2" localSheetId="7">#REF!*7.5*(#REF!/30)*2/3</definedName>
    <definedName name="__shared_2_0_2" localSheetId="9">#REF!*7.5*(#REF!/30)*2/3</definedName>
    <definedName name="__shared_2_0_2" localSheetId="6">#REF!*7.5*(#REF!/30)*2/3</definedName>
    <definedName name="__shared_2_0_2" localSheetId="4">#REF!*7.5*(#REF!/30)*2/3</definedName>
    <definedName name="__shared_2_0_2" localSheetId="5">#REF!*7.5*(#REF!/30)*2/3</definedName>
    <definedName name="__shared_2_0_2" localSheetId="2">#REF!*7.5*(#REF!/30)*2/3</definedName>
    <definedName name="__shared_2_0_2" localSheetId="21">#REF!*7.5*(#REF!/30)*2/3</definedName>
    <definedName name="__shared_2_0_3" localSheetId="0">#REF!</definedName>
    <definedName name="__shared_2_0_3" localSheetId="1">#REF!</definedName>
    <definedName name="__shared_2_0_3" localSheetId="7">#REF!</definedName>
    <definedName name="__shared_2_0_3" localSheetId="9">#REF!</definedName>
    <definedName name="__shared_2_0_3" localSheetId="6">#REF!</definedName>
    <definedName name="__shared_2_0_3" localSheetId="4">#REF!</definedName>
    <definedName name="__shared_2_0_3" localSheetId="5">#REF!</definedName>
    <definedName name="__shared_2_0_3" localSheetId="2">#REF!</definedName>
    <definedName name="__shared_2_0_3" localSheetId="21">#REF!</definedName>
    <definedName name="__shared_2_0_5" localSheetId="0">#REF!*7.5*(#REF!/30)*2/3</definedName>
    <definedName name="__shared_2_0_5" localSheetId="1">#REF!*7.5*(#REF!/30)*2/3</definedName>
    <definedName name="__shared_2_0_5" localSheetId="7">#REF!*7.5*(#REF!/30)*2/3</definedName>
    <definedName name="__shared_2_0_5" localSheetId="9">#REF!*7.5*(#REF!/30)*2/3</definedName>
    <definedName name="__shared_2_0_5" localSheetId="6">#REF!*7.5*(#REF!/30)*2/3</definedName>
    <definedName name="__shared_2_0_5" localSheetId="4">#REF!*7.5*(#REF!/30)*2/3</definedName>
    <definedName name="__shared_2_0_5" localSheetId="5">#REF!*7.5*(#REF!/30)*2/3</definedName>
    <definedName name="__shared_2_0_5" localSheetId="2">#REF!*7.5*(#REF!/30)*2/3</definedName>
    <definedName name="__shared_2_0_5" localSheetId="21">#REF!*7.5*(#REF!/30)*2/3</definedName>
    <definedName name="__shared_2_0_6" localSheetId="0">#REF!</definedName>
    <definedName name="__shared_2_0_6" localSheetId="1">#REF!</definedName>
    <definedName name="__shared_2_0_6" localSheetId="7">#REF!</definedName>
    <definedName name="__shared_2_0_6" localSheetId="9">#REF!</definedName>
    <definedName name="__shared_2_0_6" localSheetId="6">#REF!</definedName>
    <definedName name="__shared_2_0_6" localSheetId="4">#REF!</definedName>
    <definedName name="__shared_2_0_6" localSheetId="5">#REF!</definedName>
    <definedName name="__shared_2_0_6" localSheetId="2">#REF!</definedName>
    <definedName name="__shared_2_0_6" localSheetId="21">#REF!</definedName>
    <definedName name="__shared_2_0_8" localSheetId="0">#REF!*7.5*(#REF!/30)*2/3</definedName>
    <definedName name="__shared_2_0_8" localSheetId="1">#REF!*7.5*(#REF!/30)*2/3</definedName>
    <definedName name="__shared_2_0_8" localSheetId="7">#REF!*7.5*(#REF!/30)*2/3</definedName>
    <definedName name="__shared_2_0_8" localSheetId="9">#REF!*7.5*(#REF!/30)*2/3</definedName>
    <definedName name="__shared_2_0_8" localSheetId="6">#REF!*7.5*(#REF!/30)*2/3</definedName>
    <definedName name="__shared_2_0_8" localSheetId="4">#REF!*7.5*(#REF!/30)*2/3</definedName>
    <definedName name="__shared_2_0_8" localSheetId="5">#REF!*7.5*(#REF!/30)*2/3</definedName>
    <definedName name="__shared_2_0_8" localSheetId="2">#REF!*7.5*(#REF!/30)*2/3</definedName>
    <definedName name="__shared_2_0_8" localSheetId="21">#REF!*7.5*(#REF!/30)*2/3</definedName>
    <definedName name="__shared_2_0_9" localSheetId="0">#REF!</definedName>
    <definedName name="__shared_2_0_9" localSheetId="1">#REF!</definedName>
    <definedName name="__shared_2_0_9" localSheetId="7">#REF!</definedName>
    <definedName name="__shared_2_0_9" localSheetId="9">#REF!</definedName>
    <definedName name="__shared_2_0_9" localSheetId="6">#REF!</definedName>
    <definedName name="__shared_2_0_9" localSheetId="4">#REF!</definedName>
    <definedName name="__shared_2_0_9" localSheetId="5">#REF!</definedName>
    <definedName name="__shared_2_0_9" localSheetId="2">#REF!</definedName>
    <definedName name="__shared_2_0_9" localSheetId="21">#REF!</definedName>
    <definedName name="__shared_3_0_0" localSheetId="0">#REF!</definedName>
    <definedName name="__shared_3_0_0" localSheetId="1">#REF!</definedName>
    <definedName name="__shared_3_0_0" localSheetId="7">#REF!</definedName>
    <definedName name="__shared_3_0_0" localSheetId="9">#REF!</definedName>
    <definedName name="__shared_3_0_0" localSheetId="6">#REF!</definedName>
    <definedName name="__shared_3_0_0" localSheetId="4">#REF!</definedName>
    <definedName name="__shared_3_0_0" localSheetId="5">#REF!</definedName>
    <definedName name="__shared_3_0_0" localSheetId="2">#REF!</definedName>
    <definedName name="__shared_3_0_0" localSheetId="21">#REF!</definedName>
    <definedName name="__shared_3_0_11" localSheetId="0">#REF!*7.5*(#REF!/30)*1/3</definedName>
    <definedName name="__shared_3_0_11" localSheetId="1">#REF!*7.5*(#REF!/30)*1/3</definedName>
    <definedName name="__shared_3_0_11" localSheetId="7">#REF!*7.5*(#REF!/30)*1/3</definedName>
    <definedName name="__shared_3_0_11" localSheetId="9">#REF!*7.5*(#REF!/30)*1/3</definedName>
    <definedName name="__shared_3_0_11" localSheetId="6">#REF!*7.5*(#REF!/30)*1/3</definedName>
    <definedName name="__shared_3_0_11" localSheetId="4">#REF!*7.5*(#REF!/30)*1/3</definedName>
    <definedName name="__shared_3_0_11" localSheetId="5">#REF!*7.5*(#REF!/30)*1/3</definedName>
    <definedName name="__shared_3_0_11" localSheetId="2">#REF!*7.5*(#REF!/30)*1/3</definedName>
    <definedName name="__shared_3_0_11" localSheetId="21">#REF!*7.5*(#REF!/30)*1/3</definedName>
    <definedName name="__shared_3_0_12" localSheetId="0">#REF!</definedName>
    <definedName name="__shared_3_0_12" localSheetId="1">#REF!</definedName>
    <definedName name="__shared_3_0_12" localSheetId="7">#REF!</definedName>
    <definedName name="__shared_3_0_12" localSheetId="9">#REF!</definedName>
    <definedName name="__shared_3_0_12" localSheetId="6">#REF!</definedName>
    <definedName name="__shared_3_0_12" localSheetId="4">#REF!</definedName>
    <definedName name="__shared_3_0_12" localSheetId="5">#REF!</definedName>
    <definedName name="__shared_3_0_12" localSheetId="2">#REF!</definedName>
    <definedName name="__shared_3_0_12" localSheetId="21">#REF!</definedName>
    <definedName name="__shared_3_0_14" localSheetId="0">#REF!*7.5*(#REF!/30)*1/3</definedName>
    <definedName name="__shared_3_0_14" localSheetId="1">#REF!*7.5*(#REF!/30)*1/3</definedName>
    <definedName name="__shared_3_0_14" localSheetId="7">#REF!*7.5*(#REF!/30)*1/3</definedName>
    <definedName name="__shared_3_0_14" localSheetId="9">#REF!*7.5*(#REF!/30)*1/3</definedName>
    <definedName name="__shared_3_0_14" localSheetId="6">#REF!*7.5*(#REF!/30)*1/3</definedName>
    <definedName name="__shared_3_0_14" localSheetId="4">#REF!*7.5*(#REF!/30)*1/3</definedName>
    <definedName name="__shared_3_0_14" localSheetId="5">#REF!*7.5*(#REF!/30)*1/3</definedName>
    <definedName name="__shared_3_0_14" localSheetId="2">#REF!*7.5*(#REF!/30)*1/3</definedName>
    <definedName name="__shared_3_0_14" localSheetId="21">#REF!*7.5*(#REF!/30)*1/3</definedName>
    <definedName name="__shared_3_0_15" localSheetId="0">#REF!</definedName>
    <definedName name="__shared_3_0_15" localSheetId="1">#REF!</definedName>
    <definedName name="__shared_3_0_15" localSheetId="7">#REF!</definedName>
    <definedName name="__shared_3_0_15" localSheetId="9">#REF!</definedName>
    <definedName name="__shared_3_0_15" localSheetId="6">#REF!</definedName>
    <definedName name="__shared_3_0_15" localSheetId="4">#REF!</definedName>
    <definedName name="__shared_3_0_15" localSheetId="5">#REF!</definedName>
    <definedName name="__shared_3_0_15" localSheetId="2">#REF!</definedName>
    <definedName name="__shared_3_0_15" localSheetId="21">#REF!</definedName>
    <definedName name="__shared_3_0_17" localSheetId="0">#REF!*7.5*(#REF!/30)*1/3</definedName>
    <definedName name="__shared_3_0_17" localSheetId="1">#REF!*7.5*(#REF!/30)*1/3</definedName>
    <definedName name="__shared_3_0_17" localSheetId="7">#REF!*7.5*(#REF!/30)*1/3</definedName>
    <definedName name="__shared_3_0_17" localSheetId="9">#REF!*7.5*(#REF!/30)*1/3</definedName>
    <definedName name="__shared_3_0_17" localSheetId="6">#REF!*7.5*(#REF!/30)*1/3</definedName>
    <definedName name="__shared_3_0_17" localSheetId="4">#REF!*7.5*(#REF!/30)*1/3</definedName>
    <definedName name="__shared_3_0_17" localSheetId="5">#REF!*7.5*(#REF!/30)*1/3</definedName>
    <definedName name="__shared_3_0_17" localSheetId="2">#REF!*7.5*(#REF!/30)*1/3</definedName>
    <definedName name="__shared_3_0_17" localSheetId="21">#REF!*7.5*(#REF!/30)*1/3</definedName>
    <definedName name="__shared_3_0_2" localSheetId="0">#REF!*7.5*(#REF!/30)*1/3</definedName>
    <definedName name="__shared_3_0_2" localSheetId="1">#REF!*7.5*(#REF!/30)*1/3</definedName>
    <definedName name="__shared_3_0_2" localSheetId="7">#REF!*7.5*(#REF!/30)*1/3</definedName>
    <definedName name="__shared_3_0_2" localSheetId="9">#REF!*7.5*(#REF!/30)*1/3</definedName>
    <definedName name="__shared_3_0_2" localSheetId="6">#REF!*7.5*(#REF!/30)*1/3</definedName>
    <definedName name="__shared_3_0_2" localSheetId="4">#REF!*7.5*(#REF!/30)*1/3</definedName>
    <definedName name="__shared_3_0_2" localSheetId="5">#REF!*7.5*(#REF!/30)*1/3</definedName>
    <definedName name="__shared_3_0_2" localSheetId="2">#REF!*7.5*(#REF!/30)*1/3</definedName>
    <definedName name="__shared_3_0_2" localSheetId="21">#REF!*7.5*(#REF!/30)*1/3</definedName>
    <definedName name="__shared_3_0_3" localSheetId="0">#REF!</definedName>
    <definedName name="__shared_3_0_3" localSheetId="1">#REF!</definedName>
    <definedName name="__shared_3_0_3" localSheetId="7">#REF!</definedName>
    <definedName name="__shared_3_0_3" localSheetId="9">#REF!</definedName>
    <definedName name="__shared_3_0_3" localSheetId="6">#REF!</definedName>
    <definedName name="__shared_3_0_3" localSheetId="4">#REF!</definedName>
    <definedName name="__shared_3_0_3" localSheetId="5">#REF!</definedName>
    <definedName name="__shared_3_0_3" localSheetId="2">#REF!</definedName>
    <definedName name="__shared_3_0_3" localSheetId="21">#REF!</definedName>
    <definedName name="__shared_3_0_5" localSheetId="0">#REF!*7.5*(#REF!/30)*1/3</definedName>
    <definedName name="__shared_3_0_5" localSheetId="1">#REF!*7.5*(#REF!/30)*1/3</definedName>
    <definedName name="__shared_3_0_5" localSheetId="7">#REF!*7.5*(#REF!/30)*1/3</definedName>
    <definedName name="__shared_3_0_5" localSheetId="9">#REF!*7.5*(#REF!/30)*1/3</definedName>
    <definedName name="__shared_3_0_5" localSheetId="6">#REF!*7.5*(#REF!/30)*1/3</definedName>
    <definedName name="__shared_3_0_5" localSheetId="4">#REF!*7.5*(#REF!/30)*1/3</definedName>
    <definedName name="__shared_3_0_5" localSheetId="5">#REF!*7.5*(#REF!/30)*1/3</definedName>
    <definedName name="__shared_3_0_5" localSheetId="2">#REF!*7.5*(#REF!/30)*1/3</definedName>
    <definedName name="__shared_3_0_5" localSheetId="21">#REF!*7.5*(#REF!/30)*1/3</definedName>
    <definedName name="__shared_3_0_6" localSheetId="0">#REF!</definedName>
    <definedName name="__shared_3_0_6" localSheetId="1">#REF!</definedName>
    <definedName name="__shared_3_0_6" localSheetId="7">#REF!</definedName>
    <definedName name="__shared_3_0_6" localSheetId="9">#REF!</definedName>
    <definedName name="__shared_3_0_6" localSheetId="6">#REF!</definedName>
    <definedName name="__shared_3_0_6" localSheetId="4">#REF!</definedName>
    <definedName name="__shared_3_0_6" localSheetId="5">#REF!</definedName>
    <definedName name="__shared_3_0_6" localSheetId="2">#REF!</definedName>
    <definedName name="__shared_3_0_6" localSheetId="21">#REF!</definedName>
    <definedName name="__shared_3_0_8" localSheetId="0">#REF!*7.5*(#REF!/30)*1/3</definedName>
    <definedName name="__shared_3_0_8" localSheetId="1">#REF!*7.5*(#REF!/30)*1/3</definedName>
    <definedName name="__shared_3_0_8" localSheetId="7">#REF!*7.5*(#REF!/30)*1/3</definedName>
    <definedName name="__shared_3_0_8" localSheetId="9">#REF!*7.5*(#REF!/30)*1/3</definedName>
    <definedName name="__shared_3_0_8" localSheetId="6">#REF!*7.5*(#REF!/30)*1/3</definedName>
    <definedName name="__shared_3_0_8" localSheetId="4">#REF!*7.5*(#REF!/30)*1/3</definedName>
    <definedName name="__shared_3_0_8" localSheetId="5">#REF!*7.5*(#REF!/30)*1/3</definedName>
    <definedName name="__shared_3_0_8" localSheetId="2">#REF!*7.5*(#REF!/30)*1/3</definedName>
    <definedName name="__shared_3_0_8" localSheetId="21">#REF!*7.5*(#REF!/30)*1/3</definedName>
    <definedName name="__shared_3_0_9" localSheetId="0">#REF!</definedName>
    <definedName name="__shared_3_0_9" localSheetId="1">#REF!</definedName>
    <definedName name="__shared_3_0_9" localSheetId="7">#REF!</definedName>
    <definedName name="__shared_3_0_9" localSheetId="9">#REF!</definedName>
    <definedName name="__shared_3_0_9" localSheetId="6">#REF!</definedName>
    <definedName name="__shared_3_0_9" localSheetId="4">#REF!</definedName>
    <definedName name="__shared_3_0_9" localSheetId="5">#REF!</definedName>
    <definedName name="__shared_3_0_9" localSheetId="2">#REF!</definedName>
    <definedName name="__shared_3_0_9" localSheetId="21">#REF!</definedName>
    <definedName name="_xlnm._FilterDatabase" localSheetId="7" hidden="1">Aportes!$A$45:$AN$399</definedName>
    <definedName name="_xlnm._FilterDatabase" localSheetId="8" hidden="1">'CALC BONO+OPERAC'!$A$5:$O$6</definedName>
    <definedName name="_xlnm._FilterDatabase" localSheetId="19" hidden="1">CARGOS!$1:$2220</definedName>
    <definedName name="_xlnm._FilterDatabase" localSheetId="9" hidden="1">'Imprimir 1a'!$A$65:$Z$430</definedName>
    <definedName name="_xlnm._FilterDatabase" localSheetId="6" hidden="1">'Imprimir 2a'!$A$68:$AD$432</definedName>
    <definedName name="_xlnm._FilterDatabase" localSheetId="4" hidden="1">'Imprimir 4TO Agui '!$A$68:$AB$444</definedName>
    <definedName name="_xlnm._FilterDatabase" localSheetId="5" hidden="1">'Imprimir CT'!$A$40:$BC$393</definedName>
    <definedName name="_xlnm._FilterDatabase" localSheetId="10" hidden="1">NOMINA!$A$11:$DS$397</definedName>
    <definedName name="_TABULADOR" localSheetId="0">#REF!*7.5*(#REF!/30)</definedName>
    <definedName name="_TABULADOR" localSheetId="1">#REF!*7.5*(#REF!/30)</definedName>
    <definedName name="_TABULADOR" localSheetId="7">#REF!*7.5*(#REF!/30)</definedName>
    <definedName name="_TABULADOR" localSheetId="9">#REF!*7.5*(#REF!/30)</definedName>
    <definedName name="_TABULADOR" localSheetId="6">#REF!*7.5*(#REF!/30)</definedName>
    <definedName name="_TABULADOR" localSheetId="4">#REF!*7.5*(#REF!/30)</definedName>
    <definedName name="_TABULADOR" localSheetId="5">#REF!*7.5*(#REF!/30)</definedName>
    <definedName name="_TABULADOR" localSheetId="2">#REF!*7.5*(#REF!/30)</definedName>
    <definedName name="A.J" localSheetId="8">[1]Hoja1!$C$15:$C$22</definedName>
    <definedName name="A.J" localSheetId="4">[2]Hoja1!$C$15:$C$22</definedName>
    <definedName name="A.T" localSheetId="9">[3]Hoja1!$B$1:$B$9</definedName>
    <definedName name="A.T">[1]Hoja1!$B$1:$B$9</definedName>
    <definedName name="AJ" localSheetId="8">[1]Hoja1!$B$10</definedName>
    <definedName name="AJ" localSheetId="4">[2]Hoja1!$B$10</definedName>
    <definedName name="AP" localSheetId="8">[1]Hoja1!$B$13</definedName>
    <definedName name="AP" localSheetId="4">[2]Hoja1!$B$13</definedName>
    <definedName name="_xlnm.Print_Area" localSheetId="0">'APORTE FAOV'!$A$1:$F$418</definedName>
    <definedName name="_xlnm.Print_Area" localSheetId="1">'Aporte SSO-SPF'!$A$1:$G$420</definedName>
    <definedName name="_xlnm.Print_Area" localSheetId="7">Aportes!$A$1:$AL$414</definedName>
    <definedName name="_xlnm.Print_Area" localSheetId="8">'CALC BONO+OPERAC'!$A$1:$V$11</definedName>
    <definedName name="_xlnm.Print_Area" localSheetId="23">'EJEMPLO CALCULO AGUINALDOS NUEV'!$A$1:$U$64</definedName>
    <definedName name="_xlnm.Print_Area" localSheetId="6">'Imprimir 2a'!$B$1:$AD$442</definedName>
    <definedName name="_xlnm.Print_Area" localSheetId="4">'Imprimir 4TO Agui '!$B$1:$AB$456</definedName>
    <definedName name="_xlnm.Print_Area" localSheetId="5">'Imprimir CT'!$B$1:$AE$408</definedName>
    <definedName name="_xlnm.Print_Area" localSheetId="10">NOMINA!$A$1:$DS$477</definedName>
    <definedName name="_xlnm.Print_Area" localSheetId="2">'RETENC FAOV'!$A$1:$F$416</definedName>
    <definedName name="_xlnm.Print_Area" localSheetId="3">'Retencion SSO-SPF'!$A$1:$G$417</definedName>
    <definedName name="_xlnm.Print_Area" localSheetId="21">'TAB EMP (2)'!$A$1:$R$16</definedName>
    <definedName name="_xlnm.Print_Area">#REF!</definedName>
    <definedName name="AT" localSheetId="9">[3]Hoja1!$H$1</definedName>
    <definedName name="AT">[1]Hoja1!$H$1</definedName>
    <definedName name="_xlnm.Database" localSheetId="0">#REF!</definedName>
    <definedName name="_xlnm.Database" localSheetId="1">#REF!</definedName>
    <definedName name="_xlnm.Database" localSheetId="7">#REF!</definedName>
    <definedName name="_xlnm.Database" localSheetId="12">#REF!</definedName>
    <definedName name="_xlnm.Database" localSheetId="9">#REF!</definedName>
    <definedName name="_xlnm.Database" localSheetId="6">#REF!</definedName>
    <definedName name="_xlnm.Database" localSheetId="4">#REF!</definedName>
    <definedName name="_xlnm.Database" localSheetId="5">#REF!</definedName>
    <definedName name="_xlnm.Database" localSheetId="2">#REF!</definedName>
    <definedName name="_xlnm.Database" localSheetId="21">#REF!</definedName>
    <definedName name="_xlnm.Database">#REF!</definedName>
    <definedName name="BOMBERO" localSheetId="0">#REF!</definedName>
    <definedName name="BOMBERO" localSheetId="1">#REF!</definedName>
    <definedName name="BOMBERO" localSheetId="7">#REF!</definedName>
    <definedName name="BOMBERO" localSheetId="9">#REF!</definedName>
    <definedName name="BOMBERO" localSheetId="6">#REF!</definedName>
    <definedName name="BOMBERO" localSheetId="4">#REF!</definedName>
    <definedName name="BOMBERO" localSheetId="5">#REF!</definedName>
    <definedName name="BOMBERO" localSheetId="2">#REF!</definedName>
    <definedName name="BOMBERO" localSheetId="21">#REF!</definedName>
    <definedName name="BONONOCTURN" localSheetId="23">'[4]CONCEPTOS Y PARAMETROS'!$A$107:$A$108</definedName>
    <definedName name="BONONOCTURN" localSheetId="9">'[5]CONCEPTOS Y PARAMETROS'!$A$107:$A$108</definedName>
    <definedName name="BONONOCTURN" localSheetId="6">'[6]CONCEPTOS Y PARAMETROS'!$A$107:$A$108</definedName>
    <definedName name="BONONOCTURN" localSheetId="4">'[7]CONCEPTOS Y PARAMETROS'!$A$107:$A$108</definedName>
    <definedName name="BONONOCTURN">'CONCEPTOS Y PARAMETROS'!$A$107:$A$108</definedName>
    <definedName name="C.S" localSheetId="9">[3]Hoja1!$H$8:$H$11</definedName>
    <definedName name="C.S">[1]Hoja1!$H$8:$H$11</definedName>
    <definedName name="C.T" localSheetId="8">[1]Hoja1!$E$25:$E$32</definedName>
    <definedName name="C.T" localSheetId="4">[2]Hoja1!$E$25:$E$32</definedName>
    <definedName name="CARGOS" localSheetId="4">[8]LISTAS!$C$9:$C$20</definedName>
    <definedName name="CESTAT" localSheetId="23">'[9]CONCEPTOS Y PARAMETROS'!$A$101:$A$102</definedName>
    <definedName name="CESTAT" localSheetId="9">'[5]CONCEPTOS Y PARAMETROS'!$A$101:$A$102</definedName>
    <definedName name="CESTAT" localSheetId="6">'[6]CONCEPTOS Y PARAMETROS'!$A$101:$A$102</definedName>
    <definedName name="CESTAT" localSheetId="4">'[7]CONCEPTOS Y PARAMETROS'!$A$101:$A$102</definedName>
    <definedName name="CESTAT">'CONCEPTOS Y PARAMETROS'!$A$101:$A$102</definedName>
    <definedName name="Consulta_Trabajadores_Titulares_y_Contratados_NUEVA" localSheetId="0">#REF!</definedName>
    <definedName name="Consulta_Trabajadores_Titulares_y_Contratados_NUEVA" localSheetId="1">#REF!</definedName>
    <definedName name="Consulta_Trabajadores_Titulares_y_Contratados_NUEVA" localSheetId="7">#REF!</definedName>
    <definedName name="Consulta_Trabajadores_Titulares_y_Contratados_NUEVA" localSheetId="9">#REF!</definedName>
    <definedName name="Consulta_Trabajadores_Titulares_y_Contratados_NUEVA" localSheetId="6">#REF!</definedName>
    <definedName name="Consulta_Trabajadores_Titulares_y_Contratados_NUEVA" localSheetId="4">#REF!</definedName>
    <definedName name="Consulta_Trabajadores_Titulares_y_Contratados_NUEVA" localSheetId="5">#REF!</definedName>
    <definedName name="Consulta_Trabajadores_Titulares_y_Contratados_NUEVA" localSheetId="2">#REF!</definedName>
    <definedName name="Consulta_Trabajadores_Titulares_y_Contratados_NUEVA" localSheetId="21">#REF!</definedName>
    <definedName name="CS" localSheetId="9">[3]Hoja1!$H$2</definedName>
    <definedName name="CS">[1]Hoja1!$H$2</definedName>
    <definedName name="CT" localSheetId="8">[1]Hoja1!$B$5</definedName>
    <definedName name="CT" localSheetId="4">[2]Hoja1!$B$5</definedName>
    <definedName name="DD" localSheetId="4">[10]PRIMAS!$A$2:$A$6</definedName>
    <definedName name="DD" localSheetId="21">[11]PRIMAS!$A$2:$A$6</definedName>
    <definedName name="DEPARTAMENTOS" localSheetId="0">#REF!</definedName>
    <definedName name="DEPARTAMENTOS" localSheetId="1">#REF!</definedName>
    <definedName name="DEPARTAMENTOS" localSheetId="7">#REF!</definedName>
    <definedName name="DEPARTAMENTOS" localSheetId="9">#REF!</definedName>
    <definedName name="DEPARTAMENTOS" localSheetId="6">#REF!</definedName>
    <definedName name="DEPARTAMENTOS" localSheetId="4">#REF!</definedName>
    <definedName name="DEPARTAMENTOS" localSheetId="5">#REF!</definedName>
    <definedName name="DEPARTAMENTOS" localSheetId="2">#REF!</definedName>
    <definedName name="DEPARTAMENTOS" localSheetId="21">#REF!</definedName>
    <definedName name="DIAF" localSheetId="23">'[9]CONCEPTOS Y PARAMETROS'!$A$59:$A$61</definedName>
    <definedName name="DIAF" localSheetId="9">'[5]CONCEPTOS Y PARAMETROS'!$A$59:$A$61</definedName>
    <definedName name="DIAF" localSheetId="6">'[6]CONCEPTOS Y PARAMETROS'!$A$59:$A$61</definedName>
    <definedName name="DIAF" localSheetId="4">'[7]CONCEPTOS Y PARAMETROS'!$A$59:$A$61</definedName>
    <definedName name="DIAF">'CONCEPTOS Y PARAMETROS'!$A$59:$A$61</definedName>
    <definedName name="DIASDESC" localSheetId="23">'[4]CONCEPTOS Y PARAMETROS'!$A$91:$A$95</definedName>
    <definedName name="DIASDESC" localSheetId="9">'[5]CONCEPTOS Y PARAMETROS'!$A$91:$A$95</definedName>
    <definedName name="DIASDESC" localSheetId="6">'[6]CONCEPTOS Y PARAMETROS'!$A$91:$A$95</definedName>
    <definedName name="DIASDESC" localSheetId="4">'[7]CONCEPTOS Y PARAMETROS'!$A$91:$A$95</definedName>
    <definedName name="DIASDESC">'CONCEPTOS Y PARAMETROS'!$A$91:$A$95</definedName>
    <definedName name="DIASDESC2" localSheetId="4">'[12]CONCEPTOS Y PARAMETROS'!$A$91:$A$95</definedName>
    <definedName name="DIRECTIVOS" localSheetId="23">'[9]TAB EMP'!$A$30:$A$36</definedName>
    <definedName name="DIRECTIVOS" localSheetId="9">'[5]TAB EMP'!$A$30:$A$36</definedName>
    <definedName name="DIRECTIVOS" localSheetId="6">'[6]TAB EMP'!$A$30:$A$36</definedName>
    <definedName name="DIRECTIVOS" localSheetId="4">'[7]TAB EMP'!$A$30:$A$36</definedName>
    <definedName name="DIRECTIVOS" localSheetId="21">'[13]TAB EMP'!$A$30:$A$36</definedName>
    <definedName name="DIRECTIVOS">'TAB EMP'!$A$30:$A$36</definedName>
    <definedName name="E.F" localSheetId="8">[1]Hoja1!$D$3:$D$58</definedName>
    <definedName name="E.F" localSheetId="4">[2]Hoja1!$D$3:$D$58</definedName>
    <definedName name="E.P" localSheetId="8">[1]Hoja1!$C$5:$C$7</definedName>
    <definedName name="E.P" localSheetId="4">[2]Hoja1!$C$5:$C$7</definedName>
    <definedName name="EF" localSheetId="8">[1]Hoja1!$B$4</definedName>
    <definedName name="EF" localSheetId="4">[2]Hoja1!$B$4</definedName>
    <definedName name="EJ" localSheetId="8">[1]Hoja1!$B$11</definedName>
    <definedName name="EJ" localSheetId="4">[2]Hoja1!$B$11</definedName>
    <definedName name="EMP" localSheetId="8">[1]Hoja1!$B$14</definedName>
    <definedName name="EMP" localSheetId="4">[2]Hoja1!$B$14</definedName>
    <definedName name="Empleado" localSheetId="23">[9]CARGOS!$A$2:$A$2029</definedName>
    <definedName name="Empleado" localSheetId="9">[5]CARGOS!$A$2:$A$2031</definedName>
    <definedName name="Empleado" localSheetId="6">[6]CARGOS!$A$2:$A$2031</definedName>
    <definedName name="Empleado" localSheetId="4">[7]CARGOS!$A$2:$A$2031</definedName>
    <definedName name="Empleado">CARGOS!$A$2:$A$2033</definedName>
    <definedName name="EP" localSheetId="8">[1]Hoja1!$B$1</definedName>
    <definedName name="EP" localSheetId="4">[2]Hoja1!$B$1</definedName>
    <definedName name="EST" localSheetId="4">[8]LISTAS!$A$1:$A$6</definedName>
    <definedName name="FDFDS" localSheetId="4">'[12]CONCEPTOS Y PARAMETROS'!$A$91:$A$95</definedName>
    <definedName name="FGF" localSheetId="0">#REF!</definedName>
    <definedName name="FGF" localSheetId="1">#REF!</definedName>
    <definedName name="FGF" localSheetId="7">#REF!</definedName>
    <definedName name="FGF" localSheetId="9">#REF!</definedName>
    <definedName name="FGF" localSheetId="6">#REF!</definedName>
    <definedName name="FGF" localSheetId="4">#REF!</definedName>
    <definedName name="FGF" localSheetId="5">#REF!</definedName>
    <definedName name="FGF" localSheetId="2">#REF!</definedName>
    <definedName name="FGF" localSheetId="21">#REF!</definedName>
    <definedName name="GEN" localSheetId="7">Aportes!#REF!</definedName>
    <definedName name="GEN" localSheetId="23">[9]RAC!$DG$8:$DG$9</definedName>
    <definedName name="GEN" localSheetId="12">NOMINA!#REF!</definedName>
    <definedName name="GEN" localSheetId="9">'Imprimir 1a'!#REF!</definedName>
    <definedName name="GEN" localSheetId="6">'Imprimir 2a'!#REF!</definedName>
    <definedName name="GEN" localSheetId="4">'Imprimir 4TO Agui '!#REF!</definedName>
    <definedName name="GEN" localSheetId="5">'Imprimir CT'!#REF!</definedName>
    <definedName name="GEN">NOMINA!#REF!</definedName>
    <definedName name="GVUFTGV" localSheetId="0">#REF!*7.5*(#REF!/30)*2/3</definedName>
    <definedName name="GVUFTGV" localSheetId="1">#REF!*7.5*(#REF!/30)*2/3</definedName>
    <definedName name="GVUFTGV" localSheetId="7">#REF!*7.5*(#REF!/30)*2/3</definedName>
    <definedName name="GVUFTGV" localSheetId="9">#REF!*7.5*(#REF!/30)*2/3</definedName>
    <definedName name="GVUFTGV" localSheetId="6">#REF!*7.5*(#REF!/30)*2/3</definedName>
    <definedName name="GVUFTGV" localSheetId="4">#REF!*7.5*(#REF!/30)*2/3</definedName>
    <definedName name="GVUFTGV" localSheetId="5">#REF!*7.5*(#REF!/30)*2/3</definedName>
    <definedName name="GVUFTGV" localSheetId="2">#REF!*7.5*(#REF!/30)*2/3</definedName>
    <definedName name="H.P" localSheetId="8">[1]Hoja1!$E$34:$E$36</definedName>
    <definedName name="H.P" localSheetId="4">[2]Hoja1!$E$34:$E$36</definedName>
    <definedName name="HIJOS">'CONCEPTOS Y PARAMETROS'!$E$47:$E$50</definedName>
    <definedName name="HORASE" localSheetId="23">'[4]CONCEPTOS Y PARAMETROS'!$A$74:$A$84</definedName>
    <definedName name="HORASE" localSheetId="9">'[5]CONCEPTOS Y PARAMETROS'!$A$74:$A$84</definedName>
    <definedName name="HORASE" localSheetId="6">'[6]CONCEPTOS Y PARAMETROS'!$A$74:$A$84</definedName>
    <definedName name="HORASE" localSheetId="4">'[7]CONCEPTOS Y PARAMETROS'!$A$74:$A$84</definedName>
    <definedName name="HORASE">'CONCEPTOS Y PARAMETROS'!$A$74:$A$84</definedName>
    <definedName name="HP" localSheetId="8">[1]Hoja1!$B$8</definedName>
    <definedName name="HP" localSheetId="4">[2]Hoja1!$B$8</definedName>
    <definedName name="L.N" localSheetId="8">[1]Hoja1!$C$1:$C$4</definedName>
    <definedName name="L.N" localSheetId="4">[2]Hoja1!$C$1:$C$4</definedName>
    <definedName name="LN" localSheetId="8">[1]Hoja1!$B$2</definedName>
    <definedName name="LN" localSheetId="4">[2]Hoja1!$B$2</definedName>
    <definedName name="M.A" localSheetId="8">[1]Hoja1!$C$7:$C$10</definedName>
    <definedName name="M.A" localSheetId="4">[2]Hoja1!$C$7:$C$10</definedName>
    <definedName name="MA" localSheetId="8">[1]Hoja1!$B$3</definedName>
    <definedName name="MA" localSheetId="4">[2]Hoja1!$B$3</definedName>
    <definedName name="MES" localSheetId="23">'[9]CONCEPTOS Y PARAMETROS'!$J$3:$J$14</definedName>
    <definedName name="MES" localSheetId="9">'[5]CONCEPTOS Y PARAMETROS'!$J$3:$J$14</definedName>
    <definedName name="MES" localSheetId="6">'[6]CONCEPTOS Y PARAMETROS'!$J$3:$J$14</definedName>
    <definedName name="MES" localSheetId="4">'[7]CONCEPTOS Y PARAMETROS'!$J$3:$J$14</definedName>
    <definedName name="MES">'CONCEPTOS Y PARAMETROS'!$J$3:$J$14</definedName>
    <definedName name="NAC" localSheetId="7">Aportes!#REF!</definedName>
    <definedName name="NAC" localSheetId="23">[9]RAC!$DF$8:$DF$9</definedName>
    <definedName name="NAC" localSheetId="12">NOMINA!#REF!</definedName>
    <definedName name="NAC" localSheetId="9">'Imprimir 1a'!#REF!</definedName>
    <definedName name="NAC" localSheetId="6">'Imprimir 2a'!#REF!</definedName>
    <definedName name="NAC" localSheetId="4">'Imprimir 4TO Agui '!#REF!</definedName>
    <definedName name="NAC" localSheetId="5">'Imprimir CT'!#REF!</definedName>
    <definedName name="NAC">NOMINA!#REF!</definedName>
    <definedName name="NEDUC" localSheetId="0">#REF!</definedName>
    <definedName name="NEDUC" localSheetId="1">#REF!</definedName>
    <definedName name="NEDUC" localSheetId="7">#REF!</definedName>
    <definedName name="NEDUC" localSheetId="9">#REF!</definedName>
    <definedName name="NEDUC" localSheetId="6">#REF!</definedName>
    <definedName name="NEDUC" localSheetId="4">#REF!</definedName>
    <definedName name="NEDUC" localSheetId="5">#REF!</definedName>
    <definedName name="NEDUC" localSheetId="2">#REF!</definedName>
    <definedName name="NEDUC" localSheetId="21">#REF!</definedName>
    <definedName name="O.F" localSheetId="8">[1]Hoja1!$E$3:$E$22</definedName>
    <definedName name="O.F" localSheetId="4">[2]Hoja1!$E$3:$E$22</definedName>
    <definedName name="Obrero" localSheetId="23">[9]CARGOS!$A$2030:$A$2216</definedName>
    <definedName name="Obrero" localSheetId="9">[5]CARGOS!$A$2032:$A$2218</definedName>
    <definedName name="Obrero" localSheetId="6">[6]CARGOS!$A$2032:$A$2218</definedName>
    <definedName name="Obrero" localSheetId="4">[7]CARGOS!$A$2032:$A$2218</definedName>
    <definedName name="Obrero">CARGOS!$A$2034:$A$2220</definedName>
    <definedName name="OC" localSheetId="8">[1]Hoja1!$B$7</definedName>
    <definedName name="OC" localSheetId="4">[2]Hoja1!$B$7</definedName>
    <definedName name="OF" localSheetId="8">[1]Hoja1!$B$6</definedName>
    <definedName name="OF" localSheetId="4">[2]Hoja1!$B$6</definedName>
    <definedName name="OJ" localSheetId="8">[1]Hoja1!$B$12</definedName>
    <definedName name="OJ" localSheetId="4">[2]Hoja1!$B$12</definedName>
    <definedName name="OP" localSheetId="8">[1]Hoja1!$B$15</definedName>
    <definedName name="OP" localSheetId="4">[2]Hoja1!$B$15</definedName>
    <definedName name="P.J" localSheetId="9">[3]Hoja1!$B$10:$B$12</definedName>
    <definedName name="P.J">[1]Hoja1!$B$10:$B$12</definedName>
    <definedName name="P.P" localSheetId="9">[3]Hoja1!$B$13:$B$15</definedName>
    <definedName name="P.P">[1]Hoja1!$B$13:$B$15</definedName>
    <definedName name="P.R" localSheetId="8">[1]Hoja1!$E$24</definedName>
    <definedName name="P.R" localSheetId="4">[2]Hoja1!$E$24</definedName>
    <definedName name="PHIJOS" localSheetId="7">Aportes!#REF!</definedName>
    <definedName name="PHIJOS" localSheetId="23">[9]RAC!$DA$9:$DA$11</definedName>
    <definedName name="PHIJOS" localSheetId="12">NOMINA!#REF!</definedName>
    <definedName name="PHIJOS" localSheetId="9">'Imprimir 1a'!#REF!</definedName>
    <definedName name="PHIJOS" localSheetId="6">'Imprimir 2a'!#REF!</definedName>
    <definedName name="PHIJOS" localSheetId="4">'Imprimir 4TO Agui '!#REF!</definedName>
    <definedName name="PHIJOS" localSheetId="5">'Imprimir CT'!#REF!</definedName>
    <definedName name="PHIJOS">NOMINA!#REF!</definedName>
    <definedName name="PJ" localSheetId="9">[3]Hoja1!$H$3</definedName>
    <definedName name="PJ">[1]Hoja1!$H$3</definedName>
    <definedName name="PP" localSheetId="9">[3]Hoja1!$H$4</definedName>
    <definedName name="PP">[1]Hoja1!$H$4</definedName>
    <definedName name="PR" localSheetId="8">[1]Hoja1!$B$9</definedName>
    <definedName name="PR" localSheetId="4">[2]Hoja1!$B$9</definedName>
    <definedName name="profesion_oficio">[14]LISTAS!$A$26:$A$38</definedName>
    <definedName name="PS" localSheetId="9">[3]Hoja1!$H$5</definedName>
    <definedName name="PS">[1]Hoja1!$H$5</definedName>
    <definedName name="Suplentes_por_Motivo_General" localSheetId="0">#REF!</definedName>
    <definedName name="Suplentes_por_Motivo_General" localSheetId="1">#REF!</definedName>
    <definedName name="Suplentes_por_Motivo_General" localSheetId="7">#REF!</definedName>
    <definedName name="Suplentes_por_Motivo_General" localSheetId="9">#REF!</definedName>
    <definedName name="Suplentes_por_Motivo_General" localSheetId="6">#REF!</definedName>
    <definedName name="Suplentes_por_Motivo_General" localSheetId="4">#REF!</definedName>
    <definedName name="Suplentes_por_Motivo_General" localSheetId="5">#REF!</definedName>
    <definedName name="Suplentes_por_Motivo_General" localSheetId="2">#REF!</definedName>
    <definedName name="Suplentes_por_Motivo_General" localSheetId="21">#REF!</definedName>
    <definedName name="TABEMP" localSheetId="23">'[9]TAB EMP'!$A$2:$A$29</definedName>
    <definedName name="TABEMP" localSheetId="9">'[5]TAB EMP'!$A$2:$A$29</definedName>
    <definedName name="TABEMP" localSheetId="6">'[6]TAB EMP'!$A$2:$A$29</definedName>
    <definedName name="TABEMP" localSheetId="4">'[7]TAB EMP'!$A$2:$A$29</definedName>
    <definedName name="TABEMP" localSheetId="21">'[13]TAB EMP'!$A$2:$A$29</definedName>
    <definedName name="TABEMP">'TAB EMP'!$A$2:$A$29</definedName>
    <definedName name="TABLACONCEPTO" localSheetId="4">[15]CONCEPTOS!$A$2:$A$28</definedName>
    <definedName name="TABLACONCEPTO" localSheetId="21">[16]CONCEPTOS!$A$2:$A$28</definedName>
    <definedName name="TABOBR" localSheetId="23">'[9]TAB OBR'!$A$3:$A$12</definedName>
    <definedName name="TABOBR" localSheetId="9">'[5]TAB OBR'!$A$3:$A$12</definedName>
    <definedName name="TABOBR" localSheetId="6">'[6]TAB OBR'!$A$3:$A$12</definedName>
    <definedName name="TABOBR" localSheetId="4">'[7]TAB OBR'!$A$3:$A$12</definedName>
    <definedName name="TABOBR" localSheetId="21">'[13]TAB OBR'!$A$3:$A$12</definedName>
    <definedName name="TABOBR">'TAB OBR'!$A$3:$A$12</definedName>
    <definedName name="TABULADOR" localSheetId="0">#REF!*7.5*(#REF!/30)</definedName>
    <definedName name="TABULADOR" localSheetId="1">#REF!*7.5*(#REF!/30)</definedName>
    <definedName name="TABULADOR" localSheetId="7">#REF!*7.5*(#REF!/30)</definedName>
    <definedName name="TABULADOR" localSheetId="9">#REF!*7.5*(#REF!/30)</definedName>
    <definedName name="TABULADOR" localSheetId="6">#REF!*7.5*(#REF!/30)</definedName>
    <definedName name="TABULADOR" localSheetId="4">#REF!*7.5*(#REF!/30)</definedName>
    <definedName name="TABULADOR" localSheetId="5">#REF!*7.5*(#REF!/30)</definedName>
    <definedName name="TABULADOR" localSheetId="2">#REF!*7.5*(#REF!/30)</definedName>
    <definedName name="TIPODEVIA" localSheetId="4">[8]LISTAS!$A$9:$A$16</definedName>
    <definedName name="TITULO" localSheetId="4">[8]LISTAS!$A$26:$A$38</definedName>
    <definedName name="_xlnm.Print_Titles" localSheetId="0">'APORTE FAOV'!$8:$11</definedName>
    <definedName name="_xlnm.Print_Titles" localSheetId="1">'Aporte SSO-SPF'!$8:$11</definedName>
    <definedName name="_xlnm.Print_Titles" localSheetId="7">Aportes!$11:$11</definedName>
    <definedName name="_xlnm.Print_Titles" localSheetId="9">'Imprimir 1a'!$1:$11</definedName>
    <definedName name="_xlnm.Print_Titles" localSheetId="6">'Imprimir 2a'!$11:$11</definedName>
    <definedName name="_xlnm.Print_Titles" localSheetId="4">'Imprimir 4TO Agui '!$11:$11</definedName>
    <definedName name="_xlnm.Print_Titles" localSheetId="5">'Imprimir CT'!$11:$11</definedName>
    <definedName name="_xlnm.Print_Titles" localSheetId="2">'RETENC FAOV'!$8:$11</definedName>
    <definedName name="_xlnm.Print_Titles" localSheetId="3">'Retencion SSO-SPF'!$8:$11</definedName>
    <definedName name="UBICACION" localSheetId="4">[8]LISTAS!$A$20:$A$23</definedName>
    <definedName name="VGUJVGJ" localSheetId="0">#REF!</definedName>
    <definedName name="VGUJVGJ" localSheetId="1">#REF!</definedName>
    <definedName name="VGUJVGJ" localSheetId="7">#REF!</definedName>
    <definedName name="VGUJVGJ" localSheetId="9">#REF!</definedName>
    <definedName name="VGUJVGJ" localSheetId="6">#REF!</definedName>
    <definedName name="VGUJVGJ" localSheetId="4">#REF!</definedName>
    <definedName name="VGUJVGJ" localSheetId="5">#REF!</definedName>
    <definedName name="VGUJVGJ" localSheetId="2">#REF!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5" i="58" l="1"/>
  <c r="AB435" i="58"/>
  <c r="AB432" i="58" l="1"/>
  <c r="AC431" i="58"/>
  <c r="AB431" i="58"/>
  <c r="AA431" i="58"/>
  <c r="Z431" i="58"/>
  <c r="X431" i="58"/>
  <c r="W431" i="58"/>
  <c r="V431" i="58"/>
  <c r="U431" i="58"/>
  <c r="T431" i="58"/>
  <c r="S431" i="58"/>
  <c r="R431" i="58"/>
  <c r="Q431" i="58"/>
  <c r="P431" i="58"/>
  <c r="N431" i="58"/>
  <c r="J431" i="58"/>
  <c r="I431" i="58"/>
  <c r="K431" i="58" s="1"/>
  <c r="H431" i="58"/>
  <c r="D431" i="58"/>
  <c r="C431" i="58"/>
  <c r="AC430" i="58"/>
  <c r="AB430" i="58"/>
  <c r="AA430" i="58"/>
  <c r="Z430" i="58"/>
  <c r="X430" i="58"/>
  <c r="W430" i="58"/>
  <c r="V430" i="58"/>
  <c r="U430" i="58"/>
  <c r="T430" i="58"/>
  <c r="S430" i="58"/>
  <c r="R430" i="58"/>
  <c r="Q430" i="58"/>
  <c r="P430" i="58"/>
  <c r="N430" i="58"/>
  <c r="J430" i="58"/>
  <c r="K430" i="58" s="1"/>
  <c r="I430" i="58"/>
  <c r="H430" i="58"/>
  <c r="D430" i="58"/>
  <c r="C430" i="58"/>
  <c r="AC429" i="58"/>
  <c r="AB429" i="58"/>
  <c r="AA429" i="58"/>
  <c r="Z429" i="58"/>
  <c r="X429" i="58"/>
  <c r="W429" i="58"/>
  <c r="V429" i="58"/>
  <c r="U429" i="58"/>
  <c r="T429" i="58"/>
  <c r="S429" i="58"/>
  <c r="R429" i="58"/>
  <c r="Q429" i="58"/>
  <c r="P429" i="58"/>
  <c r="N429" i="58"/>
  <c r="J429" i="58"/>
  <c r="I429" i="58"/>
  <c r="K429" i="58" s="1"/>
  <c r="H429" i="58"/>
  <c r="D429" i="58"/>
  <c r="C429" i="58"/>
  <c r="AC428" i="58"/>
  <c r="AB428" i="58"/>
  <c r="AA428" i="58"/>
  <c r="Z428" i="58"/>
  <c r="X428" i="58"/>
  <c r="W428" i="58"/>
  <c r="V428" i="58"/>
  <c r="U428" i="58"/>
  <c r="T428" i="58"/>
  <c r="S428" i="58"/>
  <c r="R428" i="58"/>
  <c r="Q428" i="58"/>
  <c r="P428" i="58"/>
  <c r="N428" i="58"/>
  <c r="J428" i="58"/>
  <c r="I428" i="58"/>
  <c r="K428" i="58" s="1"/>
  <c r="H428" i="58"/>
  <c r="D428" i="58"/>
  <c r="C428" i="58"/>
  <c r="AC427" i="58"/>
  <c r="AB427" i="58"/>
  <c r="AA427" i="58"/>
  <c r="Z427" i="58"/>
  <c r="X427" i="58"/>
  <c r="W427" i="58"/>
  <c r="V427" i="58"/>
  <c r="U427" i="58"/>
  <c r="T427" i="58"/>
  <c r="S427" i="58"/>
  <c r="R427" i="58"/>
  <c r="Q427" i="58"/>
  <c r="P427" i="58"/>
  <c r="N427" i="58"/>
  <c r="K427" i="58"/>
  <c r="J427" i="58"/>
  <c r="I427" i="58"/>
  <c r="H427" i="58"/>
  <c r="D427" i="58"/>
  <c r="C427" i="58"/>
  <c r="AC426" i="58"/>
  <c r="AB426" i="58"/>
  <c r="AA426" i="58"/>
  <c r="Z426" i="58"/>
  <c r="X426" i="58"/>
  <c r="W426" i="58"/>
  <c r="V426" i="58"/>
  <c r="U426" i="58"/>
  <c r="T426" i="58"/>
  <c r="S426" i="58"/>
  <c r="R426" i="58"/>
  <c r="Q426" i="58"/>
  <c r="P426" i="58"/>
  <c r="N426" i="58"/>
  <c r="J426" i="58"/>
  <c r="K426" i="58" s="1"/>
  <c r="I426" i="58"/>
  <c r="H426" i="58"/>
  <c r="D426" i="58"/>
  <c r="C426" i="58"/>
  <c r="AC425" i="58"/>
  <c r="AB425" i="58"/>
  <c r="AA425" i="58"/>
  <c r="Z425" i="58"/>
  <c r="X425" i="58"/>
  <c r="W425" i="58"/>
  <c r="V425" i="58"/>
  <c r="U425" i="58"/>
  <c r="T425" i="58"/>
  <c r="S425" i="58"/>
  <c r="R425" i="58"/>
  <c r="Q425" i="58"/>
  <c r="P425" i="58"/>
  <c r="N425" i="58"/>
  <c r="J425" i="58"/>
  <c r="I425" i="58"/>
  <c r="K425" i="58" s="1"/>
  <c r="H425" i="58"/>
  <c r="D425" i="58"/>
  <c r="C425" i="58"/>
  <c r="AC424" i="58"/>
  <c r="AB424" i="58"/>
  <c r="AA424" i="58"/>
  <c r="Z424" i="58"/>
  <c r="X424" i="58"/>
  <c r="W424" i="58"/>
  <c r="V424" i="58"/>
  <c r="U424" i="58"/>
  <c r="T424" i="58"/>
  <c r="S424" i="58"/>
  <c r="R424" i="58"/>
  <c r="Q424" i="58"/>
  <c r="P424" i="58"/>
  <c r="N424" i="58"/>
  <c r="J424" i="58"/>
  <c r="I424" i="58"/>
  <c r="K424" i="58" s="1"/>
  <c r="H424" i="58"/>
  <c r="D424" i="58"/>
  <c r="C424" i="58"/>
  <c r="AC423" i="58"/>
  <c r="AB423" i="58"/>
  <c r="AA423" i="58"/>
  <c r="Z423" i="58"/>
  <c r="X423" i="58"/>
  <c r="W423" i="58"/>
  <c r="V423" i="58"/>
  <c r="U423" i="58"/>
  <c r="T423" i="58"/>
  <c r="S423" i="58"/>
  <c r="R423" i="58"/>
  <c r="Q423" i="58"/>
  <c r="P423" i="58"/>
  <c r="N423" i="58"/>
  <c r="J423" i="58"/>
  <c r="I423" i="58"/>
  <c r="K423" i="58" s="1"/>
  <c r="H423" i="58"/>
  <c r="D423" i="58"/>
  <c r="C423" i="58"/>
  <c r="AC422" i="58"/>
  <c r="AB422" i="58"/>
  <c r="AA422" i="58"/>
  <c r="Z422" i="58"/>
  <c r="X422" i="58"/>
  <c r="W422" i="58"/>
  <c r="V422" i="58"/>
  <c r="U422" i="58"/>
  <c r="T422" i="58"/>
  <c r="S422" i="58"/>
  <c r="R422" i="58"/>
  <c r="Q422" i="58"/>
  <c r="P422" i="58"/>
  <c r="N422" i="58"/>
  <c r="J422" i="58"/>
  <c r="K422" i="58" s="1"/>
  <c r="I422" i="58"/>
  <c r="H422" i="58"/>
  <c r="D422" i="58"/>
  <c r="C422" i="58"/>
  <c r="AC421" i="58"/>
  <c r="AB421" i="58"/>
  <c r="AA421" i="58"/>
  <c r="Z421" i="58"/>
  <c r="X421" i="58"/>
  <c r="W421" i="58"/>
  <c r="V421" i="58"/>
  <c r="U421" i="58"/>
  <c r="T421" i="58"/>
  <c r="S421" i="58"/>
  <c r="R421" i="58"/>
  <c r="Q421" i="58"/>
  <c r="P421" i="58"/>
  <c r="N421" i="58"/>
  <c r="K421" i="58"/>
  <c r="J421" i="58"/>
  <c r="I421" i="58"/>
  <c r="H421" i="58"/>
  <c r="D421" i="58"/>
  <c r="C421" i="58"/>
  <c r="AC420" i="58"/>
  <c r="AB420" i="58"/>
  <c r="AA420" i="58"/>
  <c r="Z420" i="58"/>
  <c r="X420" i="58"/>
  <c r="W420" i="58"/>
  <c r="V420" i="58"/>
  <c r="U420" i="58"/>
  <c r="T420" i="58"/>
  <c r="S420" i="58"/>
  <c r="R420" i="58"/>
  <c r="Q420" i="58"/>
  <c r="P420" i="58"/>
  <c r="N420" i="58"/>
  <c r="J420" i="58"/>
  <c r="I420" i="58"/>
  <c r="K420" i="58" s="1"/>
  <c r="H420" i="58"/>
  <c r="D420" i="58"/>
  <c r="C420" i="58"/>
  <c r="AC419" i="58"/>
  <c r="AB419" i="58"/>
  <c r="AA419" i="58"/>
  <c r="Z419" i="58"/>
  <c r="X419" i="58"/>
  <c r="W419" i="58"/>
  <c r="V419" i="58"/>
  <c r="U419" i="58"/>
  <c r="T419" i="58"/>
  <c r="S419" i="58"/>
  <c r="R419" i="58"/>
  <c r="Q419" i="58"/>
  <c r="P419" i="58"/>
  <c r="N419" i="58"/>
  <c r="K419" i="58"/>
  <c r="J419" i="58"/>
  <c r="I419" i="58"/>
  <c r="H419" i="58"/>
  <c r="D419" i="58"/>
  <c r="C419" i="58"/>
  <c r="AC418" i="58"/>
  <c r="AB418" i="58"/>
  <c r="AA418" i="58"/>
  <c r="Z418" i="58"/>
  <c r="X418" i="58"/>
  <c r="W418" i="58"/>
  <c r="V418" i="58"/>
  <c r="U418" i="58"/>
  <c r="T418" i="58"/>
  <c r="S418" i="58"/>
  <c r="R418" i="58"/>
  <c r="Q418" i="58"/>
  <c r="P418" i="58"/>
  <c r="N418" i="58"/>
  <c r="J418" i="58"/>
  <c r="K418" i="58" s="1"/>
  <c r="I418" i="58"/>
  <c r="H418" i="58"/>
  <c r="D418" i="58"/>
  <c r="C418" i="58"/>
  <c r="AC417" i="58"/>
  <c r="AB417" i="58"/>
  <c r="AA417" i="58"/>
  <c r="Z417" i="58"/>
  <c r="X417" i="58"/>
  <c r="W417" i="58"/>
  <c r="V417" i="58"/>
  <c r="U417" i="58"/>
  <c r="T417" i="58"/>
  <c r="S417" i="58"/>
  <c r="R417" i="58"/>
  <c r="Q417" i="58"/>
  <c r="P417" i="58"/>
  <c r="N417" i="58"/>
  <c r="J417" i="58"/>
  <c r="I417" i="58"/>
  <c r="K417" i="58" s="1"/>
  <c r="H417" i="58"/>
  <c r="D417" i="58"/>
  <c r="C417" i="58"/>
  <c r="AC416" i="58"/>
  <c r="AB416" i="58"/>
  <c r="AA416" i="58"/>
  <c r="Z416" i="58"/>
  <c r="X416" i="58"/>
  <c r="W416" i="58"/>
  <c r="V416" i="58"/>
  <c r="U416" i="58"/>
  <c r="T416" i="58"/>
  <c r="S416" i="58"/>
  <c r="R416" i="58"/>
  <c r="Q416" i="58"/>
  <c r="P416" i="58"/>
  <c r="N416" i="58"/>
  <c r="J416" i="58"/>
  <c r="I416" i="58"/>
  <c r="K416" i="58" s="1"/>
  <c r="H416" i="58"/>
  <c r="D416" i="58"/>
  <c r="C416" i="58"/>
  <c r="AC415" i="58"/>
  <c r="AB415" i="58"/>
  <c r="AA415" i="58"/>
  <c r="Z415" i="58"/>
  <c r="X415" i="58"/>
  <c r="W415" i="58"/>
  <c r="V415" i="58"/>
  <c r="U415" i="58"/>
  <c r="T415" i="58"/>
  <c r="S415" i="58"/>
  <c r="R415" i="58"/>
  <c r="Q415" i="58"/>
  <c r="P415" i="58"/>
  <c r="N415" i="58"/>
  <c r="K415" i="58"/>
  <c r="J415" i="58"/>
  <c r="I415" i="58"/>
  <c r="H415" i="58"/>
  <c r="D415" i="58"/>
  <c r="C415" i="58"/>
  <c r="AC414" i="58"/>
  <c r="AB414" i="58"/>
  <c r="AA414" i="58"/>
  <c r="Z414" i="58"/>
  <c r="X414" i="58"/>
  <c r="W414" i="58"/>
  <c r="V414" i="58"/>
  <c r="U414" i="58"/>
  <c r="T414" i="58"/>
  <c r="S414" i="58"/>
  <c r="R414" i="58"/>
  <c r="Q414" i="58"/>
  <c r="P414" i="58"/>
  <c r="N414" i="58"/>
  <c r="J414" i="58"/>
  <c r="K414" i="58" s="1"/>
  <c r="I414" i="58"/>
  <c r="H414" i="58"/>
  <c r="D414" i="58"/>
  <c r="C414" i="58"/>
  <c r="AC413" i="58"/>
  <c r="AB413" i="58"/>
  <c r="AA413" i="58"/>
  <c r="Z413" i="58"/>
  <c r="X413" i="58"/>
  <c r="W413" i="58"/>
  <c r="V413" i="58"/>
  <c r="U413" i="58"/>
  <c r="T413" i="58"/>
  <c r="S413" i="58"/>
  <c r="R413" i="58"/>
  <c r="Q413" i="58"/>
  <c r="P413" i="58"/>
  <c r="N413" i="58"/>
  <c r="J413" i="58"/>
  <c r="I413" i="58"/>
  <c r="K413" i="58" s="1"/>
  <c r="H413" i="58"/>
  <c r="D413" i="58"/>
  <c r="C413" i="58"/>
  <c r="AC412" i="58"/>
  <c r="AB412" i="58"/>
  <c r="AA412" i="58"/>
  <c r="Z412" i="58"/>
  <c r="X412" i="58"/>
  <c r="W412" i="58"/>
  <c r="V412" i="58"/>
  <c r="U412" i="58"/>
  <c r="T412" i="58"/>
  <c r="S412" i="58"/>
  <c r="R412" i="58"/>
  <c r="Q412" i="58"/>
  <c r="P412" i="58"/>
  <c r="N412" i="58"/>
  <c r="J412" i="58"/>
  <c r="I412" i="58"/>
  <c r="K412" i="58" s="1"/>
  <c r="H412" i="58"/>
  <c r="D412" i="58"/>
  <c r="C412" i="58"/>
  <c r="AC411" i="58"/>
  <c r="AB411" i="58"/>
  <c r="AA411" i="58"/>
  <c r="Z411" i="58"/>
  <c r="X411" i="58"/>
  <c r="W411" i="58"/>
  <c r="V411" i="58"/>
  <c r="U411" i="58"/>
  <c r="T411" i="58"/>
  <c r="S411" i="58"/>
  <c r="R411" i="58"/>
  <c r="Q411" i="58"/>
  <c r="P411" i="58"/>
  <c r="N411" i="58"/>
  <c r="K411" i="58"/>
  <c r="J411" i="58"/>
  <c r="I411" i="58"/>
  <c r="H411" i="58"/>
  <c r="D411" i="58"/>
  <c r="C411" i="58"/>
  <c r="AC410" i="58"/>
  <c r="AB410" i="58"/>
  <c r="AA410" i="58"/>
  <c r="Z410" i="58"/>
  <c r="X410" i="58"/>
  <c r="W410" i="58"/>
  <c r="V410" i="58"/>
  <c r="U410" i="58"/>
  <c r="T410" i="58"/>
  <c r="S410" i="58"/>
  <c r="R410" i="58"/>
  <c r="Q410" i="58"/>
  <c r="P410" i="58"/>
  <c r="N410" i="58"/>
  <c r="J410" i="58"/>
  <c r="K410" i="58" s="1"/>
  <c r="I410" i="58"/>
  <c r="H410" i="58"/>
  <c r="D410" i="58"/>
  <c r="C410" i="58"/>
  <c r="AC409" i="58"/>
  <c r="AB409" i="58"/>
  <c r="AA409" i="58"/>
  <c r="Z409" i="58"/>
  <c r="X409" i="58"/>
  <c r="W409" i="58"/>
  <c r="V409" i="58"/>
  <c r="U409" i="58"/>
  <c r="T409" i="58"/>
  <c r="S409" i="58"/>
  <c r="R409" i="58"/>
  <c r="Q409" i="58"/>
  <c r="P409" i="58"/>
  <c r="N409" i="58"/>
  <c r="J409" i="58"/>
  <c r="I409" i="58"/>
  <c r="K409" i="58" s="1"/>
  <c r="H409" i="58"/>
  <c r="D409" i="58"/>
  <c r="C409" i="58"/>
  <c r="AC408" i="58"/>
  <c r="AB408" i="58"/>
  <c r="AA408" i="58"/>
  <c r="Z408" i="58"/>
  <c r="X408" i="58"/>
  <c r="W408" i="58"/>
  <c r="V408" i="58"/>
  <c r="U408" i="58"/>
  <c r="T408" i="58"/>
  <c r="S408" i="58"/>
  <c r="R408" i="58"/>
  <c r="Q408" i="58"/>
  <c r="P408" i="58"/>
  <c r="N408" i="58"/>
  <c r="J408" i="58"/>
  <c r="I408" i="58"/>
  <c r="K408" i="58" s="1"/>
  <c r="H408" i="58"/>
  <c r="D408" i="58"/>
  <c r="C408" i="58"/>
  <c r="AC407" i="58"/>
  <c r="AB407" i="58"/>
  <c r="AA407" i="58"/>
  <c r="Z407" i="58"/>
  <c r="X407" i="58"/>
  <c r="W407" i="58"/>
  <c r="V407" i="58"/>
  <c r="U407" i="58"/>
  <c r="T407" i="58"/>
  <c r="S407" i="58"/>
  <c r="R407" i="58"/>
  <c r="Q407" i="58"/>
  <c r="P407" i="58"/>
  <c r="N407" i="58"/>
  <c r="K407" i="58"/>
  <c r="J407" i="58"/>
  <c r="I407" i="58"/>
  <c r="H407" i="58"/>
  <c r="D407" i="58"/>
  <c r="C407" i="58"/>
  <c r="AC406" i="58"/>
  <c r="AB406" i="58"/>
  <c r="AA406" i="58"/>
  <c r="Z406" i="58"/>
  <c r="X406" i="58"/>
  <c r="W406" i="58"/>
  <c r="V406" i="58"/>
  <c r="U406" i="58"/>
  <c r="T406" i="58"/>
  <c r="S406" i="58"/>
  <c r="R406" i="58"/>
  <c r="Q406" i="58"/>
  <c r="P406" i="58"/>
  <c r="N406" i="58"/>
  <c r="J406" i="58"/>
  <c r="I406" i="58"/>
  <c r="K406" i="58" s="1"/>
  <c r="H406" i="58"/>
  <c r="D406" i="58"/>
  <c r="C406" i="58"/>
  <c r="AC405" i="58"/>
  <c r="AB405" i="58"/>
  <c r="AA405" i="58"/>
  <c r="Z405" i="58"/>
  <c r="X405" i="58"/>
  <c r="W405" i="58"/>
  <c r="V405" i="58"/>
  <c r="U405" i="58"/>
  <c r="T405" i="58"/>
  <c r="S405" i="58"/>
  <c r="R405" i="58"/>
  <c r="Q405" i="58"/>
  <c r="P405" i="58"/>
  <c r="N405" i="58"/>
  <c r="J405" i="58"/>
  <c r="I405" i="58"/>
  <c r="K405" i="58" s="1"/>
  <c r="H405" i="58"/>
  <c r="D405" i="58"/>
  <c r="C405" i="58"/>
  <c r="AC404" i="58"/>
  <c r="AB404" i="58"/>
  <c r="AA404" i="58"/>
  <c r="Z404" i="58"/>
  <c r="X404" i="58"/>
  <c r="W404" i="58"/>
  <c r="V404" i="58"/>
  <c r="U404" i="58"/>
  <c r="T404" i="58"/>
  <c r="S404" i="58"/>
  <c r="R404" i="58"/>
  <c r="Q404" i="58"/>
  <c r="P404" i="58"/>
  <c r="N404" i="58"/>
  <c r="J404" i="58"/>
  <c r="K404" i="58" s="1"/>
  <c r="I404" i="58"/>
  <c r="H404" i="58"/>
  <c r="D404" i="58"/>
  <c r="C404" i="58"/>
  <c r="AC403" i="58"/>
  <c r="AB403" i="58"/>
  <c r="AA403" i="58"/>
  <c r="Z403" i="58"/>
  <c r="X403" i="58"/>
  <c r="W403" i="58"/>
  <c r="V403" i="58"/>
  <c r="U403" i="58"/>
  <c r="T403" i="58"/>
  <c r="S403" i="58"/>
  <c r="R403" i="58"/>
  <c r="Q403" i="58"/>
  <c r="P403" i="58"/>
  <c r="N403" i="58"/>
  <c r="K403" i="58"/>
  <c r="J403" i="58"/>
  <c r="I403" i="58"/>
  <c r="H403" i="58"/>
  <c r="D403" i="58"/>
  <c r="C403" i="58"/>
  <c r="AC402" i="58"/>
  <c r="AB402" i="58"/>
  <c r="AA402" i="58"/>
  <c r="Z402" i="58"/>
  <c r="X402" i="58"/>
  <c r="W402" i="58"/>
  <c r="V402" i="58"/>
  <c r="U402" i="58"/>
  <c r="T402" i="58"/>
  <c r="S402" i="58"/>
  <c r="R402" i="58"/>
  <c r="Q402" i="58"/>
  <c r="P402" i="58"/>
  <c r="N402" i="58"/>
  <c r="J402" i="58"/>
  <c r="I402" i="58"/>
  <c r="K402" i="58" s="1"/>
  <c r="H402" i="58"/>
  <c r="D402" i="58"/>
  <c r="C402" i="58"/>
  <c r="AC401" i="58"/>
  <c r="AB401" i="58"/>
  <c r="AA401" i="58"/>
  <c r="Z401" i="58"/>
  <c r="X401" i="58"/>
  <c r="W401" i="58"/>
  <c r="V401" i="58"/>
  <c r="U401" i="58"/>
  <c r="T401" i="58"/>
  <c r="S401" i="58"/>
  <c r="R401" i="58"/>
  <c r="Q401" i="58"/>
  <c r="P401" i="58"/>
  <c r="N401" i="58"/>
  <c r="J401" i="58"/>
  <c r="I401" i="58"/>
  <c r="K401" i="58" s="1"/>
  <c r="H401" i="58"/>
  <c r="D401" i="58"/>
  <c r="C401" i="58"/>
  <c r="AC400" i="58"/>
  <c r="AB400" i="58"/>
  <c r="AA400" i="58"/>
  <c r="Z400" i="58"/>
  <c r="X400" i="58"/>
  <c r="W400" i="58"/>
  <c r="V400" i="58"/>
  <c r="U400" i="58"/>
  <c r="T400" i="58"/>
  <c r="S400" i="58"/>
  <c r="R400" i="58"/>
  <c r="Q400" i="58"/>
  <c r="P400" i="58"/>
  <c r="N400" i="58"/>
  <c r="J400" i="58"/>
  <c r="K400" i="58" s="1"/>
  <c r="I400" i="58"/>
  <c r="H400" i="58"/>
  <c r="D400" i="58"/>
  <c r="C400" i="58"/>
  <c r="AC399" i="58"/>
  <c r="AB399" i="58"/>
  <c r="AA399" i="58"/>
  <c r="Z399" i="58"/>
  <c r="X399" i="58"/>
  <c r="W399" i="58"/>
  <c r="V399" i="58"/>
  <c r="U399" i="58"/>
  <c r="T399" i="58"/>
  <c r="S399" i="58"/>
  <c r="R399" i="58"/>
  <c r="Q399" i="58"/>
  <c r="P399" i="58"/>
  <c r="N399" i="58"/>
  <c r="K399" i="58"/>
  <c r="J399" i="58"/>
  <c r="I399" i="58"/>
  <c r="H399" i="58"/>
  <c r="D399" i="58"/>
  <c r="C399" i="58"/>
  <c r="AC398" i="58"/>
  <c r="AB398" i="58"/>
  <c r="AA398" i="58"/>
  <c r="Z398" i="58"/>
  <c r="X398" i="58"/>
  <c r="W398" i="58"/>
  <c r="V398" i="58"/>
  <c r="U398" i="58"/>
  <c r="T398" i="58"/>
  <c r="S398" i="58"/>
  <c r="R398" i="58"/>
  <c r="Q398" i="58"/>
  <c r="P398" i="58"/>
  <c r="N398" i="58"/>
  <c r="J398" i="58"/>
  <c r="I398" i="58"/>
  <c r="K398" i="58" s="1"/>
  <c r="H398" i="58"/>
  <c r="D398" i="58"/>
  <c r="C398" i="58"/>
  <c r="AC397" i="58"/>
  <c r="AB397" i="58"/>
  <c r="AA397" i="58"/>
  <c r="Z397" i="58"/>
  <c r="X397" i="58"/>
  <c r="W397" i="58"/>
  <c r="V397" i="58"/>
  <c r="U397" i="58"/>
  <c r="T397" i="58"/>
  <c r="S397" i="58"/>
  <c r="R397" i="58"/>
  <c r="Q397" i="58"/>
  <c r="P397" i="58"/>
  <c r="N397" i="58"/>
  <c r="J397" i="58"/>
  <c r="I397" i="58"/>
  <c r="K397" i="58" s="1"/>
  <c r="H397" i="58"/>
  <c r="D397" i="58"/>
  <c r="C397" i="58"/>
  <c r="AC396" i="58"/>
  <c r="AB396" i="58"/>
  <c r="AA396" i="58"/>
  <c r="Z396" i="58"/>
  <c r="X396" i="58"/>
  <c r="W396" i="58"/>
  <c r="V396" i="58"/>
  <c r="U396" i="58"/>
  <c r="T396" i="58"/>
  <c r="S396" i="58"/>
  <c r="R396" i="58"/>
  <c r="Q396" i="58"/>
  <c r="P396" i="58"/>
  <c r="N396" i="58"/>
  <c r="J396" i="58"/>
  <c r="I396" i="58"/>
  <c r="K396" i="58" s="1"/>
  <c r="H396" i="58"/>
  <c r="D396" i="58"/>
  <c r="C396" i="58"/>
  <c r="AC395" i="58"/>
  <c r="AB395" i="58"/>
  <c r="AA395" i="58"/>
  <c r="Z395" i="58"/>
  <c r="X395" i="58"/>
  <c r="W395" i="58"/>
  <c r="V395" i="58"/>
  <c r="U395" i="58"/>
  <c r="T395" i="58"/>
  <c r="S395" i="58"/>
  <c r="R395" i="58"/>
  <c r="Q395" i="58"/>
  <c r="P395" i="58"/>
  <c r="N395" i="58"/>
  <c r="K395" i="58"/>
  <c r="J395" i="58"/>
  <c r="I395" i="58"/>
  <c r="H395" i="58"/>
  <c r="D395" i="58"/>
  <c r="C395" i="58"/>
  <c r="AC394" i="58"/>
  <c r="AB394" i="58"/>
  <c r="AA394" i="58"/>
  <c r="Z394" i="58"/>
  <c r="X394" i="58"/>
  <c r="W394" i="58"/>
  <c r="V394" i="58"/>
  <c r="U394" i="58"/>
  <c r="T394" i="58"/>
  <c r="S394" i="58"/>
  <c r="R394" i="58"/>
  <c r="Q394" i="58"/>
  <c r="P394" i="58"/>
  <c r="N394" i="58"/>
  <c r="J394" i="58"/>
  <c r="I394" i="58"/>
  <c r="K394" i="58" s="1"/>
  <c r="H394" i="58"/>
  <c r="D394" i="58"/>
  <c r="C394" i="58"/>
  <c r="AC393" i="58"/>
  <c r="AB393" i="58"/>
  <c r="AA393" i="58"/>
  <c r="Z393" i="58"/>
  <c r="X393" i="58"/>
  <c r="W393" i="58"/>
  <c r="V393" i="58"/>
  <c r="U393" i="58"/>
  <c r="T393" i="58"/>
  <c r="S393" i="58"/>
  <c r="R393" i="58"/>
  <c r="Q393" i="58"/>
  <c r="P393" i="58"/>
  <c r="N393" i="58"/>
  <c r="J393" i="58"/>
  <c r="I393" i="58"/>
  <c r="K393" i="58" s="1"/>
  <c r="H393" i="58"/>
  <c r="D393" i="58"/>
  <c r="C393" i="58"/>
  <c r="AC392" i="58"/>
  <c r="AB392" i="58"/>
  <c r="AA392" i="58"/>
  <c r="Z392" i="58"/>
  <c r="X392" i="58"/>
  <c r="W392" i="58"/>
  <c r="V392" i="58"/>
  <c r="U392" i="58"/>
  <c r="T392" i="58"/>
  <c r="S392" i="58"/>
  <c r="R392" i="58"/>
  <c r="Q392" i="58"/>
  <c r="P392" i="58"/>
  <c r="N392" i="58"/>
  <c r="J392" i="58"/>
  <c r="I392" i="58"/>
  <c r="K392" i="58" s="1"/>
  <c r="H392" i="58"/>
  <c r="D392" i="58"/>
  <c r="C392" i="58"/>
  <c r="AC391" i="58"/>
  <c r="AB391" i="58"/>
  <c r="AA391" i="58"/>
  <c r="Z391" i="58"/>
  <c r="X391" i="58"/>
  <c r="W391" i="58"/>
  <c r="V391" i="58"/>
  <c r="U391" i="58"/>
  <c r="T391" i="58"/>
  <c r="S391" i="58"/>
  <c r="R391" i="58"/>
  <c r="Q391" i="58"/>
  <c r="P391" i="58"/>
  <c r="N391" i="58"/>
  <c r="K391" i="58"/>
  <c r="J391" i="58"/>
  <c r="I391" i="58"/>
  <c r="H391" i="58"/>
  <c r="D391" i="58"/>
  <c r="C391" i="58"/>
  <c r="AC390" i="58"/>
  <c r="AB390" i="58"/>
  <c r="AA390" i="58"/>
  <c r="Z390" i="58"/>
  <c r="X390" i="58"/>
  <c r="W390" i="58"/>
  <c r="V390" i="58"/>
  <c r="U390" i="58"/>
  <c r="T390" i="58"/>
  <c r="S390" i="58"/>
  <c r="R390" i="58"/>
  <c r="Q390" i="58"/>
  <c r="P390" i="58"/>
  <c r="N390" i="58"/>
  <c r="J390" i="58"/>
  <c r="I390" i="58"/>
  <c r="K390" i="58" s="1"/>
  <c r="H390" i="58"/>
  <c r="D390" i="58"/>
  <c r="C390" i="58"/>
  <c r="AC389" i="58"/>
  <c r="AB389" i="58"/>
  <c r="AA389" i="58"/>
  <c r="Z389" i="58"/>
  <c r="X389" i="58"/>
  <c r="W389" i="58"/>
  <c r="V389" i="58"/>
  <c r="U389" i="58"/>
  <c r="T389" i="58"/>
  <c r="S389" i="58"/>
  <c r="R389" i="58"/>
  <c r="Q389" i="58"/>
  <c r="P389" i="58"/>
  <c r="N389" i="58"/>
  <c r="J389" i="58"/>
  <c r="I389" i="58"/>
  <c r="K389" i="58" s="1"/>
  <c r="H389" i="58"/>
  <c r="D389" i="58"/>
  <c r="C389" i="58"/>
  <c r="AC388" i="58"/>
  <c r="AB388" i="58"/>
  <c r="AA388" i="58"/>
  <c r="Z388" i="58"/>
  <c r="X388" i="58"/>
  <c r="W388" i="58"/>
  <c r="V388" i="58"/>
  <c r="U388" i="58"/>
  <c r="T388" i="58"/>
  <c r="S388" i="58"/>
  <c r="R388" i="58"/>
  <c r="Q388" i="58"/>
  <c r="P388" i="58"/>
  <c r="N388" i="58"/>
  <c r="J388" i="58"/>
  <c r="I388" i="58"/>
  <c r="K388" i="58" s="1"/>
  <c r="H388" i="58"/>
  <c r="D388" i="58"/>
  <c r="C388" i="58"/>
  <c r="AC387" i="58"/>
  <c r="AB387" i="58"/>
  <c r="AA387" i="58"/>
  <c r="Z387" i="58"/>
  <c r="X387" i="58"/>
  <c r="W387" i="58"/>
  <c r="V387" i="58"/>
  <c r="U387" i="58"/>
  <c r="T387" i="58"/>
  <c r="S387" i="58"/>
  <c r="R387" i="58"/>
  <c r="Q387" i="58"/>
  <c r="P387" i="58"/>
  <c r="N387" i="58"/>
  <c r="K387" i="58"/>
  <c r="J387" i="58"/>
  <c r="I387" i="58"/>
  <c r="H387" i="58"/>
  <c r="D387" i="58"/>
  <c r="C387" i="58"/>
  <c r="AC386" i="58"/>
  <c r="AB386" i="58"/>
  <c r="AA386" i="58"/>
  <c r="Z386" i="58"/>
  <c r="X386" i="58"/>
  <c r="W386" i="58"/>
  <c r="V386" i="58"/>
  <c r="U386" i="58"/>
  <c r="T386" i="58"/>
  <c r="S386" i="58"/>
  <c r="R386" i="58"/>
  <c r="Q386" i="58"/>
  <c r="P386" i="58"/>
  <c r="N386" i="58"/>
  <c r="J386" i="58"/>
  <c r="K386" i="58" s="1"/>
  <c r="I386" i="58"/>
  <c r="H386" i="58"/>
  <c r="D386" i="58"/>
  <c r="C386" i="58"/>
  <c r="AC385" i="58"/>
  <c r="AB385" i="58"/>
  <c r="AA385" i="58"/>
  <c r="Z385" i="58"/>
  <c r="X385" i="58"/>
  <c r="W385" i="58"/>
  <c r="V385" i="58"/>
  <c r="U385" i="58"/>
  <c r="T385" i="58"/>
  <c r="S385" i="58"/>
  <c r="R385" i="58"/>
  <c r="Q385" i="58"/>
  <c r="P385" i="58"/>
  <c r="N385" i="58"/>
  <c r="J385" i="58"/>
  <c r="I385" i="58"/>
  <c r="K385" i="58" s="1"/>
  <c r="H385" i="58"/>
  <c r="D385" i="58"/>
  <c r="C385" i="58"/>
  <c r="AC384" i="58"/>
  <c r="AB384" i="58"/>
  <c r="AA384" i="58"/>
  <c r="Z384" i="58"/>
  <c r="X384" i="58"/>
  <c r="W384" i="58"/>
  <c r="V384" i="58"/>
  <c r="U384" i="58"/>
  <c r="T384" i="58"/>
  <c r="S384" i="58"/>
  <c r="R384" i="58"/>
  <c r="Q384" i="58"/>
  <c r="P384" i="58"/>
  <c r="N384" i="58"/>
  <c r="J384" i="58"/>
  <c r="I384" i="58"/>
  <c r="K384" i="58" s="1"/>
  <c r="H384" i="58"/>
  <c r="D384" i="58"/>
  <c r="C384" i="58"/>
  <c r="AC383" i="58"/>
  <c r="AB383" i="58"/>
  <c r="AA383" i="58"/>
  <c r="Z383" i="58"/>
  <c r="X383" i="58"/>
  <c r="W383" i="58"/>
  <c r="V383" i="58"/>
  <c r="U383" i="58"/>
  <c r="T383" i="58"/>
  <c r="S383" i="58"/>
  <c r="R383" i="58"/>
  <c r="Q383" i="58"/>
  <c r="P383" i="58"/>
  <c r="N383" i="58"/>
  <c r="K383" i="58"/>
  <c r="J383" i="58"/>
  <c r="I383" i="58"/>
  <c r="H383" i="58"/>
  <c r="D383" i="58"/>
  <c r="C383" i="58"/>
  <c r="AC382" i="58"/>
  <c r="AB382" i="58"/>
  <c r="AA382" i="58"/>
  <c r="Z382" i="58"/>
  <c r="X382" i="58"/>
  <c r="W382" i="58"/>
  <c r="V382" i="58"/>
  <c r="U382" i="58"/>
  <c r="T382" i="58"/>
  <c r="S382" i="58"/>
  <c r="R382" i="58"/>
  <c r="Q382" i="58"/>
  <c r="P382" i="58"/>
  <c r="N382" i="58"/>
  <c r="J382" i="58"/>
  <c r="I382" i="58"/>
  <c r="K382" i="58" s="1"/>
  <c r="H382" i="58"/>
  <c r="D382" i="58"/>
  <c r="C382" i="58"/>
  <c r="AC381" i="58"/>
  <c r="AB381" i="58"/>
  <c r="AA381" i="58"/>
  <c r="Z381" i="58"/>
  <c r="X381" i="58"/>
  <c r="W381" i="58"/>
  <c r="V381" i="58"/>
  <c r="U381" i="58"/>
  <c r="T381" i="58"/>
  <c r="S381" i="58"/>
  <c r="R381" i="58"/>
  <c r="Q381" i="58"/>
  <c r="P381" i="58"/>
  <c r="N381" i="58"/>
  <c r="J381" i="58"/>
  <c r="I381" i="58"/>
  <c r="K381" i="58" s="1"/>
  <c r="H381" i="58"/>
  <c r="D381" i="58"/>
  <c r="C381" i="58"/>
  <c r="AC380" i="58"/>
  <c r="AB380" i="58"/>
  <c r="AA380" i="58"/>
  <c r="Z380" i="58"/>
  <c r="X380" i="58"/>
  <c r="W380" i="58"/>
  <c r="V380" i="58"/>
  <c r="U380" i="58"/>
  <c r="T380" i="58"/>
  <c r="S380" i="58"/>
  <c r="R380" i="58"/>
  <c r="Q380" i="58"/>
  <c r="P380" i="58"/>
  <c r="N380" i="58"/>
  <c r="J380" i="58"/>
  <c r="I380" i="58"/>
  <c r="K380" i="58" s="1"/>
  <c r="H380" i="58"/>
  <c r="D380" i="58"/>
  <c r="C380" i="58"/>
  <c r="AC379" i="58"/>
  <c r="AB379" i="58"/>
  <c r="AA379" i="58"/>
  <c r="Z379" i="58"/>
  <c r="X379" i="58"/>
  <c r="W379" i="58"/>
  <c r="V379" i="58"/>
  <c r="U379" i="58"/>
  <c r="T379" i="58"/>
  <c r="S379" i="58"/>
  <c r="R379" i="58"/>
  <c r="Q379" i="58"/>
  <c r="P379" i="58"/>
  <c r="N379" i="58"/>
  <c r="K379" i="58"/>
  <c r="J379" i="58"/>
  <c r="I379" i="58"/>
  <c r="H379" i="58"/>
  <c r="D379" i="58"/>
  <c r="C379" i="58"/>
  <c r="AC378" i="58"/>
  <c r="AB378" i="58"/>
  <c r="AA378" i="58"/>
  <c r="Z378" i="58"/>
  <c r="X378" i="58"/>
  <c r="W378" i="58"/>
  <c r="V378" i="58"/>
  <c r="U378" i="58"/>
  <c r="T378" i="58"/>
  <c r="S378" i="58"/>
  <c r="R378" i="58"/>
  <c r="Q378" i="58"/>
  <c r="P378" i="58"/>
  <c r="N378" i="58"/>
  <c r="J378" i="58"/>
  <c r="K378" i="58" s="1"/>
  <c r="I378" i="58"/>
  <c r="H378" i="58"/>
  <c r="D378" i="58"/>
  <c r="C378" i="58"/>
  <c r="AC377" i="58"/>
  <c r="AB377" i="58"/>
  <c r="AA377" i="58"/>
  <c r="Z377" i="58"/>
  <c r="X377" i="58"/>
  <c r="W377" i="58"/>
  <c r="V377" i="58"/>
  <c r="U377" i="58"/>
  <c r="T377" i="58"/>
  <c r="S377" i="58"/>
  <c r="R377" i="58"/>
  <c r="Q377" i="58"/>
  <c r="P377" i="58"/>
  <c r="N377" i="58"/>
  <c r="J377" i="58"/>
  <c r="I377" i="58"/>
  <c r="K377" i="58" s="1"/>
  <c r="H377" i="58"/>
  <c r="D377" i="58"/>
  <c r="C377" i="58"/>
  <c r="AC376" i="58"/>
  <c r="AB376" i="58"/>
  <c r="AA376" i="58"/>
  <c r="Z376" i="58"/>
  <c r="X376" i="58"/>
  <c r="W376" i="58"/>
  <c r="V376" i="58"/>
  <c r="U376" i="58"/>
  <c r="T376" i="58"/>
  <c r="S376" i="58"/>
  <c r="R376" i="58"/>
  <c r="Q376" i="58"/>
  <c r="P376" i="58"/>
  <c r="N376" i="58"/>
  <c r="J376" i="58"/>
  <c r="I376" i="58"/>
  <c r="K376" i="58" s="1"/>
  <c r="H376" i="58"/>
  <c r="D376" i="58"/>
  <c r="C376" i="58"/>
  <c r="AC375" i="58"/>
  <c r="AB375" i="58"/>
  <c r="AA375" i="58"/>
  <c r="Z375" i="58"/>
  <c r="X375" i="58"/>
  <c r="W375" i="58"/>
  <c r="V375" i="58"/>
  <c r="U375" i="58"/>
  <c r="T375" i="58"/>
  <c r="S375" i="58"/>
  <c r="R375" i="58"/>
  <c r="Q375" i="58"/>
  <c r="P375" i="58"/>
  <c r="N375" i="58"/>
  <c r="K375" i="58"/>
  <c r="J375" i="58"/>
  <c r="I375" i="58"/>
  <c r="H375" i="58"/>
  <c r="D375" i="58"/>
  <c r="C375" i="58"/>
  <c r="AC374" i="58"/>
  <c r="AB374" i="58"/>
  <c r="AA374" i="58"/>
  <c r="Z374" i="58"/>
  <c r="X374" i="58"/>
  <c r="W374" i="58"/>
  <c r="V374" i="58"/>
  <c r="U374" i="58"/>
  <c r="T374" i="58"/>
  <c r="S374" i="58"/>
  <c r="R374" i="58"/>
  <c r="Q374" i="58"/>
  <c r="P374" i="58"/>
  <c r="N374" i="58"/>
  <c r="J374" i="58"/>
  <c r="I374" i="58"/>
  <c r="K374" i="58" s="1"/>
  <c r="H374" i="58"/>
  <c r="D374" i="58"/>
  <c r="C374" i="58"/>
  <c r="AC373" i="58"/>
  <c r="AB373" i="58"/>
  <c r="AA373" i="58"/>
  <c r="Z373" i="58"/>
  <c r="X373" i="58"/>
  <c r="W373" i="58"/>
  <c r="V373" i="58"/>
  <c r="U373" i="58"/>
  <c r="T373" i="58"/>
  <c r="S373" i="58"/>
  <c r="R373" i="58"/>
  <c r="Q373" i="58"/>
  <c r="P373" i="58"/>
  <c r="N373" i="58"/>
  <c r="J373" i="58"/>
  <c r="I373" i="58"/>
  <c r="K373" i="58" s="1"/>
  <c r="H373" i="58"/>
  <c r="D373" i="58"/>
  <c r="C373" i="58"/>
  <c r="AC372" i="58"/>
  <c r="AB372" i="58"/>
  <c r="AA372" i="58"/>
  <c r="Z372" i="58"/>
  <c r="X372" i="58"/>
  <c r="W372" i="58"/>
  <c r="V372" i="58"/>
  <c r="U372" i="58"/>
  <c r="T372" i="58"/>
  <c r="S372" i="58"/>
  <c r="R372" i="58"/>
  <c r="Q372" i="58"/>
  <c r="P372" i="58"/>
  <c r="N372" i="58"/>
  <c r="J372" i="58"/>
  <c r="I372" i="58"/>
  <c r="K372" i="58" s="1"/>
  <c r="H372" i="58"/>
  <c r="D372" i="58"/>
  <c r="C372" i="58"/>
  <c r="AC371" i="58"/>
  <c r="AB371" i="58"/>
  <c r="AA371" i="58"/>
  <c r="Z371" i="58"/>
  <c r="X371" i="58"/>
  <c r="W371" i="58"/>
  <c r="V371" i="58"/>
  <c r="U371" i="58"/>
  <c r="T371" i="58"/>
  <c r="S371" i="58"/>
  <c r="R371" i="58"/>
  <c r="Q371" i="58"/>
  <c r="P371" i="58"/>
  <c r="N371" i="58"/>
  <c r="K371" i="58"/>
  <c r="J371" i="58"/>
  <c r="I371" i="58"/>
  <c r="H371" i="58"/>
  <c r="D371" i="58"/>
  <c r="C371" i="58"/>
  <c r="AC370" i="58"/>
  <c r="AB370" i="58"/>
  <c r="AA370" i="58"/>
  <c r="Z370" i="58"/>
  <c r="X370" i="58"/>
  <c r="W370" i="58"/>
  <c r="V370" i="58"/>
  <c r="U370" i="58"/>
  <c r="T370" i="58"/>
  <c r="S370" i="58"/>
  <c r="R370" i="58"/>
  <c r="Q370" i="58"/>
  <c r="P370" i="58"/>
  <c r="N370" i="58"/>
  <c r="J370" i="58"/>
  <c r="K370" i="58" s="1"/>
  <c r="I370" i="58"/>
  <c r="H370" i="58"/>
  <c r="D370" i="58"/>
  <c r="C370" i="58"/>
  <c r="AC369" i="58"/>
  <c r="AB369" i="58"/>
  <c r="AA369" i="58"/>
  <c r="Z369" i="58"/>
  <c r="X369" i="58"/>
  <c r="W369" i="58"/>
  <c r="V369" i="58"/>
  <c r="U369" i="58"/>
  <c r="T369" i="58"/>
  <c r="S369" i="58"/>
  <c r="R369" i="58"/>
  <c r="Q369" i="58"/>
  <c r="P369" i="58"/>
  <c r="N369" i="58"/>
  <c r="J369" i="58"/>
  <c r="I369" i="58"/>
  <c r="K369" i="58" s="1"/>
  <c r="H369" i="58"/>
  <c r="D369" i="58"/>
  <c r="C369" i="58"/>
  <c r="AC368" i="58"/>
  <c r="AB368" i="58"/>
  <c r="AA368" i="58"/>
  <c r="Z368" i="58"/>
  <c r="X368" i="58"/>
  <c r="W368" i="58"/>
  <c r="V368" i="58"/>
  <c r="U368" i="58"/>
  <c r="T368" i="58"/>
  <c r="S368" i="58"/>
  <c r="R368" i="58"/>
  <c r="Q368" i="58"/>
  <c r="P368" i="58"/>
  <c r="N368" i="58"/>
  <c r="J368" i="58"/>
  <c r="I368" i="58"/>
  <c r="K368" i="58" s="1"/>
  <c r="H368" i="58"/>
  <c r="D368" i="58"/>
  <c r="C368" i="58"/>
  <c r="AC367" i="58"/>
  <c r="AB367" i="58"/>
  <c r="AA367" i="58"/>
  <c r="Z367" i="58"/>
  <c r="X367" i="58"/>
  <c r="W367" i="58"/>
  <c r="V367" i="58"/>
  <c r="U367" i="58"/>
  <c r="T367" i="58"/>
  <c r="S367" i="58"/>
  <c r="R367" i="58"/>
  <c r="Q367" i="58"/>
  <c r="P367" i="58"/>
  <c r="N367" i="58"/>
  <c r="K367" i="58"/>
  <c r="J367" i="58"/>
  <c r="I367" i="58"/>
  <c r="H367" i="58"/>
  <c r="D367" i="58"/>
  <c r="C367" i="58"/>
  <c r="AC366" i="58"/>
  <c r="AB366" i="58"/>
  <c r="AA366" i="58"/>
  <c r="Z366" i="58"/>
  <c r="X366" i="58"/>
  <c r="W366" i="58"/>
  <c r="V366" i="58"/>
  <c r="U366" i="58"/>
  <c r="T366" i="58"/>
  <c r="S366" i="58"/>
  <c r="R366" i="58"/>
  <c r="Q366" i="58"/>
  <c r="P366" i="58"/>
  <c r="N366" i="58"/>
  <c r="J366" i="58"/>
  <c r="K366" i="58" s="1"/>
  <c r="I366" i="58"/>
  <c r="H366" i="58"/>
  <c r="D366" i="58"/>
  <c r="C366" i="58"/>
  <c r="AC365" i="58"/>
  <c r="AB365" i="58"/>
  <c r="AA365" i="58"/>
  <c r="Z365" i="58"/>
  <c r="X365" i="58"/>
  <c r="W365" i="58"/>
  <c r="V365" i="58"/>
  <c r="U365" i="58"/>
  <c r="T365" i="58"/>
  <c r="S365" i="58"/>
  <c r="R365" i="58"/>
  <c r="Q365" i="58"/>
  <c r="P365" i="58"/>
  <c r="N365" i="58"/>
  <c r="J365" i="58"/>
  <c r="I365" i="58"/>
  <c r="K365" i="58" s="1"/>
  <c r="H365" i="58"/>
  <c r="D365" i="58"/>
  <c r="C365" i="58"/>
  <c r="AC364" i="58"/>
  <c r="AB364" i="58"/>
  <c r="AA364" i="58"/>
  <c r="Z364" i="58"/>
  <c r="X364" i="58"/>
  <c r="W364" i="58"/>
  <c r="V364" i="58"/>
  <c r="U364" i="58"/>
  <c r="T364" i="58"/>
  <c r="S364" i="58"/>
  <c r="R364" i="58"/>
  <c r="Q364" i="58"/>
  <c r="P364" i="58"/>
  <c r="N364" i="58"/>
  <c r="J364" i="58"/>
  <c r="I364" i="58"/>
  <c r="K364" i="58" s="1"/>
  <c r="H364" i="58"/>
  <c r="D364" i="58"/>
  <c r="C364" i="58"/>
  <c r="AC363" i="58"/>
  <c r="AB363" i="58"/>
  <c r="AA363" i="58"/>
  <c r="Z363" i="58"/>
  <c r="X363" i="58"/>
  <c r="W363" i="58"/>
  <c r="V363" i="58"/>
  <c r="U363" i="58"/>
  <c r="T363" i="58"/>
  <c r="S363" i="58"/>
  <c r="R363" i="58"/>
  <c r="Q363" i="58"/>
  <c r="P363" i="58"/>
  <c r="N363" i="58"/>
  <c r="K363" i="58"/>
  <c r="J363" i="58"/>
  <c r="I363" i="58"/>
  <c r="H363" i="58"/>
  <c r="D363" i="58"/>
  <c r="C363" i="58"/>
  <c r="AC362" i="58"/>
  <c r="AB362" i="58"/>
  <c r="AA362" i="58"/>
  <c r="Z362" i="58"/>
  <c r="X362" i="58"/>
  <c r="W362" i="58"/>
  <c r="V362" i="58"/>
  <c r="U362" i="58"/>
  <c r="T362" i="58"/>
  <c r="S362" i="58"/>
  <c r="R362" i="58"/>
  <c r="Q362" i="58"/>
  <c r="P362" i="58"/>
  <c r="N362" i="58"/>
  <c r="J362" i="58"/>
  <c r="K362" i="58" s="1"/>
  <c r="I362" i="58"/>
  <c r="H362" i="58"/>
  <c r="D362" i="58"/>
  <c r="C362" i="58"/>
  <c r="AC361" i="58"/>
  <c r="AB361" i="58"/>
  <c r="AA361" i="58"/>
  <c r="Z361" i="58"/>
  <c r="X361" i="58"/>
  <c r="W361" i="58"/>
  <c r="V361" i="58"/>
  <c r="U361" i="58"/>
  <c r="T361" i="58"/>
  <c r="S361" i="58"/>
  <c r="R361" i="58"/>
  <c r="Q361" i="58"/>
  <c r="P361" i="58"/>
  <c r="N361" i="58"/>
  <c r="J361" i="58"/>
  <c r="I361" i="58"/>
  <c r="K361" i="58" s="1"/>
  <c r="H361" i="58"/>
  <c r="D361" i="58"/>
  <c r="C361" i="58"/>
  <c r="AC360" i="58"/>
  <c r="AB360" i="58"/>
  <c r="AA360" i="58"/>
  <c r="Z360" i="58"/>
  <c r="X360" i="58"/>
  <c r="W360" i="58"/>
  <c r="V360" i="58"/>
  <c r="U360" i="58"/>
  <c r="T360" i="58"/>
  <c r="S360" i="58"/>
  <c r="R360" i="58"/>
  <c r="Q360" i="58"/>
  <c r="P360" i="58"/>
  <c r="N360" i="58"/>
  <c r="J360" i="58"/>
  <c r="I360" i="58"/>
  <c r="K360" i="58" s="1"/>
  <c r="H360" i="58"/>
  <c r="D360" i="58"/>
  <c r="C360" i="58"/>
  <c r="AC359" i="58"/>
  <c r="AB359" i="58"/>
  <c r="AA359" i="58"/>
  <c r="Z359" i="58"/>
  <c r="X359" i="58"/>
  <c r="W359" i="58"/>
  <c r="V359" i="58"/>
  <c r="U359" i="58"/>
  <c r="T359" i="58"/>
  <c r="S359" i="58"/>
  <c r="R359" i="58"/>
  <c r="Q359" i="58"/>
  <c r="P359" i="58"/>
  <c r="N359" i="58"/>
  <c r="K359" i="58"/>
  <c r="J359" i="58"/>
  <c r="I359" i="58"/>
  <c r="H359" i="58"/>
  <c r="D359" i="58"/>
  <c r="C359" i="58"/>
  <c r="AC358" i="58"/>
  <c r="AB358" i="58"/>
  <c r="AA358" i="58"/>
  <c r="Z358" i="58"/>
  <c r="X358" i="58"/>
  <c r="W358" i="58"/>
  <c r="V358" i="58"/>
  <c r="U358" i="58"/>
  <c r="T358" i="58"/>
  <c r="S358" i="58"/>
  <c r="R358" i="58"/>
  <c r="Q358" i="58"/>
  <c r="P358" i="58"/>
  <c r="N358" i="58"/>
  <c r="J358" i="58"/>
  <c r="I358" i="58"/>
  <c r="K358" i="58" s="1"/>
  <c r="H358" i="58"/>
  <c r="D358" i="58"/>
  <c r="C358" i="58"/>
  <c r="AC357" i="58"/>
  <c r="AB357" i="58"/>
  <c r="AA357" i="58"/>
  <c r="Z357" i="58"/>
  <c r="X357" i="58"/>
  <c r="W357" i="58"/>
  <c r="V357" i="58"/>
  <c r="U357" i="58"/>
  <c r="T357" i="58"/>
  <c r="S357" i="58"/>
  <c r="R357" i="58"/>
  <c r="Q357" i="58"/>
  <c r="P357" i="58"/>
  <c r="N357" i="58"/>
  <c r="J357" i="58"/>
  <c r="I357" i="58"/>
  <c r="K357" i="58" s="1"/>
  <c r="H357" i="58"/>
  <c r="D357" i="58"/>
  <c r="C357" i="58"/>
  <c r="AC356" i="58"/>
  <c r="AB356" i="58"/>
  <c r="AA356" i="58"/>
  <c r="Z356" i="58"/>
  <c r="X356" i="58"/>
  <c r="W356" i="58"/>
  <c r="V356" i="58"/>
  <c r="U356" i="58"/>
  <c r="T356" i="58"/>
  <c r="S356" i="58"/>
  <c r="R356" i="58"/>
  <c r="Q356" i="58"/>
  <c r="P356" i="58"/>
  <c r="N356" i="58"/>
  <c r="J356" i="58"/>
  <c r="K356" i="58" s="1"/>
  <c r="I356" i="58"/>
  <c r="H356" i="58"/>
  <c r="D356" i="58"/>
  <c r="C356" i="58"/>
  <c r="AC355" i="58"/>
  <c r="AB355" i="58"/>
  <c r="AA355" i="58"/>
  <c r="Z355" i="58"/>
  <c r="X355" i="58"/>
  <c r="W355" i="58"/>
  <c r="V355" i="58"/>
  <c r="U355" i="58"/>
  <c r="T355" i="58"/>
  <c r="S355" i="58"/>
  <c r="R355" i="58"/>
  <c r="Q355" i="58"/>
  <c r="P355" i="58"/>
  <c r="N355" i="58"/>
  <c r="K355" i="58"/>
  <c r="J355" i="58"/>
  <c r="I355" i="58"/>
  <c r="H355" i="58"/>
  <c r="D355" i="58"/>
  <c r="C355" i="58"/>
  <c r="AC354" i="58"/>
  <c r="AB354" i="58"/>
  <c r="AA354" i="58"/>
  <c r="Z354" i="58"/>
  <c r="X354" i="58"/>
  <c r="W354" i="58"/>
  <c r="V354" i="58"/>
  <c r="U354" i="58"/>
  <c r="T354" i="58"/>
  <c r="S354" i="58"/>
  <c r="R354" i="58"/>
  <c r="Q354" i="58"/>
  <c r="P354" i="58"/>
  <c r="N354" i="58"/>
  <c r="J354" i="58"/>
  <c r="I354" i="58"/>
  <c r="K354" i="58" s="1"/>
  <c r="H354" i="58"/>
  <c r="D354" i="58"/>
  <c r="C354" i="58"/>
  <c r="AC353" i="58"/>
  <c r="AB353" i="58"/>
  <c r="AA353" i="58"/>
  <c r="Z353" i="58"/>
  <c r="X353" i="58"/>
  <c r="W353" i="58"/>
  <c r="V353" i="58"/>
  <c r="U353" i="58"/>
  <c r="T353" i="58"/>
  <c r="S353" i="58"/>
  <c r="R353" i="58"/>
  <c r="Q353" i="58"/>
  <c r="P353" i="58"/>
  <c r="N353" i="58"/>
  <c r="J353" i="58"/>
  <c r="I353" i="58"/>
  <c r="K353" i="58" s="1"/>
  <c r="H353" i="58"/>
  <c r="D353" i="58"/>
  <c r="C353" i="58"/>
  <c r="AC352" i="58"/>
  <c r="AB352" i="58"/>
  <c r="AA352" i="58"/>
  <c r="Z352" i="58"/>
  <c r="X352" i="58"/>
  <c r="W352" i="58"/>
  <c r="V352" i="58"/>
  <c r="U352" i="58"/>
  <c r="T352" i="58"/>
  <c r="S352" i="58"/>
  <c r="R352" i="58"/>
  <c r="Q352" i="58"/>
  <c r="P352" i="58"/>
  <c r="N352" i="58"/>
  <c r="J352" i="58"/>
  <c r="K352" i="58" s="1"/>
  <c r="I352" i="58"/>
  <c r="H352" i="58"/>
  <c r="D352" i="58"/>
  <c r="C352" i="58"/>
  <c r="AC351" i="58"/>
  <c r="AB351" i="58"/>
  <c r="AA351" i="58"/>
  <c r="Z351" i="58"/>
  <c r="X351" i="58"/>
  <c r="W351" i="58"/>
  <c r="V351" i="58"/>
  <c r="U351" i="58"/>
  <c r="T351" i="58"/>
  <c r="S351" i="58"/>
  <c r="R351" i="58"/>
  <c r="Q351" i="58"/>
  <c r="P351" i="58"/>
  <c r="N351" i="58"/>
  <c r="K351" i="58"/>
  <c r="J351" i="58"/>
  <c r="I351" i="58"/>
  <c r="H351" i="58"/>
  <c r="D351" i="58"/>
  <c r="C351" i="58"/>
  <c r="AC350" i="58"/>
  <c r="AB350" i="58"/>
  <c r="AA350" i="58"/>
  <c r="Z350" i="58"/>
  <c r="X350" i="58"/>
  <c r="W350" i="58"/>
  <c r="V350" i="58"/>
  <c r="U350" i="58"/>
  <c r="T350" i="58"/>
  <c r="S350" i="58"/>
  <c r="R350" i="58"/>
  <c r="Q350" i="58"/>
  <c r="P350" i="58"/>
  <c r="N350" i="58"/>
  <c r="J350" i="58"/>
  <c r="I350" i="58"/>
  <c r="K350" i="58" s="1"/>
  <c r="H350" i="58"/>
  <c r="D350" i="58"/>
  <c r="C350" i="58"/>
  <c r="AC349" i="58"/>
  <c r="AB349" i="58"/>
  <c r="AA349" i="58"/>
  <c r="Z349" i="58"/>
  <c r="X349" i="58"/>
  <c r="W349" i="58"/>
  <c r="V349" i="58"/>
  <c r="U349" i="58"/>
  <c r="T349" i="58"/>
  <c r="S349" i="58"/>
  <c r="R349" i="58"/>
  <c r="Q349" i="58"/>
  <c r="P349" i="58"/>
  <c r="N349" i="58"/>
  <c r="J349" i="58"/>
  <c r="I349" i="58"/>
  <c r="K349" i="58" s="1"/>
  <c r="H349" i="58"/>
  <c r="D349" i="58"/>
  <c r="C349" i="58"/>
  <c r="AC348" i="58"/>
  <c r="AB348" i="58"/>
  <c r="AA348" i="58"/>
  <c r="Z348" i="58"/>
  <c r="X348" i="58"/>
  <c r="W348" i="58"/>
  <c r="V348" i="58"/>
  <c r="U348" i="58"/>
  <c r="T348" i="58"/>
  <c r="S348" i="58"/>
  <c r="R348" i="58"/>
  <c r="Q348" i="58"/>
  <c r="P348" i="58"/>
  <c r="N348" i="58"/>
  <c r="J348" i="58"/>
  <c r="I348" i="58"/>
  <c r="K348" i="58" s="1"/>
  <c r="H348" i="58"/>
  <c r="D348" i="58"/>
  <c r="C348" i="58"/>
  <c r="AC347" i="58"/>
  <c r="AB347" i="58"/>
  <c r="AA347" i="58"/>
  <c r="Z347" i="58"/>
  <c r="X347" i="58"/>
  <c r="W347" i="58"/>
  <c r="V347" i="58"/>
  <c r="U347" i="58"/>
  <c r="T347" i="58"/>
  <c r="S347" i="58"/>
  <c r="R347" i="58"/>
  <c r="Q347" i="58"/>
  <c r="P347" i="58"/>
  <c r="N347" i="58"/>
  <c r="K347" i="58"/>
  <c r="J347" i="58"/>
  <c r="I347" i="58"/>
  <c r="H347" i="58"/>
  <c r="D347" i="58"/>
  <c r="C347" i="58"/>
  <c r="AC346" i="58"/>
  <c r="AB346" i="58"/>
  <c r="AA346" i="58"/>
  <c r="Z346" i="58"/>
  <c r="X346" i="58"/>
  <c r="W346" i="58"/>
  <c r="V346" i="58"/>
  <c r="U346" i="58"/>
  <c r="T346" i="58"/>
  <c r="S346" i="58"/>
  <c r="R346" i="58"/>
  <c r="Q346" i="58"/>
  <c r="P346" i="58"/>
  <c r="N346" i="58"/>
  <c r="J346" i="58"/>
  <c r="I346" i="58"/>
  <c r="K346" i="58" s="1"/>
  <c r="H346" i="58"/>
  <c r="D346" i="58"/>
  <c r="C346" i="58"/>
  <c r="AC345" i="58"/>
  <c r="AB345" i="58"/>
  <c r="AA345" i="58"/>
  <c r="Z345" i="58"/>
  <c r="X345" i="58"/>
  <c r="W345" i="58"/>
  <c r="V345" i="58"/>
  <c r="U345" i="58"/>
  <c r="T345" i="58"/>
  <c r="S345" i="58"/>
  <c r="R345" i="58"/>
  <c r="Q345" i="58"/>
  <c r="P345" i="58"/>
  <c r="N345" i="58"/>
  <c r="J345" i="58"/>
  <c r="I345" i="58"/>
  <c r="K345" i="58" s="1"/>
  <c r="H345" i="58"/>
  <c r="D345" i="58"/>
  <c r="C345" i="58"/>
  <c r="AC344" i="58"/>
  <c r="AB344" i="58"/>
  <c r="AA344" i="58"/>
  <c r="Z344" i="58"/>
  <c r="X344" i="58"/>
  <c r="W344" i="58"/>
  <c r="V344" i="58"/>
  <c r="U344" i="58"/>
  <c r="T344" i="58"/>
  <c r="S344" i="58"/>
  <c r="R344" i="58"/>
  <c r="Q344" i="58"/>
  <c r="P344" i="58"/>
  <c r="N344" i="58"/>
  <c r="J344" i="58"/>
  <c r="K344" i="58" s="1"/>
  <c r="I344" i="58"/>
  <c r="H344" i="58"/>
  <c r="D344" i="58"/>
  <c r="C344" i="58"/>
  <c r="AC343" i="58"/>
  <c r="AB343" i="58"/>
  <c r="AA343" i="58"/>
  <c r="Z343" i="58"/>
  <c r="X343" i="58"/>
  <c r="W343" i="58"/>
  <c r="V343" i="58"/>
  <c r="U343" i="58"/>
  <c r="T343" i="58"/>
  <c r="S343" i="58"/>
  <c r="R343" i="58"/>
  <c r="Q343" i="58"/>
  <c r="P343" i="58"/>
  <c r="N343" i="58"/>
  <c r="K343" i="58"/>
  <c r="J343" i="58"/>
  <c r="I343" i="58"/>
  <c r="H343" i="58"/>
  <c r="D343" i="58"/>
  <c r="C343" i="58"/>
  <c r="AC342" i="58"/>
  <c r="AB342" i="58"/>
  <c r="AA342" i="58"/>
  <c r="Z342" i="58"/>
  <c r="X342" i="58"/>
  <c r="W342" i="58"/>
  <c r="V342" i="58"/>
  <c r="U342" i="58"/>
  <c r="T342" i="58"/>
  <c r="S342" i="58"/>
  <c r="R342" i="58"/>
  <c r="Q342" i="58"/>
  <c r="P342" i="58"/>
  <c r="N342" i="58"/>
  <c r="J342" i="58"/>
  <c r="I342" i="58"/>
  <c r="K342" i="58" s="1"/>
  <c r="H342" i="58"/>
  <c r="D342" i="58"/>
  <c r="C342" i="58"/>
  <c r="AC341" i="58"/>
  <c r="AB341" i="58"/>
  <c r="AA341" i="58"/>
  <c r="Z341" i="58"/>
  <c r="X341" i="58"/>
  <c r="W341" i="58"/>
  <c r="V341" i="58"/>
  <c r="U341" i="58"/>
  <c r="T341" i="58"/>
  <c r="S341" i="58"/>
  <c r="R341" i="58"/>
  <c r="Q341" i="58"/>
  <c r="P341" i="58"/>
  <c r="N341" i="58"/>
  <c r="J341" i="58"/>
  <c r="I341" i="58"/>
  <c r="K341" i="58" s="1"/>
  <c r="H341" i="58"/>
  <c r="D341" i="58"/>
  <c r="C341" i="58"/>
  <c r="AB340" i="58"/>
  <c r="AC326" i="58"/>
  <c r="AB326" i="58"/>
  <c r="AA326" i="58"/>
  <c r="Z326" i="58"/>
  <c r="X326" i="58"/>
  <c r="W326" i="58"/>
  <c r="V326" i="58"/>
  <c r="U326" i="58"/>
  <c r="T326" i="58"/>
  <c r="S326" i="58"/>
  <c r="R326" i="58"/>
  <c r="Q326" i="58"/>
  <c r="P326" i="58"/>
  <c r="N326" i="58"/>
  <c r="K326" i="58"/>
  <c r="J326" i="58"/>
  <c r="I326" i="58"/>
  <c r="H326" i="58"/>
  <c r="D326" i="58"/>
  <c r="C326" i="58"/>
  <c r="AC325" i="58"/>
  <c r="AB325" i="58"/>
  <c r="AA325" i="58"/>
  <c r="Z325" i="58"/>
  <c r="X325" i="58"/>
  <c r="W325" i="58"/>
  <c r="V325" i="58"/>
  <c r="U325" i="58"/>
  <c r="T325" i="58"/>
  <c r="S325" i="58"/>
  <c r="R325" i="58"/>
  <c r="Q325" i="58"/>
  <c r="P325" i="58"/>
  <c r="N325" i="58"/>
  <c r="J325" i="58"/>
  <c r="I325" i="58"/>
  <c r="K325" i="58" s="1"/>
  <c r="H325" i="58"/>
  <c r="D325" i="58"/>
  <c r="C325" i="58"/>
  <c r="AC324" i="58"/>
  <c r="AB324" i="58"/>
  <c r="AA324" i="58"/>
  <c r="Z324" i="58"/>
  <c r="X324" i="58"/>
  <c r="W324" i="58"/>
  <c r="V324" i="58"/>
  <c r="U324" i="58"/>
  <c r="T324" i="58"/>
  <c r="S324" i="58"/>
  <c r="R324" i="58"/>
  <c r="Q324" i="58"/>
  <c r="P324" i="58"/>
  <c r="N324" i="58"/>
  <c r="J324" i="58"/>
  <c r="I324" i="58"/>
  <c r="K324" i="58" s="1"/>
  <c r="H324" i="58"/>
  <c r="D324" i="58"/>
  <c r="C324" i="58"/>
  <c r="AC323" i="58"/>
  <c r="AB323" i="58"/>
  <c r="AA323" i="58"/>
  <c r="Z323" i="58"/>
  <c r="X323" i="58"/>
  <c r="W323" i="58"/>
  <c r="V323" i="58"/>
  <c r="U323" i="58"/>
  <c r="T323" i="58"/>
  <c r="S323" i="58"/>
  <c r="R323" i="58"/>
  <c r="Q323" i="58"/>
  <c r="P323" i="58"/>
  <c r="N323" i="58"/>
  <c r="J323" i="58"/>
  <c r="K323" i="58" s="1"/>
  <c r="I323" i="58"/>
  <c r="H323" i="58"/>
  <c r="D323" i="58"/>
  <c r="C323" i="58"/>
  <c r="AC322" i="58"/>
  <c r="AB322" i="58"/>
  <c r="AA322" i="58"/>
  <c r="Z322" i="58"/>
  <c r="X322" i="58"/>
  <c r="W322" i="58"/>
  <c r="V322" i="58"/>
  <c r="U322" i="58"/>
  <c r="T322" i="58"/>
  <c r="S322" i="58"/>
  <c r="R322" i="58"/>
  <c r="Q322" i="58"/>
  <c r="P322" i="58"/>
  <c r="N322" i="58"/>
  <c r="K322" i="58"/>
  <c r="J322" i="58"/>
  <c r="I322" i="58"/>
  <c r="H322" i="58"/>
  <c r="D322" i="58"/>
  <c r="C322" i="58"/>
  <c r="AC321" i="58"/>
  <c r="AB321" i="58"/>
  <c r="AA321" i="58"/>
  <c r="Z321" i="58"/>
  <c r="X321" i="58"/>
  <c r="W321" i="58"/>
  <c r="V321" i="58"/>
  <c r="U321" i="58"/>
  <c r="T321" i="58"/>
  <c r="S321" i="58"/>
  <c r="R321" i="58"/>
  <c r="Q321" i="58"/>
  <c r="P321" i="58"/>
  <c r="N321" i="58"/>
  <c r="J321" i="58"/>
  <c r="I321" i="58"/>
  <c r="K321" i="58" s="1"/>
  <c r="H321" i="58"/>
  <c r="D321" i="58"/>
  <c r="C321" i="58"/>
  <c r="AC320" i="58"/>
  <c r="AB320" i="58"/>
  <c r="AA320" i="58"/>
  <c r="Z320" i="58"/>
  <c r="X320" i="58"/>
  <c r="W320" i="58"/>
  <c r="V320" i="58"/>
  <c r="U320" i="58"/>
  <c r="T320" i="58"/>
  <c r="S320" i="58"/>
  <c r="R320" i="58"/>
  <c r="Q320" i="58"/>
  <c r="P320" i="58"/>
  <c r="N320" i="58"/>
  <c r="J320" i="58"/>
  <c r="I320" i="58"/>
  <c r="K320" i="58" s="1"/>
  <c r="H320" i="58"/>
  <c r="D320" i="58"/>
  <c r="C320" i="58"/>
  <c r="AC319" i="58"/>
  <c r="AB319" i="58"/>
  <c r="AA319" i="58"/>
  <c r="Z319" i="58"/>
  <c r="X319" i="58"/>
  <c r="W319" i="58"/>
  <c r="V319" i="58"/>
  <c r="U319" i="58"/>
  <c r="T319" i="58"/>
  <c r="S319" i="58"/>
  <c r="R319" i="58"/>
  <c r="Q319" i="58"/>
  <c r="P319" i="58"/>
  <c r="N319" i="58"/>
  <c r="J319" i="58"/>
  <c r="K319" i="58" s="1"/>
  <c r="I319" i="58"/>
  <c r="H319" i="58"/>
  <c r="D319" i="58"/>
  <c r="C319" i="58"/>
  <c r="AC318" i="58"/>
  <c r="AB318" i="58"/>
  <c r="AA318" i="58"/>
  <c r="Z318" i="58"/>
  <c r="X318" i="58"/>
  <c r="W318" i="58"/>
  <c r="V318" i="58"/>
  <c r="U318" i="58"/>
  <c r="T318" i="58"/>
  <c r="S318" i="58"/>
  <c r="R318" i="58"/>
  <c r="Q318" i="58"/>
  <c r="P318" i="58"/>
  <c r="N318" i="58"/>
  <c r="K318" i="58"/>
  <c r="J318" i="58"/>
  <c r="I318" i="58"/>
  <c r="H318" i="58"/>
  <c r="D318" i="58"/>
  <c r="C318" i="58"/>
  <c r="AC317" i="58"/>
  <c r="AB317" i="58"/>
  <c r="AA317" i="58"/>
  <c r="Z317" i="58"/>
  <c r="X317" i="58"/>
  <c r="W317" i="58"/>
  <c r="V317" i="58"/>
  <c r="U317" i="58"/>
  <c r="T317" i="58"/>
  <c r="S317" i="58"/>
  <c r="R317" i="58"/>
  <c r="Q317" i="58"/>
  <c r="P317" i="58"/>
  <c r="N317" i="58"/>
  <c r="J317" i="58"/>
  <c r="I317" i="58"/>
  <c r="K317" i="58" s="1"/>
  <c r="H317" i="58"/>
  <c r="D317" i="58"/>
  <c r="C317" i="58"/>
  <c r="AC316" i="58"/>
  <c r="AB316" i="58"/>
  <c r="AA316" i="58"/>
  <c r="Z316" i="58"/>
  <c r="X316" i="58"/>
  <c r="W316" i="58"/>
  <c r="V316" i="58"/>
  <c r="U316" i="58"/>
  <c r="T316" i="58"/>
  <c r="S316" i="58"/>
  <c r="R316" i="58"/>
  <c r="Q316" i="58"/>
  <c r="P316" i="58"/>
  <c r="N316" i="58"/>
  <c r="J316" i="58"/>
  <c r="I316" i="58"/>
  <c r="K316" i="58" s="1"/>
  <c r="H316" i="58"/>
  <c r="D316" i="58"/>
  <c r="C316" i="58"/>
  <c r="AC315" i="58"/>
  <c r="AB315" i="58"/>
  <c r="AA315" i="58"/>
  <c r="Z315" i="58"/>
  <c r="X315" i="58"/>
  <c r="W315" i="58"/>
  <c r="V315" i="58"/>
  <c r="U315" i="58"/>
  <c r="T315" i="58"/>
  <c r="S315" i="58"/>
  <c r="R315" i="58"/>
  <c r="Q315" i="58"/>
  <c r="P315" i="58"/>
  <c r="N315" i="58"/>
  <c r="J315" i="58"/>
  <c r="K315" i="58" s="1"/>
  <c r="I315" i="58"/>
  <c r="H315" i="58"/>
  <c r="D315" i="58"/>
  <c r="C315" i="58"/>
  <c r="AC314" i="58"/>
  <c r="AB314" i="58"/>
  <c r="AA314" i="58"/>
  <c r="Z314" i="58"/>
  <c r="X314" i="58"/>
  <c r="W314" i="58"/>
  <c r="V314" i="58"/>
  <c r="U314" i="58"/>
  <c r="T314" i="58"/>
  <c r="S314" i="58"/>
  <c r="R314" i="58"/>
  <c r="Q314" i="58"/>
  <c r="P314" i="58"/>
  <c r="N314" i="58"/>
  <c r="K314" i="58"/>
  <c r="J314" i="58"/>
  <c r="I314" i="58"/>
  <c r="H314" i="58"/>
  <c r="D314" i="58"/>
  <c r="C314" i="58"/>
  <c r="AC313" i="58"/>
  <c r="AB313" i="58"/>
  <c r="AA313" i="58"/>
  <c r="Z313" i="58"/>
  <c r="X313" i="58"/>
  <c r="W313" i="58"/>
  <c r="V313" i="58"/>
  <c r="U313" i="58"/>
  <c r="T313" i="58"/>
  <c r="S313" i="58"/>
  <c r="R313" i="58"/>
  <c r="Q313" i="58"/>
  <c r="P313" i="58"/>
  <c r="N313" i="58"/>
  <c r="J313" i="58"/>
  <c r="I313" i="58"/>
  <c r="K313" i="58" s="1"/>
  <c r="H313" i="58"/>
  <c r="D313" i="58"/>
  <c r="C313" i="58"/>
  <c r="AC312" i="58"/>
  <c r="AB312" i="58"/>
  <c r="AA312" i="58"/>
  <c r="Z312" i="58"/>
  <c r="X312" i="58"/>
  <c r="W312" i="58"/>
  <c r="V312" i="58"/>
  <c r="U312" i="58"/>
  <c r="T312" i="58"/>
  <c r="S312" i="58"/>
  <c r="R312" i="58"/>
  <c r="Q312" i="58"/>
  <c r="P312" i="58"/>
  <c r="N312" i="58"/>
  <c r="J312" i="58"/>
  <c r="I312" i="58"/>
  <c r="K312" i="58" s="1"/>
  <c r="H312" i="58"/>
  <c r="D312" i="58"/>
  <c r="C312" i="58"/>
  <c r="AC311" i="58"/>
  <c r="AB311" i="58"/>
  <c r="AA311" i="58"/>
  <c r="Z311" i="58"/>
  <c r="X311" i="58"/>
  <c r="W311" i="58"/>
  <c r="V311" i="58"/>
  <c r="U311" i="58"/>
  <c r="T311" i="58"/>
  <c r="S311" i="58"/>
  <c r="R311" i="58"/>
  <c r="Q311" i="58"/>
  <c r="P311" i="58"/>
  <c r="N311" i="58"/>
  <c r="J311" i="58"/>
  <c r="K311" i="58" s="1"/>
  <c r="I311" i="58"/>
  <c r="H311" i="58"/>
  <c r="D311" i="58"/>
  <c r="C311" i="58"/>
  <c r="AC310" i="58"/>
  <c r="AB310" i="58"/>
  <c r="AA310" i="58"/>
  <c r="Z310" i="58"/>
  <c r="X310" i="58"/>
  <c r="W310" i="58"/>
  <c r="V310" i="58"/>
  <c r="U310" i="58"/>
  <c r="T310" i="58"/>
  <c r="S310" i="58"/>
  <c r="R310" i="58"/>
  <c r="Q310" i="58"/>
  <c r="P310" i="58"/>
  <c r="N310" i="58"/>
  <c r="K310" i="58"/>
  <c r="J310" i="58"/>
  <c r="I310" i="58"/>
  <c r="H310" i="58"/>
  <c r="D310" i="58"/>
  <c r="C310" i="58"/>
  <c r="AC309" i="58"/>
  <c r="AB309" i="58"/>
  <c r="AA309" i="58"/>
  <c r="Z309" i="58"/>
  <c r="X309" i="58"/>
  <c r="W309" i="58"/>
  <c r="V309" i="58"/>
  <c r="U309" i="58"/>
  <c r="T309" i="58"/>
  <c r="S309" i="58"/>
  <c r="R309" i="58"/>
  <c r="Q309" i="58"/>
  <c r="P309" i="58"/>
  <c r="N309" i="58"/>
  <c r="J309" i="58"/>
  <c r="I309" i="58"/>
  <c r="K309" i="58" s="1"/>
  <c r="H309" i="58"/>
  <c r="D309" i="58"/>
  <c r="C309" i="58"/>
  <c r="AC308" i="58"/>
  <c r="AB308" i="58"/>
  <c r="AA308" i="58"/>
  <c r="Z308" i="58"/>
  <c r="X308" i="58"/>
  <c r="W308" i="58"/>
  <c r="V308" i="58"/>
  <c r="U308" i="58"/>
  <c r="T308" i="58"/>
  <c r="S308" i="58"/>
  <c r="R308" i="58"/>
  <c r="Q308" i="58"/>
  <c r="P308" i="58"/>
  <c r="N308" i="58"/>
  <c r="J308" i="58"/>
  <c r="I308" i="58"/>
  <c r="K308" i="58" s="1"/>
  <c r="H308" i="58"/>
  <c r="D308" i="58"/>
  <c r="C308" i="58"/>
  <c r="AC307" i="58"/>
  <c r="AB307" i="58"/>
  <c r="AA307" i="58"/>
  <c r="Z307" i="58"/>
  <c r="X307" i="58"/>
  <c r="W307" i="58"/>
  <c r="V307" i="58"/>
  <c r="U307" i="58"/>
  <c r="T307" i="58"/>
  <c r="S307" i="58"/>
  <c r="R307" i="58"/>
  <c r="Q307" i="58"/>
  <c r="P307" i="58"/>
  <c r="N307" i="58"/>
  <c r="J307" i="58"/>
  <c r="K307" i="58" s="1"/>
  <c r="I307" i="58"/>
  <c r="H307" i="58"/>
  <c r="D307" i="58"/>
  <c r="C307" i="58"/>
  <c r="AC306" i="58"/>
  <c r="AB306" i="58"/>
  <c r="AA306" i="58"/>
  <c r="Z306" i="58"/>
  <c r="X306" i="58"/>
  <c r="W306" i="58"/>
  <c r="V306" i="58"/>
  <c r="U306" i="58"/>
  <c r="T306" i="58"/>
  <c r="S306" i="58"/>
  <c r="R306" i="58"/>
  <c r="Q306" i="58"/>
  <c r="P306" i="58"/>
  <c r="N306" i="58"/>
  <c r="K306" i="58"/>
  <c r="J306" i="58"/>
  <c r="I306" i="58"/>
  <c r="H306" i="58"/>
  <c r="D306" i="58"/>
  <c r="C306" i="58"/>
  <c r="AC305" i="58"/>
  <c r="AB305" i="58"/>
  <c r="AA305" i="58"/>
  <c r="Z305" i="58"/>
  <c r="X305" i="58"/>
  <c r="W305" i="58"/>
  <c r="V305" i="58"/>
  <c r="U305" i="58"/>
  <c r="T305" i="58"/>
  <c r="S305" i="58"/>
  <c r="R305" i="58"/>
  <c r="Q305" i="58"/>
  <c r="P305" i="58"/>
  <c r="N305" i="58"/>
  <c r="J305" i="58"/>
  <c r="I305" i="58"/>
  <c r="K305" i="58" s="1"/>
  <c r="H305" i="58"/>
  <c r="D305" i="58"/>
  <c r="C305" i="58"/>
  <c r="AC304" i="58"/>
  <c r="AB304" i="58"/>
  <c r="AA304" i="58"/>
  <c r="Z304" i="58"/>
  <c r="X304" i="58"/>
  <c r="W304" i="58"/>
  <c r="V304" i="58"/>
  <c r="U304" i="58"/>
  <c r="T304" i="58"/>
  <c r="S304" i="58"/>
  <c r="R304" i="58"/>
  <c r="Q304" i="58"/>
  <c r="P304" i="58"/>
  <c r="N304" i="58"/>
  <c r="J304" i="58"/>
  <c r="I304" i="58"/>
  <c r="K304" i="58" s="1"/>
  <c r="H304" i="58"/>
  <c r="D304" i="58"/>
  <c r="C304" i="58"/>
  <c r="AC303" i="58"/>
  <c r="AB303" i="58"/>
  <c r="AA303" i="58"/>
  <c r="Z303" i="58"/>
  <c r="X303" i="58"/>
  <c r="W303" i="58"/>
  <c r="V303" i="58"/>
  <c r="U303" i="58"/>
  <c r="T303" i="58"/>
  <c r="S303" i="58"/>
  <c r="R303" i="58"/>
  <c r="Q303" i="58"/>
  <c r="P303" i="58"/>
  <c r="N303" i="58"/>
  <c r="J303" i="58"/>
  <c r="K303" i="58" s="1"/>
  <c r="I303" i="58"/>
  <c r="H303" i="58"/>
  <c r="D303" i="58"/>
  <c r="C303" i="58"/>
  <c r="AC302" i="58"/>
  <c r="AB302" i="58"/>
  <c r="AA302" i="58"/>
  <c r="Z302" i="58"/>
  <c r="X302" i="58"/>
  <c r="W302" i="58"/>
  <c r="V302" i="58"/>
  <c r="U302" i="58"/>
  <c r="T302" i="58"/>
  <c r="S302" i="58"/>
  <c r="R302" i="58"/>
  <c r="Q302" i="58"/>
  <c r="P302" i="58"/>
  <c r="N302" i="58"/>
  <c r="K302" i="58"/>
  <c r="J302" i="58"/>
  <c r="I302" i="58"/>
  <c r="H302" i="58"/>
  <c r="D302" i="58"/>
  <c r="C302" i="58"/>
  <c r="AC301" i="58"/>
  <c r="AB301" i="58"/>
  <c r="AA301" i="58"/>
  <c r="Z301" i="58"/>
  <c r="X301" i="58"/>
  <c r="W301" i="58"/>
  <c r="V301" i="58"/>
  <c r="U301" i="58"/>
  <c r="T301" i="58"/>
  <c r="S301" i="58"/>
  <c r="R301" i="58"/>
  <c r="Q301" i="58"/>
  <c r="P301" i="58"/>
  <c r="N301" i="58"/>
  <c r="J301" i="58"/>
  <c r="I301" i="58"/>
  <c r="K301" i="58" s="1"/>
  <c r="H301" i="58"/>
  <c r="D301" i="58"/>
  <c r="C301" i="58"/>
  <c r="AC300" i="58"/>
  <c r="AB300" i="58"/>
  <c r="AA300" i="58"/>
  <c r="Z300" i="58"/>
  <c r="X300" i="58"/>
  <c r="W300" i="58"/>
  <c r="V300" i="58"/>
  <c r="U300" i="58"/>
  <c r="T300" i="58"/>
  <c r="S300" i="58"/>
  <c r="R300" i="58"/>
  <c r="Q300" i="58"/>
  <c r="P300" i="58"/>
  <c r="N300" i="58"/>
  <c r="J300" i="58"/>
  <c r="I300" i="58"/>
  <c r="K300" i="58" s="1"/>
  <c r="H300" i="58"/>
  <c r="D300" i="58"/>
  <c r="C300" i="58"/>
  <c r="AC299" i="58"/>
  <c r="AB299" i="58"/>
  <c r="AA299" i="58"/>
  <c r="Z299" i="58"/>
  <c r="X299" i="58"/>
  <c r="W299" i="58"/>
  <c r="V299" i="58"/>
  <c r="U299" i="58"/>
  <c r="T299" i="58"/>
  <c r="S299" i="58"/>
  <c r="R299" i="58"/>
  <c r="Q299" i="58"/>
  <c r="P299" i="58"/>
  <c r="N299" i="58"/>
  <c r="J299" i="58"/>
  <c r="K299" i="58" s="1"/>
  <c r="I299" i="58"/>
  <c r="H299" i="58"/>
  <c r="D299" i="58"/>
  <c r="C299" i="58"/>
  <c r="AC298" i="58"/>
  <c r="AB298" i="58"/>
  <c r="AA298" i="58"/>
  <c r="Z298" i="58"/>
  <c r="X298" i="58"/>
  <c r="W298" i="58"/>
  <c r="V298" i="58"/>
  <c r="U298" i="58"/>
  <c r="T298" i="58"/>
  <c r="S298" i="58"/>
  <c r="R298" i="58"/>
  <c r="Q298" i="58"/>
  <c r="P298" i="58"/>
  <c r="N298" i="58"/>
  <c r="K298" i="58"/>
  <c r="J298" i="58"/>
  <c r="I298" i="58"/>
  <c r="H298" i="58"/>
  <c r="D298" i="58"/>
  <c r="C298" i="58"/>
  <c r="AC297" i="58"/>
  <c r="AB297" i="58"/>
  <c r="AA297" i="58"/>
  <c r="Z297" i="58"/>
  <c r="X297" i="58"/>
  <c r="W297" i="58"/>
  <c r="V297" i="58"/>
  <c r="U297" i="58"/>
  <c r="T297" i="58"/>
  <c r="S297" i="58"/>
  <c r="R297" i="58"/>
  <c r="Q297" i="58"/>
  <c r="P297" i="58"/>
  <c r="N297" i="58"/>
  <c r="J297" i="58"/>
  <c r="I297" i="58"/>
  <c r="K297" i="58" s="1"/>
  <c r="H297" i="58"/>
  <c r="D297" i="58"/>
  <c r="C297" i="58"/>
  <c r="AC296" i="58"/>
  <c r="AB296" i="58"/>
  <c r="AA296" i="58"/>
  <c r="Z296" i="58"/>
  <c r="X296" i="58"/>
  <c r="W296" i="58"/>
  <c r="V296" i="58"/>
  <c r="U296" i="58"/>
  <c r="T296" i="58"/>
  <c r="S296" i="58"/>
  <c r="R296" i="58"/>
  <c r="Q296" i="58"/>
  <c r="P296" i="58"/>
  <c r="N296" i="58"/>
  <c r="J296" i="58"/>
  <c r="I296" i="58"/>
  <c r="K296" i="58" s="1"/>
  <c r="H296" i="58"/>
  <c r="D296" i="58"/>
  <c r="C296" i="58"/>
  <c r="AC295" i="58"/>
  <c r="AB295" i="58"/>
  <c r="AA295" i="58"/>
  <c r="Z295" i="58"/>
  <c r="X295" i="58"/>
  <c r="W295" i="58"/>
  <c r="V295" i="58"/>
  <c r="U295" i="58"/>
  <c r="T295" i="58"/>
  <c r="S295" i="58"/>
  <c r="R295" i="58"/>
  <c r="Q295" i="58"/>
  <c r="P295" i="58"/>
  <c r="N295" i="58"/>
  <c r="J295" i="58"/>
  <c r="K295" i="58" s="1"/>
  <c r="I295" i="58"/>
  <c r="H295" i="58"/>
  <c r="D295" i="58"/>
  <c r="C295" i="58"/>
  <c r="AC294" i="58"/>
  <c r="AB294" i="58"/>
  <c r="AA294" i="58"/>
  <c r="Z294" i="58"/>
  <c r="X294" i="58"/>
  <c r="W294" i="58"/>
  <c r="V294" i="58"/>
  <c r="U294" i="58"/>
  <c r="T294" i="58"/>
  <c r="S294" i="58"/>
  <c r="R294" i="58"/>
  <c r="Q294" i="58"/>
  <c r="P294" i="58"/>
  <c r="N294" i="58"/>
  <c r="K294" i="58"/>
  <c r="J294" i="58"/>
  <c r="I294" i="58"/>
  <c r="H294" i="58"/>
  <c r="D294" i="58"/>
  <c r="C294" i="58"/>
  <c r="AC293" i="58"/>
  <c r="AB293" i="58"/>
  <c r="AA293" i="58"/>
  <c r="Z293" i="58"/>
  <c r="X293" i="58"/>
  <c r="W293" i="58"/>
  <c r="V293" i="58"/>
  <c r="U293" i="58"/>
  <c r="T293" i="58"/>
  <c r="S293" i="58"/>
  <c r="R293" i="58"/>
  <c r="Q293" i="58"/>
  <c r="P293" i="58"/>
  <c r="N293" i="58"/>
  <c r="J293" i="58"/>
  <c r="I293" i="58"/>
  <c r="K293" i="58" s="1"/>
  <c r="H293" i="58"/>
  <c r="D293" i="58"/>
  <c r="C293" i="58"/>
  <c r="AC292" i="58"/>
  <c r="AB292" i="58"/>
  <c r="AA292" i="58"/>
  <c r="Z292" i="58"/>
  <c r="X292" i="58"/>
  <c r="W292" i="58"/>
  <c r="V292" i="58"/>
  <c r="U292" i="58"/>
  <c r="T292" i="58"/>
  <c r="S292" i="58"/>
  <c r="R292" i="58"/>
  <c r="Q292" i="58"/>
  <c r="P292" i="58"/>
  <c r="N292" i="58"/>
  <c r="J292" i="58"/>
  <c r="I292" i="58"/>
  <c r="K292" i="58" s="1"/>
  <c r="H292" i="58"/>
  <c r="D292" i="58"/>
  <c r="C292" i="58"/>
  <c r="AC291" i="58"/>
  <c r="AB291" i="58"/>
  <c r="AA291" i="58"/>
  <c r="Z291" i="58"/>
  <c r="X291" i="58"/>
  <c r="W291" i="58"/>
  <c r="V291" i="58"/>
  <c r="U291" i="58"/>
  <c r="T291" i="58"/>
  <c r="S291" i="58"/>
  <c r="R291" i="58"/>
  <c r="Q291" i="58"/>
  <c r="P291" i="58"/>
  <c r="N291" i="58"/>
  <c r="J291" i="58"/>
  <c r="K291" i="58" s="1"/>
  <c r="I291" i="58"/>
  <c r="H291" i="58"/>
  <c r="D291" i="58"/>
  <c r="C291" i="58"/>
  <c r="AC290" i="58"/>
  <c r="AB290" i="58"/>
  <c r="AA290" i="58"/>
  <c r="Z290" i="58"/>
  <c r="X290" i="58"/>
  <c r="W290" i="58"/>
  <c r="V290" i="58"/>
  <c r="U290" i="58"/>
  <c r="T290" i="58"/>
  <c r="S290" i="58"/>
  <c r="R290" i="58"/>
  <c r="Q290" i="58"/>
  <c r="P290" i="58"/>
  <c r="N290" i="58"/>
  <c r="K290" i="58"/>
  <c r="J290" i="58"/>
  <c r="I290" i="58"/>
  <c r="H290" i="58"/>
  <c r="D290" i="58"/>
  <c r="C290" i="58"/>
  <c r="AC289" i="58"/>
  <c r="AB289" i="58"/>
  <c r="AA289" i="58"/>
  <c r="Z289" i="58"/>
  <c r="X289" i="58"/>
  <c r="W289" i="58"/>
  <c r="V289" i="58"/>
  <c r="U289" i="58"/>
  <c r="T289" i="58"/>
  <c r="S289" i="58"/>
  <c r="R289" i="58"/>
  <c r="Q289" i="58"/>
  <c r="P289" i="58"/>
  <c r="N289" i="58"/>
  <c r="J289" i="58"/>
  <c r="I289" i="58"/>
  <c r="K289" i="58" s="1"/>
  <c r="H289" i="58"/>
  <c r="D289" i="58"/>
  <c r="C289" i="58"/>
  <c r="AC288" i="58"/>
  <c r="AB288" i="58"/>
  <c r="AA288" i="58"/>
  <c r="Z288" i="58"/>
  <c r="X288" i="58"/>
  <c r="W288" i="58"/>
  <c r="V288" i="58"/>
  <c r="U288" i="58"/>
  <c r="T288" i="58"/>
  <c r="S288" i="58"/>
  <c r="R288" i="58"/>
  <c r="Q288" i="58"/>
  <c r="P288" i="58"/>
  <c r="N288" i="58"/>
  <c r="J288" i="58"/>
  <c r="I288" i="58"/>
  <c r="K288" i="58" s="1"/>
  <c r="H288" i="58"/>
  <c r="D288" i="58"/>
  <c r="C288" i="58"/>
  <c r="AC287" i="58"/>
  <c r="AB287" i="58"/>
  <c r="AA287" i="58"/>
  <c r="Z287" i="58"/>
  <c r="X287" i="58"/>
  <c r="W287" i="58"/>
  <c r="V287" i="58"/>
  <c r="U287" i="58"/>
  <c r="T287" i="58"/>
  <c r="S287" i="58"/>
  <c r="R287" i="58"/>
  <c r="Q287" i="58"/>
  <c r="P287" i="58"/>
  <c r="N287" i="58"/>
  <c r="J287" i="58"/>
  <c r="K287" i="58" s="1"/>
  <c r="I287" i="58"/>
  <c r="H287" i="58"/>
  <c r="D287" i="58"/>
  <c r="C287" i="58"/>
  <c r="AC286" i="58"/>
  <c r="AB286" i="58"/>
  <c r="AA286" i="58"/>
  <c r="Z286" i="58"/>
  <c r="X286" i="58"/>
  <c r="W286" i="58"/>
  <c r="V286" i="58"/>
  <c r="U286" i="58"/>
  <c r="T286" i="58"/>
  <c r="S286" i="58"/>
  <c r="R286" i="58"/>
  <c r="Q286" i="58"/>
  <c r="P286" i="58"/>
  <c r="N286" i="58"/>
  <c r="K286" i="58"/>
  <c r="J286" i="58"/>
  <c r="I286" i="58"/>
  <c r="H286" i="58"/>
  <c r="D286" i="58"/>
  <c r="C286" i="58"/>
  <c r="AC285" i="58"/>
  <c r="AB285" i="58"/>
  <c r="AA285" i="58"/>
  <c r="Z285" i="58"/>
  <c r="X285" i="58"/>
  <c r="W285" i="58"/>
  <c r="V285" i="58"/>
  <c r="U285" i="58"/>
  <c r="T285" i="58"/>
  <c r="S285" i="58"/>
  <c r="R285" i="58"/>
  <c r="Q285" i="58"/>
  <c r="P285" i="58"/>
  <c r="N285" i="58"/>
  <c r="J285" i="58"/>
  <c r="I285" i="58"/>
  <c r="K285" i="58" s="1"/>
  <c r="H285" i="58"/>
  <c r="D285" i="58"/>
  <c r="C285" i="58"/>
  <c r="AC284" i="58"/>
  <c r="AB284" i="58"/>
  <c r="AA284" i="58"/>
  <c r="Z284" i="58"/>
  <c r="X284" i="58"/>
  <c r="W284" i="58"/>
  <c r="V284" i="58"/>
  <c r="U284" i="58"/>
  <c r="T284" i="58"/>
  <c r="S284" i="58"/>
  <c r="R284" i="58"/>
  <c r="Q284" i="58"/>
  <c r="P284" i="58"/>
  <c r="N284" i="58"/>
  <c r="J284" i="58"/>
  <c r="I284" i="58"/>
  <c r="K284" i="58" s="1"/>
  <c r="H284" i="58"/>
  <c r="D284" i="58"/>
  <c r="C284" i="58"/>
  <c r="AC283" i="58"/>
  <c r="AB283" i="58"/>
  <c r="AA283" i="58"/>
  <c r="Z283" i="58"/>
  <c r="X283" i="58"/>
  <c r="W283" i="58"/>
  <c r="V283" i="58"/>
  <c r="U283" i="58"/>
  <c r="T283" i="58"/>
  <c r="S283" i="58"/>
  <c r="R283" i="58"/>
  <c r="Q283" i="58"/>
  <c r="P283" i="58"/>
  <c r="N283" i="58"/>
  <c r="J283" i="58"/>
  <c r="K283" i="58" s="1"/>
  <c r="I283" i="58"/>
  <c r="H283" i="58"/>
  <c r="D283" i="58"/>
  <c r="C283" i="58"/>
  <c r="AC282" i="58"/>
  <c r="AB282" i="58"/>
  <c r="AA282" i="58"/>
  <c r="Z282" i="58"/>
  <c r="X282" i="58"/>
  <c r="W282" i="58"/>
  <c r="V282" i="58"/>
  <c r="U282" i="58"/>
  <c r="T282" i="58"/>
  <c r="S282" i="58"/>
  <c r="R282" i="58"/>
  <c r="Q282" i="58"/>
  <c r="P282" i="58"/>
  <c r="N282" i="58"/>
  <c r="K282" i="58"/>
  <c r="J282" i="58"/>
  <c r="I282" i="58"/>
  <c r="H282" i="58"/>
  <c r="D282" i="58"/>
  <c r="C282" i="58"/>
  <c r="AC281" i="58"/>
  <c r="AB281" i="58"/>
  <c r="AA281" i="58"/>
  <c r="Z281" i="58"/>
  <c r="X281" i="58"/>
  <c r="W281" i="58"/>
  <c r="V281" i="58"/>
  <c r="U281" i="58"/>
  <c r="T281" i="58"/>
  <c r="S281" i="58"/>
  <c r="R281" i="58"/>
  <c r="Q281" i="58"/>
  <c r="P281" i="58"/>
  <c r="N281" i="58"/>
  <c r="J281" i="58"/>
  <c r="I281" i="58"/>
  <c r="K281" i="58" s="1"/>
  <c r="H281" i="58"/>
  <c r="D281" i="58"/>
  <c r="C281" i="58"/>
  <c r="AC280" i="58"/>
  <c r="AB280" i="58"/>
  <c r="AA280" i="58"/>
  <c r="Z280" i="58"/>
  <c r="X280" i="58"/>
  <c r="W280" i="58"/>
  <c r="V280" i="58"/>
  <c r="U280" i="58"/>
  <c r="T280" i="58"/>
  <c r="S280" i="58"/>
  <c r="R280" i="58"/>
  <c r="Q280" i="58"/>
  <c r="P280" i="58"/>
  <c r="N280" i="58"/>
  <c r="J280" i="58"/>
  <c r="I280" i="58"/>
  <c r="K280" i="58" s="1"/>
  <c r="H280" i="58"/>
  <c r="D280" i="58"/>
  <c r="C280" i="58"/>
  <c r="AC279" i="58"/>
  <c r="AB279" i="58"/>
  <c r="AA279" i="58"/>
  <c r="Z279" i="58"/>
  <c r="X279" i="58"/>
  <c r="W279" i="58"/>
  <c r="V279" i="58"/>
  <c r="U279" i="58"/>
  <c r="T279" i="58"/>
  <c r="S279" i="58"/>
  <c r="R279" i="58"/>
  <c r="Q279" i="58"/>
  <c r="P279" i="58"/>
  <c r="N279" i="58"/>
  <c r="J279" i="58"/>
  <c r="K279" i="58" s="1"/>
  <c r="I279" i="58"/>
  <c r="H279" i="58"/>
  <c r="D279" i="58"/>
  <c r="C279" i="58"/>
  <c r="AC278" i="58"/>
  <c r="AB278" i="58"/>
  <c r="AA278" i="58"/>
  <c r="Z278" i="58"/>
  <c r="X278" i="58"/>
  <c r="W278" i="58"/>
  <c r="V278" i="58"/>
  <c r="U278" i="58"/>
  <c r="T278" i="58"/>
  <c r="S278" i="58"/>
  <c r="R278" i="58"/>
  <c r="Q278" i="58"/>
  <c r="P278" i="58"/>
  <c r="N278" i="58"/>
  <c r="K278" i="58"/>
  <c r="J278" i="58"/>
  <c r="I278" i="58"/>
  <c r="H278" i="58"/>
  <c r="D278" i="58"/>
  <c r="C278" i="58"/>
  <c r="AC277" i="58"/>
  <c r="AB277" i="58"/>
  <c r="AA277" i="58"/>
  <c r="Z277" i="58"/>
  <c r="X277" i="58"/>
  <c r="W277" i="58"/>
  <c r="V277" i="58"/>
  <c r="U277" i="58"/>
  <c r="T277" i="58"/>
  <c r="S277" i="58"/>
  <c r="R277" i="58"/>
  <c r="Q277" i="58"/>
  <c r="P277" i="58"/>
  <c r="N277" i="58"/>
  <c r="J277" i="58"/>
  <c r="I277" i="58"/>
  <c r="K277" i="58" s="1"/>
  <c r="H277" i="58"/>
  <c r="D277" i="58"/>
  <c r="C277" i="58"/>
  <c r="AC276" i="58"/>
  <c r="AB276" i="58"/>
  <c r="AA276" i="58"/>
  <c r="Z276" i="58"/>
  <c r="X276" i="58"/>
  <c r="W276" i="58"/>
  <c r="V276" i="58"/>
  <c r="U276" i="58"/>
  <c r="T276" i="58"/>
  <c r="S276" i="58"/>
  <c r="R276" i="58"/>
  <c r="Q276" i="58"/>
  <c r="P276" i="58"/>
  <c r="N276" i="58"/>
  <c r="J276" i="58"/>
  <c r="I276" i="58"/>
  <c r="K276" i="58" s="1"/>
  <c r="H276" i="58"/>
  <c r="D276" i="58"/>
  <c r="C276" i="58"/>
  <c r="AC275" i="58"/>
  <c r="AB275" i="58"/>
  <c r="AA275" i="58"/>
  <c r="Z275" i="58"/>
  <c r="X275" i="58"/>
  <c r="W275" i="58"/>
  <c r="V275" i="58"/>
  <c r="U275" i="58"/>
  <c r="T275" i="58"/>
  <c r="S275" i="58"/>
  <c r="R275" i="58"/>
  <c r="Q275" i="58"/>
  <c r="P275" i="58"/>
  <c r="N275" i="58"/>
  <c r="J275" i="58"/>
  <c r="K275" i="58" s="1"/>
  <c r="I275" i="58"/>
  <c r="H275" i="58"/>
  <c r="D275" i="58"/>
  <c r="C275" i="58"/>
  <c r="AC274" i="58"/>
  <c r="AB274" i="58"/>
  <c r="AA274" i="58"/>
  <c r="Z274" i="58"/>
  <c r="X274" i="58"/>
  <c r="W274" i="58"/>
  <c r="V274" i="58"/>
  <c r="U274" i="58"/>
  <c r="T274" i="58"/>
  <c r="S274" i="58"/>
  <c r="R274" i="58"/>
  <c r="Q274" i="58"/>
  <c r="P274" i="58"/>
  <c r="N274" i="58"/>
  <c r="K274" i="58"/>
  <c r="J274" i="58"/>
  <c r="I274" i="58"/>
  <c r="H274" i="58"/>
  <c r="D274" i="58"/>
  <c r="C274" i="58"/>
  <c r="AC273" i="58"/>
  <c r="AB273" i="58"/>
  <c r="AA273" i="58"/>
  <c r="Z273" i="58"/>
  <c r="X273" i="58"/>
  <c r="W273" i="58"/>
  <c r="V273" i="58"/>
  <c r="U273" i="58"/>
  <c r="T273" i="58"/>
  <c r="S273" i="58"/>
  <c r="R273" i="58"/>
  <c r="Q273" i="58"/>
  <c r="P273" i="58"/>
  <c r="N273" i="58"/>
  <c r="J273" i="58"/>
  <c r="I273" i="58"/>
  <c r="K273" i="58" s="1"/>
  <c r="H273" i="58"/>
  <c r="D273" i="58"/>
  <c r="C273" i="58"/>
  <c r="AC272" i="58"/>
  <c r="AB272" i="58"/>
  <c r="AA272" i="58"/>
  <c r="Z272" i="58"/>
  <c r="X272" i="58"/>
  <c r="W272" i="58"/>
  <c r="V272" i="58"/>
  <c r="U272" i="58"/>
  <c r="T272" i="58"/>
  <c r="S272" i="58"/>
  <c r="R272" i="58"/>
  <c r="Q272" i="58"/>
  <c r="P272" i="58"/>
  <c r="N272" i="58"/>
  <c r="J272" i="58"/>
  <c r="I272" i="58"/>
  <c r="K272" i="58" s="1"/>
  <c r="H272" i="58"/>
  <c r="D272" i="58"/>
  <c r="C272" i="58"/>
  <c r="AC271" i="58"/>
  <c r="AB271" i="58"/>
  <c r="AA271" i="58"/>
  <c r="Z271" i="58"/>
  <c r="X271" i="58"/>
  <c r="W271" i="58"/>
  <c r="V271" i="58"/>
  <c r="U271" i="58"/>
  <c r="T271" i="58"/>
  <c r="S271" i="58"/>
  <c r="R271" i="58"/>
  <c r="Q271" i="58"/>
  <c r="P271" i="58"/>
  <c r="N271" i="58"/>
  <c r="J271" i="58"/>
  <c r="K271" i="58" s="1"/>
  <c r="I271" i="58"/>
  <c r="H271" i="58"/>
  <c r="D271" i="58"/>
  <c r="C271" i="58"/>
  <c r="AC270" i="58"/>
  <c r="AB270" i="58"/>
  <c r="AA270" i="58"/>
  <c r="Z270" i="58"/>
  <c r="X270" i="58"/>
  <c r="W270" i="58"/>
  <c r="V270" i="58"/>
  <c r="U270" i="58"/>
  <c r="T270" i="58"/>
  <c r="S270" i="58"/>
  <c r="R270" i="58"/>
  <c r="Q270" i="58"/>
  <c r="P270" i="58"/>
  <c r="N270" i="58"/>
  <c r="K270" i="58"/>
  <c r="J270" i="58"/>
  <c r="I270" i="58"/>
  <c r="H270" i="58"/>
  <c r="D270" i="58"/>
  <c r="C270" i="58"/>
  <c r="AC269" i="58"/>
  <c r="AB269" i="58"/>
  <c r="AA269" i="58"/>
  <c r="Z269" i="58"/>
  <c r="X269" i="58"/>
  <c r="W269" i="58"/>
  <c r="V269" i="58"/>
  <c r="U269" i="58"/>
  <c r="T269" i="58"/>
  <c r="S269" i="58"/>
  <c r="R269" i="58"/>
  <c r="Q269" i="58"/>
  <c r="P269" i="58"/>
  <c r="N269" i="58"/>
  <c r="J269" i="58"/>
  <c r="I269" i="58"/>
  <c r="K269" i="58" s="1"/>
  <c r="H269" i="58"/>
  <c r="D269" i="58"/>
  <c r="C269" i="58"/>
  <c r="AC268" i="58"/>
  <c r="AB268" i="58"/>
  <c r="AA268" i="58"/>
  <c r="Z268" i="58"/>
  <c r="X268" i="58"/>
  <c r="W268" i="58"/>
  <c r="V268" i="58"/>
  <c r="U268" i="58"/>
  <c r="T268" i="58"/>
  <c r="S268" i="58"/>
  <c r="R268" i="58"/>
  <c r="Q268" i="58"/>
  <c r="P268" i="58"/>
  <c r="N268" i="58"/>
  <c r="J268" i="58"/>
  <c r="I268" i="58"/>
  <c r="K268" i="58" s="1"/>
  <c r="H268" i="58"/>
  <c r="D268" i="58"/>
  <c r="C268" i="58"/>
  <c r="AC267" i="58"/>
  <c r="AB267" i="58"/>
  <c r="AA267" i="58"/>
  <c r="Z267" i="58"/>
  <c r="X267" i="58"/>
  <c r="W267" i="58"/>
  <c r="V267" i="58"/>
  <c r="U267" i="58"/>
  <c r="T267" i="58"/>
  <c r="S267" i="58"/>
  <c r="R267" i="58"/>
  <c r="Q267" i="58"/>
  <c r="P267" i="58"/>
  <c r="N267" i="58"/>
  <c r="J267" i="58"/>
  <c r="K267" i="58" s="1"/>
  <c r="I267" i="58"/>
  <c r="H267" i="58"/>
  <c r="D267" i="58"/>
  <c r="C267" i="58"/>
  <c r="AC266" i="58"/>
  <c r="AB266" i="58"/>
  <c r="AA266" i="58"/>
  <c r="Z266" i="58"/>
  <c r="X266" i="58"/>
  <c r="W266" i="58"/>
  <c r="V266" i="58"/>
  <c r="U266" i="58"/>
  <c r="T266" i="58"/>
  <c r="S266" i="58"/>
  <c r="R266" i="58"/>
  <c r="Q266" i="58"/>
  <c r="P266" i="58"/>
  <c r="N266" i="58"/>
  <c r="K266" i="58"/>
  <c r="J266" i="58"/>
  <c r="I266" i="58"/>
  <c r="H266" i="58"/>
  <c r="D266" i="58"/>
  <c r="C266" i="58"/>
  <c r="AC265" i="58"/>
  <c r="AB265" i="58"/>
  <c r="AA265" i="58"/>
  <c r="Z265" i="58"/>
  <c r="X265" i="58"/>
  <c r="W265" i="58"/>
  <c r="V265" i="58"/>
  <c r="U265" i="58"/>
  <c r="T265" i="58"/>
  <c r="S265" i="58"/>
  <c r="R265" i="58"/>
  <c r="Q265" i="58"/>
  <c r="P265" i="58"/>
  <c r="N265" i="58"/>
  <c r="J265" i="58"/>
  <c r="I265" i="58"/>
  <c r="K265" i="58" s="1"/>
  <c r="H265" i="58"/>
  <c r="D265" i="58"/>
  <c r="C265" i="58"/>
  <c r="AC264" i="58"/>
  <c r="AB264" i="58"/>
  <c r="AA264" i="58"/>
  <c r="Z264" i="58"/>
  <c r="X264" i="58"/>
  <c r="W264" i="58"/>
  <c r="V264" i="58"/>
  <c r="U264" i="58"/>
  <c r="T264" i="58"/>
  <c r="S264" i="58"/>
  <c r="R264" i="58"/>
  <c r="Q264" i="58"/>
  <c r="P264" i="58"/>
  <c r="N264" i="58"/>
  <c r="J264" i="58"/>
  <c r="I264" i="58"/>
  <c r="K264" i="58" s="1"/>
  <c r="H264" i="58"/>
  <c r="D264" i="58"/>
  <c r="C264" i="58"/>
  <c r="AC263" i="58"/>
  <c r="AB263" i="58"/>
  <c r="AA263" i="58"/>
  <c r="Z263" i="58"/>
  <c r="X263" i="58"/>
  <c r="W263" i="58"/>
  <c r="V263" i="58"/>
  <c r="U263" i="58"/>
  <c r="T263" i="58"/>
  <c r="S263" i="58"/>
  <c r="R263" i="58"/>
  <c r="Q263" i="58"/>
  <c r="P263" i="58"/>
  <c r="N263" i="58"/>
  <c r="J263" i="58"/>
  <c r="K263" i="58" s="1"/>
  <c r="I263" i="58"/>
  <c r="H263" i="58"/>
  <c r="D263" i="58"/>
  <c r="C263" i="58"/>
  <c r="AC262" i="58"/>
  <c r="AB262" i="58"/>
  <c r="AA262" i="58"/>
  <c r="Z262" i="58"/>
  <c r="X262" i="58"/>
  <c r="W262" i="58"/>
  <c r="V262" i="58"/>
  <c r="U262" i="58"/>
  <c r="T262" i="58"/>
  <c r="S262" i="58"/>
  <c r="R262" i="58"/>
  <c r="Q262" i="58"/>
  <c r="P262" i="58"/>
  <c r="N262" i="58"/>
  <c r="K262" i="58"/>
  <c r="J262" i="58"/>
  <c r="I262" i="58"/>
  <c r="H262" i="58"/>
  <c r="D262" i="58"/>
  <c r="C262" i="58"/>
  <c r="AC261" i="58"/>
  <c r="AB261" i="58"/>
  <c r="AA261" i="58"/>
  <c r="Z261" i="58"/>
  <c r="X261" i="58"/>
  <c r="W261" i="58"/>
  <c r="V261" i="58"/>
  <c r="U261" i="58"/>
  <c r="T261" i="58"/>
  <c r="S261" i="58"/>
  <c r="R261" i="58"/>
  <c r="Q261" i="58"/>
  <c r="P261" i="58"/>
  <c r="N261" i="58"/>
  <c r="J261" i="58"/>
  <c r="I261" i="58"/>
  <c r="K261" i="58" s="1"/>
  <c r="H261" i="58"/>
  <c r="D261" i="58"/>
  <c r="C261" i="58"/>
  <c r="AC260" i="58"/>
  <c r="AB260" i="58"/>
  <c r="AA260" i="58"/>
  <c r="Z260" i="58"/>
  <c r="X260" i="58"/>
  <c r="W260" i="58"/>
  <c r="V260" i="58"/>
  <c r="U260" i="58"/>
  <c r="T260" i="58"/>
  <c r="S260" i="58"/>
  <c r="R260" i="58"/>
  <c r="Q260" i="58"/>
  <c r="P260" i="58"/>
  <c r="N260" i="58"/>
  <c r="J260" i="58"/>
  <c r="I260" i="58"/>
  <c r="K260" i="58" s="1"/>
  <c r="H260" i="58"/>
  <c r="D260" i="58"/>
  <c r="C260" i="58"/>
  <c r="AC259" i="58"/>
  <c r="AB259" i="58"/>
  <c r="AA259" i="58"/>
  <c r="Z259" i="58"/>
  <c r="X259" i="58"/>
  <c r="W259" i="58"/>
  <c r="V259" i="58"/>
  <c r="U259" i="58"/>
  <c r="T259" i="58"/>
  <c r="S259" i="58"/>
  <c r="R259" i="58"/>
  <c r="Q259" i="58"/>
  <c r="P259" i="58"/>
  <c r="N259" i="58"/>
  <c r="J259" i="58"/>
  <c r="K259" i="58" s="1"/>
  <c r="I259" i="58"/>
  <c r="H259" i="58"/>
  <c r="D259" i="58"/>
  <c r="C259" i="58"/>
  <c r="AC258" i="58"/>
  <c r="AB258" i="58"/>
  <c r="AA258" i="58"/>
  <c r="Z258" i="58"/>
  <c r="X258" i="58"/>
  <c r="W258" i="58"/>
  <c r="V258" i="58"/>
  <c r="U258" i="58"/>
  <c r="T258" i="58"/>
  <c r="S258" i="58"/>
  <c r="R258" i="58"/>
  <c r="Q258" i="58"/>
  <c r="P258" i="58"/>
  <c r="N258" i="58"/>
  <c r="K258" i="58"/>
  <c r="J258" i="58"/>
  <c r="I258" i="58"/>
  <c r="H258" i="58"/>
  <c r="D258" i="58"/>
  <c r="C258" i="58"/>
  <c r="AC257" i="58"/>
  <c r="AB257" i="58"/>
  <c r="AA257" i="58"/>
  <c r="Z257" i="58"/>
  <c r="X257" i="58"/>
  <c r="W257" i="58"/>
  <c r="V257" i="58"/>
  <c r="U257" i="58"/>
  <c r="T257" i="58"/>
  <c r="S257" i="58"/>
  <c r="R257" i="58"/>
  <c r="Q257" i="58"/>
  <c r="P257" i="58"/>
  <c r="N257" i="58"/>
  <c r="J257" i="58"/>
  <c r="I257" i="58"/>
  <c r="K257" i="58" s="1"/>
  <c r="H257" i="58"/>
  <c r="D257" i="58"/>
  <c r="C257" i="58"/>
  <c r="AC256" i="58"/>
  <c r="AB256" i="58"/>
  <c r="AA256" i="58"/>
  <c r="Z256" i="58"/>
  <c r="X256" i="58"/>
  <c r="W256" i="58"/>
  <c r="V256" i="58"/>
  <c r="U256" i="58"/>
  <c r="T256" i="58"/>
  <c r="S256" i="58"/>
  <c r="R256" i="58"/>
  <c r="Q256" i="58"/>
  <c r="P256" i="58"/>
  <c r="N256" i="58"/>
  <c r="J256" i="58"/>
  <c r="I256" i="58"/>
  <c r="K256" i="58" s="1"/>
  <c r="H256" i="58"/>
  <c r="D256" i="58"/>
  <c r="C256" i="58"/>
  <c r="AC255" i="58"/>
  <c r="AB255" i="58"/>
  <c r="AA255" i="58"/>
  <c r="Z255" i="58"/>
  <c r="X255" i="58"/>
  <c r="W255" i="58"/>
  <c r="V255" i="58"/>
  <c r="U255" i="58"/>
  <c r="T255" i="58"/>
  <c r="S255" i="58"/>
  <c r="R255" i="58"/>
  <c r="Q255" i="58"/>
  <c r="P255" i="58"/>
  <c r="N255" i="58"/>
  <c r="J255" i="58"/>
  <c r="K255" i="58" s="1"/>
  <c r="I255" i="58"/>
  <c r="H255" i="58"/>
  <c r="D255" i="58"/>
  <c r="C255" i="58"/>
  <c r="AC254" i="58"/>
  <c r="AB254" i="58"/>
  <c r="AA254" i="58"/>
  <c r="Z254" i="58"/>
  <c r="X254" i="58"/>
  <c r="W254" i="58"/>
  <c r="V254" i="58"/>
  <c r="U254" i="58"/>
  <c r="T254" i="58"/>
  <c r="S254" i="58"/>
  <c r="R254" i="58"/>
  <c r="Q254" i="58"/>
  <c r="P254" i="58"/>
  <c r="N254" i="58"/>
  <c r="K254" i="58"/>
  <c r="J254" i="58"/>
  <c r="I254" i="58"/>
  <c r="H254" i="58"/>
  <c r="D254" i="58"/>
  <c r="C254" i="58"/>
  <c r="AC253" i="58"/>
  <c r="AB253" i="58"/>
  <c r="AA253" i="58"/>
  <c r="Z253" i="58"/>
  <c r="X253" i="58"/>
  <c r="W253" i="58"/>
  <c r="V253" i="58"/>
  <c r="U253" i="58"/>
  <c r="T253" i="58"/>
  <c r="S253" i="58"/>
  <c r="R253" i="58"/>
  <c r="Q253" i="58"/>
  <c r="P253" i="58"/>
  <c r="N253" i="58"/>
  <c r="J253" i="58"/>
  <c r="I253" i="58"/>
  <c r="K253" i="58" s="1"/>
  <c r="H253" i="58"/>
  <c r="D253" i="58"/>
  <c r="C253" i="58"/>
  <c r="AC252" i="58"/>
  <c r="AB252" i="58"/>
  <c r="AA252" i="58"/>
  <c r="Z252" i="58"/>
  <c r="X252" i="58"/>
  <c r="W252" i="58"/>
  <c r="V252" i="58"/>
  <c r="U252" i="58"/>
  <c r="T252" i="58"/>
  <c r="S252" i="58"/>
  <c r="R252" i="58"/>
  <c r="Q252" i="58"/>
  <c r="P252" i="58"/>
  <c r="N252" i="58"/>
  <c r="J252" i="58"/>
  <c r="I252" i="58"/>
  <c r="K252" i="58" s="1"/>
  <c r="H252" i="58"/>
  <c r="D252" i="58"/>
  <c r="C252" i="58"/>
  <c r="AC251" i="58"/>
  <c r="AB251" i="58"/>
  <c r="AA251" i="58"/>
  <c r="Z251" i="58"/>
  <c r="X251" i="58"/>
  <c r="W251" i="58"/>
  <c r="V251" i="58"/>
  <c r="U251" i="58"/>
  <c r="T251" i="58"/>
  <c r="S251" i="58"/>
  <c r="R251" i="58"/>
  <c r="Q251" i="58"/>
  <c r="P251" i="58"/>
  <c r="N251" i="58"/>
  <c r="J251" i="58"/>
  <c r="K251" i="58" s="1"/>
  <c r="I251" i="58"/>
  <c r="H251" i="58"/>
  <c r="D251" i="58"/>
  <c r="C251" i="58"/>
  <c r="AC250" i="58"/>
  <c r="AB250" i="58"/>
  <c r="AA250" i="58"/>
  <c r="Z250" i="58"/>
  <c r="X250" i="58"/>
  <c r="W250" i="58"/>
  <c r="V250" i="58"/>
  <c r="U250" i="58"/>
  <c r="T250" i="58"/>
  <c r="S250" i="58"/>
  <c r="R250" i="58"/>
  <c r="Q250" i="58"/>
  <c r="P250" i="58"/>
  <c r="N250" i="58"/>
  <c r="K250" i="58"/>
  <c r="J250" i="58"/>
  <c r="I250" i="58"/>
  <c r="H250" i="58"/>
  <c r="D250" i="58"/>
  <c r="C250" i="58"/>
  <c r="AC249" i="58"/>
  <c r="AB249" i="58"/>
  <c r="AA249" i="58"/>
  <c r="Z249" i="58"/>
  <c r="X249" i="58"/>
  <c r="W249" i="58"/>
  <c r="V249" i="58"/>
  <c r="U249" i="58"/>
  <c r="T249" i="58"/>
  <c r="S249" i="58"/>
  <c r="R249" i="58"/>
  <c r="Q249" i="58"/>
  <c r="P249" i="58"/>
  <c r="N249" i="58"/>
  <c r="J249" i="58"/>
  <c r="I249" i="58"/>
  <c r="K249" i="58" s="1"/>
  <c r="H249" i="58"/>
  <c r="D249" i="58"/>
  <c r="C249" i="58"/>
  <c r="AC248" i="58"/>
  <c r="AB248" i="58"/>
  <c r="AA248" i="58"/>
  <c r="Z248" i="58"/>
  <c r="X248" i="58"/>
  <c r="W248" i="58"/>
  <c r="V248" i="58"/>
  <c r="U248" i="58"/>
  <c r="T248" i="58"/>
  <c r="S248" i="58"/>
  <c r="R248" i="58"/>
  <c r="Q248" i="58"/>
  <c r="P248" i="58"/>
  <c r="N248" i="58"/>
  <c r="J248" i="58"/>
  <c r="I248" i="58"/>
  <c r="K248" i="58" s="1"/>
  <c r="H248" i="58"/>
  <c r="D248" i="58"/>
  <c r="C248" i="58"/>
  <c r="AC247" i="58"/>
  <c r="AB247" i="58"/>
  <c r="AA247" i="58"/>
  <c r="Z247" i="58"/>
  <c r="X247" i="58"/>
  <c r="W247" i="58"/>
  <c r="V247" i="58"/>
  <c r="U247" i="58"/>
  <c r="T247" i="58"/>
  <c r="S247" i="58"/>
  <c r="R247" i="58"/>
  <c r="Q247" i="58"/>
  <c r="P247" i="58"/>
  <c r="N247" i="58"/>
  <c r="J247" i="58"/>
  <c r="K247" i="58" s="1"/>
  <c r="I247" i="58"/>
  <c r="H247" i="58"/>
  <c r="D247" i="58"/>
  <c r="C247" i="58"/>
  <c r="AC246" i="58"/>
  <c r="AB246" i="58"/>
  <c r="AA246" i="58"/>
  <c r="Z246" i="58"/>
  <c r="X246" i="58"/>
  <c r="W246" i="58"/>
  <c r="V246" i="58"/>
  <c r="U246" i="58"/>
  <c r="T246" i="58"/>
  <c r="S246" i="58"/>
  <c r="R246" i="58"/>
  <c r="Q246" i="58"/>
  <c r="P246" i="58"/>
  <c r="N246" i="58"/>
  <c r="K246" i="58"/>
  <c r="J246" i="58"/>
  <c r="I246" i="58"/>
  <c r="H246" i="58"/>
  <c r="D246" i="58"/>
  <c r="C246" i="58"/>
  <c r="AC245" i="58"/>
  <c r="AB245" i="58"/>
  <c r="AA245" i="58"/>
  <c r="Z245" i="58"/>
  <c r="X245" i="58"/>
  <c r="W245" i="58"/>
  <c r="V245" i="58"/>
  <c r="U245" i="58"/>
  <c r="T245" i="58"/>
  <c r="S245" i="58"/>
  <c r="R245" i="58"/>
  <c r="Q245" i="58"/>
  <c r="P245" i="58"/>
  <c r="N245" i="58"/>
  <c r="J245" i="58"/>
  <c r="I245" i="58"/>
  <c r="K245" i="58" s="1"/>
  <c r="H245" i="58"/>
  <c r="D245" i="58"/>
  <c r="C245" i="58"/>
  <c r="AC244" i="58"/>
  <c r="AB244" i="58"/>
  <c r="AA244" i="58"/>
  <c r="Z244" i="58"/>
  <c r="X244" i="58"/>
  <c r="W244" i="58"/>
  <c r="V244" i="58"/>
  <c r="U244" i="58"/>
  <c r="T244" i="58"/>
  <c r="S244" i="58"/>
  <c r="R244" i="58"/>
  <c r="Q244" i="58"/>
  <c r="P244" i="58"/>
  <c r="N244" i="58"/>
  <c r="J244" i="58"/>
  <c r="I244" i="58"/>
  <c r="K244" i="58" s="1"/>
  <c r="H244" i="58"/>
  <c r="D244" i="58"/>
  <c r="C244" i="58"/>
  <c r="AC243" i="58"/>
  <c r="AB243" i="58"/>
  <c r="AA243" i="58"/>
  <c r="Z243" i="58"/>
  <c r="X243" i="58"/>
  <c r="W243" i="58"/>
  <c r="V243" i="58"/>
  <c r="U243" i="58"/>
  <c r="T243" i="58"/>
  <c r="S243" i="58"/>
  <c r="R243" i="58"/>
  <c r="Q243" i="58"/>
  <c r="P243" i="58"/>
  <c r="N243" i="58"/>
  <c r="J243" i="58"/>
  <c r="K243" i="58" s="1"/>
  <c r="I243" i="58"/>
  <c r="H243" i="58"/>
  <c r="D243" i="58"/>
  <c r="C243" i="58"/>
  <c r="AC242" i="58"/>
  <c r="AB242" i="58"/>
  <c r="AA242" i="58"/>
  <c r="Z242" i="58"/>
  <c r="X242" i="58"/>
  <c r="W242" i="58"/>
  <c r="V242" i="58"/>
  <c r="U242" i="58"/>
  <c r="T242" i="58"/>
  <c r="S242" i="58"/>
  <c r="R242" i="58"/>
  <c r="Q242" i="58"/>
  <c r="P242" i="58"/>
  <c r="N242" i="58"/>
  <c r="K242" i="58"/>
  <c r="J242" i="58"/>
  <c r="I242" i="58"/>
  <c r="H242" i="58"/>
  <c r="D242" i="58"/>
  <c r="C242" i="58"/>
  <c r="AC241" i="58"/>
  <c r="AB241" i="58"/>
  <c r="AA241" i="58"/>
  <c r="Z241" i="58"/>
  <c r="X241" i="58"/>
  <c r="W241" i="58"/>
  <c r="V241" i="58"/>
  <c r="U241" i="58"/>
  <c r="T241" i="58"/>
  <c r="S241" i="58"/>
  <c r="R241" i="58"/>
  <c r="Q241" i="58"/>
  <c r="P241" i="58"/>
  <c r="N241" i="58"/>
  <c r="J241" i="58"/>
  <c r="I241" i="58"/>
  <c r="K241" i="58" s="1"/>
  <c r="H241" i="58"/>
  <c r="D241" i="58"/>
  <c r="C241" i="58"/>
  <c r="AC240" i="58"/>
  <c r="AB240" i="58"/>
  <c r="AA240" i="58"/>
  <c r="Z240" i="58"/>
  <c r="X240" i="58"/>
  <c r="W240" i="58"/>
  <c r="V240" i="58"/>
  <c r="U240" i="58"/>
  <c r="T240" i="58"/>
  <c r="S240" i="58"/>
  <c r="R240" i="58"/>
  <c r="Q240" i="58"/>
  <c r="P240" i="58"/>
  <c r="N240" i="58"/>
  <c r="J240" i="58"/>
  <c r="I240" i="58"/>
  <c r="K240" i="58" s="1"/>
  <c r="H240" i="58"/>
  <c r="D240" i="58"/>
  <c r="C240" i="58"/>
  <c r="AC239" i="58"/>
  <c r="AB239" i="58"/>
  <c r="AA239" i="58"/>
  <c r="Z239" i="58"/>
  <c r="X239" i="58"/>
  <c r="W239" i="58"/>
  <c r="V239" i="58"/>
  <c r="U239" i="58"/>
  <c r="T239" i="58"/>
  <c r="S239" i="58"/>
  <c r="R239" i="58"/>
  <c r="Q239" i="58"/>
  <c r="P239" i="58"/>
  <c r="N239" i="58"/>
  <c r="J239" i="58"/>
  <c r="K239" i="58" s="1"/>
  <c r="I239" i="58"/>
  <c r="H239" i="58"/>
  <c r="D239" i="58"/>
  <c r="C239" i="58"/>
  <c r="AC238" i="58"/>
  <c r="AB238" i="58"/>
  <c r="AA238" i="58"/>
  <c r="Z238" i="58"/>
  <c r="X238" i="58"/>
  <c r="W238" i="58"/>
  <c r="V238" i="58"/>
  <c r="U238" i="58"/>
  <c r="T238" i="58"/>
  <c r="S238" i="58"/>
  <c r="R238" i="58"/>
  <c r="Q238" i="58"/>
  <c r="P238" i="58"/>
  <c r="N238" i="58"/>
  <c r="K238" i="58"/>
  <c r="J238" i="58"/>
  <c r="I238" i="58"/>
  <c r="H238" i="58"/>
  <c r="D238" i="58"/>
  <c r="C238" i="58"/>
  <c r="AC237" i="58"/>
  <c r="AB237" i="58"/>
  <c r="AA237" i="58"/>
  <c r="Z237" i="58"/>
  <c r="X237" i="58"/>
  <c r="W237" i="58"/>
  <c r="V237" i="58"/>
  <c r="U237" i="58"/>
  <c r="T237" i="58"/>
  <c r="S237" i="58"/>
  <c r="R237" i="58"/>
  <c r="Q237" i="58"/>
  <c r="P237" i="58"/>
  <c r="N237" i="58"/>
  <c r="J237" i="58"/>
  <c r="I237" i="58"/>
  <c r="K237" i="58" s="1"/>
  <c r="H237" i="58"/>
  <c r="D237" i="58"/>
  <c r="C237" i="58"/>
  <c r="AC236" i="58"/>
  <c r="AB236" i="58"/>
  <c r="AA236" i="58"/>
  <c r="Z236" i="58"/>
  <c r="X236" i="58"/>
  <c r="W236" i="58"/>
  <c r="V236" i="58"/>
  <c r="U236" i="58"/>
  <c r="T236" i="58"/>
  <c r="S236" i="58"/>
  <c r="R236" i="58"/>
  <c r="Q236" i="58"/>
  <c r="P236" i="58"/>
  <c r="N236" i="58"/>
  <c r="J236" i="58"/>
  <c r="I236" i="58"/>
  <c r="K236" i="58" s="1"/>
  <c r="H236" i="58"/>
  <c r="D236" i="58"/>
  <c r="C236" i="58"/>
  <c r="AC235" i="58"/>
  <c r="AB235" i="58"/>
  <c r="AA235" i="58"/>
  <c r="Z235" i="58"/>
  <c r="X235" i="58"/>
  <c r="W235" i="58"/>
  <c r="V235" i="58"/>
  <c r="U235" i="58"/>
  <c r="T235" i="58"/>
  <c r="S235" i="58"/>
  <c r="R235" i="58"/>
  <c r="Q235" i="58"/>
  <c r="P235" i="58"/>
  <c r="N235" i="58"/>
  <c r="J235" i="58"/>
  <c r="K235" i="58" s="1"/>
  <c r="I235" i="58"/>
  <c r="H235" i="58"/>
  <c r="D235" i="58"/>
  <c r="C235" i="58"/>
  <c r="AC234" i="58"/>
  <c r="AB234" i="58"/>
  <c r="AA234" i="58"/>
  <c r="Z234" i="58"/>
  <c r="X234" i="58"/>
  <c r="W234" i="58"/>
  <c r="V234" i="58"/>
  <c r="U234" i="58"/>
  <c r="T234" i="58"/>
  <c r="S234" i="58"/>
  <c r="R234" i="58"/>
  <c r="Q234" i="58"/>
  <c r="P234" i="58"/>
  <c r="N234" i="58"/>
  <c r="K234" i="58"/>
  <c r="J234" i="58"/>
  <c r="I234" i="58"/>
  <c r="H234" i="58"/>
  <c r="D234" i="58"/>
  <c r="C234" i="58"/>
  <c r="AC233" i="58"/>
  <c r="AB233" i="58"/>
  <c r="AA233" i="58"/>
  <c r="Z233" i="58"/>
  <c r="X233" i="58"/>
  <c r="W233" i="58"/>
  <c r="V233" i="58"/>
  <c r="U233" i="58"/>
  <c r="T233" i="58"/>
  <c r="S233" i="58"/>
  <c r="R233" i="58"/>
  <c r="Q233" i="58"/>
  <c r="P233" i="58"/>
  <c r="N233" i="58"/>
  <c r="J233" i="58"/>
  <c r="I233" i="58"/>
  <c r="K233" i="58" s="1"/>
  <c r="H233" i="58"/>
  <c r="D233" i="58"/>
  <c r="C233" i="58"/>
  <c r="AC232" i="58"/>
  <c r="AB232" i="58"/>
  <c r="AA232" i="58"/>
  <c r="Z232" i="58"/>
  <c r="X232" i="58"/>
  <c r="W232" i="58"/>
  <c r="V232" i="58"/>
  <c r="U232" i="58"/>
  <c r="T232" i="58"/>
  <c r="S232" i="58"/>
  <c r="R232" i="58"/>
  <c r="Q232" i="58"/>
  <c r="P232" i="58"/>
  <c r="N232" i="58"/>
  <c r="J232" i="58"/>
  <c r="I232" i="58"/>
  <c r="K232" i="58" s="1"/>
  <c r="H232" i="58"/>
  <c r="D232" i="58"/>
  <c r="C232" i="58"/>
  <c r="AC231" i="58"/>
  <c r="AB231" i="58"/>
  <c r="AA231" i="58"/>
  <c r="Z231" i="58"/>
  <c r="X231" i="58"/>
  <c r="W231" i="58"/>
  <c r="V231" i="58"/>
  <c r="U231" i="58"/>
  <c r="T231" i="58"/>
  <c r="S231" i="58"/>
  <c r="R231" i="58"/>
  <c r="Q231" i="58"/>
  <c r="P231" i="58"/>
  <c r="N231" i="58"/>
  <c r="J231" i="58"/>
  <c r="K231" i="58" s="1"/>
  <c r="I231" i="58"/>
  <c r="H231" i="58"/>
  <c r="D231" i="58"/>
  <c r="C231" i="58"/>
  <c r="AC230" i="58"/>
  <c r="AB230" i="58"/>
  <c r="AA230" i="58"/>
  <c r="Z230" i="58"/>
  <c r="X230" i="58"/>
  <c r="W230" i="58"/>
  <c r="V230" i="58"/>
  <c r="U230" i="58"/>
  <c r="T230" i="58"/>
  <c r="S230" i="58"/>
  <c r="R230" i="58"/>
  <c r="Q230" i="58"/>
  <c r="P230" i="58"/>
  <c r="N230" i="58"/>
  <c r="K230" i="58"/>
  <c r="J230" i="58"/>
  <c r="I230" i="58"/>
  <c r="H230" i="58"/>
  <c r="D230" i="58"/>
  <c r="C230" i="58"/>
  <c r="AC229" i="58"/>
  <c r="AB229" i="58"/>
  <c r="AA229" i="58"/>
  <c r="Z229" i="58"/>
  <c r="X229" i="58"/>
  <c r="W229" i="58"/>
  <c r="V229" i="58"/>
  <c r="U229" i="58"/>
  <c r="T229" i="58"/>
  <c r="S229" i="58"/>
  <c r="R229" i="58"/>
  <c r="Q229" i="58"/>
  <c r="P229" i="58"/>
  <c r="N229" i="58"/>
  <c r="J229" i="58"/>
  <c r="I229" i="58"/>
  <c r="K229" i="58" s="1"/>
  <c r="H229" i="58"/>
  <c r="D229" i="58"/>
  <c r="C229" i="58"/>
  <c r="AC228" i="58"/>
  <c r="AB228" i="58"/>
  <c r="AA228" i="58"/>
  <c r="Z228" i="58"/>
  <c r="X228" i="58"/>
  <c r="W228" i="58"/>
  <c r="V228" i="58"/>
  <c r="U228" i="58"/>
  <c r="T228" i="58"/>
  <c r="S228" i="58"/>
  <c r="R228" i="58"/>
  <c r="Q228" i="58"/>
  <c r="P228" i="58"/>
  <c r="N228" i="58"/>
  <c r="J228" i="58"/>
  <c r="I228" i="58"/>
  <c r="K228" i="58" s="1"/>
  <c r="H228" i="58"/>
  <c r="D228" i="58"/>
  <c r="C228" i="58"/>
  <c r="AC227" i="58"/>
  <c r="AB227" i="58"/>
  <c r="AA227" i="58"/>
  <c r="Z227" i="58"/>
  <c r="X227" i="58"/>
  <c r="W227" i="58"/>
  <c r="V227" i="58"/>
  <c r="U227" i="58"/>
  <c r="T227" i="58"/>
  <c r="S227" i="58"/>
  <c r="R227" i="58"/>
  <c r="Q227" i="58"/>
  <c r="P227" i="58"/>
  <c r="N227" i="58"/>
  <c r="J227" i="58"/>
  <c r="K227" i="58" s="1"/>
  <c r="I227" i="58"/>
  <c r="H227" i="58"/>
  <c r="D227" i="58"/>
  <c r="C227" i="58"/>
  <c r="AC226" i="58"/>
  <c r="AB226" i="58"/>
  <c r="AA226" i="58"/>
  <c r="Z226" i="58"/>
  <c r="X226" i="58"/>
  <c r="W226" i="58"/>
  <c r="V226" i="58"/>
  <c r="U226" i="58"/>
  <c r="T226" i="58"/>
  <c r="S226" i="58"/>
  <c r="R226" i="58"/>
  <c r="Q226" i="58"/>
  <c r="P226" i="58"/>
  <c r="N226" i="58"/>
  <c r="K226" i="58"/>
  <c r="J226" i="58"/>
  <c r="I226" i="58"/>
  <c r="H226" i="58"/>
  <c r="D226" i="58"/>
  <c r="C226" i="58"/>
  <c r="AC225" i="58"/>
  <c r="AB225" i="58"/>
  <c r="AA225" i="58"/>
  <c r="Z225" i="58"/>
  <c r="X225" i="58"/>
  <c r="W225" i="58"/>
  <c r="V225" i="58"/>
  <c r="U225" i="58"/>
  <c r="T225" i="58"/>
  <c r="S225" i="58"/>
  <c r="R225" i="58"/>
  <c r="Q225" i="58"/>
  <c r="P225" i="58"/>
  <c r="N225" i="58"/>
  <c r="J225" i="58"/>
  <c r="I225" i="58"/>
  <c r="K225" i="58" s="1"/>
  <c r="H225" i="58"/>
  <c r="D225" i="58"/>
  <c r="C225" i="58"/>
  <c r="AC224" i="58"/>
  <c r="AB224" i="58"/>
  <c r="AA224" i="58"/>
  <c r="Z224" i="58"/>
  <c r="X224" i="58"/>
  <c r="W224" i="58"/>
  <c r="V224" i="58"/>
  <c r="U224" i="58"/>
  <c r="T224" i="58"/>
  <c r="S224" i="58"/>
  <c r="R224" i="58"/>
  <c r="Q224" i="58"/>
  <c r="P224" i="58"/>
  <c r="N224" i="58"/>
  <c r="J224" i="58"/>
  <c r="I224" i="58"/>
  <c r="K224" i="58" s="1"/>
  <c r="H224" i="58"/>
  <c r="D224" i="58"/>
  <c r="C224" i="58"/>
  <c r="AC223" i="58"/>
  <c r="AB223" i="58"/>
  <c r="AA223" i="58"/>
  <c r="Z223" i="58"/>
  <c r="X223" i="58"/>
  <c r="W223" i="58"/>
  <c r="V223" i="58"/>
  <c r="U223" i="58"/>
  <c r="T223" i="58"/>
  <c r="S223" i="58"/>
  <c r="R223" i="58"/>
  <c r="Q223" i="58"/>
  <c r="P223" i="58"/>
  <c r="N223" i="58"/>
  <c r="J223" i="58"/>
  <c r="K223" i="58" s="1"/>
  <c r="I223" i="58"/>
  <c r="H223" i="58"/>
  <c r="D223" i="58"/>
  <c r="C223" i="58"/>
  <c r="AC222" i="58"/>
  <c r="AB222" i="58"/>
  <c r="AA222" i="58"/>
  <c r="Z222" i="58"/>
  <c r="X222" i="58"/>
  <c r="W222" i="58"/>
  <c r="V222" i="58"/>
  <c r="U222" i="58"/>
  <c r="T222" i="58"/>
  <c r="S222" i="58"/>
  <c r="R222" i="58"/>
  <c r="Q222" i="58"/>
  <c r="P222" i="58"/>
  <c r="N222" i="58"/>
  <c r="K222" i="58"/>
  <c r="J222" i="58"/>
  <c r="I222" i="58"/>
  <c r="H222" i="58"/>
  <c r="D222" i="58"/>
  <c r="C222" i="58"/>
  <c r="AC221" i="58"/>
  <c r="AB221" i="58"/>
  <c r="AA221" i="58"/>
  <c r="Z221" i="58"/>
  <c r="X221" i="58"/>
  <c r="W221" i="58"/>
  <c r="V221" i="58"/>
  <c r="U221" i="58"/>
  <c r="T221" i="58"/>
  <c r="S221" i="58"/>
  <c r="R221" i="58"/>
  <c r="Q221" i="58"/>
  <c r="P221" i="58"/>
  <c r="N221" i="58"/>
  <c r="J221" i="58"/>
  <c r="I221" i="58"/>
  <c r="K221" i="58" s="1"/>
  <c r="H221" i="58"/>
  <c r="D221" i="58"/>
  <c r="C221" i="58"/>
  <c r="AC220" i="58"/>
  <c r="AB220" i="58"/>
  <c r="AA220" i="58"/>
  <c r="Z220" i="58"/>
  <c r="X220" i="58"/>
  <c r="W220" i="58"/>
  <c r="V220" i="58"/>
  <c r="U220" i="58"/>
  <c r="T220" i="58"/>
  <c r="S220" i="58"/>
  <c r="R220" i="58"/>
  <c r="Q220" i="58"/>
  <c r="P220" i="58"/>
  <c r="N220" i="58"/>
  <c r="J220" i="58"/>
  <c r="I220" i="58"/>
  <c r="K220" i="58" s="1"/>
  <c r="H220" i="58"/>
  <c r="D220" i="58"/>
  <c r="C220" i="58"/>
  <c r="AC219" i="58"/>
  <c r="AB219" i="58"/>
  <c r="AA219" i="58"/>
  <c r="Z219" i="58"/>
  <c r="X219" i="58"/>
  <c r="W219" i="58"/>
  <c r="V219" i="58"/>
  <c r="U219" i="58"/>
  <c r="T219" i="58"/>
  <c r="S219" i="58"/>
  <c r="R219" i="58"/>
  <c r="Q219" i="58"/>
  <c r="P219" i="58"/>
  <c r="N219" i="58"/>
  <c r="J219" i="58"/>
  <c r="K219" i="58" s="1"/>
  <c r="I219" i="58"/>
  <c r="H219" i="58"/>
  <c r="D219" i="58"/>
  <c r="C219" i="58"/>
  <c r="AC218" i="58"/>
  <c r="AB218" i="58"/>
  <c r="AA218" i="58"/>
  <c r="Z218" i="58"/>
  <c r="X218" i="58"/>
  <c r="W218" i="58"/>
  <c r="V218" i="58"/>
  <c r="U218" i="58"/>
  <c r="T218" i="58"/>
  <c r="S218" i="58"/>
  <c r="R218" i="58"/>
  <c r="Q218" i="58"/>
  <c r="P218" i="58"/>
  <c r="N218" i="58"/>
  <c r="K218" i="58"/>
  <c r="J218" i="58"/>
  <c r="I218" i="58"/>
  <c r="H218" i="58"/>
  <c r="D218" i="58"/>
  <c r="C218" i="58"/>
  <c r="AC217" i="58"/>
  <c r="AB217" i="58"/>
  <c r="AA217" i="58"/>
  <c r="Z217" i="58"/>
  <c r="X217" i="58"/>
  <c r="W217" i="58"/>
  <c r="V217" i="58"/>
  <c r="U217" i="58"/>
  <c r="T217" i="58"/>
  <c r="S217" i="58"/>
  <c r="R217" i="58"/>
  <c r="Q217" i="58"/>
  <c r="P217" i="58"/>
  <c r="N217" i="58"/>
  <c r="J217" i="58"/>
  <c r="I217" i="58"/>
  <c r="K217" i="58" s="1"/>
  <c r="H217" i="58"/>
  <c r="D217" i="58"/>
  <c r="C217" i="58"/>
  <c r="AC216" i="58"/>
  <c r="AB216" i="58"/>
  <c r="AA216" i="58"/>
  <c r="Z216" i="58"/>
  <c r="X216" i="58"/>
  <c r="W216" i="58"/>
  <c r="V216" i="58"/>
  <c r="U216" i="58"/>
  <c r="T216" i="58"/>
  <c r="S216" i="58"/>
  <c r="R216" i="58"/>
  <c r="Q216" i="58"/>
  <c r="P216" i="58"/>
  <c r="N216" i="58"/>
  <c r="J216" i="58"/>
  <c r="I216" i="58"/>
  <c r="K216" i="58" s="1"/>
  <c r="H216" i="58"/>
  <c r="D216" i="58"/>
  <c r="C216" i="58"/>
  <c r="AC215" i="58"/>
  <c r="AB215" i="58"/>
  <c r="AA215" i="58"/>
  <c r="Z215" i="58"/>
  <c r="X215" i="58"/>
  <c r="W215" i="58"/>
  <c r="V215" i="58"/>
  <c r="U215" i="58"/>
  <c r="T215" i="58"/>
  <c r="S215" i="58"/>
  <c r="R215" i="58"/>
  <c r="Q215" i="58"/>
  <c r="P215" i="58"/>
  <c r="N215" i="58"/>
  <c r="J215" i="58"/>
  <c r="K215" i="58" s="1"/>
  <c r="I215" i="58"/>
  <c r="H215" i="58"/>
  <c r="D215" i="58"/>
  <c r="C215" i="58"/>
  <c r="AC214" i="58"/>
  <c r="AB214" i="58"/>
  <c r="AA214" i="58"/>
  <c r="Z214" i="58"/>
  <c r="X214" i="58"/>
  <c r="W214" i="58"/>
  <c r="V214" i="58"/>
  <c r="U214" i="58"/>
  <c r="T214" i="58"/>
  <c r="S214" i="58"/>
  <c r="R214" i="58"/>
  <c r="Q214" i="58"/>
  <c r="P214" i="58"/>
  <c r="N214" i="58"/>
  <c r="K214" i="58"/>
  <c r="J214" i="58"/>
  <c r="I214" i="58"/>
  <c r="H214" i="58"/>
  <c r="D214" i="58"/>
  <c r="C214" i="58"/>
  <c r="AC213" i="58"/>
  <c r="AB213" i="58"/>
  <c r="AA213" i="58"/>
  <c r="Z213" i="58"/>
  <c r="X213" i="58"/>
  <c r="W213" i="58"/>
  <c r="V213" i="58"/>
  <c r="U213" i="58"/>
  <c r="T213" i="58"/>
  <c r="S213" i="58"/>
  <c r="R213" i="58"/>
  <c r="Q213" i="58"/>
  <c r="P213" i="58"/>
  <c r="N213" i="58"/>
  <c r="J213" i="58"/>
  <c r="I213" i="58"/>
  <c r="K213" i="58" s="1"/>
  <c r="H213" i="58"/>
  <c r="D213" i="58"/>
  <c r="C213" i="58"/>
  <c r="AC212" i="58"/>
  <c r="AB212" i="58"/>
  <c r="AA212" i="58"/>
  <c r="Z212" i="58"/>
  <c r="X212" i="58"/>
  <c r="W212" i="58"/>
  <c r="V212" i="58"/>
  <c r="U212" i="58"/>
  <c r="T212" i="58"/>
  <c r="S212" i="58"/>
  <c r="R212" i="58"/>
  <c r="Q212" i="58"/>
  <c r="P212" i="58"/>
  <c r="N212" i="58"/>
  <c r="J212" i="58"/>
  <c r="I212" i="58"/>
  <c r="K212" i="58" s="1"/>
  <c r="H212" i="58"/>
  <c r="D212" i="58"/>
  <c r="C212" i="58"/>
  <c r="AC211" i="58"/>
  <c r="AB211" i="58"/>
  <c r="AA211" i="58"/>
  <c r="Z211" i="58"/>
  <c r="X211" i="58"/>
  <c r="W211" i="58"/>
  <c r="V211" i="58"/>
  <c r="U211" i="58"/>
  <c r="T211" i="58"/>
  <c r="S211" i="58"/>
  <c r="R211" i="58"/>
  <c r="Q211" i="58"/>
  <c r="P211" i="58"/>
  <c r="N211" i="58"/>
  <c r="J211" i="58"/>
  <c r="K211" i="58" s="1"/>
  <c r="I211" i="58"/>
  <c r="H211" i="58"/>
  <c r="D211" i="58"/>
  <c r="C211" i="58"/>
  <c r="AC210" i="58"/>
  <c r="AB210" i="58"/>
  <c r="AA210" i="58"/>
  <c r="Z210" i="58"/>
  <c r="X210" i="58"/>
  <c r="W210" i="58"/>
  <c r="V210" i="58"/>
  <c r="U210" i="58"/>
  <c r="T210" i="58"/>
  <c r="S210" i="58"/>
  <c r="R210" i="58"/>
  <c r="Q210" i="58"/>
  <c r="P210" i="58"/>
  <c r="N210" i="58"/>
  <c r="K210" i="58"/>
  <c r="J210" i="58"/>
  <c r="I210" i="58"/>
  <c r="H210" i="58"/>
  <c r="D210" i="58"/>
  <c r="C210" i="58"/>
  <c r="AC209" i="58"/>
  <c r="AB209" i="58"/>
  <c r="AA209" i="58"/>
  <c r="Z209" i="58"/>
  <c r="X209" i="58"/>
  <c r="W209" i="58"/>
  <c r="V209" i="58"/>
  <c r="U209" i="58"/>
  <c r="T209" i="58"/>
  <c r="S209" i="58"/>
  <c r="R209" i="58"/>
  <c r="Q209" i="58"/>
  <c r="P209" i="58"/>
  <c r="N209" i="58"/>
  <c r="J209" i="58"/>
  <c r="I209" i="58"/>
  <c r="K209" i="58" s="1"/>
  <c r="H209" i="58"/>
  <c r="D209" i="58"/>
  <c r="C209" i="58"/>
  <c r="AC208" i="58"/>
  <c r="AB208" i="58"/>
  <c r="AA208" i="58"/>
  <c r="Z208" i="58"/>
  <c r="X208" i="58"/>
  <c r="W208" i="58"/>
  <c r="V208" i="58"/>
  <c r="U208" i="58"/>
  <c r="T208" i="58"/>
  <c r="S208" i="58"/>
  <c r="R208" i="58"/>
  <c r="Q208" i="58"/>
  <c r="P208" i="58"/>
  <c r="N208" i="58"/>
  <c r="J208" i="58"/>
  <c r="I208" i="58"/>
  <c r="K208" i="58" s="1"/>
  <c r="H208" i="58"/>
  <c r="D208" i="58"/>
  <c r="C208" i="58"/>
  <c r="AC207" i="58"/>
  <c r="AB207" i="58"/>
  <c r="AA207" i="58"/>
  <c r="Z207" i="58"/>
  <c r="X207" i="58"/>
  <c r="W207" i="58"/>
  <c r="V207" i="58"/>
  <c r="U207" i="58"/>
  <c r="T207" i="58"/>
  <c r="S207" i="58"/>
  <c r="R207" i="58"/>
  <c r="Q207" i="58"/>
  <c r="P207" i="58"/>
  <c r="N207" i="58"/>
  <c r="J207" i="58"/>
  <c r="K207" i="58" s="1"/>
  <c r="I207" i="58"/>
  <c r="H207" i="58"/>
  <c r="D207" i="58"/>
  <c r="C207" i="58"/>
  <c r="AC206" i="58"/>
  <c r="AB206" i="58"/>
  <c r="AA206" i="58"/>
  <c r="Z206" i="58"/>
  <c r="X206" i="58"/>
  <c r="W206" i="58"/>
  <c r="V206" i="58"/>
  <c r="U206" i="58"/>
  <c r="T206" i="58"/>
  <c r="S206" i="58"/>
  <c r="R206" i="58"/>
  <c r="Q206" i="58"/>
  <c r="P206" i="58"/>
  <c r="N206" i="58"/>
  <c r="K206" i="58"/>
  <c r="J206" i="58"/>
  <c r="I206" i="58"/>
  <c r="H206" i="58"/>
  <c r="D206" i="58"/>
  <c r="C206" i="58"/>
  <c r="AC205" i="58"/>
  <c r="AB205" i="58"/>
  <c r="AA205" i="58"/>
  <c r="Z205" i="58"/>
  <c r="X205" i="58"/>
  <c r="W205" i="58"/>
  <c r="V205" i="58"/>
  <c r="U205" i="58"/>
  <c r="T205" i="58"/>
  <c r="S205" i="58"/>
  <c r="R205" i="58"/>
  <c r="Q205" i="58"/>
  <c r="P205" i="58"/>
  <c r="N205" i="58"/>
  <c r="J205" i="58"/>
  <c r="I205" i="58"/>
  <c r="K205" i="58" s="1"/>
  <c r="H205" i="58"/>
  <c r="D205" i="58"/>
  <c r="C205" i="58"/>
  <c r="AC204" i="58"/>
  <c r="AB204" i="58"/>
  <c r="AA204" i="58"/>
  <c r="Z204" i="58"/>
  <c r="X204" i="58"/>
  <c r="W204" i="58"/>
  <c r="V204" i="58"/>
  <c r="U204" i="58"/>
  <c r="T204" i="58"/>
  <c r="S204" i="58"/>
  <c r="R204" i="58"/>
  <c r="Q204" i="58"/>
  <c r="P204" i="58"/>
  <c r="N204" i="58"/>
  <c r="J204" i="58"/>
  <c r="I204" i="58"/>
  <c r="K204" i="58" s="1"/>
  <c r="H204" i="58"/>
  <c r="D204" i="58"/>
  <c r="C204" i="58"/>
  <c r="AC203" i="58"/>
  <c r="AB203" i="58"/>
  <c r="AA203" i="58"/>
  <c r="Z203" i="58"/>
  <c r="X203" i="58"/>
  <c r="W203" i="58"/>
  <c r="V203" i="58"/>
  <c r="U203" i="58"/>
  <c r="T203" i="58"/>
  <c r="S203" i="58"/>
  <c r="R203" i="58"/>
  <c r="Q203" i="58"/>
  <c r="P203" i="58"/>
  <c r="N203" i="58"/>
  <c r="J203" i="58"/>
  <c r="K203" i="58" s="1"/>
  <c r="I203" i="58"/>
  <c r="H203" i="58"/>
  <c r="D203" i="58"/>
  <c r="C203" i="58"/>
  <c r="AC202" i="58"/>
  <c r="AB202" i="58"/>
  <c r="AA202" i="58"/>
  <c r="Z202" i="58"/>
  <c r="X202" i="58"/>
  <c r="W202" i="58"/>
  <c r="V202" i="58"/>
  <c r="U202" i="58"/>
  <c r="T202" i="58"/>
  <c r="S202" i="58"/>
  <c r="R202" i="58"/>
  <c r="Q202" i="58"/>
  <c r="P202" i="58"/>
  <c r="N202" i="58"/>
  <c r="K202" i="58"/>
  <c r="J202" i="58"/>
  <c r="I202" i="58"/>
  <c r="H202" i="58"/>
  <c r="D202" i="58"/>
  <c r="C202" i="58"/>
  <c r="AC201" i="58"/>
  <c r="AB201" i="58"/>
  <c r="AA201" i="58"/>
  <c r="Z201" i="58"/>
  <c r="X201" i="58"/>
  <c r="W201" i="58"/>
  <c r="V201" i="58"/>
  <c r="U201" i="58"/>
  <c r="T201" i="58"/>
  <c r="S201" i="58"/>
  <c r="R201" i="58"/>
  <c r="Q201" i="58"/>
  <c r="P201" i="58"/>
  <c r="N201" i="58"/>
  <c r="J201" i="58"/>
  <c r="I201" i="58"/>
  <c r="K201" i="58" s="1"/>
  <c r="H201" i="58"/>
  <c r="D201" i="58"/>
  <c r="C201" i="58"/>
  <c r="AC200" i="58"/>
  <c r="AB200" i="58"/>
  <c r="AA200" i="58"/>
  <c r="Z200" i="58"/>
  <c r="X200" i="58"/>
  <c r="W200" i="58"/>
  <c r="V200" i="58"/>
  <c r="U200" i="58"/>
  <c r="T200" i="58"/>
  <c r="S200" i="58"/>
  <c r="R200" i="58"/>
  <c r="Q200" i="58"/>
  <c r="P200" i="58"/>
  <c r="N200" i="58"/>
  <c r="J200" i="58"/>
  <c r="I200" i="58"/>
  <c r="K200" i="58" s="1"/>
  <c r="H200" i="58"/>
  <c r="D200" i="58"/>
  <c r="C200" i="58"/>
  <c r="AC199" i="58"/>
  <c r="AB199" i="58"/>
  <c r="AA199" i="58"/>
  <c r="Z199" i="58"/>
  <c r="X199" i="58"/>
  <c r="W199" i="58"/>
  <c r="V199" i="58"/>
  <c r="U199" i="58"/>
  <c r="T199" i="58"/>
  <c r="S199" i="58"/>
  <c r="R199" i="58"/>
  <c r="Q199" i="58"/>
  <c r="P199" i="58"/>
  <c r="N199" i="58"/>
  <c r="J199" i="58"/>
  <c r="K199" i="58" s="1"/>
  <c r="I199" i="58"/>
  <c r="H199" i="58"/>
  <c r="D199" i="58"/>
  <c r="C199" i="58"/>
  <c r="AC198" i="58"/>
  <c r="AB198" i="58"/>
  <c r="AA198" i="58"/>
  <c r="Z198" i="58"/>
  <c r="X198" i="58"/>
  <c r="W198" i="58"/>
  <c r="V198" i="58"/>
  <c r="U198" i="58"/>
  <c r="T198" i="58"/>
  <c r="S198" i="58"/>
  <c r="R198" i="58"/>
  <c r="Q198" i="58"/>
  <c r="P198" i="58"/>
  <c r="N198" i="58"/>
  <c r="K198" i="58"/>
  <c r="J198" i="58"/>
  <c r="I198" i="58"/>
  <c r="H198" i="58"/>
  <c r="D198" i="58"/>
  <c r="C198" i="58"/>
  <c r="AC197" i="58"/>
  <c r="AB197" i="58"/>
  <c r="AA197" i="58"/>
  <c r="Z197" i="58"/>
  <c r="X197" i="58"/>
  <c r="W197" i="58"/>
  <c r="V197" i="58"/>
  <c r="U197" i="58"/>
  <c r="T197" i="58"/>
  <c r="S197" i="58"/>
  <c r="R197" i="58"/>
  <c r="Q197" i="58"/>
  <c r="P197" i="58"/>
  <c r="N197" i="58"/>
  <c r="J197" i="58"/>
  <c r="I197" i="58"/>
  <c r="K197" i="58" s="1"/>
  <c r="H197" i="58"/>
  <c r="D197" i="58"/>
  <c r="C197" i="58"/>
  <c r="AC196" i="58"/>
  <c r="AB196" i="58"/>
  <c r="AA196" i="58"/>
  <c r="Z196" i="58"/>
  <c r="X196" i="58"/>
  <c r="W196" i="58"/>
  <c r="V196" i="58"/>
  <c r="U196" i="58"/>
  <c r="T196" i="58"/>
  <c r="S196" i="58"/>
  <c r="R196" i="58"/>
  <c r="Q196" i="58"/>
  <c r="P196" i="58"/>
  <c r="N196" i="58"/>
  <c r="J196" i="58"/>
  <c r="I196" i="58"/>
  <c r="K196" i="58" s="1"/>
  <c r="H196" i="58"/>
  <c r="D196" i="58"/>
  <c r="C196" i="58"/>
  <c r="AC195" i="58"/>
  <c r="AB195" i="58"/>
  <c r="AA195" i="58"/>
  <c r="Z195" i="58"/>
  <c r="X195" i="58"/>
  <c r="W195" i="58"/>
  <c r="V195" i="58"/>
  <c r="U195" i="58"/>
  <c r="T195" i="58"/>
  <c r="S195" i="58"/>
  <c r="R195" i="58"/>
  <c r="Q195" i="58"/>
  <c r="P195" i="58"/>
  <c r="N195" i="58"/>
  <c r="J195" i="58"/>
  <c r="K195" i="58" s="1"/>
  <c r="I195" i="58"/>
  <c r="H195" i="58"/>
  <c r="D195" i="58"/>
  <c r="C195" i="58"/>
  <c r="AC194" i="58"/>
  <c r="AB194" i="58"/>
  <c r="AA194" i="58"/>
  <c r="Z194" i="58"/>
  <c r="X194" i="58"/>
  <c r="W194" i="58"/>
  <c r="V194" i="58"/>
  <c r="U194" i="58"/>
  <c r="T194" i="58"/>
  <c r="S194" i="58"/>
  <c r="R194" i="58"/>
  <c r="Q194" i="58"/>
  <c r="P194" i="58"/>
  <c r="N194" i="58"/>
  <c r="K194" i="58"/>
  <c r="J194" i="58"/>
  <c r="I194" i="58"/>
  <c r="H194" i="58"/>
  <c r="D194" i="58"/>
  <c r="C194" i="58"/>
  <c r="AC193" i="58"/>
  <c r="AB193" i="58"/>
  <c r="AA193" i="58"/>
  <c r="Z193" i="58"/>
  <c r="X193" i="58"/>
  <c r="W193" i="58"/>
  <c r="V193" i="58"/>
  <c r="U193" i="58"/>
  <c r="T193" i="58"/>
  <c r="S193" i="58"/>
  <c r="R193" i="58"/>
  <c r="Q193" i="58"/>
  <c r="P193" i="58"/>
  <c r="N193" i="58"/>
  <c r="J193" i="58"/>
  <c r="I193" i="58"/>
  <c r="K193" i="58" s="1"/>
  <c r="H193" i="58"/>
  <c r="D193" i="58"/>
  <c r="C193" i="58"/>
  <c r="AC192" i="58"/>
  <c r="AB192" i="58"/>
  <c r="AA192" i="58"/>
  <c r="Z192" i="58"/>
  <c r="X192" i="58"/>
  <c r="W192" i="58"/>
  <c r="V192" i="58"/>
  <c r="U192" i="58"/>
  <c r="T192" i="58"/>
  <c r="S192" i="58"/>
  <c r="R192" i="58"/>
  <c r="Q192" i="58"/>
  <c r="P192" i="58"/>
  <c r="N192" i="58"/>
  <c r="J192" i="58"/>
  <c r="I192" i="58"/>
  <c r="K192" i="58" s="1"/>
  <c r="H192" i="58"/>
  <c r="D192" i="58"/>
  <c r="C192" i="58"/>
  <c r="AC191" i="58"/>
  <c r="AB191" i="58"/>
  <c r="AA191" i="58"/>
  <c r="Z191" i="58"/>
  <c r="X191" i="58"/>
  <c r="W191" i="58"/>
  <c r="V191" i="58"/>
  <c r="U191" i="58"/>
  <c r="T191" i="58"/>
  <c r="S191" i="58"/>
  <c r="R191" i="58"/>
  <c r="Q191" i="58"/>
  <c r="P191" i="58"/>
  <c r="N191" i="58"/>
  <c r="J191" i="58"/>
  <c r="K191" i="58" s="1"/>
  <c r="I191" i="58"/>
  <c r="H191" i="58"/>
  <c r="D191" i="58"/>
  <c r="C191" i="58"/>
  <c r="AC190" i="58"/>
  <c r="AB190" i="58"/>
  <c r="AA190" i="58"/>
  <c r="Z190" i="58"/>
  <c r="X190" i="58"/>
  <c r="W190" i="58"/>
  <c r="V190" i="58"/>
  <c r="U190" i="58"/>
  <c r="T190" i="58"/>
  <c r="S190" i="58"/>
  <c r="R190" i="58"/>
  <c r="Q190" i="58"/>
  <c r="P190" i="58"/>
  <c r="N190" i="58"/>
  <c r="K190" i="58"/>
  <c r="J190" i="58"/>
  <c r="I190" i="58"/>
  <c r="H190" i="58"/>
  <c r="D190" i="58"/>
  <c r="C190" i="58"/>
  <c r="AC189" i="58"/>
  <c r="AB189" i="58"/>
  <c r="AA189" i="58"/>
  <c r="Z189" i="58"/>
  <c r="X189" i="58"/>
  <c r="W189" i="58"/>
  <c r="V189" i="58"/>
  <c r="U189" i="58"/>
  <c r="T189" i="58"/>
  <c r="S189" i="58"/>
  <c r="R189" i="58"/>
  <c r="Q189" i="58"/>
  <c r="P189" i="58"/>
  <c r="N189" i="58"/>
  <c r="J189" i="58"/>
  <c r="I189" i="58"/>
  <c r="K189" i="58" s="1"/>
  <c r="H189" i="58"/>
  <c r="D189" i="58"/>
  <c r="C189" i="58"/>
  <c r="AC188" i="58"/>
  <c r="AB188" i="58"/>
  <c r="AA188" i="58"/>
  <c r="Z188" i="58"/>
  <c r="X188" i="58"/>
  <c r="W188" i="58"/>
  <c r="V188" i="58"/>
  <c r="U188" i="58"/>
  <c r="T188" i="58"/>
  <c r="S188" i="58"/>
  <c r="R188" i="58"/>
  <c r="Q188" i="58"/>
  <c r="P188" i="58"/>
  <c r="N188" i="58"/>
  <c r="J188" i="58"/>
  <c r="I188" i="58"/>
  <c r="K188" i="58" s="1"/>
  <c r="H188" i="58"/>
  <c r="D188" i="58"/>
  <c r="C188" i="58"/>
  <c r="AC187" i="58"/>
  <c r="AB187" i="58"/>
  <c r="AA187" i="58"/>
  <c r="Z187" i="58"/>
  <c r="X187" i="58"/>
  <c r="W187" i="58"/>
  <c r="V187" i="58"/>
  <c r="U187" i="58"/>
  <c r="T187" i="58"/>
  <c r="S187" i="58"/>
  <c r="R187" i="58"/>
  <c r="Q187" i="58"/>
  <c r="P187" i="58"/>
  <c r="N187" i="58"/>
  <c r="J187" i="58"/>
  <c r="K187" i="58" s="1"/>
  <c r="I187" i="58"/>
  <c r="H187" i="58"/>
  <c r="D187" i="58"/>
  <c r="C187" i="58"/>
  <c r="AC186" i="58"/>
  <c r="AB186" i="58"/>
  <c r="AA186" i="58"/>
  <c r="Z186" i="58"/>
  <c r="X186" i="58"/>
  <c r="W186" i="58"/>
  <c r="V186" i="58"/>
  <c r="U186" i="58"/>
  <c r="T186" i="58"/>
  <c r="S186" i="58"/>
  <c r="R186" i="58"/>
  <c r="Q186" i="58"/>
  <c r="P186" i="58"/>
  <c r="N186" i="58"/>
  <c r="K186" i="58"/>
  <c r="J186" i="58"/>
  <c r="I186" i="58"/>
  <c r="H186" i="58"/>
  <c r="D186" i="58"/>
  <c r="C186" i="58"/>
  <c r="AC185" i="58"/>
  <c r="AB185" i="58"/>
  <c r="AA185" i="58"/>
  <c r="Z185" i="58"/>
  <c r="X185" i="58"/>
  <c r="W185" i="58"/>
  <c r="V185" i="58"/>
  <c r="U185" i="58"/>
  <c r="T185" i="58"/>
  <c r="S185" i="58"/>
  <c r="R185" i="58"/>
  <c r="Q185" i="58"/>
  <c r="P185" i="58"/>
  <c r="N185" i="58"/>
  <c r="J185" i="58"/>
  <c r="I185" i="58"/>
  <c r="K185" i="58" s="1"/>
  <c r="H185" i="58"/>
  <c r="D185" i="58"/>
  <c r="C185" i="58"/>
  <c r="AC184" i="58"/>
  <c r="AB184" i="58"/>
  <c r="AA184" i="58"/>
  <c r="Z184" i="58"/>
  <c r="X184" i="58"/>
  <c r="W184" i="58"/>
  <c r="V184" i="58"/>
  <c r="U184" i="58"/>
  <c r="T184" i="58"/>
  <c r="S184" i="58"/>
  <c r="R184" i="58"/>
  <c r="Q184" i="58"/>
  <c r="P184" i="58"/>
  <c r="N184" i="58"/>
  <c r="J184" i="58"/>
  <c r="I184" i="58"/>
  <c r="K184" i="58" s="1"/>
  <c r="H184" i="58"/>
  <c r="D184" i="58"/>
  <c r="C184" i="58"/>
  <c r="AC183" i="58"/>
  <c r="AB183" i="58"/>
  <c r="AA183" i="58"/>
  <c r="Z183" i="58"/>
  <c r="X183" i="58"/>
  <c r="W183" i="58"/>
  <c r="V183" i="58"/>
  <c r="U183" i="58"/>
  <c r="T183" i="58"/>
  <c r="S183" i="58"/>
  <c r="R183" i="58"/>
  <c r="Q183" i="58"/>
  <c r="P183" i="58"/>
  <c r="N183" i="58"/>
  <c r="J183" i="58"/>
  <c r="K183" i="58" s="1"/>
  <c r="I183" i="58"/>
  <c r="H183" i="58"/>
  <c r="D183" i="58"/>
  <c r="C183" i="58"/>
  <c r="AC182" i="58"/>
  <c r="AB182" i="58"/>
  <c r="AA182" i="58"/>
  <c r="Z182" i="58"/>
  <c r="X182" i="58"/>
  <c r="W182" i="58"/>
  <c r="V182" i="58"/>
  <c r="U182" i="58"/>
  <c r="T182" i="58"/>
  <c r="S182" i="58"/>
  <c r="R182" i="58"/>
  <c r="Q182" i="58"/>
  <c r="P182" i="58"/>
  <c r="N182" i="58"/>
  <c r="K182" i="58"/>
  <c r="J182" i="58"/>
  <c r="I182" i="58"/>
  <c r="H182" i="58"/>
  <c r="D182" i="58"/>
  <c r="C182" i="58"/>
  <c r="AC181" i="58"/>
  <c r="AB181" i="58"/>
  <c r="AA181" i="58"/>
  <c r="Z181" i="58"/>
  <c r="X181" i="58"/>
  <c r="W181" i="58"/>
  <c r="V181" i="58"/>
  <c r="U181" i="58"/>
  <c r="T181" i="58"/>
  <c r="S181" i="58"/>
  <c r="R181" i="58"/>
  <c r="Q181" i="58"/>
  <c r="P181" i="58"/>
  <c r="N181" i="58"/>
  <c r="J181" i="58"/>
  <c r="I181" i="58"/>
  <c r="K181" i="58" s="1"/>
  <c r="H181" i="58"/>
  <c r="D181" i="58"/>
  <c r="C181" i="58"/>
  <c r="AC180" i="58"/>
  <c r="AB180" i="58"/>
  <c r="AA180" i="58"/>
  <c r="Z180" i="58"/>
  <c r="X180" i="58"/>
  <c r="W180" i="58"/>
  <c r="V180" i="58"/>
  <c r="U180" i="58"/>
  <c r="T180" i="58"/>
  <c r="S180" i="58"/>
  <c r="R180" i="58"/>
  <c r="Q180" i="58"/>
  <c r="P180" i="58"/>
  <c r="N180" i="58"/>
  <c r="J180" i="58"/>
  <c r="I180" i="58"/>
  <c r="K180" i="58" s="1"/>
  <c r="H180" i="58"/>
  <c r="D180" i="58"/>
  <c r="C180" i="58"/>
  <c r="AC179" i="58"/>
  <c r="AB179" i="58"/>
  <c r="AA179" i="58"/>
  <c r="Z179" i="58"/>
  <c r="X179" i="58"/>
  <c r="W179" i="58"/>
  <c r="V179" i="58"/>
  <c r="U179" i="58"/>
  <c r="T179" i="58"/>
  <c r="S179" i="58"/>
  <c r="R179" i="58"/>
  <c r="Q179" i="58"/>
  <c r="P179" i="58"/>
  <c r="N179" i="58"/>
  <c r="J179" i="58"/>
  <c r="K179" i="58" s="1"/>
  <c r="I179" i="58"/>
  <c r="H179" i="58"/>
  <c r="D179" i="58"/>
  <c r="C179" i="58"/>
  <c r="AC178" i="58"/>
  <c r="AB178" i="58"/>
  <c r="AA178" i="58"/>
  <c r="Z178" i="58"/>
  <c r="X178" i="58"/>
  <c r="W178" i="58"/>
  <c r="V178" i="58"/>
  <c r="U178" i="58"/>
  <c r="T178" i="58"/>
  <c r="S178" i="58"/>
  <c r="R178" i="58"/>
  <c r="Q178" i="58"/>
  <c r="P178" i="58"/>
  <c r="N178" i="58"/>
  <c r="K178" i="58"/>
  <c r="J178" i="58"/>
  <c r="I178" i="58"/>
  <c r="H178" i="58"/>
  <c r="D178" i="58"/>
  <c r="C178" i="58"/>
  <c r="AC177" i="58"/>
  <c r="AB177" i="58"/>
  <c r="AA177" i="58"/>
  <c r="Z177" i="58"/>
  <c r="X177" i="58"/>
  <c r="W177" i="58"/>
  <c r="V177" i="58"/>
  <c r="U177" i="58"/>
  <c r="T177" i="58"/>
  <c r="S177" i="58"/>
  <c r="R177" i="58"/>
  <c r="Q177" i="58"/>
  <c r="P177" i="58"/>
  <c r="N177" i="58"/>
  <c r="J177" i="58"/>
  <c r="I177" i="58"/>
  <c r="K177" i="58" s="1"/>
  <c r="H177" i="58"/>
  <c r="D177" i="58"/>
  <c r="C177" i="58"/>
  <c r="AC176" i="58"/>
  <c r="AB176" i="58"/>
  <c r="AA176" i="58"/>
  <c r="Z176" i="58"/>
  <c r="X176" i="58"/>
  <c r="W176" i="58"/>
  <c r="V176" i="58"/>
  <c r="U176" i="58"/>
  <c r="T176" i="58"/>
  <c r="S176" i="58"/>
  <c r="R176" i="58"/>
  <c r="Q176" i="58"/>
  <c r="P176" i="58"/>
  <c r="N176" i="58"/>
  <c r="J176" i="58"/>
  <c r="I176" i="58"/>
  <c r="K176" i="58" s="1"/>
  <c r="H176" i="58"/>
  <c r="D176" i="58"/>
  <c r="C176" i="58"/>
  <c r="AC175" i="58"/>
  <c r="AB175" i="58"/>
  <c r="AA175" i="58"/>
  <c r="Z175" i="58"/>
  <c r="X175" i="58"/>
  <c r="W175" i="58"/>
  <c r="V175" i="58"/>
  <c r="U175" i="58"/>
  <c r="T175" i="58"/>
  <c r="S175" i="58"/>
  <c r="R175" i="58"/>
  <c r="Q175" i="58"/>
  <c r="P175" i="58"/>
  <c r="N175" i="58"/>
  <c r="J175" i="58"/>
  <c r="K175" i="58" s="1"/>
  <c r="I175" i="58"/>
  <c r="H175" i="58"/>
  <c r="D175" i="58"/>
  <c r="C175" i="58"/>
  <c r="AC174" i="58"/>
  <c r="AB174" i="58"/>
  <c r="AA174" i="58"/>
  <c r="Z174" i="58"/>
  <c r="X174" i="58"/>
  <c r="W174" i="58"/>
  <c r="V174" i="58"/>
  <c r="U174" i="58"/>
  <c r="T174" i="58"/>
  <c r="S174" i="58"/>
  <c r="R174" i="58"/>
  <c r="Q174" i="58"/>
  <c r="P174" i="58"/>
  <c r="N174" i="58"/>
  <c r="K174" i="58"/>
  <c r="J174" i="58"/>
  <c r="I174" i="58"/>
  <c r="H174" i="58"/>
  <c r="D174" i="58"/>
  <c r="C174" i="58"/>
  <c r="AC173" i="58"/>
  <c r="AB173" i="58"/>
  <c r="AA173" i="58"/>
  <c r="Z173" i="58"/>
  <c r="X173" i="58"/>
  <c r="W173" i="58"/>
  <c r="V173" i="58"/>
  <c r="U173" i="58"/>
  <c r="T173" i="58"/>
  <c r="S173" i="58"/>
  <c r="R173" i="58"/>
  <c r="Q173" i="58"/>
  <c r="P173" i="58"/>
  <c r="N173" i="58"/>
  <c r="J173" i="58"/>
  <c r="I173" i="58"/>
  <c r="K173" i="58" s="1"/>
  <c r="H173" i="58"/>
  <c r="D173" i="58"/>
  <c r="C173" i="58"/>
  <c r="AC172" i="58"/>
  <c r="AB172" i="58"/>
  <c r="AA172" i="58"/>
  <c r="Z172" i="58"/>
  <c r="X172" i="58"/>
  <c r="W172" i="58"/>
  <c r="V172" i="58"/>
  <c r="U172" i="58"/>
  <c r="T172" i="58"/>
  <c r="S172" i="58"/>
  <c r="R172" i="58"/>
  <c r="Q172" i="58"/>
  <c r="P172" i="58"/>
  <c r="N172" i="58"/>
  <c r="J172" i="58"/>
  <c r="I172" i="58"/>
  <c r="K172" i="58" s="1"/>
  <c r="H172" i="58"/>
  <c r="D172" i="58"/>
  <c r="C172" i="58"/>
  <c r="AC171" i="58"/>
  <c r="AB171" i="58"/>
  <c r="AA171" i="58"/>
  <c r="Z171" i="58"/>
  <c r="X171" i="58"/>
  <c r="W171" i="58"/>
  <c r="V171" i="58"/>
  <c r="U171" i="58"/>
  <c r="T171" i="58"/>
  <c r="S171" i="58"/>
  <c r="R171" i="58"/>
  <c r="Q171" i="58"/>
  <c r="P171" i="58"/>
  <c r="N171" i="58"/>
  <c r="J171" i="58"/>
  <c r="K171" i="58" s="1"/>
  <c r="I171" i="58"/>
  <c r="H171" i="58"/>
  <c r="D171" i="58"/>
  <c r="C171" i="58"/>
  <c r="AC170" i="58"/>
  <c r="AB170" i="58"/>
  <c r="AA170" i="58"/>
  <c r="Z170" i="58"/>
  <c r="X170" i="58"/>
  <c r="W170" i="58"/>
  <c r="V170" i="58"/>
  <c r="U170" i="58"/>
  <c r="T170" i="58"/>
  <c r="S170" i="58"/>
  <c r="R170" i="58"/>
  <c r="Q170" i="58"/>
  <c r="P170" i="58"/>
  <c r="N170" i="58"/>
  <c r="K170" i="58"/>
  <c r="J170" i="58"/>
  <c r="I170" i="58"/>
  <c r="H170" i="58"/>
  <c r="D170" i="58"/>
  <c r="C170" i="58"/>
  <c r="AC169" i="58"/>
  <c r="AB169" i="58"/>
  <c r="AA169" i="58"/>
  <c r="Z169" i="58"/>
  <c r="X169" i="58"/>
  <c r="W169" i="58"/>
  <c r="V169" i="58"/>
  <c r="U169" i="58"/>
  <c r="T169" i="58"/>
  <c r="S169" i="58"/>
  <c r="R169" i="58"/>
  <c r="Q169" i="58"/>
  <c r="P169" i="58"/>
  <c r="N169" i="58"/>
  <c r="J169" i="58"/>
  <c r="I169" i="58"/>
  <c r="K169" i="58" s="1"/>
  <c r="H169" i="58"/>
  <c r="D169" i="58"/>
  <c r="C169" i="58"/>
  <c r="AC168" i="58"/>
  <c r="AB168" i="58"/>
  <c r="AA168" i="58"/>
  <c r="Z168" i="58"/>
  <c r="X168" i="58"/>
  <c r="W168" i="58"/>
  <c r="V168" i="58"/>
  <c r="U168" i="58"/>
  <c r="T168" i="58"/>
  <c r="S168" i="58"/>
  <c r="R168" i="58"/>
  <c r="Q168" i="58"/>
  <c r="P168" i="58"/>
  <c r="N168" i="58"/>
  <c r="J168" i="58"/>
  <c r="I168" i="58"/>
  <c r="K168" i="58" s="1"/>
  <c r="H168" i="58"/>
  <c r="D168" i="58"/>
  <c r="C168" i="58"/>
  <c r="AC167" i="58"/>
  <c r="AB167" i="58"/>
  <c r="AA167" i="58"/>
  <c r="Z167" i="58"/>
  <c r="X167" i="58"/>
  <c r="W167" i="58"/>
  <c r="V167" i="58"/>
  <c r="U167" i="58"/>
  <c r="T167" i="58"/>
  <c r="S167" i="58"/>
  <c r="R167" i="58"/>
  <c r="Q167" i="58"/>
  <c r="P167" i="58"/>
  <c r="N167" i="58"/>
  <c r="J167" i="58"/>
  <c r="K167" i="58" s="1"/>
  <c r="I167" i="58"/>
  <c r="H167" i="58"/>
  <c r="D167" i="58"/>
  <c r="C167" i="58"/>
  <c r="AC166" i="58"/>
  <c r="AB166" i="58"/>
  <c r="AA166" i="58"/>
  <c r="Z166" i="58"/>
  <c r="X166" i="58"/>
  <c r="W166" i="58"/>
  <c r="V166" i="58"/>
  <c r="U166" i="58"/>
  <c r="T166" i="58"/>
  <c r="S166" i="58"/>
  <c r="R166" i="58"/>
  <c r="Q166" i="58"/>
  <c r="P166" i="58"/>
  <c r="N166" i="58"/>
  <c r="K166" i="58"/>
  <c r="J166" i="58"/>
  <c r="I166" i="58"/>
  <c r="H166" i="58"/>
  <c r="D166" i="58"/>
  <c r="C166" i="58"/>
  <c r="AC165" i="58"/>
  <c r="AB165" i="58"/>
  <c r="AA165" i="58"/>
  <c r="Z165" i="58"/>
  <c r="X165" i="58"/>
  <c r="W165" i="58"/>
  <c r="V165" i="58"/>
  <c r="U165" i="58"/>
  <c r="T165" i="58"/>
  <c r="S165" i="58"/>
  <c r="R165" i="58"/>
  <c r="Q165" i="58"/>
  <c r="P165" i="58"/>
  <c r="N165" i="58"/>
  <c r="J165" i="58"/>
  <c r="I165" i="58"/>
  <c r="K165" i="58" s="1"/>
  <c r="H165" i="58"/>
  <c r="D165" i="58"/>
  <c r="C165" i="58"/>
  <c r="AC164" i="58"/>
  <c r="AB164" i="58"/>
  <c r="AA164" i="58"/>
  <c r="Z164" i="58"/>
  <c r="X164" i="58"/>
  <c r="W164" i="58"/>
  <c r="V164" i="58"/>
  <c r="U164" i="58"/>
  <c r="T164" i="58"/>
  <c r="S164" i="58"/>
  <c r="R164" i="58"/>
  <c r="Q164" i="58"/>
  <c r="P164" i="58"/>
  <c r="N164" i="58"/>
  <c r="J164" i="58"/>
  <c r="I164" i="58"/>
  <c r="K164" i="58" s="1"/>
  <c r="H164" i="58"/>
  <c r="D164" i="58"/>
  <c r="C164" i="58"/>
  <c r="AC163" i="58"/>
  <c r="AB163" i="58"/>
  <c r="AA163" i="58"/>
  <c r="Z163" i="58"/>
  <c r="X163" i="58"/>
  <c r="W163" i="58"/>
  <c r="V163" i="58"/>
  <c r="U163" i="58"/>
  <c r="T163" i="58"/>
  <c r="S163" i="58"/>
  <c r="R163" i="58"/>
  <c r="Q163" i="58"/>
  <c r="P163" i="58"/>
  <c r="N163" i="58"/>
  <c r="J163" i="58"/>
  <c r="K163" i="58" s="1"/>
  <c r="I163" i="58"/>
  <c r="H163" i="58"/>
  <c r="D163" i="58"/>
  <c r="C163" i="58"/>
  <c r="AC162" i="58"/>
  <c r="AB162" i="58"/>
  <c r="AA162" i="58"/>
  <c r="Z162" i="58"/>
  <c r="X162" i="58"/>
  <c r="W162" i="58"/>
  <c r="V162" i="58"/>
  <c r="U162" i="58"/>
  <c r="T162" i="58"/>
  <c r="S162" i="58"/>
  <c r="R162" i="58"/>
  <c r="Q162" i="58"/>
  <c r="P162" i="58"/>
  <c r="N162" i="58"/>
  <c r="K162" i="58"/>
  <c r="J162" i="58"/>
  <c r="I162" i="58"/>
  <c r="H162" i="58"/>
  <c r="D162" i="58"/>
  <c r="C162" i="58"/>
  <c r="AC161" i="58"/>
  <c r="AB161" i="58"/>
  <c r="AA161" i="58"/>
  <c r="Z161" i="58"/>
  <c r="X161" i="58"/>
  <c r="W161" i="58"/>
  <c r="V161" i="58"/>
  <c r="U161" i="58"/>
  <c r="T161" i="58"/>
  <c r="S161" i="58"/>
  <c r="R161" i="58"/>
  <c r="Q161" i="58"/>
  <c r="P161" i="58"/>
  <c r="N161" i="58"/>
  <c r="J161" i="58"/>
  <c r="I161" i="58"/>
  <c r="K161" i="58" s="1"/>
  <c r="H161" i="58"/>
  <c r="D161" i="58"/>
  <c r="C161" i="58"/>
  <c r="AC160" i="58"/>
  <c r="AB160" i="58"/>
  <c r="AA160" i="58"/>
  <c r="Z160" i="58"/>
  <c r="X160" i="58"/>
  <c r="W160" i="58"/>
  <c r="V160" i="58"/>
  <c r="U160" i="58"/>
  <c r="T160" i="58"/>
  <c r="S160" i="58"/>
  <c r="R160" i="58"/>
  <c r="Q160" i="58"/>
  <c r="P160" i="58"/>
  <c r="N160" i="58"/>
  <c r="J160" i="58"/>
  <c r="I160" i="58"/>
  <c r="K160" i="58" s="1"/>
  <c r="H160" i="58"/>
  <c r="D160" i="58"/>
  <c r="C160" i="58"/>
  <c r="AC159" i="58"/>
  <c r="AB159" i="58"/>
  <c r="AA159" i="58"/>
  <c r="Z159" i="58"/>
  <c r="X159" i="58"/>
  <c r="W159" i="58"/>
  <c r="V159" i="58"/>
  <c r="U159" i="58"/>
  <c r="T159" i="58"/>
  <c r="S159" i="58"/>
  <c r="R159" i="58"/>
  <c r="Q159" i="58"/>
  <c r="P159" i="58"/>
  <c r="N159" i="58"/>
  <c r="J159" i="58"/>
  <c r="K159" i="58" s="1"/>
  <c r="I159" i="58"/>
  <c r="H159" i="58"/>
  <c r="D159" i="58"/>
  <c r="C159" i="58"/>
  <c r="AC158" i="58"/>
  <c r="AB158" i="58"/>
  <c r="AA158" i="58"/>
  <c r="Z158" i="58"/>
  <c r="X158" i="58"/>
  <c r="W158" i="58"/>
  <c r="V158" i="58"/>
  <c r="U158" i="58"/>
  <c r="T158" i="58"/>
  <c r="S158" i="58"/>
  <c r="R158" i="58"/>
  <c r="Q158" i="58"/>
  <c r="P158" i="58"/>
  <c r="N158" i="58"/>
  <c r="K158" i="58"/>
  <c r="J158" i="58"/>
  <c r="I158" i="58"/>
  <c r="H158" i="58"/>
  <c r="D158" i="58"/>
  <c r="C158" i="58"/>
  <c r="AC157" i="58"/>
  <c r="AB157" i="58"/>
  <c r="AA157" i="58"/>
  <c r="Z157" i="58"/>
  <c r="X157" i="58"/>
  <c r="W157" i="58"/>
  <c r="V157" i="58"/>
  <c r="U157" i="58"/>
  <c r="T157" i="58"/>
  <c r="S157" i="58"/>
  <c r="R157" i="58"/>
  <c r="Q157" i="58"/>
  <c r="P157" i="58"/>
  <c r="N157" i="58"/>
  <c r="J157" i="58"/>
  <c r="I157" i="58"/>
  <c r="K157" i="58" s="1"/>
  <c r="H157" i="58"/>
  <c r="D157" i="58"/>
  <c r="C157" i="58"/>
  <c r="AC156" i="58"/>
  <c r="AB156" i="58"/>
  <c r="AA156" i="58"/>
  <c r="Z156" i="58"/>
  <c r="X156" i="58"/>
  <c r="W156" i="58"/>
  <c r="V156" i="58"/>
  <c r="U156" i="58"/>
  <c r="T156" i="58"/>
  <c r="S156" i="58"/>
  <c r="R156" i="58"/>
  <c r="Q156" i="58"/>
  <c r="P156" i="58"/>
  <c r="N156" i="58"/>
  <c r="J156" i="58"/>
  <c r="I156" i="58"/>
  <c r="K156" i="58" s="1"/>
  <c r="H156" i="58"/>
  <c r="D156" i="58"/>
  <c r="C156" i="58"/>
  <c r="AC155" i="58"/>
  <c r="AB155" i="58"/>
  <c r="AA155" i="58"/>
  <c r="Z155" i="58"/>
  <c r="X155" i="58"/>
  <c r="W155" i="58"/>
  <c r="V155" i="58"/>
  <c r="U155" i="58"/>
  <c r="T155" i="58"/>
  <c r="S155" i="58"/>
  <c r="R155" i="58"/>
  <c r="Q155" i="58"/>
  <c r="P155" i="58"/>
  <c r="N155" i="58"/>
  <c r="J155" i="58"/>
  <c r="K155" i="58" s="1"/>
  <c r="I155" i="58"/>
  <c r="H155" i="58"/>
  <c r="D155" i="58"/>
  <c r="C155" i="58"/>
  <c r="AC154" i="58"/>
  <c r="AB154" i="58"/>
  <c r="AA154" i="58"/>
  <c r="Z154" i="58"/>
  <c r="X154" i="58"/>
  <c r="W154" i="58"/>
  <c r="V154" i="58"/>
  <c r="U154" i="58"/>
  <c r="T154" i="58"/>
  <c r="S154" i="58"/>
  <c r="R154" i="58"/>
  <c r="Q154" i="58"/>
  <c r="P154" i="58"/>
  <c r="N154" i="58"/>
  <c r="K154" i="58"/>
  <c r="J154" i="58"/>
  <c r="I154" i="58"/>
  <c r="H154" i="58"/>
  <c r="D154" i="58"/>
  <c r="C154" i="58"/>
  <c r="AC153" i="58"/>
  <c r="AB153" i="58"/>
  <c r="AA153" i="58"/>
  <c r="Z153" i="58"/>
  <c r="X153" i="58"/>
  <c r="W153" i="58"/>
  <c r="V153" i="58"/>
  <c r="U153" i="58"/>
  <c r="T153" i="58"/>
  <c r="S153" i="58"/>
  <c r="R153" i="58"/>
  <c r="Q153" i="58"/>
  <c r="P153" i="58"/>
  <c r="N153" i="58"/>
  <c r="J153" i="58"/>
  <c r="I153" i="58"/>
  <c r="K153" i="58" s="1"/>
  <c r="H153" i="58"/>
  <c r="D153" i="58"/>
  <c r="C153" i="58"/>
  <c r="AC152" i="58"/>
  <c r="AB152" i="58"/>
  <c r="AA152" i="58"/>
  <c r="Z152" i="58"/>
  <c r="X152" i="58"/>
  <c r="W152" i="58"/>
  <c r="V152" i="58"/>
  <c r="U152" i="58"/>
  <c r="T152" i="58"/>
  <c r="S152" i="58"/>
  <c r="R152" i="58"/>
  <c r="Q152" i="58"/>
  <c r="P152" i="58"/>
  <c r="N152" i="58"/>
  <c r="J152" i="58"/>
  <c r="I152" i="58"/>
  <c r="K152" i="58" s="1"/>
  <c r="H152" i="58"/>
  <c r="D152" i="58"/>
  <c r="C152" i="58"/>
  <c r="AC151" i="58"/>
  <c r="AB151" i="58"/>
  <c r="AA151" i="58"/>
  <c r="Z151" i="58"/>
  <c r="X151" i="58"/>
  <c r="W151" i="58"/>
  <c r="V151" i="58"/>
  <c r="U151" i="58"/>
  <c r="T151" i="58"/>
  <c r="S151" i="58"/>
  <c r="R151" i="58"/>
  <c r="Q151" i="58"/>
  <c r="P151" i="58"/>
  <c r="N151" i="58"/>
  <c r="J151" i="58"/>
  <c r="K151" i="58" s="1"/>
  <c r="I151" i="58"/>
  <c r="H151" i="58"/>
  <c r="D151" i="58"/>
  <c r="C151" i="58"/>
  <c r="AC150" i="58"/>
  <c r="AB150" i="58"/>
  <c r="AA150" i="58"/>
  <c r="Z150" i="58"/>
  <c r="X150" i="58"/>
  <c r="W150" i="58"/>
  <c r="V150" i="58"/>
  <c r="U150" i="58"/>
  <c r="T150" i="58"/>
  <c r="S150" i="58"/>
  <c r="R150" i="58"/>
  <c r="Q150" i="58"/>
  <c r="P150" i="58"/>
  <c r="N150" i="58"/>
  <c r="K150" i="58"/>
  <c r="J150" i="58"/>
  <c r="I150" i="58"/>
  <c r="H150" i="58"/>
  <c r="D150" i="58"/>
  <c r="C150" i="58"/>
  <c r="AC149" i="58"/>
  <c r="AB149" i="58"/>
  <c r="AA149" i="58"/>
  <c r="Z149" i="58"/>
  <c r="X149" i="58"/>
  <c r="W149" i="58"/>
  <c r="V149" i="58"/>
  <c r="U149" i="58"/>
  <c r="T149" i="58"/>
  <c r="S149" i="58"/>
  <c r="R149" i="58"/>
  <c r="Q149" i="58"/>
  <c r="P149" i="58"/>
  <c r="N149" i="58"/>
  <c r="J149" i="58"/>
  <c r="I149" i="58"/>
  <c r="K149" i="58" s="1"/>
  <c r="H149" i="58"/>
  <c r="D149" i="58"/>
  <c r="C149" i="58"/>
  <c r="AC148" i="58"/>
  <c r="AB148" i="58"/>
  <c r="AA148" i="58"/>
  <c r="Z148" i="58"/>
  <c r="X148" i="58"/>
  <c r="W148" i="58"/>
  <c r="V148" i="58"/>
  <c r="U148" i="58"/>
  <c r="T148" i="58"/>
  <c r="S148" i="58"/>
  <c r="R148" i="58"/>
  <c r="Q148" i="58"/>
  <c r="P148" i="58"/>
  <c r="N148" i="58"/>
  <c r="J148" i="58"/>
  <c r="I148" i="58"/>
  <c r="K148" i="58" s="1"/>
  <c r="H148" i="58"/>
  <c r="D148" i="58"/>
  <c r="C148" i="58"/>
  <c r="AC147" i="58"/>
  <c r="AB147" i="58"/>
  <c r="AA147" i="58"/>
  <c r="Z147" i="58"/>
  <c r="X147" i="58"/>
  <c r="W147" i="58"/>
  <c r="V147" i="58"/>
  <c r="U147" i="58"/>
  <c r="T147" i="58"/>
  <c r="S147" i="58"/>
  <c r="R147" i="58"/>
  <c r="Q147" i="58"/>
  <c r="P147" i="58"/>
  <c r="N147" i="58"/>
  <c r="J147" i="58"/>
  <c r="K147" i="58" s="1"/>
  <c r="I147" i="58"/>
  <c r="H147" i="58"/>
  <c r="D147" i="58"/>
  <c r="C147" i="58"/>
  <c r="AC146" i="58"/>
  <c r="AB146" i="58"/>
  <c r="AA146" i="58"/>
  <c r="Z146" i="58"/>
  <c r="X146" i="58"/>
  <c r="W146" i="58"/>
  <c r="V146" i="58"/>
  <c r="U146" i="58"/>
  <c r="T146" i="58"/>
  <c r="S146" i="58"/>
  <c r="R146" i="58"/>
  <c r="Q146" i="58"/>
  <c r="P146" i="58"/>
  <c r="N146" i="58"/>
  <c r="K146" i="58"/>
  <c r="J146" i="58"/>
  <c r="I146" i="58"/>
  <c r="H146" i="58"/>
  <c r="D146" i="58"/>
  <c r="C146" i="58"/>
  <c r="AC145" i="58"/>
  <c r="AB145" i="58"/>
  <c r="AA145" i="58"/>
  <c r="Z145" i="58"/>
  <c r="X145" i="58"/>
  <c r="W145" i="58"/>
  <c r="V145" i="58"/>
  <c r="U145" i="58"/>
  <c r="T145" i="58"/>
  <c r="S145" i="58"/>
  <c r="R145" i="58"/>
  <c r="Q145" i="58"/>
  <c r="P145" i="58"/>
  <c r="N145" i="58"/>
  <c r="J145" i="58"/>
  <c r="I145" i="58"/>
  <c r="K145" i="58" s="1"/>
  <c r="H145" i="58"/>
  <c r="D145" i="58"/>
  <c r="C145" i="58"/>
  <c r="AC144" i="58"/>
  <c r="AB144" i="58"/>
  <c r="AA144" i="58"/>
  <c r="Z144" i="58"/>
  <c r="X144" i="58"/>
  <c r="W144" i="58"/>
  <c r="V144" i="58"/>
  <c r="U144" i="58"/>
  <c r="T144" i="58"/>
  <c r="S144" i="58"/>
  <c r="R144" i="58"/>
  <c r="Q144" i="58"/>
  <c r="P144" i="58"/>
  <c r="N144" i="58"/>
  <c r="J144" i="58"/>
  <c r="I144" i="58"/>
  <c r="K144" i="58" s="1"/>
  <c r="H144" i="58"/>
  <c r="D144" i="58"/>
  <c r="C144" i="58"/>
  <c r="AC143" i="58"/>
  <c r="AB143" i="58"/>
  <c r="AA143" i="58"/>
  <c r="Z143" i="58"/>
  <c r="X143" i="58"/>
  <c r="W143" i="58"/>
  <c r="V143" i="58"/>
  <c r="U143" i="58"/>
  <c r="T143" i="58"/>
  <c r="S143" i="58"/>
  <c r="R143" i="58"/>
  <c r="Q143" i="58"/>
  <c r="P143" i="58"/>
  <c r="N143" i="58"/>
  <c r="J143" i="58"/>
  <c r="K143" i="58" s="1"/>
  <c r="I143" i="58"/>
  <c r="H143" i="58"/>
  <c r="D143" i="58"/>
  <c r="C143" i="58"/>
  <c r="AC142" i="58"/>
  <c r="AB142" i="58"/>
  <c r="AA142" i="58"/>
  <c r="Z142" i="58"/>
  <c r="X142" i="58"/>
  <c r="W142" i="58"/>
  <c r="V142" i="58"/>
  <c r="U142" i="58"/>
  <c r="T142" i="58"/>
  <c r="S142" i="58"/>
  <c r="R142" i="58"/>
  <c r="Q142" i="58"/>
  <c r="P142" i="58"/>
  <c r="N142" i="58"/>
  <c r="K142" i="58"/>
  <c r="J142" i="58"/>
  <c r="I142" i="58"/>
  <c r="H142" i="58"/>
  <c r="D142" i="58"/>
  <c r="C142" i="58"/>
  <c r="AC141" i="58"/>
  <c r="AB141" i="58"/>
  <c r="AA141" i="58"/>
  <c r="Z141" i="58"/>
  <c r="X141" i="58"/>
  <c r="W141" i="58"/>
  <c r="V141" i="58"/>
  <c r="U141" i="58"/>
  <c r="T141" i="58"/>
  <c r="S141" i="58"/>
  <c r="R141" i="58"/>
  <c r="Q141" i="58"/>
  <c r="P141" i="58"/>
  <c r="N141" i="58"/>
  <c r="J141" i="58"/>
  <c r="I141" i="58"/>
  <c r="K141" i="58" s="1"/>
  <c r="H141" i="58"/>
  <c r="D141" i="58"/>
  <c r="C141" i="58"/>
  <c r="AC140" i="58"/>
  <c r="AB140" i="58"/>
  <c r="AA140" i="58"/>
  <c r="Z140" i="58"/>
  <c r="X140" i="58"/>
  <c r="W140" i="58"/>
  <c r="V140" i="58"/>
  <c r="U140" i="58"/>
  <c r="T140" i="58"/>
  <c r="S140" i="58"/>
  <c r="R140" i="58"/>
  <c r="Q140" i="58"/>
  <c r="P140" i="58"/>
  <c r="N140" i="58"/>
  <c r="J140" i="58"/>
  <c r="I140" i="58"/>
  <c r="K140" i="58" s="1"/>
  <c r="H140" i="58"/>
  <c r="D140" i="58"/>
  <c r="C140" i="58"/>
  <c r="AC139" i="58"/>
  <c r="AB139" i="58"/>
  <c r="AA139" i="58"/>
  <c r="Z139" i="58"/>
  <c r="X139" i="58"/>
  <c r="W139" i="58"/>
  <c r="V139" i="58"/>
  <c r="U139" i="58"/>
  <c r="T139" i="58"/>
  <c r="S139" i="58"/>
  <c r="R139" i="58"/>
  <c r="Q139" i="58"/>
  <c r="P139" i="58"/>
  <c r="N139" i="58"/>
  <c r="J139" i="58"/>
  <c r="K139" i="58" s="1"/>
  <c r="I139" i="58"/>
  <c r="H139" i="58"/>
  <c r="D139" i="58"/>
  <c r="C139" i="58"/>
  <c r="AC138" i="58"/>
  <c r="AB138" i="58"/>
  <c r="AA138" i="58"/>
  <c r="Z138" i="58"/>
  <c r="X138" i="58"/>
  <c r="W138" i="58"/>
  <c r="V138" i="58"/>
  <c r="U138" i="58"/>
  <c r="T138" i="58"/>
  <c r="S138" i="58"/>
  <c r="R138" i="58"/>
  <c r="Q138" i="58"/>
  <c r="P138" i="58"/>
  <c r="N138" i="58"/>
  <c r="K138" i="58"/>
  <c r="J138" i="58"/>
  <c r="I138" i="58"/>
  <c r="H138" i="58"/>
  <c r="D138" i="58"/>
  <c r="C138" i="58"/>
  <c r="AC137" i="58"/>
  <c r="AB137" i="58"/>
  <c r="AA137" i="58"/>
  <c r="Z137" i="58"/>
  <c r="X137" i="58"/>
  <c r="W137" i="58"/>
  <c r="V137" i="58"/>
  <c r="U137" i="58"/>
  <c r="T137" i="58"/>
  <c r="S137" i="58"/>
  <c r="R137" i="58"/>
  <c r="Q137" i="58"/>
  <c r="P137" i="58"/>
  <c r="N137" i="58"/>
  <c r="J137" i="58"/>
  <c r="I137" i="58"/>
  <c r="K137" i="58" s="1"/>
  <c r="H137" i="58"/>
  <c r="D137" i="58"/>
  <c r="C137" i="58"/>
  <c r="AC136" i="58"/>
  <c r="AB136" i="58"/>
  <c r="AA136" i="58"/>
  <c r="Z136" i="58"/>
  <c r="X136" i="58"/>
  <c r="W136" i="58"/>
  <c r="V136" i="58"/>
  <c r="U136" i="58"/>
  <c r="T136" i="58"/>
  <c r="S136" i="58"/>
  <c r="R136" i="58"/>
  <c r="Q136" i="58"/>
  <c r="P136" i="58"/>
  <c r="N136" i="58"/>
  <c r="J136" i="58"/>
  <c r="I136" i="58"/>
  <c r="K136" i="58" s="1"/>
  <c r="H136" i="58"/>
  <c r="D136" i="58"/>
  <c r="C136" i="58"/>
  <c r="AC135" i="58"/>
  <c r="AB135" i="58"/>
  <c r="AA135" i="58"/>
  <c r="Z135" i="58"/>
  <c r="X135" i="58"/>
  <c r="W135" i="58"/>
  <c r="V135" i="58"/>
  <c r="U135" i="58"/>
  <c r="T135" i="58"/>
  <c r="S135" i="58"/>
  <c r="R135" i="58"/>
  <c r="Q135" i="58"/>
  <c r="P135" i="58"/>
  <c r="N135" i="58"/>
  <c r="J135" i="58"/>
  <c r="K135" i="58" s="1"/>
  <c r="I135" i="58"/>
  <c r="H135" i="58"/>
  <c r="D135" i="58"/>
  <c r="C135" i="58"/>
  <c r="AC134" i="58"/>
  <c r="AB134" i="58"/>
  <c r="AA134" i="58"/>
  <c r="Z134" i="58"/>
  <c r="X134" i="58"/>
  <c r="W134" i="58"/>
  <c r="V134" i="58"/>
  <c r="U134" i="58"/>
  <c r="T134" i="58"/>
  <c r="S134" i="58"/>
  <c r="R134" i="58"/>
  <c r="Q134" i="58"/>
  <c r="P134" i="58"/>
  <c r="N134" i="58"/>
  <c r="K134" i="58"/>
  <c r="J134" i="58"/>
  <c r="I134" i="58"/>
  <c r="H134" i="58"/>
  <c r="D134" i="58"/>
  <c r="C134" i="58"/>
  <c r="AC133" i="58"/>
  <c r="AB133" i="58"/>
  <c r="AA133" i="58"/>
  <c r="Z133" i="58"/>
  <c r="X133" i="58"/>
  <c r="W133" i="58"/>
  <c r="V133" i="58"/>
  <c r="U133" i="58"/>
  <c r="T133" i="58"/>
  <c r="S133" i="58"/>
  <c r="R133" i="58"/>
  <c r="Q133" i="58"/>
  <c r="P133" i="58"/>
  <c r="N133" i="58"/>
  <c r="J133" i="58"/>
  <c r="I133" i="58"/>
  <c r="K133" i="58" s="1"/>
  <c r="H133" i="58"/>
  <c r="D133" i="58"/>
  <c r="C133" i="58"/>
  <c r="AC132" i="58"/>
  <c r="AB132" i="58"/>
  <c r="AA132" i="58"/>
  <c r="Z132" i="58"/>
  <c r="X132" i="58"/>
  <c r="W132" i="58"/>
  <c r="V132" i="58"/>
  <c r="U132" i="58"/>
  <c r="T132" i="58"/>
  <c r="S132" i="58"/>
  <c r="R132" i="58"/>
  <c r="Q132" i="58"/>
  <c r="P132" i="58"/>
  <c r="N132" i="58"/>
  <c r="J132" i="58"/>
  <c r="I132" i="58"/>
  <c r="K132" i="58" s="1"/>
  <c r="H132" i="58"/>
  <c r="D132" i="58"/>
  <c r="C132" i="58"/>
  <c r="AC131" i="58"/>
  <c r="AB131" i="58"/>
  <c r="AA131" i="58"/>
  <c r="Z131" i="58"/>
  <c r="X131" i="58"/>
  <c r="W131" i="58"/>
  <c r="V131" i="58"/>
  <c r="U131" i="58"/>
  <c r="T131" i="58"/>
  <c r="S131" i="58"/>
  <c r="R131" i="58"/>
  <c r="Q131" i="58"/>
  <c r="P131" i="58"/>
  <c r="N131" i="58"/>
  <c r="J131" i="58"/>
  <c r="K131" i="58" s="1"/>
  <c r="I131" i="58"/>
  <c r="H131" i="58"/>
  <c r="D131" i="58"/>
  <c r="C131" i="58"/>
  <c r="AC130" i="58"/>
  <c r="AB130" i="58"/>
  <c r="AA130" i="58"/>
  <c r="Z130" i="58"/>
  <c r="X130" i="58"/>
  <c r="W130" i="58"/>
  <c r="V130" i="58"/>
  <c r="U130" i="58"/>
  <c r="T130" i="58"/>
  <c r="S130" i="58"/>
  <c r="R130" i="58"/>
  <c r="Q130" i="58"/>
  <c r="P130" i="58"/>
  <c r="N130" i="58"/>
  <c r="K130" i="58"/>
  <c r="J130" i="58"/>
  <c r="I130" i="58"/>
  <c r="H130" i="58"/>
  <c r="D130" i="58"/>
  <c r="C130" i="58"/>
  <c r="AC129" i="58"/>
  <c r="AB129" i="58"/>
  <c r="AA129" i="58"/>
  <c r="Z129" i="58"/>
  <c r="X129" i="58"/>
  <c r="W129" i="58"/>
  <c r="V129" i="58"/>
  <c r="U129" i="58"/>
  <c r="T129" i="58"/>
  <c r="S129" i="58"/>
  <c r="R129" i="58"/>
  <c r="Q129" i="58"/>
  <c r="P129" i="58"/>
  <c r="N129" i="58"/>
  <c r="J129" i="58"/>
  <c r="I129" i="58"/>
  <c r="K129" i="58" s="1"/>
  <c r="H129" i="58"/>
  <c r="D129" i="58"/>
  <c r="C129" i="58"/>
  <c r="AC128" i="58"/>
  <c r="AB128" i="58"/>
  <c r="AA128" i="58"/>
  <c r="Z128" i="58"/>
  <c r="X128" i="58"/>
  <c r="W128" i="58"/>
  <c r="V128" i="58"/>
  <c r="U128" i="58"/>
  <c r="T128" i="58"/>
  <c r="S128" i="58"/>
  <c r="R128" i="58"/>
  <c r="Q128" i="58"/>
  <c r="P128" i="58"/>
  <c r="N128" i="58"/>
  <c r="J128" i="58"/>
  <c r="I128" i="58"/>
  <c r="K128" i="58" s="1"/>
  <c r="H128" i="58"/>
  <c r="D128" i="58"/>
  <c r="C128" i="58"/>
  <c r="AC127" i="58"/>
  <c r="AB127" i="58"/>
  <c r="AA127" i="58"/>
  <c r="Z127" i="58"/>
  <c r="X127" i="58"/>
  <c r="W127" i="58"/>
  <c r="V127" i="58"/>
  <c r="U127" i="58"/>
  <c r="T127" i="58"/>
  <c r="S127" i="58"/>
  <c r="R127" i="58"/>
  <c r="Q127" i="58"/>
  <c r="P127" i="58"/>
  <c r="N127" i="58"/>
  <c r="J127" i="58"/>
  <c r="K127" i="58" s="1"/>
  <c r="I127" i="58"/>
  <c r="H127" i="58"/>
  <c r="D127" i="58"/>
  <c r="C127" i="58"/>
  <c r="AC126" i="58"/>
  <c r="AB126" i="58"/>
  <c r="AA126" i="58"/>
  <c r="Z126" i="58"/>
  <c r="X126" i="58"/>
  <c r="W126" i="58"/>
  <c r="V126" i="58"/>
  <c r="U126" i="58"/>
  <c r="T126" i="58"/>
  <c r="S126" i="58"/>
  <c r="R126" i="58"/>
  <c r="Q126" i="58"/>
  <c r="P126" i="58"/>
  <c r="N126" i="58"/>
  <c r="K126" i="58"/>
  <c r="J126" i="58"/>
  <c r="I126" i="58"/>
  <c r="H126" i="58"/>
  <c r="D126" i="58"/>
  <c r="C126" i="58"/>
  <c r="AC125" i="58"/>
  <c r="AB125" i="58"/>
  <c r="AA125" i="58"/>
  <c r="Z125" i="58"/>
  <c r="X125" i="58"/>
  <c r="W125" i="58"/>
  <c r="V125" i="58"/>
  <c r="U125" i="58"/>
  <c r="T125" i="58"/>
  <c r="S125" i="58"/>
  <c r="R125" i="58"/>
  <c r="Q125" i="58"/>
  <c r="P125" i="58"/>
  <c r="N125" i="58"/>
  <c r="J125" i="58"/>
  <c r="I125" i="58"/>
  <c r="K125" i="58" s="1"/>
  <c r="H125" i="58"/>
  <c r="D125" i="58"/>
  <c r="C125" i="58"/>
  <c r="AC124" i="58"/>
  <c r="AB124" i="58"/>
  <c r="AA124" i="58"/>
  <c r="Z124" i="58"/>
  <c r="X124" i="58"/>
  <c r="W124" i="58"/>
  <c r="V124" i="58"/>
  <c r="U124" i="58"/>
  <c r="T124" i="58"/>
  <c r="S124" i="58"/>
  <c r="R124" i="58"/>
  <c r="Q124" i="58"/>
  <c r="P124" i="58"/>
  <c r="N124" i="58"/>
  <c r="J124" i="58"/>
  <c r="I124" i="58"/>
  <c r="K124" i="58" s="1"/>
  <c r="H124" i="58"/>
  <c r="D124" i="58"/>
  <c r="C124" i="58"/>
  <c r="AC123" i="58"/>
  <c r="AB123" i="58"/>
  <c r="AA123" i="58"/>
  <c r="Z123" i="58"/>
  <c r="X123" i="58"/>
  <c r="W123" i="58"/>
  <c r="V123" i="58"/>
  <c r="U123" i="58"/>
  <c r="T123" i="58"/>
  <c r="S123" i="58"/>
  <c r="R123" i="58"/>
  <c r="Q123" i="58"/>
  <c r="P123" i="58"/>
  <c r="N123" i="58"/>
  <c r="J123" i="58"/>
  <c r="K123" i="58" s="1"/>
  <c r="I123" i="58"/>
  <c r="H123" i="58"/>
  <c r="D123" i="58"/>
  <c r="C123" i="58"/>
  <c r="AC122" i="58"/>
  <c r="AB122" i="58"/>
  <c r="AA122" i="58"/>
  <c r="Z122" i="58"/>
  <c r="X122" i="58"/>
  <c r="W122" i="58"/>
  <c r="V122" i="58"/>
  <c r="U122" i="58"/>
  <c r="T122" i="58"/>
  <c r="S122" i="58"/>
  <c r="R122" i="58"/>
  <c r="Q122" i="58"/>
  <c r="P122" i="58"/>
  <c r="N122" i="58"/>
  <c r="K122" i="58"/>
  <c r="J122" i="58"/>
  <c r="I122" i="58"/>
  <c r="H122" i="58"/>
  <c r="D122" i="58"/>
  <c r="C122" i="58"/>
  <c r="AC121" i="58"/>
  <c r="AB121" i="58"/>
  <c r="AA121" i="58"/>
  <c r="Z121" i="58"/>
  <c r="X121" i="58"/>
  <c r="W121" i="58"/>
  <c r="V121" i="58"/>
  <c r="U121" i="58"/>
  <c r="T121" i="58"/>
  <c r="S121" i="58"/>
  <c r="R121" i="58"/>
  <c r="Q121" i="58"/>
  <c r="P121" i="58"/>
  <c r="N121" i="58"/>
  <c r="J121" i="58"/>
  <c r="I121" i="58"/>
  <c r="K121" i="58" s="1"/>
  <c r="H121" i="58"/>
  <c r="D121" i="58"/>
  <c r="C121" i="58"/>
  <c r="AC120" i="58"/>
  <c r="AB120" i="58"/>
  <c r="AA120" i="58"/>
  <c r="Z120" i="58"/>
  <c r="X120" i="58"/>
  <c r="W120" i="58"/>
  <c r="V120" i="58"/>
  <c r="U120" i="58"/>
  <c r="T120" i="58"/>
  <c r="S120" i="58"/>
  <c r="R120" i="58"/>
  <c r="Q120" i="58"/>
  <c r="P120" i="58"/>
  <c r="N120" i="58"/>
  <c r="J120" i="58"/>
  <c r="I120" i="58"/>
  <c r="K120" i="58" s="1"/>
  <c r="H120" i="58"/>
  <c r="D120" i="58"/>
  <c r="C120" i="58"/>
  <c r="AC119" i="58"/>
  <c r="AB119" i="58"/>
  <c r="AA119" i="58"/>
  <c r="Z119" i="58"/>
  <c r="X119" i="58"/>
  <c r="W119" i="58"/>
  <c r="V119" i="58"/>
  <c r="U119" i="58"/>
  <c r="T119" i="58"/>
  <c r="S119" i="58"/>
  <c r="R119" i="58"/>
  <c r="Q119" i="58"/>
  <c r="P119" i="58"/>
  <c r="N119" i="58"/>
  <c r="J119" i="58"/>
  <c r="K119" i="58" s="1"/>
  <c r="I119" i="58"/>
  <c r="H119" i="58"/>
  <c r="D119" i="58"/>
  <c r="C119" i="58"/>
  <c r="AC118" i="58"/>
  <c r="AB118" i="58"/>
  <c r="AA118" i="58"/>
  <c r="Z118" i="58"/>
  <c r="X118" i="58"/>
  <c r="W118" i="58"/>
  <c r="V118" i="58"/>
  <c r="U118" i="58"/>
  <c r="T118" i="58"/>
  <c r="S118" i="58"/>
  <c r="R118" i="58"/>
  <c r="Q118" i="58"/>
  <c r="P118" i="58"/>
  <c r="N118" i="58"/>
  <c r="K118" i="58"/>
  <c r="J118" i="58"/>
  <c r="I118" i="58"/>
  <c r="H118" i="58"/>
  <c r="D118" i="58"/>
  <c r="C118" i="58"/>
  <c r="AC117" i="58"/>
  <c r="AB117" i="58"/>
  <c r="AA117" i="58"/>
  <c r="Z117" i="58"/>
  <c r="X117" i="58"/>
  <c r="W117" i="58"/>
  <c r="V117" i="58"/>
  <c r="U117" i="58"/>
  <c r="T117" i="58"/>
  <c r="S117" i="58"/>
  <c r="R117" i="58"/>
  <c r="Q117" i="58"/>
  <c r="P117" i="58"/>
  <c r="N117" i="58"/>
  <c r="J117" i="58"/>
  <c r="I117" i="58"/>
  <c r="K117" i="58" s="1"/>
  <c r="H117" i="58"/>
  <c r="D117" i="58"/>
  <c r="C117" i="58"/>
  <c r="AC116" i="58"/>
  <c r="AB116" i="58"/>
  <c r="AA116" i="58"/>
  <c r="Z116" i="58"/>
  <c r="X116" i="58"/>
  <c r="W116" i="58"/>
  <c r="V116" i="58"/>
  <c r="U116" i="58"/>
  <c r="T116" i="58"/>
  <c r="S116" i="58"/>
  <c r="R116" i="58"/>
  <c r="Q116" i="58"/>
  <c r="P116" i="58"/>
  <c r="N116" i="58"/>
  <c r="J116" i="58"/>
  <c r="I116" i="58"/>
  <c r="K116" i="58" s="1"/>
  <c r="H116" i="58"/>
  <c r="D116" i="58"/>
  <c r="C116" i="58"/>
  <c r="AC115" i="58"/>
  <c r="AB115" i="58"/>
  <c r="AA115" i="58"/>
  <c r="Z115" i="58"/>
  <c r="X115" i="58"/>
  <c r="W115" i="58"/>
  <c r="V115" i="58"/>
  <c r="U115" i="58"/>
  <c r="T115" i="58"/>
  <c r="S115" i="58"/>
  <c r="R115" i="58"/>
  <c r="Q115" i="58"/>
  <c r="P115" i="58"/>
  <c r="N115" i="58"/>
  <c r="J115" i="58"/>
  <c r="K115" i="58" s="1"/>
  <c r="I115" i="58"/>
  <c r="H115" i="58"/>
  <c r="D115" i="58"/>
  <c r="C115" i="58"/>
  <c r="AC114" i="58"/>
  <c r="AB114" i="58"/>
  <c r="AA114" i="58"/>
  <c r="Z114" i="58"/>
  <c r="X114" i="58"/>
  <c r="W114" i="58"/>
  <c r="V114" i="58"/>
  <c r="U114" i="58"/>
  <c r="T114" i="58"/>
  <c r="S114" i="58"/>
  <c r="R114" i="58"/>
  <c r="Q114" i="58"/>
  <c r="P114" i="58"/>
  <c r="N114" i="58"/>
  <c r="K114" i="58"/>
  <c r="J114" i="58"/>
  <c r="I114" i="58"/>
  <c r="H114" i="58"/>
  <c r="D114" i="58"/>
  <c r="C114" i="58"/>
  <c r="AC113" i="58"/>
  <c r="AB113" i="58"/>
  <c r="AA113" i="58"/>
  <c r="Z113" i="58"/>
  <c r="X113" i="58"/>
  <c r="W113" i="58"/>
  <c r="V113" i="58"/>
  <c r="U113" i="58"/>
  <c r="T113" i="58"/>
  <c r="S113" i="58"/>
  <c r="R113" i="58"/>
  <c r="Q113" i="58"/>
  <c r="P113" i="58"/>
  <c r="N113" i="58"/>
  <c r="J113" i="58"/>
  <c r="I113" i="58"/>
  <c r="K113" i="58" s="1"/>
  <c r="H113" i="58"/>
  <c r="D113" i="58"/>
  <c r="C113" i="58"/>
  <c r="AC112" i="58"/>
  <c r="AB112" i="58"/>
  <c r="AA112" i="58"/>
  <c r="Z112" i="58"/>
  <c r="X112" i="58"/>
  <c r="W112" i="58"/>
  <c r="V112" i="58"/>
  <c r="U112" i="58"/>
  <c r="T112" i="58"/>
  <c r="S112" i="58"/>
  <c r="R112" i="58"/>
  <c r="Q112" i="58"/>
  <c r="P112" i="58"/>
  <c r="N112" i="58"/>
  <c r="J112" i="58"/>
  <c r="I112" i="58"/>
  <c r="K112" i="58" s="1"/>
  <c r="H112" i="58"/>
  <c r="D112" i="58"/>
  <c r="C112" i="58"/>
  <c r="AC111" i="58"/>
  <c r="AB111" i="58"/>
  <c r="AA111" i="58"/>
  <c r="Z111" i="58"/>
  <c r="X111" i="58"/>
  <c r="W111" i="58"/>
  <c r="V111" i="58"/>
  <c r="U111" i="58"/>
  <c r="T111" i="58"/>
  <c r="S111" i="58"/>
  <c r="R111" i="58"/>
  <c r="Q111" i="58"/>
  <c r="P111" i="58"/>
  <c r="N111" i="58"/>
  <c r="J111" i="58"/>
  <c r="K111" i="58" s="1"/>
  <c r="I111" i="58"/>
  <c r="H111" i="58"/>
  <c r="D111" i="58"/>
  <c r="C111" i="58"/>
  <c r="AC110" i="58"/>
  <c r="AB110" i="58"/>
  <c r="AA110" i="58"/>
  <c r="Z110" i="58"/>
  <c r="X110" i="58"/>
  <c r="W110" i="58"/>
  <c r="V110" i="58"/>
  <c r="U110" i="58"/>
  <c r="T110" i="58"/>
  <c r="S110" i="58"/>
  <c r="R110" i="58"/>
  <c r="Q110" i="58"/>
  <c r="P110" i="58"/>
  <c r="N110" i="58"/>
  <c r="K110" i="58"/>
  <c r="J110" i="58"/>
  <c r="I110" i="58"/>
  <c r="H110" i="58"/>
  <c r="D110" i="58"/>
  <c r="C110" i="58"/>
  <c r="AC109" i="58"/>
  <c r="AB109" i="58"/>
  <c r="AA109" i="58"/>
  <c r="Z109" i="58"/>
  <c r="X109" i="58"/>
  <c r="W109" i="58"/>
  <c r="V109" i="58"/>
  <c r="U109" i="58"/>
  <c r="T109" i="58"/>
  <c r="S109" i="58"/>
  <c r="R109" i="58"/>
  <c r="Q109" i="58"/>
  <c r="P109" i="58"/>
  <c r="N109" i="58"/>
  <c r="J109" i="58"/>
  <c r="I109" i="58"/>
  <c r="K109" i="58" s="1"/>
  <c r="H109" i="58"/>
  <c r="D109" i="58"/>
  <c r="C109" i="58"/>
  <c r="AC108" i="58"/>
  <c r="AB108" i="58"/>
  <c r="AA108" i="58"/>
  <c r="Z108" i="58"/>
  <c r="X108" i="58"/>
  <c r="W108" i="58"/>
  <c r="V108" i="58"/>
  <c r="U108" i="58"/>
  <c r="T108" i="58"/>
  <c r="S108" i="58"/>
  <c r="R108" i="58"/>
  <c r="Q108" i="58"/>
  <c r="P108" i="58"/>
  <c r="N108" i="58"/>
  <c r="J108" i="58"/>
  <c r="I108" i="58"/>
  <c r="K108" i="58" s="1"/>
  <c r="H108" i="58"/>
  <c r="D108" i="58"/>
  <c r="C108" i="58"/>
  <c r="AC107" i="58"/>
  <c r="AB107" i="58"/>
  <c r="AA107" i="58"/>
  <c r="Z107" i="58"/>
  <c r="X107" i="58"/>
  <c r="W107" i="58"/>
  <c r="V107" i="58"/>
  <c r="U107" i="58"/>
  <c r="T107" i="58"/>
  <c r="S107" i="58"/>
  <c r="R107" i="58"/>
  <c r="Q107" i="58"/>
  <c r="P107" i="58"/>
  <c r="N107" i="58"/>
  <c r="J107" i="58"/>
  <c r="K107" i="58" s="1"/>
  <c r="I107" i="58"/>
  <c r="H107" i="58"/>
  <c r="D107" i="58"/>
  <c r="C107" i="58"/>
  <c r="AC106" i="58"/>
  <c r="AB106" i="58"/>
  <c r="AA106" i="58"/>
  <c r="Z106" i="58"/>
  <c r="X106" i="58"/>
  <c r="W106" i="58"/>
  <c r="V106" i="58"/>
  <c r="U106" i="58"/>
  <c r="T106" i="58"/>
  <c r="S106" i="58"/>
  <c r="R106" i="58"/>
  <c r="Q106" i="58"/>
  <c r="P106" i="58"/>
  <c r="N106" i="58"/>
  <c r="K106" i="58"/>
  <c r="J106" i="58"/>
  <c r="I106" i="58"/>
  <c r="H106" i="58"/>
  <c r="D106" i="58"/>
  <c r="C106" i="58"/>
  <c r="AC105" i="58"/>
  <c r="AB105" i="58"/>
  <c r="AA105" i="58"/>
  <c r="Z105" i="58"/>
  <c r="X105" i="58"/>
  <c r="W105" i="58"/>
  <c r="V105" i="58"/>
  <c r="U105" i="58"/>
  <c r="T105" i="58"/>
  <c r="S105" i="58"/>
  <c r="R105" i="58"/>
  <c r="Q105" i="58"/>
  <c r="P105" i="58"/>
  <c r="N105" i="58"/>
  <c r="J105" i="58"/>
  <c r="I105" i="58"/>
  <c r="K105" i="58" s="1"/>
  <c r="H105" i="58"/>
  <c r="D105" i="58"/>
  <c r="C105" i="58"/>
  <c r="AC104" i="58"/>
  <c r="AB104" i="58"/>
  <c r="AA104" i="58"/>
  <c r="Z104" i="58"/>
  <c r="X104" i="58"/>
  <c r="W104" i="58"/>
  <c r="V104" i="58"/>
  <c r="U104" i="58"/>
  <c r="T104" i="58"/>
  <c r="S104" i="58"/>
  <c r="R104" i="58"/>
  <c r="Q104" i="58"/>
  <c r="P104" i="58"/>
  <c r="N104" i="58"/>
  <c r="J104" i="58"/>
  <c r="I104" i="58"/>
  <c r="K104" i="58" s="1"/>
  <c r="H104" i="58"/>
  <c r="D104" i="58"/>
  <c r="C104" i="58"/>
  <c r="AC103" i="58"/>
  <c r="AB103" i="58"/>
  <c r="AA103" i="58"/>
  <c r="Z103" i="58"/>
  <c r="X103" i="58"/>
  <c r="W103" i="58"/>
  <c r="V103" i="58"/>
  <c r="U103" i="58"/>
  <c r="T103" i="58"/>
  <c r="S103" i="58"/>
  <c r="R103" i="58"/>
  <c r="Q103" i="58"/>
  <c r="P103" i="58"/>
  <c r="N103" i="58"/>
  <c r="J103" i="58"/>
  <c r="K103" i="58" s="1"/>
  <c r="I103" i="58"/>
  <c r="H103" i="58"/>
  <c r="D103" i="58"/>
  <c r="C103" i="58"/>
  <c r="AC102" i="58"/>
  <c r="AB102" i="58"/>
  <c r="AA102" i="58"/>
  <c r="Z102" i="58"/>
  <c r="X102" i="58"/>
  <c r="W102" i="58"/>
  <c r="V102" i="58"/>
  <c r="U102" i="58"/>
  <c r="T102" i="58"/>
  <c r="S102" i="58"/>
  <c r="R102" i="58"/>
  <c r="Q102" i="58"/>
  <c r="P102" i="58"/>
  <c r="N102" i="58"/>
  <c r="K102" i="58"/>
  <c r="J102" i="58"/>
  <c r="I102" i="58"/>
  <c r="H102" i="58"/>
  <c r="D102" i="58"/>
  <c r="C102" i="58"/>
  <c r="AC101" i="58"/>
  <c r="AB101" i="58"/>
  <c r="AA101" i="58"/>
  <c r="Z101" i="58"/>
  <c r="X101" i="58"/>
  <c r="W101" i="58"/>
  <c r="V101" i="58"/>
  <c r="U101" i="58"/>
  <c r="T101" i="58"/>
  <c r="S101" i="58"/>
  <c r="R101" i="58"/>
  <c r="Q101" i="58"/>
  <c r="P101" i="58"/>
  <c r="N101" i="58"/>
  <c r="J101" i="58"/>
  <c r="I101" i="58"/>
  <c r="K101" i="58" s="1"/>
  <c r="H101" i="58"/>
  <c r="D101" i="58"/>
  <c r="C101" i="58"/>
  <c r="AC100" i="58"/>
  <c r="AB100" i="58"/>
  <c r="AA100" i="58"/>
  <c r="Z100" i="58"/>
  <c r="X100" i="58"/>
  <c r="W100" i="58"/>
  <c r="V100" i="58"/>
  <c r="U100" i="58"/>
  <c r="T100" i="58"/>
  <c r="S100" i="58"/>
  <c r="R100" i="58"/>
  <c r="Q100" i="58"/>
  <c r="P100" i="58"/>
  <c r="N100" i="58"/>
  <c r="J100" i="58"/>
  <c r="I100" i="58"/>
  <c r="K100" i="58" s="1"/>
  <c r="H100" i="58"/>
  <c r="D100" i="58"/>
  <c r="C100" i="58"/>
  <c r="AC99" i="58"/>
  <c r="AB99" i="58"/>
  <c r="AA99" i="58"/>
  <c r="Z99" i="58"/>
  <c r="X99" i="58"/>
  <c r="W99" i="58"/>
  <c r="V99" i="58"/>
  <c r="U99" i="58"/>
  <c r="T99" i="58"/>
  <c r="S99" i="58"/>
  <c r="R99" i="58"/>
  <c r="Q99" i="58"/>
  <c r="P99" i="58"/>
  <c r="N99" i="58"/>
  <c r="J99" i="58"/>
  <c r="K99" i="58" s="1"/>
  <c r="I99" i="58"/>
  <c r="H99" i="58"/>
  <c r="D99" i="58"/>
  <c r="C99" i="58"/>
  <c r="AC98" i="58"/>
  <c r="AB98" i="58"/>
  <c r="AA98" i="58"/>
  <c r="Z98" i="58"/>
  <c r="X98" i="58"/>
  <c r="W98" i="58"/>
  <c r="V98" i="58"/>
  <c r="U98" i="58"/>
  <c r="T98" i="58"/>
  <c r="S98" i="58"/>
  <c r="R98" i="58"/>
  <c r="Q98" i="58"/>
  <c r="P98" i="58"/>
  <c r="N98" i="58"/>
  <c r="K98" i="58"/>
  <c r="J98" i="58"/>
  <c r="I98" i="58"/>
  <c r="H98" i="58"/>
  <c r="D98" i="58"/>
  <c r="C98" i="58"/>
  <c r="AC97" i="58"/>
  <c r="AB97" i="58"/>
  <c r="AA97" i="58"/>
  <c r="Z97" i="58"/>
  <c r="X97" i="58"/>
  <c r="W97" i="58"/>
  <c r="V97" i="58"/>
  <c r="U97" i="58"/>
  <c r="T97" i="58"/>
  <c r="S97" i="58"/>
  <c r="R97" i="58"/>
  <c r="Q97" i="58"/>
  <c r="P97" i="58"/>
  <c r="N97" i="58"/>
  <c r="J97" i="58"/>
  <c r="I97" i="58"/>
  <c r="K97" i="58" s="1"/>
  <c r="H97" i="58"/>
  <c r="D97" i="58"/>
  <c r="C97" i="58"/>
  <c r="AC96" i="58"/>
  <c r="AB96" i="58"/>
  <c r="AA96" i="58"/>
  <c r="Z96" i="58"/>
  <c r="X96" i="58"/>
  <c r="W96" i="58"/>
  <c r="V96" i="58"/>
  <c r="U96" i="58"/>
  <c r="T96" i="58"/>
  <c r="S96" i="58"/>
  <c r="R96" i="58"/>
  <c r="Q96" i="58"/>
  <c r="P96" i="58"/>
  <c r="N96" i="58"/>
  <c r="J96" i="58"/>
  <c r="I96" i="58"/>
  <c r="K96" i="58" s="1"/>
  <c r="H96" i="58"/>
  <c r="D96" i="58"/>
  <c r="C96" i="58"/>
  <c r="AC95" i="58"/>
  <c r="AB95" i="58"/>
  <c r="AA95" i="58"/>
  <c r="Z95" i="58"/>
  <c r="X95" i="58"/>
  <c r="W95" i="58"/>
  <c r="V95" i="58"/>
  <c r="U95" i="58"/>
  <c r="T95" i="58"/>
  <c r="S95" i="58"/>
  <c r="R95" i="58"/>
  <c r="Q95" i="58"/>
  <c r="P95" i="58"/>
  <c r="N95" i="58"/>
  <c r="J95" i="58"/>
  <c r="K95" i="58" s="1"/>
  <c r="I95" i="58"/>
  <c r="H95" i="58"/>
  <c r="D95" i="58"/>
  <c r="C95" i="58"/>
  <c r="AC94" i="58"/>
  <c r="AB94" i="58"/>
  <c r="AA94" i="58"/>
  <c r="Z94" i="58"/>
  <c r="X94" i="58"/>
  <c r="W94" i="58"/>
  <c r="V94" i="58"/>
  <c r="U94" i="58"/>
  <c r="T94" i="58"/>
  <c r="S94" i="58"/>
  <c r="R94" i="58"/>
  <c r="Q94" i="58"/>
  <c r="P94" i="58"/>
  <c r="N94" i="58"/>
  <c r="K94" i="58"/>
  <c r="J94" i="58"/>
  <c r="I94" i="58"/>
  <c r="H94" i="58"/>
  <c r="D94" i="58"/>
  <c r="C94" i="58"/>
  <c r="AC93" i="58"/>
  <c r="AB93" i="58"/>
  <c r="AA93" i="58"/>
  <c r="Z93" i="58"/>
  <c r="X93" i="58"/>
  <c r="W93" i="58"/>
  <c r="V93" i="58"/>
  <c r="U93" i="58"/>
  <c r="T93" i="58"/>
  <c r="S93" i="58"/>
  <c r="R93" i="58"/>
  <c r="Q93" i="58"/>
  <c r="P93" i="58"/>
  <c r="N93" i="58"/>
  <c r="J93" i="58"/>
  <c r="I93" i="58"/>
  <c r="K93" i="58" s="1"/>
  <c r="H93" i="58"/>
  <c r="D93" i="58"/>
  <c r="C93" i="58"/>
  <c r="AC92" i="58"/>
  <c r="AB92" i="58"/>
  <c r="AA92" i="58"/>
  <c r="Z92" i="58"/>
  <c r="X92" i="58"/>
  <c r="W92" i="58"/>
  <c r="V92" i="58"/>
  <c r="U92" i="58"/>
  <c r="T92" i="58"/>
  <c r="S92" i="58"/>
  <c r="R92" i="58"/>
  <c r="Q92" i="58"/>
  <c r="P92" i="58"/>
  <c r="N92" i="58"/>
  <c r="J92" i="58"/>
  <c r="I92" i="58"/>
  <c r="K92" i="58" s="1"/>
  <c r="H92" i="58"/>
  <c r="D92" i="58"/>
  <c r="C92" i="58"/>
  <c r="AC91" i="58"/>
  <c r="AB91" i="58"/>
  <c r="AA91" i="58"/>
  <c r="Z91" i="58"/>
  <c r="X91" i="58"/>
  <c r="W91" i="58"/>
  <c r="V91" i="58"/>
  <c r="U91" i="58"/>
  <c r="T91" i="58"/>
  <c r="S91" i="58"/>
  <c r="R91" i="58"/>
  <c r="Q91" i="58"/>
  <c r="P91" i="58"/>
  <c r="N91" i="58"/>
  <c r="J91" i="58"/>
  <c r="K91" i="58" s="1"/>
  <c r="I91" i="58"/>
  <c r="H91" i="58"/>
  <c r="D91" i="58"/>
  <c r="C91" i="58"/>
  <c r="AC90" i="58"/>
  <c r="AB90" i="58"/>
  <c r="AA90" i="58"/>
  <c r="Z90" i="58"/>
  <c r="X90" i="58"/>
  <c r="W90" i="58"/>
  <c r="V90" i="58"/>
  <c r="U90" i="58"/>
  <c r="T90" i="58"/>
  <c r="S90" i="58"/>
  <c r="R90" i="58"/>
  <c r="Q90" i="58"/>
  <c r="P90" i="58"/>
  <c r="N90" i="58"/>
  <c r="K90" i="58"/>
  <c r="J90" i="58"/>
  <c r="I90" i="58"/>
  <c r="H90" i="58"/>
  <c r="D90" i="58"/>
  <c r="C90" i="58"/>
  <c r="AC89" i="58"/>
  <c r="AB89" i="58"/>
  <c r="AA89" i="58"/>
  <c r="Z89" i="58"/>
  <c r="X89" i="58"/>
  <c r="W89" i="58"/>
  <c r="V89" i="58"/>
  <c r="U89" i="58"/>
  <c r="T89" i="58"/>
  <c r="S89" i="58"/>
  <c r="R89" i="58"/>
  <c r="Q89" i="58"/>
  <c r="P89" i="58"/>
  <c r="N89" i="58"/>
  <c r="J89" i="58"/>
  <c r="I89" i="58"/>
  <c r="K89" i="58" s="1"/>
  <c r="H89" i="58"/>
  <c r="D89" i="58"/>
  <c r="C89" i="58"/>
  <c r="AC88" i="58"/>
  <c r="AB88" i="58"/>
  <c r="AA88" i="58"/>
  <c r="Z88" i="58"/>
  <c r="X88" i="58"/>
  <c r="W88" i="58"/>
  <c r="V88" i="58"/>
  <c r="U88" i="58"/>
  <c r="T88" i="58"/>
  <c r="S88" i="58"/>
  <c r="R88" i="58"/>
  <c r="Q88" i="58"/>
  <c r="P88" i="58"/>
  <c r="N88" i="58"/>
  <c r="J88" i="58"/>
  <c r="I88" i="58"/>
  <c r="K88" i="58" s="1"/>
  <c r="H88" i="58"/>
  <c r="D88" i="58"/>
  <c r="C88" i="58"/>
  <c r="AC87" i="58"/>
  <c r="AB87" i="58"/>
  <c r="AA87" i="58"/>
  <c r="Z87" i="58"/>
  <c r="X87" i="58"/>
  <c r="W87" i="58"/>
  <c r="V87" i="58"/>
  <c r="U87" i="58"/>
  <c r="T87" i="58"/>
  <c r="S87" i="58"/>
  <c r="R87" i="58"/>
  <c r="Q87" i="58"/>
  <c r="P87" i="58"/>
  <c r="N87" i="58"/>
  <c r="J87" i="58"/>
  <c r="K87" i="58" s="1"/>
  <c r="I87" i="58"/>
  <c r="H87" i="58"/>
  <c r="D87" i="58"/>
  <c r="C87" i="58"/>
  <c r="AC86" i="58"/>
  <c r="AB86" i="58"/>
  <c r="AA86" i="58"/>
  <c r="Z86" i="58"/>
  <c r="X86" i="58"/>
  <c r="W86" i="58"/>
  <c r="V86" i="58"/>
  <c r="U86" i="58"/>
  <c r="T86" i="58"/>
  <c r="S86" i="58"/>
  <c r="R86" i="58"/>
  <c r="Q86" i="58"/>
  <c r="P86" i="58"/>
  <c r="N86" i="58"/>
  <c r="K86" i="58"/>
  <c r="J86" i="58"/>
  <c r="I86" i="58"/>
  <c r="H86" i="58"/>
  <c r="D86" i="58"/>
  <c r="C86" i="58"/>
  <c r="AC85" i="58"/>
  <c r="AB85" i="58"/>
  <c r="AA85" i="58"/>
  <c r="Z85" i="58"/>
  <c r="X85" i="58"/>
  <c r="W85" i="58"/>
  <c r="V85" i="58"/>
  <c r="U85" i="58"/>
  <c r="T85" i="58"/>
  <c r="S85" i="58"/>
  <c r="R85" i="58"/>
  <c r="Q85" i="58"/>
  <c r="P85" i="58"/>
  <c r="N85" i="58"/>
  <c r="J85" i="58"/>
  <c r="I85" i="58"/>
  <c r="K85" i="58" s="1"/>
  <c r="H85" i="58"/>
  <c r="D85" i="58"/>
  <c r="C85" i="58"/>
  <c r="AC84" i="58"/>
  <c r="AB84" i="58"/>
  <c r="AA84" i="58"/>
  <c r="Z84" i="58"/>
  <c r="X84" i="58"/>
  <c r="W84" i="58"/>
  <c r="V84" i="58"/>
  <c r="U84" i="58"/>
  <c r="T84" i="58"/>
  <c r="S84" i="58"/>
  <c r="R84" i="58"/>
  <c r="Q84" i="58"/>
  <c r="P84" i="58"/>
  <c r="N84" i="58"/>
  <c r="J84" i="58"/>
  <c r="I84" i="58"/>
  <c r="K84" i="58" s="1"/>
  <c r="H84" i="58"/>
  <c r="D84" i="58"/>
  <c r="C84" i="58"/>
  <c r="AC83" i="58"/>
  <c r="AB83" i="58"/>
  <c r="AA83" i="58"/>
  <c r="Z83" i="58"/>
  <c r="X83" i="58"/>
  <c r="W83" i="58"/>
  <c r="V83" i="58"/>
  <c r="U83" i="58"/>
  <c r="T83" i="58"/>
  <c r="S83" i="58"/>
  <c r="R83" i="58"/>
  <c r="Q83" i="58"/>
  <c r="P83" i="58"/>
  <c r="N83" i="58"/>
  <c r="J83" i="58"/>
  <c r="K83" i="58" s="1"/>
  <c r="I83" i="58"/>
  <c r="H83" i="58"/>
  <c r="D83" i="58"/>
  <c r="C83" i="58"/>
  <c r="AC82" i="58"/>
  <c r="AB82" i="58"/>
  <c r="AA82" i="58"/>
  <c r="Z82" i="58"/>
  <c r="X82" i="58"/>
  <c r="W82" i="58"/>
  <c r="V82" i="58"/>
  <c r="U82" i="58"/>
  <c r="T82" i="58"/>
  <c r="S82" i="58"/>
  <c r="R82" i="58"/>
  <c r="Q82" i="58"/>
  <c r="P82" i="58"/>
  <c r="N82" i="58"/>
  <c r="K82" i="58"/>
  <c r="J82" i="58"/>
  <c r="I82" i="58"/>
  <c r="H82" i="58"/>
  <c r="D82" i="58"/>
  <c r="C82" i="58"/>
  <c r="AC81" i="58"/>
  <c r="AB81" i="58"/>
  <c r="AA81" i="58"/>
  <c r="Z81" i="58"/>
  <c r="X81" i="58"/>
  <c r="W81" i="58"/>
  <c r="V81" i="58"/>
  <c r="U81" i="58"/>
  <c r="T81" i="58"/>
  <c r="S81" i="58"/>
  <c r="R81" i="58"/>
  <c r="Q81" i="58"/>
  <c r="P81" i="58"/>
  <c r="N81" i="58"/>
  <c r="J81" i="58"/>
  <c r="I81" i="58"/>
  <c r="K81" i="58" s="1"/>
  <c r="H81" i="58"/>
  <c r="D81" i="58"/>
  <c r="C81" i="58"/>
  <c r="AC80" i="58"/>
  <c r="AB80" i="58"/>
  <c r="AA80" i="58"/>
  <c r="Z80" i="58"/>
  <c r="X80" i="58"/>
  <c r="W80" i="58"/>
  <c r="V80" i="58"/>
  <c r="U80" i="58"/>
  <c r="T80" i="58"/>
  <c r="S80" i="58"/>
  <c r="R80" i="58"/>
  <c r="Q80" i="58"/>
  <c r="P80" i="58"/>
  <c r="N80" i="58"/>
  <c r="J80" i="58"/>
  <c r="I80" i="58"/>
  <c r="K80" i="58" s="1"/>
  <c r="H80" i="58"/>
  <c r="D80" i="58"/>
  <c r="C80" i="58"/>
  <c r="AC79" i="58"/>
  <c r="AB79" i="58"/>
  <c r="AA79" i="58"/>
  <c r="Z79" i="58"/>
  <c r="X79" i="58"/>
  <c r="W79" i="58"/>
  <c r="V79" i="58"/>
  <c r="U79" i="58"/>
  <c r="T79" i="58"/>
  <c r="S79" i="58"/>
  <c r="R79" i="58"/>
  <c r="Q79" i="58"/>
  <c r="P79" i="58"/>
  <c r="N79" i="58"/>
  <c r="J79" i="58"/>
  <c r="K79" i="58" s="1"/>
  <c r="I79" i="58"/>
  <c r="H79" i="58"/>
  <c r="D79" i="58"/>
  <c r="C79" i="58"/>
  <c r="AC78" i="58"/>
  <c r="AB78" i="58"/>
  <c r="AA78" i="58"/>
  <c r="Z78" i="58"/>
  <c r="X78" i="58"/>
  <c r="W78" i="58"/>
  <c r="V78" i="58"/>
  <c r="U78" i="58"/>
  <c r="T78" i="58"/>
  <c r="S78" i="58"/>
  <c r="R78" i="58"/>
  <c r="Q78" i="58"/>
  <c r="P78" i="58"/>
  <c r="N78" i="58"/>
  <c r="K78" i="58"/>
  <c r="J78" i="58"/>
  <c r="I78" i="58"/>
  <c r="H78" i="58"/>
  <c r="D78" i="58"/>
  <c r="C78" i="58"/>
  <c r="AC77" i="58"/>
  <c r="AB77" i="58"/>
  <c r="AA77" i="58"/>
  <c r="Z77" i="58"/>
  <c r="X77" i="58"/>
  <c r="W77" i="58"/>
  <c r="V77" i="58"/>
  <c r="U77" i="58"/>
  <c r="T77" i="58"/>
  <c r="S77" i="58"/>
  <c r="R77" i="58"/>
  <c r="Q77" i="58"/>
  <c r="P77" i="58"/>
  <c r="N77" i="58"/>
  <c r="J77" i="58"/>
  <c r="I77" i="58"/>
  <c r="K77" i="58" s="1"/>
  <c r="H77" i="58"/>
  <c r="D77" i="58"/>
  <c r="C77" i="58"/>
  <c r="AC76" i="58"/>
  <c r="AB76" i="58"/>
  <c r="AA76" i="58"/>
  <c r="Z76" i="58"/>
  <c r="X76" i="58"/>
  <c r="W76" i="58"/>
  <c r="V76" i="58"/>
  <c r="U76" i="58"/>
  <c r="T76" i="58"/>
  <c r="S76" i="58"/>
  <c r="R76" i="58"/>
  <c r="Q76" i="58"/>
  <c r="P76" i="58"/>
  <c r="N76" i="58"/>
  <c r="J76" i="58"/>
  <c r="I76" i="58"/>
  <c r="K76" i="58" s="1"/>
  <c r="H76" i="58"/>
  <c r="D76" i="58"/>
  <c r="C76" i="58"/>
  <c r="AC75" i="58"/>
  <c r="AB75" i="58"/>
  <c r="AA75" i="58"/>
  <c r="Z75" i="58"/>
  <c r="X75" i="58"/>
  <c r="W75" i="58"/>
  <c r="V75" i="58"/>
  <c r="U75" i="58"/>
  <c r="T75" i="58"/>
  <c r="S75" i="58"/>
  <c r="R75" i="58"/>
  <c r="Q75" i="58"/>
  <c r="P75" i="58"/>
  <c r="N75" i="58"/>
  <c r="J75" i="58"/>
  <c r="K75" i="58" s="1"/>
  <c r="I75" i="58"/>
  <c r="H75" i="58"/>
  <c r="D75" i="58"/>
  <c r="C75" i="58"/>
  <c r="AC74" i="58"/>
  <c r="AB74" i="58"/>
  <c r="AA74" i="58"/>
  <c r="Z74" i="58"/>
  <c r="X74" i="58"/>
  <c r="W74" i="58"/>
  <c r="V74" i="58"/>
  <c r="U74" i="58"/>
  <c r="T74" i="58"/>
  <c r="S74" i="58"/>
  <c r="R74" i="58"/>
  <c r="Q74" i="58"/>
  <c r="P74" i="58"/>
  <c r="N74" i="58"/>
  <c r="K74" i="58"/>
  <c r="J74" i="58"/>
  <c r="I74" i="58"/>
  <c r="H74" i="58"/>
  <c r="D74" i="58"/>
  <c r="C74" i="58"/>
  <c r="AC73" i="58"/>
  <c r="AB73" i="58"/>
  <c r="AA73" i="58"/>
  <c r="Z73" i="58"/>
  <c r="X73" i="58"/>
  <c r="W73" i="58"/>
  <c r="V73" i="58"/>
  <c r="U73" i="58"/>
  <c r="T73" i="58"/>
  <c r="S73" i="58"/>
  <c r="R73" i="58"/>
  <c r="Q73" i="58"/>
  <c r="P73" i="58"/>
  <c r="N73" i="58"/>
  <c r="J73" i="58"/>
  <c r="I73" i="58"/>
  <c r="K73" i="58" s="1"/>
  <c r="H73" i="58"/>
  <c r="D73" i="58"/>
  <c r="C73" i="58"/>
  <c r="AC72" i="58"/>
  <c r="AB72" i="58"/>
  <c r="AA72" i="58"/>
  <c r="Z72" i="58"/>
  <c r="X72" i="58"/>
  <c r="W72" i="58"/>
  <c r="V72" i="58"/>
  <c r="U72" i="58"/>
  <c r="T72" i="58"/>
  <c r="S72" i="58"/>
  <c r="R72" i="58"/>
  <c r="Q72" i="58"/>
  <c r="P72" i="58"/>
  <c r="N72" i="58"/>
  <c r="J72" i="58"/>
  <c r="I72" i="58"/>
  <c r="K72" i="58" s="1"/>
  <c r="H72" i="58"/>
  <c r="D72" i="58"/>
  <c r="C72" i="58"/>
  <c r="AC71" i="58"/>
  <c r="AB71" i="58"/>
  <c r="AA71" i="58"/>
  <c r="Z71" i="58"/>
  <c r="X71" i="58"/>
  <c r="W71" i="58"/>
  <c r="V71" i="58"/>
  <c r="U71" i="58"/>
  <c r="T71" i="58"/>
  <c r="S71" i="58"/>
  <c r="R71" i="58"/>
  <c r="Q71" i="58"/>
  <c r="P71" i="58"/>
  <c r="N71" i="58"/>
  <c r="J71" i="58"/>
  <c r="K71" i="58" s="1"/>
  <c r="I71" i="58"/>
  <c r="H71" i="58"/>
  <c r="D71" i="58"/>
  <c r="C71" i="58"/>
  <c r="AC70" i="58"/>
  <c r="AB70" i="58"/>
  <c r="AA70" i="58"/>
  <c r="Z70" i="58"/>
  <c r="X70" i="58"/>
  <c r="W70" i="58"/>
  <c r="V70" i="58"/>
  <c r="U70" i="58"/>
  <c r="T70" i="58"/>
  <c r="S70" i="58"/>
  <c r="R70" i="58"/>
  <c r="Q70" i="58"/>
  <c r="P70" i="58"/>
  <c r="N70" i="58"/>
  <c r="K70" i="58"/>
  <c r="J70" i="58"/>
  <c r="I70" i="58"/>
  <c r="H70" i="58"/>
  <c r="D70" i="58"/>
  <c r="C70" i="58"/>
  <c r="AC69" i="58"/>
  <c r="AB69" i="58"/>
  <c r="AA69" i="58"/>
  <c r="Z69" i="58"/>
  <c r="X69" i="58"/>
  <c r="W69" i="58"/>
  <c r="V69" i="58"/>
  <c r="U69" i="58"/>
  <c r="T69" i="58"/>
  <c r="S69" i="58"/>
  <c r="R69" i="58"/>
  <c r="Q69" i="58"/>
  <c r="P69" i="58"/>
  <c r="N69" i="58"/>
  <c r="K69" i="58"/>
  <c r="J69" i="58"/>
  <c r="I69" i="58"/>
  <c r="H69" i="58"/>
  <c r="D69" i="58"/>
  <c r="C69" i="58"/>
  <c r="AB68" i="58"/>
  <c r="AB58" i="58"/>
  <c r="AC57" i="58"/>
  <c r="AB57" i="58"/>
  <c r="AA57" i="58"/>
  <c r="Z57" i="58"/>
  <c r="X57" i="58"/>
  <c r="W57" i="58"/>
  <c r="V57" i="58"/>
  <c r="U57" i="58"/>
  <c r="T57" i="58"/>
  <c r="S57" i="58"/>
  <c r="R57" i="58"/>
  <c r="Q57" i="58"/>
  <c r="P57" i="58"/>
  <c r="N57" i="58"/>
  <c r="K57" i="58"/>
  <c r="J57" i="58"/>
  <c r="I57" i="58"/>
  <c r="H57" i="58"/>
  <c r="D57" i="58"/>
  <c r="C57" i="58"/>
  <c r="AC56" i="58"/>
  <c r="AB56" i="58"/>
  <c r="AA56" i="58"/>
  <c r="Z56" i="58"/>
  <c r="X56" i="58"/>
  <c r="W56" i="58"/>
  <c r="V56" i="58"/>
  <c r="U56" i="58"/>
  <c r="T56" i="58"/>
  <c r="S56" i="58"/>
  <c r="R56" i="58"/>
  <c r="Q56" i="58"/>
  <c r="P56" i="58"/>
  <c r="N56" i="58"/>
  <c r="J56" i="58"/>
  <c r="I56" i="58"/>
  <c r="K56" i="58" s="1"/>
  <c r="H56" i="58"/>
  <c r="D56" i="58"/>
  <c r="C56" i="58"/>
  <c r="AC55" i="58"/>
  <c r="AB55" i="58"/>
  <c r="AA55" i="58"/>
  <c r="Z55" i="58"/>
  <c r="X55" i="58"/>
  <c r="W55" i="58"/>
  <c r="V55" i="58"/>
  <c r="U55" i="58"/>
  <c r="T55" i="58"/>
  <c r="S55" i="58"/>
  <c r="R55" i="58"/>
  <c r="Q55" i="58"/>
  <c r="P55" i="58"/>
  <c r="N55" i="58"/>
  <c r="J55" i="58"/>
  <c r="I55" i="58"/>
  <c r="K55" i="58" s="1"/>
  <c r="H55" i="58"/>
  <c r="D55" i="58"/>
  <c r="C55" i="58"/>
  <c r="AC54" i="58"/>
  <c r="AB54" i="58"/>
  <c r="AA54" i="58"/>
  <c r="Z54" i="58"/>
  <c r="X54" i="58"/>
  <c r="W54" i="58"/>
  <c r="V54" i="58"/>
  <c r="U54" i="58"/>
  <c r="T54" i="58"/>
  <c r="S54" i="58"/>
  <c r="R54" i="58"/>
  <c r="Q54" i="58"/>
  <c r="P54" i="58"/>
  <c r="N54" i="58"/>
  <c r="J54" i="58"/>
  <c r="K54" i="58" s="1"/>
  <c r="I54" i="58"/>
  <c r="H54" i="58"/>
  <c r="D54" i="58"/>
  <c r="C54" i="58"/>
  <c r="AC53" i="58"/>
  <c r="AB53" i="58"/>
  <c r="AA53" i="58"/>
  <c r="Z53" i="58"/>
  <c r="X53" i="58"/>
  <c r="W53" i="58"/>
  <c r="V53" i="58"/>
  <c r="U53" i="58"/>
  <c r="T53" i="58"/>
  <c r="S53" i="58"/>
  <c r="R53" i="58"/>
  <c r="Q53" i="58"/>
  <c r="P53" i="58"/>
  <c r="N53" i="58"/>
  <c r="K53" i="58"/>
  <c r="J53" i="58"/>
  <c r="I53" i="58"/>
  <c r="H53" i="58"/>
  <c r="D53" i="58"/>
  <c r="C53" i="58"/>
  <c r="AC52" i="58"/>
  <c r="AB52" i="58"/>
  <c r="AA52" i="58"/>
  <c r="Z52" i="58"/>
  <c r="X52" i="58"/>
  <c r="W52" i="58"/>
  <c r="V52" i="58"/>
  <c r="U52" i="58"/>
  <c r="T52" i="58"/>
  <c r="S52" i="58"/>
  <c r="R52" i="58"/>
  <c r="Q52" i="58"/>
  <c r="P52" i="58"/>
  <c r="N52" i="58"/>
  <c r="J52" i="58"/>
  <c r="I52" i="58"/>
  <c r="K52" i="58" s="1"/>
  <c r="H52" i="58"/>
  <c r="D52" i="58"/>
  <c r="C52" i="58"/>
  <c r="AC51" i="58"/>
  <c r="AB51" i="58"/>
  <c r="AA51" i="58"/>
  <c r="Z51" i="58"/>
  <c r="X51" i="58"/>
  <c r="W51" i="58"/>
  <c r="V51" i="58"/>
  <c r="U51" i="58"/>
  <c r="T51" i="58"/>
  <c r="S51" i="58"/>
  <c r="R51" i="58"/>
  <c r="Q51" i="58"/>
  <c r="P51" i="58"/>
  <c r="N51" i="58"/>
  <c r="J51" i="58"/>
  <c r="I51" i="58"/>
  <c r="K51" i="58" s="1"/>
  <c r="H51" i="58"/>
  <c r="D51" i="58"/>
  <c r="C51" i="58"/>
  <c r="AC50" i="58"/>
  <c r="AB50" i="58"/>
  <c r="AA50" i="58"/>
  <c r="Z50" i="58"/>
  <c r="X50" i="58"/>
  <c r="W50" i="58"/>
  <c r="V50" i="58"/>
  <c r="U50" i="58"/>
  <c r="T50" i="58"/>
  <c r="S50" i="58"/>
  <c r="R50" i="58"/>
  <c r="Q50" i="58"/>
  <c r="P50" i="58"/>
  <c r="N50" i="58"/>
  <c r="J50" i="58"/>
  <c r="K50" i="58" s="1"/>
  <c r="I50" i="58"/>
  <c r="H50" i="58"/>
  <c r="D50" i="58"/>
  <c r="C50" i="58"/>
  <c r="AC49" i="58"/>
  <c r="AB49" i="58"/>
  <c r="AA49" i="58"/>
  <c r="Z49" i="58"/>
  <c r="X49" i="58"/>
  <c r="W49" i="58"/>
  <c r="V49" i="58"/>
  <c r="U49" i="58"/>
  <c r="T49" i="58"/>
  <c r="S49" i="58"/>
  <c r="R49" i="58"/>
  <c r="Q49" i="58"/>
  <c r="P49" i="58"/>
  <c r="N49" i="58"/>
  <c r="K49" i="58"/>
  <c r="J49" i="58"/>
  <c r="I49" i="58"/>
  <c r="H49" i="58"/>
  <c r="D49" i="58"/>
  <c r="C49" i="58"/>
  <c r="AC48" i="58"/>
  <c r="AB48" i="58"/>
  <c r="AA48" i="58"/>
  <c r="Z48" i="58"/>
  <c r="X48" i="58"/>
  <c r="W48" i="58"/>
  <c r="V48" i="58"/>
  <c r="U48" i="58"/>
  <c r="T48" i="58"/>
  <c r="S48" i="58"/>
  <c r="R48" i="58"/>
  <c r="Q48" i="58"/>
  <c r="P48" i="58"/>
  <c r="N48" i="58"/>
  <c r="J48" i="58"/>
  <c r="I48" i="58"/>
  <c r="K48" i="58" s="1"/>
  <c r="H48" i="58"/>
  <c r="D48" i="58"/>
  <c r="C48" i="58"/>
  <c r="AC47" i="58"/>
  <c r="AB47" i="58"/>
  <c r="AA47" i="58"/>
  <c r="Z47" i="58"/>
  <c r="X47" i="58"/>
  <c r="W47" i="58"/>
  <c r="V47" i="58"/>
  <c r="U47" i="58"/>
  <c r="T47" i="58"/>
  <c r="S47" i="58"/>
  <c r="R47" i="58"/>
  <c r="Q47" i="58"/>
  <c r="P47" i="58"/>
  <c r="N47" i="58"/>
  <c r="J47" i="58"/>
  <c r="I47" i="58"/>
  <c r="K47" i="58" s="1"/>
  <c r="H47" i="58"/>
  <c r="D47" i="58"/>
  <c r="C47" i="58"/>
  <c r="AC46" i="58"/>
  <c r="AB46" i="58"/>
  <c r="AA46" i="58"/>
  <c r="Z46" i="58"/>
  <c r="X46" i="58"/>
  <c r="W46" i="58"/>
  <c r="V46" i="58"/>
  <c r="U46" i="58"/>
  <c r="T46" i="58"/>
  <c r="S46" i="58"/>
  <c r="R46" i="58"/>
  <c r="Q46" i="58"/>
  <c r="P46" i="58"/>
  <c r="N46" i="58"/>
  <c r="J46" i="58"/>
  <c r="K46" i="58" s="1"/>
  <c r="I46" i="58"/>
  <c r="H46" i="58"/>
  <c r="D46" i="58"/>
  <c r="C46" i="58"/>
  <c r="AC45" i="58"/>
  <c r="AB45" i="58"/>
  <c r="AA45" i="58"/>
  <c r="Z45" i="58"/>
  <c r="X45" i="58"/>
  <c r="W45" i="58"/>
  <c r="V45" i="58"/>
  <c r="U45" i="58"/>
  <c r="T45" i="58"/>
  <c r="S45" i="58"/>
  <c r="R45" i="58"/>
  <c r="Q45" i="58"/>
  <c r="P45" i="58"/>
  <c r="N45" i="58"/>
  <c r="K45" i="58"/>
  <c r="J45" i="58"/>
  <c r="I45" i="58"/>
  <c r="H45" i="58"/>
  <c r="D45" i="58"/>
  <c r="C45" i="58"/>
  <c r="AC44" i="58"/>
  <c r="AB44" i="58"/>
  <c r="AA44" i="58"/>
  <c r="Z44" i="58"/>
  <c r="X44" i="58"/>
  <c r="W44" i="58"/>
  <c r="V44" i="58"/>
  <c r="U44" i="58"/>
  <c r="T44" i="58"/>
  <c r="S44" i="58"/>
  <c r="R44" i="58"/>
  <c r="Q44" i="58"/>
  <c r="P44" i="58"/>
  <c r="N44" i="58"/>
  <c r="J44" i="58"/>
  <c r="I44" i="58"/>
  <c r="K44" i="58" s="1"/>
  <c r="H44" i="58"/>
  <c r="D44" i="58"/>
  <c r="C44" i="58"/>
  <c r="AC43" i="58"/>
  <c r="AB43" i="58"/>
  <c r="AA43" i="58"/>
  <c r="Z43" i="58"/>
  <c r="X43" i="58"/>
  <c r="W43" i="58"/>
  <c r="V43" i="58"/>
  <c r="U43" i="58"/>
  <c r="T43" i="58"/>
  <c r="S43" i="58"/>
  <c r="R43" i="58"/>
  <c r="Q43" i="58"/>
  <c r="P43" i="58"/>
  <c r="N43" i="58"/>
  <c r="J43" i="58"/>
  <c r="I43" i="58"/>
  <c r="K43" i="58" s="1"/>
  <c r="H43" i="58"/>
  <c r="D43" i="58"/>
  <c r="C43" i="58"/>
  <c r="AC42" i="58"/>
  <c r="AB42" i="58"/>
  <c r="AA42" i="58"/>
  <c r="Z42" i="58"/>
  <c r="X42" i="58"/>
  <c r="W42" i="58"/>
  <c r="V42" i="58"/>
  <c r="U42" i="58"/>
  <c r="T42" i="58"/>
  <c r="S42" i="58"/>
  <c r="R42" i="58"/>
  <c r="Q42" i="58"/>
  <c r="P42" i="58"/>
  <c r="N42" i="58"/>
  <c r="J42" i="58"/>
  <c r="K42" i="58" s="1"/>
  <c r="I42" i="58"/>
  <c r="H42" i="58"/>
  <c r="D42" i="58"/>
  <c r="C42" i="58"/>
  <c r="AC41" i="58"/>
  <c r="AB41" i="58"/>
  <c r="AA41" i="58"/>
  <c r="Z41" i="58"/>
  <c r="X41" i="58"/>
  <c r="W41" i="58"/>
  <c r="V41" i="58"/>
  <c r="U41" i="58"/>
  <c r="T41" i="58"/>
  <c r="S41" i="58"/>
  <c r="R41" i="58"/>
  <c r="Q41" i="58"/>
  <c r="P41" i="58"/>
  <c r="N41" i="58"/>
  <c r="K41" i="58"/>
  <c r="J41" i="58"/>
  <c r="I41" i="58"/>
  <c r="H41" i="58"/>
  <c r="D41" i="58"/>
  <c r="C41" i="58"/>
  <c r="AC40" i="58"/>
  <c r="AB40" i="58"/>
  <c r="AA40" i="58"/>
  <c r="Z40" i="58"/>
  <c r="X40" i="58"/>
  <c r="W40" i="58"/>
  <c r="V40" i="58"/>
  <c r="U40" i="58"/>
  <c r="T40" i="58"/>
  <c r="S40" i="58"/>
  <c r="R40" i="58"/>
  <c r="Q40" i="58"/>
  <c r="P40" i="58"/>
  <c r="N40" i="58"/>
  <c r="J40" i="58"/>
  <c r="I40" i="58"/>
  <c r="K40" i="58" s="1"/>
  <c r="H40" i="58"/>
  <c r="D40" i="58"/>
  <c r="C40" i="58"/>
  <c r="AC39" i="58"/>
  <c r="AB39" i="58"/>
  <c r="AA39" i="58"/>
  <c r="Z39" i="58"/>
  <c r="X39" i="58"/>
  <c r="W39" i="58"/>
  <c r="V39" i="58"/>
  <c r="U39" i="58"/>
  <c r="T39" i="58"/>
  <c r="S39" i="58"/>
  <c r="R39" i="58"/>
  <c r="Q39" i="58"/>
  <c r="P39" i="58"/>
  <c r="N39" i="58"/>
  <c r="J39" i="58"/>
  <c r="I39" i="58"/>
  <c r="K39" i="58" s="1"/>
  <c r="H39" i="58"/>
  <c r="D39" i="58"/>
  <c r="C39" i="58"/>
  <c r="AC38" i="58"/>
  <c r="AB38" i="58"/>
  <c r="AA38" i="58"/>
  <c r="Z38" i="58"/>
  <c r="X38" i="58"/>
  <c r="W38" i="58"/>
  <c r="V38" i="58"/>
  <c r="U38" i="58"/>
  <c r="T38" i="58"/>
  <c r="S38" i="58"/>
  <c r="R38" i="58"/>
  <c r="Q38" i="58"/>
  <c r="P38" i="58"/>
  <c r="N38" i="58"/>
  <c r="J38" i="58"/>
  <c r="K38" i="58" s="1"/>
  <c r="I38" i="58"/>
  <c r="H38" i="58"/>
  <c r="D38" i="58"/>
  <c r="C38" i="58"/>
  <c r="AC37" i="58"/>
  <c r="AB37" i="58"/>
  <c r="AA37" i="58"/>
  <c r="Z37" i="58"/>
  <c r="X37" i="58"/>
  <c r="W37" i="58"/>
  <c r="V37" i="58"/>
  <c r="U37" i="58"/>
  <c r="T37" i="58"/>
  <c r="S37" i="58"/>
  <c r="R37" i="58"/>
  <c r="Q37" i="58"/>
  <c r="P37" i="58"/>
  <c r="N37" i="58"/>
  <c r="K37" i="58"/>
  <c r="J37" i="58"/>
  <c r="I37" i="58"/>
  <c r="H37" i="58"/>
  <c r="D37" i="58"/>
  <c r="C37" i="58"/>
  <c r="AC36" i="58"/>
  <c r="AB36" i="58"/>
  <c r="AA36" i="58"/>
  <c r="Z36" i="58"/>
  <c r="X36" i="58"/>
  <c r="W36" i="58"/>
  <c r="V36" i="58"/>
  <c r="U36" i="58"/>
  <c r="T36" i="58"/>
  <c r="S36" i="58"/>
  <c r="R36" i="58"/>
  <c r="Q36" i="58"/>
  <c r="P36" i="58"/>
  <c r="N36" i="58"/>
  <c r="J36" i="58"/>
  <c r="I36" i="58"/>
  <c r="K36" i="58" s="1"/>
  <c r="H36" i="58"/>
  <c r="D36" i="58"/>
  <c r="C36" i="58"/>
  <c r="AC35" i="58"/>
  <c r="AB35" i="58"/>
  <c r="AA35" i="58"/>
  <c r="Z35" i="58"/>
  <c r="X35" i="58"/>
  <c r="W35" i="58"/>
  <c r="V35" i="58"/>
  <c r="U35" i="58"/>
  <c r="T35" i="58"/>
  <c r="S35" i="58"/>
  <c r="R35" i="58"/>
  <c r="Q35" i="58"/>
  <c r="P35" i="58"/>
  <c r="N35" i="58"/>
  <c r="J35" i="58"/>
  <c r="I35" i="58"/>
  <c r="K35" i="58" s="1"/>
  <c r="H35" i="58"/>
  <c r="D35" i="58"/>
  <c r="C35" i="58"/>
  <c r="AC34" i="58"/>
  <c r="AB34" i="58"/>
  <c r="AA34" i="58"/>
  <c r="Z34" i="58"/>
  <c r="X34" i="58"/>
  <c r="W34" i="58"/>
  <c r="V34" i="58"/>
  <c r="U34" i="58"/>
  <c r="T34" i="58"/>
  <c r="S34" i="58"/>
  <c r="R34" i="58"/>
  <c r="Q34" i="58"/>
  <c r="P34" i="58"/>
  <c r="N34" i="58"/>
  <c r="J34" i="58"/>
  <c r="K34" i="58" s="1"/>
  <c r="I34" i="58"/>
  <c r="H34" i="58"/>
  <c r="D34" i="58"/>
  <c r="C34" i="58"/>
  <c r="AB33" i="58"/>
  <c r="AB13" i="58"/>
  <c r="AB14" i="58"/>
  <c r="AB15" i="58"/>
  <c r="AC14" i="58"/>
  <c r="Z14" i="58"/>
  <c r="X14" i="58"/>
  <c r="W14" i="58"/>
  <c r="V14" i="58"/>
  <c r="U14" i="58"/>
  <c r="T14" i="58"/>
  <c r="S14" i="58"/>
  <c r="R14" i="58"/>
  <c r="Q14" i="58"/>
  <c r="P14" i="58"/>
  <c r="N14" i="58"/>
  <c r="J14" i="58"/>
  <c r="I14" i="58"/>
  <c r="K14" i="58" s="1"/>
  <c r="H14" i="58"/>
  <c r="D14" i="58"/>
  <c r="C14" i="58"/>
  <c r="BT400" i="1"/>
  <c r="AB327" i="58" l="1"/>
  <c r="Z430" i="57"/>
  <c r="Z429" i="57"/>
  <c r="Z428" i="57"/>
  <c r="Z427" i="57"/>
  <c r="Z426" i="57"/>
  <c r="Z425" i="57"/>
  <c r="Z424" i="57"/>
  <c r="Z423" i="57"/>
  <c r="Z422" i="57"/>
  <c r="Z421" i="57"/>
  <c r="Z420" i="57"/>
  <c r="Z419" i="57"/>
  <c r="Z418" i="57"/>
  <c r="Z417" i="57"/>
  <c r="Z416" i="57"/>
  <c r="Z415" i="57"/>
  <c r="Z414" i="57"/>
  <c r="Z413" i="57"/>
  <c r="Z412" i="57"/>
  <c r="Z411" i="57"/>
  <c r="Z410" i="57"/>
  <c r="Z409" i="57"/>
  <c r="Z408" i="57"/>
  <c r="Z407" i="57"/>
  <c r="Z406" i="57"/>
  <c r="Z405" i="57"/>
  <c r="Z404" i="57"/>
  <c r="Z403" i="57"/>
  <c r="Z402" i="57"/>
  <c r="Z401" i="57"/>
  <c r="Z400" i="57"/>
  <c r="Z399" i="57"/>
  <c r="Z398" i="57"/>
  <c r="Z397" i="57"/>
  <c r="Z396" i="57"/>
  <c r="Z395" i="57"/>
  <c r="Z394" i="57"/>
  <c r="Z393" i="57"/>
  <c r="Z392" i="57"/>
  <c r="Z391" i="57"/>
  <c r="Z390" i="57"/>
  <c r="Z389" i="57"/>
  <c r="Z388" i="57"/>
  <c r="Z387" i="57"/>
  <c r="Z386" i="57"/>
  <c r="Z385" i="57"/>
  <c r="Z384" i="57"/>
  <c r="Z383" i="57"/>
  <c r="Z382" i="57"/>
  <c r="Z381" i="57"/>
  <c r="Z380" i="57"/>
  <c r="Z379" i="57"/>
  <c r="Z378" i="57"/>
  <c r="Z377" i="57"/>
  <c r="Z376" i="57"/>
  <c r="Z375" i="57"/>
  <c r="Z374" i="57"/>
  <c r="Z373" i="57"/>
  <c r="Z372" i="57"/>
  <c r="Z371" i="57"/>
  <c r="Z370" i="57"/>
  <c r="Z369" i="57"/>
  <c r="Z368" i="57"/>
  <c r="Z367" i="57"/>
  <c r="Z366" i="57"/>
  <c r="Z365" i="57"/>
  <c r="Z364" i="57"/>
  <c r="Z363" i="57"/>
  <c r="Z362" i="57"/>
  <c r="Z361" i="57"/>
  <c r="Z360" i="57"/>
  <c r="Z359" i="57"/>
  <c r="Z358" i="57"/>
  <c r="Z357" i="57"/>
  <c r="Z356" i="57"/>
  <c r="Z355" i="57"/>
  <c r="Z354" i="57"/>
  <c r="Z353" i="57"/>
  <c r="Z352" i="57"/>
  <c r="Z351" i="57"/>
  <c r="Z350" i="57"/>
  <c r="Z349" i="57"/>
  <c r="Z348" i="57"/>
  <c r="Z347" i="57"/>
  <c r="Z346" i="57"/>
  <c r="Z345" i="57"/>
  <c r="Z344" i="57"/>
  <c r="Z343" i="57"/>
  <c r="Z342" i="57"/>
  <c r="Z341" i="57"/>
  <c r="Z340" i="57"/>
  <c r="Z339" i="57"/>
  <c r="Z323" i="57"/>
  <c r="Z322" i="57"/>
  <c r="Z321" i="57"/>
  <c r="Z320" i="57"/>
  <c r="Z319" i="57"/>
  <c r="Z318" i="57"/>
  <c r="Z317" i="57"/>
  <c r="Z316" i="57"/>
  <c r="Z315" i="57"/>
  <c r="Z314" i="57"/>
  <c r="Z313" i="57"/>
  <c r="Z312" i="57"/>
  <c r="Z311" i="57"/>
  <c r="Z310" i="57"/>
  <c r="Z309" i="57"/>
  <c r="Z308" i="57"/>
  <c r="Z307" i="57"/>
  <c r="Z306" i="57"/>
  <c r="Z305" i="57"/>
  <c r="Z304" i="57"/>
  <c r="Z303" i="57"/>
  <c r="Z302" i="57"/>
  <c r="Z301" i="57"/>
  <c r="Z300" i="57"/>
  <c r="Z299" i="57"/>
  <c r="Z298" i="57"/>
  <c r="Z297" i="57"/>
  <c r="Z296" i="57"/>
  <c r="Z295" i="57"/>
  <c r="Z294" i="57"/>
  <c r="Z293" i="57"/>
  <c r="Z292" i="57"/>
  <c r="Z291" i="57"/>
  <c r="Z290" i="57"/>
  <c r="Z289" i="57"/>
  <c r="Z288" i="57"/>
  <c r="Z287" i="57"/>
  <c r="Z286" i="57"/>
  <c r="Z285" i="57"/>
  <c r="Z284" i="57"/>
  <c r="Z283" i="57"/>
  <c r="Z282" i="57"/>
  <c r="Z281" i="57"/>
  <c r="Z280" i="57"/>
  <c r="Z279" i="57"/>
  <c r="Z278" i="57"/>
  <c r="Z277" i="57"/>
  <c r="Z276" i="57"/>
  <c r="Z275" i="57"/>
  <c r="Z274" i="57"/>
  <c r="Z273" i="57"/>
  <c r="Z272" i="57"/>
  <c r="Z271" i="57"/>
  <c r="Z270" i="57"/>
  <c r="Z269" i="57"/>
  <c r="Z268" i="57"/>
  <c r="Z267" i="57"/>
  <c r="Z266" i="57"/>
  <c r="Z265" i="57"/>
  <c r="Z264" i="57"/>
  <c r="Z263" i="57"/>
  <c r="Z262" i="57"/>
  <c r="Z261" i="57"/>
  <c r="Z260" i="57"/>
  <c r="Z259" i="57"/>
  <c r="Z258" i="57"/>
  <c r="Z257" i="57"/>
  <c r="Z256" i="57"/>
  <c r="Z255" i="57"/>
  <c r="Z254" i="57"/>
  <c r="Z253" i="57"/>
  <c r="Z252" i="57"/>
  <c r="Z251" i="57"/>
  <c r="Z250" i="57"/>
  <c r="Z249" i="57"/>
  <c r="Z248" i="57"/>
  <c r="Z247" i="57"/>
  <c r="Z246" i="57"/>
  <c r="Z245" i="57"/>
  <c r="Z244" i="57"/>
  <c r="Z243" i="57"/>
  <c r="Z242" i="57"/>
  <c r="Z241" i="57"/>
  <c r="Z240" i="57"/>
  <c r="Z239" i="57"/>
  <c r="Z238" i="57"/>
  <c r="Z237" i="57"/>
  <c r="Z236" i="57"/>
  <c r="Z235" i="57"/>
  <c r="Z234" i="57"/>
  <c r="Z233" i="57"/>
  <c r="Z232" i="57"/>
  <c r="Z231" i="57"/>
  <c r="Z230" i="57"/>
  <c r="Z229" i="57"/>
  <c r="Z228" i="57"/>
  <c r="Z227" i="57"/>
  <c r="Z226" i="57"/>
  <c r="Z225" i="57"/>
  <c r="Z224" i="57"/>
  <c r="Z223" i="57"/>
  <c r="Z222" i="57"/>
  <c r="Z221" i="57"/>
  <c r="Z220" i="57"/>
  <c r="Z219" i="57"/>
  <c r="Z218" i="57"/>
  <c r="Z217" i="57"/>
  <c r="Z216" i="57"/>
  <c r="Z215" i="57"/>
  <c r="Z214" i="57"/>
  <c r="Z213" i="57"/>
  <c r="Z212" i="57"/>
  <c r="Z211" i="57"/>
  <c r="Z210" i="57"/>
  <c r="Z209" i="57"/>
  <c r="Z208" i="57"/>
  <c r="Z207" i="57"/>
  <c r="Z206" i="57"/>
  <c r="Z205" i="57"/>
  <c r="Z204" i="57"/>
  <c r="Z203" i="57"/>
  <c r="Z202" i="57"/>
  <c r="Z201" i="57"/>
  <c r="Z200" i="57"/>
  <c r="Z199" i="57"/>
  <c r="Z198" i="57"/>
  <c r="Z197" i="57"/>
  <c r="Z196" i="57"/>
  <c r="Z195" i="57"/>
  <c r="Z194" i="57"/>
  <c r="Z193" i="57"/>
  <c r="Z192" i="57"/>
  <c r="Z191" i="57"/>
  <c r="Z190" i="57"/>
  <c r="Z189" i="57"/>
  <c r="Z188" i="57"/>
  <c r="Z187" i="57"/>
  <c r="Z186" i="57"/>
  <c r="Z185" i="57"/>
  <c r="Z184" i="57"/>
  <c r="Z183" i="57"/>
  <c r="Z182" i="57"/>
  <c r="Z181" i="57"/>
  <c r="Z180" i="57"/>
  <c r="Z179" i="57"/>
  <c r="Z178" i="57"/>
  <c r="Z177" i="57"/>
  <c r="Z176" i="57"/>
  <c r="Z175" i="57"/>
  <c r="Z174" i="57"/>
  <c r="Z173" i="57"/>
  <c r="Z172" i="57"/>
  <c r="Z171" i="57"/>
  <c r="Z170" i="57"/>
  <c r="Z169" i="57"/>
  <c r="Z168" i="57"/>
  <c r="Z167" i="57"/>
  <c r="Z166" i="57"/>
  <c r="Z165" i="57"/>
  <c r="Z164" i="57"/>
  <c r="Z163" i="57"/>
  <c r="Z162" i="57"/>
  <c r="Z161" i="57"/>
  <c r="Z160" i="57"/>
  <c r="Z159" i="57"/>
  <c r="Z158" i="57"/>
  <c r="Z157" i="57"/>
  <c r="Z156" i="57"/>
  <c r="Z155" i="57"/>
  <c r="Z154" i="57"/>
  <c r="Z153" i="57"/>
  <c r="Z152" i="57"/>
  <c r="Z151" i="57"/>
  <c r="Z150" i="57"/>
  <c r="Z149" i="57"/>
  <c r="Z148" i="57"/>
  <c r="Z147" i="57"/>
  <c r="Z146" i="57"/>
  <c r="Z145" i="57"/>
  <c r="Z144" i="57"/>
  <c r="Z143" i="57"/>
  <c r="Z142" i="57"/>
  <c r="Z141" i="57"/>
  <c r="Z140" i="57"/>
  <c r="Z139" i="57"/>
  <c r="Z138" i="57"/>
  <c r="Z137" i="57"/>
  <c r="Z136" i="57"/>
  <c r="Z135" i="57"/>
  <c r="Z134" i="57"/>
  <c r="Z133" i="57"/>
  <c r="Z132" i="57"/>
  <c r="Z131" i="57"/>
  <c r="Z130" i="57"/>
  <c r="Z129" i="57"/>
  <c r="Z128" i="57"/>
  <c r="Z127" i="57"/>
  <c r="Z126" i="57"/>
  <c r="Z125" i="57"/>
  <c r="Z124" i="57"/>
  <c r="Z123" i="57"/>
  <c r="Z122" i="57"/>
  <c r="Z121" i="57"/>
  <c r="Z120" i="57"/>
  <c r="Z119" i="57"/>
  <c r="Z118" i="57"/>
  <c r="Z117" i="57"/>
  <c r="Z116" i="57"/>
  <c r="Z115" i="57"/>
  <c r="Z114" i="57"/>
  <c r="Z113" i="57"/>
  <c r="Z112" i="57"/>
  <c r="Z111" i="57"/>
  <c r="Z110" i="57"/>
  <c r="Z109" i="57"/>
  <c r="Z108" i="57"/>
  <c r="Z107" i="57"/>
  <c r="Z106" i="57"/>
  <c r="Z105" i="57"/>
  <c r="Z104" i="57"/>
  <c r="Z103" i="57"/>
  <c r="Z102" i="57"/>
  <c r="Z101" i="57"/>
  <c r="Z100" i="57"/>
  <c r="Z99" i="57"/>
  <c r="Z98" i="57"/>
  <c r="Z97" i="57"/>
  <c r="Z96" i="57"/>
  <c r="Z95" i="57"/>
  <c r="Z94" i="57"/>
  <c r="Z93" i="57"/>
  <c r="Z92" i="57"/>
  <c r="Z91" i="57"/>
  <c r="Z90" i="57"/>
  <c r="Z89" i="57"/>
  <c r="Z88" i="57"/>
  <c r="Z87" i="57"/>
  <c r="Z86" i="57"/>
  <c r="Z85" i="57"/>
  <c r="Z84" i="57"/>
  <c r="Z83" i="57"/>
  <c r="Z82" i="57"/>
  <c r="Z81" i="57"/>
  <c r="Z80" i="57"/>
  <c r="Z79" i="57"/>
  <c r="Z78" i="57"/>
  <c r="Z77" i="57"/>
  <c r="Z76" i="57"/>
  <c r="Z75" i="57"/>
  <c r="Z74" i="57"/>
  <c r="Z73" i="57"/>
  <c r="Z72" i="57"/>
  <c r="Z71" i="57"/>
  <c r="Z70" i="57"/>
  <c r="Z69" i="57"/>
  <c r="Z68" i="57"/>
  <c r="Z67" i="57"/>
  <c r="Z66" i="57"/>
  <c r="Z65" i="57"/>
  <c r="Z54" i="57"/>
  <c r="Z53" i="57"/>
  <c r="Z52" i="57"/>
  <c r="Z51" i="57"/>
  <c r="Z50" i="57"/>
  <c r="Z49" i="57"/>
  <c r="Z48" i="57"/>
  <c r="Z47" i="57"/>
  <c r="Z46" i="57"/>
  <c r="Z45" i="57"/>
  <c r="Z44" i="57"/>
  <c r="Z43" i="57"/>
  <c r="Z42" i="57"/>
  <c r="Z41" i="57"/>
  <c r="Z40" i="57"/>
  <c r="Z39" i="57"/>
  <c r="Z38" i="57"/>
  <c r="Z37" i="57"/>
  <c r="Z36" i="57"/>
  <c r="Z35" i="57"/>
  <c r="Z34" i="57"/>
  <c r="Z33" i="57"/>
  <c r="Z32" i="57"/>
  <c r="Z31" i="57"/>
  <c r="Z30" i="57"/>
  <c r="Z14" i="57"/>
  <c r="Z13" i="57"/>
  <c r="CB396" i="1"/>
  <c r="CB395" i="1"/>
  <c r="CB394" i="1"/>
  <c r="CB393" i="1"/>
  <c r="CB392" i="1"/>
  <c r="CB391" i="1"/>
  <c r="CB390" i="1"/>
  <c r="CB389" i="1"/>
  <c r="CB388" i="1"/>
  <c r="CB387" i="1"/>
  <c r="CB386" i="1"/>
  <c r="CB385" i="1"/>
  <c r="CB384" i="1"/>
  <c r="CB383" i="1"/>
  <c r="CB382" i="1"/>
  <c r="CB381" i="1"/>
  <c r="CB380" i="1"/>
  <c r="CB379" i="1"/>
  <c r="CB378" i="1"/>
  <c r="CB377" i="1"/>
  <c r="CB376" i="1"/>
  <c r="CB375" i="1"/>
  <c r="CB374" i="1"/>
  <c r="CB373" i="1"/>
  <c r="CB372" i="1"/>
  <c r="CB371" i="1"/>
  <c r="CB370" i="1"/>
  <c r="CB369" i="1"/>
  <c r="CB368" i="1"/>
  <c r="CB367" i="1"/>
  <c r="CB366" i="1"/>
  <c r="CB365" i="1"/>
  <c r="CB364" i="1"/>
  <c r="CB363" i="1"/>
  <c r="CB362" i="1"/>
  <c r="CB361" i="1"/>
  <c r="CB360" i="1"/>
  <c r="CB359" i="1"/>
  <c r="CB358" i="1"/>
  <c r="CB357" i="1"/>
  <c r="CB356" i="1"/>
  <c r="CB355" i="1"/>
  <c r="CB354" i="1"/>
  <c r="CB353" i="1"/>
  <c r="CB352" i="1"/>
  <c r="CB351" i="1"/>
  <c r="CB350" i="1"/>
  <c r="CB349" i="1"/>
  <c r="CB348" i="1"/>
  <c r="CB347" i="1"/>
  <c r="CB346" i="1"/>
  <c r="CB345" i="1"/>
  <c r="CB344" i="1"/>
  <c r="CB343" i="1"/>
  <c r="CB342" i="1"/>
  <c r="CB341" i="1"/>
  <c r="CB340" i="1"/>
  <c r="CB339" i="1"/>
  <c r="CB338" i="1"/>
  <c r="CB337" i="1"/>
  <c r="CB336" i="1"/>
  <c r="CB335" i="1"/>
  <c r="CB334" i="1"/>
  <c r="CB333" i="1"/>
  <c r="CB332" i="1"/>
  <c r="CB331" i="1"/>
  <c r="CB330" i="1"/>
  <c r="CB329" i="1"/>
  <c r="CB328" i="1"/>
  <c r="CB327" i="1"/>
  <c r="CB326" i="1"/>
  <c r="CB325" i="1"/>
  <c r="CB324" i="1"/>
  <c r="CB323" i="1"/>
  <c r="CB322" i="1"/>
  <c r="CB321" i="1"/>
  <c r="CB320" i="1"/>
  <c r="CB319" i="1"/>
  <c r="CB318" i="1"/>
  <c r="CB317" i="1"/>
  <c r="CB316" i="1"/>
  <c r="CB315" i="1"/>
  <c r="CB314" i="1"/>
  <c r="CB313" i="1"/>
  <c r="CB312" i="1"/>
  <c r="CB311" i="1"/>
  <c r="CB310" i="1"/>
  <c r="CB309" i="1"/>
  <c r="CB308" i="1"/>
  <c r="CB307" i="1"/>
  <c r="CB306" i="1"/>
  <c r="CB305" i="1"/>
  <c r="CB302" i="1"/>
  <c r="CB301" i="1"/>
  <c r="CB300" i="1"/>
  <c r="CB299" i="1"/>
  <c r="CB298" i="1"/>
  <c r="CB297" i="1"/>
  <c r="CB296" i="1"/>
  <c r="CB295" i="1"/>
  <c r="CB294" i="1"/>
  <c r="CB293" i="1"/>
  <c r="CB292" i="1"/>
  <c r="CB291" i="1"/>
  <c r="CB290" i="1"/>
  <c r="CB289" i="1"/>
  <c r="CB288" i="1"/>
  <c r="CB287" i="1"/>
  <c r="CB286" i="1"/>
  <c r="CB285" i="1"/>
  <c r="CB284" i="1"/>
  <c r="CB283" i="1"/>
  <c r="CB282" i="1"/>
  <c r="CB281" i="1"/>
  <c r="CB280" i="1"/>
  <c r="CB279" i="1"/>
  <c r="CB278" i="1"/>
  <c r="CB277" i="1"/>
  <c r="CB276" i="1"/>
  <c r="CB275" i="1"/>
  <c r="CB274" i="1"/>
  <c r="CB273" i="1"/>
  <c r="CB272" i="1"/>
  <c r="CB271" i="1"/>
  <c r="CB270" i="1"/>
  <c r="CB269" i="1"/>
  <c r="CB268" i="1"/>
  <c r="CB267" i="1"/>
  <c r="CB266" i="1"/>
  <c r="CB265" i="1"/>
  <c r="CB264" i="1"/>
  <c r="CB263" i="1"/>
  <c r="CB262" i="1"/>
  <c r="CB261" i="1"/>
  <c r="CB260" i="1"/>
  <c r="CB259" i="1"/>
  <c r="CB258" i="1"/>
  <c r="CB257" i="1"/>
  <c r="CB256" i="1"/>
  <c r="CB255" i="1"/>
  <c r="CB254" i="1"/>
  <c r="CB253" i="1"/>
  <c r="CB252" i="1"/>
  <c r="CB251" i="1"/>
  <c r="CB250" i="1"/>
  <c r="CB249" i="1"/>
  <c r="CB248" i="1"/>
  <c r="CB247" i="1"/>
  <c r="CB246" i="1"/>
  <c r="CB245" i="1"/>
  <c r="CB244" i="1"/>
  <c r="CB243" i="1"/>
  <c r="CB242" i="1"/>
  <c r="CB241" i="1"/>
  <c r="CB240" i="1"/>
  <c r="CB239" i="1"/>
  <c r="CB238" i="1"/>
  <c r="CB237" i="1"/>
  <c r="CB236" i="1"/>
  <c r="CB235" i="1"/>
  <c r="CB234" i="1"/>
  <c r="CB233" i="1"/>
  <c r="CB232" i="1"/>
  <c r="CB231" i="1"/>
  <c r="CB230" i="1"/>
  <c r="CB229" i="1"/>
  <c r="CB228" i="1"/>
  <c r="CB227" i="1"/>
  <c r="CB226" i="1"/>
  <c r="CB225" i="1"/>
  <c r="CB224" i="1"/>
  <c r="CB223" i="1"/>
  <c r="CB222" i="1"/>
  <c r="CB221" i="1"/>
  <c r="CB220" i="1"/>
  <c r="CB219" i="1"/>
  <c r="CB218" i="1"/>
  <c r="CB217" i="1"/>
  <c r="CB216" i="1"/>
  <c r="CB215" i="1"/>
  <c r="CB214" i="1"/>
  <c r="CB213" i="1"/>
  <c r="CB212" i="1"/>
  <c r="CB211" i="1"/>
  <c r="CB210" i="1"/>
  <c r="CB209" i="1"/>
  <c r="CB208" i="1"/>
  <c r="CB207" i="1"/>
  <c r="CB206" i="1"/>
  <c r="CB205" i="1"/>
  <c r="CB204" i="1"/>
  <c r="CB203" i="1"/>
  <c r="CB202" i="1"/>
  <c r="CB201" i="1"/>
  <c r="CB200" i="1"/>
  <c r="CB199" i="1"/>
  <c r="CB198" i="1"/>
  <c r="CB197" i="1"/>
  <c r="CB196" i="1"/>
  <c r="CB195" i="1"/>
  <c r="CB194" i="1"/>
  <c r="CB193" i="1"/>
  <c r="CB192" i="1"/>
  <c r="CB191" i="1"/>
  <c r="CB190" i="1"/>
  <c r="CB189" i="1"/>
  <c r="CB188" i="1"/>
  <c r="CB187" i="1"/>
  <c r="CB186" i="1"/>
  <c r="CB185" i="1"/>
  <c r="CB184" i="1"/>
  <c r="CB183" i="1"/>
  <c r="CB182" i="1"/>
  <c r="CB181" i="1"/>
  <c r="CB180" i="1"/>
  <c r="CB179" i="1"/>
  <c r="CB178" i="1"/>
  <c r="CB177" i="1"/>
  <c r="CB176" i="1"/>
  <c r="CB175" i="1"/>
  <c r="CB174" i="1"/>
  <c r="CB173" i="1"/>
  <c r="CB172" i="1"/>
  <c r="CB171" i="1"/>
  <c r="CB170" i="1"/>
  <c r="CB169" i="1"/>
  <c r="CB168" i="1"/>
  <c r="CB167" i="1"/>
  <c r="CB166" i="1"/>
  <c r="CB165" i="1"/>
  <c r="CB164" i="1"/>
  <c r="CB163" i="1"/>
  <c r="CB162" i="1"/>
  <c r="CB161" i="1"/>
  <c r="CB160" i="1"/>
  <c r="CB159" i="1"/>
  <c r="CB158" i="1"/>
  <c r="CB157" i="1"/>
  <c r="CB156" i="1"/>
  <c r="CB155" i="1"/>
  <c r="CB154" i="1"/>
  <c r="CB153" i="1"/>
  <c r="CB152" i="1"/>
  <c r="CB151" i="1"/>
  <c r="CB150" i="1"/>
  <c r="CB149" i="1"/>
  <c r="CB148" i="1"/>
  <c r="CB147" i="1"/>
  <c r="CB146" i="1"/>
  <c r="CB145" i="1"/>
  <c r="CB144" i="1"/>
  <c r="CB143" i="1"/>
  <c r="CB142" i="1"/>
  <c r="CB141" i="1"/>
  <c r="CB140" i="1"/>
  <c r="CB139" i="1"/>
  <c r="CB138" i="1"/>
  <c r="CB137" i="1"/>
  <c r="CB136" i="1"/>
  <c r="CB135" i="1"/>
  <c r="CB134" i="1"/>
  <c r="CB133" i="1"/>
  <c r="CB132" i="1"/>
  <c r="CB131" i="1"/>
  <c r="CB130" i="1"/>
  <c r="CB129" i="1"/>
  <c r="CB128" i="1"/>
  <c r="CB127" i="1"/>
  <c r="CB126" i="1"/>
  <c r="CB125" i="1"/>
  <c r="CB124" i="1"/>
  <c r="CB123" i="1"/>
  <c r="CB122" i="1"/>
  <c r="CB121" i="1"/>
  <c r="CB120" i="1"/>
  <c r="CB119" i="1"/>
  <c r="CB118" i="1"/>
  <c r="CB117" i="1"/>
  <c r="CB116" i="1"/>
  <c r="CB115" i="1"/>
  <c r="CB114" i="1"/>
  <c r="CB113" i="1"/>
  <c r="CB112" i="1"/>
  <c r="CB111" i="1"/>
  <c r="CB110" i="1"/>
  <c r="CB109" i="1"/>
  <c r="CB108" i="1"/>
  <c r="CB107" i="1"/>
  <c r="CB106" i="1"/>
  <c r="CB105" i="1"/>
  <c r="CB104" i="1"/>
  <c r="CB103" i="1"/>
  <c r="CB102" i="1"/>
  <c r="CB101" i="1"/>
  <c r="CB100" i="1"/>
  <c r="CB99" i="1"/>
  <c r="CB98" i="1"/>
  <c r="CB97" i="1"/>
  <c r="CB96" i="1"/>
  <c r="CB95" i="1"/>
  <c r="CB94" i="1"/>
  <c r="CB93" i="1"/>
  <c r="CB92" i="1"/>
  <c r="CB91" i="1"/>
  <c r="CB90" i="1"/>
  <c r="CB89" i="1"/>
  <c r="CB88" i="1"/>
  <c r="CB87" i="1"/>
  <c r="CB86" i="1"/>
  <c r="CB85" i="1"/>
  <c r="CB84" i="1"/>
  <c r="CB83" i="1"/>
  <c r="CB82" i="1"/>
  <c r="CB81" i="1"/>
  <c r="CB80" i="1"/>
  <c r="CB79" i="1"/>
  <c r="CB78" i="1"/>
  <c r="CB77" i="1"/>
  <c r="CB76" i="1"/>
  <c r="CB75" i="1"/>
  <c r="CB74" i="1"/>
  <c r="CB73" i="1"/>
  <c r="CB72" i="1"/>
  <c r="CB71" i="1"/>
  <c r="CB70" i="1"/>
  <c r="CB69" i="1"/>
  <c r="CB68" i="1"/>
  <c r="CB67" i="1"/>
  <c r="CB66" i="1"/>
  <c r="CB65" i="1"/>
  <c r="CB64" i="1"/>
  <c r="CB63" i="1"/>
  <c r="CB62" i="1"/>
  <c r="CB61" i="1"/>
  <c r="CB60" i="1"/>
  <c r="CB59" i="1"/>
  <c r="CB58" i="1"/>
  <c r="CB57" i="1"/>
  <c r="CB56" i="1"/>
  <c r="CB55" i="1"/>
  <c r="CB54" i="1"/>
  <c r="CB53" i="1"/>
  <c r="CB52" i="1"/>
  <c r="CB51" i="1"/>
  <c r="CB50" i="1"/>
  <c r="CB49" i="1"/>
  <c r="CB48" i="1"/>
  <c r="CB47" i="1"/>
  <c r="CB46" i="1"/>
  <c r="CB45" i="1"/>
  <c r="CB44" i="1"/>
  <c r="CB41" i="1"/>
  <c r="CB40" i="1"/>
  <c r="CB39" i="1"/>
  <c r="CB38" i="1"/>
  <c r="CB37" i="1"/>
  <c r="CB36" i="1"/>
  <c r="CB35" i="1"/>
  <c r="CB34" i="1"/>
  <c r="CB33" i="1"/>
  <c r="CB32" i="1"/>
  <c r="CB31" i="1"/>
  <c r="CB30" i="1"/>
  <c r="CB29" i="1"/>
  <c r="CB28" i="1"/>
  <c r="CB27" i="1"/>
  <c r="CB26" i="1"/>
  <c r="CB25" i="1"/>
  <c r="CB24" i="1"/>
  <c r="CB23" i="1"/>
  <c r="CB22" i="1"/>
  <c r="CB21" i="1"/>
  <c r="CB20" i="1"/>
  <c r="CB19" i="1"/>
  <c r="CB18" i="1"/>
  <c r="CB17" i="1"/>
  <c r="CB14" i="1"/>
  <c r="CB13" i="1"/>
  <c r="F309" i="36"/>
  <c r="E309" i="36"/>
  <c r="D309" i="36"/>
  <c r="C309" i="36"/>
  <c r="B309" i="36"/>
  <c r="F308" i="36"/>
  <c r="E308" i="36"/>
  <c r="D308" i="36"/>
  <c r="C308" i="36"/>
  <c r="B308" i="36"/>
  <c r="F307" i="36"/>
  <c r="E307" i="36"/>
  <c r="D307" i="36"/>
  <c r="C307" i="36"/>
  <c r="B307" i="36"/>
  <c r="F306" i="36"/>
  <c r="E306" i="36"/>
  <c r="D306" i="36"/>
  <c r="C306" i="36"/>
  <c r="B306" i="36"/>
  <c r="F305" i="36"/>
  <c r="E305" i="36"/>
  <c r="D305" i="36"/>
  <c r="C305" i="36"/>
  <c r="B305" i="36"/>
  <c r="F304" i="36"/>
  <c r="E304" i="36"/>
  <c r="D304" i="36"/>
  <c r="C304" i="36"/>
  <c r="B304" i="36"/>
  <c r="F303" i="36"/>
  <c r="E303" i="36"/>
  <c r="D303" i="36"/>
  <c r="C303" i="36"/>
  <c r="B303" i="36"/>
  <c r="F302" i="36"/>
  <c r="E302" i="36"/>
  <c r="D302" i="36"/>
  <c r="C302" i="36"/>
  <c r="B302" i="36"/>
  <c r="F301" i="36"/>
  <c r="E301" i="36"/>
  <c r="D301" i="36"/>
  <c r="C301" i="36"/>
  <c r="B301" i="36"/>
  <c r="F300" i="36"/>
  <c r="E300" i="36"/>
  <c r="D300" i="36"/>
  <c r="C300" i="36"/>
  <c r="B300" i="36"/>
  <c r="F299" i="36"/>
  <c r="E299" i="36"/>
  <c r="D299" i="36"/>
  <c r="C299" i="36"/>
  <c r="B299" i="36"/>
  <c r="F298" i="36"/>
  <c r="E298" i="36"/>
  <c r="D298" i="36"/>
  <c r="C298" i="36"/>
  <c r="B298" i="36"/>
  <c r="F297" i="36"/>
  <c r="E297" i="36"/>
  <c r="D297" i="36"/>
  <c r="C297" i="36"/>
  <c r="B297" i="36"/>
  <c r="F296" i="36"/>
  <c r="E296" i="36"/>
  <c r="D296" i="36"/>
  <c r="C296" i="36"/>
  <c r="B296" i="36"/>
  <c r="F295" i="36"/>
  <c r="E295" i="36"/>
  <c r="D295" i="36"/>
  <c r="C295" i="36"/>
  <c r="B295" i="36"/>
  <c r="F294" i="36"/>
  <c r="E294" i="36"/>
  <c r="D294" i="36"/>
  <c r="C294" i="36"/>
  <c r="B294" i="36"/>
  <c r="F293" i="36"/>
  <c r="E293" i="36"/>
  <c r="D293" i="36"/>
  <c r="C293" i="36"/>
  <c r="B293" i="36"/>
  <c r="F292" i="36"/>
  <c r="E292" i="36"/>
  <c r="D292" i="36"/>
  <c r="C292" i="36"/>
  <c r="B292" i="36"/>
  <c r="F291" i="36"/>
  <c r="E291" i="36"/>
  <c r="D291" i="36"/>
  <c r="C291" i="36"/>
  <c r="B291" i="36"/>
  <c r="F290" i="36"/>
  <c r="E290" i="36"/>
  <c r="D290" i="36"/>
  <c r="C290" i="36"/>
  <c r="B290" i="36"/>
  <c r="F289" i="36"/>
  <c r="E289" i="36"/>
  <c r="D289" i="36"/>
  <c r="C289" i="36"/>
  <c r="B289" i="36"/>
  <c r="F288" i="36"/>
  <c r="E288" i="36"/>
  <c r="D288" i="36"/>
  <c r="C288" i="36"/>
  <c r="B288" i="36"/>
  <c r="F287" i="36"/>
  <c r="E287" i="36"/>
  <c r="D287" i="36"/>
  <c r="C287" i="36"/>
  <c r="B287" i="36"/>
  <c r="F286" i="36"/>
  <c r="E286" i="36"/>
  <c r="D286" i="36"/>
  <c r="C286" i="36"/>
  <c r="B286" i="36"/>
  <c r="F285" i="36"/>
  <c r="E285" i="36"/>
  <c r="D285" i="36"/>
  <c r="C285" i="36"/>
  <c r="B285" i="36"/>
  <c r="F284" i="36"/>
  <c r="E284" i="36"/>
  <c r="D284" i="36"/>
  <c r="C284" i="36"/>
  <c r="B284" i="36"/>
  <c r="F283" i="36"/>
  <c r="E283" i="36"/>
  <c r="D283" i="36"/>
  <c r="C283" i="36"/>
  <c r="B283" i="36"/>
  <c r="F282" i="36"/>
  <c r="E282" i="36"/>
  <c r="D282" i="36"/>
  <c r="C282" i="36"/>
  <c r="B282" i="36"/>
  <c r="F281" i="36"/>
  <c r="E281" i="36"/>
  <c r="D281" i="36"/>
  <c r="C281" i="36"/>
  <c r="B281" i="36"/>
  <c r="F280" i="36"/>
  <c r="E280" i="36"/>
  <c r="D280" i="36"/>
  <c r="C280" i="36"/>
  <c r="B280" i="36"/>
  <c r="F279" i="36"/>
  <c r="E279" i="36"/>
  <c r="D279" i="36"/>
  <c r="C279" i="36"/>
  <c r="B279" i="36"/>
  <c r="F278" i="36"/>
  <c r="E278" i="36"/>
  <c r="D278" i="36"/>
  <c r="C278" i="36"/>
  <c r="B278" i="36"/>
  <c r="F277" i="36"/>
  <c r="E277" i="36"/>
  <c r="D277" i="36"/>
  <c r="C277" i="36"/>
  <c r="B277" i="36"/>
  <c r="F276" i="36"/>
  <c r="E276" i="36"/>
  <c r="D276" i="36"/>
  <c r="C276" i="36"/>
  <c r="B276" i="36"/>
  <c r="F275" i="36"/>
  <c r="E275" i="36"/>
  <c r="D275" i="36"/>
  <c r="C275" i="36"/>
  <c r="B275" i="36"/>
  <c r="F274" i="36"/>
  <c r="E274" i="36"/>
  <c r="D274" i="36"/>
  <c r="C274" i="36"/>
  <c r="B274" i="36"/>
  <c r="F273" i="36"/>
  <c r="E273" i="36"/>
  <c r="D273" i="36"/>
  <c r="C273" i="36"/>
  <c r="B273" i="36"/>
  <c r="F272" i="36"/>
  <c r="E272" i="36"/>
  <c r="D272" i="36"/>
  <c r="C272" i="36"/>
  <c r="B272" i="36"/>
  <c r="F271" i="36"/>
  <c r="E271" i="36"/>
  <c r="D271" i="36"/>
  <c r="C271" i="36"/>
  <c r="B271" i="36"/>
  <c r="F270" i="36"/>
  <c r="E270" i="36"/>
  <c r="D270" i="36"/>
  <c r="C270" i="36"/>
  <c r="B270" i="36"/>
  <c r="F269" i="36"/>
  <c r="E269" i="36"/>
  <c r="D269" i="36"/>
  <c r="C269" i="36"/>
  <c r="B269" i="36"/>
  <c r="F268" i="36"/>
  <c r="E268" i="36"/>
  <c r="D268" i="36"/>
  <c r="C268" i="36"/>
  <c r="B268" i="36"/>
  <c r="F267" i="36"/>
  <c r="E267" i="36"/>
  <c r="D267" i="36"/>
  <c r="C267" i="36"/>
  <c r="B267" i="36"/>
  <c r="F266" i="36"/>
  <c r="E266" i="36"/>
  <c r="D266" i="36"/>
  <c r="C266" i="36"/>
  <c r="B266" i="36"/>
  <c r="F265" i="36"/>
  <c r="E265" i="36"/>
  <c r="D265" i="36"/>
  <c r="C265" i="36"/>
  <c r="B265" i="36"/>
  <c r="F264" i="36"/>
  <c r="E264" i="36"/>
  <c r="D264" i="36"/>
  <c r="C264" i="36"/>
  <c r="B264" i="36"/>
  <c r="F263" i="36"/>
  <c r="E263" i="36"/>
  <c r="D263" i="36"/>
  <c r="C263" i="36"/>
  <c r="B263" i="36"/>
  <c r="F262" i="36"/>
  <c r="E262" i="36"/>
  <c r="D262" i="36"/>
  <c r="C262" i="36"/>
  <c r="B262" i="36"/>
  <c r="F261" i="36"/>
  <c r="E261" i="36"/>
  <c r="D261" i="36"/>
  <c r="C261" i="36"/>
  <c r="B261" i="36"/>
  <c r="F260" i="36"/>
  <c r="E260" i="36"/>
  <c r="D260" i="36"/>
  <c r="C260" i="36"/>
  <c r="B260" i="36"/>
  <c r="F259" i="36"/>
  <c r="E259" i="36"/>
  <c r="D259" i="36"/>
  <c r="C259" i="36"/>
  <c r="B259" i="36"/>
  <c r="F258" i="36"/>
  <c r="E258" i="36"/>
  <c r="D258" i="36"/>
  <c r="C258" i="36"/>
  <c r="B258" i="36"/>
  <c r="F257" i="36"/>
  <c r="E257" i="36"/>
  <c r="D257" i="36"/>
  <c r="C257" i="36"/>
  <c r="B257" i="36"/>
  <c r="F256" i="36"/>
  <c r="E256" i="36"/>
  <c r="D256" i="36"/>
  <c r="C256" i="36"/>
  <c r="B256" i="36"/>
  <c r="F255" i="36"/>
  <c r="E255" i="36"/>
  <c r="D255" i="36"/>
  <c r="C255" i="36"/>
  <c r="B255" i="36"/>
  <c r="F254" i="36"/>
  <c r="E254" i="36"/>
  <c r="D254" i="36"/>
  <c r="C254" i="36"/>
  <c r="B254" i="36"/>
  <c r="F253" i="36"/>
  <c r="E253" i="36"/>
  <c r="D253" i="36"/>
  <c r="C253" i="36"/>
  <c r="B253" i="36"/>
  <c r="F252" i="36"/>
  <c r="E252" i="36"/>
  <c r="D252" i="36"/>
  <c r="C252" i="36"/>
  <c r="B252" i="36"/>
  <c r="F251" i="36"/>
  <c r="E251" i="36"/>
  <c r="D251" i="36"/>
  <c r="C251" i="36"/>
  <c r="B251" i="36"/>
  <c r="F250" i="36"/>
  <c r="E250" i="36"/>
  <c r="D250" i="36"/>
  <c r="C250" i="36"/>
  <c r="B250" i="36"/>
  <c r="F249" i="36"/>
  <c r="E249" i="36"/>
  <c r="D249" i="36"/>
  <c r="C249" i="36"/>
  <c r="B249" i="36"/>
  <c r="F248" i="36"/>
  <c r="E248" i="36"/>
  <c r="D248" i="36"/>
  <c r="C248" i="36"/>
  <c r="B248" i="36"/>
  <c r="F247" i="36"/>
  <c r="E247" i="36"/>
  <c r="D247" i="36"/>
  <c r="C247" i="36"/>
  <c r="B247" i="36"/>
  <c r="F246" i="36"/>
  <c r="E246" i="36"/>
  <c r="D246" i="36"/>
  <c r="C246" i="36"/>
  <c r="B246" i="36"/>
  <c r="F245" i="36"/>
  <c r="E245" i="36"/>
  <c r="D245" i="36"/>
  <c r="C245" i="36"/>
  <c r="B245" i="36"/>
  <c r="F244" i="36"/>
  <c r="E244" i="36"/>
  <c r="D244" i="36"/>
  <c r="C244" i="36"/>
  <c r="B244" i="36"/>
  <c r="F243" i="36"/>
  <c r="E243" i="36"/>
  <c r="D243" i="36"/>
  <c r="C243" i="36"/>
  <c r="B243" i="36"/>
  <c r="F242" i="36"/>
  <c r="E242" i="36"/>
  <c r="D242" i="36"/>
  <c r="C242" i="36"/>
  <c r="B242" i="36"/>
  <c r="F241" i="36"/>
  <c r="E241" i="36"/>
  <c r="D241" i="36"/>
  <c r="C241" i="36"/>
  <c r="B241" i="36"/>
  <c r="F240" i="36"/>
  <c r="E240" i="36"/>
  <c r="D240" i="36"/>
  <c r="C240" i="36"/>
  <c r="B240" i="36"/>
  <c r="F239" i="36"/>
  <c r="E239" i="36"/>
  <c r="D239" i="36"/>
  <c r="C239" i="36"/>
  <c r="B239" i="36"/>
  <c r="F238" i="36"/>
  <c r="E238" i="36"/>
  <c r="D238" i="36"/>
  <c r="C238" i="36"/>
  <c r="B238" i="36"/>
  <c r="F237" i="36"/>
  <c r="E237" i="36"/>
  <c r="D237" i="36"/>
  <c r="C237" i="36"/>
  <c r="B237" i="36"/>
  <c r="F236" i="36"/>
  <c r="E236" i="36"/>
  <c r="D236" i="36"/>
  <c r="C236" i="36"/>
  <c r="B236" i="36"/>
  <c r="F235" i="36"/>
  <c r="E235" i="36"/>
  <c r="D235" i="36"/>
  <c r="C235" i="36"/>
  <c r="B235" i="36"/>
  <c r="F234" i="36"/>
  <c r="E234" i="36"/>
  <c r="D234" i="36"/>
  <c r="C234" i="36"/>
  <c r="B234" i="36"/>
  <c r="F233" i="36"/>
  <c r="E233" i="36"/>
  <c r="D233" i="36"/>
  <c r="C233" i="36"/>
  <c r="B233" i="36"/>
  <c r="F232" i="36"/>
  <c r="E232" i="36"/>
  <c r="D232" i="36"/>
  <c r="C232" i="36"/>
  <c r="B232" i="36"/>
  <c r="F231" i="36"/>
  <c r="E231" i="36"/>
  <c r="D231" i="36"/>
  <c r="C231" i="36"/>
  <c r="B231" i="36"/>
  <c r="F230" i="36"/>
  <c r="E230" i="36"/>
  <c r="D230" i="36"/>
  <c r="C230" i="36"/>
  <c r="B230" i="36"/>
  <c r="F229" i="36"/>
  <c r="E229" i="36"/>
  <c r="D229" i="36"/>
  <c r="C229" i="36"/>
  <c r="B229" i="36"/>
  <c r="F228" i="36"/>
  <c r="E228" i="36"/>
  <c r="D228" i="36"/>
  <c r="C228" i="36"/>
  <c r="B228" i="36"/>
  <c r="F227" i="36"/>
  <c r="E227" i="36"/>
  <c r="D227" i="36"/>
  <c r="C227" i="36"/>
  <c r="B227" i="36"/>
  <c r="F226" i="36"/>
  <c r="E226" i="36"/>
  <c r="D226" i="36"/>
  <c r="C226" i="36"/>
  <c r="B226" i="36"/>
  <c r="F225" i="36"/>
  <c r="E225" i="36"/>
  <c r="D225" i="36"/>
  <c r="C225" i="36"/>
  <c r="B225" i="36"/>
  <c r="F224" i="36"/>
  <c r="E224" i="36"/>
  <c r="D224" i="36"/>
  <c r="C224" i="36"/>
  <c r="B224" i="36"/>
  <c r="F223" i="36"/>
  <c r="E223" i="36"/>
  <c r="D223" i="36"/>
  <c r="C223" i="36"/>
  <c r="B223" i="36"/>
  <c r="F222" i="36"/>
  <c r="E222" i="36"/>
  <c r="D222" i="36"/>
  <c r="C222" i="36"/>
  <c r="B222" i="36"/>
  <c r="F221" i="36"/>
  <c r="E221" i="36"/>
  <c r="D221" i="36"/>
  <c r="C221" i="36"/>
  <c r="B221" i="36"/>
  <c r="F220" i="36"/>
  <c r="E220" i="36"/>
  <c r="D220" i="36"/>
  <c r="C220" i="36"/>
  <c r="B220" i="36"/>
  <c r="F219" i="36"/>
  <c r="E219" i="36"/>
  <c r="D219" i="36"/>
  <c r="C219" i="36"/>
  <c r="B219" i="36"/>
  <c r="F218" i="36"/>
  <c r="E218" i="36"/>
  <c r="D218" i="36"/>
  <c r="C218" i="36"/>
  <c r="B218" i="36"/>
  <c r="F217" i="36"/>
  <c r="E217" i="36"/>
  <c r="D217" i="36"/>
  <c r="C217" i="36"/>
  <c r="B217" i="36"/>
  <c r="F216" i="36"/>
  <c r="E216" i="36"/>
  <c r="D216" i="36"/>
  <c r="C216" i="36"/>
  <c r="B216" i="36"/>
  <c r="F215" i="36"/>
  <c r="E215" i="36"/>
  <c r="D215" i="36"/>
  <c r="C215" i="36"/>
  <c r="B215" i="36"/>
  <c r="F214" i="36"/>
  <c r="E214" i="36"/>
  <c r="D214" i="36"/>
  <c r="C214" i="36"/>
  <c r="B214" i="36"/>
  <c r="F213" i="36"/>
  <c r="E213" i="36"/>
  <c r="D213" i="36"/>
  <c r="C213" i="36"/>
  <c r="B213" i="36"/>
  <c r="F212" i="36"/>
  <c r="E212" i="36"/>
  <c r="D212" i="36"/>
  <c r="C212" i="36"/>
  <c r="B212" i="36"/>
  <c r="F211" i="36"/>
  <c r="E211" i="36"/>
  <c r="D211" i="36"/>
  <c r="C211" i="36"/>
  <c r="B211" i="36"/>
  <c r="F210" i="36"/>
  <c r="E210" i="36"/>
  <c r="D210" i="36"/>
  <c r="C210" i="36"/>
  <c r="B210" i="36"/>
  <c r="F209" i="36"/>
  <c r="E209" i="36"/>
  <c r="D209" i="36"/>
  <c r="C209" i="36"/>
  <c r="B209" i="36"/>
  <c r="F208" i="36"/>
  <c r="E208" i="36"/>
  <c r="D208" i="36"/>
  <c r="C208" i="36"/>
  <c r="B208" i="36"/>
  <c r="F207" i="36"/>
  <c r="E207" i="36"/>
  <c r="D207" i="36"/>
  <c r="C207" i="36"/>
  <c r="B207" i="36"/>
  <c r="F206" i="36"/>
  <c r="E206" i="36"/>
  <c r="D206" i="36"/>
  <c r="C206" i="36"/>
  <c r="B206" i="36"/>
  <c r="F205" i="36"/>
  <c r="E205" i="36"/>
  <c r="D205" i="36"/>
  <c r="C205" i="36"/>
  <c r="B205" i="36"/>
  <c r="F204" i="36"/>
  <c r="E204" i="36"/>
  <c r="D204" i="36"/>
  <c r="C204" i="36"/>
  <c r="B204" i="36"/>
  <c r="F203" i="36"/>
  <c r="E203" i="36"/>
  <c r="D203" i="36"/>
  <c r="C203" i="36"/>
  <c r="B203" i="36"/>
  <c r="F202" i="36"/>
  <c r="E202" i="36"/>
  <c r="D202" i="36"/>
  <c r="C202" i="36"/>
  <c r="B202" i="36"/>
  <c r="F201" i="36"/>
  <c r="E201" i="36"/>
  <c r="D201" i="36"/>
  <c r="C201" i="36"/>
  <c r="B201" i="36"/>
  <c r="F200" i="36"/>
  <c r="E200" i="36"/>
  <c r="D200" i="36"/>
  <c r="C200" i="36"/>
  <c r="B200" i="36"/>
  <c r="F199" i="36"/>
  <c r="E199" i="36"/>
  <c r="D199" i="36"/>
  <c r="C199" i="36"/>
  <c r="B199" i="36"/>
  <c r="F198" i="36"/>
  <c r="E198" i="36"/>
  <c r="D198" i="36"/>
  <c r="C198" i="36"/>
  <c r="B198" i="36"/>
  <c r="F197" i="36"/>
  <c r="E197" i="36"/>
  <c r="D197" i="36"/>
  <c r="C197" i="36"/>
  <c r="B197" i="36"/>
  <c r="F196" i="36"/>
  <c r="E196" i="36"/>
  <c r="D196" i="36"/>
  <c r="C196" i="36"/>
  <c r="B196" i="36"/>
  <c r="F195" i="36"/>
  <c r="E195" i="36"/>
  <c r="D195" i="36"/>
  <c r="C195" i="36"/>
  <c r="B195" i="36"/>
  <c r="F194" i="36"/>
  <c r="E194" i="36"/>
  <c r="D194" i="36"/>
  <c r="C194" i="36"/>
  <c r="B194" i="36"/>
  <c r="F193" i="36"/>
  <c r="E193" i="36"/>
  <c r="D193" i="36"/>
  <c r="C193" i="36"/>
  <c r="B193" i="36"/>
  <c r="F192" i="36"/>
  <c r="E192" i="36"/>
  <c r="D192" i="36"/>
  <c r="C192" i="36"/>
  <c r="B192" i="36"/>
  <c r="F191" i="36"/>
  <c r="E191" i="36"/>
  <c r="D191" i="36"/>
  <c r="C191" i="36"/>
  <c r="B191" i="36"/>
  <c r="F190" i="36"/>
  <c r="E190" i="36"/>
  <c r="D190" i="36"/>
  <c r="C190" i="36"/>
  <c r="B190" i="36"/>
  <c r="F189" i="36"/>
  <c r="E189" i="36"/>
  <c r="D189" i="36"/>
  <c r="C189" i="36"/>
  <c r="B189" i="36"/>
  <c r="F188" i="36"/>
  <c r="E188" i="36"/>
  <c r="D188" i="36"/>
  <c r="C188" i="36"/>
  <c r="B188" i="36"/>
  <c r="F187" i="36"/>
  <c r="E187" i="36"/>
  <c r="D187" i="36"/>
  <c r="C187" i="36"/>
  <c r="B187" i="36"/>
  <c r="F186" i="36"/>
  <c r="E186" i="36"/>
  <c r="D186" i="36"/>
  <c r="C186" i="36"/>
  <c r="B186" i="36"/>
  <c r="F185" i="36"/>
  <c r="E185" i="36"/>
  <c r="D185" i="36"/>
  <c r="C185" i="36"/>
  <c r="B185" i="36"/>
  <c r="F184" i="36"/>
  <c r="E184" i="36"/>
  <c r="D184" i="36"/>
  <c r="C184" i="36"/>
  <c r="B184" i="36"/>
  <c r="F183" i="36"/>
  <c r="E183" i="36"/>
  <c r="D183" i="36"/>
  <c r="C183" i="36"/>
  <c r="B183" i="36"/>
  <c r="F182" i="36"/>
  <c r="E182" i="36"/>
  <c r="D182" i="36"/>
  <c r="C182" i="36"/>
  <c r="B182" i="36"/>
  <c r="F181" i="36"/>
  <c r="E181" i="36"/>
  <c r="D181" i="36"/>
  <c r="C181" i="36"/>
  <c r="B181" i="36"/>
  <c r="F180" i="36"/>
  <c r="E180" i="36"/>
  <c r="D180" i="36"/>
  <c r="C180" i="36"/>
  <c r="B180" i="36"/>
  <c r="F179" i="36"/>
  <c r="E179" i="36"/>
  <c r="D179" i="36"/>
  <c r="C179" i="36"/>
  <c r="B179" i="36"/>
  <c r="F178" i="36"/>
  <c r="E178" i="36"/>
  <c r="D178" i="36"/>
  <c r="C178" i="36"/>
  <c r="B178" i="36"/>
  <c r="F177" i="36"/>
  <c r="E177" i="36"/>
  <c r="D177" i="36"/>
  <c r="C177" i="36"/>
  <c r="B177" i="36"/>
  <c r="F176" i="36"/>
  <c r="E176" i="36"/>
  <c r="D176" i="36"/>
  <c r="C176" i="36"/>
  <c r="B176" i="36"/>
  <c r="F175" i="36"/>
  <c r="E175" i="36"/>
  <c r="D175" i="36"/>
  <c r="C175" i="36"/>
  <c r="B175" i="36"/>
  <c r="F174" i="36"/>
  <c r="E174" i="36"/>
  <c r="D174" i="36"/>
  <c r="C174" i="36"/>
  <c r="B174" i="36"/>
  <c r="F173" i="36"/>
  <c r="E173" i="36"/>
  <c r="D173" i="36"/>
  <c r="C173" i="36"/>
  <c r="B173" i="36"/>
  <c r="F172" i="36"/>
  <c r="E172" i="36"/>
  <c r="D172" i="36"/>
  <c r="C172" i="36"/>
  <c r="B172" i="36"/>
  <c r="F171" i="36"/>
  <c r="E171" i="36"/>
  <c r="D171" i="36"/>
  <c r="C171" i="36"/>
  <c r="B171" i="36"/>
  <c r="F170" i="36"/>
  <c r="E170" i="36"/>
  <c r="D170" i="36"/>
  <c r="C170" i="36"/>
  <c r="B170" i="36"/>
  <c r="F169" i="36"/>
  <c r="E169" i="36"/>
  <c r="D169" i="36"/>
  <c r="C169" i="36"/>
  <c r="B169" i="36"/>
  <c r="F168" i="36"/>
  <c r="E168" i="36"/>
  <c r="D168" i="36"/>
  <c r="C168" i="36"/>
  <c r="B168" i="36"/>
  <c r="F167" i="36"/>
  <c r="E167" i="36"/>
  <c r="D167" i="36"/>
  <c r="C167" i="36"/>
  <c r="B167" i="36"/>
  <c r="F166" i="36"/>
  <c r="E166" i="36"/>
  <c r="D166" i="36"/>
  <c r="C166" i="36"/>
  <c r="B166" i="36"/>
  <c r="F165" i="36"/>
  <c r="E165" i="36"/>
  <c r="D165" i="36"/>
  <c r="C165" i="36"/>
  <c r="B165" i="36"/>
  <c r="F164" i="36"/>
  <c r="E164" i="36"/>
  <c r="D164" i="36"/>
  <c r="C164" i="36"/>
  <c r="B164" i="36"/>
  <c r="F163" i="36"/>
  <c r="E163" i="36"/>
  <c r="D163" i="36"/>
  <c r="C163" i="36"/>
  <c r="B163" i="36"/>
  <c r="F162" i="36"/>
  <c r="E162" i="36"/>
  <c r="D162" i="36"/>
  <c r="C162" i="36"/>
  <c r="B162" i="36"/>
  <c r="F161" i="36"/>
  <c r="E161" i="36"/>
  <c r="D161" i="36"/>
  <c r="C161" i="36"/>
  <c r="B161" i="36"/>
  <c r="F160" i="36"/>
  <c r="E160" i="36"/>
  <c r="D160" i="36"/>
  <c r="C160" i="36"/>
  <c r="B160" i="36"/>
  <c r="F159" i="36"/>
  <c r="E159" i="36"/>
  <c r="D159" i="36"/>
  <c r="C159" i="36"/>
  <c r="B159" i="36"/>
  <c r="F158" i="36"/>
  <c r="E158" i="36"/>
  <c r="D158" i="36"/>
  <c r="C158" i="36"/>
  <c r="B158" i="36"/>
  <c r="F157" i="36"/>
  <c r="E157" i="36"/>
  <c r="D157" i="36"/>
  <c r="C157" i="36"/>
  <c r="B157" i="36"/>
  <c r="F156" i="36"/>
  <c r="E156" i="36"/>
  <c r="D156" i="36"/>
  <c r="C156" i="36"/>
  <c r="B156" i="36"/>
  <c r="F155" i="36"/>
  <c r="E155" i="36"/>
  <c r="D155" i="36"/>
  <c r="C155" i="36"/>
  <c r="B155" i="36"/>
  <c r="F154" i="36"/>
  <c r="E154" i="36"/>
  <c r="D154" i="36"/>
  <c r="C154" i="36"/>
  <c r="B154" i="36"/>
  <c r="F153" i="36"/>
  <c r="E153" i="36"/>
  <c r="D153" i="36"/>
  <c r="C153" i="36"/>
  <c r="B153" i="36"/>
  <c r="F152" i="36"/>
  <c r="E152" i="36"/>
  <c r="D152" i="36"/>
  <c r="C152" i="36"/>
  <c r="B152" i="36"/>
  <c r="F151" i="36"/>
  <c r="E151" i="36"/>
  <c r="D151" i="36"/>
  <c r="C151" i="36"/>
  <c r="B151" i="36"/>
  <c r="F150" i="36"/>
  <c r="E150" i="36"/>
  <c r="D150" i="36"/>
  <c r="C150" i="36"/>
  <c r="B150" i="36"/>
  <c r="F149" i="36"/>
  <c r="E149" i="36"/>
  <c r="D149" i="36"/>
  <c r="C149" i="36"/>
  <c r="B149" i="36"/>
  <c r="F148" i="36"/>
  <c r="E148" i="36"/>
  <c r="D148" i="36"/>
  <c r="C148" i="36"/>
  <c r="B148" i="36"/>
  <c r="F147" i="36"/>
  <c r="E147" i="36"/>
  <c r="D147" i="36"/>
  <c r="C147" i="36"/>
  <c r="B147" i="36"/>
  <c r="F146" i="36"/>
  <c r="E146" i="36"/>
  <c r="D146" i="36"/>
  <c r="C146" i="36"/>
  <c r="B146" i="36"/>
  <c r="F145" i="36"/>
  <c r="E145" i="36"/>
  <c r="D145" i="36"/>
  <c r="C145" i="36"/>
  <c r="B145" i="36"/>
  <c r="F144" i="36"/>
  <c r="E144" i="36"/>
  <c r="D144" i="36"/>
  <c r="C144" i="36"/>
  <c r="B144" i="36"/>
  <c r="F143" i="36"/>
  <c r="E143" i="36"/>
  <c r="D143" i="36"/>
  <c r="C143" i="36"/>
  <c r="B143" i="36"/>
  <c r="F142" i="36"/>
  <c r="E142" i="36"/>
  <c r="D142" i="36"/>
  <c r="C142" i="36"/>
  <c r="B142" i="36"/>
  <c r="F141" i="36"/>
  <c r="E141" i="36"/>
  <c r="D141" i="36"/>
  <c r="C141" i="36"/>
  <c r="B141" i="36"/>
  <c r="F140" i="36"/>
  <c r="E140" i="36"/>
  <c r="D140" i="36"/>
  <c r="C140" i="36"/>
  <c r="B140" i="36"/>
  <c r="F139" i="36"/>
  <c r="E139" i="36"/>
  <c r="D139" i="36"/>
  <c r="C139" i="36"/>
  <c r="B139" i="36"/>
  <c r="F138" i="36"/>
  <c r="E138" i="36"/>
  <c r="D138" i="36"/>
  <c r="C138" i="36"/>
  <c r="B138" i="36"/>
  <c r="F137" i="36"/>
  <c r="E137" i="36"/>
  <c r="D137" i="36"/>
  <c r="C137" i="36"/>
  <c r="B137" i="36"/>
  <c r="F136" i="36"/>
  <c r="E136" i="36"/>
  <c r="D136" i="36"/>
  <c r="C136" i="36"/>
  <c r="B136" i="36"/>
  <c r="F135" i="36"/>
  <c r="E135" i="36"/>
  <c r="D135" i="36"/>
  <c r="C135" i="36"/>
  <c r="B135" i="36"/>
  <c r="F134" i="36"/>
  <c r="E134" i="36"/>
  <c r="D134" i="36"/>
  <c r="C134" i="36"/>
  <c r="B134" i="36"/>
  <c r="F133" i="36"/>
  <c r="E133" i="36"/>
  <c r="D133" i="36"/>
  <c r="C133" i="36"/>
  <c r="B133" i="36"/>
  <c r="F132" i="36"/>
  <c r="E132" i="36"/>
  <c r="D132" i="36"/>
  <c r="C132" i="36"/>
  <c r="B132" i="36"/>
  <c r="F131" i="36"/>
  <c r="E131" i="36"/>
  <c r="D131" i="36"/>
  <c r="C131" i="36"/>
  <c r="B131" i="36"/>
  <c r="F130" i="36"/>
  <c r="E130" i="36"/>
  <c r="D130" i="36"/>
  <c r="C130" i="36"/>
  <c r="B130" i="36"/>
  <c r="F129" i="36"/>
  <c r="E129" i="36"/>
  <c r="D129" i="36"/>
  <c r="C129" i="36"/>
  <c r="B129" i="36"/>
  <c r="F128" i="36"/>
  <c r="E128" i="36"/>
  <c r="D128" i="36"/>
  <c r="C128" i="36"/>
  <c r="B128" i="36"/>
  <c r="F127" i="36"/>
  <c r="E127" i="36"/>
  <c r="D127" i="36"/>
  <c r="C127" i="36"/>
  <c r="B127" i="36"/>
  <c r="F126" i="36"/>
  <c r="E126" i="36"/>
  <c r="D126" i="36"/>
  <c r="C126" i="36"/>
  <c r="B126" i="36"/>
  <c r="F125" i="36"/>
  <c r="E125" i="36"/>
  <c r="D125" i="36"/>
  <c r="C125" i="36"/>
  <c r="B125" i="36"/>
  <c r="F124" i="36"/>
  <c r="E124" i="36"/>
  <c r="D124" i="36"/>
  <c r="C124" i="36"/>
  <c r="B124" i="36"/>
  <c r="F123" i="36"/>
  <c r="E123" i="36"/>
  <c r="D123" i="36"/>
  <c r="C123" i="36"/>
  <c r="B123" i="36"/>
  <c r="F122" i="36"/>
  <c r="E122" i="36"/>
  <c r="D122" i="36"/>
  <c r="C122" i="36"/>
  <c r="B122" i="36"/>
  <c r="F121" i="36"/>
  <c r="E121" i="36"/>
  <c r="D121" i="36"/>
  <c r="C121" i="36"/>
  <c r="B121" i="36"/>
  <c r="F120" i="36"/>
  <c r="E120" i="36"/>
  <c r="D120" i="36"/>
  <c r="C120" i="36"/>
  <c r="B120" i="36"/>
  <c r="F119" i="36"/>
  <c r="E119" i="36"/>
  <c r="D119" i="36"/>
  <c r="C119" i="36"/>
  <c r="B119" i="36"/>
  <c r="F118" i="36"/>
  <c r="E118" i="36"/>
  <c r="D118" i="36"/>
  <c r="C118" i="36"/>
  <c r="B118" i="36"/>
  <c r="F117" i="36"/>
  <c r="E117" i="36"/>
  <c r="D117" i="36"/>
  <c r="C117" i="36"/>
  <c r="B117" i="36"/>
  <c r="F116" i="36"/>
  <c r="E116" i="36"/>
  <c r="D116" i="36"/>
  <c r="C116" i="36"/>
  <c r="B116" i="36"/>
  <c r="F115" i="36"/>
  <c r="E115" i="36"/>
  <c r="D115" i="36"/>
  <c r="C115" i="36"/>
  <c r="B115" i="36"/>
  <c r="F114" i="36"/>
  <c r="E114" i="36"/>
  <c r="D114" i="36"/>
  <c r="C114" i="36"/>
  <c r="B114" i="36"/>
  <c r="F113" i="36"/>
  <c r="E113" i="36"/>
  <c r="D113" i="36"/>
  <c r="C113" i="36"/>
  <c r="B113" i="36"/>
  <c r="F112" i="36"/>
  <c r="E112" i="36"/>
  <c r="D112" i="36"/>
  <c r="C112" i="36"/>
  <c r="B112" i="36"/>
  <c r="F111" i="36"/>
  <c r="E111" i="36"/>
  <c r="D111" i="36"/>
  <c r="C111" i="36"/>
  <c r="B111" i="36"/>
  <c r="F110" i="36"/>
  <c r="E110" i="36"/>
  <c r="D110" i="36"/>
  <c r="C110" i="36"/>
  <c r="B110" i="36"/>
  <c r="F109" i="36"/>
  <c r="E109" i="36"/>
  <c r="D109" i="36"/>
  <c r="C109" i="36"/>
  <c r="B109" i="36"/>
  <c r="F108" i="36"/>
  <c r="E108" i="36"/>
  <c r="D108" i="36"/>
  <c r="C108" i="36"/>
  <c r="B108" i="36"/>
  <c r="F107" i="36"/>
  <c r="E107" i="36"/>
  <c r="D107" i="36"/>
  <c r="C107" i="36"/>
  <c r="B107" i="36"/>
  <c r="F106" i="36"/>
  <c r="E106" i="36"/>
  <c r="D106" i="36"/>
  <c r="C106" i="36"/>
  <c r="B106" i="36"/>
  <c r="F105" i="36"/>
  <c r="E105" i="36"/>
  <c r="D105" i="36"/>
  <c r="C105" i="36"/>
  <c r="B105" i="36"/>
  <c r="F104" i="36"/>
  <c r="E104" i="36"/>
  <c r="D104" i="36"/>
  <c r="C104" i="36"/>
  <c r="B104" i="36"/>
  <c r="F103" i="36"/>
  <c r="E103" i="36"/>
  <c r="D103" i="36"/>
  <c r="C103" i="36"/>
  <c r="B103" i="36"/>
  <c r="F102" i="36"/>
  <c r="E102" i="36"/>
  <c r="D102" i="36"/>
  <c r="C102" i="36"/>
  <c r="B102" i="36"/>
  <c r="F101" i="36"/>
  <c r="E101" i="36"/>
  <c r="D101" i="36"/>
  <c r="C101" i="36"/>
  <c r="B101" i="36"/>
  <c r="F100" i="36"/>
  <c r="E100" i="36"/>
  <c r="D100" i="36"/>
  <c r="C100" i="36"/>
  <c r="B100" i="36"/>
  <c r="F99" i="36"/>
  <c r="E99" i="36"/>
  <c r="D99" i="36"/>
  <c r="C99" i="36"/>
  <c r="B99" i="36"/>
  <c r="F98" i="36"/>
  <c r="E98" i="36"/>
  <c r="D98" i="36"/>
  <c r="C98" i="36"/>
  <c r="B98" i="36"/>
  <c r="F97" i="36"/>
  <c r="E97" i="36"/>
  <c r="D97" i="36"/>
  <c r="C97" i="36"/>
  <c r="B97" i="36"/>
  <c r="F96" i="36"/>
  <c r="E96" i="36"/>
  <c r="D96" i="36"/>
  <c r="C96" i="36"/>
  <c r="B96" i="36"/>
  <c r="F95" i="36"/>
  <c r="E95" i="36"/>
  <c r="D95" i="36"/>
  <c r="C95" i="36"/>
  <c r="B95" i="36"/>
  <c r="F94" i="36"/>
  <c r="E94" i="36"/>
  <c r="D94" i="36"/>
  <c r="C94" i="36"/>
  <c r="B94" i="36"/>
  <c r="F93" i="36"/>
  <c r="E93" i="36"/>
  <c r="D93" i="36"/>
  <c r="C93" i="36"/>
  <c r="B93" i="36"/>
  <c r="F92" i="36"/>
  <c r="E92" i="36"/>
  <c r="D92" i="36"/>
  <c r="C92" i="36"/>
  <c r="B92" i="36"/>
  <c r="F91" i="36"/>
  <c r="E91" i="36"/>
  <c r="D91" i="36"/>
  <c r="C91" i="36"/>
  <c r="B91" i="36"/>
  <c r="F90" i="36"/>
  <c r="E90" i="36"/>
  <c r="D90" i="36"/>
  <c r="C90" i="36"/>
  <c r="B90" i="36"/>
  <c r="F89" i="36"/>
  <c r="E89" i="36"/>
  <c r="D89" i="36"/>
  <c r="C89" i="36"/>
  <c r="B89" i="36"/>
  <c r="F88" i="36"/>
  <c r="E88" i="36"/>
  <c r="D88" i="36"/>
  <c r="C88" i="36"/>
  <c r="B88" i="36"/>
  <c r="F87" i="36"/>
  <c r="E87" i="36"/>
  <c r="D87" i="36"/>
  <c r="C87" i="36"/>
  <c r="B87" i="36"/>
  <c r="F86" i="36"/>
  <c r="E86" i="36"/>
  <c r="D86" i="36"/>
  <c r="C86" i="36"/>
  <c r="B86" i="36"/>
  <c r="F85" i="36"/>
  <c r="E85" i="36"/>
  <c r="D85" i="36"/>
  <c r="C85" i="36"/>
  <c r="B85" i="36"/>
  <c r="F84" i="36"/>
  <c r="E84" i="36"/>
  <c r="D84" i="36"/>
  <c r="C84" i="36"/>
  <c r="B84" i="36"/>
  <c r="F83" i="36"/>
  <c r="E83" i="36"/>
  <c r="D83" i="36"/>
  <c r="C83" i="36"/>
  <c r="B83" i="36"/>
  <c r="F82" i="36"/>
  <c r="E82" i="36"/>
  <c r="D82" i="36"/>
  <c r="C82" i="36"/>
  <c r="B82" i="36"/>
  <c r="F81" i="36"/>
  <c r="E81" i="36"/>
  <c r="D81" i="36"/>
  <c r="C81" i="36"/>
  <c r="B81" i="36"/>
  <c r="F80" i="36"/>
  <c r="E80" i="36"/>
  <c r="D80" i="36"/>
  <c r="C80" i="36"/>
  <c r="B80" i="36"/>
  <c r="F79" i="36"/>
  <c r="E79" i="36"/>
  <c r="D79" i="36"/>
  <c r="C79" i="36"/>
  <c r="B79" i="36"/>
  <c r="F78" i="36"/>
  <c r="E78" i="36"/>
  <c r="D78" i="36"/>
  <c r="C78" i="36"/>
  <c r="B78" i="36"/>
  <c r="F77" i="36"/>
  <c r="E77" i="36"/>
  <c r="D77" i="36"/>
  <c r="C77" i="36"/>
  <c r="B77" i="36"/>
  <c r="F76" i="36"/>
  <c r="E76" i="36"/>
  <c r="D76" i="36"/>
  <c r="C76" i="36"/>
  <c r="B76" i="36"/>
  <c r="F75" i="36"/>
  <c r="E75" i="36"/>
  <c r="D75" i="36"/>
  <c r="C75" i="36"/>
  <c r="B75" i="36"/>
  <c r="F74" i="36"/>
  <c r="E74" i="36"/>
  <c r="D74" i="36"/>
  <c r="C74" i="36"/>
  <c r="B74" i="36"/>
  <c r="F73" i="36"/>
  <c r="E73" i="36"/>
  <c r="D73" i="36"/>
  <c r="C73" i="36"/>
  <c r="B73" i="36"/>
  <c r="F72" i="36"/>
  <c r="E72" i="36"/>
  <c r="D72" i="36"/>
  <c r="C72" i="36"/>
  <c r="B72" i="36"/>
  <c r="F71" i="36"/>
  <c r="E71" i="36"/>
  <c r="D71" i="36"/>
  <c r="C71" i="36"/>
  <c r="B71" i="36"/>
  <c r="F70" i="36"/>
  <c r="E70" i="36"/>
  <c r="D70" i="36"/>
  <c r="C70" i="36"/>
  <c r="B70" i="36"/>
  <c r="F69" i="36"/>
  <c r="E69" i="36"/>
  <c r="D69" i="36"/>
  <c r="C69" i="36"/>
  <c r="B69" i="36"/>
  <c r="F68" i="36"/>
  <c r="E68" i="36"/>
  <c r="D68" i="36"/>
  <c r="C68" i="36"/>
  <c r="B68" i="36"/>
  <c r="F67" i="36"/>
  <c r="E67" i="36"/>
  <c r="D67" i="36"/>
  <c r="C67" i="36"/>
  <c r="B67" i="36"/>
  <c r="F66" i="36"/>
  <c r="E66" i="36"/>
  <c r="D66" i="36"/>
  <c r="C66" i="36"/>
  <c r="B66" i="36"/>
  <c r="F65" i="36"/>
  <c r="E65" i="36"/>
  <c r="D65" i="36"/>
  <c r="C65" i="36"/>
  <c r="B65" i="36"/>
  <c r="F64" i="36"/>
  <c r="E64" i="36"/>
  <c r="D64" i="36"/>
  <c r="C64" i="36"/>
  <c r="B64" i="36"/>
  <c r="F63" i="36"/>
  <c r="E63" i="36"/>
  <c r="D63" i="36"/>
  <c r="C63" i="36"/>
  <c r="B63" i="36"/>
  <c r="F62" i="36"/>
  <c r="E62" i="36"/>
  <c r="D62" i="36"/>
  <c r="C62" i="36"/>
  <c r="B62" i="36"/>
  <c r="F61" i="36"/>
  <c r="E61" i="36"/>
  <c r="D61" i="36"/>
  <c r="C61" i="36"/>
  <c r="B61" i="36"/>
  <c r="F60" i="36"/>
  <c r="E60" i="36"/>
  <c r="D60" i="36"/>
  <c r="C60" i="36"/>
  <c r="B60" i="36"/>
  <c r="F59" i="36"/>
  <c r="E59" i="36"/>
  <c r="D59" i="36"/>
  <c r="C59" i="36"/>
  <c r="B59" i="36"/>
  <c r="F58" i="36"/>
  <c r="E58" i="36"/>
  <c r="D58" i="36"/>
  <c r="C58" i="36"/>
  <c r="B58" i="36"/>
  <c r="F57" i="36"/>
  <c r="E57" i="36"/>
  <c r="D57" i="36"/>
  <c r="C57" i="36"/>
  <c r="B57" i="36"/>
  <c r="F56" i="36"/>
  <c r="E56" i="36"/>
  <c r="D56" i="36"/>
  <c r="C56" i="36"/>
  <c r="B56" i="36"/>
  <c r="F55" i="36"/>
  <c r="E55" i="36"/>
  <c r="D55" i="36"/>
  <c r="C55" i="36"/>
  <c r="B55" i="36"/>
  <c r="F54" i="36"/>
  <c r="E54" i="36"/>
  <c r="D54" i="36"/>
  <c r="C54" i="36"/>
  <c r="B54" i="36"/>
  <c r="F53" i="36"/>
  <c r="E53" i="36"/>
  <c r="D53" i="36"/>
  <c r="C53" i="36"/>
  <c r="B53" i="36"/>
  <c r="F52" i="36"/>
  <c r="E52" i="36"/>
  <c r="D52" i="36"/>
  <c r="C52" i="36"/>
  <c r="B52" i="36"/>
  <c r="A309" i="36"/>
  <c r="G309" i="37"/>
  <c r="F309" i="37"/>
  <c r="E309" i="37"/>
  <c r="D309" i="37"/>
  <c r="C309" i="37"/>
  <c r="B309" i="37"/>
  <c r="G308" i="37"/>
  <c r="F308" i="37"/>
  <c r="E308" i="37"/>
  <c r="D308" i="37"/>
  <c r="C308" i="37"/>
  <c r="B308" i="37"/>
  <c r="G307" i="37"/>
  <c r="F307" i="37"/>
  <c r="E307" i="37"/>
  <c r="D307" i="37"/>
  <c r="C307" i="37"/>
  <c r="B307" i="37"/>
  <c r="G306" i="37"/>
  <c r="F306" i="37"/>
  <c r="E306" i="37"/>
  <c r="D306" i="37"/>
  <c r="C306" i="37"/>
  <c r="B306" i="37"/>
  <c r="G305" i="37"/>
  <c r="F305" i="37"/>
  <c r="E305" i="37"/>
  <c r="D305" i="37"/>
  <c r="C305" i="37"/>
  <c r="B305" i="37"/>
  <c r="G304" i="37"/>
  <c r="F304" i="37"/>
  <c r="E304" i="37"/>
  <c r="D304" i="37"/>
  <c r="C304" i="37"/>
  <c r="B304" i="37"/>
  <c r="G303" i="37"/>
  <c r="F303" i="37"/>
  <c r="E303" i="37"/>
  <c r="D303" i="37"/>
  <c r="C303" i="37"/>
  <c r="B303" i="37"/>
  <c r="G302" i="37"/>
  <c r="F302" i="37"/>
  <c r="E302" i="37"/>
  <c r="D302" i="37"/>
  <c r="C302" i="37"/>
  <c r="B302" i="37"/>
  <c r="G301" i="37"/>
  <c r="F301" i="37"/>
  <c r="E301" i="37"/>
  <c r="D301" i="37"/>
  <c r="C301" i="37"/>
  <c r="B301" i="37"/>
  <c r="G300" i="37"/>
  <c r="F300" i="37"/>
  <c r="E300" i="37"/>
  <c r="D300" i="37"/>
  <c r="C300" i="37"/>
  <c r="B300" i="37"/>
  <c r="G299" i="37"/>
  <c r="F299" i="37"/>
  <c r="E299" i="37"/>
  <c r="D299" i="37"/>
  <c r="C299" i="37"/>
  <c r="B299" i="37"/>
  <c r="G298" i="37"/>
  <c r="F298" i="37"/>
  <c r="E298" i="37"/>
  <c r="D298" i="37"/>
  <c r="C298" i="37"/>
  <c r="B298" i="37"/>
  <c r="G297" i="37"/>
  <c r="F297" i="37"/>
  <c r="E297" i="37"/>
  <c r="D297" i="37"/>
  <c r="C297" i="37"/>
  <c r="B297" i="37"/>
  <c r="G296" i="37"/>
  <c r="F296" i="37"/>
  <c r="E296" i="37"/>
  <c r="D296" i="37"/>
  <c r="C296" i="37"/>
  <c r="B296" i="37"/>
  <c r="G295" i="37"/>
  <c r="F295" i="37"/>
  <c r="E295" i="37"/>
  <c r="D295" i="37"/>
  <c r="C295" i="37"/>
  <c r="B295" i="37"/>
  <c r="G294" i="37"/>
  <c r="F294" i="37"/>
  <c r="E294" i="37"/>
  <c r="D294" i="37"/>
  <c r="C294" i="37"/>
  <c r="B294" i="37"/>
  <c r="G293" i="37"/>
  <c r="F293" i="37"/>
  <c r="E293" i="37"/>
  <c r="D293" i="37"/>
  <c r="C293" i="37"/>
  <c r="B293" i="37"/>
  <c r="G292" i="37"/>
  <c r="F292" i="37"/>
  <c r="E292" i="37"/>
  <c r="D292" i="37"/>
  <c r="C292" i="37"/>
  <c r="B292" i="37"/>
  <c r="G291" i="37"/>
  <c r="F291" i="37"/>
  <c r="E291" i="37"/>
  <c r="D291" i="37"/>
  <c r="C291" i="37"/>
  <c r="B291" i="37"/>
  <c r="G290" i="37"/>
  <c r="F290" i="37"/>
  <c r="E290" i="37"/>
  <c r="D290" i="37"/>
  <c r="C290" i="37"/>
  <c r="B290" i="37"/>
  <c r="G289" i="37"/>
  <c r="F289" i="37"/>
  <c r="E289" i="37"/>
  <c r="D289" i="37"/>
  <c r="C289" i="37"/>
  <c r="B289" i="37"/>
  <c r="G288" i="37"/>
  <c r="F288" i="37"/>
  <c r="E288" i="37"/>
  <c r="D288" i="37"/>
  <c r="C288" i="37"/>
  <c r="B288" i="37"/>
  <c r="G287" i="37"/>
  <c r="F287" i="37"/>
  <c r="E287" i="37"/>
  <c r="D287" i="37"/>
  <c r="C287" i="37"/>
  <c r="B287" i="37"/>
  <c r="G286" i="37"/>
  <c r="F286" i="37"/>
  <c r="E286" i="37"/>
  <c r="D286" i="37"/>
  <c r="C286" i="37"/>
  <c r="B286" i="37"/>
  <c r="G285" i="37"/>
  <c r="F285" i="37"/>
  <c r="E285" i="37"/>
  <c r="D285" i="37"/>
  <c r="C285" i="37"/>
  <c r="B285" i="37"/>
  <c r="G284" i="37"/>
  <c r="F284" i="37"/>
  <c r="E284" i="37"/>
  <c r="D284" i="37"/>
  <c r="C284" i="37"/>
  <c r="B284" i="37"/>
  <c r="G283" i="37"/>
  <c r="F283" i="37"/>
  <c r="E283" i="37"/>
  <c r="D283" i="37"/>
  <c r="C283" i="37"/>
  <c r="B283" i="37"/>
  <c r="G282" i="37"/>
  <c r="F282" i="37"/>
  <c r="E282" i="37"/>
  <c r="D282" i="37"/>
  <c r="C282" i="37"/>
  <c r="B282" i="37"/>
  <c r="G281" i="37"/>
  <c r="F281" i="37"/>
  <c r="E281" i="37"/>
  <c r="D281" i="37"/>
  <c r="C281" i="37"/>
  <c r="B281" i="37"/>
  <c r="G280" i="37"/>
  <c r="F280" i="37"/>
  <c r="E280" i="37"/>
  <c r="D280" i="37"/>
  <c r="C280" i="37"/>
  <c r="B280" i="37"/>
  <c r="G279" i="37"/>
  <c r="F279" i="37"/>
  <c r="E279" i="37"/>
  <c r="D279" i="37"/>
  <c r="C279" i="37"/>
  <c r="B279" i="37"/>
  <c r="G278" i="37"/>
  <c r="F278" i="37"/>
  <c r="E278" i="37"/>
  <c r="D278" i="37"/>
  <c r="C278" i="37"/>
  <c r="B278" i="37"/>
  <c r="G277" i="37"/>
  <c r="F277" i="37"/>
  <c r="E277" i="37"/>
  <c r="D277" i="37"/>
  <c r="C277" i="37"/>
  <c r="B277" i="37"/>
  <c r="G276" i="37"/>
  <c r="F276" i="37"/>
  <c r="E276" i="37"/>
  <c r="D276" i="37"/>
  <c r="C276" i="37"/>
  <c r="B276" i="37"/>
  <c r="G275" i="37"/>
  <c r="F275" i="37"/>
  <c r="E275" i="37"/>
  <c r="D275" i="37"/>
  <c r="C275" i="37"/>
  <c r="B275" i="37"/>
  <c r="G274" i="37"/>
  <c r="F274" i="37"/>
  <c r="E274" i="37"/>
  <c r="D274" i="37"/>
  <c r="C274" i="37"/>
  <c r="B274" i="37"/>
  <c r="G273" i="37"/>
  <c r="F273" i="37"/>
  <c r="E273" i="37"/>
  <c r="D273" i="37"/>
  <c r="C273" i="37"/>
  <c r="B273" i="37"/>
  <c r="G272" i="37"/>
  <c r="F272" i="37"/>
  <c r="E272" i="37"/>
  <c r="D272" i="37"/>
  <c r="C272" i="37"/>
  <c r="B272" i="37"/>
  <c r="G271" i="37"/>
  <c r="F271" i="37"/>
  <c r="E271" i="37"/>
  <c r="D271" i="37"/>
  <c r="C271" i="37"/>
  <c r="B271" i="37"/>
  <c r="G270" i="37"/>
  <c r="F270" i="37"/>
  <c r="E270" i="37"/>
  <c r="D270" i="37"/>
  <c r="C270" i="37"/>
  <c r="B270" i="37"/>
  <c r="G269" i="37"/>
  <c r="F269" i="37"/>
  <c r="E269" i="37"/>
  <c r="D269" i="37"/>
  <c r="C269" i="37"/>
  <c r="B269" i="37"/>
  <c r="G268" i="37"/>
  <c r="F268" i="37"/>
  <c r="E268" i="37"/>
  <c r="D268" i="37"/>
  <c r="C268" i="37"/>
  <c r="B268" i="37"/>
  <c r="G267" i="37"/>
  <c r="F267" i="37"/>
  <c r="E267" i="37"/>
  <c r="D267" i="37"/>
  <c r="C267" i="37"/>
  <c r="B267" i="37"/>
  <c r="G266" i="37"/>
  <c r="F266" i="37"/>
  <c r="E266" i="37"/>
  <c r="D266" i="37"/>
  <c r="C266" i="37"/>
  <c r="B266" i="37"/>
  <c r="G265" i="37"/>
  <c r="F265" i="37"/>
  <c r="E265" i="37"/>
  <c r="D265" i="37"/>
  <c r="C265" i="37"/>
  <c r="B265" i="37"/>
  <c r="G264" i="37"/>
  <c r="F264" i="37"/>
  <c r="E264" i="37"/>
  <c r="D264" i="37"/>
  <c r="C264" i="37"/>
  <c r="B264" i="37"/>
  <c r="G263" i="37"/>
  <c r="F263" i="37"/>
  <c r="E263" i="37"/>
  <c r="D263" i="37"/>
  <c r="C263" i="37"/>
  <c r="B263" i="37"/>
  <c r="G262" i="37"/>
  <c r="F262" i="37"/>
  <c r="E262" i="37"/>
  <c r="D262" i="37"/>
  <c r="C262" i="37"/>
  <c r="B262" i="37"/>
  <c r="G261" i="37"/>
  <c r="F261" i="37"/>
  <c r="E261" i="37"/>
  <c r="D261" i="37"/>
  <c r="C261" i="37"/>
  <c r="B261" i="37"/>
  <c r="G260" i="37"/>
  <c r="F260" i="37"/>
  <c r="E260" i="37"/>
  <c r="D260" i="37"/>
  <c r="C260" i="37"/>
  <c r="B260" i="37"/>
  <c r="G259" i="37"/>
  <c r="F259" i="37"/>
  <c r="E259" i="37"/>
  <c r="D259" i="37"/>
  <c r="C259" i="37"/>
  <c r="B259" i="37"/>
  <c r="G258" i="37"/>
  <c r="F258" i="37"/>
  <c r="E258" i="37"/>
  <c r="D258" i="37"/>
  <c r="C258" i="37"/>
  <c r="B258" i="37"/>
  <c r="G257" i="37"/>
  <c r="F257" i="37"/>
  <c r="E257" i="37"/>
  <c r="D257" i="37"/>
  <c r="C257" i="37"/>
  <c r="B257" i="37"/>
  <c r="G256" i="37"/>
  <c r="F256" i="37"/>
  <c r="E256" i="37"/>
  <c r="D256" i="37"/>
  <c r="C256" i="37"/>
  <c r="B256" i="37"/>
  <c r="G255" i="37"/>
  <c r="F255" i="37"/>
  <c r="E255" i="37"/>
  <c r="D255" i="37"/>
  <c r="C255" i="37"/>
  <c r="B255" i="37"/>
  <c r="G254" i="37"/>
  <c r="F254" i="37"/>
  <c r="E254" i="37"/>
  <c r="D254" i="37"/>
  <c r="C254" i="37"/>
  <c r="B254" i="37"/>
  <c r="G253" i="37"/>
  <c r="F253" i="37"/>
  <c r="E253" i="37"/>
  <c r="D253" i="37"/>
  <c r="C253" i="37"/>
  <c r="B253" i="37"/>
  <c r="G252" i="37"/>
  <c r="F252" i="37"/>
  <c r="E252" i="37"/>
  <c r="D252" i="37"/>
  <c r="C252" i="37"/>
  <c r="B252" i="37"/>
  <c r="G251" i="37"/>
  <c r="F251" i="37"/>
  <c r="E251" i="37"/>
  <c r="D251" i="37"/>
  <c r="C251" i="37"/>
  <c r="B251" i="37"/>
  <c r="G250" i="37"/>
  <c r="F250" i="37"/>
  <c r="E250" i="37"/>
  <c r="D250" i="37"/>
  <c r="C250" i="37"/>
  <c r="B250" i="37"/>
  <c r="G249" i="37"/>
  <c r="F249" i="37"/>
  <c r="E249" i="37"/>
  <c r="D249" i="37"/>
  <c r="C249" i="37"/>
  <c r="B249" i="37"/>
  <c r="G248" i="37"/>
  <c r="F248" i="37"/>
  <c r="E248" i="37"/>
  <c r="D248" i="37"/>
  <c r="C248" i="37"/>
  <c r="B248" i="37"/>
  <c r="G247" i="37"/>
  <c r="F247" i="37"/>
  <c r="E247" i="37"/>
  <c r="D247" i="37"/>
  <c r="C247" i="37"/>
  <c r="B247" i="37"/>
  <c r="G246" i="37"/>
  <c r="F246" i="37"/>
  <c r="E246" i="37"/>
  <c r="D246" i="37"/>
  <c r="C246" i="37"/>
  <c r="B246" i="37"/>
  <c r="G245" i="37"/>
  <c r="F245" i="37"/>
  <c r="E245" i="37"/>
  <c r="D245" i="37"/>
  <c r="C245" i="37"/>
  <c r="B245" i="37"/>
  <c r="G244" i="37"/>
  <c r="F244" i="37"/>
  <c r="E244" i="37"/>
  <c r="D244" i="37"/>
  <c r="C244" i="37"/>
  <c r="B244" i="37"/>
  <c r="G243" i="37"/>
  <c r="F243" i="37"/>
  <c r="E243" i="37"/>
  <c r="D243" i="37"/>
  <c r="C243" i="37"/>
  <c r="B243" i="37"/>
  <c r="G242" i="37"/>
  <c r="F242" i="37"/>
  <c r="E242" i="37"/>
  <c r="D242" i="37"/>
  <c r="C242" i="37"/>
  <c r="B242" i="37"/>
  <c r="G241" i="37"/>
  <c r="F241" i="37"/>
  <c r="E241" i="37"/>
  <c r="D241" i="37"/>
  <c r="C241" i="37"/>
  <c r="B241" i="37"/>
  <c r="G240" i="37"/>
  <c r="F240" i="37"/>
  <c r="E240" i="37"/>
  <c r="D240" i="37"/>
  <c r="C240" i="37"/>
  <c r="B240" i="37"/>
  <c r="G239" i="37"/>
  <c r="F239" i="37"/>
  <c r="E239" i="37"/>
  <c r="D239" i="37"/>
  <c r="C239" i="37"/>
  <c r="B239" i="37"/>
  <c r="G238" i="37"/>
  <c r="F238" i="37"/>
  <c r="E238" i="37"/>
  <c r="D238" i="37"/>
  <c r="C238" i="37"/>
  <c r="B238" i="37"/>
  <c r="G237" i="37"/>
  <c r="F237" i="37"/>
  <c r="E237" i="37"/>
  <c r="D237" i="37"/>
  <c r="C237" i="37"/>
  <c r="B237" i="37"/>
  <c r="G236" i="37"/>
  <c r="F236" i="37"/>
  <c r="E236" i="37"/>
  <c r="D236" i="37"/>
  <c r="C236" i="37"/>
  <c r="B236" i="37"/>
  <c r="G235" i="37"/>
  <c r="F235" i="37"/>
  <c r="E235" i="37"/>
  <c r="D235" i="37"/>
  <c r="C235" i="37"/>
  <c r="B235" i="37"/>
  <c r="G234" i="37"/>
  <c r="F234" i="37"/>
  <c r="E234" i="37"/>
  <c r="D234" i="37"/>
  <c r="C234" i="37"/>
  <c r="B234" i="37"/>
  <c r="G233" i="37"/>
  <c r="F233" i="37"/>
  <c r="E233" i="37"/>
  <c r="D233" i="37"/>
  <c r="C233" i="37"/>
  <c r="B233" i="37"/>
  <c r="G232" i="37"/>
  <c r="F232" i="37"/>
  <c r="E232" i="37"/>
  <c r="D232" i="37"/>
  <c r="C232" i="37"/>
  <c r="B232" i="37"/>
  <c r="G231" i="37"/>
  <c r="F231" i="37"/>
  <c r="E231" i="37"/>
  <c r="D231" i="37"/>
  <c r="C231" i="37"/>
  <c r="B231" i="37"/>
  <c r="G230" i="37"/>
  <c r="F230" i="37"/>
  <c r="E230" i="37"/>
  <c r="D230" i="37"/>
  <c r="C230" i="37"/>
  <c r="B230" i="37"/>
  <c r="G229" i="37"/>
  <c r="F229" i="37"/>
  <c r="E229" i="37"/>
  <c r="D229" i="37"/>
  <c r="C229" i="37"/>
  <c r="B229" i="37"/>
  <c r="G228" i="37"/>
  <c r="F228" i="37"/>
  <c r="E228" i="37"/>
  <c r="D228" i="37"/>
  <c r="C228" i="37"/>
  <c r="B228" i="37"/>
  <c r="G227" i="37"/>
  <c r="F227" i="37"/>
  <c r="E227" i="37"/>
  <c r="D227" i="37"/>
  <c r="C227" i="37"/>
  <c r="B227" i="37"/>
  <c r="G226" i="37"/>
  <c r="F226" i="37"/>
  <c r="E226" i="37"/>
  <c r="D226" i="37"/>
  <c r="C226" i="37"/>
  <c r="B226" i="37"/>
  <c r="G225" i="37"/>
  <c r="F225" i="37"/>
  <c r="E225" i="37"/>
  <c r="D225" i="37"/>
  <c r="C225" i="37"/>
  <c r="B225" i="37"/>
  <c r="G224" i="37"/>
  <c r="F224" i="37"/>
  <c r="E224" i="37"/>
  <c r="D224" i="37"/>
  <c r="C224" i="37"/>
  <c r="B224" i="37"/>
  <c r="G223" i="37"/>
  <c r="F223" i="37"/>
  <c r="E223" i="37"/>
  <c r="D223" i="37"/>
  <c r="C223" i="37"/>
  <c r="B223" i="37"/>
  <c r="G222" i="37"/>
  <c r="F222" i="37"/>
  <c r="E222" i="37"/>
  <c r="D222" i="37"/>
  <c r="C222" i="37"/>
  <c r="B222" i="37"/>
  <c r="G221" i="37"/>
  <c r="F221" i="37"/>
  <c r="E221" i="37"/>
  <c r="D221" i="37"/>
  <c r="C221" i="37"/>
  <c r="B221" i="37"/>
  <c r="G220" i="37"/>
  <c r="F220" i="37"/>
  <c r="E220" i="37"/>
  <c r="D220" i="37"/>
  <c r="C220" i="37"/>
  <c r="B220" i="37"/>
  <c r="G219" i="37"/>
  <c r="F219" i="37"/>
  <c r="E219" i="37"/>
  <c r="D219" i="37"/>
  <c r="C219" i="37"/>
  <c r="B219" i="37"/>
  <c r="G218" i="37"/>
  <c r="F218" i="37"/>
  <c r="E218" i="37"/>
  <c r="D218" i="37"/>
  <c r="C218" i="37"/>
  <c r="B218" i="37"/>
  <c r="G217" i="37"/>
  <c r="F217" i="37"/>
  <c r="E217" i="37"/>
  <c r="D217" i="37"/>
  <c r="C217" i="37"/>
  <c r="B217" i="37"/>
  <c r="G216" i="37"/>
  <c r="F216" i="37"/>
  <c r="E216" i="37"/>
  <c r="D216" i="37"/>
  <c r="C216" i="37"/>
  <c r="B216" i="37"/>
  <c r="G215" i="37"/>
  <c r="F215" i="37"/>
  <c r="E215" i="37"/>
  <c r="D215" i="37"/>
  <c r="C215" i="37"/>
  <c r="B215" i="37"/>
  <c r="G214" i="37"/>
  <c r="F214" i="37"/>
  <c r="E214" i="37"/>
  <c r="D214" i="37"/>
  <c r="C214" i="37"/>
  <c r="B214" i="37"/>
  <c r="G213" i="37"/>
  <c r="F213" i="37"/>
  <c r="E213" i="37"/>
  <c r="D213" i="37"/>
  <c r="C213" i="37"/>
  <c r="B213" i="37"/>
  <c r="G212" i="37"/>
  <c r="F212" i="37"/>
  <c r="E212" i="37"/>
  <c r="D212" i="37"/>
  <c r="C212" i="37"/>
  <c r="B212" i="37"/>
  <c r="G211" i="37"/>
  <c r="F211" i="37"/>
  <c r="E211" i="37"/>
  <c r="D211" i="37"/>
  <c r="C211" i="37"/>
  <c r="B211" i="37"/>
  <c r="G210" i="37"/>
  <c r="F210" i="37"/>
  <c r="E210" i="37"/>
  <c r="D210" i="37"/>
  <c r="C210" i="37"/>
  <c r="B210" i="37"/>
  <c r="G209" i="37"/>
  <c r="F209" i="37"/>
  <c r="E209" i="37"/>
  <c r="D209" i="37"/>
  <c r="C209" i="37"/>
  <c r="B209" i="37"/>
  <c r="G208" i="37"/>
  <c r="F208" i="37"/>
  <c r="E208" i="37"/>
  <c r="D208" i="37"/>
  <c r="C208" i="37"/>
  <c r="B208" i="37"/>
  <c r="G207" i="37"/>
  <c r="F207" i="37"/>
  <c r="E207" i="37"/>
  <c r="D207" i="37"/>
  <c r="C207" i="37"/>
  <c r="B207" i="37"/>
  <c r="G206" i="37"/>
  <c r="F206" i="37"/>
  <c r="E206" i="37"/>
  <c r="D206" i="37"/>
  <c r="C206" i="37"/>
  <c r="B206" i="37"/>
  <c r="G205" i="37"/>
  <c r="F205" i="37"/>
  <c r="E205" i="37"/>
  <c r="D205" i="37"/>
  <c r="C205" i="37"/>
  <c r="B205" i="37"/>
  <c r="G204" i="37"/>
  <c r="F204" i="37"/>
  <c r="E204" i="37"/>
  <c r="D204" i="37"/>
  <c r="C204" i="37"/>
  <c r="B204" i="37"/>
  <c r="G203" i="37"/>
  <c r="F203" i="37"/>
  <c r="E203" i="37"/>
  <c r="D203" i="37"/>
  <c r="C203" i="37"/>
  <c r="B203" i="37"/>
  <c r="G202" i="37"/>
  <c r="F202" i="37"/>
  <c r="E202" i="37"/>
  <c r="D202" i="37"/>
  <c r="C202" i="37"/>
  <c r="B202" i="37"/>
  <c r="G201" i="37"/>
  <c r="F201" i="37"/>
  <c r="E201" i="37"/>
  <c r="D201" i="37"/>
  <c r="C201" i="37"/>
  <c r="B201" i="37"/>
  <c r="G200" i="37"/>
  <c r="F200" i="37"/>
  <c r="E200" i="37"/>
  <c r="D200" i="37"/>
  <c r="C200" i="37"/>
  <c r="B200" i="37"/>
  <c r="G199" i="37"/>
  <c r="F199" i="37"/>
  <c r="E199" i="37"/>
  <c r="D199" i="37"/>
  <c r="C199" i="37"/>
  <c r="B199" i="37"/>
  <c r="G198" i="37"/>
  <c r="F198" i="37"/>
  <c r="E198" i="37"/>
  <c r="D198" i="37"/>
  <c r="C198" i="37"/>
  <c r="B198" i="37"/>
  <c r="G197" i="37"/>
  <c r="F197" i="37"/>
  <c r="E197" i="37"/>
  <c r="D197" i="37"/>
  <c r="C197" i="37"/>
  <c r="B197" i="37"/>
  <c r="G196" i="37"/>
  <c r="F196" i="37"/>
  <c r="E196" i="37"/>
  <c r="D196" i="37"/>
  <c r="C196" i="37"/>
  <c r="B196" i="37"/>
  <c r="G195" i="37"/>
  <c r="F195" i="37"/>
  <c r="E195" i="37"/>
  <c r="D195" i="37"/>
  <c r="C195" i="37"/>
  <c r="B195" i="37"/>
  <c r="G194" i="37"/>
  <c r="F194" i="37"/>
  <c r="E194" i="37"/>
  <c r="D194" i="37"/>
  <c r="C194" i="37"/>
  <c r="B194" i="37"/>
  <c r="G193" i="37"/>
  <c r="F193" i="37"/>
  <c r="E193" i="37"/>
  <c r="D193" i="37"/>
  <c r="C193" i="37"/>
  <c r="B193" i="37"/>
  <c r="G192" i="37"/>
  <c r="F192" i="37"/>
  <c r="E192" i="37"/>
  <c r="D192" i="37"/>
  <c r="C192" i="37"/>
  <c r="B192" i="37"/>
  <c r="G191" i="37"/>
  <c r="F191" i="37"/>
  <c r="E191" i="37"/>
  <c r="D191" i="37"/>
  <c r="C191" i="37"/>
  <c r="B191" i="37"/>
  <c r="G190" i="37"/>
  <c r="F190" i="37"/>
  <c r="E190" i="37"/>
  <c r="D190" i="37"/>
  <c r="C190" i="37"/>
  <c r="B190" i="37"/>
  <c r="G189" i="37"/>
  <c r="F189" i="37"/>
  <c r="E189" i="37"/>
  <c r="D189" i="37"/>
  <c r="C189" i="37"/>
  <c r="B189" i="37"/>
  <c r="G188" i="37"/>
  <c r="F188" i="37"/>
  <c r="E188" i="37"/>
  <c r="D188" i="37"/>
  <c r="C188" i="37"/>
  <c r="B188" i="37"/>
  <c r="G187" i="37"/>
  <c r="F187" i="37"/>
  <c r="E187" i="37"/>
  <c r="D187" i="37"/>
  <c r="C187" i="37"/>
  <c r="B187" i="37"/>
  <c r="G186" i="37"/>
  <c r="F186" i="37"/>
  <c r="E186" i="37"/>
  <c r="D186" i="37"/>
  <c r="C186" i="37"/>
  <c r="B186" i="37"/>
  <c r="G185" i="37"/>
  <c r="F185" i="37"/>
  <c r="E185" i="37"/>
  <c r="D185" i="37"/>
  <c r="C185" i="37"/>
  <c r="B185" i="37"/>
  <c r="G184" i="37"/>
  <c r="F184" i="37"/>
  <c r="E184" i="37"/>
  <c r="D184" i="37"/>
  <c r="C184" i="37"/>
  <c r="B184" i="37"/>
  <c r="G183" i="37"/>
  <c r="F183" i="37"/>
  <c r="E183" i="37"/>
  <c r="D183" i="37"/>
  <c r="C183" i="37"/>
  <c r="B183" i="37"/>
  <c r="G182" i="37"/>
  <c r="F182" i="37"/>
  <c r="E182" i="37"/>
  <c r="D182" i="37"/>
  <c r="C182" i="37"/>
  <c r="B182" i="37"/>
  <c r="G181" i="37"/>
  <c r="F181" i="37"/>
  <c r="E181" i="37"/>
  <c r="D181" i="37"/>
  <c r="C181" i="37"/>
  <c r="B181" i="37"/>
  <c r="G180" i="37"/>
  <c r="F180" i="37"/>
  <c r="E180" i="37"/>
  <c r="D180" i="37"/>
  <c r="C180" i="37"/>
  <c r="B180" i="37"/>
  <c r="G179" i="37"/>
  <c r="F179" i="37"/>
  <c r="E179" i="37"/>
  <c r="D179" i="37"/>
  <c r="C179" i="37"/>
  <c r="B179" i="37"/>
  <c r="G178" i="37"/>
  <c r="F178" i="37"/>
  <c r="E178" i="37"/>
  <c r="D178" i="37"/>
  <c r="C178" i="37"/>
  <c r="B178" i="37"/>
  <c r="G177" i="37"/>
  <c r="F177" i="37"/>
  <c r="E177" i="37"/>
  <c r="D177" i="37"/>
  <c r="C177" i="37"/>
  <c r="B177" i="37"/>
  <c r="G176" i="37"/>
  <c r="F176" i="37"/>
  <c r="E176" i="37"/>
  <c r="D176" i="37"/>
  <c r="C176" i="37"/>
  <c r="B176" i="37"/>
  <c r="G175" i="37"/>
  <c r="F175" i="37"/>
  <c r="E175" i="37"/>
  <c r="D175" i="37"/>
  <c r="C175" i="37"/>
  <c r="B175" i="37"/>
  <c r="G174" i="37"/>
  <c r="F174" i="37"/>
  <c r="E174" i="37"/>
  <c r="D174" i="37"/>
  <c r="C174" i="37"/>
  <c r="B174" i="37"/>
  <c r="G173" i="37"/>
  <c r="F173" i="37"/>
  <c r="E173" i="37"/>
  <c r="D173" i="37"/>
  <c r="C173" i="37"/>
  <c r="B173" i="37"/>
  <c r="G172" i="37"/>
  <c r="F172" i="37"/>
  <c r="E172" i="37"/>
  <c r="D172" i="37"/>
  <c r="C172" i="37"/>
  <c r="B172" i="37"/>
  <c r="G171" i="37"/>
  <c r="F171" i="37"/>
  <c r="E171" i="37"/>
  <c r="D171" i="37"/>
  <c r="C171" i="37"/>
  <c r="B171" i="37"/>
  <c r="G170" i="37"/>
  <c r="F170" i="37"/>
  <c r="E170" i="37"/>
  <c r="D170" i="37"/>
  <c r="C170" i="37"/>
  <c r="B170" i="37"/>
  <c r="G169" i="37"/>
  <c r="F169" i="37"/>
  <c r="E169" i="37"/>
  <c r="D169" i="37"/>
  <c r="C169" i="37"/>
  <c r="B169" i="37"/>
  <c r="G168" i="37"/>
  <c r="F168" i="37"/>
  <c r="E168" i="37"/>
  <c r="D168" i="37"/>
  <c r="C168" i="37"/>
  <c r="B168" i="37"/>
  <c r="G167" i="37"/>
  <c r="F167" i="37"/>
  <c r="E167" i="37"/>
  <c r="D167" i="37"/>
  <c r="C167" i="37"/>
  <c r="B167" i="37"/>
  <c r="G166" i="37"/>
  <c r="F166" i="37"/>
  <c r="E166" i="37"/>
  <c r="D166" i="37"/>
  <c r="C166" i="37"/>
  <c r="B166" i="37"/>
  <c r="G165" i="37"/>
  <c r="F165" i="37"/>
  <c r="E165" i="37"/>
  <c r="D165" i="37"/>
  <c r="C165" i="37"/>
  <c r="B165" i="37"/>
  <c r="G164" i="37"/>
  <c r="F164" i="37"/>
  <c r="E164" i="37"/>
  <c r="D164" i="37"/>
  <c r="C164" i="37"/>
  <c r="B164" i="37"/>
  <c r="G163" i="37"/>
  <c r="F163" i="37"/>
  <c r="E163" i="37"/>
  <c r="D163" i="37"/>
  <c r="C163" i="37"/>
  <c r="B163" i="37"/>
  <c r="G162" i="37"/>
  <c r="F162" i="37"/>
  <c r="E162" i="37"/>
  <c r="D162" i="37"/>
  <c r="C162" i="37"/>
  <c r="B162" i="37"/>
  <c r="G161" i="37"/>
  <c r="F161" i="37"/>
  <c r="E161" i="37"/>
  <c r="D161" i="37"/>
  <c r="C161" i="37"/>
  <c r="B161" i="37"/>
  <c r="G160" i="37"/>
  <c r="F160" i="37"/>
  <c r="E160" i="37"/>
  <c r="D160" i="37"/>
  <c r="C160" i="37"/>
  <c r="B160" i="37"/>
  <c r="G159" i="37"/>
  <c r="F159" i="37"/>
  <c r="E159" i="37"/>
  <c r="D159" i="37"/>
  <c r="C159" i="37"/>
  <c r="B159" i="37"/>
  <c r="G158" i="37"/>
  <c r="F158" i="37"/>
  <c r="E158" i="37"/>
  <c r="D158" i="37"/>
  <c r="C158" i="37"/>
  <c r="B158" i="37"/>
  <c r="G157" i="37"/>
  <c r="F157" i="37"/>
  <c r="E157" i="37"/>
  <c r="D157" i="37"/>
  <c r="C157" i="37"/>
  <c r="B157" i="37"/>
  <c r="G156" i="37"/>
  <c r="F156" i="37"/>
  <c r="E156" i="37"/>
  <c r="D156" i="37"/>
  <c r="C156" i="37"/>
  <c r="B156" i="37"/>
  <c r="G155" i="37"/>
  <c r="F155" i="37"/>
  <c r="E155" i="37"/>
  <c r="D155" i="37"/>
  <c r="C155" i="37"/>
  <c r="B155" i="37"/>
  <c r="G154" i="37"/>
  <c r="F154" i="37"/>
  <c r="E154" i="37"/>
  <c r="D154" i="37"/>
  <c r="C154" i="37"/>
  <c r="B154" i="37"/>
  <c r="G153" i="37"/>
  <c r="F153" i="37"/>
  <c r="E153" i="37"/>
  <c r="D153" i="37"/>
  <c r="C153" i="37"/>
  <c r="B153" i="37"/>
  <c r="G152" i="37"/>
  <c r="F152" i="37"/>
  <c r="E152" i="37"/>
  <c r="D152" i="37"/>
  <c r="C152" i="37"/>
  <c r="B152" i="37"/>
  <c r="G151" i="37"/>
  <c r="F151" i="37"/>
  <c r="E151" i="37"/>
  <c r="D151" i="37"/>
  <c r="C151" i="37"/>
  <c r="B151" i="37"/>
  <c r="G150" i="37"/>
  <c r="F150" i="37"/>
  <c r="E150" i="37"/>
  <c r="D150" i="37"/>
  <c r="C150" i="37"/>
  <c r="B150" i="37"/>
  <c r="G149" i="37"/>
  <c r="F149" i="37"/>
  <c r="E149" i="37"/>
  <c r="D149" i="37"/>
  <c r="C149" i="37"/>
  <c r="B149" i="37"/>
  <c r="G148" i="37"/>
  <c r="F148" i="37"/>
  <c r="E148" i="37"/>
  <c r="D148" i="37"/>
  <c r="C148" i="37"/>
  <c r="B148" i="37"/>
  <c r="G147" i="37"/>
  <c r="F147" i="37"/>
  <c r="E147" i="37"/>
  <c r="D147" i="37"/>
  <c r="C147" i="37"/>
  <c r="B147" i="37"/>
  <c r="G146" i="37"/>
  <c r="F146" i="37"/>
  <c r="E146" i="37"/>
  <c r="D146" i="37"/>
  <c r="C146" i="37"/>
  <c r="B146" i="37"/>
  <c r="G145" i="37"/>
  <c r="F145" i="37"/>
  <c r="E145" i="37"/>
  <c r="D145" i="37"/>
  <c r="C145" i="37"/>
  <c r="B145" i="37"/>
  <c r="G144" i="37"/>
  <c r="F144" i="37"/>
  <c r="E144" i="37"/>
  <c r="D144" i="37"/>
  <c r="C144" i="37"/>
  <c r="B144" i="37"/>
  <c r="G143" i="37"/>
  <c r="F143" i="37"/>
  <c r="E143" i="37"/>
  <c r="D143" i="37"/>
  <c r="C143" i="37"/>
  <c r="B143" i="37"/>
  <c r="G142" i="37"/>
  <c r="F142" i="37"/>
  <c r="E142" i="37"/>
  <c r="D142" i="37"/>
  <c r="C142" i="37"/>
  <c r="B142" i="37"/>
  <c r="G141" i="37"/>
  <c r="F141" i="37"/>
  <c r="E141" i="37"/>
  <c r="D141" i="37"/>
  <c r="C141" i="37"/>
  <c r="B141" i="37"/>
  <c r="G140" i="37"/>
  <c r="F140" i="37"/>
  <c r="E140" i="37"/>
  <c r="D140" i="37"/>
  <c r="C140" i="37"/>
  <c r="B140" i="37"/>
  <c r="G139" i="37"/>
  <c r="F139" i="37"/>
  <c r="E139" i="37"/>
  <c r="D139" i="37"/>
  <c r="C139" i="37"/>
  <c r="B139" i="37"/>
  <c r="G138" i="37"/>
  <c r="F138" i="37"/>
  <c r="E138" i="37"/>
  <c r="D138" i="37"/>
  <c r="C138" i="37"/>
  <c r="B138" i="37"/>
  <c r="G137" i="37"/>
  <c r="F137" i="37"/>
  <c r="E137" i="37"/>
  <c r="D137" i="37"/>
  <c r="C137" i="37"/>
  <c r="B137" i="37"/>
  <c r="G136" i="37"/>
  <c r="F136" i="37"/>
  <c r="E136" i="37"/>
  <c r="D136" i="37"/>
  <c r="C136" i="37"/>
  <c r="B136" i="37"/>
  <c r="G135" i="37"/>
  <c r="F135" i="37"/>
  <c r="E135" i="37"/>
  <c r="D135" i="37"/>
  <c r="C135" i="37"/>
  <c r="B135" i="37"/>
  <c r="G134" i="37"/>
  <c r="F134" i="37"/>
  <c r="E134" i="37"/>
  <c r="D134" i="37"/>
  <c r="C134" i="37"/>
  <c r="B134" i="37"/>
  <c r="G133" i="37"/>
  <c r="F133" i="37"/>
  <c r="E133" i="37"/>
  <c r="D133" i="37"/>
  <c r="C133" i="37"/>
  <c r="B133" i="37"/>
  <c r="G132" i="37"/>
  <c r="F132" i="37"/>
  <c r="E132" i="37"/>
  <c r="D132" i="37"/>
  <c r="C132" i="37"/>
  <c r="B132" i="37"/>
  <c r="G131" i="37"/>
  <c r="F131" i="37"/>
  <c r="E131" i="37"/>
  <c r="D131" i="37"/>
  <c r="C131" i="37"/>
  <c r="B131" i="37"/>
  <c r="G130" i="37"/>
  <c r="F130" i="37"/>
  <c r="E130" i="37"/>
  <c r="D130" i="37"/>
  <c r="C130" i="37"/>
  <c r="B130" i="37"/>
  <c r="G129" i="37"/>
  <c r="F129" i="37"/>
  <c r="E129" i="37"/>
  <c r="D129" i="37"/>
  <c r="C129" i="37"/>
  <c r="B129" i="37"/>
  <c r="G128" i="37"/>
  <c r="F128" i="37"/>
  <c r="E128" i="37"/>
  <c r="D128" i="37"/>
  <c r="C128" i="37"/>
  <c r="B128" i="37"/>
  <c r="G127" i="37"/>
  <c r="F127" i="37"/>
  <c r="E127" i="37"/>
  <c r="D127" i="37"/>
  <c r="C127" i="37"/>
  <c r="B127" i="37"/>
  <c r="G126" i="37"/>
  <c r="F126" i="37"/>
  <c r="E126" i="37"/>
  <c r="D126" i="37"/>
  <c r="C126" i="37"/>
  <c r="B126" i="37"/>
  <c r="G125" i="37"/>
  <c r="F125" i="37"/>
  <c r="E125" i="37"/>
  <c r="D125" i="37"/>
  <c r="C125" i="37"/>
  <c r="B125" i="37"/>
  <c r="G124" i="37"/>
  <c r="F124" i="37"/>
  <c r="E124" i="37"/>
  <c r="D124" i="37"/>
  <c r="C124" i="37"/>
  <c r="B124" i="37"/>
  <c r="G123" i="37"/>
  <c r="F123" i="37"/>
  <c r="E123" i="37"/>
  <c r="D123" i="37"/>
  <c r="C123" i="37"/>
  <c r="B123" i="37"/>
  <c r="G122" i="37"/>
  <c r="F122" i="37"/>
  <c r="E122" i="37"/>
  <c r="D122" i="37"/>
  <c r="C122" i="37"/>
  <c r="B122" i="37"/>
  <c r="G121" i="37"/>
  <c r="F121" i="37"/>
  <c r="E121" i="37"/>
  <c r="D121" i="37"/>
  <c r="C121" i="37"/>
  <c r="B121" i="37"/>
  <c r="G120" i="37"/>
  <c r="F120" i="37"/>
  <c r="E120" i="37"/>
  <c r="D120" i="37"/>
  <c r="C120" i="37"/>
  <c r="B120" i="37"/>
  <c r="G119" i="37"/>
  <c r="F119" i="37"/>
  <c r="E119" i="37"/>
  <c r="D119" i="37"/>
  <c r="C119" i="37"/>
  <c r="B119" i="37"/>
  <c r="G118" i="37"/>
  <c r="F118" i="37"/>
  <c r="E118" i="37"/>
  <c r="D118" i="37"/>
  <c r="C118" i="37"/>
  <c r="B118" i="37"/>
  <c r="G117" i="37"/>
  <c r="F117" i="37"/>
  <c r="E117" i="37"/>
  <c r="D117" i="37"/>
  <c r="C117" i="37"/>
  <c r="B117" i="37"/>
  <c r="G116" i="37"/>
  <c r="F116" i="37"/>
  <c r="E116" i="37"/>
  <c r="D116" i="37"/>
  <c r="C116" i="37"/>
  <c r="B116" i="37"/>
  <c r="G115" i="37"/>
  <c r="F115" i="37"/>
  <c r="E115" i="37"/>
  <c r="D115" i="37"/>
  <c r="C115" i="37"/>
  <c r="B115" i="37"/>
  <c r="G114" i="37"/>
  <c r="F114" i="37"/>
  <c r="E114" i="37"/>
  <c r="D114" i="37"/>
  <c r="C114" i="37"/>
  <c r="B114" i="37"/>
  <c r="G113" i="37"/>
  <c r="F113" i="37"/>
  <c r="E113" i="37"/>
  <c r="D113" i="37"/>
  <c r="C113" i="37"/>
  <c r="B113" i="37"/>
  <c r="G112" i="37"/>
  <c r="F112" i="37"/>
  <c r="E112" i="37"/>
  <c r="D112" i="37"/>
  <c r="C112" i="37"/>
  <c r="B112" i="37"/>
  <c r="G111" i="37"/>
  <c r="F111" i="37"/>
  <c r="E111" i="37"/>
  <c r="D111" i="37"/>
  <c r="C111" i="37"/>
  <c r="B111" i="37"/>
  <c r="G110" i="37"/>
  <c r="F110" i="37"/>
  <c r="E110" i="37"/>
  <c r="D110" i="37"/>
  <c r="C110" i="37"/>
  <c r="B110" i="37"/>
  <c r="G109" i="37"/>
  <c r="F109" i="37"/>
  <c r="E109" i="37"/>
  <c r="D109" i="37"/>
  <c r="C109" i="37"/>
  <c r="B109" i="37"/>
  <c r="G108" i="37"/>
  <c r="F108" i="37"/>
  <c r="E108" i="37"/>
  <c r="D108" i="37"/>
  <c r="C108" i="37"/>
  <c r="B108" i="37"/>
  <c r="G107" i="37"/>
  <c r="F107" i="37"/>
  <c r="E107" i="37"/>
  <c r="D107" i="37"/>
  <c r="C107" i="37"/>
  <c r="B107" i="37"/>
  <c r="G106" i="37"/>
  <c r="F106" i="37"/>
  <c r="E106" i="37"/>
  <c r="D106" i="37"/>
  <c r="C106" i="37"/>
  <c r="B106" i="37"/>
  <c r="G105" i="37"/>
  <c r="F105" i="37"/>
  <c r="E105" i="37"/>
  <c r="D105" i="37"/>
  <c r="C105" i="37"/>
  <c r="B105" i="37"/>
  <c r="G104" i="37"/>
  <c r="F104" i="37"/>
  <c r="E104" i="37"/>
  <c r="D104" i="37"/>
  <c r="C104" i="37"/>
  <c r="B104" i="37"/>
  <c r="G103" i="37"/>
  <c r="F103" i="37"/>
  <c r="E103" i="37"/>
  <c r="D103" i="37"/>
  <c r="C103" i="37"/>
  <c r="B103" i="37"/>
  <c r="G102" i="37"/>
  <c r="F102" i="37"/>
  <c r="E102" i="37"/>
  <c r="D102" i="37"/>
  <c r="C102" i="37"/>
  <c r="B102" i="37"/>
  <c r="G101" i="37"/>
  <c r="F101" i="37"/>
  <c r="E101" i="37"/>
  <c r="D101" i="37"/>
  <c r="C101" i="37"/>
  <c r="B101" i="37"/>
  <c r="G100" i="37"/>
  <c r="F100" i="37"/>
  <c r="E100" i="37"/>
  <c r="D100" i="37"/>
  <c r="C100" i="37"/>
  <c r="B100" i="37"/>
  <c r="G99" i="37"/>
  <c r="F99" i="37"/>
  <c r="E99" i="37"/>
  <c r="D99" i="37"/>
  <c r="C99" i="37"/>
  <c r="B99" i="37"/>
  <c r="G98" i="37"/>
  <c r="F98" i="37"/>
  <c r="E98" i="37"/>
  <c r="D98" i="37"/>
  <c r="C98" i="37"/>
  <c r="B98" i="37"/>
  <c r="G97" i="37"/>
  <c r="F97" i="37"/>
  <c r="E97" i="37"/>
  <c r="D97" i="37"/>
  <c r="C97" i="37"/>
  <c r="B97" i="37"/>
  <c r="G96" i="37"/>
  <c r="F96" i="37"/>
  <c r="E96" i="37"/>
  <c r="D96" i="37"/>
  <c r="C96" i="37"/>
  <c r="B96" i="37"/>
  <c r="G95" i="37"/>
  <c r="F95" i="37"/>
  <c r="E95" i="37"/>
  <c r="D95" i="37"/>
  <c r="C95" i="37"/>
  <c r="B95" i="37"/>
  <c r="G94" i="37"/>
  <c r="F94" i="37"/>
  <c r="E94" i="37"/>
  <c r="D94" i="37"/>
  <c r="C94" i="37"/>
  <c r="B94" i="37"/>
  <c r="G93" i="37"/>
  <c r="F93" i="37"/>
  <c r="E93" i="37"/>
  <c r="D93" i="37"/>
  <c r="C93" i="37"/>
  <c r="B93" i="37"/>
  <c r="G92" i="37"/>
  <c r="F92" i="37"/>
  <c r="E92" i="37"/>
  <c r="D92" i="37"/>
  <c r="C92" i="37"/>
  <c r="B92" i="37"/>
  <c r="G91" i="37"/>
  <c r="F91" i="37"/>
  <c r="E91" i="37"/>
  <c r="D91" i="37"/>
  <c r="C91" i="37"/>
  <c r="B91" i="37"/>
  <c r="G90" i="37"/>
  <c r="F90" i="37"/>
  <c r="E90" i="37"/>
  <c r="D90" i="37"/>
  <c r="C90" i="37"/>
  <c r="B90" i="37"/>
  <c r="G89" i="37"/>
  <c r="F89" i="37"/>
  <c r="E89" i="37"/>
  <c r="D89" i="37"/>
  <c r="C89" i="37"/>
  <c r="B89" i="37"/>
  <c r="G88" i="37"/>
  <c r="F88" i="37"/>
  <c r="E88" i="37"/>
  <c r="D88" i="37"/>
  <c r="C88" i="37"/>
  <c r="B88" i="37"/>
  <c r="G87" i="37"/>
  <c r="F87" i="37"/>
  <c r="E87" i="37"/>
  <c r="D87" i="37"/>
  <c r="C87" i="37"/>
  <c r="B87" i="37"/>
  <c r="G86" i="37"/>
  <c r="F86" i="37"/>
  <c r="E86" i="37"/>
  <c r="D86" i="37"/>
  <c r="C86" i="37"/>
  <c r="B86" i="37"/>
  <c r="G85" i="37"/>
  <c r="F85" i="37"/>
  <c r="E85" i="37"/>
  <c r="D85" i="37"/>
  <c r="C85" i="37"/>
  <c r="B85" i="37"/>
  <c r="G84" i="37"/>
  <c r="F84" i="37"/>
  <c r="E84" i="37"/>
  <c r="D84" i="37"/>
  <c r="C84" i="37"/>
  <c r="B84" i="37"/>
  <c r="G83" i="37"/>
  <c r="F83" i="37"/>
  <c r="E83" i="37"/>
  <c r="D83" i="37"/>
  <c r="C83" i="37"/>
  <c r="B83" i="37"/>
  <c r="G82" i="37"/>
  <c r="F82" i="37"/>
  <c r="E82" i="37"/>
  <c r="D82" i="37"/>
  <c r="C82" i="37"/>
  <c r="B82" i="37"/>
  <c r="G81" i="37"/>
  <c r="F81" i="37"/>
  <c r="E81" i="37"/>
  <c r="D81" i="37"/>
  <c r="C81" i="37"/>
  <c r="B81" i="37"/>
  <c r="G80" i="37"/>
  <c r="F80" i="37"/>
  <c r="E80" i="37"/>
  <c r="D80" i="37"/>
  <c r="C80" i="37"/>
  <c r="B80" i="37"/>
  <c r="G79" i="37"/>
  <c r="F79" i="37"/>
  <c r="E79" i="37"/>
  <c r="D79" i="37"/>
  <c r="C79" i="37"/>
  <c r="B79" i="37"/>
  <c r="G78" i="37"/>
  <c r="F78" i="37"/>
  <c r="E78" i="37"/>
  <c r="D78" i="37"/>
  <c r="C78" i="37"/>
  <c r="B78" i="37"/>
  <c r="G77" i="37"/>
  <c r="F77" i="37"/>
  <c r="E77" i="37"/>
  <c r="D77" i="37"/>
  <c r="C77" i="37"/>
  <c r="B77" i="37"/>
  <c r="G76" i="37"/>
  <c r="F76" i="37"/>
  <c r="E76" i="37"/>
  <c r="D76" i="37"/>
  <c r="C76" i="37"/>
  <c r="B76" i="37"/>
  <c r="G75" i="37"/>
  <c r="F75" i="37"/>
  <c r="E75" i="37"/>
  <c r="D75" i="37"/>
  <c r="C75" i="37"/>
  <c r="B75" i="37"/>
  <c r="G74" i="37"/>
  <c r="F74" i="37"/>
  <c r="E74" i="37"/>
  <c r="D74" i="37"/>
  <c r="C74" i="37"/>
  <c r="B74" i="37"/>
  <c r="G73" i="37"/>
  <c r="F73" i="37"/>
  <c r="E73" i="37"/>
  <c r="D73" i="37"/>
  <c r="C73" i="37"/>
  <c r="B73" i="37"/>
  <c r="G72" i="37"/>
  <c r="F72" i="37"/>
  <c r="E72" i="37"/>
  <c r="D72" i="37"/>
  <c r="C72" i="37"/>
  <c r="B72" i="37"/>
  <c r="G71" i="37"/>
  <c r="F71" i="37"/>
  <c r="E71" i="37"/>
  <c r="D71" i="37"/>
  <c r="C71" i="37"/>
  <c r="B71" i="37"/>
  <c r="G70" i="37"/>
  <c r="F70" i="37"/>
  <c r="E70" i="37"/>
  <c r="D70" i="37"/>
  <c r="C70" i="37"/>
  <c r="B70" i="37"/>
  <c r="G69" i="37"/>
  <c r="F69" i="37"/>
  <c r="E69" i="37"/>
  <c r="D69" i="37"/>
  <c r="C69" i="37"/>
  <c r="B69" i="37"/>
  <c r="G68" i="37"/>
  <c r="F68" i="37"/>
  <c r="E68" i="37"/>
  <c r="D68" i="37"/>
  <c r="C68" i="37"/>
  <c r="B68" i="37"/>
  <c r="G67" i="37"/>
  <c r="F67" i="37"/>
  <c r="E67" i="37"/>
  <c r="D67" i="37"/>
  <c r="C67" i="37"/>
  <c r="B67" i="37"/>
  <c r="G66" i="37"/>
  <c r="F66" i="37"/>
  <c r="E66" i="37"/>
  <c r="D66" i="37"/>
  <c r="C66" i="37"/>
  <c r="B66" i="37"/>
  <c r="G65" i="37"/>
  <c r="F65" i="37"/>
  <c r="E65" i="37"/>
  <c r="D65" i="37"/>
  <c r="C65" i="37"/>
  <c r="B65" i="37"/>
  <c r="G64" i="37"/>
  <c r="F64" i="37"/>
  <c r="E64" i="37"/>
  <c r="D64" i="37"/>
  <c r="C64" i="37"/>
  <c r="B64" i="37"/>
  <c r="G63" i="37"/>
  <c r="F63" i="37"/>
  <c r="E63" i="37"/>
  <c r="D63" i="37"/>
  <c r="C63" i="37"/>
  <c r="B63" i="37"/>
  <c r="G62" i="37"/>
  <c r="F62" i="37"/>
  <c r="E62" i="37"/>
  <c r="D62" i="37"/>
  <c r="C62" i="37"/>
  <c r="B62" i="37"/>
  <c r="G61" i="37"/>
  <c r="F61" i="37"/>
  <c r="E61" i="37"/>
  <c r="D61" i="37"/>
  <c r="C61" i="37"/>
  <c r="B61" i="37"/>
  <c r="G60" i="37"/>
  <c r="F60" i="37"/>
  <c r="E60" i="37"/>
  <c r="D60" i="37"/>
  <c r="C60" i="37"/>
  <c r="B60" i="37"/>
  <c r="G59" i="37"/>
  <c r="F59" i="37"/>
  <c r="E59" i="37"/>
  <c r="D59" i="37"/>
  <c r="C59" i="37"/>
  <c r="B59" i="37"/>
  <c r="G58" i="37"/>
  <c r="F58" i="37"/>
  <c r="E58" i="37"/>
  <c r="D58" i="37"/>
  <c r="C58" i="37"/>
  <c r="B58" i="37"/>
  <c r="G57" i="37"/>
  <c r="F57" i="37"/>
  <c r="E57" i="37"/>
  <c r="D57" i="37"/>
  <c r="C57" i="37"/>
  <c r="B57" i="37"/>
  <c r="G56" i="37"/>
  <c r="F56" i="37"/>
  <c r="E56" i="37"/>
  <c r="D56" i="37"/>
  <c r="C56" i="37"/>
  <c r="B56" i="37"/>
  <c r="G55" i="37"/>
  <c r="F55" i="37"/>
  <c r="E55" i="37"/>
  <c r="D55" i="37"/>
  <c r="C55" i="37"/>
  <c r="B55" i="37"/>
  <c r="G54" i="37"/>
  <c r="F54" i="37"/>
  <c r="E54" i="37"/>
  <c r="D54" i="37"/>
  <c r="C54" i="37"/>
  <c r="B54" i="37"/>
  <c r="G53" i="37"/>
  <c r="F53" i="37"/>
  <c r="E53" i="37"/>
  <c r="D53" i="37"/>
  <c r="C53" i="37"/>
  <c r="B53" i="37"/>
  <c r="G52" i="37"/>
  <c r="F52" i="37"/>
  <c r="E52" i="37"/>
  <c r="D52" i="37"/>
  <c r="C52" i="37"/>
  <c r="B52" i="37"/>
  <c r="A309" i="37"/>
  <c r="F306" i="40"/>
  <c r="E306" i="40"/>
  <c r="D306" i="40"/>
  <c r="C306" i="40"/>
  <c r="B306" i="40"/>
  <c r="F305" i="40"/>
  <c r="E305" i="40"/>
  <c r="D305" i="40"/>
  <c r="C305" i="40"/>
  <c r="B305" i="40"/>
  <c r="F304" i="40"/>
  <c r="E304" i="40"/>
  <c r="D304" i="40"/>
  <c r="C304" i="40"/>
  <c r="B304" i="40"/>
  <c r="F303" i="40"/>
  <c r="E303" i="40"/>
  <c r="D303" i="40"/>
  <c r="C303" i="40"/>
  <c r="B303" i="40"/>
  <c r="F302" i="40"/>
  <c r="E302" i="40"/>
  <c r="D302" i="40"/>
  <c r="C302" i="40"/>
  <c r="B302" i="40"/>
  <c r="F301" i="40"/>
  <c r="E301" i="40"/>
  <c r="D301" i="40"/>
  <c r="C301" i="40"/>
  <c r="B301" i="40"/>
  <c r="F300" i="40"/>
  <c r="E300" i="40"/>
  <c r="D300" i="40"/>
  <c r="C300" i="40"/>
  <c r="B300" i="40"/>
  <c r="F299" i="40"/>
  <c r="E299" i="40"/>
  <c r="D299" i="40"/>
  <c r="C299" i="40"/>
  <c r="B299" i="40"/>
  <c r="F298" i="40"/>
  <c r="E298" i="40"/>
  <c r="D298" i="40"/>
  <c r="C298" i="40"/>
  <c r="B298" i="40"/>
  <c r="F297" i="40"/>
  <c r="E297" i="40"/>
  <c r="D297" i="40"/>
  <c r="C297" i="40"/>
  <c r="B297" i="40"/>
  <c r="F296" i="40"/>
  <c r="E296" i="40"/>
  <c r="D296" i="40"/>
  <c r="C296" i="40"/>
  <c r="B296" i="40"/>
  <c r="F295" i="40"/>
  <c r="E295" i="40"/>
  <c r="D295" i="40"/>
  <c r="C295" i="40"/>
  <c r="B295" i="40"/>
  <c r="F294" i="40"/>
  <c r="E294" i="40"/>
  <c r="D294" i="40"/>
  <c r="C294" i="40"/>
  <c r="B294" i="40"/>
  <c r="F293" i="40"/>
  <c r="E293" i="40"/>
  <c r="D293" i="40"/>
  <c r="C293" i="40"/>
  <c r="B293" i="40"/>
  <c r="F292" i="40"/>
  <c r="E292" i="40"/>
  <c r="D292" i="40"/>
  <c r="C292" i="40"/>
  <c r="B292" i="40"/>
  <c r="F291" i="40"/>
  <c r="E291" i="40"/>
  <c r="D291" i="40"/>
  <c r="C291" i="40"/>
  <c r="B291" i="40"/>
  <c r="F290" i="40"/>
  <c r="E290" i="40"/>
  <c r="D290" i="40"/>
  <c r="C290" i="40"/>
  <c r="B290" i="40"/>
  <c r="F289" i="40"/>
  <c r="E289" i="40"/>
  <c r="D289" i="40"/>
  <c r="C289" i="40"/>
  <c r="B289" i="40"/>
  <c r="F288" i="40"/>
  <c r="E288" i="40"/>
  <c r="D288" i="40"/>
  <c r="C288" i="40"/>
  <c r="B288" i="40"/>
  <c r="F287" i="40"/>
  <c r="E287" i="40"/>
  <c r="D287" i="40"/>
  <c r="C287" i="40"/>
  <c r="B287" i="40"/>
  <c r="F286" i="40"/>
  <c r="E286" i="40"/>
  <c r="D286" i="40"/>
  <c r="C286" i="40"/>
  <c r="B286" i="40"/>
  <c r="F285" i="40"/>
  <c r="E285" i="40"/>
  <c r="D285" i="40"/>
  <c r="C285" i="40"/>
  <c r="B285" i="40"/>
  <c r="F284" i="40"/>
  <c r="E284" i="40"/>
  <c r="D284" i="40"/>
  <c r="C284" i="40"/>
  <c r="B284" i="40"/>
  <c r="F283" i="40"/>
  <c r="E283" i="40"/>
  <c r="D283" i="40"/>
  <c r="C283" i="40"/>
  <c r="B283" i="40"/>
  <c r="F282" i="40"/>
  <c r="E282" i="40"/>
  <c r="D282" i="40"/>
  <c r="C282" i="40"/>
  <c r="B282" i="40"/>
  <c r="F281" i="40"/>
  <c r="E281" i="40"/>
  <c r="D281" i="40"/>
  <c r="C281" i="40"/>
  <c r="B281" i="40"/>
  <c r="F280" i="40"/>
  <c r="E280" i="40"/>
  <c r="D280" i="40"/>
  <c r="C280" i="40"/>
  <c r="B280" i="40"/>
  <c r="F279" i="40"/>
  <c r="E279" i="40"/>
  <c r="D279" i="40"/>
  <c r="C279" i="40"/>
  <c r="B279" i="40"/>
  <c r="F278" i="40"/>
  <c r="E278" i="40"/>
  <c r="D278" i="40"/>
  <c r="C278" i="40"/>
  <c r="B278" i="40"/>
  <c r="F277" i="40"/>
  <c r="E277" i="40"/>
  <c r="D277" i="40"/>
  <c r="C277" i="40"/>
  <c r="B277" i="40"/>
  <c r="F276" i="40"/>
  <c r="E276" i="40"/>
  <c r="D276" i="40"/>
  <c r="C276" i="40"/>
  <c r="B276" i="40"/>
  <c r="F275" i="40"/>
  <c r="E275" i="40"/>
  <c r="D275" i="40"/>
  <c r="C275" i="40"/>
  <c r="B275" i="40"/>
  <c r="F274" i="40"/>
  <c r="E274" i="40"/>
  <c r="D274" i="40"/>
  <c r="C274" i="40"/>
  <c r="B274" i="40"/>
  <c r="F273" i="40"/>
  <c r="E273" i="40"/>
  <c r="D273" i="40"/>
  <c r="C273" i="40"/>
  <c r="B273" i="40"/>
  <c r="F272" i="40"/>
  <c r="E272" i="40"/>
  <c r="D272" i="40"/>
  <c r="C272" i="40"/>
  <c r="B272" i="40"/>
  <c r="F271" i="40"/>
  <c r="E271" i="40"/>
  <c r="D271" i="40"/>
  <c r="C271" i="40"/>
  <c r="B271" i="40"/>
  <c r="F270" i="40"/>
  <c r="E270" i="40"/>
  <c r="D270" i="40"/>
  <c r="C270" i="40"/>
  <c r="B270" i="40"/>
  <c r="F269" i="40"/>
  <c r="E269" i="40"/>
  <c r="D269" i="40"/>
  <c r="C269" i="40"/>
  <c r="B269" i="40"/>
  <c r="F268" i="40"/>
  <c r="E268" i="40"/>
  <c r="D268" i="40"/>
  <c r="C268" i="40"/>
  <c r="B268" i="40"/>
  <c r="F267" i="40"/>
  <c r="E267" i="40"/>
  <c r="D267" i="40"/>
  <c r="C267" i="40"/>
  <c r="B267" i="40"/>
  <c r="F266" i="40"/>
  <c r="E266" i="40"/>
  <c r="D266" i="40"/>
  <c r="C266" i="40"/>
  <c r="B266" i="40"/>
  <c r="F265" i="40"/>
  <c r="E265" i="40"/>
  <c r="D265" i="40"/>
  <c r="C265" i="40"/>
  <c r="B265" i="40"/>
  <c r="F264" i="40"/>
  <c r="E264" i="40"/>
  <c r="D264" i="40"/>
  <c r="C264" i="40"/>
  <c r="B264" i="40"/>
  <c r="F263" i="40"/>
  <c r="E263" i="40"/>
  <c r="D263" i="40"/>
  <c r="C263" i="40"/>
  <c r="B263" i="40"/>
  <c r="F262" i="40"/>
  <c r="E262" i="40"/>
  <c r="D262" i="40"/>
  <c r="C262" i="40"/>
  <c r="B262" i="40"/>
  <c r="F261" i="40"/>
  <c r="E261" i="40"/>
  <c r="D261" i="40"/>
  <c r="C261" i="40"/>
  <c r="B261" i="40"/>
  <c r="F260" i="40"/>
  <c r="E260" i="40"/>
  <c r="D260" i="40"/>
  <c r="C260" i="40"/>
  <c r="B260" i="40"/>
  <c r="F259" i="40"/>
  <c r="E259" i="40"/>
  <c r="D259" i="40"/>
  <c r="C259" i="40"/>
  <c r="B259" i="40"/>
  <c r="F258" i="40"/>
  <c r="E258" i="40"/>
  <c r="D258" i="40"/>
  <c r="C258" i="40"/>
  <c r="B258" i="40"/>
  <c r="F257" i="40"/>
  <c r="E257" i="40"/>
  <c r="D257" i="40"/>
  <c r="C257" i="40"/>
  <c r="B257" i="40"/>
  <c r="F256" i="40"/>
  <c r="E256" i="40"/>
  <c r="D256" i="40"/>
  <c r="C256" i="40"/>
  <c r="B256" i="40"/>
  <c r="F255" i="40"/>
  <c r="E255" i="40"/>
  <c r="D255" i="40"/>
  <c r="C255" i="40"/>
  <c r="B255" i="40"/>
  <c r="F254" i="40"/>
  <c r="E254" i="40"/>
  <c r="D254" i="40"/>
  <c r="C254" i="40"/>
  <c r="B254" i="40"/>
  <c r="F253" i="40"/>
  <c r="E253" i="40"/>
  <c r="D253" i="40"/>
  <c r="C253" i="40"/>
  <c r="B253" i="40"/>
  <c r="F252" i="40"/>
  <c r="E252" i="40"/>
  <c r="D252" i="40"/>
  <c r="C252" i="40"/>
  <c r="B252" i="40"/>
  <c r="F251" i="40"/>
  <c r="E251" i="40"/>
  <c r="D251" i="40"/>
  <c r="C251" i="40"/>
  <c r="B251" i="40"/>
  <c r="F250" i="40"/>
  <c r="E250" i="40"/>
  <c r="D250" i="40"/>
  <c r="C250" i="40"/>
  <c r="B250" i="40"/>
  <c r="F249" i="40"/>
  <c r="E249" i="40"/>
  <c r="D249" i="40"/>
  <c r="C249" i="40"/>
  <c r="B249" i="40"/>
  <c r="F248" i="40"/>
  <c r="E248" i="40"/>
  <c r="D248" i="40"/>
  <c r="C248" i="40"/>
  <c r="B248" i="40"/>
  <c r="F247" i="40"/>
  <c r="E247" i="40"/>
  <c r="D247" i="40"/>
  <c r="C247" i="40"/>
  <c r="B247" i="40"/>
  <c r="F246" i="40"/>
  <c r="E246" i="40"/>
  <c r="D246" i="40"/>
  <c r="C246" i="40"/>
  <c r="B246" i="40"/>
  <c r="F245" i="40"/>
  <c r="E245" i="40"/>
  <c r="D245" i="40"/>
  <c r="C245" i="40"/>
  <c r="B245" i="40"/>
  <c r="F244" i="40"/>
  <c r="E244" i="40"/>
  <c r="D244" i="40"/>
  <c r="C244" i="40"/>
  <c r="B244" i="40"/>
  <c r="F243" i="40"/>
  <c r="E243" i="40"/>
  <c r="D243" i="40"/>
  <c r="C243" i="40"/>
  <c r="B243" i="40"/>
  <c r="F242" i="40"/>
  <c r="E242" i="40"/>
  <c r="D242" i="40"/>
  <c r="C242" i="40"/>
  <c r="B242" i="40"/>
  <c r="F241" i="40"/>
  <c r="E241" i="40"/>
  <c r="D241" i="40"/>
  <c r="C241" i="40"/>
  <c r="B241" i="40"/>
  <c r="F240" i="40"/>
  <c r="E240" i="40"/>
  <c r="D240" i="40"/>
  <c r="C240" i="40"/>
  <c r="B240" i="40"/>
  <c r="F239" i="40"/>
  <c r="E239" i="40"/>
  <c r="D239" i="40"/>
  <c r="C239" i="40"/>
  <c r="B239" i="40"/>
  <c r="F238" i="40"/>
  <c r="E238" i="40"/>
  <c r="D238" i="40"/>
  <c r="C238" i="40"/>
  <c r="B238" i="40"/>
  <c r="F237" i="40"/>
  <c r="E237" i="40"/>
  <c r="D237" i="40"/>
  <c r="C237" i="40"/>
  <c r="B237" i="40"/>
  <c r="F236" i="40"/>
  <c r="E236" i="40"/>
  <c r="D236" i="40"/>
  <c r="C236" i="40"/>
  <c r="B236" i="40"/>
  <c r="F235" i="40"/>
  <c r="E235" i="40"/>
  <c r="D235" i="40"/>
  <c r="C235" i="40"/>
  <c r="B235" i="40"/>
  <c r="F234" i="40"/>
  <c r="E234" i="40"/>
  <c r="D234" i="40"/>
  <c r="C234" i="40"/>
  <c r="B234" i="40"/>
  <c r="F233" i="40"/>
  <c r="E233" i="40"/>
  <c r="D233" i="40"/>
  <c r="C233" i="40"/>
  <c r="B233" i="40"/>
  <c r="F232" i="40"/>
  <c r="E232" i="40"/>
  <c r="D232" i="40"/>
  <c r="C232" i="40"/>
  <c r="B232" i="40"/>
  <c r="F231" i="40"/>
  <c r="E231" i="40"/>
  <c r="D231" i="40"/>
  <c r="C231" i="40"/>
  <c r="B231" i="40"/>
  <c r="F230" i="40"/>
  <c r="E230" i="40"/>
  <c r="D230" i="40"/>
  <c r="C230" i="40"/>
  <c r="B230" i="40"/>
  <c r="F229" i="40"/>
  <c r="E229" i="40"/>
  <c r="D229" i="40"/>
  <c r="C229" i="40"/>
  <c r="B229" i="40"/>
  <c r="F228" i="40"/>
  <c r="E228" i="40"/>
  <c r="D228" i="40"/>
  <c r="C228" i="40"/>
  <c r="B228" i="40"/>
  <c r="F227" i="40"/>
  <c r="E227" i="40"/>
  <c r="D227" i="40"/>
  <c r="C227" i="40"/>
  <c r="B227" i="40"/>
  <c r="F226" i="40"/>
  <c r="E226" i="40"/>
  <c r="D226" i="40"/>
  <c r="C226" i="40"/>
  <c r="B226" i="40"/>
  <c r="F225" i="40"/>
  <c r="E225" i="40"/>
  <c r="D225" i="40"/>
  <c r="C225" i="40"/>
  <c r="B225" i="40"/>
  <c r="F224" i="40"/>
  <c r="E224" i="40"/>
  <c r="D224" i="40"/>
  <c r="C224" i="40"/>
  <c r="B224" i="40"/>
  <c r="F223" i="40"/>
  <c r="E223" i="40"/>
  <c r="D223" i="40"/>
  <c r="C223" i="40"/>
  <c r="B223" i="40"/>
  <c r="F222" i="40"/>
  <c r="E222" i="40"/>
  <c r="D222" i="40"/>
  <c r="C222" i="40"/>
  <c r="B222" i="40"/>
  <c r="F221" i="40"/>
  <c r="E221" i="40"/>
  <c r="D221" i="40"/>
  <c r="C221" i="40"/>
  <c r="B221" i="40"/>
  <c r="F220" i="40"/>
  <c r="E220" i="40"/>
  <c r="D220" i="40"/>
  <c r="C220" i="40"/>
  <c r="B220" i="40"/>
  <c r="F219" i="40"/>
  <c r="E219" i="40"/>
  <c r="D219" i="40"/>
  <c r="C219" i="40"/>
  <c r="B219" i="40"/>
  <c r="F218" i="40"/>
  <c r="E218" i="40"/>
  <c r="D218" i="40"/>
  <c r="C218" i="40"/>
  <c r="B218" i="40"/>
  <c r="F217" i="40"/>
  <c r="E217" i="40"/>
  <c r="D217" i="40"/>
  <c r="C217" i="40"/>
  <c r="B217" i="40"/>
  <c r="F216" i="40"/>
  <c r="E216" i="40"/>
  <c r="D216" i="40"/>
  <c r="C216" i="40"/>
  <c r="B216" i="40"/>
  <c r="F215" i="40"/>
  <c r="E215" i="40"/>
  <c r="D215" i="40"/>
  <c r="C215" i="40"/>
  <c r="B215" i="40"/>
  <c r="F214" i="40"/>
  <c r="E214" i="40"/>
  <c r="D214" i="40"/>
  <c r="C214" i="40"/>
  <c r="B214" i="40"/>
  <c r="F213" i="40"/>
  <c r="E213" i="40"/>
  <c r="D213" i="40"/>
  <c r="C213" i="40"/>
  <c r="B213" i="40"/>
  <c r="F212" i="40"/>
  <c r="E212" i="40"/>
  <c r="D212" i="40"/>
  <c r="C212" i="40"/>
  <c r="B212" i="40"/>
  <c r="F211" i="40"/>
  <c r="E211" i="40"/>
  <c r="D211" i="40"/>
  <c r="C211" i="40"/>
  <c r="B211" i="40"/>
  <c r="F210" i="40"/>
  <c r="E210" i="40"/>
  <c r="D210" i="40"/>
  <c r="C210" i="40"/>
  <c r="B210" i="40"/>
  <c r="F209" i="40"/>
  <c r="E209" i="40"/>
  <c r="D209" i="40"/>
  <c r="C209" i="40"/>
  <c r="B209" i="40"/>
  <c r="F208" i="40"/>
  <c r="E208" i="40"/>
  <c r="D208" i="40"/>
  <c r="C208" i="40"/>
  <c r="B208" i="40"/>
  <c r="F207" i="40"/>
  <c r="E207" i="40"/>
  <c r="D207" i="40"/>
  <c r="C207" i="40"/>
  <c r="B207" i="40"/>
  <c r="F206" i="40"/>
  <c r="E206" i="40"/>
  <c r="D206" i="40"/>
  <c r="C206" i="40"/>
  <c r="B206" i="40"/>
  <c r="F205" i="40"/>
  <c r="E205" i="40"/>
  <c r="D205" i="40"/>
  <c r="C205" i="40"/>
  <c r="B205" i="40"/>
  <c r="F204" i="40"/>
  <c r="E204" i="40"/>
  <c r="D204" i="40"/>
  <c r="C204" i="40"/>
  <c r="B204" i="40"/>
  <c r="F203" i="40"/>
  <c r="E203" i="40"/>
  <c r="D203" i="40"/>
  <c r="C203" i="40"/>
  <c r="B203" i="40"/>
  <c r="F202" i="40"/>
  <c r="E202" i="40"/>
  <c r="D202" i="40"/>
  <c r="C202" i="40"/>
  <c r="B202" i="40"/>
  <c r="F201" i="40"/>
  <c r="E201" i="40"/>
  <c r="D201" i="40"/>
  <c r="C201" i="40"/>
  <c r="B201" i="40"/>
  <c r="F200" i="40"/>
  <c r="E200" i="40"/>
  <c r="D200" i="40"/>
  <c r="C200" i="40"/>
  <c r="B200" i="40"/>
  <c r="F199" i="40"/>
  <c r="E199" i="40"/>
  <c r="D199" i="40"/>
  <c r="C199" i="40"/>
  <c r="B199" i="40"/>
  <c r="F198" i="40"/>
  <c r="E198" i="40"/>
  <c r="D198" i="40"/>
  <c r="C198" i="40"/>
  <c r="B198" i="40"/>
  <c r="F197" i="40"/>
  <c r="E197" i="40"/>
  <c r="D197" i="40"/>
  <c r="C197" i="40"/>
  <c r="B197" i="40"/>
  <c r="F196" i="40"/>
  <c r="E196" i="40"/>
  <c r="D196" i="40"/>
  <c r="C196" i="40"/>
  <c r="B196" i="40"/>
  <c r="F195" i="40"/>
  <c r="E195" i="40"/>
  <c r="D195" i="40"/>
  <c r="C195" i="40"/>
  <c r="B195" i="40"/>
  <c r="F194" i="40"/>
  <c r="E194" i="40"/>
  <c r="D194" i="40"/>
  <c r="C194" i="40"/>
  <c r="B194" i="40"/>
  <c r="F193" i="40"/>
  <c r="E193" i="40"/>
  <c r="D193" i="40"/>
  <c r="C193" i="40"/>
  <c r="B193" i="40"/>
  <c r="F192" i="40"/>
  <c r="E192" i="40"/>
  <c r="D192" i="40"/>
  <c r="C192" i="40"/>
  <c r="B192" i="40"/>
  <c r="F191" i="40"/>
  <c r="E191" i="40"/>
  <c r="D191" i="40"/>
  <c r="C191" i="40"/>
  <c r="B191" i="40"/>
  <c r="F190" i="40"/>
  <c r="E190" i="40"/>
  <c r="D190" i="40"/>
  <c r="C190" i="40"/>
  <c r="B190" i="40"/>
  <c r="F189" i="40"/>
  <c r="E189" i="40"/>
  <c r="D189" i="40"/>
  <c r="C189" i="40"/>
  <c r="B189" i="40"/>
  <c r="F188" i="40"/>
  <c r="E188" i="40"/>
  <c r="D188" i="40"/>
  <c r="C188" i="40"/>
  <c r="B188" i="40"/>
  <c r="F187" i="40"/>
  <c r="E187" i="40"/>
  <c r="D187" i="40"/>
  <c r="C187" i="40"/>
  <c r="B187" i="40"/>
  <c r="F186" i="40"/>
  <c r="E186" i="40"/>
  <c r="D186" i="40"/>
  <c r="C186" i="40"/>
  <c r="B186" i="40"/>
  <c r="F185" i="40"/>
  <c r="E185" i="40"/>
  <c r="D185" i="40"/>
  <c r="C185" i="40"/>
  <c r="B185" i="40"/>
  <c r="F184" i="40"/>
  <c r="E184" i="40"/>
  <c r="D184" i="40"/>
  <c r="C184" i="40"/>
  <c r="B184" i="40"/>
  <c r="F183" i="40"/>
  <c r="E183" i="40"/>
  <c r="D183" i="40"/>
  <c r="C183" i="40"/>
  <c r="B183" i="40"/>
  <c r="F182" i="40"/>
  <c r="E182" i="40"/>
  <c r="D182" i="40"/>
  <c r="C182" i="40"/>
  <c r="B182" i="40"/>
  <c r="F181" i="40"/>
  <c r="E181" i="40"/>
  <c r="D181" i="40"/>
  <c r="C181" i="40"/>
  <c r="B181" i="40"/>
  <c r="F180" i="40"/>
  <c r="E180" i="40"/>
  <c r="D180" i="40"/>
  <c r="C180" i="40"/>
  <c r="B180" i="40"/>
  <c r="F179" i="40"/>
  <c r="E179" i="40"/>
  <c r="D179" i="40"/>
  <c r="C179" i="40"/>
  <c r="B179" i="40"/>
  <c r="F178" i="40"/>
  <c r="E178" i="40"/>
  <c r="D178" i="40"/>
  <c r="C178" i="40"/>
  <c r="B178" i="40"/>
  <c r="F177" i="40"/>
  <c r="E177" i="40"/>
  <c r="D177" i="40"/>
  <c r="C177" i="40"/>
  <c r="B177" i="40"/>
  <c r="F176" i="40"/>
  <c r="E176" i="40"/>
  <c r="D176" i="40"/>
  <c r="C176" i="40"/>
  <c r="B176" i="40"/>
  <c r="F175" i="40"/>
  <c r="E175" i="40"/>
  <c r="D175" i="40"/>
  <c r="C175" i="40"/>
  <c r="B175" i="40"/>
  <c r="F174" i="40"/>
  <c r="E174" i="40"/>
  <c r="D174" i="40"/>
  <c r="C174" i="40"/>
  <c r="B174" i="40"/>
  <c r="F173" i="40"/>
  <c r="E173" i="40"/>
  <c r="D173" i="40"/>
  <c r="C173" i="40"/>
  <c r="B173" i="40"/>
  <c r="F172" i="40"/>
  <c r="E172" i="40"/>
  <c r="D172" i="40"/>
  <c r="C172" i="40"/>
  <c r="B172" i="40"/>
  <c r="F171" i="40"/>
  <c r="E171" i="40"/>
  <c r="D171" i="40"/>
  <c r="C171" i="40"/>
  <c r="B171" i="40"/>
  <c r="F170" i="40"/>
  <c r="E170" i="40"/>
  <c r="D170" i="40"/>
  <c r="C170" i="40"/>
  <c r="B170" i="40"/>
  <c r="F169" i="40"/>
  <c r="E169" i="40"/>
  <c r="D169" i="40"/>
  <c r="C169" i="40"/>
  <c r="B169" i="40"/>
  <c r="F168" i="40"/>
  <c r="E168" i="40"/>
  <c r="D168" i="40"/>
  <c r="C168" i="40"/>
  <c r="B168" i="40"/>
  <c r="F167" i="40"/>
  <c r="E167" i="40"/>
  <c r="D167" i="40"/>
  <c r="C167" i="40"/>
  <c r="B167" i="40"/>
  <c r="F166" i="40"/>
  <c r="E166" i="40"/>
  <c r="D166" i="40"/>
  <c r="C166" i="40"/>
  <c r="B166" i="40"/>
  <c r="F165" i="40"/>
  <c r="E165" i="40"/>
  <c r="D165" i="40"/>
  <c r="C165" i="40"/>
  <c r="B165" i="40"/>
  <c r="F164" i="40"/>
  <c r="E164" i="40"/>
  <c r="D164" i="40"/>
  <c r="C164" i="40"/>
  <c r="B164" i="40"/>
  <c r="F163" i="40"/>
  <c r="E163" i="40"/>
  <c r="D163" i="40"/>
  <c r="C163" i="40"/>
  <c r="B163" i="40"/>
  <c r="F162" i="40"/>
  <c r="E162" i="40"/>
  <c r="D162" i="40"/>
  <c r="C162" i="40"/>
  <c r="B162" i="40"/>
  <c r="F161" i="40"/>
  <c r="E161" i="40"/>
  <c r="D161" i="40"/>
  <c r="C161" i="40"/>
  <c r="B161" i="40"/>
  <c r="F160" i="40"/>
  <c r="E160" i="40"/>
  <c r="D160" i="40"/>
  <c r="C160" i="40"/>
  <c r="B160" i="40"/>
  <c r="F159" i="40"/>
  <c r="E159" i="40"/>
  <c r="D159" i="40"/>
  <c r="C159" i="40"/>
  <c r="B159" i="40"/>
  <c r="F158" i="40"/>
  <c r="E158" i="40"/>
  <c r="D158" i="40"/>
  <c r="C158" i="40"/>
  <c r="B158" i="40"/>
  <c r="F157" i="40"/>
  <c r="E157" i="40"/>
  <c r="D157" i="40"/>
  <c r="C157" i="40"/>
  <c r="B157" i="40"/>
  <c r="F156" i="40"/>
  <c r="E156" i="40"/>
  <c r="D156" i="40"/>
  <c r="C156" i="40"/>
  <c r="B156" i="40"/>
  <c r="F155" i="40"/>
  <c r="E155" i="40"/>
  <c r="D155" i="40"/>
  <c r="C155" i="40"/>
  <c r="B155" i="40"/>
  <c r="F154" i="40"/>
  <c r="E154" i="40"/>
  <c r="D154" i="40"/>
  <c r="C154" i="40"/>
  <c r="B154" i="40"/>
  <c r="F153" i="40"/>
  <c r="E153" i="40"/>
  <c r="D153" i="40"/>
  <c r="C153" i="40"/>
  <c r="B153" i="40"/>
  <c r="F152" i="40"/>
  <c r="E152" i="40"/>
  <c r="D152" i="40"/>
  <c r="C152" i="40"/>
  <c r="B152" i="40"/>
  <c r="F151" i="40"/>
  <c r="E151" i="40"/>
  <c r="D151" i="40"/>
  <c r="C151" i="40"/>
  <c r="B151" i="40"/>
  <c r="F150" i="40"/>
  <c r="E150" i="40"/>
  <c r="D150" i="40"/>
  <c r="C150" i="40"/>
  <c r="B150" i="40"/>
  <c r="F149" i="40"/>
  <c r="E149" i="40"/>
  <c r="D149" i="40"/>
  <c r="C149" i="40"/>
  <c r="B149" i="40"/>
  <c r="F148" i="40"/>
  <c r="E148" i="40"/>
  <c r="D148" i="40"/>
  <c r="C148" i="40"/>
  <c r="B148" i="40"/>
  <c r="F147" i="40"/>
  <c r="E147" i="40"/>
  <c r="D147" i="40"/>
  <c r="C147" i="40"/>
  <c r="B147" i="40"/>
  <c r="F146" i="40"/>
  <c r="E146" i="40"/>
  <c r="D146" i="40"/>
  <c r="C146" i="40"/>
  <c r="B146" i="40"/>
  <c r="F145" i="40"/>
  <c r="E145" i="40"/>
  <c r="D145" i="40"/>
  <c r="C145" i="40"/>
  <c r="B145" i="40"/>
  <c r="F144" i="40"/>
  <c r="E144" i="40"/>
  <c r="D144" i="40"/>
  <c r="C144" i="40"/>
  <c r="B144" i="40"/>
  <c r="F143" i="40"/>
  <c r="E143" i="40"/>
  <c r="D143" i="40"/>
  <c r="C143" i="40"/>
  <c r="B143" i="40"/>
  <c r="F142" i="40"/>
  <c r="E142" i="40"/>
  <c r="D142" i="40"/>
  <c r="C142" i="40"/>
  <c r="B142" i="40"/>
  <c r="F141" i="40"/>
  <c r="E141" i="40"/>
  <c r="D141" i="40"/>
  <c r="C141" i="40"/>
  <c r="B141" i="40"/>
  <c r="F140" i="40"/>
  <c r="E140" i="40"/>
  <c r="D140" i="40"/>
  <c r="C140" i="40"/>
  <c r="B140" i="40"/>
  <c r="F139" i="40"/>
  <c r="E139" i="40"/>
  <c r="D139" i="40"/>
  <c r="C139" i="40"/>
  <c r="B139" i="40"/>
  <c r="F138" i="40"/>
  <c r="E138" i="40"/>
  <c r="D138" i="40"/>
  <c r="C138" i="40"/>
  <c r="B138" i="40"/>
  <c r="F137" i="40"/>
  <c r="E137" i="40"/>
  <c r="D137" i="40"/>
  <c r="C137" i="40"/>
  <c r="B137" i="40"/>
  <c r="F136" i="40"/>
  <c r="E136" i="40"/>
  <c r="D136" i="40"/>
  <c r="C136" i="40"/>
  <c r="B136" i="40"/>
  <c r="F135" i="40"/>
  <c r="E135" i="40"/>
  <c r="D135" i="40"/>
  <c r="C135" i="40"/>
  <c r="B135" i="40"/>
  <c r="F134" i="40"/>
  <c r="E134" i="40"/>
  <c r="D134" i="40"/>
  <c r="C134" i="40"/>
  <c r="B134" i="40"/>
  <c r="F133" i="40"/>
  <c r="E133" i="40"/>
  <c r="D133" i="40"/>
  <c r="C133" i="40"/>
  <c r="B133" i="40"/>
  <c r="F132" i="40"/>
  <c r="E132" i="40"/>
  <c r="D132" i="40"/>
  <c r="C132" i="40"/>
  <c r="B132" i="40"/>
  <c r="F131" i="40"/>
  <c r="E131" i="40"/>
  <c r="D131" i="40"/>
  <c r="C131" i="40"/>
  <c r="B131" i="40"/>
  <c r="F130" i="40"/>
  <c r="E130" i="40"/>
  <c r="D130" i="40"/>
  <c r="C130" i="40"/>
  <c r="B130" i="40"/>
  <c r="F129" i="40"/>
  <c r="E129" i="40"/>
  <c r="D129" i="40"/>
  <c r="C129" i="40"/>
  <c r="B129" i="40"/>
  <c r="F128" i="40"/>
  <c r="E128" i="40"/>
  <c r="D128" i="40"/>
  <c r="C128" i="40"/>
  <c r="B128" i="40"/>
  <c r="F127" i="40"/>
  <c r="E127" i="40"/>
  <c r="D127" i="40"/>
  <c r="C127" i="40"/>
  <c r="B127" i="40"/>
  <c r="F126" i="40"/>
  <c r="E126" i="40"/>
  <c r="D126" i="40"/>
  <c r="C126" i="40"/>
  <c r="B126" i="40"/>
  <c r="F125" i="40"/>
  <c r="E125" i="40"/>
  <c r="D125" i="40"/>
  <c r="C125" i="40"/>
  <c r="B125" i="40"/>
  <c r="F124" i="40"/>
  <c r="E124" i="40"/>
  <c r="D124" i="40"/>
  <c r="C124" i="40"/>
  <c r="B124" i="40"/>
  <c r="F123" i="40"/>
  <c r="E123" i="40"/>
  <c r="D123" i="40"/>
  <c r="C123" i="40"/>
  <c r="B123" i="40"/>
  <c r="F122" i="40"/>
  <c r="E122" i="40"/>
  <c r="D122" i="40"/>
  <c r="C122" i="40"/>
  <c r="B122" i="40"/>
  <c r="F121" i="40"/>
  <c r="E121" i="40"/>
  <c r="D121" i="40"/>
  <c r="C121" i="40"/>
  <c r="B121" i="40"/>
  <c r="F120" i="40"/>
  <c r="E120" i="40"/>
  <c r="D120" i="40"/>
  <c r="C120" i="40"/>
  <c r="B120" i="40"/>
  <c r="F119" i="40"/>
  <c r="E119" i="40"/>
  <c r="D119" i="40"/>
  <c r="C119" i="40"/>
  <c r="B119" i="40"/>
  <c r="F118" i="40"/>
  <c r="E118" i="40"/>
  <c r="D118" i="40"/>
  <c r="C118" i="40"/>
  <c r="B118" i="40"/>
  <c r="F117" i="40"/>
  <c r="E117" i="40"/>
  <c r="D117" i="40"/>
  <c r="C117" i="40"/>
  <c r="B117" i="40"/>
  <c r="F116" i="40"/>
  <c r="E116" i="40"/>
  <c r="D116" i="40"/>
  <c r="C116" i="40"/>
  <c r="B116" i="40"/>
  <c r="F115" i="40"/>
  <c r="E115" i="40"/>
  <c r="D115" i="40"/>
  <c r="C115" i="40"/>
  <c r="B115" i="40"/>
  <c r="F114" i="40"/>
  <c r="E114" i="40"/>
  <c r="D114" i="40"/>
  <c r="C114" i="40"/>
  <c r="B114" i="40"/>
  <c r="F113" i="40"/>
  <c r="E113" i="40"/>
  <c r="D113" i="40"/>
  <c r="C113" i="40"/>
  <c r="B113" i="40"/>
  <c r="F112" i="40"/>
  <c r="E112" i="40"/>
  <c r="D112" i="40"/>
  <c r="C112" i="40"/>
  <c r="B112" i="40"/>
  <c r="F111" i="40"/>
  <c r="E111" i="40"/>
  <c r="D111" i="40"/>
  <c r="C111" i="40"/>
  <c r="B111" i="40"/>
  <c r="F110" i="40"/>
  <c r="E110" i="40"/>
  <c r="D110" i="40"/>
  <c r="C110" i="40"/>
  <c r="B110" i="40"/>
  <c r="F109" i="40"/>
  <c r="E109" i="40"/>
  <c r="D109" i="40"/>
  <c r="C109" i="40"/>
  <c r="B109" i="40"/>
  <c r="F108" i="40"/>
  <c r="E108" i="40"/>
  <c r="D108" i="40"/>
  <c r="C108" i="40"/>
  <c r="B108" i="40"/>
  <c r="F107" i="40"/>
  <c r="E107" i="40"/>
  <c r="D107" i="40"/>
  <c r="C107" i="40"/>
  <c r="B107" i="40"/>
  <c r="F106" i="40"/>
  <c r="E106" i="40"/>
  <c r="D106" i="40"/>
  <c r="C106" i="40"/>
  <c r="B106" i="40"/>
  <c r="F105" i="40"/>
  <c r="E105" i="40"/>
  <c r="D105" i="40"/>
  <c r="C105" i="40"/>
  <c r="B105" i="40"/>
  <c r="F104" i="40"/>
  <c r="E104" i="40"/>
  <c r="D104" i="40"/>
  <c r="C104" i="40"/>
  <c r="B104" i="40"/>
  <c r="F103" i="40"/>
  <c r="E103" i="40"/>
  <c r="D103" i="40"/>
  <c r="C103" i="40"/>
  <c r="B103" i="40"/>
  <c r="F102" i="40"/>
  <c r="E102" i="40"/>
  <c r="D102" i="40"/>
  <c r="C102" i="40"/>
  <c r="B102" i="40"/>
  <c r="F101" i="40"/>
  <c r="E101" i="40"/>
  <c r="D101" i="40"/>
  <c r="C101" i="40"/>
  <c r="B101" i="40"/>
  <c r="F100" i="40"/>
  <c r="E100" i="40"/>
  <c r="D100" i="40"/>
  <c r="C100" i="40"/>
  <c r="B100" i="40"/>
  <c r="F99" i="40"/>
  <c r="E99" i="40"/>
  <c r="D99" i="40"/>
  <c r="C99" i="40"/>
  <c r="B99" i="40"/>
  <c r="F98" i="40"/>
  <c r="E98" i="40"/>
  <c r="D98" i="40"/>
  <c r="C98" i="40"/>
  <c r="B98" i="40"/>
  <c r="F97" i="40"/>
  <c r="E97" i="40"/>
  <c r="D97" i="40"/>
  <c r="C97" i="40"/>
  <c r="B97" i="40"/>
  <c r="F96" i="40"/>
  <c r="E96" i="40"/>
  <c r="D96" i="40"/>
  <c r="C96" i="40"/>
  <c r="B96" i="40"/>
  <c r="F95" i="40"/>
  <c r="E95" i="40"/>
  <c r="D95" i="40"/>
  <c r="C95" i="40"/>
  <c r="B95" i="40"/>
  <c r="F94" i="40"/>
  <c r="E94" i="40"/>
  <c r="D94" i="40"/>
  <c r="C94" i="40"/>
  <c r="B94" i="40"/>
  <c r="F93" i="40"/>
  <c r="E93" i="40"/>
  <c r="D93" i="40"/>
  <c r="C93" i="40"/>
  <c r="B93" i="40"/>
  <c r="F92" i="40"/>
  <c r="E92" i="40"/>
  <c r="D92" i="40"/>
  <c r="C92" i="40"/>
  <c r="B92" i="40"/>
  <c r="F91" i="40"/>
  <c r="E91" i="40"/>
  <c r="D91" i="40"/>
  <c r="C91" i="40"/>
  <c r="B91" i="40"/>
  <c r="F90" i="40"/>
  <c r="E90" i="40"/>
  <c r="D90" i="40"/>
  <c r="C90" i="40"/>
  <c r="B90" i="40"/>
  <c r="F89" i="40"/>
  <c r="E89" i="40"/>
  <c r="D89" i="40"/>
  <c r="C89" i="40"/>
  <c r="B89" i="40"/>
  <c r="F88" i="40"/>
  <c r="E88" i="40"/>
  <c r="D88" i="40"/>
  <c r="C88" i="40"/>
  <c r="B88" i="40"/>
  <c r="F87" i="40"/>
  <c r="E87" i="40"/>
  <c r="D87" i="40"/>
  <c r="C87" i="40"/>
  <c r="B87" i="40"/>
  <c r="F86" i="40"/>
  <c r="E86" i="40"/>
  <c r="D86" i="40"/>
  <c r="C86" i="40"/>
  <c r="B86" i="40"/>
  <c r="F85" i="40"/>
  <c r="E85" i="40"/>
  <c r="D85" i="40"/>
  <c r="C85" i="40"/>
  <c r="B85" i="40"/>
  <c r="F84" i="40"/>
  <c r="E84" i="40"/>
  <c r="D84" i="40"/>
  <c r="C84" i="40"/>
  <c r="B84" i="40"/>
  <c r="F83" i="40"/>
  <c r="E83" i="40"/>
  <c r="D83" i="40"/>
  <c r="C83" i="40"/>
  <c r="B83" i="40"/>
  <c r="F82" i="40"/>
  <c r="E82" i="40"/>
  <c r="D82" i="40"/>
  <c r="C82" i="40"/>
  <c r="B82" i="40"/>
  <c r="F81" i="40"/>
  <c r="E81" i="40"/>
  <c r="D81" i="40"/>
  <c r="C81" i="40"/>
  <c r="B81" i="40"/>
  <c r="F80" i="40"/>
  <c r="E80" i="40"/>
  <c r="D80" i="40"/>
  <c r="C80" i="40"/>
  <c r="B80" i="40"/>
  <c r="F79" i="40"/>
  <c r="E79" i="40"/>
  <c r="D79" i="40"/>
  <c r="C79" i="40"/>
  <c r="B79" i="40"/>
  <c r="F78" i="40"/>
  <c r="E78" i="40"/>
  <c r="D78" i="40"/>
  <c r="C78" i="40"/>
  <c r="B78" i="40"/>
  <c r="F77" i="40"/>
  <c r="E77" i="40"/>
  <c r="D77" i="40"/>
  <c r="C77" i="40"/>
  <c r="B77" i="40"/>
  <c r="F76" i="40"/>
  <c r="E76" i="40"/>
  <c r="D76" i="40"/>
  <c r="C76" i="40"/>
  <c r="B76" i="40"/>
  <c r="F75" i="40"/>
  <c r="E75" i="40"/>
  <c r="D75" i="40"/>
  <c r="C75" i="40"/>
  <c r="B75" i="40"/>
  <c r="F74" i="40"/>
  <c r="E74" i="40"/>
  <c r="D74" i="40"/>
  <c r="C74" i="40"/>
  <c r="B74" i="40"/>
  <c r="F73" i="40"/>
  <c r="E73" i="40"/>
  <c r="D73" i="40"/>
  <c r="C73" i="40"/>
  <c r="B73" i="40"/>
  <c r="F72" i="40"/>
  <c r="E72" i="40"/>
  <c r="D72" i="40"/>
  <c r="C72" i="40"/>
  <c r="B72" i="40"/>
  <c r="F71" i="40"/>
  <c r="E71" i="40"/>
  <c r="D71" i="40"/>
  <c r="C71" i="40"/>
  <c r="B71" i="40"/>
  <c r="F70" i="40"/>
  <c r="E70" i="40"/>
  <c r="D70" i="40"/>
  <c r="C70" i="40"/>
  <c r="B70" i="40"/>
  <c r="F69" i="40"/>
  <c r="E69" i="40"/>
  <c r="D69" i="40"/>
  <c r="C69" i="40"/>
  <c r="B69" i="40"/>
  <c r="F68" i="40"/>
  <c r="E68" i="40"/>
  <c r="D68" i="40"/>
  <c r="C68" i="40"/>
  <c r="B68" i="40"/>
  <c r="F67" i="40"/>
  <c r="E67" i="40"/>
  <c r="D67" i="40"/>
  <c r="C67" i="40"/>
  <c r="B67" i="40"/>
  <c r="F66" i="40"/>
  <c r="E66" i="40"/>
  <c r="D66" i="40"/>
  <c r="C66" i="40"/>
  <c r="B66" i="40"/>
  <c r="F65" i="40"/>
  <c r="E65" i="40"/>
  <c r="D65" i="40"/>
  <c r="C65" i="40"/>
  <c r="B65" i="40"/>
  <c r="F64" i="40"/>
  <c r="E64" i="40"/>
  <c r="D64" i="40"/>
  <c r="C64" i="40"/>
  <c r="B64" i="40"/>
  <c r="F63" i="40"/>
  <c r="E63" i="40"/>
  <c r="D63" i="40"/>
  <c r="C63" i="40"/>
  <c r="B63" i="40"/>
  <c r="F62" i="40"/>
  <c r="E62" i="40"/>
  <c r="D62" i="40"/>
  <c r="C62" i="40"/>
  <c r="B62" i="40"/>
  <c r="F61" i="40"/>
  <c r="E61" i="40"/>
  <c r="D61" i="40"/>
  <c r="C61" i="40"/>
  <c r="B61" i="40"/>
  <c r="F60" i="40"/>
  <c r="E60" i="40"/>
  <c r="D60" i="40"/>
  <c r="C60" i="40"/>
  <c r="B60" i="40"/>
  <c r="F59" i="40"/>
  <c r="E59" i="40"/>
  <c r="D59" i="40"/>
  <c r="C59" i="40"/>
  <c r="B59" i="40"/>
  <c r="F58" i="40"/>
  <c r="E58" i="40"/>
  <c r="D58" i="40"/>
  <c r="C58" i="40"/>
  <c r="B58" i="40"/>
  <c r="F57" i="40"/>
  <c r="E57" i="40"/>
  <c r="D57" i="40"/>
  <c r="C57" i="40"/>
  <c r="B57" i="40"/>
  <c r="F56" i="40"/>
  <c r="E56" i="40"/>
  <c r="D56" i="40"/>
  <c r="C56" i="40"/>
  <c r="B56" i="40"/>
  <c r="F55" i="40"/>
  <c r="E55" i="40"/>
  <c r="D55" i="40"/>
  <c r="C55" i="40"/>
  <c r="B55" i="40"/>
  <c r="F54" i="40"/>
  <c r="E54" i="40"/>
  <c r="D54" i="40"/>
  <c r="C54" i="40"/>
  <c r="B54" i="40"/>
  <c r="F53" i="40"/>
  <c r="E53" i="40"/>
  <c r="D53" i="40"/>
  <c r="C53" i="40"/>
  <c r="B53" i="40"/>
  <c r="F52" i="40"/>
  <c r="E52" i="40"/>
  <c r="D52" i="40"/>
  <c r="C52" i="40"/>
  <c r="B52" i="40"/>
  <c r="F51" i="40"/>
  <c r="E51" i="40"/>
  <c r="D51" i="40"/>
  <c r="C51" i="40"/>
  <c r="B51" i="40"/>
  <c r="F50" i="40"/>
  <c r="E50" i="40"/>
  <c r="D50" i="40"/>
  <c r="C50" i="40"/>
  <c r="B50" i="40"/>
  <c r="F49" i="40"/>
  <c r="E49" i="40"/>
  <c r="D49" i="40"/>
  <c r="C49" i="40"/>
  <c r="B49" i="40"/>
  <c r="A306" i="40"/>
  <c r="G306" i="41"/>
  <c r="F306" i="41"/>
  <c r="E306" i="41"/>
  <c r="D306" i="41"/>
  <c r="C306" i="41"/>
  <c r="B306" i="41"/>
  <c r="G305" i="41"/>
  <c r="F305" i="41"/>
  <c r="E305" i="41"/>
  <c r="D305" i="41"/>
  <c r="C305" i="41"/>
  <c r="B305" i="41"/>
  <c r="G304" i="41"/>
  <c r="F304" i="41"/>
  <c r="E304" i="41"/>
  <c r="D304" i="41"/>
  <c r="C304" i="41"/>
  <c r="B304" i="41"/>
  <c r="G303" i="41"/>
  <c r="F303" i="41"/>
  <c r="E303" i="41"/>
  <c r="D303" i="41"/>
  <c r="C303" i="41"/>
  <c r="B303" i="41"/>
  <c r="G302" i="41"/>
  <c r="F302" i="41"/>
  <c r="E302" i="41"/>
  <c r="D302" i="41"/>
  <c r="C302" i="41"/>
  <c r="B302" i="41"/>
  <c r="G301" i="41"/>
  <c r="F301" i="41"/>
  <c r="E301" i="41"/>
  <c r="D301" i="41"/>
  <c r="C301" i="41"/>
  <c r="B301" i="41"/>
  <c r="G300" i="41"/>
  <c r="F300" i="41"/>
  <c r="E300" i="41"/>
  <c r="D300" i="41"/>
  <c r="C300" i="41"/>
  <c r="B300" i="41"/>
  <c r="G299" i="41"/>
  <c r="F299" i="41"/>
  <c r="E299" i="41"/>
  <c r="D299" i="41"/>
  <c r="C299" i="41"/>
  <c r="B299" i="41"/>
  <c r="G298" i="41"/>
  <c r="F298" i="41"/>
  <c r="E298" i="41"/>
  <c r="D298" i="41"/>
  <c r="C298" i="41"/>
  <c r="B298" i="41"/>
  <c r="G297" i="41"/>
  <c r="F297" i="41"/>
  <c r="E297" i="41"/>
  <c r="D297" i="41"/>
  <c r="C297" i="41"/>
  <c r="B297" i="41"/>
  <c r="G296" i="41"/>
  <c r="F296" i="41"/>
  <c r="E296" i="41"/>
  <c r="D296" i="41"/>
  <c r="C296" i="41"/>
  <c r="B296" i="41"/>
  <c r="G295" i="41"/>
  <c r="F295" i="41"/>
  <c r="E295" i="41"/>
  <c r="D295" i="41"/>
  <c r="C295" i="41"/>
  <c r="B295" i="41"/>
  <c r="G294" i="41"/>
  <c r="F294" i="41"/>
  <c r="E294" i="41"/>
  <c r="D294" i="41"/>
  <c r="C294" i="41"/>
  <c r="B294" i="41"/>
  <c r="G293" i="41"/>
  <c r="F293" i="41"/>
  <c r="E293" i="41"/>
  <c r="D293" i="41"/>
  <c r="C293" i="41"/>
  <c r="B293" i="41"/>
  <c r="G292" i="41"/>
  <c r="F292" i="41"/>
  <c r="E292" i="41"/>
  <c r="D292" i="41"/>
  <c r="C292" i="41"/>
  <c r="B292" i="41"/>
  <c r="G291" i="41"/>
  <c r="F291" i="41"/>
  <c r="E291" i="41"/>
  <c r="D291" i="41"/>
  <c r="C291" i="41"/>
  <c r="B291" i="41"/>
  <c r="G290" i="41"/>
  <c r="F290" i="41"/>
  <c r="E290" i="41"/>
  <c r="D290" i="41"/>
  <c r="C290" i="41"/>
  <c r="B290" i="41"/>
  <c r="G289" i="41"/>
  <c r="F289" i="41"/>
  <c r="E289" i="41"/>
  <c r="D289" i="41"/>
  <c r="C289" i="41"/>
  <c r="B289" i="41"/>
  <c r="G288" i="41"/>
  <c r="F288" i="41"/>
  <c r="E288" i="41"/>
  <c r="D288" i="41"/>
  <c r="C288" i="41"/>
  <c r="B288" i="41"/>
  <c r="G287" i="41"/>
  <c r="F287" i="41"/>
  <c r="E287" i="41"/>
  <c r="D287" i="41"/>
  <c r="C287" i="41"/>
  <c r="B287" i="41"/>
  <c r="G286" i="41"/>
  <c r="F286" i="41"/>
  <c r="E286" i="41"/>
  <c r="D286" i="41"/>
  <c r="C286" i="41"/>
  <c r="B286" i="41"/>
  <c r="G285" i="41"/>
  <c r="F285" i="41"/>
  <c r="E285" i="41"/>
  <c r="D285" i="41"/>
  <c r="C285" i="41"/>
  <c r="B285" i="41"/>
  <c r="G284" i="41"/>
  <c r="F284" i="41"/>
  <c r="E284" i="41"/>
  <c r="D284" i="41"/>
  <c r="C284" i="41"/>
  <c r="B284" i="41"/>
  <c r="G283" i="41"/>
  <c r="F283" i="41"/>
  <c r="E283" i="41"/>
  <c r="D283" i="41"/>
  <c r="C283" i="41"/>
  <c r="B283" i="41"/>
  <c r="G282" i="41"/>
  <c r="F282" i="41"/>
  <c r="E282" i="41"/>
  <c r="D282" i="41"/>
  <c r="C282" i="41"/>
  <c r="B282" i="41"/>
  <c r="G281" i="41"/>
  <c r="F281" i="41"/>
  <c r="E281" i="41"/>
  <c r="D281" i="41"/>
  <c r="C281" i="41"/>
  <c r="B281" i="41"/>
  <c r="G280" i="41"/>
  <c r="F280" i="41"/>
  <c r="E280" i="41"/>
  <c r="D280" i="41"/>
  <c r="C280" i="41"/>
  <c r="B280" i="41"/>
  <c r="G279" i="41"/>
  <c r="F279" i="41"/>
  <c r="E279" i="41"/>
  <c r="D279" i="41"/>
  <c r="C279" i="41"/>
  <c r="B279" i="41"/>
  <c r="G278" i="41"/>
  <c r="F278" i="41"/>
  <c r="E278" i="41"/>
  <c r="D278" i="41"/>
  <c r="C278" i="41"/>
  <c r="B278" i="41"/>
  <c r="G277" i="41"/>
  <c r="F277" i="41"/>
  <c r="E277" i="41"/>
  <c r="D277" i="41"/>
  <c r="C277" i="41"/>
  <c r="B277" i="41"/>
  <c r="G276" i="41"/>
  <c r="F276" i="41"/>
  <c r="E276" i="41"/>
  <c r="D276" i="41"/>
  <c r="C276" i="41"/>
  <c r="B276" i="41"/>
  <c r="G275" i="41"/>
  <c r="F275" i="41"/>
  <c r="E275" i="41"/>
  <c r="D275" i="41"/>
  <c r="C275" i="41"/>
  <c r="B275" i="41"/>
  <c r="G274" i="41"/>
  <c r="F274" i="41"/>
  <c r="E274" i="41"/>
  <c r="D274" i="41"/>
  <c r="C274" i="41"/>
  <c r="B274" i="41"/>
  <c r="G273" i="41"/>
  <c r="F273" i="41"/>
  <c r="E273" i="41"/>
  <c r="D273" i="41"/>
  <c r="C273" i="41"/>
  <c r="B273" i="41"/>
  <c r="G272" i="41"/>
  <c r="F272" i="41"/>
  <c r="E272" i="41"/>
  <c r="D272" i="41"/>
  <c r="C272" i="41"/>
  <c r="B272" i="41"/>
  <c r="G271" i="41"/>
  <c r="F271" i="41"/>
  <c r="E271" i="41"/>
  <c r="D271" i="41"/>
  <c r="C271" i="41"/>
  <c r="B271" i="41"/>
  <c r="G270" i="41"/>
  <c r="F270" i="41"/>
  <c r="E270" i="41"/>
  <c r="D270" i="41"/>
  <c r="C270" i="41"/>
  <c r="B270" i="41"/>
  <c r="G269" i="41"/>
  <c r="F269" i="41"/>
  <c r="E269" i="41"/>
  <c r="D269" i="41"/>
  <c r="C269" i="41"/>
  <c r="B269" i="41"/>
  <c r="G268" i="41"/>
  <c r="F268" i="41"/>
  <c r="E268" i="41"/>
  <c r="D268" i="41"/>
  <c r="C268" i="41"/>
  <c r="B268" i="41"/>
  <c r="G267" i="41"/>
  <c r="F267" i="41"/>
  <c r="E267" i="41"/>
  <c r="D267" i="41"/>
  <c r="C267" i="41"/>
  <c r="B267" i="41"/>
  <c r="G266" i="41"/>
  <c r="F266" i="41"/>
  <c r="E266" i="41"/>
  <c r="D266" i="41"/>
  <c r="C266" i="41"/>
  <c r="B266" i="41"/>
  <c r="G265" i="41"/>
  <c r="F265" i="41"/>
  <c r="E265" i="41"/>
  <c r="D265" i="41"/>
  <c r="C265" i="41"/>
  <c r="B265" i="41"/>
  <c r="G264" i="41"/>
  <c r="F264" i="41"/>
  <c r="E264" i="41"/>
  <c r="D264" i="41"/>
  <c r="C264" i="41"/>
  <c r="B264" i="41"/>
  <c r="G263" i="41"/>
  <c r="F263" i="41"/>
  <c r="E263" i="41"/>
  <c r="D263" i="41"/>
  <c r="C263" i="41"/>
  <c r="B263" i="41"/>
  <c r="G262" i="41"/>
  <c r="F262" i="41"/>
  <c r="E262" i="41"/>
  <c r="D262" i="41"/>
  <c r="C262" i="41"/>
  <c r="B262" i="41"/>
  <c r="G261" i="41"/>
  <c r="F261" i="41"/>
  <c r="E261" i="41"/>
  <c r="D261" i="41"/>
  <c r="C261" i="41"/>
  <c r="B261" i="41"/>
  <c r="G260" i="41"/>
  <c r="F260" i="41"/>
  <c r="E260" i="41"/>
  <c r="D260" i="41"/>
  <c r="C260" i="41"/>
  <c r="B260" i="41"/>
  <c r="G259" i="41"/>
  <c r="F259" i="41"/>
  <c r="E259" i="41"/>
  <c r="D259" i="41"/>
  <c r="C259" i="41"/>
  <c r="B259" i="41"/>
  <c r="G258" i="41"/>
  <c r="F258" i="41"/>
  <c r="E258" i="41"/>
  <c r="D258" i="41"/>
  <c r="C258" i="41"/>
  <c r="B258" i="41"/>
  <c r="G257" i="41"/>
  <c r="F257" i="41"/>
  <c r="E257" i="41"/>
  <c r="D257" i="41"/>
  <c r="C257" i="41"/>
  <c r="B257" i="41"/>
  <c r="G256" i="41"/>
  <c r="F256" i="41"/>
  <c r="E256" i="41"/>
  <c r="D256" i="41"/>
  <c r="C256" i="41"/>
  <c r="B256" i="41"/>
  <c r="G255" i="41"/>
  <c r="F255" i="41"/>
  <c r="E255" i="41"/>
  <c r="D255" i="41"/>
  <c r="C255" i="41"/>
  <c r="B255" i="41"/>
  <c r="G254" i="41"/>
  <c r="F254" i="41"/>
  <c r="E254" i="41"/>
  <c r="D254" i="41"/>
  <c r="C254" i="41"/>
  <c r="B254" i="41"/>
  <c r="G253" i="41"/>
  <c r="F253" i="41"/>
  <c r="E253" i="41"/>
  <c r="D253" i="41"/>
  <c r="C253" i="41"/>
  <c r="B253" i="41"/>
  <c r="G252" i="41"/>
  <c r="F252" i="41"/>
  <c r="E252" i="41"/>
  <c r="D252" i="41"/>
  <c r="C252" i="41"/>
  <c r="B252" i="41"/>
  <c r="G251" i="41"/>
  <c r="F251" i="41"/>
  <c r="E251" i="41"/>
  <c r="D251" i="41"/>
  <c r="C251" i="41"/>
  <c r="B251" i="41"/>
  <c r="G250" i="41"/>
  <c r="F250" i="41"/>
  <c r="E250" i="41"/>
  <c r="D250" i="41"/>
  <c r="C250" i="41"/>
  <c r="B250" i="41"/>
  <c r="G249" i="41"/>
  <c r="F249" i="41"/>
  <c r="E249" i="41"/>
  <c r="D249" i="41"/>
  <c r="C249" i="41"/>
  <c r="B249" i="41"/>
  <c r="G248" i="41"/>
  <c r="F248" i="41"/>
  <c r="E248" i="41"/>
  <c r="D248" i="41"/>
  <c r="C248" i="41"/>
  <c r="B248" i="41"/>
  <c r="G247" i="41"/>
  <c r="F247" i="41"/>
  <c r="E247" i="41"/>
  <c r="D247" i="41"/>
  <c r="C247" i="41"/>
  <c r="B247" i="41"/>
  <c r="G246" i="41"/>
  <c r="F246" i="41"/>
  <c r="E246" i="41"/>
  <c r="D246" i="41"/>
  <c r="C246" i="41"/>
  <c r="B246" i="41"/>
  <c r="G245" i="41"/>
  <c r="F245" i="41"/>
  <c r="E245" i="41"/>
  <c r="D245" i="41"/>
  <c r="C245" i="41"/>
  <c r="B245" i="41"/>
  <c r="G244" i="41"/>
  <c r="F244" i="41"/>
  <c r="E244" i="41"/>
  <c r="D244" i="41"/>
  <c r="C244" i="41"/>
  <c r="B244" i="41"/>
  <c r="G243" i="41"/>
  <c r="F243" i="41"/>
  <c r="E243" i="41"/>
  <c r="D243" i="41"/>
  <c r="C243" i="41"/>
  <c r="B243" i="41"/>
  <c r="G242" i="41"/>
  <c r="F242" i="41"/>
  <c r="E242" i="41"/>
  <c r="D242" i="41"/>
  <c r="C242" i="41"/>
  <c r="B242" i="41"/>
  <c r="G241" i="41"/>
  <c r="F241" i="41"/>
  <c r="E241" i="41"/>
  <c r="D241" i="41"/>
  <c r="C241" i="41"/>
  <c r="B241" i="41"/>
  <c r="G240" i="41"/>
  <c r="F240" i="41"/>
  <c r="E240" i="41"/>
  <c r="D240" i="41"/>
  <c r="C240" i="41"/>
  <c r="B240" i="41"/>
  <c r="G239" i="41"/>
  <c r="F239" i="41"/>
  <c r="E239" i="41"/>
  <c r="D239" i="41"/>
  <c r="C239" i="41"/>
  <c r="B239" i="41"/>
  <c r="G238" i="41"/>
  <c r="F238" i="41"/>
  <c r="E238" i="41"/>
  <c r="D238" i="41"/>
  <c r="C238" i="41"/>
  <c r="B238" i="41"/>
  <c r="G237" i="41"/>
  <c r="F237" i="41"/>
  <c r="E237" i="41"/>
  <c r="D237" i="41"/>
  <c r="C237" i="41"/>
  <c r="B237" i="41"/>
  <c r="G236" i="41"/>
  <c r="F236" i="41"/>
  <c r="E236" i="41"/>
  <c r="D236" i="41"/>
  <c r="C236" i="41"/>
  <c r="B236" i="41"/>
  <c r="G235" i="41"/>
  <c r="F235" i="41"/>
  <c r="E235" i="41"/>
  <c r="D235" i="41"/>
  <c r="C235" i="41"/>
  <c r="B235" i="41"/>
  <c r="G234" i="41"/>
  <c r="F234" i="41"/>
  <c r="E234" i="41"/>
  <c r="D234" i="41"/>
  <c r="C234" i="41"/>
  <c r="B234" i="41"/>
  <c r="G233" i="41"/>
  <c r="F233" i="41"/>
  <c r="E233" i="41"/>
  <c r="D233" i="41"/>
  <c r="C233" i="41"/>
  <c r="B233" i="41"/>
  <c r="G232" i="41"/>
  <c r="F232" i="41"/>
  <c r="E232" i="41"/>
  <c r="D232" i="41"/>
  <c r="C232" i="41"/>
  <c r="B232" i="41"/>
  <c r="G231" i="41"/>
  <c r="F231" i="41"/>
  <c r="E231" i="41"/>
  <c r="D231" i="41"/>
  <c r="C231" i="41"/>
  <c r="B231" i="41"/>
  <c r="G230" i="41"/>
  <c r="F230" i="41"/>
  <c r="E230" i="41"/>
  <c r="D230" i="41"/>
  <c r="C230" i="41"/>
  <c r="B230" i="41"/>
  <c r="G229" i="41"/>
  <c r="F229" i="41"/>
  <c r="E229" i="41"/>
  <c r="D229" i="41"/>
  <c r="C229" i="41"/>
  <c r="B229" i="41"/>
  <c r="G228" i="41"/>
  <c r="F228" i="41"/>
  <c r="E228" i="41"/>
  <c r="D228" i="41"/>
  <c r="C228" i="41"/>
  <c r="B228" i="41"/>
  <c r="G227" i="41"/>
  <c r="F227" i="41"/>
  <c r="E227" i="41"/>
  <c r="D227" i="41"/>
  <c r="C227" i="41"/>
  <c r="B227" i="41"/>
  <c r="G226" i="41"/>
  <c r="F226" i="41"/>
  <c r="E226" i="41"/>
  <c r="D226" i="41"/>
  <c r="C226" i="41"/>
  <c r="B226" i="41"/>
  <c r="G225" i="41"/>
  <c r="F225" i="41"/>
  <c r="E225" i="41"/>
  <c r="D225" i="41"/>
  <c r="C225" i="41"/>
  <c r="B225" i="41"/>
  <c r="G224" i="41"/>
  <c r="F224" i="41"/>
  <c r="E224" i="41"/>
  <c r="D224" i="41"/>
  <c r="C224" i="41"/>
  <c r="B224" i="41"/>
  <c r="G223" i="41"/>
  <c r="F223" i="41"/>
  <c r="E223" i="41"/>
  <c r="D223" i="41"/>
  <c r="C223" i="41"/>
  <c r="B223" i="41"/>
  <c r="G222" i="41"/>
  <c r="F222" i="41"/>
  <c r="E222" i="41"/>
  <c r="D222" i="41"/>
  <c r="C222" i="41"/>
  <c r="B222" i="41"/>
  <c r="G221" i="41"/>
  <c r="F221" i="41"/>
  <c r="E221" i="41"/>
  <c r="D221" i="41"/>
  <c r="C221" i="41"/>
  <c r="B221" i="41"/>
  <c r="G220" i="41"/>
  <c r="F220" i="41"/>
  <c r="E220" i="41"/>
  <c r="D220" i="41"/>
  <c r="C220" i="41"/>
  <c r="B220" i="41"/>
  <c r="G219" i="41"/>
  <c r="F219" i="41"/>
  <c r="E219" i="41"/>
  <c r="D219" i="41"/>
  <c r="C219" i="41"/>
  <c r="B219" i="41"/>
  <c r="G218" i="41"/>
  <c r="F218" i="41"/>
  <c r="E218" i="41"/>
  <c r="D218" i="41"/>
  <c r="C218" i="41"/>
  <c r="B218" i="41"/>
  <c r="G217" i="41"/>
  <c r="F217" i="41"/>
  <c r="E217" i="41"/>
  <c r="D217" i="41"/>
  <c r="C217" i="41"/>
  <c r="B217" i="41"/>
  <c r="G216" i="41"/>
  <c r="F216" i="41"/>
  <c r="E216" i="41"/>
  <c r="D216" i="41"/>
  <c r="C216" i="41"/>
  <c r="B216" i="41"/>
  <c r="G215" i="41"/>
  <c r="F215" i="41"/>
  <c r="E215" i="41"/>
  <c r="D215" i="41"/>
  <c r="C215" i="41"/>
  <c r="B215" i="41"/>
  <c r="G214" i="41"/>
  <c r="F214" i="41"/>
  <c r="E214" i="41"/>
  <c r="D214" i="41"/>
  <c r="C214" i="41"/>
  <c r="B214" i="41"/>
  <c r="G213" i="41"/>
  <c r="F213" i="41"/>
  <c r="E213" i="41"/>
  <c r="D213" i="41"/>
  <c r="C213" i="41"/>
  <c r="B213" i="41"/>
  <c r="G212" i="41"/>
  <c r="F212" i="41"/>
  <c r="E212" i="41"/>
  <c r="D212" i="41"/>
  <c r="C212" i="41"/>
  <c r="B212" i="41"/>
  <c r="G211" i="41"/>
  <c r="F211" i="41"/>
  <c r="E211" i="41"/>
  <c r="D211" i="41"/>
  <c r="C211" i="41"/>
  <c r="B211" i="41"/>
  <c r="G210" i="41"/>
  <c r="F210" i="41"/>
  <c r="E210" i="41"/>
  <c r="D210" i="41"/>
  <c r="C210" i="41"/>
  <c r="B210" i="41"/>
  <c r="G209" i="41"/>
  <c r="F209" i="41"/>
  <c r="E209" i="41"/>
  <c r="D209" i="41"/>
  <c r="C209" i="41"/>
  <c r="B209" i="41"/>
  <c r="G208" i="41"/>
  <c r="F208" i="41"/>
  <c r="E208" i="41"/>
  <c r="D208" i="41"/>
  <c r="C208" i="41"/>
  <c r="B208" i="41"/>
  <c r="G207" i="41"/>
  <c r="F207" i="41"/>
  <c r="E207" i="41"/>
  <c r="D207" i="41"/>
  <c r="C207" i="41"/>
  <c r="B207" i="41"/>
  <c r="G206" i="41"/>
  <c r="F206" i="41"/>
  <c r="E206" i="41"/>
  <c r="D206" i="41"/>
  <c r="C206" i="41"/>
  <c r="B206" i="41"/>
  <c r="G205" i="41"/>
  <c r="F205" i="41"/>
  <c r="E205" i="41"/>
  <c r="D205" i="41"/>
  <c r="C205" i="41"/>
  <c r="B205" i="41"/>
  <c r="G204" i="41"/>
  <c r="F204" i="41"/>
  <c r="E204" i="41"/>
  <c r="D204" i="41"/>
  <c r="C204" i="41"/>
  <c r="B204" i="41"/>
  <c r="G203" i="41"/>
  <c r="F203" i="41"/>
  <c r="E203" i="41"/>
  <c r="D203" i="41"/>
  <c r="C203" i="41"/>
  <c r="B203" i="41"/>
  <c r="G202" i="41"/>
  <c r="F202" i="41"/>
  <c r="E202" i="41"/>
  <c r="D202" i="41"/>
  <c r="C202" i="41"/>
  <c r="B202" i="41"/>
  <c r="G201" i="41"/>
  <c r="F201" i="41"/>
  <c r="E201" i="41"/>
  <c r="D201" i="41"/>
  <c r="C201" i="41"/>
  <c r="B201" i="41"/>
  <c r="G200" i="41"/>
  <c r="F200" i="41"/>
  <c r="E200" i="41"/>
  <c r="D200" i="41"/>
  <c r="C200" i="41"/>
  <c r="B200" i="41"/>
  <c r="G199" i="41"/>
  <c r="F199" i="41"/>
  <c r="E199" i="41"/>
  <c r="D199" i="41"/>
  <c r="C199" i="41"/>
  <c r="B199" i="41"/>
  <c r="G198" i="41"/>
  <c r="F198" i="41"/>
  <c r="E198" i="41"/>
  <c r="D198" i="41"/>
  <c r="C198" i="41"/>
  <c r="B198" i="41"/>
  <c r="G197" i="41"/>
  <c r="F197" i="41"/>
  <c r="E197" i="41"/>
  <c r="D197" i="41"/>
  <c r="C197" i="41"/>
  <c r="B197" i="41"/>
  <c r="G196" i="41"/>
  <c r="F196" i="41"/>
  <c r="E196" i="41"/>
  <c r="D196" i="41"/>
  <c r="C196" i="41"/>
  <c r="B196" i="41"/>
  <c r="G195" i="41"/>
  <c r="F195" i="41"/>
  <c r="E195" i="41"/>
  <c r="D195" i="41"/>
  <c r="C195" i="41"/>
  <c r="B195" i="41"/>
  <c r="G194" i="41"/>
  <c r="F194" i="41"/>
  <c r="E194" i="41"/>
  <c r="D194" i="41"/>
  <c r="C194" i="41"/>
  <c r="B194" i="41"/>
  <c r="G193" i="41"/>
  <c r="F193" i="41"/>
  <c r="E193" i="41"/>
  <c r="D193" i="41"/>
  <c r="C193" i="41"/>
  <c r="B193" i="41"/>
  <c r="G192" i="41"/>
  <c r="F192" i="41"/>
  <c r="E192" i="41"/>
  <c r="D192" i="41"/>
  <c r="C192" i="41"/>
  <c r="B192" i="41"/>
  <c r="G191" i="41"/>
  <c r="F191" i="41"/>
  <c r="E191" i="41"/>
  <c r="D191" i="41"/>
  <c r="C191" i="41"/>
  <c r="B191" i="41"/>
  <c r="G190" i="41"/>
  <c r="F190" i="41"/>
  <c r="E190" i="41"/>
  <c r="D190" i="41"/>
  <c r="C190" i="41"/>
  <c r="B190" i="41"/>
  <c r="G189" i="41"/>
  <c r="F189" i="41"/>
  <c r="E189" i="41"/>
  <c r="D189" i="41"/>
  <c r="C189" i="41"/>
  <c r="B189" i="41"/>
  <c r="G188" i="41"/>
  <c r="F188" i="41"/>
  <c r="E188" i="41"/>
  <c r="D188" i="41"/>
  <c r="C188" i="41"/>
  <c r="B188" i="41"/>
  <c r="G187" i="41"/>
  <c r="F187" i="41"/>
  <c r="E187" i="41"/>
  <c r="D187" i="41"/>
  <c r="C187" i="41"/>
  <c r="B187" i="41"/>
  <c r="G186" i="41"/>
  <c r="F186" i="41"/>
  <c r="E186" i="41"/>
  <c r="D186" i="41"/>
  <c r="C186" i="41"/>
  <c r="B186" i="41"/>
  <c r="G185" i="41"/>
  <c r="F185" i="41"/>
  <c r="E185" i="41"/>
  <c r="D185" i="41"/>
  <c r="C185" i="41"/>
  <c r="B185" i="41"/>
  <c r="G184" i="41"/>
  <c r="F184" i="41"/>
  <c r="E184" i="41"/>
  <c r="D184" i="41"/>
  <c r="C184" i="41"/>
  <c r="B184" i="41"/>
  <c r="G183" i="41"/>
  <c r="F183" i="41"/>
  <c r="E183" i="41"/>
  <c r="D183" i="41"/>
  <c r="C183" i="41"/>
  <c r="B183" i="41"/>
  <c r="G182" i="41"/>
  <c r="F182" i="41"/>
  <c r="E182" i="41"/>
  <c r="D182" i="41"/>
  <c r="C182" i="41"/>
  <c r="B182" i="41"/>
  <c r="G181" i="41"/>
  <c r="F181" i="41"/>
  <c r="E181" i="41"/>
  <c r="D181" i="41"/>
  <c r="C181" i="41"/>
  <c r="B181" i="41"/>
  <c r="G180" i="41"/>
  <c r="F180" i="41"/>
  <c r="E180" i="41"/>
  <c r="D180" i="41"/>
  <c r="C180" i="41"/>
  <c r="B180" i="41"/>
  <c r="G179" i="41"/>
  <c r="F179" i="41"/>
  <c r="E179" i="41"/>
  <c r="D179" i="41"/>
  <c r="C179" i="41"/>
  <c r="B179" i="41"/>
  <c r="G178" i="41"/>
  <c r="F178" i="41"/>
  <c r="E178" i="41"/>
  <c r="D178" i="41"/>
  <c r="C178" i="41"/>
  <c r="B178" i="41"/>
  <c r="G177" i="41"/>
  <c r="F177" i="41"/>
  <c r="E177" i="41"/>
  <c r="D177" i="41"/>
  <c r="C177" i="41"/>
  <c r="B177" i="41"/>
  <c r="G176" i="41"/>
  <c r="F176" i="41"/>
  <c r="E176" i="41"/>
  <c r="D176" i="41"/>
  <c r="C176" i="41"/>
  <c r="B176" i="41"/>
  <c r="G175" i="41"/>
  <c r="F175" i="41"/>
  <c r="E175" i="41"/>
  <c r="D175" i="41"/>
  <c r="C175" i="41"/>
  <c r="B175" i="41"/>
  <c r="G174" i="41"/>
  <c r="F174" i="41"/>
  <c r="E174" i="41"/>
  <c r="D174" i="41"/>
  <c r="C174" i="41"/>
  <c r="B174" i="41"/>
  <c r="G173" i="41"/>
  <c r="F173" i="41"/>
  <c r="E173" i="41"/>
  <c r="D173" i="41"/>
  <c r="C173" i="41"/>
  <c r="B173" i="41"/>
  <c r="G172" i="41"/>
  <c r="F172" i="41"/>
  <c r="E172" i="41"/>
  <c r="D172" i="41"/>
  <c r="C172" i="41"/>
  <c r="B172" i="41"/>
  <c r="G171" i="41"/>
  <c r="F171" i="41"/>
  <c r="E171" i="41"/>
  <c r="D171" i="41"/>
  <c r="C171" i="41"/>
  <c r="B171" i="41"/>
  <c r="G170" i="41"/>
  <c r="F170" i="41"/>
  <c r="E170" i="41"/>
  <c r="D170" i="41"/>
  <c r="C170" i="41"/>
  <c r="B170" i="41"/>
  <c r="G169" i="41"/>
  <c r="F169" i="41"/>
  <c r="E169" i="41"/>
  <c r="D169" i="41"/>
  <c r="C169" i="41"/>
  <c r="B169" i="41"/>
  <c r="G168" i="41"/>
  <c r="F168" i="41"/>
  <c r="E168" i="41"/>
  <c r="D168" i="41"/>
  <c r="C168" i="41"/>
  <c r="B168" i="41"/>
  <c r="G167" i="41"/>
  <c r="F167" i="41"/>
  <c r="E167" i="41"/>
  <c r="D167" i="41"/>
  <c r="C167" i="41"/>
  <c r="B167" i="41"/>
  <c r="G166" i="41"/>
  <c r="F166" i="41"/>
  <c r="E166" i="41"/>
  <c r="D166" i="41"/>
  <c r="C166" i="41"/>
  <c r="B166" i="41"/>
  <c r="G165" i="41"/>
  <c r="F165" i="41"/>
  <c r="E165" i="41"/>
  <c r="D165" i="41"/>
  <c r="C165" i="41"/>
  <c r="B165" i="41"/>
  <c r="G164" i="41"/>
  <c r="F164" i="41"/>
  <c r="E164" i="41"/>
  <c r="D164" i="41"/>
  <c r="C164" i="41"/>
  <c r="B164" i="41"/>
  <c r="G163" i="41"/>
  <c r="F163" i="41"/>
  <c r="E163" i="41"/>
  <c r="D163" i="41"/>
  <c r="C163" i="41"/>
  <c r="B163" i="41"/>
  <c r="G162" i="41"/>
  <c r="F162" i="41"/>
  <c r="E162" i="41"/>
  <c r="D162" i="41"/>
  <c r="C162" i="41"/>
  <c r="B162" i="41"/>
  <c r="G161" i="41"/>
  <c r="F161" i="41"/>
  <c r="E161" i="41"/>
  <c r="D161" i="41"/>
  <c r="C161" i="41"/>
  <c r="B161" i="41"/>
  <c r="G160" i="41"/>
  <c r="F160" i="41"/>
  <c r="E160" i="41"/>
  <c r="D160" i="41"/>
  <c r="C160" i="41"/>
  <c r="B160" i="41"/>
  <c r="G159" i="41"/>
  <c r="F159" i="41"/>
  <c r="E159" i="41"/>
  <c r="D159" i="41"/>
  <c r="C159" i="41"/>
  <c r="B159" i="41"/>
  <c r="G158" i="41"/>
  <c r="F158" i="41"/>
  <c r="E158" i="41"/>
  <c r="D158" i="41"/>
  <c r="C158" i="41"/>
  <c r="B158" i="41"/>
  <c r="G157" i="41"/>
  <c r="F157" i="41"/>
  <c r="E157" i="41"/>
  <c r="D157" i="41"/>
  <c r="C157" i="41"/>
  <c r="B157" i="41"/>
  <c r="G156" i="41"/>
  <c r="F156" i="41"/>
  <c r="E156" i="41"/>
  <c r="D156" i="41"/>
  <c r="C156" i="41"/>
  <c r="B156" i="41"/>
  <c r="G155" i="41"/>
  <c r="F155" i="41"/>
  <c r="E155" i="41"/>
  <c r="D155" i="41"/>
  <c r="C155" i="41"/>
  <c r="B155" i="41"/>
  <c r="G154" i="41"/>
  <c r="F154" i="41"/>
  <c r="E154" i="41"/>
  <c r="D154" i="41"/>
  <c r="C154" i="41"/>
  <c r="B154" i="41"/>
  <c r="G153" i="41"/>
  <c r="F153" i="41"/>
  <c r="E153" i="41"/>
  <c r="D153" i="41"/>
  <c r="C153" i="41"/>
  <c r="B153" i="41"/>
  <c r="G152" i="41"/>
  <c r="F152" i="41"/>
  <c r="E152" i="41"/>
  <c r="D152" i="41"/>
  <c r="C152" i="41"/>
  <c r="B152" i="41"/>
  <c r="G151" i="41"/>
  <c r="F151" i="41"/>
  <c r="E151" i="41"/>
  <c r="D151" i="41"/>
  <c r="C151" i="41"/>
  <c r="B151" i="41"/>
  <c r="G150" i="41"/>
  <c r="F150" i="41"/>
  <c r="E150" i="41"/>
  <c r="D150" i="41"/>
  <c r="C150" i="41"/>
  <c r="B150" i="41"/>
  <c r="G149" i="41"/>
  <c r="F149" i="41"/>
  <c r="E149" i="41"/>
  <c r="D149" i="41"/>
  <c r="C149" i="41"/>
  <c r="B149" i="41"/>
  <c r="G148" i="41"/>
  <c r="F148" i="41"/>
  <c r="E148" i="41"/>
  <c r="D148" i="41"/>
  <c r="C148" i="41"/>
  <c r="B148" i="41"/>
  <c r="G147" i="41"/>
  <c r="F147" i="41"/>
  <c r="E147" i="41"/>
  <c r="D147" i="41"/>
  <c r="C147" i="41"/>
  <c r="B147" i="41"/>
  <c r="G146" i="41"/>
  <c r="F146" i="41"/>
  <c r="E146" i="41"/>
  <c r="D146" i="41"/>
  <c r="C146" i="41"/>
  <c r="B146" i="41"/>
  <c r="G145" i="41"/>
  <c r="F145" i="41"/>
  <c r="E145" i="41"/>
  <c r="D145" i="41"/>
  <c r="C145" i="41"/>
  <c r="B145" i="41"/>
  <c r="G144" i="41"/>
  <c r="F144" i="41"/>
  <c r="E144" i="41"/>
  <c r="D144" i="41"/>
  <c r="C144" i="41"/>
  <c r="B144" i="41"/>
  <c r="G143" i="41"/>
  <c r="F143" i="41"/>
  <c r="E143" i="41"/>
  <c r="D143" i="41"/>
  <c r="C143" i="41"/>
  <c r="B143" i="41"/>
  <c r="G142" i="41"/>
  <c r="F142" i="41"/>
  <c r="E142" i="41"/>
  <c r="D142" i="41"/>
  <c r="C142" i="41"/>
  <c r="B142" i="41"/>
  <c r="G141" i="41"/>
  <c r="F141" i="41"/>
  <c r="E141" i="41"/>
  <c r="D141" i="41"/>
  <c r="C141" i="41"/>
  <c r="B141" i="41"/>
  <c r="G140" i="41"/>
  <c r="F140" i="41"/>
  <c r="E140" i="41"/>
  <c r="D140" i="41"/>
  <c r="C140" i="41"/>
  <c r="B140" i="41"/>
  <c r="G139" i="41"/>
  <c r="F139" i="41"/>
  <c r="E139" i="41"/>
  <c r="D139" i="41"/>
  <c r="C139" i="41"/>
  <c r="B139" i="41"/>
  <c r="G138" i="41"/>
  <c r="F138" i="41"/>
  <c r="E138" i="41"/>
  <c r="D138" i="41"/>
  <c r="C138" i="41"/>
  <c r="B138" i="41"/>
  <c r="G137" i="41"/>
  <c r="F137" i="41"/>
  <c r="E137" i="41"/>
  <c r="D137" i="41"/>
  <c r="C137" i="41"/>
  <c r="B137" i="41"/>
  <c r="G136" i="41"/>
  <c r="F136" i="41"/>
  <c r="E136" i="41"/>
  <c r="D136" i="41"/>
  <c r="C136" i="41"/>
  <c r="B136" i="41"/>
  <c r="G135" i="41"/>
  <c r="F135" i="41"/>
  <c r="E135" i="41"/>
  <c r="D135" i="41"/>
  <c r="C135" i="41"/>
  <c r="B135" i="41"/>
  <c r="G134" i="41"/>
  <c r="F134" i="41"/>
  <c r="E134" i="41"/>
  <c r="D134" i="41"/>
  <c r="C134" i="41"/>
  <c r="B134" i="41"/>
  <c r="G133" i="41"/>
  <c r="F133" i="41"/>
  <c r="E133" i="41"/>
  <c r="D133" i="41"/>
  <c r="C133" i="41"/>
  <c r="B133" i="41"/>
  <c r="G132" i="41"/>
  <c r="F132" i="41"/>
  <c r="E132" i="41"/>
  <c r="D132" i="41"/>
  <c r="C132" i="41"/>
  <c r="B132" i="41"/>
  <c r="G131" i="41"/>
  <c r="F131" i="41"/>
  <c r="E131" i="41"/>
  <c r="D131" i="41"/>
  <c r="C131" i="41"/>
  <c r="B131" i="41"/>
  <c r="G130" i="41"/>
  <c r="F130" i="41"/>
  <c r="E130" i="41"/>
  <c r="D130" i="41"/>
  <c r="C130" i="41"/>
  <c r="B130" i="41"/>
  <c r="G129" i="41"/>
  <c r="F129" i="41"/>
  <c r="E129" i="41"/>
  <c r="D129" i="41"/>
  <c r="C129" i="41"/>
  <c r="B129" i="41"/>
  <c r="G128" i="41"/>
  <c r="F128" i="41"/>
  <c r="E128" i="41"/>
  <c r="D128" i="41"/>
  <c r="C128" i="41"/>
  <c r="B128" i="41"/>
  <c r="G127" i="41"/>
  <c r="F127" i="41"/>
  <c r="E127" i="41"/>
  <c r="D127" i="41"/>
  <c r="C127" i="41"/>
  <c r="B127" i="41"/>
  <c r="G126" i="41"/>
  <c r="F126" i="41"/>
  <c r="E126" i="41"/>
  <c r="D126" i="41"/>
  <c r="C126" i="41"/>
  <c r="B126" i="41"/>
  <c r="G125" i="41"/>
  <c r="F125" i="41"/>
  <c r="E125" i="41"/>
  <c r="D125" i="41"/>
  <c r="C125" i="41"/>
  <c r="B125" i="41"/>
  <c r="G124" i="41"/>
  <c r="F124" i="41"/>
  <c r="E124" i="41"/>
  <c r="D124" i="41"/>
  <c r="C124" i="41"/>
  <c r="B124" i="41"/>
  <c r="G123" i="41"/>
  <c r="F123" i="41"/>
  <c r="E123" i="41"/>
  <c r="D123" i="41"/>
  <c r="C123" i="41"/>
  <c r="B123" i="41"/>
  <c r="G122" i="41"/>
  <c r="F122" i="41"/>
  <c r="E122" i="41"/>
  <c r="D122" i="41"/>
  <c r="C122" i="41"/>
  <c r="B122" i="41"/>
  <c r="G121" i="41"/>
  <c r="F121" i="41"/>
  <c r="E121" i="41"/>
  <c r="D121" i="41"/>
  <c r="C121" i="41"/>
  <c r="B121" i="41"/>
  <c r="G120" i="41"/>
  <c r="F120" i="41"/>
  <c r="E120" i="41"/>
  <c r="D120" i="41"/>
  <c r="C120" i="41"/>
  <c r="B120" i="41"/>
  <c r="G119" i="41"/>
  <c r="F119" i="41"/>
  <c r="E119" i="41"/>
  <c r="D119" i="41"/>
  <c r="C119" i="41"/>
  <c r="B119" i="41"/>
  <c r="G118" i="41"/>
  <c r="F118" i="41"/>
  <c r="E118" i="41"/>
  <c r="D118" i="41"/>
  <c r="C118" i="41"/>
  <c r="B118" i="41"/>
  <c r="G117" i="41"/>
  <c r="F117" i="41"/>
  <c r="E117" i="41"/>
  <c r="D117" i="41"/>
  <c r="C117" i="41"/>
  <c r="B117" i="41"/>
  <c r="G116" i="41"/>
  <c r="F116" i="41"/>
  <c r="E116" i="41"/>
  <c r="D116" i="41"/>
  <c r="C116" i="41"/>
  <c r="B116" i="41"/>
  <c r="G115" i="41"/>
  <c r="F115" i="41"/>
  <c r="E115" i="41"/>
  <c r="D115" i="41"/>
  <c r="C115" i="41"/>
  <c r="B115" i="41"/>
  <c r="G114" i="41"/>
  <c r="F114" i="41"/>
  <c r="E114" i="41"/>
  <c r="D114" i="41"/>
  <c r="C114" i="41"/>
  <c r="B114" i="41"/>
  <c r="G113" i="41"/>
  <c r="F113" i="41"/>
  <c r="E113" i="41"/>
  <c r="D113" i="41"/>
  <c r="C113" i="41"/>
  <c r="B113" i="41"/>
  <c r="G112" i="41"/>
  <c r="F112" i="41"/>
  <c r="E112" i="41"/>
  <c r="D112" i="41"/>
  <c r="C112" i="41"/>
  <c r="B112" i="41"/>
  <c r="G111" i="41"/>
  <c r="F111" i="41"/>
  <c r="E111" i="41"/>
  <c r="D111" i="41"/>
  <c r="C111" i="41"/>
  <c r="B111" i="41"/>
  <c r="G110" i="41"/>
  <c r="F110" i="41"/>
  <c r="E110" i="41"/>
  <c r="D110" i="41"/>
  <c r="C110" i="41"/>
  <c r="B110" i="41"/>
  <c r="G109" i="41"/>
  <c r="F109" i="41"/>
  <c r="E109" i="41"/>
  <c r="D109" i="41"/>
  <c r="C109" i="41"/>
  <c r="B109" i="41"/>
  <c r="G108" i="41"/>
  <c r="F108" i="41"/>
  <c r="E108" i="41"/>
  <c r="D108" i="41"/>
  <c r="C108" i="41"/>
  <c r="B108" i="41"/>
  <c r="G107" i="41"/>
  <c r="F107" i="41"/>
  <c r="E107" i="41"/>
  <c r="D107" i="41"/>
  <c r="C107" i="41"/>
  <c r="B107" i="41"/>
  <c r="G106" i="41"/>
  <c r="F106" i="41"/>
  <c r="E106" i="41"/>
  <c r="D106" i="41"/>
  <c r="C106" i="41"/>
  <c r="B106" i="41"/>
  <c r="G105" i="41"/>
  <c r="F105" i="41"/>
  <c r="E105" i="41"/>
  <c r="D105" i="41"/>
  <c r="C105" i="41"/>
  <c r="B105" i="41"/>
  <c r="G104" i="41"/>
  <c r="F104" i="41"/>
  <c r="E104" i="41"/>
  <c r="D104" i="41"/>
  <c r="C104" i="41"/>
  <c r="B104" i="41"/>
  <c r="G103" i="41"/>
  <c r="F103" i="41"/>
  <c r="E103" i="41"/>
  <c r="D103" i="41"/>
  <c r="C103" i="41"/>
  <c r="B103" i="41"/>
  <c r="G102" i="41"/>
  <c r="F102" i="41"/>
  <c r="E102" i="41"/>
  <c r="D102" i="41"/>
  <c r="C102" i="41"/>
  <c r="B102" i="41"/>
  <c r="G101" i="41"/>
  <c r="F101" i="41"/>
  <c r="E101" i="41"/>
  <c r="D101" i="41"/>
  <c r="C101" i="41"/>
  <c r="B101" i="41"/>
  <c r="G100" i="41"/>
  <c r="F100" i="41"/>
  <c r="E100" i="41"/>
  <c r="D100" i="41"/>
  <c r="C100" i="41"/>
  <c r="B100" i="41"/>
  <c r="G99" i="41"/>
  <c r="F99" i="41"/>
  <c r="E99" i="41"/>
  <c r="D99" i="41"/>
  <c r="C99" i="41"/>
  <c r="B99" i="41"/>
  <c r="G98" i="41"/>
  <c r="F98" i="41"/>
  <c r="E98" i="41"/>
  <c r="D98" i="41"/>
  <c r="C98" i="41"/>
  <c r="B98" i="41"/>
  <c r="G97" i="41"/>
  <c r="F97" i="41"/>
  <c r="E97" i="41"/>
  <c r="D97" i="41"/>
  <c r="C97" i="41"/>
  <c r="B97" i="41"/>
  <c r="G96" i="41"/>
  <c r="F96" i="41"/>
  <c r="E96" i="41"/>
  <c r="D96" i="41"/>
  <c r="C96" i="41"/>
  <c r="B96" i="41"/>
  <c r="G95" i="41"/>
  <c r="F95" i="41"/>
  <c r="E95" i="41"/>
  <c r="D95" i="41"/>
  <c r="C95" i="41"/>
  <c r="B95" i="41"/>
  <c r="G94" i="41"/>
  <c r="F94" i="41"/>
  <c r="E94" i="41"/>
  <c r="D94" i="41"/>
  <c r="C94" i="41"/>
  <c r="B94" i="41"/>
  <c r="G93" i="41"/>
  <c r="F93" i="41"/>
  <c r="E93" i="41"/>
  <c r="D93" i="41"/>
  <c r="C93" i="41"/>
  <c r="B93" i="41"/>
  <c r="G92" i="41"/>
  <c r="F92" i="41"/>
  <c r="E92" i="41"/>
  <c r="D92" i="41"/>
  <c r="C92" i="41"/>
  <c r="B92" i="41"/>
  <c r="G91" i="41"/>
  <c r="F91" i="41"/>
  <c r="E91" i="41"/>
  <c r="D91" i="41"/>
  <c r="C91" i="41"/>
  <c r="B91" i="41"/>
  <c r="G90" i="41"/>
  <c r="F90" i="41"/>
  <c r="E90" i="41"/>
  <c r="D90" i="41"/>
  <c r="C90" i="41"/>
  <c r="B90" i="41"/>
  <c r="G89" i="41"/>
  <c r="F89" i="41"/>
  <c r="E89" i="41"/>
  <c r="D89" i="41"/>
  <c r="C89" i="41"/>
  <c r="B89" i="41"/>
  <c r="G88" i="41"/>
  <c r="F88" i="41"/>
  <c r="E88" i="41"/>
  <c r="D88" i="41"/>
  <c r="C88" i="41"/>
  <c r="B88" i="41"/>
  <c r="G87" i="41"/>
  <c r="F87" i="41"/>
  <c r="E87" i="41"/>
  <c r="D87" i="41"/>
  <c r="C87" i="41"/>
  <c r="B87" i="41"/>
  <c r="G86" i="41"/>
  <c r="F86" i="41"/>
  <c r="E86" i="41"/>
  <c r="D86" i="41"/>
  <c r="C86" i="41"/>
  <c r="B86" i="41"/>
  <c r="G85" i="41"/>
  <c r="F85" i="41"/>
  <c r="E85" i="41"/>
  <c r="D85" i="41"/>
  <c r="C85" i="41"/>
  <c r="B85" i="41"/>
  <c r="G84" i="41"/>
  <c r="F84" i="41"/>
  <c r="E84" i="41"/>
  <c r="D84" i="41"/>
  <c r="C84" i="41"/>
  <c r="B84" i="41"/>
  <c r="G83" i="41"/>
  <c r="F83" i="41"/>
  <c r="E83" i="41"/>
  <c r="D83" i="41"/>
  <c r="C83" i="41"/>
  <c r="B83" i="41"/>
  <c r="G82" i="41"/>
  <c r="F82" i="41"/>
  <c r="E82" i="41"/>
  <c r="D82" i="41"/>
  <c r="C82" i="41"/>
  <c r="B82" i="41"/>
  <c r="G81" i="41"/>
  <c r="F81" i="41"/>
  <c r="E81" i="41"/>
  <c r="D81" i="41"/>
  <c r="C81" i="41"/>
  <c r="B81" i="41"/>
  <c r="G80" i="41"/>
  <c r="F80" i="41"/>
  <c r="E80" i="41"/>
  <c r="D80" i="41"/>
  <c r="C80" i="41"/>
  <c r="B80" i="41"/>
  <c r="G79" i="41"/>
  <c r="F79" i="41"/>
  <c r="E79" i="41"/>
  <c r="D79" i="41"/>
  <c r="C79" i="41"/>
  <c r="B79" i="41"/>
  <c r="G78" i="41"/>
  <c r="F78" i="41"/>
  <c r="E78" i="41"/>
  <c r="D78" i="41"/>
  <c r="C78" i="41"/>
  <c r="B78" i="41"/>
  <c r="G77" i="41"/>
  <c r="F77" i="41"/>
  <c r="E77" i="41"/>
  <c r="D77" i="41"/>
  <c r="C77" i="41"/>
  <c r="B77" i="41"/>
  <c r="G76" i="41"/>
  <c r="F76" i="41"/>
  <c r="E76" i="41"/>
  <c r="D76" i="41"/>
  <c r="C76" i="41"/>
  <c r="B76" i="41"/>
  <c r="G75" i="41"/>
  <c r="F75" i="41"/>
  <c r="E75" i="41"/>
  <c r="D75" i="41"/>
  <c r="C75" i="41"/>
  <c r="B75" i="41"/>
  <c r="G74" i="41"/>
  <c r="F74" i="41"/>
  <c r="E74" i="41"/>
  <c r="D74" i="41"/>
  <c r="C74" i="41"/>
  <c r="B74" i="41"/>
  <c r="G73" i="41"/>
  <c r="F73" i="41"/>
  <c r="E73" i="41"/>
  <c r="D73" i="41"/>
  <c r="C73" i="41"/>
  <c r="B73" i="41"/>
  <c r="G72" i="41"/>
  <c r="F72" i="41"/>
  <c r="E72" i="41"/>
  <c r="D72" i="41"/>
  <c r="C72" i="41"/>
  <c r="B72" i="41"/>
  <c r="G71" i="41"/>
  <c r="F71" i="41"/>
  <c r="E71" i="41"/>
  <c r="D71" i="41"/>
  <c r="C71" i="41"/>
  <c r="B71" i="41"/>
  <c r="G70" i="41"/>
  <c r="F70" i="41"/>
  <c r="E70" i="41"/>
  <c r="D70" i="41"/>
  <c r="C70" i="41"/>
  <c r="B70" i="41"/>
  <c r="G69" i="41"/>
  <c r="F69" i="41"/>
  <c r="E69" i="41"/>
  <c r="D69" i="41"/>
  <c r="C69" i="41"/>
  <c r="B69" i="41"/>
  <c r="G68" i="41"/>
  <c r="F68" i="41"/>
  <c r="E68" i="41"/>
  <c r="D68" i="41"/>
  <c r="C68" i="41"/>
  <c r="B68" i="41"/>
  <c r="G67" i="41"/>
  <c r="F67" i="41"/>
  <c r="E67" i="41"/>
  <c r="D67" i="41"/>
  <c r="C67" i="41"/>
  <c r="B67" i="41"/>
  <c r="G66" i="41"/>
  <c r="F66" i="41"/>
  <c r="E66" i="41"/>
  <c r="D66" i="41"/>
  <c r="C66" i="41"/>
  <c r="B66" i="41"/>
  <c r="G65" i="41"/>
  <c r="F65" i="41"/>
  <c r="E65" i="41"/>
  <c r="D65" i="41"/>
  <c r="C65" i="41"/>
  <c r="B65" i="41"/>
  <c r="G64" i="41"/>
  <c r="F64" i="41"/>
  <c r="E64" i="41"/>
  <c r="D64" i="41"/>
  <c r="C64" i="41"/>
  <c r="B64" i="41"/>
  <c r="G63" i="41"/>
  <c r="F63" i="41"/>
  <c r="E63" i="41"/>
  <c r="D63" i="41"/>
  <c r="C63" i="41"/>
  <c r="B63" i="41"/>
  <c r="G62" i="41"/>
  <c r="F62" i="41"/>
  <c r="E62" i="41"/>
  <c r="D62" i="41"/>
  <c r="C62" i="41"/>
  <c r="B62" i="41"/>
  <c r="G61" i="41"/>
  <c r="F61" i="41"/>
  <c r="E61" i="41"/>
  <c r="D61" i="41"/>
  <c r="C61" i="41"/>
  <c r="B61" i="41"/>
  <c r="G60" i="41"/>
  <c r="F60" i="41"/>
  <c r="E60" i="41"/>
  <c r="D60" i="41"/>
  <c r="C60" i="41"/>
  <c r="B60" i="41"/>
  <c r="G59" i="41"/>
  <c r="F59" i="41"/>
  <c r="E59" i="41"/>
  <c r="D59" i="41"/>
  <c r="C59" i="41"/>
  <c r="B59" i="41"/>
  <c r="G58" i="41"/>
  <c r="F58" i="41"/>
  <c r="E58" i="41"/>
  <c r="D58" i="41"/>
  <c r="C58" i="41"/>
  <c r="B58" i="41"/>
  <c r="G57" i="41"/>
  <c r="F57" i="41"/>
  <c r="E57" i="41"/>
  <c r="D57" i="41"/>
  <c r="C57" i="41"/>
  <c r="B57" i="41"/>
  <c r="G56" i="41"/>
  <c r="F56" i="41"/>
  <c r="E56" i="41"/>
  <c r="D56" i="41"/>
  <c r="C56" i="41"/>
  <c r="B56" i="41"/>
  <c r="G55" i="41"/>
  <c r="F55" i="41"/>
  <c r="E55" i="41"/>
  <c r="D55" i="41"/>
  <c r="C55" i="41"/>
  <c r="B55" i="41"/>
  <c r="G54" i="41"/>
  <c r="F54" i="41"/>
  <c r="E54" i="41"/>
  <c r="D54" i="41"/>
  <c r="C54" i="41"/>
  <c r="B54" i="41"/>
  <c r="G53" i="41"/>
  <c r="F53" i="41"/>
  <c r="E53" i="41"/>
  <c r="D53" i="41"/>
  <c r="C53" i="41"/>
  <c r="B53" i="41"/>
  <c r="G52" i="41"/>
  <c r="F52" i="41"/>
  <c r="E52" i="41"/>
  <c r="D52" i="41"/>
  <c r="C52" i="41"/>
  <c r="B52" i="41"/>
  <c r="G51" i="41"/>
  <c r="F51" i="41"/>
  <c r="E51" i="41"/>
  <c r="D51" i="41"/>
  <c r="C51" i="41"/>
  <c r="B51" i="41"/>
  <c r="G50" i="41"/>
  <c r="F50" i="41"/>
  <c r="E50" i="41"/>
  <c r="D50" i="41"/>
  <c r="C50" i="41"/>
  <c r="B50" i="41"/>
  <c r="G49" i="41"/>
  <c r="F49" i="41"/>
  <c r="E49" i="41"/>
  <c r="D49" i="41"/>
  <c r="C49" i="41"/>
  <c r="B49" i="41"/>
  <c r="A306" i="41"/>
  <c r="K298" i="42"/>
  <c r="J298" i="42"/>
  <c r="I298" i="42"/>
  <c r="H298" i="42"/>
  <c r="D298" i="42"/>
  <c r="C298" i="42"/>
  <c r="K297" i="42"/>
  <c r="J297" i="42"/>
  <c r="I297" i="42"/>
  <c r="H297" i="42"/>
  <c r="D297" i="42"/>
  <c r="C297" i="42"/>
  <c r="K296" i="42"/>
  <c r="J296" i="42"/>
  <c r="I296" i="42"/>
  <c r="H296" i="42"/>
  <c r="D296" i="42"/>
  <c r="C296" i="42"/>
  <c r="K295" i="42"/>
  <c r="J295" i="42"/>
  <c r="I295" i="42"/>
  <c r="H295" i="42"/>
  <c r="D295" i="42"/>
  <c r="C295" i="42"/>
  <c r="K294" i="42"/>
  <c r="J294" i="42"/>
  <c r="I294" i="42"/>
  <c r="H294" i="42"/>
  <c r="D294" i="42"/>
  <c r="C294" i="42"/>
  <c r="K293" i="42"/>
  <c r="J293" i="42"/>
  <c r="I293" i="42"/>
  <c r="H293" i="42"/>
  <c r="D293" i="42"/>
  <c r="C293" i="42"/>
  <c r="K292" i="42"/>
  <c r="J292" i="42"/>
  <c r="I292" i="42"/>
  <c r="H292" i="42"/>
  <c r="D292" i="42"/>
  <c r="C292" i="42"/>
  <c r="K291" i="42"/>
  <c r="J291" i="42"/>
  <c r="I291" i="42"/>
  <c r="H291" i="42"/>
  <c r="D291" i="42"/>
  <c r="C291" i="42"/>
  <c r="L290" i="42"/>
  <c r="K290" i="42"/>
  <c r="J290" i="42"/>
  <c r="I290" i="42"/>
  <c r="H290" i="42"/>
  <c r="D290" i="42"/>
  <c r="C290" i="42"/>
  <c r="K289" i="42"/>
  <c r="J289" i="42"/>
  <c r="I289" i="42"/>
  <c r="H289" i="42"/>
  <c r="D289" i="42"/>
  <c r="C289" i="42"/>
  <c r="K288" i="42"/>
  <c r="J288" i="42"/>
  <c r="I288" i="42"/>
  <c r="H288" i="42"/>
  <c r="D288" i="42"/>
  <c r="C288" i="42"/>
  <c r="K287" i="42"/>
  <c r="J287" i="42"/>
  <c r="I287" i="42"/>
  <c r="H287" i="42"/>
  <c r="D287" i="42"/>
  <c r="C287" i="42"/>
  <c r="K286" i="42"/>
  <c r="J286" i="42"/>
  <c r="I286" i="42"/>
  <c r="H286" i="42"/>
  <c r="D286" i="42"/>
  <c r="C286" i="42"/>
  <c r="K285" i="42"/>
  <c r="J285" i="42"/>
  <c r="I285" i="42"/>
  <c r="H285" i="42"/>
  <c r="D285" i="42"/>
  <c r="C285" i="42"/>
  <c r="K284" i="42"/>
  <c r="J284" i="42"/>
  <c r="I284" i="42"/>
  <c r="H284" i="42"/>
  <c r="D284" i="42"/>
  <c r="C284" i="42"/>
  <c r="K283" i="42"/>
  <c r="J283" i="42"/>
  <c r="I283" i="42"/>
  <c r="H283" i="42"/>
  <c r="D283" i="42"/>
  <c r="C283" i="42"/>
  <c r="K282" i="42"/>
  <c r="J282" i="42"/>
  <c r="I282" i="42"/>
  <c r="H282" i="42"/>
  <c r="D282" i="42"/>
  <c r="C282" i="42"/>
  <c r="K281" i="42"/>
  <c r="J281" i="42"/>
  <c r="I281" i="42"/>
  <c r="H281" i="42"/>
  <c r="D281" i="42"/>
  <c r="C281" i="42"/>
  <c r="K280" i="42"/>
  <c r="J280" i="42"/>
  <c r="I280" i="42"/>
  <c r="H280" i="42"/>
  <c r="D280" i="42"/>
  <c r="C280" i="42"/>
  <c r="K279" i="42"/>
  <c r="J279" i="42"/>
  <c r="I279" i="42"/>
  <c r="H279" i="42"/>
  <c r="D279" i="42"/>
  <c r="C279" i="42"/>
  <c r="K278" i="42"/>
  <c r="J278" i="42"/>
  <c r="I278" i="42"/>
  <c r="H278" i="42"/>
  <c r="D278" i="42"/>
  <c r="C278" i="42"/>
  <c r="K277" i="42"/>
  <c r="J277" i="42"/>
  <c r="I277" i="42"/>
  <c r="H277" i="42"/>
  <c r="D277" i="42"/>
  <c r="C277" i="42"/>
  <c r="K276" i="42"/>
  <c r="J276" i="42"/>
  <c r="I276" i="42"/>
  <c r="H276" i="42"/>
  <c r="D276" i="42"/>
  <c r="C276" i="42"/>
  <c r="K275" i="42"/>
  <c r="J275" i="42"/>
  <c r="I275" i="42"/>
  <c r="H275" i="42"/>
  <c r="D275" i="42"/>
  <c r="C275" i="42"/>
  <c r="K274" i="42"/>
  <c r="J274" i="42"/>
  <c r="I274" i="42"/>
  <c r="H274" i="42"/>
  <c r="D274" i="42"/>
  <c r="C274" i="42"/>
  <c r="K273" i="42"/>
  <c r="J273" i="42"/>
  <c r="I273" i="42"/>
  <c r="H273" i="42"/>
  <c r="D273" i="42"/>
  <c r="C273" i="42"/>
  <c r="K272" i="42"/>
  <c r="J272" i="42"/>
  <c r="I272" i="42"/>
  <c r="H272" i="42"/>
  <c r="D272" i="42"/>
  <c r="C272" i="42"/>
  <c r="K271" i="42"/>
  <c r="J271" i="42"/>
  <c r="I271" i="42"/>
  <c r="H271" i="42"/>
  <c r="D271" i="42"/>
  <c r="C271" i="42"/>
  <c r="K270" i="42"/>
  <c r="J270" i="42"/>
  <c r="I270" i="42"/>
  <c r="H270" i="42"/>
  <c r="D270" i="42"/>
  <c r="C270" i="42"/>
  <c r="K269" i="42"/>
  <c r="J269" i="42"/>
  <c r="I269" i="42"/>
  <c r="H269" i="42"/>
  <c r="D269" i="42"/>
  <c r="C269" i="42"/>
  <c r="K268" i="42"/>
  <c r="J268" i="42"/>
  <c r="I268" i="42"/>
  <c r="H268" i="42"/>
  <c r="D268" i="42"/>
  <c r="C268" i="42"/>
  <c r="K267" i="42"/>
  <c r="J267" i="42"/>
  <c r="I267" i="42"/>
  <c r="H267" i="42"/>
  <c r="D267" i="42"/>
  <c r="C267" i="42"/>
  <c r="K266" i="42"/>
  <c r="J266" i="42"/>
  <c r="I266" i="42"/>
  <c r="H266" i="42"/>
  <c r="D266" i="42"/>
  <c r="C266" i="42"/>
  <c r="K265" i="42"/>
  <c r="J265" i="42"/>
  <c r="I265" i="42"/>
  <c r="H265" i="42"/>
  <c r="D265" i="42"/>
  <c r="C265" i="42"/>
  <c r="L264" i="42"/>
  <c r="K264" i="42"/>
  <c r="J264" i="42"/>
  <c r="I264" i="42"/>
  <c r="H264" i="42"/>
  <c r="D264" i="42"/>
  <c r="C264" i="42"/>
  <c r="K263" i="42"/>
  <c r="J263" i="42"/>
  <c r="I263" i="42"/>
  <c r="H263" i="42"/>
  <c r="D263" i="42"/>
  <c r="C263" i="42"/>
  <c r="K262" i="42"/>
  <c r="J262" i="42"/>
  <c r="I262" i="42"/>
  <c r="H262" i="42"/>
  <c r="D262" i="42"/>
  <c r="C262" i="42"/>
  <c r="K261" i="42"/>
  <c r="J261" i="42"/>
  <c r="I261" i="42"/>
  <c r="H261" i="42"/>
  <c r="D261" i="42"/>
  <c r="C261" i="42"/>
  <c r="K260" i="42"/>
  <c r="J260" i="42"/>
  <c r="I260" i="42"/>
  <c r="H260" i="42"/>
  <c r="D260" i="42"/>
  <c r="C260" i="42"/>
  <c r="K259" i="42"/>
  <c r="J259" i="42"/>
  <c r="I259" i="42"/>
  <c r="H259" i="42"/>
  <c r="D259" i="42"/>
  <c r="C259" i="42"/>
  <c r="K258" i="42"/>
  <c r="J258" i="42"/>
  <c r="I258" i="42"/>
  <c r="H258" i="42"/>
  <c r="D258" i="42"/>
  <c r="C258" i="42"/>
  <c r="L257" i="42"/>
  <c r="K257" i="42"/>
  <c r="J257" i="42"/>
  <c r="I257" i="42"/>
  <c r="H257" i="42"/>
  <c r="D257" i="42"/>
  <c r="C257" i="42"/>
  <c r="K256" i="42"/>
  <c r="J256" i="42"/>
  <c r="I256" i="42"/>
  <c r="H256" i="42"/>
  <c r="D256" i="42"/>
  <c r="C256" i="42"/>
  <c r="K255" i="42"/>
  <c r="J255" i="42"/>
  <c r="I255" i="42"/>
  <c r="H255" i="42"/>
  <c r="D255" i="42"/>
  <c r="C255" i="42"/>
  <c r="K254" i="42"/>
  <c r="J254" i="42"/>
  <c r="I254" i="42"/>
  <c r="H254" i="42"/>
  <c r="D254" i="42"/>
  <c r="C254" i="42"/>
  <c r="L253" i="42"/>
  <c r="K253" i="42"/>
  <c r="J253" i="42"/>
  <c r="I253" i="42"/>
  <c r="H253" i="42"/>
  <c r="D253" i="42"/>
  <c r="C253" i="42"/>
  <c r="K252" i="42"/>
  <c r="J252" i="42"/>
  <c r="I252" i="42"/>
  <c r="H252" i="42"/>
  <c r="D252" i="42"/>
  <c r="C252" i="42"/>
  <c r="K251" i="42"/>
  <c r="J251" i="42"/>
  <c r="I251" i="42"/>
  <c r="H251" i="42"/>
  <c r="D251" i="42"/>
  <c r="C251" i="42"/>
  <c r="K250" i="42"/>
  <c r="J250" i="42"/>
  <c r="I250" i="42"/>
  <c r="H250" i="42"/>
  <c r="D250" i="42"/>
  <c r="C250" i="42"/>
  <c r="L249" i="42"/>
  <c r="K249" i="42"/>
  <c r="J249" i="42"/>
  <c r="I249" i="42"/>
  <c r="H249" i="42"/>
  <c r="D249" i="42"/>
  <c r="C249" i="42"/>
  <c r="K248" i="42"/>
  <c r="J248" i="42"/>
  <c r="I248" i="42"/>
  <c r="H248" i="42"/>
  <c r="D248" i="42"/>
  <c r="C248" i="42"/>
  <c r="K247" i="42"/>
  <c r="J247" i="42"/>
  <c r="I247" i="42"/>
  <c r="H247" i="42"/>
  <c r="D247" i="42"/>
  <c r="C247" i="42"/>
  <c r="K246" i="42"/>
  <c r="J246" i="42"/>
  <c r="I246" i="42"/>
  <c r="H246" i="42"/>
  <c r="D246" i="42"/>
  <c r="C246" i="42"/>
  <c r="K245" i="42"/>
  <c r="J245" i="42"/>
  <c r="I245" i="42"/>
  <c r="H245" i="42"/>
  <c r="D245" i="42"/>
  <c r="C245" i="42"/>
  <c r="K244" i="42"/>
  <c r="J244" i="42"/>
  <c r="I244" i="42"/>
  <c r="H244" i="42"/>
  <c r="D244" i="42"/>
  <c r="C244" i="42"/>
  <c r="K243" i="42"/>
  <c r="J243" i="42"/>
  <c r="I243" i="42"/>
  <c r="H243" i="42"/>
  <c r="D243" i="42"/>
  <c r="C243" i="42"/>
  <c r="K242" i="42"/>
  <c r="J242" i="42"/>
  <c r="I242" i="42"/>
  <c r="H242" i="42"/>
  <c r="D242" i="42"/>
  <c r="C242" i="42"/>
  <c r="K241" i="42"/>
  <c r="J241" i="42"/>
  <c r="I241" i="42"/>
  <c r="H241" i="42"/>
  <c r="D241" i="42"/>
  <c r="C241" i="42"/>
  <c r="K240" i="42"/>
  <c r="J240" i="42"/>
  <c r="I240" i="42"/>
  <c r="H240" i="42"/>
  <c r="D240" i="42"/>
  <c r="C240" i="42"/>
  <c r="K239" i="42"/>
  <c r="J239" i="42"/>
  <c r="I239" i="42"/>
  <c r="H239" i="42"/>
  <c r="D239" i="42"/>
  <c r="C239" i="42"/>
  <c r="K238" i="42"/>
  <c r="J238" i="42"/>
  <c r="I238" i="42"/>
  <c r="H238" i="42"/>
  <c r="D238" i="42"/>
  <c r="C238" i="42"/>
  <c r="K237" i="42"/>
  <c r="J237" i="42"/>
  <c r="I237" i="42"/>
  <c r="H237" i="42"/>
  <c r="D237" i="42"/>
  <c r="C237" i="42"/>
  <c r="K236" i="42"/>
  <c r="J236" i="42"/>
  <c r="I236" i="42"/>
  <c r="H236" i="42"/>
  <c r="D236" i="42"/>
  <c r="C236" i="42"/>
  <c r="K235" i="42"/>
  <c r="J235" i="42"/>
  <c r="I235" i="42"/>
  <c r="H235" i="42"/>
  <c r="D235" i="42"/>
  <c r="C235" i="42"/>
  <c r="K234" i="42"/>
  <c r="J234" i="42"/>
  <c r="I234" i="42"/>
  <c r="H234" i="42"/>
  <c r="D234" i="42"/>
  <c r="C234" i="42"/>
  <c r="K233" i="42"/>
  <c r="J233" i="42"/>
  <c r="I233" i="42"/>
  <c r="H233" i="42"/>
  <c r="D233" i="42"/>
  <c r="C233" i="42"/>
  <c r="K232" i="42"/>
  <c r="J232" i="42"/>
  <c r="I232" i="42"/>
  <c r="H232" i="42"/>
  <c r="D232" i="42"/>
  <c r="C232" i="42"/>
  <c r="K231" i="42"/>
  <c r="J231" i="42"/>
  <c r="I231" i="42"/>
  <c r="H231" i="42"/>
  <c r="D231" i="42"/>
  <c r="C231" i="42"/>
  <c r="K230" i="42"/>
  <c r="J230" i="42"/>
  <c r="I230" i="42"/>
  <c r="H230" i="42"/>
  <c r="D230" i="42"/>
  <c r="C230" i="42"/>
  <c r="K229" i="42"/>
  <c r="J229" i="42"/>
  <c r="I229" i="42"/>
  <c r="H229" i="42"/>
  <c r="D229" i="42"/>
  <c r="C229" i="42"/>
  <c r="K228" i="42"/>
  <c r="J228" i="42"/>
  <c r="I228" i="42"/>
  <c r="H228" i="42"/>
  <c r="D228" i="42"/>
  <c r="C228" i="42"/>
  <c r="K227" i="42"/>
  <c r="J227" i="42"/>
  <c r="I227" i="42"/>
  <c r="H227" i="42"/>
  <c r="D227" i="42"/>
  <c r="C227" i="42"/>
  <c r="K226" i="42"/>
  <c r="J226" i="42"/>
  <c r="I226" i="42"/>
  <c r="H226" i="42"/>
  <c r="D226" i="42"/>
  <c r="C226" i="42"/>
  <c r="K225" i="42"/>
  <c r="J225" i="42"/>
  <c r="I225" i="42"/>
  <c r="H225" i="42"/>
  <c r="D225" i="42"/>
  <c r="C225" i="42"/>
  <c r="K224" i="42"/>
  <c r="J224" i="42"/>
  <c r="I224" i="42"/>
  <c r="H224" i="42"/>
  <c r="D224" i="42"/>
  <c r="C224" i="42"/>
  <c r="K223" i="42"/>
  <c r="J223" i="42"/>
  <c r="I223" i="42"/>
  <c r="H223" i="42"/>
  <c r="D223" i="42"/>
  <c r="C223" i="42"/>
  <c r="K222" i="42"/>
  <c r="J222" i="42"/>
  <c r="I222" i="42"/>
  <c r="H222" i="42"/>
  <c r="D222" i="42"/>
  <c r="C222" i="42"/>
  <c r="L221" i="42"/>
  <c r="K221" i="42"/>
  <c r="J221" i="42"/>
  <c r="I221" i="42"/>
  <c r="H221" i="42"/>
  <c r="D221" i="42"/>
  <c r="C221" i="42"/>
  <c r="K220" i="42"/>
  <c r="J220" i="42"/>
  <c r="I220" i="42"/>
  <c r="H220" i="42"/>
  <c r="D220" i="42"/>
  <c r="C220" i="42"/>
  <c r="K219" i="42"/>
  <c r="J219" i="42"/>
  <c r="I219" i="42"/>
  <c r="H219" i="42"/>
  <c r="D219" i="42"/>
  <c r="C219" i="42"/>
  <c r="K218" i="42"/>
  <c r="J218" i="42"/>
  <c r="I218" i="42"/>
  <c r="H218" i="42"/>
  <c r="D218" i="42"/>
  <c r="C218" i="42"/>
  <c r="K217" i="42"/>
  <c r="J217" i="42"/>
  <c r="I217" i="42"/>
  <c r="H217" i="42"/>
  <c r="D217" i="42"/>
  <c r="C217" i="42"/>
  <c r="K216" i="42"/>
  <c r="J216" i="42"/>
  <c r="I216" i="42"/>
  <c r="H216" i="42"/>
  <c r="D216" i="42"/>
  <c r="C216" i="42"/>
  <c r="K215" i="42"/>
  <c r="J215" i="42"/>
  <c r="I215" i="42"/>
  <c r="H215" i="42"/>
  <c r="D215" i="42"/>
  <c r="C215" i="42"/>
  <c r="K214" i="42"/>
  <c r="J214" i="42"/>
  <c r="I214" i="42"/>
  <c r="H214" i="42"/>
  <c r="D214" i="42"/>
  <c r="C214" i="42"/>
  <c r="K213" i="42"/>
  <c r="J213" i="42"/>
  <c r="I213" i="42"/>
  <c r="H213" i="42"/>
  <c r="D213" i="42"/>
  <c r="C213" i="42"/>
  <c r="K212" i="42"/>
  <c r="J212" i="42"/>
  <c r="I212" i="42"/>
  <c r="H212" i="42"/>
  <c r="D212" i="42"/>
  <c r="C212" i="42"/>
  <c r="K211" i="42"/>
  <c r="J211" i="42"/>
  <c r="I211" i="42"/>
  <c r="H211" i="42"/>
  <c r="D211" i="42"/>
  <c r="C211" i="42"/>
  <c r="K210" i="42"/>
  <c r="J210" i="42"/>
  <c r="I210" i="42"/>
  <c r="H210" i="42"/>
  <c r="D210" i="42"/>
  <c r="C210" i="42"/>
  <c r="K209" i="42"/>
  <c r="J209" i="42"/>
  <c r="I209" i="42"/>
  <c r="H209" i="42"/>
  <c r="D209" i="42"/>
  <c r="C209" i="42"/>
  <c r="K208" i="42"/>
  <c r="J208" i="42"/>
  <c r="I208" i="42"/>
  <c r="H208" i="42"/>
  <c r="D208" i="42"/>
  <c r="C208" i="42"/>
  <c r="K207" i="42"/>
  <c r="J207" i="42"/>
  <c r="I207" i="42"/>
  <c r="H207" i="42"/>
  <c r="D207" i="42"/>
  <c r="C207" i="42"/>
  <c r="K206" i="42"/>
  <c r="J206" i="42"/>
  <c r="I206" i="42"/>
  <c r="H206" i="42"/>
  <c r="D206" i="42"/>
  <c r="C206" i="42"/>
  <c r="K205" i="42"/>
  <c r="J205" i="42"/>
  <c r="I205" i="42"/>
  <c r="H205" i="42"/>
  <c r="D205" i="42"/>
  <c r="C205" i="42"/>
  <c r="K204" i="42"/>
  <c r="J204" i="42"/>
  <c r="I204" i="42"/>
  <c r="H204" i="42"/>
  <c r="D204" i="42"/>
  <c r="C204" i="42"/>
  <c r="K203" i="42"/>
  <c r="J203" i="42"/>
  <c r="I203" i="42"/>
  <c r="H203" i="42"/>
  <c r="D203" i="42"/>
  <c r="C203" i="42"/>
  <c r="K202" i="42"/>
  <c r="J202" i="42"/>
  <c r="I202" i="42"/>
  <c r="H202" i="42"/>
  <c r="D202" i="42"/>
  <c r="C202" i="42"/>
  <c r="K201" i="42"/>
  <c r="J201" i="42"/>
  <c r="I201" i="42"/>
  <c r="H201" i="42"/>
  <c r="D201" i="42"/>
  <c r="C201" i="42"/>
  <c r="K200" i="42"/>
  <c r="J200" i="42"/>
  <c r="I200" i="42"/>
  <c r="H200" i="42"/>
  <c r="D200" i="42"/>
  <c r="C200" i="42"/>
  <c r="K199" i="42"/>
  <c r="J199" i="42"/>
  <c r="I199" i="42"/>
  <c r="H199" i="42"/>
  <c r="D199" i="42"/>
  <c r="C199" i="42"/>
  <c r="K198" i="42"/>
  <c r="J198" i="42"/>
  <c r="I198" i="42"/>
  <c r="H198" i="42"/>
  <c r="D198" i="42"/>
  <c r="C198" i="42"/>
  <c r="K197" i="42"/>
  <c r="J197" i="42"/>
  <c r="I197" i="42"/>
  <c r="H197" i="42"/>
  <c r="D197" i="42"/>
  <c r="C197" i="42"/>
  <c r="K196" i="42"/>
  <c r="J196" i="42"/>
  <c r="I196" i="42"/>
  <c r="H196" i="42"/>
  <c r="D196" i="42"/>
  <c r="C196" i="42"/>
  <c r="K195" i="42"/>
  <c r="J195" i="42"/>
  <c r="I195" i="42"/>
  <c r="H195" i="42"/>
  <c r="D195" i="42"/>
  <c r="C195" i="42"/>
  <c r="K194" i="42"/>
  <c r="J194" i="42"/>
  <c r="I194" i="42"/>
  <c r="H194" i="42"/>
  <c r="D194" i="42"/>
  <c r="C194" i="42"/>
  <c r="K193" i="42"/>
  <c r="J193" i="42"/>
  <c r="I193" i="42"/>
  <c r="H193" i="42"/>
  <c r="D193" i="42"/>
  <c r="C193" i="42"/>
  <c r="K192" i="42"/>
  <c r="J192" i="42"/>
  <c r="I192" i="42"/>
  <c r="H192" i="42"/>
  <c r="D192" i="42"/>
  <c r="C192" i="42"/>
  <c r="K191" i="42"/>
  <c r="J191" i="42"/>
  <c r="I191" i="42"/>
  <c r="H191" i="42"/>
  <c r="D191" i="42"/>
  <c r="C191" i="42"/>
  <c r="K190" i="42"/>
  <c r="J190" i="42"/>
  <c r="I190" i="42"/>
  <c r="H190" i="42"/>
  <c r="D190" i="42"/>
  <c r="C190" i="42"/>
  <c r="K189" i="42"/>
  <c r="J189" i="42"/>
  <c r="I189" i="42"/>
  <c r="H189" i="42"/>
  <c r="D189" i="42"/>
  <c r="C189" i="42"/>
  <c r="K188" i="42"/>
  <c r="J188" i="42"/>
  <c r="I188" i="42"/>
  <c r="H188" i="42"/>
  <c r="D188" i="42"/>
  <c r="C188" i="42"/>
  <c r="K187" i="42"/>
  <c r="J187" i="42"/>
  <c r="I187" i="42"/>
  <c r="H187" i="42"/>
  <c r="D187" i="42"/>
  <c r="C187" i="42"/>
  <c r="K186" i="42"/>
  <c r="J186" i="42"/>
  <c r="I186" i="42"/>
  <c r="H186" i="42"/>
  <c r="D186" i="42"/>
  <c r="C186" i="42"/>
  <c r="K185" i="42"/>
  <c r="J185" i="42"/>
  <c r="I185" i="42"/>
  <c r="H185" i="42"/>
  <c r="D185" i="42"/>
  <c r="C185" i="42"/>
  <c r="K184" i="42"/>
  <c r="J184" i="42"/>
  <c r="I184" i="42"/>
  <c r="H184" i="42"/>
  <c r="D184" i="42"/>
  <c r="C184" i="42"/>
  <c r="L183" i="42"/>
  <c r="K183" i="42"/>
  <c r="J183" i="42"/>
  <c r="I183" i="42"/>
  <c r="H183" i="42"/>
  <c r="D183" i="42"/>
  <c r="C183" i="42"/>
  <c r="K182" i="42"/>
  <c r="J182" i="42"/>
  <c r="I182" i="42"/>
  <c r="H182" i="42"/>
  <c r="D182" i="42"/>
  <c r="C182" i="42"/>
  <c r="K181" i="42"/>
  <c r="J181" i="42"/>
  <c r="I181" i="42"/>
  <c r="H181" i="42"/>
  <c r="D181" i="42"/>
  <c r="C181" i="42"/>
  <c r="K180" i="42"/>
  <c r="J180" i="42"/>
  <c r="I180" i="42"/>
  <c r="H180" i="42"/>
  <c r="D180" i="42"/>
  <c r="C180" i="42"/>
  <c r="L179" i="42"/>
  <c r="K179" i="42"/>
  <c r="J179" i="42"/>
  <c r="I179" i="42"/>
  <c r="H179" i="42"/>
  <c r="D179" i="42"/>
  <c r="C179" i="42"/>
  <c r="K178" i="42"/>
  <c r="J178" i="42"/>
  <c r="I178" i="42"/>
  <c r="H178" i="42"/>
  <c r="D178" i="42"/>
  <c r="C178" i="42"/>
  <c r="K177" i="42"/>
  <c r="J177" i="42"/>
  <c r="I177" i="42"/>
  <c r="H177" i="42"/>
  <c r="D177" i="42"/>
  <c r="C177" i="42"/>
  <c r="K176" i="42"/>
  <c r="J176" i="42"/>
  <c r="I176" i="42"/>
  <c r="H176" i="42"/>
  <c r="D176" i="42"/>
  <c r="C176" i="42"/>
  <c r="K175" i="42"/>
  <c r="J175" i="42"/>
  <c r="I175" i="42"/>
  <c r="H175" i="42"/>
  <c r="D175" i="42"/>
  <c r="C175" i="42"/>
  <c r="K174" i="42"/>
  <c r="J174" i="42"/>
  <c r="I174" i="42"/>
  <c r="H174" i="42"/>
  <c r="D174" i="42"/>
  <c r="C174" i="42"/>
  <c r="K173" i="42"/>
  <c r="J173" i="42"/>
  <c r="I173" i="42"/>
  <c r="H173" i="42"/>
  <c r="D173" i="42"/>
  <c r="C173" i="42"/>
  <c r="K172" i="42"/>
  <c r="J172" i="42"/>
  <c r="I172" i="42"/>
  <c r="H172" i="42"/>
  <c r="D172" i="42"/>
  <c r="C172" i="42"/>
  <c r="K171" i="42"/>
  <c r="J171" i="42"/>
  <c r="I171" i="42"/>
  <c r="H171" i="42"/>
  <c r="D171" i="42"/>
  <c r="C171" i="42"/>
  <c r="K170" i="42"/>
  <c r="J170" i="42"/>
  <c r="I170" i="42"/>
  <c r="H170" i="42"/>
  <c r="D170" i="42"/>
  <c r="C170" i="42"/>
  <c r="K169" i="42"/>
  <c r="J169" i="42"/>
  <c r="I169" i="42"/>
  <c r="H169" i="42"/>
  <c r="D169" i="42"/>
  <c r="C169" i="42"/>
  <c r="K168" i="42"/>
  <c r="J168" i="42"/>
  <c r="I168" i="42"/>
  <c r="H168" i="42"/>
  <c r="D168" i="42"/>
  <c r="C168" i="42"/>
  <c r="K167" i="42"/>
  <c r="J167" i="42"/>
  <c r="I167" i="42"/>
  <c r="H167" i="42"/>
  <c r="D167" i="42"/>
  <c r="C167" i="42"/>
  <c r="L166" i="42"/>
  <c r="K166" i="42"/>
  <c r="J166" i="42"/>
  <c r="I166" i="42"/>
  <c r="H166" i="42"/>
  <c r="D166" i="42"/>
  <c r="C166" i="42"/>
  <c r="K165" i="42"/>
  <c r="J165" i="42"/>
  <c r="I165" i="42"/>
  <c r="H165" i="42"/>
  <c r="D165" i="42"/>
  <c r="C165" i="42"/>
  <c r="K164" i="42"/>
  <c r="J164" i="42"/>
  <c r="I164" i="42"/>
  <c r="H164" i="42"/>
  <c r="D164" i="42"/>
  <c r="C164" i="42"/>
  <c r="K163" i="42"/>
  <c r="J163" i="42"/>
  <c r="I163" i="42"/>
  <c r="H163" i="42"/>
  <c r="D163" i="42"/>
  <c r="C163" i="42"/>
  <c r="K162" i="42"/>
  <c r="J162" i="42"/>
  <c r="I162" i="42"/>
  <c r="H162" i="42"/>
  <c r="D162" i="42"/>
  <c r="C162" i="42"/>
  <c r="K161" i="42"/>
  <c r="J161" i="42"/>
  <c r="I161" i="42"/>
  <c r="H161" i="42"/>
  <c r="D161" i="42"/>
  <c r="C161" i="42"/>
  <c r="K160" i="42"/>
  <c r="J160" i="42"/>
  <c r="I160" i="42"/>
  <c r="H160" i="42"/>
  <c r="D160" i="42"/>
  <c r="C160" i="42"/>
  <c r="K159" i="42"/>
  <c r="J159" i="42"/>
  <c r="I159" i="42"/>
  <c r="H159" i="42"/>
  <c r="D159" i="42"/>
  <c r="C159" i="42"/>
  <c r="K158" i="42"/>
  <c r="J158" i="42"/>
  <c r="I158" i="42"/>
  <c r="H158" i="42"/>
  <c r="D158" i="42"/>
  <c r="C158" i="42"/>
  <c r="L157" i="42"/>
  <c r="K157" i="42"/>
  <c r="J157" i="42"/>
  <c r="I157" i="42"/>
  <c r="H157" i="42"/>
  <c r="D157" i="42"/>
  <c r="C157" i="42"/>
  <c r="K156" i="42"/>
  <c r="J156" i="42"/>
  <c r="I156" i="42"/>
  <c r="H156" i="42"/>
  <c r="D156" i="42"/>
  <c r="C156" i="42"/>
  <c r="K155" i="42"/>
  <c r="J155" i="42"/>
  <c r="I155" i="42"/>
  <c r="H155" i="42"/>
  <c r="D155" i="42"/>
  <c r="C155" i="42"/>
  <c r="K154" i="42"/>
  <c r="J154" i="42"/>
  <c r="I154" i="42"/>
  <c r="H154" i="42"/>
  <c r="D154" i="42"/>
  <c r="C154" i="42"/>
  <c r="K153" i="42"/>
  <c r="J153" i="42"/>
  <c r="I153" i="42"/>
  <c r="H153" i="42"/>
  <c r="D153" i="42"/>
  <c r="C153" i="42"/>
  <c r="K152" i="42"/>
  <c r="J152" i="42"/>
  <c r="I152" i="42"/>
  <c r="H152" i="42"/>
  <c r="D152" i="42"/>
  <c r="C152" i="42"/>
  <c r="K151" i="42"/>
  <c r="J151" i="42"/>
  <c r="I151" i="42"/>
  <c r="H151" i="42"/>
  <c r="D151" i="42"/>
  <c r="C151" i="42"/>
  <c r="K150" i="42"/>
  <c r="J150" i="42"/>
  <c r="I150" i="42"/>
  <c r="H150" i="42"/>
  <c r="D150" i="42"/>
  <c r="C150" i="42"/>
  <c r="K149" i="42"/>
  <c r="J149" i="42"/>
  <c r="I149" i="42"/>
  <c r="H149" i="42"/>
  <c r="D149" i="42"/>
  <c r="C149" i="42"/>
  <c r="K148" i="42"/>
  <c r="J148" i="42"/>
  <c r="I148" i="42"/>
  <c r="H148" i="42"/>
  <c r="D148" i="42"/>
  <c r="C148" i="42"/>
  <c r="K147" i="42"/>
  <c r="J147" i="42"/>
  <c r="I147" i="42"/>
  <c r="H147" i="42"/>
  <c r="D147" i="42"/>
  <c r="C147" i="42"/>
  <c r="K146" i="42"/>
  <c r="J146" i="42"/>
  <c r="I146" i="42"/>
  <c r="H146" i="42"/>
  <c r="D146" i="42"/>
  <c r="C146" i="42"/>
  <c r="K145" i="42"/>
  <c r="J145" i="42"/>
  <c r="I145" i="42"/>
  <c r="H145" i="42"/>
  <c r="D145" i="42"/>
  <c r="C145" i="42"/>
  <c r="K144" i="42"/>
  <c r="J144" i="42"/>
  <c r="I144" i="42"/>
  <c r="H144" i="42"/>
  <c r="D144" i="42"/>
  <c r="C144" i="42"/>
  <c r="K143" i="42"/>
  <c r="J143" i="42"/>
  <c r="I143" i="42"/>
  <c r="H143" i="42"/>
  <c r="D143" i="42"/>
  <c r="C143" i="42"/>
  <c r="K142" i="42"/>
  <c r="J142" i="42"/>
  <c r="I142" i="42"/>
  <c r="H142" i="42"/>
  <c r="D142" i="42"/>
  <c r="C142" i="42"/>
  <c r="K141" i="42"/>
  <c r="J141" i="42"/>
  <c r="I141" i="42"/>
  <c r="H141" i="42"/>
  <c r="D141" i="42"/>
  <c r="C141" i="42"/>
  <c r="K140" i="42"/>
  <c r="J140" i="42"/>
  <c r="I140" i="42"/>
  <c r="H140" i="42"/>
  <c r="D140" i="42"/>
  <c r="C140" i="42"/>
  <c r="K139" i="42"/>
  <c r="J139" i="42"/>
  <c r="I139" i="42"/>
  <c r="H139" i="42"/>
  <c r="D139" i="42"/>
  <c r="C139" i="42"/>
  <c r="K138" i="42"/>
  <c r="J138" i="42"/>
  <c r="I138" i="42"/>
  <c r="H138" i="42"/>
  <c r="D138" i="42"/>
  <c r="C138" i="42"/>
  <c r="K137" i="42"/>
  <c r="J137" i="42"/>
  <c r="I137" i="42"/>
  <c r="H137" i="42"/>
  <c r="D137" i="42"/>
  <c r="C137" i="42"/>
  <c r="K136" i="42"/>
  <c r="J136" i="42"/>
  <c r="I136" i="42"/>
  <c r="H136" i="42"/>
  <c r="D136" i="42"/>
  <c r="C136" i="42"/>
  <c r="K135" i="42"/>
  <c r="J135" i="42"/>
  <c r="I135" i="42"/>
  <c r="H135" i="42"/>
  <c r="D135" i="42"/>
  <c r="C135" i="42"/>
  <c r="K134" i="42"/>
  <c r="J134" i="42"/>
  <c r="I134" i="42"/>
  <c r="H134" i="42"/>
  <c r="D134" i="42"/>
  <c r="C134" i="42"/>
  <c r="K133" i="42"/>
  <c r="J133" i="42"/>
  <c r="I133" i="42"/>
  <c r="H133" i="42"/>
  <c r="D133" i="42"/>
  <c r="C133" i="42"/>
  <c r="K132" i="42"/>
  <c r="J132" i="42"/>
  <c r="I132" i="42"/>
  <c r="H132" i="42"/>
  <c r="D132" i="42"/>
  <c r="C132" i="42"/>
  <c r="K131" i="42"/>
  <c r="J131" i="42"/>
  <c r="I131" i="42"/>
  <c r="H131" i="42"/>
  <c r="D131" i="42"/>
  <c r="C131" i="42"/>
  <c r="K130" i="42"/>
  <c r="J130" i="42"/>
  <c r="I130" i="42"/>
  <c r="H130" i="42"/>
  <c r="D130" i="42"/>
  <c r="C130" i="42"/>
  <c r="L129" i="42"/>
  <c r="K129" i="42"/>
  <c r="J129" i="42"/>
  <c r="I129" i="42"/>
  <c r="H129" i="42"/>
  <c r="D129" i="42"/>
  <c r="C129" i="42"/>
  <c r="K128" i="42"/>
  <c r="J128" i="42"/>
  <c r="I128" i="42"/>
  <c r="H128" i="42"/>
  <c r="D128" i="42"/>
  <c r="C128" i="42"/>
  <c r="K127" i="42"/>
  <c r="J127" i="42"/>
  <c r="I127" i="42"/>
  <c r="H127" i="42"/>
  <c r="D127" i="42"/>
  <c r="C127" i="42"/>
  <c r="K126" i="42"/>
  <c r="J126" i="42"/>
  <c r="I126" i="42"/>
  <c r="H126" i="42"/>
  <c r="D126" i="42"/>
  <c r="C126" i="42"/>
  <c r="K125" i="42"/>
  <c r="J125" i="42"/>
  <c r="I125" i="42"/>
  <c r="H125" i="42"/>
  <c r="D125" i="42"/>
  <c r="C125" i="42"/>
  <c r="K124" i="42"/>
  <c r="J124" i="42"/>
  <c r="I124" i="42"/>
  <c r="H124" i="42"/>
  <c r="D124" i="42"/>
  <c r="C124" i="42"/>
  <c r="L123" i="42"/>
  <c r="K123" i="42"/>
  <c r="J123" i="42"/>
  <c r="I123" i="42"/>
  <c r="H123" i="42"/>
  <c r="D123" i="42"/>
  <c r="C123" i="42"/>
  <c r="K122" i="42"/>
  <c r="J122" i="42"/>
  <c r="I122" i="42"/>
  <c r="H122" i="42"/>
  <c r="D122" i="42"/>
  <c r="C122" i="42"/>
  <c r="K121" i="42"/>
  <c r="J121" i="42"/>
  <c r="I121" i="42"/>
  <c r="H121" i="42"/>
  <c r="D121" i="42"/>
  <c r="C121" i="42"/>
  <c r="K120" i="42"/>
  <c r="J120" i="42"/>
  <c r="I120" i="42"/>
  <c r="H120" i="42"/>
  <c r="D120" i="42"/>
  <c r="C120" i="42"/>
  <c r="K119" i="42"/>
  <c r="J119" i="42"/>
  <c r="I119" i="42"/>
  <c r="H119" i="42"/>
  <c r="D119" i="42"/>
  <c r="C119" i="42"/>
  <c r="K118" i="42"/>
  <c r="J118" i="42"/>
  <c r="I118" i="42"/>
  <c r="H118" i="42"/>
  <c r="D118" i="42"/>
  <c r="C118" i="42"/>
  <c r="L117" i="42"/>
  <c r="K117" i="42"/>
  <c r="J117" i="42"/>
  <c r="I117" i="42"/>
  <c r="H117" i="42"/>
  <c r="D117" i="42"/>
  <c r="C117" i="42"/>
  <c r="K116" i="42"/>
  <c r="J116" i="42"/>
  <c r="I116" i="42"/>
  <c r="H116" i="42"/>
  <c r="D116" i="42"/>
  <c r="C116" i="42"/>
  <c r="L115" i="42"/>
  <c r="K115" i="42"/>
  <c r="J115" i="42"/>
  <c r="I115" i="42"/>
  <c r="H115" i="42"/>
  <c r="D115" i="42"/>
  <c r="C115" i="42"/>
  <c r="K114" i="42"/>
  <c r="J114" i="42"/>
  <c r="I114" i="42"/>
  <c r="H114" i="42"/>
  <c r="D114" i="42"/>
  <c r="C114" i="42"/>
  <c r="K113" i="42"/>
  <c r="J113" i="42"/>
  <c r="I113" i="42"/>
  <c r="H113" i="42"/>
  <c r="D113" i="42"/>
  <c r="C113" i="42"/>
  <c r="K112" i="42"/>
  <c r="J112" i="42"/>
  <c r="I112" i="42"/>
  <c r="H112" i="42"/>
  <c r="D112" i="42"/>
  <c r="C112" i="42"/>
  <c r="K111" i="42"/>
  <c r="J111" i="42"/>
  <c r="I111" i="42"/>
  <c r="H111" i="42"/>
  <c r="D111" i="42"/>
  <c r="C111" i="42"/>
  <c r="K110" i="42"/>
  <c r="J110" i="42"/>
  <c r="I110" i="42"/>
  <c r="H110" i="42"/>
  <c r="D110" i="42"/>
  <c r="C110" i="42"/>
  <c r="K109" i="42"/>
  <c r="J109" i="42"/>
  <c r="I109" i="42"/>
  <c r="H109" i="42"/>
  <c r="D109" i="42"/>
  <c r="C109" i="42"/>
  <c r="K108" i="42"/>
  <c r="J108" i="42"/>
  <c r="I108" i="42"/>
  <c r="H108" i="42"/>
  <c r="D108" i="42"/>
  <c r="C108" i="42"/>
  <c r="K107" i="42"/>
  <c r="J107" i="42"/>
  <c r="I107" i="42"/>
  <c r="H107" i="42"/>
  <c r="D107" i="42"/>
  <c r="C107" i="42"/>
  <c r="K106" i="42"/>
  <c r="J106" i="42"/>
  <c r="I106" i="42"/>
  <c r="H106" i="42"/>
  <c r="D106" i="42"/>
  <c r="C106" i="42"/>
  <c r="L105" i="42"/>
  <c r="K105" i="42"/>
  <c r="J105" i="42"/>
  <c r="I105" i="42"/>
  <c r="H105" i="42"/>
  <c r="D105" i="42"/>
  <c r="C105" i="42"/>
  <c r="L104" i="42"/>
  <c r="K104" i="42"/>
  <c r="J104" i="42"/>
  <c r="I104" i="42"/>
  <c r="H104" i="42"/>
  <c r="D104" i="42"/>
  <c r="C104" i="42"/>
  <c r="K103" i="42"/>
  <c r="J103" i="42"/>
  <c r="I103" i="42"/>
  <c r="H103" i="42"/>
  <c r="D103" i="42"/>
  <c r="C103" i="42"/>
  <c r="K102" i="42"/>
  <c r="J102" i="42"/>
  <c r="I102" i="42"/>
  <c r="H102" i="42"/>
  <c r="D102" i="42"/>
  <c r="C102" i="42"/>
  <c r="K101" i="42"/>
  <c r="J101" i="42"/>
  <c r="I101" i="42"/>
  <c r="H101" i="42"/>
  <c r="D101" i="42"/>
  <c r="C101" i="42"/>
  <c r="L100" i="42"/>
  <c r="K100" i="42"/>
  <c r="J100" i="42"/>
  <c r="I100" i="42"/>
  <c r="H100" i="42"/>
  <c r="D100" i="42"/>
  <c r="C100" i="42"/>
  <c r="K99" i="42"/>
  <c r="J99" i="42"/>
  <c r="I99" i="42"/>
  <c r="H99" i="42"/>
  <c r="D99" i="42"/>
  <c r="C99" i="42"/>
  <c r="L98" i="42"/>
  <c r="K98" i="42"/>
  <c r="J98" i="42"/>
  <c r="I98" i="42"/>
  <c r="H98" i="42"/>
  <c r="D98" i="42"/>
  <c r="C98" i="42"/>
  <c r="K97" i="42"/>
  <c r="J97" i="42"/>
  <c r="I97" i="42"/>
  <c r="H97" i="42"/>
  <c r="D97" i="42"/>
  <c r="C97" i="42"/>
  <c r="K96" i="42"/>
  <c r="J96" i="42"/>
  <c r="I96" i="42"/>
  <c r="H96" i="42"/>
  <c r="D96" i="42"/>
  <c r="C96" i="42"/>
  <c r="K95" i="42"/>
  <c r="J95" i="42"/>
  <c r="I95" i="42"/>
  <c r="H95" i="42"/>
  <c r="D95" i="42"/>
  <c r="C95" i="42"/>
  <c r="L94" i="42"/>
  <c r="K94" i="42"/>
  <c r="J94" i="42"/>
  <c r="I94" i="42"/>
  <c r="H94" i="42"/>
  <c r="D94" i="42"/>
  <c r="C94" i="42"/>
  <c r="K93" i="42"/>
  <c r="J93" i="42"/>
  <c r="I93" i="42"/>
  <c r="H93" i="42"/>
  <c r="D93" i="42"/>
  <c r="C93" i="42"/>
  <c r="K92" i="42"/>
  <c r="J92" i="42"/>
  <c r="I92" i="42"/>
  <c r="H92" i="42"/>
  <c r="D92" i="42"/>
  <c r="C92" i="42"/>
  <c r="K91" i="42"/>
  <c r="J91" i="42"/>
  <c r="I91" i="42"/>
  <c r="H91" i="42"/>
  <c r="D91" i="42"/>
  <c r="C91" i="42"/>
  <c r="K90" i="42"/>
  <c r="J90" i="42"/>
  <c r="I90" i="42"/>
  <c r="H90" i="42"/>
  <c r="D90" i="42"/>
  <c r="C90" i="42"/>
  <c r="K89" i="42"/>
  <c r="J89" i="42"/>
  <c r="I89" i="42"/>
  <c r="H89" i="42"/>
  <c r="D89" i="42"/>
  <c r="C89" i="42"/>
  <c r="K88" i="42"/>
  <c r="J88" i="42"/>
  <c r="I88" i="42"/>
  <c r="H88" i="42"/>
  <c r="D88" i="42"/>
  <c r="C88" i="42"/>
  <c r="K87" i="42"/>
  <c r="J87" i="42"/>
  <c r="I87" i="42"/>
  <c r="H87" i="42"/>
  <c r="D87" i="42"/>
  <c r="C87" i="42"/>
  <c r="L86" i="42"/>
  <c r="K86" i="42"/>
  <c r="J86" i="42"/>
  <c r="I86" i="42"/>
  <c r="H86" i="42"/>
  <c r="D86" i="42"/>
  <c r="C86" i="42"/>
  <c r="K85" i="42"/>
  <c r="J85" i="42"/>
  <c r="I85" i="42"/>
  <c r="H85" i="42"/>
  <c r="D85" i="42"/>
  <c r="C85" i="42"/>
  <c r="K84" i="42"/>
  <c r="J84" i="42"/>
  <c r="I84" i="42"/>
  <c r="H84" i="42"/>
  <c r="D84" i="42"/>
  <c r="C84" i="42"/>
  <c r="K83" i="42"/>
  <c r="J83" i="42"/>
  <c r="I83" i="42"/>
  <c r="H83" i="42"/>
  <c r="D83" i="42"/>
  <c r="C83" i="42"/>
  <c r="K82" i="42"/>
  <c r="J82" i="42"/>
  <c r="I82" i="42"/>
  <c r="H82" i="42"/>
  <c r="D82" i="42"/>
  <c r="C82" i="42"/>
  <c r="K81" i="42"/>
  <c r="J81" i="42"/>
  <c r="I81" i="42"/>
  <c r="H81" i="42"/>
  <c r="D81" i="42"/>
  <c r="C81" i="42"/>
  <c r="L80" i="42"/>
  <c r="K80" i="42"/>
  <c r="J80" i="42"/>
  <c r="I80" i="42"/>
  <c r="H80" i="42"/>
  <c r="D80" i="42"/>
  <c r="C80" i="42"/>
  <c r="K79" i="42"/>
  <c r="J79" i="42"/>
  <c r="I79" i="42"/>
  <c r="H79" i="42"/>
  <c r="D79" i="42"/>
  <c r="C79" i="42"/>
  <c r="K78" i="42"/>
  <c r="J78" i="42"/>
  <c r="I78" i="42"/>
  <c r="H78" i="42"/>
  <c r="D78" i="42"/>
  <c r="C78" i="42"/>
  <c r="K77" i="42"/>
  <c r="J77" i="42"/>
  <c r="I77" i="42"/>
  <c r="H77" i="42"/>
  <c r="D77" i="42"/>
  <c r="C77" i="42"/>
  <c r="K76" i="42"/>
  <c r="J76" i="42"/>
  <c r="I76" i="42"/>
  <c r="H76" i="42"/>
  <c r="D76" i="42"/>
  <c r="C76" i="42"/>
  <c r="K75" i="42"/>
  <c r="J75" i="42"/>
  <c r="I75" i="42"/>
  <c r="H75" i="42"/>
  <c r="D75" i="42"/>
  <c r="C75" i="42"/>
  <c r="K74" i="42"/>
  <c r="J74" i="42"/>
  <c r="I74" i="42"/>
  <c r="H74" i="42"/>
  <c r="D74" i="42"/>
  <c r="C74" i="42"/>
  <c r="K73" i="42"/>
  <c r="J73" i="42"/>
  <c r="I73" i="42"/>
  <c r="H73" i="42"/>
  <c r="D73" i="42"/>
  <c r="C73" i="42"/>
  <c r="K72" i="42"/>
  <c r="J72" i="42"/>
  <c r="I72" i="42"/>
  <c r="H72" i="42"/>
  <c r="D72" i="42"/>
  <c r="C72" i="42"/>
  <c r="K71" i="42"/>
  <c r="J71" i="42"/>
  <c r="I71" i="42"/>
  <c r="H71" i="42"/>
  <c r="D71" i="42"/>
  <c r="C71" i="42"/>
  <c r="K70" i="42"/>
  <c r="J70" i="42"/>
  <c r="I70" i="42"/>
  <c r="H70" i="42"/>
  <c r="D70" i="42"/>
  <c r="C70" i="42"/>
  <c r="K69" i="42"/>
  <c r="J69" i="42"/>
  <c r="I69" i="42"/>
  <c r="H69" i="42"/>
  <c r="D69" i="42"/>
  <c r="C69" i="42"/>
  <c r="K68" i="42"/>
  <c r="J68" i="42"/>
  <c r="I68" i="42"/>
  <c r="H68" i="42"/>
  <c r="D68" i="42"/>
  <c r="C68" i="42"/>
  <c r="K67" i="42"/>
  <c r="J67" i="42"/>
  <c r="I67" i="42"/>
  <c r="H67" i="42"/>
  <c r="D67" i="42"/>
  <c r="C67" i="42"/>
  <c r="K66" i="42"/>
  <c r="J66" i="42"/>
  <c r="I66" i="42"/>
  <c r="H66" i="42"/>
  <c r="D66" i="42"/>
  <c r="C66" i="42"/>
  <c r="K65" i="42"/>
  <c r="J65" i="42"/>
  <c r="I65" i="42"/>
  <c r="H65" i="42"/>
  <c r="D65" i="42"/>
  <c r="C65" i="42"/>
  <c r="K64" i="42"/>
  <c r="J64" i="42"/>
  <c r="I64" i="42"/>
  <c r="H64" i="42"/>
  <c r="D64" i="42"/>
  <c r="C64" i="42"/>
  <c r="L63" i="42"/>
  <c r="K63" i="42"/>
  <c r="J63" i="42"/>
  <c r="I63" i="42"/>
  <c r="H63" i="42"/>
  <c r="D63" i="42"/>
  <c r="C63" i="42"/>
  <c r="K62" i="42"/>
  <c r="J62" i="42"/>
  <c r="I62" i="42"/>
  <c r="H62" i="42"/>
  <c r="D62" i="42"/>
  <c r="C62" i="42"/>
  <c r="L61" i="42"/>
  <c r="K61" i="42"/>
  <c r="J61" i="42"/>
  <c r="I61" i="42"/>
  <c r="H61" i="42"/>
  <c r="D61" i="42"/>
  <c r="C61" i="42"/>
  <c r="K60" i="42"/>
  <c r="J60" i="42"/>
  <c r="I60" i="42"/>
  <c r="H60" i="42"/>
  <c r="D60" i="42"/>
  <c r="C60" i="42"/>
  <c r="K59" i="42"/>
  <c r="J59" i="42"/>
  <c r="I59" i="42"/>
  <c r="H59" i="42"/>
  <c r="D59" i="42"/>
  <c r="C59" i="42"/>
  <c r="K58" i="42"/>
  <c r="J58" i="42"/>
  <c r="I58" i="42"/>
  <c r="H58" i="42"/>
  <c r="D58" i="42"/>
  <c r="C58" i="42"/>
  <c r="K57" i="42"/>
  <c r="J57" i="42"/>
  <c r="I57" i="42"/>
  <c r="H57" i="42"/>
  <c r="D57" i="42"/>
  <c r="C57" i="42"/>
  <c r="K56" i="42"/>
  <c r="J56" i="42"/>
  <c r="I56" i="42"/>
  <c r="H56" i="42"/>
  <c r="D56" i="42"/>
  <c r="C56" i="42"/>
  <c r="L55" i="42"/>
  <c r="K55" i="42"/>
  <c r="J55" i="42"/>
  <c r="I55" i="42"/>
  <c r="H55" i="42"/>
  <c r="D55" i="42"/>
  <c r="C55" i="42"/>
  <c r="K54" i="42"/>
  <c r="J54" i="42"/>
  <c r="I54" i="42"/>
  <c r="H54" i="42"/>
  <c r="D54" i="42"/>
  <c r="C54" i="42"/>
  <c r="K53" i="42"/>
  <c r="J53" i="42"/>
  <c r="I53" i="42"/>
  <c r="H53" i="42"/>
  <c r="D53" i="42"/>
  <c r="C53" i="42"/>
  <c r="K52" i="42"/>
  <c r="J52" i="42"/>
  <c r="I52" i="42"/>
  <c r="H52" i="42"/>
  <c r="D52" i="42"/>
  <c r="C52" i="42"/>
  <c r="K51" i="42"/>
  <c r="J51" i="42"/>
  <c r="I51" i="42"/>
  <c r="H51" i="42"/>
  <c r="D51" i="42"/>
  <c r="C51" i="42"/>
  <c r="L50" i="42"/>
  <c r="K50" i="42"/>
  <c r="J50" i="42"/>
  <c r="I50" i="42"/>
  <c r="H50" i="42"/>
  <c r="D50" i="42"/>
  <c r="C50" i="42"/>
  <c r="K49" i="42"/>
  <c r="J49" i="42"/>
  <c r="I49" i="42"/>
  <c r="H49" i="42"/>
  <c r="D49" i="42"/>
  <c r="C49" i="42"/>
  <c r="K48" i="42"/>
  <c r="J48" i="42"/>
  <c r="I48" i="42"/>
  <c r="H48" i="42"/>
  <c r="D48" i="42"/>
  <c r="C48" i="42"/>
  <c r="L47" i="42"/>
  <c r="K47" i="42"/>
  <c r="J47" i="42"/>
  <c r="I47" i="42"/>
  <c r="H47" i="42"/>
  <c r="D47" i="42"/>
  <c r="C47" i="42"/>
  <c r="K46" i="42"/>
  <c r="J46" i="42"/>
  <c r="I46" i="42"/>
  <c r="H46" i="42"/>
  <c r="D46" i="42"/>
  <c r="C46" i="42"/>
  <c r="K45" i="42"/>
  <c r="J45" i="42"/>
  <c r="I45" i="42"/>
  <c r="H45" i="42"/>
  <c r="D45" i="42"/>
  <c r="C45" i="42"/>
  <c r="K44" i="42"/>
  <c r="J44" i="42"/>
  <c r="I44" i="42"/>
  <c r="H44" i="42"/>
  <c r="D44" i="42"/>
  <c r="C44" i="42"/>
  <c r="K43" i="42"/>
  <c r="J43" i="42"/>
  <c r="I43" i="42"/>
  <c r="H43" i="42"/>
  <c r="D43" i="42"/>
  <c r="C43" i="42"/>
  <c r="K42" i="42"/>
  <c r="J42" i="42"/>
  <c r="I42" i="42"/>
  <c r="H42" i="42"/>
  <c r="D42" i="42"/>
  <c r="C42" i="42"/>
  <c r="K41" i="42"/>
  <c r="J41" i="42"/>
  <c r="I41" i="42"/>
  <c r="H41" i="42"/>
  <c r="D41" i="42"/>
  <c r="C41" i="42"/>
  <c r="B298" i="42"/>
  <c r="B326" i="58"/>
  <c r="P303" i="44"/>
  <c r="O303" i="44"/>
  <c r="Q303" i="44" s="1"/>
  <c r="N303" i="44"/>
  <c r="L303" i="44"/>
  <c r="K303" i="44"/>
  <c r="M303" i="44" s="1"/>
  <c r="J303" i="44"/>
  <c r="H303" i="44"/>
  <c r="G303" i="44"/>
  <c r="C303" i="44"/>
  <c r="B303" i="44"/>
  <c r="P302" i="44"/>
  <c r="O302" i="44"/>
  <c r="N302" i="44"/>
  <c r="Q302" i="44" s="1"/>
  <c r="L302" i="44"/>
  <c r="K302" i="44"/>
  <c r="J302" i="44"/>
  <c r="M302" i="44" s="1"/>
  <c r="R302" i="44" s="1"/>
  <c r="G302" i="44"/>
  <c r="H302" i="44" s="1"/>
  <c r="C302" i="44"/>
  <c r="B302" i="44"/>
  <c r="P301" i="44"/>
  <c r="O301" i="44"/>
  <c r="Q301" i="44" s="1"/>
  <c r="N301" i="44"/>
  <c r="L301" i="44"/>
  <c r="K301" i="44"/>
  <c r="M301" i="44" s="1"/>
  <c r="R301" i="44" s="1"/>
  <c r="J301" i="44"/>
  <c r="H301" i="44"/>
  <c r="G301" i="44"/>
  <c r="C301" i="44"/>
  <c r="B301" i="44"/>
  <c r="P300" i="44"/>
  <c r="O300" i="44"/>
  <c r="N300" i="44"/>
  <c r="Q300" i="44" s="1"/>
  <c r="L300" i="44"/>
  <c r="K300" i="44"/>
  <c r="J300" i="44"/>
  <c r="M300" i="44" s="1"/>
  <c r="G300" i="44"/>
  <c r="H300" i="44" s="1"/>
  <c r="C300" i="44"/>
  <c r="B300" i="44"/>
  <c r="P299" i="44"/>
  <c r="O299" i="44"/>
  <c r="Q299" i="44" s="1"/>
  <c r="N299" i="44"/>
  <c r="L299" i="44"/>
  <c r="K299" i="44"/>
  <c r="M299" i="44" s="1"/>
  <c r="J299" i="44"/>
  <c r="H299" i="44"/>
  <c r="G299" i="44"/>
  <c r="C299" i="44"/>
  <c r="B299" i="44"/>
  <c r="P298" i="44"/>
  <c r="O298" i="44"/>
  <c r="N298" i="44"/>
  <c r="Q298" i="44" s="1"/>
  <c r="L298" i="44"/>
  <c r="K298" i="44"/>
  <c r="J298" i="44"/>
  <c r="M298" i="44" s="1"/>
  <c r="R298" i="44" s="1"/>
  <c r="G298" i="44"/>
  <c r="H298" i="44" s="1"/>
  <c r="C298" i="44"/>
  <c r="B298" i="44"/>
  <c r="P297" i="44"/>
  <c r="O297" i="44"/>
  <c r="Q297" i="44" s="1"/>
  <c r="N297" i="44"/>
  <c r="L297" i="44"/>
  <c r="K297" i="44"/>
  <c r="M297" i="44" s="1"/>
  <c r="R297" i="44" s="1"/>
  <c r="J297" i="44"/>
  <c r="H297" i="44"/>
  <c r="G297" i="44"/>
  <c r="C297" i="44"/>
  <c r="B297" i="44"/>
  <c r="P296" i="44"/>
  <c r="O296" i="44"/>
  <c r="N296" i="44"/>
  <c r="Q296" i="44" s="1"/>
  <c r="L296" i="44"/>
  <c r="K296" i="44"/>
  <c r="J296" i="44"/>
  <c r="M296" i="44" s="1"/>
  <c r="G296" i="44"/>
  <c r="H296" i="44" s="1"/>
  <c r="C296" i="44"/>
  <c r="B296" i="44"/>
  <c r="P295" i="44"/>
  <c r="O295" i="44"/>
  <c r="Q295" i="44" s="1"/>
  <c r="N295" i="44"/>
  <c r="L295" i="44"/>
  <c r="K295" i="44"/>
  <c r="M295" i="44" s="1"/>
  <c r="J295" i="44"/>
  <c r="H295" i="44"/>
  <c r="G295" i="44"/>
  <c r="C295" i="44"/>
  <c r="B295" i="44"/>
  <c r="P294" i="44"/>
  <c r="O294" i="44"/>
  <c r="N294" i="44"/>
  <c r="Q294" i="44" s="1"/>
  <c r="L294" i="44"/>
  <c r="K294" i="44"/>
  <c r="J294" i="44"/>
  <c r="M294" i="44" s="1"/>
  <c r="R294" i="44" s="1"/>
  <c r="G294" i="44"/>
  <c r="H294" i="44" s="1"/>
  <c r="C294" i="44"/>
  <c r="B294" i="44"/>
  <c r="P293" i="44"/>
  <c r="O293" i="44"/>
  <c r="Q293" i="44" s="1"/>
  <c r="N293" i="44"/>
  <c r="L293" i="44"/>
  <c r="K293" i="44"/>
  <c r="M293" i="44" s="1"/>
  <c r="R293" i="44" s="1"/>
  <c r="J293" i="44"/>
  <c r="H293" i="44"/>
  <c r="G293" i="44"/>
  <c r="C293" i="44"/>
  <c r="B293" i="44"/>
  <c r="P292" i="44"/>
  <c r="O292" i="44"/>
  <c r="N292" i="44"/>
  <c r="Q292" i="44" s="1"/>
  <c r="L292" i="44"/>
  <c r="K292" i="44"/>
  <c r="J292" i="44"/>
  <c r="M292" i="44" s="1"/>
  <c r="G292" i="44"/>
  <c r="H292" i="44" s="1"/>
  <c r="C292" i="44"/>
  <c r="B292" i="44"/>
  <c r="P291" i="44"/>
  <c r="O291" i="44"/>
  <c r="Q291" i="44" s="1"/>
  <c r="N291" i="44"/>
  <c r="L291" i="44"/>
  <c r="K291" i="44"/>
  <c r="M291" i="44" s="1"/>
  <c r="J291" i="44"/>
  <c r="H291" i="44"/>
  <c r="G291" i="44"/>
  <c r="C291" i="44"/>
  <c r="B291" i="44"/>
  <c r="P290" i="44"/>
  <c r="O290" i="44"/>
  <c r="N290" i="44"/>
  <c r="Q290" i="44" s="1"/>
  <c r="L290" i="44"/>
  <c r="K290" i="44"/>
  <c r="J290" i="44"/>
  <c r="M290" i="44" s="1"/>
  <c r="R290" i="44" s="1"/>
  <c r="G290" i="44"/>
  <c r="H290" i="44" s="1"/>
  <c r="C290" i="44"/>
  <c r="B290" i="44"/>
  <c r="P289" i="44"/>
  <c r="O289" i="44"/>
  <c r="Q289" i="44" s="1"/>
  <c r="N289" i="44"/>
  <c r="L289" i="44"/>
  <c r="K289" i="44"/>
  <c r="M289" i="44" s="1"/>
  <c r="R289" i="44" s="1"/>
  <c r="J289" i="44"/>
  <c r="H289" i="44"/>
  <c r="G289" i="44"/>
  <c r="C289" i="44"/>
  <c r="B289" i="44"/>
  <c r="P288" i="44"/>
  <c r="O288" i="44"/>
  <c r="N288" i="44"/>
  <c r="Q288" i="44" s="1"/>
  <c r="L288" i="44"/>
  <c r="K288" i="44"/>
  <c r="J288" i="44"/>
  <c r="M288" i="44" s="1"/>
  <c r="G288" i="44"/>
  <c r="H288" i="44" s="1"/>
  <c r="C288" i="44"/>
  <c r="B288" i="44"/>
  <c r="P287" i="44"/>
  <c r="O287" i="44"/>
  <c r="Q287" i="44" s="1"/>
  <c r="N287" i="44"/>
  <c r="L287" i="44"/>
  <c r="K287" i="44"/>
  <c r="M287" i="44" s="1"/>
  <c r="J287" i="44"/>
  <c r="H287" i="44"/>
  <c r="G287" i="44"/>
  <c r="C287" i="44"/>
  <c r="B287" i="44"/>
  <c r="P286" i="44"/>
  <c r="O286" i="44"/>
  <c r="N286" i="44"/>
  <c r="Q286" i="44" s="1"/>
  <c r="L286" i="44"/>
  <c r="K286" i="44"/>
  <c r="J286" i="44"/>
  <c r="M286" i="44" s="1"/>
  <c r="R286" i="44" s="1"/>
  <c r="G286" i="44"/>
  <c r="H286" i="44" s="1"/>
  <c r="C286" i="44"/>
  <c r="B286" i="44"/>
  <c r="P285" i="44"/>
  <c r="O285" i="44"/>
  <c r="Q285" i="44" s="1"/>
  <c r="N285" i="44"/>
  <c r="L285" i="44"/>
  <c r="K285" i="44"/>
  <c r="M285" i="44" s="1"/>
  <c r="R285" i="44" s="1"/>
  <c r="J285" i="44"/>
  <c r="H285" i="44"/>
  <c r="G285" i="44"/>
  <c r="C285" i="44"/>
  <c r="B285" i="44"/>
  <c r="P284" i="44"/>
  <c r="O284" i="44"/>
  <c r="N284" i="44"/>
  <c r="Q284" i="44" s="1"/>
  <c r="L284" i="44"/>
  <c r="K284" i="44"/>
  <c r="J284" i="44"/>
  <c r="M284" i="44" s="1"/>
  <c r="G284" i="44"/>
  <c r="H284" i="44" s="1"/>
  <c r="C284" i="44"/>
  <c r="B284" i="44"/>
  <c r="P283" i="44"/>
  <c r="O283" i="44"/>
  <c r="Q283" i="44" s="1"/>
  <c r="N283" i="44"/>
  <c r="L283" i="44"/>
  <c r="K283" i="44"/>
  <c r="M283" i="44" s="1"/>
  <c r="J283" i="44"/>
  <c r="H283" i="44"/>
  <c r="G283" i="44"/>
  <c r="C283" i="44"/>
  <c r="B283" i="44"/>
  <c r="P282" i="44"/>
  <c r="O282" i="44"/>
  <c r="N282" i="44"/>
  <c r="Q282" i="44" s="1"/>
  <c r="L282" i="44"/>
  <c r="K282" i="44"/>
  <c r="J282" i="44"/>
  <c r="M282" i="44" s="1"/>
  <c r="R282" i="44" s="1"/>
  <c r="G282" i="44"/>
  <c r="H282" i="44" s="1"/>
  <c r="C282" i="44"/>
  <c r="B282" i="44"/>
  <c r="P281" i="44"/>
  <c r="O281" i="44"/>
  <c r="Q281" i="44" s="1"/>
  <c r="N281" i="44"/>
  <c r="L281" i="44"/>
  <c r="K281" i="44"/>
  <c r="M281" i="44" s="1"/>
  <c r="R281" i="44" s="1"/>
  <c r="J281" i="44"/>
  <c r="H281" i="44"/>
  <c r="G281" i="44"/>
  <c r="C281" i="44"/>
  <c r="B281" i="44"/>
  <c r="P280" i="44"/>
  <c r="O280" i="44"/>
  <c r="N280" i="44"/>
  <c r="Q280" i="44" s="1"/>
  <c r="L280" i="44"/>
  <c r="K280" i="44"/>
  <c r="J280" i="44"/>
  <c r="M280" i="44" s="1"/>
  <c r="G280" i="44"/>
  <c r="H280" i="44" s="1"/>
  <c r="C280" i="44"/>
  <c r="B280" i="44"/>
  <c r="P279" i="44"/>
  <c r="O279" i="44"/>
  <c r="Q279" i="44" s="1"/>
  <c r="N279" i="44"/>
  <c r="L279" i="44"/>
  <c r="K279" i="44"/>
  <c r="M279" i="44" s="1"/>
  <c r="J279" i="44"/>
  <c r="H279" i="44"/>
  <c r="G279" i="44"/>
  <c r="C279" i="44"/>
  <c r="B279" i="44"/>
  <c r="P278" i="44"/>
  <c r="O278" i="44"/>
  <c r="N278" i="44"/>
  <c r="Q278" i="44" s="1"/>
  <c r="L278" i="44"/>
  <c r="K278" i="44"/>
  <c r="J278" i="44"/>
  <c r="M278" i="44" s="1"/>
  <c r="R278" i="44" s="1"/>
  <c r="G278" i="44"/>
  <c r="H278" i="44" s="1"/>
  <c r="C278" i="44"/>
  <c r="B278" i="44"/>
  <c r="P277" i="44"/>
  <c r="O277" i="44"/>
  <c r="Q277" i="44" s="1"/>
  <c r="N277" i="44"/>
  <c r="L277" i="44"/>
  <c r="K277" i="44"/>
  <c r="M277" i="44" s="1"/>
  <c r="R277" i="44" s="1"/>
  <c r="J277" i="44"/>
  <c r="H277" i="44"/>
  <c r="G277" i="44"/>
  <c r="C277" i="44"/>
  <c r="B277" i="44"/>
  <c r="P276" i="44"/>
  <c r="O276" i="44"/>
  <c r="N276" i="44"/>
  <c r="Q276" i="44" s="1"/>
  <c r="L276" i="44"/>
  <c r="K276" i="44"/>
  <c r="J276" i="44"/>
  <c r="M276" i="44" s="1"/>
  <c r="G276" i="44"/>
  <c r="H276" i="44" s="1"/>
  <c r="C276" i="44"/>
  <c r="B276" i="44"/>
  <c r="P275" i="44"/>
  <c r="O275" i="44"/>
  <c r="Q275" i="44" s="1"/>
  <c r="N275" i="44"/>
  <c r="L275" i="44"/>
  <c r="K275" i="44"/>
  <c r="M275" i="44" s="1"/>
  <c r="J275" i="44"/>
  <c r="H275" i="44"/>
  <c r="G275" i="44"/>
  <c r="C275" i="44"/>
  <c r="B275" i="44"/>
  <c r="P274" i="44"/>
  <c r="O274" i="44"/>
  <c r="N274" i="44"/>
  <c r="Q274" i="44" s="1"/>
  <c r="L274" i="44"/>
  <c r="K274" i="44"/>
  <c r="J274" i="44"/>
  <c r="M274" i="44" s="1"/>
  <c r="R274" i="44" s="1"/>
  <c r="G274" i="44"/>
  <c r="H274" i="44" s="1"/>
  <c r="C274" i="44"/>
  <c r="B274" i="44"/>
  <c r="P273" i="44"/>
  <c r="O273" i="44"/>
  <c r="Q273" i="44" s="1"/>
  <c r="N273" i="44"/>
  <c r="L273" i="44"/>
  <c r="K273" i="44"/>
  <c r="M273" i="44" s="1"/>
  <c r="R273" i="44" s="1"/>
  <c r="J273" i="44"/>
  <c r="H273" i="44"/>
  <c r="G273" i="44"/>
  <c r="C273" i="44"/>
  <c r="B273" i="44"/>
  <c r="P272" i="44"/>
  <c r="O272" i="44"/>
  <c r="N272" i="44"/>
  <c r="Q272" i="44" s="1"/>
  <c r="L272" i="44"/>
  <c r="K272" i="44"/>
  <c r="J272" i="44"/>
  <c r="M272" i="44" s="1"/>
  <c r="G272" i="44"/>
  <c r="H272" i="44" s="1"/>
  <c r="C272" i="44"/>
  <c r="B272" i="44"/>
  <c r="P271" i="44"/>
  <c r="O271" i="44"/>
  <c r="Q271" i="44" s="1"/>
  <c r="N271" i="44"/>
  <c r="L271" i="44"/>
  <c r="K271" i="44"/>
  <c r="M271" i="44" s="1"/>
  <c r="J271" i="44"/>
  <c r="H271" i="44"/>
  <c r="G271" i="44"/>
  <c r="C271" i="44"/>
  <c r="B271" i="44"/>
  <c r="P270" i="44"/>
  <c r="O270" i="44"/>
  <c r="N270" i="44"/>
  <c r="Q270" i="44" s="1"/>
  <c r="L270" i="44"/>
  <c r="K270" i="44"/>
  <c r="J270" i="44"/>
  <c r="M270" i="44" s="1"/>
  <c r="R270" i="44" s="1"/>
  <c r="G270" i="44"/>
  <c r="H270" i="44" s="1"/>
  <c r="C270" i="44"/>
  <c r="B270" i="44"/>
  <c r="P269" i="44"/>
  <c r="O269" i="44"/>
  <c r="Q269" i="44" s="1"/>
  <c r="N269" i="44"/>
  <c r="L269" i="44"/>
  <c r="K269" i="44"/>
  <c r="M269" i="44" s="1"/>
  <c r="R269" i="44" s="1"/>
  <c r="J269" i="44"/>
  <c r="H269" i="44"/>
  <c r="G269" i="44"/>
  <c r="C269" i="44"/>
  <c r="B269" i="44"/>
  <c r="P268" i="44"/>
  <c r="O268" i="44"/>
  <c r="N268" i="44"/>
  <c r="Q268" i="44" s="1"/>
  <c r="L268" i="44"/>
  <c r="K268" i="44"/>
  <c r="J268" i="44"/>
  <c r="M268" i="44" s="1"/>
  <c r="G268" i="44"/>
  <c r="H268" i="44" s="1"/>
  <c r="C268" i="44"/>
  <c r="B268" i="44"/>
  <c r="P267" i="44"/>
  <c r="O267" i="44"/>
  <c r="Q267" i="44" s="1"/>
  <c r="N267" i="44"/>
  <c r="L267" i="44"/>
  <c r="K267" i="44"/>
  <c r="M267" i="44" s="1"/>
  <c r="J267" i="44"/>
  <c r="H267" i="44"/>
  <c r="G267" i="44"/>
  <c r="C267" i="44"/>
  <c r="B267" i="44"/>
  <c r="P266" i="44"/>
  <c r="O266" i="44"/>
  <c r="N266" i="44"/>
  <c r="Q266" i="44" s="1"/>
  <c r="L266" i="44"/>
  <c r="K266" i="44"/>
  <c r="J266" i="44"/>
  <c r="M266" i="44" s="1"/>
  <c r="R266" i="44" s="1"/>
  <c r="G266" i="44"/>
  <c r="H266" i="44" s="1"/>
  <c r="C266" i="44"/>
  <c r="B266" i="44"/>
  <c r="P265" i="44"/>
  <c r="O265" i="44"/>
  <c r="Q265" i="44" s="1"/>
  <c r="N265" i="44"/>
  <c r="L265" i="44"/>
  <c r="K265" i="44"/>
  <c r="M265" i="44" s="1"/>
  <c r="R265" i="44" s="1"/>
  <c r="J265" i="44"/>
  <c r="H265" i="44"/>
  <c r="G265" i="44"/>
  <c r="C265" i="44"/>
  <c r="B265" i="44"/>
  <c r="P264" i="44"/>
  <c r="O264" i="44"/>
  <c r="N264" i="44"/>
  <c r="Q264" i="44" s="1"/>
  <c r="L264" i="44"/>
  <c r="K264" i="44"/>
  <c r="J264" i="44"/>
  <c r="M264" i="44" s="1"/>
  <c r="G264" i="44"/>
  <c r="H264" i="44" s="1"/>
  <c r="C264" i="44"/>
  <c r="B264" i="44"/>
  <c r="P263" i="44"/>
  <c r="O263" i="44"/>
  <c r="Q263" i="44" s="1"/>
  <c r="N263" i="44"/>
  <c r="L263" i="44"/>
  <c r="K263" i="44"/>
  <c r="M263" i="44" s="1"/>
  <c r="J263" i="44"/>
  <c r="H263" i="44"/>
  <c r="G263" i="44"/>
  <c r="C263" i="44"/>
  <c r="B263" i="44"/>
  <c r="P262" i="44"/>
  <c r="O262" i="44"/>
  <c r="N262" i="44"/>
  <c r="Q262" i="44" s="1"/>
  <c r="L262" i="44"/>
  <c r="K262" i="44"/>
  <c r="J262" i="44"/>
  <c r="M262" i="44" s="1"/>
  <c r="R262" i="44" s="1"/>
  <c r="G262" i="44"/>
  <c r="H262" i="44" s="1"/>
  <c r="C262" i="44"/>
  <c r="B262" i="44"/>
  <c r="P261" i="44"/>
  <c r="O261" i="44"/>
  <c r="N261" i="44"/>
  <c r="Q261" i="44" s="1"/>
  <c r="L261" i="44"/>
  <c r="K261" i="44"/>
  <c r="J261" i="44"/>
  <c r="M261" i="44" s="1"/>
  <c r="G261" i="44"/>
  <c r="H261" i="44" s="1"/>
  <c r="C261" i="44"/>
  <c r="B261" i="44"/>
  <c r="P260" i="44"/>
  <c r="O260" i="44"/>
  <c r="Q260" i="44" s="1"/>
  <c r="N260" i="44"/>
  <c r="L260" i="44"/>
  <c r="K260" i="44"/>
  <c r="M260" i="44" s="1"/>
  <c r="J260" i="44"/>
  <c r="H260" i="44"/>
  <c r="G260" i="44"/>
  <c r="C260" i="44"/>
  <c r="B260" i="44"/>
  <c r="P259" i="44"/>
  <c r="O259" i="44"/>
  <c r="N259" i="44"/>
  <c r="Q259" i="44" s="1"/>
  <c r="L259" i="44"/>
  <c r="K259" i="44"/>
  <c r="J259" i="44"/>
  <c r="M259" i="44" s="1"/>
  <c r="R259" i="44" s="1"/>
  <c r="G259" i="44"/>
  <c r="H259" i="44" s="1"/>
  <c r="C259" i="44"/>
  <c r="B259" i="44"/>
  <c r="P258" i="44"/>
  <c r="O258" i="44"/>
  <c r="Q258" i="44" s="1"/>
  <c r="N258" i="44"/>
  <c r="L258" i="44"/>
  <c r="K258" i="44"/>
  <c r="M258" i="44" s="1"/>
  <c r="R258" i="44" s="1"/>
  <c r="J258" i="44"/>
  <c r="H258" i="44"/>
  <c r="G258" i="44"/>
  <c r="C258" i="44"/>
  <c r="B258" i="44"/>
  <c r="P257" i="44"/>
  <c r="O257" i="44"/>
  <c r="N257" i="44"/>
  <c r="Q257" i="44" s="1"/>
  <c r="L257" i="44"/>
  <c r="K257" i="44"/>
  <c r="J257" i="44"/>
  <c r="M257" i="44" s="1"/>
  <c r="G257" i="44"/>
  <c r="H257" i="44" s="1"/>
  <c r="C257" i="44"/>
  <c r="B257" i="44"/>
  <c r="P256" i="44"/>
  <c r="O256" i="44"/>
  <c r="Q256" i="44" s="1"/>
  <c r="N256" i="44"/>
  <c r="L256" i="44"/>
  <c r="K256" i="44"/>
  <c r="M256" i="44" s="1"/>
  <c r="J256" i="44"/>
  <c r="H256" i="44"/>
  <c r="G256" i="44"/>
  <c r="C256" i="44"/>
  <c r="B256" i="44"/>
  <c r="P255" i="44"/>
  <c r="O255" i="44"/>
  <c r="N255" i="44"/>
  <c r="Q255" i="44" s="1"/>
  <c r="L255" i="44"/>
  <c r="K255" i="44"/>
  <c r="J255" i="44"/>
  <c r="M255" i="44" s="1"/>
  <c r="R255" i="44" s="1"/>
  <c r="G255" i="44"/>
  <c r="H255" i="44" s="1"/>
  <c r="C255" i="44"/>
  <c r="B255" i="44"/>
  <c r="P254" i="44"/>
  <c r="O254" i="44"/>
  <c r="Q254" i="44" s="1"/>
  <c r="N254" i="44"/>
  <c r="L254" i="44"/>
  <c r="K254" i="44"/>
  <c r="M254" i="44" s="1"/>
  <c r="R254" i="44" s="1"/>
  <c r="J254" i="44"/>
  <c r="H254" i="44"/>
  <c r="G254" i="44"/>
  <c r="C254" i="44"/>
  <c r="B254" i="44"/>
  <c r="P253" i="44"/>
  <c r="O253" i="44"/>
  <c r="N253" i="44"/>
  <c r="Q253" i="44" s="1"/>
  <c r="L253" i="44"/>
  <c r="K253" i="44"/>
  <c r="J253" i="44"/>
  <c r="M253" i="44" s="1"/>
  <c r="G253" i="44"/>
  <c r="H253" i="44" s="1"/>
  <c r="C253" i="44"/>
  <c r="B253" i="44"/>
  <c r="P252" i="44"/>
  <c r="O252" i="44"/>
  <c r="Q252" i="44" s="1"/>
  <c r="N252" i="44"/>
  <c r="L252" i="44"/>
  <c r="K252" i="44"/>
  <c r="M252" i="44" s="1"/>
  <c r="J252" i="44"/>
  <c r="H252" i="44"/>
  <c r="G252" i="44"/>
  <c r="C252" i="44"/>
  <c r="B252" i="44"/>
  <c r="P251" i="44"/>
  <c r="O251" i="44"/>
  <c r="N251" i="44"/>
  <c r="Q251" i="44" s="1"/>
  <c r="L251" i="44"/>
  <c r="K251" i="44"/>
  <c r="J251" i="44"/>
  <c r="M251" i="44" s="1"/>
  <c r="R251" i="44" s="1"/>
  <c r="G251" i="44"/>
  <c r="H251" i="44" s="1"/>
  <c r="C251" i="44"/>
  <c r="B251" i="44"/>
  <c r="P250" i="44"/>
  <c r="O250" i="44"/>
  <c r="Q250" i="44" s="1"/>
  <c r="N250" i="44"/>
  <c r="L250" i="44"/>
  <c r="K250" i="44"/>
  <c r="M250" i="44" s="1"/>
  <c r="R250" i="44" s="1"/>
  <c r="J250" i="44"/>
  <c r="H250" i="44"/>
  <c r="G250" i="44"/>
  <c r="C250" i="44"/>
  <c r="B250" i="44"/>
  <c r="P249" i="44"/>
  <c r="O249" i="44"/>
  <c r="N249" i="44"/>
  <c r="Q249" i="44" s="1"/>
  <c r="L249" i="44"/>
  <c r="K249" i="44"/>
  <c r="J249" i="44"/>
  <c r="M249" i="44" s="1"/>
  <c r="G249" i="44"/>
  <c r="H249" i="44" s="1"/>
  <c r="C249" i="44"/>
  <c r="B249" i="44"/>
  <c r="P248" i="44"/>
  <c r="O248" i="44"/>
  <c r="Q248" i="44" s="1"/>
  <c r="N248" i="44"/>
  <c r="L248" i="44"/>
  <c r="K248" i="44"/>
  <c r="M248" i="44" s="1"/>
  <c r="J248" i="44"/>
  <c r="H248" i="44"/>
  <c r="G248" i="44"/>
  <c r="C248" i="44"/>
  <c r="B248" i="44"/>
  <c r="P247" i="44"/>
  <c r="O247" i="44"/>
  <c r="N247" i="44"/>
  <c r="Q247" i="44" s="1"/>
  <c r="L247" i="44"/>
  <c r="K247" i="44"/>
  <c r="J247" i="44"/>
  <c r="M247" i="44" s="1"/>
  <c r="R247" i="44" s="1"/>
  <c r="G247" i="44"/>
  <c r="H247" i="44" s="1"/>
  <c r="C247" i="44"/>
  <c r="B247" i="44"/>
  <c r="P246" i="44"/>
  <c r="O246" i="44"/>
  <c r="Q246" i="44" s="1"/>
  <c r="N246" i="44"/>
  <c r="L246" i="44"/>
  <c r="K246" i="44"/>
  <c r="M246" i="44" s="1"/>
  <c r="R246" i="44" s="1"/>
  <c r="J246" i="44"/>
  <c r="H246" i="44"/>
  <c r="G246" i="44"/>
  <c r="C246" i="44"/>
  <c r="B246" i="44"/>
  <c r="P245" i="44"/>
  <c r="O245" i="44"/>
  <c r="N245" i="44"/>
  <c r="Q245" i="44" s="1"/>
  <c r="L245" i="44"/>
  <c r="K245" i="44"/>
  <c r="J245" i="44"/>
  <c r="M245" i="44" s="1"/>
  <c r="G245" i="44"/>
  <c r="H245" i="44" s="1"/>
  <c r="C245" i="44"/>
  <c r="B245" i="44"/>
  <c r="P244" i="44"/>
  <c r="O244" i="44"/>
  <c r="Q244" i="44" s="1"/>
  <c r="N244" i="44"/>
  <c r="L244" i="44"/>
  <c r="K244" i="44"/>
  <c r="M244" i="44" s="1"/>
  <c r="J244" i="44"/>
  <c r="H244" i="44"/>
  <c r="G244" i="44"/>
  <c r="C244" i="44"/>
  <c r="B244" i="44"/>
  <c r="P243" i="44"/>
  <c r="O243" i="44"/>
  <c r="N243" i="44"/>
  <c r="Q243" i="44" s="1"/>
  <c r="L243" i="44"/>
  <c r="K243" i="44"/>
  <c r="J243" i="44"/>
  <c r="M243" i="44" s="1"/>
  <c r="R243" i="44" s="1"/>
  <c r="G243" i="44"/>
  <c r="H243" i="44" s="1"/>
  <c r="C243" i="44"/>
  <c r="B243" i="44"/>
  <c r="P242" i="44"/>
  <c r="O242" i="44"/>
  <c r="Q242" i="44" s="1"/>
  <c r="N242" i="44"/>
  <c r="L242" i="44"/>
  <c r="K242" i="44"/>
  <c r="M242" i="44" s="1"/>
  <c r="R242" i="44" s="1"/>
  <c r="J242" i="44"/>
  <c r="H242" i="44"/>
  <c r="G242" i="44"/>
  <c r="C242" i="44"/>
  <c r="B242" i="44"/>
  <c r="P241" i="44"/>
  <c r="O241" i="44"/>
  <c r="N241" i="44"/>
  <c r="Q241" i="44" s="1"/>
  <c r="L241" i="44"/>
  <c r="K241" i="44"/>
  <c r="J241" i="44"/>
  <c r="M241" i="44" s="1"/>
  <c r="G241" i="44"/>
  <c r="H241" i="44" s="1"/>
  <c r="C241" i="44"/>
  <c r="B241" i="44"/>
  <c r="P240" i="44"/>
  <c r="O240" i="44"/>
  <c r="Q240" i="44" s="1"/>
  <c r="N240" i="44"/>
  <c r="L240" i="44"/>
  <c r="K240" i="44"/>
  <c r="M240" i="44" s="1"/>
  <c r="J240" i="44"/>
  <c r="H240" i="44"/>
  <c r="G240" i="44"/>
  <c r="C240" i="44"/>
  <c r="B240" i="44"/>
  <c r="P239" i="44"/>
  <c r="O239" i="44"/>
  <c r="N239" i="44"/>
  <c r="Q239" i="44" s="1"/>
  <c r="L239" i="44"/>
  <c r="K239" i="44"/>
  <c r="J239" i="44"/>
  <c r="M239" i="44" s="1"/>
  <c r="R239" i="44" s="1"/>
  <c r="G239" i="44"/>
  <c r="H239" i="44" s="1"/>
  <c r="C239" i="44"/>
  <c r="B239" i="44"/>
  <c r="P238" i="44"/>
  <c r="O238" i="44"/>
  <c r="Q238" i="44" s="1"/>
  <c r="N238" i="44"/>
  <c r="L238" i="44"/>
  <c r="K238" i="44"/>
  <c r="M238" i="44" s="1"/>
  <c r="R238" i="44" s="1"/>
  <c r="J238" i="44"/>
  <c r="H238" i="44"/>
  <c r="G238" i="44"/>
  <c r="C238" i="44"/>
  <c r="B238" i="44"/>
  <c r="P237" i="44"/>
  <c r="O237" i="44"/>
  <c r="N237" i="44"/>
  <c r="Q237" i="44" s="1"/>
  <c r="L237" i="44"/>
  <c r="K237" i="44"/>
  <c r="J237" i="44"/>
  <c r="M237" i="44" s="1"/>
  <c r="G237" i="44"/>
  <c r="H237" i="44" s="1"/>
  <c r="C237" i="44"/>
  <c r="B237" i="44"/>
  <c r="P236" i="44"/>
  <c r="O236" i="44"/>
  <c r="Q236" i="44" s="1"/>
  <c r="N236" i="44"/>
  <c r="L236" i="44"/>
  <c r="K236" i="44"/>
  <c r="M236" i="44" s="1"/>
  <c r="J236" i="44"/>
  <c r="H236" i="44"/>
  <c r="G236" i="44"/>
  <c r="C236" i="44"/>
  <c r="B236" i="44"/>
  <c r="P235" i="44"/>
  <c r="O235" i="44"/>
  <c r="N235" i="44"/>
  <c r="Q235" i="44" s="1"/>
  <c r="L235" i="44"/>
  <c r="K235" i="44"/>
  <c r="J235" i="44"/>
  <c r="M235" i="44" s="1"/>
  <c r="R235" i="44" s="1"/>
  <c r="G235" i="44"/>
  <c r="H235" i="44" s="1"/>
  <c r="C235" i="44"/>
  <c r="B235" i="44"/>
  <c r="P234" i="44"/>
  <c r="O234" i="44"/>
  <c r="Q234" i="44" s="1"/>
  <c r="N234" i="44"/>
  <c r="L234" i="44"/>
  <c r="K234" i="44"/>
  <c r="M234" i="44" s="1"/>
  <c r="R234" i="44" s="1"/>
  <c r="J234" i="44"/>
  <c r="H234" i="44"/>
  <c r="G234" i="44"/>
  <c r="C234" i="44"/>
  <c r="B234" i="44"/>
  <c r="P233" i="44"/>
  <c r="O233" i="44"/>
  <c r="N233" i="44"/>
  <c r="Q233" i="44" s="1"/>
  <c r="L233" i="44"/>
  <c r="K233" i="44"/>
  <c r="J233" i="44"/>
  <c r="M233" i="44" s="1"/>
  <c r="G233" i="44"/>
  <c r="H233" i="44" s="1"/>
  <c r="C233" i="44"/>
  <c r="B233" i="44"/>
  <c r="P232" i="44"/>
  <c r="O232" i="44"/>
  <c r="Q232" i="44" s="1"/>
  <c r="N232" i="44"/>
  <c r="L232" i="44"/>
  <c r="K232" i="44"/>
  <c r="M232" i="44" s="1"/>
  <c r="J232" i="44"/>
  <c r="H232" i="44"/>
  <c r="G232" i="44"/>
  <c r="C232" i="44"/>
  <c r="B232" i="44"/>
  <c r="P231" i="44"/>
  <c r="O231" i="44"/>
  <c r="N231" i="44"/>
  <c r="Q231" i="44" s="1"/>
  <c r="L231" i="44"/>
  <c r="K231" i="44"/>
  <c r="J231" i="44"/>
  <c r="M231" i="44" s="1"/>
  <c r="R231" i="44" s="1"/>
  <c r="G231" i="44"/>
  <c r="H231" i="44" s="1"/>
  <c r="C231" i="44"/>
  <c r="B231" i="44"/>
  <c r="P230" i="44"/>
  <c r="O230" i="44"/>
  <c r="Q230" i="44" s="1"/>
  <c r="N230" i="44"/>
  <c r="L230" i="44"/>
  <c r="K230" i="44"/>
  <c r="M230" i="44" s="1"/>
  <c r="R230" i="44" s="1"/>
  <c r="J230" i="44"/>
  <c r="H230" i="44"/>
  <c r="G230" i="44"/>
  <c r="C230" i="44"/>
  <c r="B230" i="44"/>
  <c r="P229" i="44"/>
  <c r="O229" i="44"/>
  <c r="N229" i="44"/>
  <c r="Q229" i="44" s="1"/>
  <c r="L229" i="44"/>
  <c r="K229" i="44"/>
  <c r="J229" i="44"/>
  <c r="M229" i="44" s="1"/>
  <c r="G229" i="44"/>
  <c r="H229" i="44" s="1"/>
  <c r="C229" i="44"/>
  <c r="B229" i="44"/>
  <c r="P228" i="44"/>
  <c r="O228" i="44"/>
  <c r="Q228" i="44" s="1"/>
  <c r="N228" i="44"/>
  <c r="L228" i="44"/>
  <c r="K228" i="44"/>
  <c r="M228" i="44" s="1"/>
  <c r="J228" i="44"/>
  <c r="H228" i="44"/>
  <c r="G228" i="44"/>
  <c r="C228" i="44"/>
  <c r="B228" i="44"/>
  <c r="P227" i="44"/>
  <c r="O227" i="44"/>
  <c r="N227" i="44"/>
  <c r="Q227" i="44" s="1"/>
  <c r="L227" i="44"/>
  <c r="K227" i="44"/>
  <c r="J227" i="44"/>
  <c r="M227" i="44" s="1"/>
  <c r="R227" i="44" s="1"/>
  <c r="G227" i="44"/>
  <c r="H227" i="44" s="1"/>
  <c r="C227" i="44"/>
  <c r="B227" i="44"/>
  <c r="P226" i="44"/>
  <c r="O226" i="44"/>
  <c r="Q226" i="44" s="1"/>
  <c r="N226" i="44"/>
  <c r="L226" i="44"/>
  <c r="K226" i="44"/>
  <c r="M226" i="44" s="1"/>
  <c r="R226" i="44" s="1"/>
  <c r="J226" i="44"/>
  <c r="H226" i="44"/>
  <c r="G226" i="44"/>
  <c r="C226" i="44"/>
  <c r="B226" i="44"/>
  <c r="P225" i="44"/>
  <c r="O225" i="44"/>
  <c r="N225" i="44"/>
  <c r="Q225" i="44" s="1"/>
  <c r="L225" i="44"/>
  <c r="K225" i="44"/>
  <c r="J225" i="44"/>
  <c r="M225" i="44" s="1"/>
  <c r="G225" i="44"/>
  <c r="H225" i="44" s="1"/>
  <c r="C225" i="44"/>
  <c r="B225" i="44"/>
  <c r="P224" i="44"/>
  <c r="O224" i="44"/>
  <c r="Q224" i="44" s="1"/>
  <c r="N224" i="44"/>
  <c r="L224" i="44"/>
  <c r="K224" i="44"/>
  <c r="M224" i="44" s="1"/>
  <c r="J224" i="44"/>
  <c r="H224" i="44"/>
  <c r="G224" i="44"/>
  <c r="C224" i="44"/>
  <c r="B224" i="44"/>
  <c r="P223" i="44"/>
  <c r="O223" i="44"/>
  <c r="N223" i="44"/>
  <c r="Q223" i="44" s="1"/>
  <c r="L223" i="44"/>
  <c r="K223" i="44"/>
  <c r="J223" i="44"/>
  <c r="M223" i="44" s="1"/>
  <c r="R223" i="44" s="1"/>
  <c r="G223" i="44"/>
  <c r="H223" i="44" s="1"/>
  <c r="C223" i="44"/>
  <c r="B223" i="44"/>
  <c r="P222" i="44"/>
  <c r="O222" i="44"/>
  <c r="Q222" i="44" s="1"/>
  <c r="N222" i="44"/>
  <c r="L222" i="44"/>
  <c r="K222" i="44"/>
  <c r="M222" i="44" s="1"/>
  <c r="R222" i="44" s="1"/>
  <c r="J222" i="44"/>
  <c r="H222" i="44"/>
  <c r="G222" i="44"/>
  <c r="C222" i="44"/>
  <c r="B222" i="44"/>
  <c r="P221" i="44"/>
  <c r="O221" i="44"/>
  <c r="N221" i="44"/>
  <c r="Q221" i="44" s="1"/>
  <c r="L221" i="44"/>
  <c r="K221" i="44"/>
  <c r="J221" i="44"/>
  <c r="M221" i="44" s="1"/>
  <c r="G221" i="44"/>
  <c r="H221" i="44" s="1"/>
  <c r="C221" i="44"/>
  <c r="B221" i="44"/>
  <c r="P220" i="44"/>
  <c r="O220" i="44"/>
  <c r="Q220" i="44" s="1"/>
  <c r="N220" i="44"/>
  <c r="L220" i="44"/>
  <c r="K220" i="44"/>
  <c r="M220" i="44" s="1"/>
  <c r="J220" i="44"/>
  <c r="H220" i="44"/>
  <c r="G220" i="44"/>
  <c r="C220" i="44"/>
  <c r="B220" i="44"/>
  <c r="P219" i="44"/>
  <c r="O219" i="44"/>
  <c r="N219" i="44"/>
  <c r="Q219" i="44" s="1"/>
  <c r="L219" i="44"/>
  <c r="K219" i="44"/>
  <c r="J219" i="44"/>
  <c r="M219" i="44" s="1"/>
  <c r="R219" i="44" s="1"/>
  <c r="G219" i="44"/>
  <c r="H219" i="44" s="1"/>
  <c r="C219" i="44"/>
  <c r="B219" i="44"/>
  <c r="P218" i="44"/>
  <c r="O218" i="44"/>
  <c r="Q218" i="44" s="1"/>
  <c r="N218" i="44"/>
  <c r="L218" i="44"/>
  <c r="K218" i="44"/>
  <c r="M218" i="44" s="1"/>
  <c r="R218" i="44" s="1"/>
  <c r="J218" i="44"/>
  <c r="H218" i="44"/>
  <c r="G218" i="44"/>
  <c r="C218" i="44"/>
  <c r="B218" i="44"/>
  <c r="P217" i="44"/>
  <c r="O217" i="44"/>
  <c r="N217" i="44"/>
  <c r="Q217" i="44" s="1"/>
  <c r="L217" i="44"/>
  <c r="K217" i="44"/>
  <c r="J217" i="44"/>
  <c r="M217" i="44" s="1"/>
  <c r="G217" i="44"/>
  <c r="H217" i="44" s="1"/>
  <c r="C217" i="44"/>
  <c r="B217" i="44"/>
  <c r="P216" i="44"/>
  <c r="O216" i="44"/>
  <c r="Q216" i="44" s="1"/>
  <c r="N216" i="44"/>
  <c r="L216" i="44"/>
  <c r="K216" i="44"/>
  <c r="M216" i="44" s="1"/>
  <c r="J216" i="44"/>
  <c r="H216" i="44"/>
  <c r="G216" i="44"/>
  <c r="C216" i="44"/>
  <c r="B216" i="44"/>
  <c r="P215" i="44"/>
  <c r="O215" i="44"/>
  <c r="N215" i="44"/>
  <c r="Q215" i="44" s="1"/>
  <c r="L215" i="44"/>
  <c r="K215" i="44"/>
  <c r="J215" i="44"/>
  <c r="M215" i="44" s="1"/>
  <c r="R215" i="44" s="1"/>
  <c r="G215" i="44"/>
  <c r="H215" i="44" s="1"/>
  <c r="C215" i="44"/>
  <c r="B215" i="44"/>
  <c r="P214" i="44"/>
  <c r="O214" i="44"/>
  <c r="Q214" i="44" s="1"/>
  <c r="N214" i="44"/>
  <c r="L214" i="44"/>
  <c r="K214" i="44"/>
  <c r="M214" i="44" s="1"/>
  <c r="R214" i="44" s="1"/>
  <c r="J214" i="44"/>
  <c r="H214" i="44"/>
  <c r="G214" i="44"/>
  <c r="C214" i="44"/>
  <c r="B214" i="44"/>
  <c r="P213" i="44"/>
  <c r="O213" i="44"/>
  <c r="N213" i="44"/>
  <c r="Q213" i="44" s="1"/>
  <c r="L213" i="44"/>
  <c r="K213" i="44"/>
  <c r="J213" i="44"/>
  <c r="M213" i="44" s="1"/>
  <c r="G213" i="44"/>
  <c r="H213" i="44" s="1"/>
  <c r="C213" i="44"/>
  <c r="B213" i="44"/>
  <c r="P212" i="44"/>
  <c r="O212" i="44"/>
  <c r="Q212" i="44" s="1"/>
  <c r="N212" i="44"/>
  <c r="L212" i="44"/>
  <c r="K212" i="44"/>
  <c r="M212" i="44" s="1"/>
  <c r="J212" i="44"/>
  <c r="H212" i="44"/>
  <c r="G212" i="44"/>
  <c r="C212" i="44"/>
  <c r="B212" i="44"/>
  <c r="P211" i="44"/>
  <c r="O211" i="44"/>
  <c r="N211" i="44"/>
  <c r="Q211" i="44" s="1"/>
  <c r="L211" i="44"/>
  <c r="K211" i="44"/>
  <c r="J211" i="44"/>
  <c r="M211" i="44" s="1"/>
  <c r="R211" i="44" s="1"/>
  <c r="G211" i="44"/>
  <c r="H211" i="44" s="1"/>
  <c r="C211" i="44"/>
  <c r="B211" i="44"/>
  <c r="P210" i="44"/>
  <c r="O210" i="44"/>
  <c r="Q210" i="44" s="1"/>
  <c r="N210" i="44"/>
  <c r="L210" i="44"/>
  <c r="K210" i="44"/>
  <c r="M210" i="44" s="1"/>
  <c r="R210" i="44" s="1"/>
  <c r="J210" i="44"/>
  <c r="H210" i="44"/>
  <c r="G210" i="44"/>
  <c r="C210" i="44"/>
  <c r="B210" i="44"/>
  <c r="P209" i="44"/>
  <c r="O209" i="44"/>
  <c r="N209" i="44"/>
  <c r="Q209" i="44" s="1"/>
  <c r="L209" i="44"/>
  <c r="K209" i="44"/>
  <c r="J209" i="44"/>
  <c r="M209" i="44" s="1"/>
  <c r="G209" i="44"/>
  <c r="H209" i="44" s="1"/>
  <c r="C209" i="44"/>
  <c r="B209" i="44"/>
  <c r="P208" i="44"/>
  <c r="O208" i="44"/>
  <c r="Q208" i="44" s="1"/>
  <c r="N208" i="44"/>
  <c r="L208" i="44"/>
  <c r="K208" i="44"/>
  <c r="M208" i="44" s="1"/>
  <c r="J208" i="44"/>
  <c r="H208" i="44"/>
  <c r="G208" i="44"/>
  <c r="C208" i="44"/>
  <c r="B208" i="44"/>
  <c r="P207" i="44"/>
  <c r="O207" i="44"/>
  <c r="N207" i="44"/>
  <c r="Q207" i="44" s="1"/>
  <c r="L207" i="44"/>
  <c r="K207" i="44"/>
  <c r="J207" i="44"/>
  <c r="M207" i="44" s="1"/>
  <c r="R207" i="44" s="1"/>
  <c r="G207" i="44"/>
  <c r="H207" i="44" s="1"/>
  <c r="C207" i="44"/>
  <c r="B207" i="44"/>
  <c r="P206" i="44"/>
  <c r="O206" i="44"/>
  <c r="Q206" i="44" s="1"/>
  <c r="N206" i="44"/>
  <c r="L206" i="44"/>
  <c r="K206" i="44"/>
  <c r="M206" i="44" s="1"/>
  <c r="R206" i="44" s="1"/>
  <c r="J206" i="44"/>
  <c r="H206" i="44"/>
  <c r="G206" i="44"/>
  <c r="C206" i="44"/>
  <c r="B206" i="44"/>
  <c r="P205" i="44"/>
  <c r="O205" i="44"/>
  <c r="N205" i="44"/>
  <c r="Q205" i="44" s="1"/>
  <c r="L205" i="44"/>
  <c r="K205" i="44"/>
  <c r="J205" i="44"/>
  <c r="M205" i="44" s="1"/>
  <c r="R205" i="44" s="1"/>
  <c r="G205" i="44"/>
  <c r="H205" i="44" s="1"/>
  <c r="C205" i="44"/>
  <c r="B205" i="44"/>
  <c r="P204" i="44"/>
  <c r="O204" i="44"/>
  <c r="Q204" i="44" s="1"/>
  <c r="N204" i="44"/>
  <c r="L204" i="44"/>
  <c r="K204" i="44"/>
  <c r="M204" i="44" s="1"/>
  <c r="J204" i="44"/>
  <c r="H204" i="44"/>
  <c r="G204" i="44"/>
  <c r="C204" i="44"/>
  <c r="B204" i="44"/>
  <c r="P203" i="44"/>
  <c r="O203" i="44"/>
  <c r="N203" i="44"/>
  <c r="Q203" i="44" s="1"/>
  <c r="L203" i="44"/>
  <c r="K203" i="44"/>
  <c r="J203" i="44"/>
  <c r="M203" i="44" s="1"/>
  <c r="R203" i="44" s="1"/>
  <c r="G203" i="44"/>
  <c r="H203" i="44" s="1"/>
  <c r="C203" i="44"/>
  <c r="B203" i="44"/>
  <c r="P202" i="44"/>
  <c r="O202" i="44"/>
  <c r="Q202" i="44" s="1"/>
  <c r="N202" i="44"/>
  <c r="L202" i="44"/>
  <c r="K202" i="44"/>
  <c r="M202" i="44" s="1"/>
  <c r="R202" i="44" s="1"/>
  <c r="J202" i="44"/>
  <c r="H202" i="44"/>
  <c r="G202" i="44"/>
  <c r="C202" i="44"/>
  <c r="B202" i="44"/>
  <c r="P201" i="44"/>
  <c r="O201" i="44"/>
  <c r="N201" i="44"/>
  <c r="Q201" i="44" s="1"/>
  <c r="L201" i="44"/>
  <c r="K201" i="44"/>
  <c r="J201" i="44"/>
  <c r="M201" i="44" s="1"/>
  <c r="R201" i="44" s="1"/>
  <c r="G201" i="44"/>
  <c r="H201" i="44" s="1"/>
  <c r="C201" i="44"/>
  <c r="B201" i="44"/>
  <c r="P200" i="44"/>
  <c r="O200" i="44"/>
  <c r="Q200" i="44" s="1"/>
  <c r="N200" i="44"/>
  <c r="L200" i="44"/>
  <c r="K200" i="44"/>
  <c r="M200" i="44" s="1"/>
  <c r="J200" i="44"/>
  <c r="H200" i="44"/>
  <c r="G200" i="44"/>
  <c r="C200" i="44"/>
  <c r="B200" i="44"/>
  <c r="P199" i="44"/>
  <c r="O199" i="44"/>
  <c r="N199" i="44"/>
  <c r="Q199" i="44" s="1"/>
  <c r="L199" i="44"/>
  <c r="K199" i="44"/>
  <c r="J199" i="44"/>
  <c r="M199" i="44" s="1"/>
  <c r="R199" i="44" s="1"/>
  <c r="G199" i="44"/>
  <c r="H199" i="44" s="1"/>
  <c r="C199" i="44"/>
  <c r="B199" i="44"/>
  <c r="P198" i="44"/>
  <c r="O198" i="44"/>
  <c r="Q198" i="44" s="1"/>
  <c r="N198" i="44"/>
  <c r="L198" i="44"/>
  <c r="K198" i="44"/>
  <c r="M198" i="44" s="1"/>
  <c r="R198" i="44" s="1"/>
  <c r="J198" i="44"/>
  <c r="H198" i="44"/>
  <c r="G198" i="44"/>
  <c r="C198" i="44"/>
  <c r="B198" i="44"/>
  <c r="P197" i="44"/>
  <c r="O197" i="44"/>
  <c r="N197" i="44"/>
  <c r="Q197" i="44" s="1"/>
  <c r="L197" i="44"/>
  <c r="K197" i="44"/>
  <c r="J197" i="44"/>
  <c r="M197" i="44" s="1"/>
  <c r="R197" i="44" s="1"/>
  <c r="G197" i="44"/>
  <c r="H197" i="44" s="1"/>
  <c r="C197" i="44"/>
  <c r="B197" i="44"/>
  <c r="P196" i="44"/>
  <c r="O196" i="44"/>
  <c r="Q196" i="44" s="1"/>
  <c r="N196" i="44"/>
  <c r="L196" i="44"/>
  <c r="K196" i="44"/>
  <c r="M196" i="44" s="1"/>
  <c r="J196" i="44"/>
  <c r="H196" i="44"/>
  <c r="G196" i="44"/>
  <c r="C196" i="44"/>
  <c r="B196" i="44"/>
  <c r="P195" i="44"/>
  <c r="O195" i="44"/>
  <c r="N195" i="44"/>
  <c r="Q195" i="44" s="1"/>
  <c r="L195" i="44"/>
  <c r="K195" i="44"/>
  <c r="J195" i="44"/>
  <c r="M195" i="44" s="1"/>
  <c r="R195" i="44" s="1"/>
  <c r="G195" i="44"/>
  <c r="H195" i="44" s="1"/>
  <c r="C195" i="44"/>
  <c r="B195" i="44"/>
  <c r="P194" i="44"/>
  <c r="O194" i="44"/>
  <c r="Q194" i="44" s="1"/>
  <c r="N194" i="44"/>
  <c r="L194" i="44"/>
  <c r="K194" i="44"/>
  <c r="M194" i="44" s="1"/>
  <c r="R194" i="44" s="1"/>
  <c r="J194" i="44"/>
  <c r="H194" i="44"/>
  <c r="G194" i="44"/>
  <c r="C194" i="44"/>
  <c r="B194" i="44"/>
  <c r="P193" i="44"/>
  <c r="O193" i="44"/>
  <c r="N193" i="44"/>
  <c r="Q193" i="44" s="1"/>
  <c r="L193" i="44"/>
  <c r="K193" i="44"/>
  <c r="J193" i="44"/>
  <c r="M193" i="44" s="1"/>
  <c r="R193" i="44" s="1"/>
  <c r="G193" i="44"/>
  <c r="H193" i="44" s="1"/>
  <c r="C193" i="44"/>
  <c r="B193" i="44"/>
  <c r="P192" i="44"/>
  <c r="O192" i="44"/>
  <c r="Q192" i="44" s="1"/>
  <c r="N192" i="44"/>
  <c r="L192" i="44"/>
  <c r="K192" i="44"/>
  <c r="M192" i="44" s="1"/>
  <c r="J192" i="44"/>
  <c r="H192" i="44"/>
  <c r="G192" i="44"/>
  <c r="C192" i="44"/>
  <c r="B192" i="44"/>
  <c r="P191" i="44"/>
  <c r="O191" i="44"/>
  <c r="N191" i="44"/>
  <c r="Q191" i="44" s="1"/>
  <c r="L191" i="44"/>
  <c r="K191" i="44"/>
  <c r="J191" i="44"/>
  <c r="M191" i="44" s="1"/>
  <c r="R191" i="44" s="1"/>
  <c r="G191" i="44"/>
  <c r="H191" i="44" s="1"/>
  <c r="C191" i="44"/>
  <c r="B191" i="44"/>
  <c r="P190" i="44"/>
  <c r="O190" i="44"/>
  <c r="Q190" i="44" s="1"/>
  <c r="N190" i="44"/>
  <c r="L190" i="44"/>
  <c r="K190" i="44"/>
  <c r="M190" i="44" s="1"/>
  <c r="R190" i="44" s="1"/>
  <c r="J190" i="44"/>
  <c r="H190" i="44"/>
  <c r="G190" i="44"/>
  <c r="C190" i="44"/>
  <c r="B190" i="44"/>
  <c r="P189" i="44"/>
  <c r="O189" i="44"/>
  <c r="N189" i="44"/>
  <c r="Q189" i="44" s="1"/>
  <c r="L189" i="44"/>
  <c r="K189" i="44"/>
  <c r="J189" i="44"/>
  <c r="M189" i="44" s="1"/>
  <c r="R189" i="44" s="1"/>
  <c r="G189" i="44"/>
  <c r="H189" i="44" s="1"/>
  <c r="C189" i="44"/>
  <c r="B189" i="44"/>
  <c r="P188" i="44"/>
  <c r="O188" i="44"/>
  <c r="Q188" i="44" s="1"/>
  <c r="N188" i="44"/>
  <c r="L188" i="44"/>
  <c r="K188" i="44"/>
  <c r="M188" i="44" s="1"/>
  <c r="J188" i="44"/>
  <c r="H188" i="44"/>
  <c r="G188" i="44"/>
  <c r="C188" i="44"/>
  <c r="B188" i="44"/>
  <c r="P187" i="44"/>
  <c r="O187" i="44"/>
  <c r="N187" i="44"/>
  <c r="Q187" i="44" s="1"/>
  <c r="L187" i="44"/>
  <c r="K187" i="44"/>
  <c r="J187" i="44"/>
  <c r="M187" i="44" s="1"/>
  <c r="R187" i="44" s="1"/>
  <c r="G187" i="44"/>
  <c r="H187" i="44" s="1"/>
  <c r="C187" i="44"/>
  <c r="B187" i="44"/>
  <c r="P186" i="44"/>
  <c r="O186" i="44"/>
  <c r="Q186" i="44" s="1"/>
  <c r="N186" i="44"/>
  <c r="L186" i="44"/>
  <c r="K186" i="44"/>
  <c r="M186" i="44" s="1"/>
  <c r="R186" i="44" s="1"/>
  <c r="J186" i="44"/>
  <c r="H186" i="44"/>
  <c r="G186" i="44"/>
  <c r="C186" i="44"/>
  <c r="B186" i="44"/>
  <c r="P185" i="44"/>
  <c r="O185" i="44"/>
  <c r="N185" i="44"/>
  <c r="Q185" i="44" s="1"/>
  <c r="L185" i="44"/>
  <c r="K185" i="44"/>
  <c r="J185" i="44"/>
  <c r="M185" i="44" s="1"/>
  <c r="R185" i="44" s="1"/>
  <c r="G185" i="44"/>
  <c r="H185" i="44" s="1"/>
  <c r="C185" i="44"/>
  <c r="B185" i="44"/>
  <c r="P184" i="44"/>
  <c r="O184" i="44"/>
  <c r="Q184" i="44" s="1"/>
  <c r="N184" i="44"/>
  <c r="L184" i="44"/>
  <c r="K184" i="44"/>
  <c r="M184" i="44" s="1"/>
  <c r="J184" i="44"/>
  <c r="H184" i="44"/>
  <c r="G184" i="44"/>
  <c r="C184" i="44"/>
  <c r="B184" i="44"/>
  <c r="P183" i="44"/>
  <c r="O183" i="44"/>
  <c r="N183" i="44"/>
  <c r="Q183" i="44" s="1"/>
  <c r="L183" i="44"/>
  <c r="K183" i="44"/>
  <c r="J183" i="44"/>
  <c r="M183" i="44" s="1"/>
  <c r="R183" i="44" s="1"/>
  <c r="G183" i="44"/>
  <c r="H183" i="44" s="1"/>
  <c r="C183" i="44"/>
  <c r="B183" i="44"/>
  <c r="P182" i="44"/>
  <c r="O182" i="44"/>
  <c r="Q182" i="44" s="1"/>
  <c r="N182" i="44"/>
  <c r="L182" i="44"/>
  <c r="K182" i="44"/>
  <c r="M182" i="44" s="1"/>
  <c r="R182" i="44" s="1"/>
  <c r="J182" i="44"/>
  <c r="H182" i="44"/>
  <c r="G182" i="44"/>
  <c r="C182" i="44"/>
  <c r="B182" i="44"/>
  <c r="P181" i="44"/>
  <c r="O181" i="44"/>
  <c r="N181" i="44"/>
  <c r="Q181" i="44" s="1"/>
  <c r="L181" i="44"/>
  <c r="K181" i="44"/>
  <c r="J181" i="44"/>
  <c r="M181" i="44" s="1"/>
  <c r="R181" i="44" s="1"/>
  <c r="G181" i="44"/>
  <c r="H181" i="44" s="1"/>
  <c r="C181" i="44"/>
  <c r="B181" i="44"/>
  <c r="P180" i="44"/>
  <c r="O180" i="44"/>
  <c r="Q180" i="44" s="1"/>
  <c r="N180" i="44"/>
  <c r="L180" i="44"/>
  <c r="K180" i="44"/>
  <c r="M180" i="44" s="1"/>
  <c r="J180" i="44"/>
  <c r="H180" i="44"/>
  <c r="G180" i="44"/>
  <c r="C180" i="44"/>
  <c r="B180" i="44"/>
  <c r="P179" i="44"/>
  <c r="O179" i="44"/>
  <c r="N179" i="44"/>
  <c r="Q179" i="44" s="1"/>
  <c r="L179" i="44"/>
  <c r="K179" i="44"/>
  <c r="J179" i="44"/>
  <c r="M179" i="44" s="1"/>
  <c r="R179" i="44" s="1"/>
  <c r="G179" i="44"/>
  <c r="H179" i="44" s="1"/>
  <c r="C179" i="44"/>
  <c r="B179" i="44"/>
  <c r="P178" i="44"/>
  <c r="O178" i="44"/>
  <c r="Q178" i="44" s="1"/>
  <c r="N178" i="44"/>
  <c r="L178" i="44"/>
  <c r="K178" i="44"/>
  <c r="M178" i="44" s="1"/>
  <c r="R178" i="44" s="1"/>
  <c r="J178" i="44"/>
  <c r="H178" i="44"/>
  <c r="G178" i="44"/>
  <c r="C178" i="44"/>
  <c r="B178" i="44"/>
  <c r="P177" i="44"/>
  <c r="O177" i="44"/>
  <c r="N177" i="44"/>
  <c r="Q177" i="44" s="1"/>
  <c r="L177" i="44"/>
  <c r="K177" i="44"/>
  <c r="J177" i="44"/>
  <c r="M177" i="44" s="1"/>
  <c r="R177" i="44" s="1"/>
  <c r="G177" i="44"/>
  <c r="H177" i="44" s="1"/>
  <c r="C177" i="44"/>
  <c r="B177" i="44"/>
  <c r="P176" i="44"/>
  <c r="O176" i="44"/>
  <c r="Q176" i="44" s="1"/>
  <c r="N176" i="44"/>
  <c r="L176" i="44"/>
  <c r="K176" i="44"/>
  <c r="M176" i="44" s="1"/>
  <c r="J176" i="44"/>
  <c r="H176" i="44"/>
  <c r="G176" i="44"/>
  <c r="C176" i="44"/>
  <c r="B176" i="44"/>
  <c r="P175" i="44"/>
  <c r="O175" i="44"/>
  <c r="N175" i="44"/>
  <c r="Q175" i="44" s="1"/>
  <c r="L175" i="44"/>
  <c r="K175" i="44"/>
  <c r="J175" i="44"/>
  <c r="M175" i="44" s="1"/>
  <c r="R175" i="44" s="1"/>
  <c r="G175" i="44"/>
  <c r="H175" i="44" s="1"/>
  <c r="C175" i="44"/>
  <c r="B175" i="44"/>
  <c r="P174" i="44"/>
  <c r="O174" i="44"/>
  <c r="Q174" i="44" s="1"/>
  <c r="N174" i="44"/>
  <c r="L174" i="44"/>
  <c r="K174" i="44"/>
  <c r="M174" i="44" s="1"/>
  <c r="R174" i="44" s="1"/>
  <c r="J174" i="44"/>
  <c r="H174" i="44"/>
  <c r="G174" i="44"/>
  <c r="C174" i="44"/>
  <c r="B174" i="44"/>
  <c r="P173" i="44"/>
  <c r="O173" i="44"/>
  <c r="N173" i="44"/>
  <c r="Q173" i="44" s="1"/>
  <c r="L173" i="44"/>
  <c r="K173" i="44"/>
  <c r="J173" i="44"/>
  <c r="M173" i="44" s="1"/>
  <c r="R173" i="44" s="1"/>
  <c r="G173" i="44"/>
  <c r="H173" i="44" s="1"/>
  <c r="C173" i="44"/>
  <c r="B173" i="44"/>
  <c r="P172" i="44"/>
  <c r="O172" i="44"/>
  <c r="Q172" i="44" s="1"/>
  <c r="N172" i="44"/>
  <c r="L172" i="44"/>
  <c r="K172" i="44"/>
  <c r="M172" i="44" s="1"/>
  <c r="J172" i="44"/>
  <c r="H172" i="44"/>
  <c r="G172" i="44"/>
  <c r="C172" i="44"/>
  <c r="B172" i="44"/>
  <c r="P171" i="44"/>
  <c r="O171" i="44"/>
  <c r="N171" i="44"/>
  <c r="Q171" i="44" s="1"/>
  <c r="L171" i="44"/>
  <c r="K171" i="44"/>
  <c r="J171" i="44"/>
  <c r="M171" i="44" s="1"/>
  <c r="R171" i="44" s="1"/>
  <c r="G171" i="44"/>
  <c r="H171" i="44" s="1"/>
  <c r="C171" i="44"/>
  <c r="B171" i="44"/>
  <c r="P170" i="44"/>
  <c r="O170" i="44"/>
  <c r="Q170" i="44" s="1"/>
  <c r="N170" i="44"/>
  <c r="L170" i="44"/>
  <c r="K170" i="44"/>
  <c r="M170" i="44" s="1"/>
  <c r="R170" i="44" s="1"/>
  <c r="J170" i="44"/>
  <c r="H170" i="44"/>
  <c r="G170" i="44"/>
  <c r="C170" i="44"/>
  <c r="B170" i="44"/>
  <c r="P169" i="44"/>
  <c r="O169" i="44"/>
  <c r="N169" i="44"/>
  <c r="Q169" i="44" s="1"/>
  <c r="L169" i="44"/>
  <c r="K169" i="44"/>
  <c r="J169" i="44"/>
  <c r="M169" i="44" s="1"/>
  <c r="R169" i="44" s="1"/>
  <c r="G169" i="44"/>
  <c r="H169" i="44" s="1"/>
  <c r="C169" i="44"/>
  <c r="B169" i="44"/>
  <c r="P168" i="44"/>
  <c r="O168" i="44"/>
  <c r="Q168" i="44" s="1"/>
  <c r="N168" i="44"/>
  <c r="L168" i="44"/>
  <c r="K168" i="44"/>
  <c r="M168" i="44" s="1"/>
  <c r="J168" i="44"/>
  <c r="H168" i="44"/>
  <c r="G168" i="44"/>
  <c r="C168" i="44"/>
  <c r="B168" i="44"/>
  <c r="P167" i="44"/>
  <c r="O167" i="44"/>
  <c r="N167" i="44"/>
  <c r="Q167" i="44" s="1"/>
  <c r="L167" i="44"/>
  <c r="K167" i="44"/>
  <c r="J167" i="44"/>
  <c r="M167" i="44" s="1"/>
  <c r="R167" i="44" s="1"/>
  <c r="G167" i="44"/>
  <c r="H167" i="44" s="1"/>
  <c r="C167" i="44"/>
  <c r="B167" i="44"/>
  <c r="P166" i="44"/>
  <c r="O166" i="44"/>
  <c r="Q166" i="44" s="1"/>
  <c r="N166" i="44"/>
  <c r="L166" i="44"/>
  <c r="K166" i="44"/>
  <c r="M166" i="44" s="1"/>
  <c r="R166" i="44" s="1"/>
  <c r="J166" i="44"/>
  <c r="H166" i="44"/>
  <c r="G166" i="44"/>
  <c r="C166" i="44"/>
  <c r="B166" i="44"/>
  <c r="P165" i="44"/>
  <c r="O165" i="44"/>
  <c r="N165" i="44"/>
  <c r="Q165" i="44" s="1"/>
  <c r="L165" i="44"/>
  <c r="K165" i="44"/>
  <c r="J165" i="44"/>
  <c r="M165" i="44" s="1"/>
  <c r="R165" i="44" s="1"/>
  <c r="G165" i="44"/>
  <c r="H165" i="44" s="1"/>
  <c r="C165" i="44"/>
  <c r="B165" i="44"/>
  <c r="P164" i="44"/>
  <c r="O164" i="44"/>
  <c r="Q164" i="44" s="1"/>
  <c r="N164" i="44"/>
  <c r="L164" i="44"/>
  <c r="K164" i="44"/>
  <c r="M164" i="44" s="1"/>
  <c r="J164" i="44"/>
  <c r="H164" i="44"/>
  <c r="G164" i="44"/>
  <c r="C164" i="44"/>
  <c r="B164" i="44"/>
  <c r="P163" i="44"/>
  <c r="O163" i="44"/>
  <c r="N163" i="44"/>
  <c r="Q163" i="44" s="1"/>
  <c r="L163" i="44"/>
  <c r="K163" i="44"/>
  <c r="J163" i="44"/>
  <c r="M163" i="44" s="1"/>
  <c r="R163" i="44" s="1"/>
  <c r="G163" i="44"/>
  <c r="H163" i="44" s="1"/>
  <c r="C163" i="44"/>
  <c r="B163" i="44"/>
  <c r="P162" i="44"/>
  <c r="O162" i="44"/>
  <c r="Q162" i="44" s="1"/>
  <c r="N162" i="44"/>
  <c r="L162" i="44"/>
  <c r="K162" i="44"/>
  <c r="M162" i="44" s="1"/>
  <c r="R162" i="44" s="1"/>
  <c r="J162" i="44"/>
  <c r="H162" i="44"/>
  <c r="G162" i="44"/>
  <c r="C162" i="44"/>
  <c r="B162" i="44"/>
  <c r="P161" i="44"/>
  <c r="O161" i="44"/>
  <c r="N161" i="44"/>
  <c r="Q161" i="44" s="1"/>
  <c r="L161" i="44"/>
  <c r="K161" i="44"/>
  <c r="J161" i="44"/>
  <c r="M161" i="44" s="1"/>
  <c r="R161" i="44" s="1"/>
  <c r="G161" i="44"/>
  <c r="H161" i="44" s="1"/>
  <c r="C161" i="44"/>
  <c r="B161" i="44"/>
  <c r="P160" i="44"/>
  <c r="O160" i="44"/>
  <c r="Q160" i="44" s="1"/>
  <c r="N160" i="44"/>
  <c r="L160" i="44"/>
  <c r="K160" i="44"/>
  <c r="M160" i="44" s="1"/>
  <c r="J160" i="44"/>
  <c r="H160" i="44"/>
  <c r="G160" i="44"/>
  <c r="C160" i="44"/>
  <c r="B160" i="44"/>
  <c r="P159" i="44"/>
  <c r="O159" i="44"/>
  <c r="N159" i="44"/>
  <c r="Q159" i="44" s="1"/>
  <c r="L159" i="44"/>
  <c r="K159" i="44"/>
  <c r="J159" i="44"/>
  <c r="M159" i="44" s="1"/>
  <c r="R159" i="44" s="1"/>
  <c r="G159" i="44"/>
  <c r="H159" i="44" s="1"/>
  <c r="C159" i="44"/>
  <c r="B159" i="44"/>
  <c r="P158" i="44"/>
  <c r="O158" i="44"/>
  <c r="Q158" i="44" s="1"/>
  <c r="N158" i="44"/>
  <c r="L158" i="44"/>
  <c r="K158" i="44"/>
  <c r="M158" i="44" s="1"/>
  <c r="R158" i="44" s="1"/>
  <c r="J158" i="44"/>
  <c r="H158" i="44"/>
  <c r="G158" i="44"/>
  <c r="C158" i="44"/>
  <c r="B158" i="44"/>
  <c r="P157" i="44"/>
  <c r="O157" i="44"/>
  <c r="N157" i="44"/>
  <c r="Q157" i="44" s="1"/>
  <c r="L157" i="44"/>
  <c r="K157" i="44"/>
  <c r="J157" i="44"/>
  <c r="M157" i="44" s="1"/>
  <c r="R157" i="44" s="1"/>
  <c r="G157" i="44"/>
  <c r="H157" i="44" s="1"/>
  <c r="C157" i="44"/>
  <c r="B157" i="44"/>
  <c r="P156" i="44"/>
  <c r="O156" i="44"/>
  <c r="Q156" i="44" s="1"/>
  <c r="N156" i="44"/>
  <c r="L156" i="44"/>
  <c r="K156" i="44"/>
  <c r="M156" i="44" s="1"/>
  <c r="J156" i="44"/>
  <c r="H156" i="44"/>
  <c r="G156" i="44"/>
  <c r="C156" i="44"/>
  <c r="B156" i="44"/>
  <c r="P155" i="44"/>
  <c r="O155" i="44"/>
  <c r="N155" i="44"/>
  <c r="Q155" i="44" s="1"/>
  <c r="L155" i="44"/>
  <c r="K155" i="44"/>
  <c r="J155" i="44"/>
  <c r="M155" i="44" s="1"/>
  <c r="R155" i="44" s="1"/>
  <c r="G155" i="44"/>
  <c r="H155" i="44" s="1"/>
  <c r="C155" i="44"/>
  <c r="B155" i="44"/>
  <c r="P154" i="44"/>
  <c r="O154" i="44"/>
  <c r="Q154" i="44" s="1"/>
  <c r="N154" i="44"/>
  <c r="L154" i="44"/>
  <c r="K154" i="44"/>
  <c r="M154" i="44" s="1"/>
  <c r="R154" i="44" s="1"/>
  <c r="J154" i="44"/>
  <c r="H154" i="44"/>
  <c r="G154" i="44"/>
  <c r="C154" i="44"/>
  <c r="B154" i="44"/>
  <c r="P153" i="44"/>
  <c r="O153" i="44"/>
  <c r="N153" i="44"/>
  <c r="Q153" i="44" s="1"/>
  <c r="L153" i="44"/>
  <c r="K153" i="44"/>
  <c r="J153" i="44"/>
  <c r="M153" i="44" s="1"/>
  <c r="R153" i="44" s="1"/>
  <c r="G153" i="44"/>
  <c r="H153" i="44" s="1"/>
  <c r="C153" i="44"/>
  <c r="B153" i="44"/>
  <c r="P152" i="44"/>
  <c r="O152" i="44"/>
  <c r="Q152" i="44" s="1"/>
  <c r="N152" i="44"/>
  <c r="L152" i="44"/>
  <c r="K152" i="44"/>
  <c r="M152" i="44" s="1"/>
  <c r="J152" i="44"/>
  <c r="H152" i="44"/>
  <c r="G152" i="44"/>
  <c r="C152" i="44"/>
  <c r="B152" i="44"/>
  <c r="P151" i="44"/>
  <c r="O151" i="44"/>
  <c r="N151" i="44"/>
  <c r="Q151" i="44" s="1"/>
  <c r="L151" i="44"/>
  <c r="K151" i="44"/>
  <c r="J151" i="44"/>
  <c r="M151" i="44" s="1"/>
  <c r="R151" i="44" s="1"/>
  <c r="G151" i="44"/>
  <c r="H151" i="44" s="1"/>
  <c r="C151" i="44"/>
  <c r="B151" i="44"/>
  <c r="P150" i="44"/>
  <c r="O150" i="44"/>
  <c r="Q150" i="44" s="1"/>
  <c r="N150" i="44"/>
  <c r="L150" i="44"/>
  <c r="K150" i="44"/>
  <c r="M150" i="44" s="1"/>
  <c r="R150" i="44" s="1"/>
  <c r="J150" i="44"/>
  <c r="H150" i="44"/>
  <c r="G150" i="44"/>
  <c r="C150" i="44"/>
  <c r="B150" i="44"/>
  <c r="P149" i="44"/>
  <c r="O149" i="44"/>
  <c r="N149" i="44"/>
  <c r="Q149" i="44" s="1"/>
  <c r="L149" i="44"/>
  <c r="K149" i="44"/>
  <c r="J149" i="44"/>
  <c r="M149" i="44" s="1"/>
  <c r="R149" i="44" s="1"/>
  <c r="G149" i="44"/>
  <c r="H149" i="44" s="1"/>
  <c r="C149" i="44"/>
  <c r="B149" i="44"/>
  <c r="P148" i="44"/>
  <c r="O148" i="44"/>
  <c r="Q148" i="44" s="1"/>
  <c r="N148" i="44"/>
  <c r="L148" i="44"/>
  <c r="K148" i="44"/>
  <c r="M148" i="44" s="1"/>
  <c r="J148" i="44"/>
  <c r="H148" i="44"/>
  <c r="G148" i="44"/>
  <c r="C148" i="44"/>
  <c r="B148" i="44"/>
  <c r="P147" i="44"/>
  <c r="O147" i="44"/>
  <c r="N147" i="44"/>
  <c r="Q147" i="44" s="1"/>
  <c r="L147" i="44"/>
  <c r="K147" i="44"/>
  <c r="J147" i="44"/>
  <c r="M147" i="44" s="1"/>
  <c r="R147" i="44" s="1"/>
  <c r="G147" i="44"/>
  <c r="H147" i="44" s="1"/>
  <c r="C147" i="44"/>
  <c r="B147" i="44"/>
  <c r="P146" i="44"/>
  <c r="O146" i="44"/>
  <c r="Q146" i="44" s="1"/>
  <c r="N146" i="44"/>
  <c r="L146" i="44"/>
  <c r="K146" i="44"/>
  <c r="M146" i="44" s="1"/>
  <c r="R146" i="44" s="1"/>
  <c r="J146" i="44"/>
  <c r="H146" i="44"/>
  <c r="G146" i="44"/>
  <c r="C146" i="44"/>
  <c r="B146" i="44"/>
  <c r="P145" i="44"/>
  <c r="O145" i="44"/>
  <c r="N145" i="44"/>
  <c r="Q145" i="44" s="1"/>
  <c r="L145" i="44"/>
  <c r="K145" i="44"/>
  <c r="J145" i="44"/>
  <c r="M145" i="44" s="1"/>
  <c r="R145" i="44" s="1"/>
  <c r="G145" i="44"/>
  <c r="H145" i="44" s="1"/>
  <c r="C145" i="44"/>
  <c r="B145" i="44"/>
  <c r="P144" i="44"/>
  <c r="O144" i="44"/>
  <c r="Q144" i="44" s="1"/>
  <c r="N144" i="44"/>
  <c r="L144" i="44"/>
  <c r="K144" i="44"/>
  <c r="M144" i="44" s="1"/>
  <c r="J144" i="44"/>
  <c r="H144" i="44"/>
  <c r="G144" i="44"/>
  <c r="C144" i="44"/>
  <c r="B144" i="44"/>
  <c r="P143" i="44"/>
  <c r="O143" i="44"/>
  <c r="N143" i="44"/>
  <c r="Q143" i="44" s="1"/>
  <c r="L143" i="44"/>
  <c r="K143" i="44"/>
  <c r="J143" i="44"/>
  <c r="M143" i="44" s="1"/>
  <c r="R143" i="44" s="1"/>
  <c r="G143" i="44"/>
  <c r="H143" i="44" s="1"/>
  <c r="C143" i="44"/>
  <c r="B143" i="44"/>
  <c r="P142" i="44"/>
  <c r="O142" i="44"/>
  <c r="Q142" i="44" s="1"/>
  <c r="N142" i="44"/>
  <c r="L142" i="44"/>
  <c r="K142" i="44"/>
  <c r="M142" i="44" s="1"/>
  <c r="R142" i="44" s="1"/>
  <c r="J142" i="44"/>
  <c r="H142" i="44"/>
  <c r="G142" i="44"/>
  <c r="C142" i="44"/>
  <c r="B142" i="44"/>
  <c r="P141" i="44"/>
  <c r="O141" i="44"/>
  <c r="N141" i="44"/>
  <c r="Q141" i="44" s="1"/>
  <c r="L141" i="44"/>
  <c r="K141" i="44"/>
  <c r="J141" i="44"/>
  <c r="M141" i="44" s="1"/>
  <c r="R141" i="44" s="1"/>
  <c r="G141" i="44"/>
  <c r="H141" i="44" s="1"/>
  <c r="C141" i="44"/>
  <c r="B141" i="44"/>
  <c r="P140" i="44"/>
  <c r="O140" i="44"/>
  <c r="Q140" i="44" s="1"/>
  <c r="N140" i="44"/>
  <c r="L140" i="44"/>
  <c r="K140" i="44"/>
  <c r="M140" i="44" s="1"/>
  <c r="J140" i="44"/>
  <c r="H140" i="44"/>
  <c r="G140" i="44"/>
  <c r="C140" i="44"/>
  <c r="B140" i="44"/>
  <c r="P139" i="44"/>
  <c r="O139" i="44"/>
  <c r="N139" i="44"/>
  <c r="Q139" i="44" s="1"/>
  <c r="L139" i="44"/>
  <c r="K139" i="44"/>
  <c r="J139" i="44"/>
  <c r="M139" i="44" s="1"/>
  <c r="R139" i="44" s="1"/>
  <c r="G139" i="44"/>
  <c r="H139" i="44" s="1"/>
  <c r="C139" i="44"/>
  <c r="B139" i="44"/>
  <c r="P138" i="44"/>
  <c r="O138" i="44"/>
  <c r="Q138" i="44" s="1"/>
  <c r="N138" i="44"/>
  <c r="L138" i="44"/>
  <c r="K138" i="44"/>
  <c r="M138" i="44" s="1"/>
  <c r="R138" i="44" s="1"/>
  <c r="J138" i="44"/>
  <c r="H138" i="44"/>
  <c r="G138" i="44"/>
  <c r="C138" i="44"/>
  <c r="B138" i="44"/>
  <c r="P137" i="44"/>
  <c r="O137" i="44"/>
  <c r="N137" i="44"/>
  <c r="Q137" i="44" s="1"/>
  <c r="L137" i="44"/>
  <c r="K137" i="44"/>
  <c r="J137" i="44"/>
  <c r="M137" i="44" s="1"/>
  <c r="R137" i="44" s="1"/>
  <c r="G137" i="44"/>
  <c r="H137" i="44" s="1"/>
  <c r="C137" i="44"/>
  <c r="B137" i="44"/>
  <c r="P136" i="44"/>
  <c r="O136" i="44"/>
  <c r="Q136" i="44" s="1"/>
  <c r="N136" i="44"/>
  <c r="L136" i="44"/>
  <c r="K136" i="44"/>
  <c r="M136" i="44" s="1"/>
  <c r="J136" i="44"/>
  <c r="H136" i="44"/>
  <c r="G136" i="44"/>
  <c r="C136" i="44"/>
  <c r="B136" i="44"/>
  <c r="P135" i="44"/>
  <c r="O135" i="44"/>
  <c r="N135" i="44"/>
  <c r="Q135" i="44" s="1"/>
  <c r="L135" i="44"/>
  <c r="K135" i="44"/>
  <c r="J135" i="44"/>
  <c r="M135" i="44" s="1"/>
  <c r="R135" i="44" s="1"/>
  <c r="G135" i="44"/>
  <c r="H135" i="44" s="1"/>
  <c r="C135" i="44"/>
  <c r="B135" i="44"/>
  <c r="P134" i="44"/>
  <c r="O134" i="44"/>
  <c r="Q134" i="44" s="1"/>
  <c r="N134" i="44"/>
  <c r="L134" i="44"/>
  <c r="K134" i="44"/>
  <c r="M134" i="44" s="1"/>
  <c r="R134" i="44" s="1"/>
  <c r="J134" i="44"/>
  <c r="H134" i="44"/>
  <c r="G134" i="44"/>
  <c r="C134" i="44"/>
  <c r="B134" i="44"/>
  <c r="P133" i="44"/>
  <c r="O133" i="44"/>
  <c r="N133" i="44"/>
  <c r="Q133" i="44" s="1"/>
  <c r="L133" i="44"/>
  <c r="K133" i="44"/>
  <c r="J133" i="44"/>
  <c r="M133" i="44" s="1"/>
  <c r="R133" i="44" s="1"/>
  <c r="G133" i="44"/>
  <c r="H133" i="44" s="1"/>
  <c r="C133" i="44"/>
  <c r="B133" i="44"/>
  <c r="P132" i="44"/>
  <c r="O132" i="44"/>
  <c r="Q132" i="44" s="1"/>
  <c r="N132" i="44"/>
  <c r="L132" i="44"/>
  <c r="K132" i="44"/>
  <c r="M132" i="44" s="1"/>
  <c r="J132" i="44"/>
  <c r="H132" i="44"/>
  <c r="G132" i="44"/>
  <c r="C132" i="44"/>
  <c r="B132" i="44"/>
  <c r="P131" i="44"/>
  <c r="O131" i="44"/>
  <c r="N131" i="44"/>
  <c r="Q131" i="44" s="1"/>
  <c r="L131" i="44"/>
  <c r="K131" i="44"/>
  <c r="J131" i="44"/>
  <c r="M131" i="44" s="1"/>
  <c r="R131" i="44" s="1"/>
  <c r="G131" i="44"/>
  <c r="H131" i="44" s="1"/>
  <c r="C131" i="44"/>
  <c r="B131" i="44"/>
  <c r="P130" i="44"/>
  <c r="O130" i="44"/>
  <c r="Q130" i="44" s="1"/>
  <c r="N130" i="44"/>
  <c r="L130" i="44"/>
  <c r="K130" i="44"/>
  <c r="M130" i="44" s="1"/>
  <c r="R130" i="44" s="1"/>
  <c r="J130" i="44"/>
  <c r="H130" i="44"/>
  <c r="G130" i="44"/>
  <c r="C130" i="44"/>
  <c r="B130" i="44"/>
  <c r="P129" i="44"/>
  <c r="O129" i="44"/>
  <c r="N129" i="44"/>
  <c r="Q129" i="44" s="1"/>
  <c r="L129" i="44"/>
  <c r="K129" i="44"/>
  <c r="J129" i="44"/>
  <c r="M129" i="44" s="1"/>
  <c r="R129" i="44" s="1"/>
  <c r="G129" i="44"/>
  <c r="H129" i="44" s="1"/>
  <c r="C129" i="44"/>
  <c r="B129" i="44"/>
  <c r="P128" i="44"/>
  <c r="O128" i="44"/>
  <c r="Q128" i="44" s="1"/>
  <c r="N128" i="44"/>
  <c r="L128" i="44"/>
  <c r="K128" i="44"/>
  <c r="M128" i="44" s="1"/>
  <c r="J128" i="44"/>
  <c r="H128" i="44"/>
  <c r="G128" i="44"/>
  <c r="C128" i="44"/>
  <c r="B128" i="44"/>
  <c r="P127" i="44"/>
  <c r="O127" i="44"/>
  <c r="N127" i="44"/>
  <c r="Q127" i="44" s="1"/>
  <c r="L127" i="44"/>
  <c r="K127" i="44"/>
  <c r="J127" i="44"/>
  <c r="M127" i="44" s="1"/>
  <c r="R127" i="44" s="1"/>
  <c r="G127" i="44"/>
  <c r="H127" i="44" s="1"/>
  <c r="C127" i="44"/>
  <c r="B127" i="44"/>
  <c r="P126" i="44"/>
  <c r="O126" i="44"/>
  <c r="Q126" i="44" s="1"/>
  <c r="N126" i="44"/>
  <c r="L126" i="44"/>
  <c r="K126" i="44"/>
  <c r="M126" i="44" s="1"/>
  <c r="R126" i="44" s="1"/>
  <c r="J126" i="44"/>
  <c r="H126" i="44"/>
  <c r="G126" i="44"/>
  <c r="C126" i="44"/>
  <c r="B126" i="44"/>
  <c r="P125" i="44"/>
  <c r="O125" i="44"/>
  <c r="N125" i="44"/>
  <c r="Q125" i="44" s="1"/>
  <c r="L125" i="44"/>
  <c r="K125" i="44"/>
  <c r="J125" i="44"/>
  <c r="M125" i="44" s="1"/>
  <c r="R125" i="44" s="1"/>
  <c r="G125" i="44"/>
  <c r="H125" i="44" s="1"/>
  <c r="C125" i="44"/>
  <c r="B125" i="44"/>
  <c r="P124" i="44"/>
  <c r="O124" i="44"/>
  <c r="Q124" i="44" s="1"/>
  <c r="N124" i="44"/>
  <c r="L124" i="44"/>
  <c r="K124" i="44"/>
  <c r="M124" i="44" s="1"/>
  <c r="J124" i="44"/>
  <c r="H124" i="44"/>
  <c r="G124" i="44"/>
  <c r="C124" i="44"/>
  <c r="B124" i="44"/>
  <c r="P123" i="44"/>
  <c r="O123" i="44"/>
  <c r="N123" i="44"/>
  <c r="Q123" i="44" s="1"/>
  <c r="L123" i="44"/>
  <c r="K123" i="44"/>
  <c r="J123" i="44"/>
  <c r="M123" i="44" s="1"/>
  <c r="R123" i="44" s="1"/>
  <c r="G123" i="44"/>
  <c r="H123" i="44" s="1"/>
  <c r="C123" i="44"/>
  <c r="B123" i="44"/>
  <c r="P122" i="44"/>
  <c r="O122" i="44"/>
  <c r="Q122" i="44" s="1"/>
  <c r="N122" i="44"/>
  <c r="L122" i="44"/>
  <c r="K122" i="44"/>
  <c r="M122" i="44" s="1"/>
  <c r="R122" i="44" s="1"/>
  <c r="J122" i="44"/>
  <c r="H122" i="44"/>
  <c r="G122" i="44"/>
  <c r="C122" i="44"/>
  <c r="B122" i="44"/>
  <c r="P121" i="44"/>
  <c r="O121" i="44"/>
  <c r="N121" i="44"/>
  <c r="Q121" i="44" s="1"/>
  <c r="L121" i="44"/>
  <c r="K121" i="44"/>
  <c r="J121" i="44"/>
  <c r="M121" i="44" s="1"/>
  <c r="R121" i="44" s="1"/>
  <c r="G121" i="44"/>
  <c r="H121" i="44" s="1"/>
  <c r="C121" i="44"/>
  <c r="B121" i="44"/>
  <c r="P120" i="44"/>
  <c r="O120" i="44"/>
  <c r="Q120" i="44" s="1"/>
  <c r="N120" i="44"/>
  <c r="L120" i="44"/>
  <c r="K120" i="44"/>
  <c r="M120" i="44" s="1"/>
  <c r="J120" i="44"/>
  <c r="H120" i="44"/>
  <c r="G120" i="44"/>
  <c r="C120" i="44"/>
  <c r="B120" i="44"/>
  <c r="P119" i="44"/>
  <c r="O119" i="44"/>
  <c r="N119" i="44"/>
  <c r="Q119" i="44" s="1"/>
  <c r="L119" i="44"/>
  <c r="K119" i="44"/>
  <c r="J119" i="44"/>
  <c r="M119" i="44" s="1"/>
  <c r="R119" i="44" s="1"/>
  <c r="G119" i="44"/>
  <c r="H119" i="44" s="1"/>
  <c r="C119" i="44"/>
  <c r="B119" i="44"/>
  <c r="P118" i="44"/>
  <c r="O118" i="44"/>
  <c r="Q118" i="44" s="1"/>
  <c r="N118" i="44"/>
  <c r="L118" i="44"/>
  <c r="K118" i="44"/>
  <c r="M118" i="44" s="1"/>
  <c r="R118" i="44" s="1"/>
  <c r="J118" i="44"/>
  <c r="H118" i="44"/>
  <c r="G118" i="44"/>
  <c r="C118" i="44"/>
  <c r="B118" i="44"/>
  <c r="P117" i="44"/>
  <c r="O117" i="44"/>
  <c r="N117" i="44"/>
  <c r="Q117" i="44" s="1"/>
  <c r="L117" i="44"/>
  <c r="K117" i="44"/>
  <c r="J117" i="44"/>
  <c r="M117" i="44" s="1"/>
  <c r="R117" i="44" s="1"/>
  <c r="G117" i="44"/>
  <c r="H117" i="44" s="1"/>
  <c r="C117" i="44"/>
  <c r="B117" i="44"/>
  <c r="P116" i="44"/>
  <c r="O116" i="44"/>
  <c r="Q116" i="44" s="1"/>
  <c r="N116" i="44"/>
  <c r="L116" i="44"/>
  <c r="K116" i="44"/>
  <c r="M116" i="44" s="1"/>
  <c r="J116" i="44"/>
  <c r="H116" i="44"/>
  <c r="G116" i="44"/>
  <c r="C116" i="44"/>
  <c r="B116" i="44"/>
  <c r="P115" i="44"/>
  <c r="O115" i="44"/>
  <c r="N115" i="44"/>
  <c r="Q115" i="44" s="1"/>
  <c r="L115" i="44"/>
  <c r="K115" i="44"/>
  <c r="J115" i="44"/>
  <c r="M115" i="44" s="1"/>
  <c r="R115" i="44" s="1"/>
  <c r="G115" i="44"/>
  <c r="H115" i="44" s="1"/>
  <c r="C115" i="44"/>
  <c r="B115" i="44"/>
  <c r="P114" i="44"/>
  <c r="O114" i="44"/>
  <c r="Q114" i="44" s="1"/>
  <c r="N114" i="44"/>
  <c r="L114" i="44"/>
  <c r="K114" i="44"/>
  <c r="M114" i="44" s="1"/>
  <c r="R114" i="44" s="1"/>
  <c r="J114" i="44"/>
  <c r="H114" i="44"/>
  <c r="G114" i="44"/>
  <c r="C114" i="44"/>
  <c r="B114" i="44"/>
  <c r="P113" i="44"/>
  <c r="O113" i="44"/>
  <c r="N113" i="44"/>
  <c r="Q113" i="44" s="1"/>
  <c r="L113" i="44"/>
  <c r="K113" i="44"/>
  <c r="J113" i="44"/>
  <c r="M113" i="44" s="1"/>
  <c r="R113" i="44" s="1"/>
  <c r="G113" i="44"/>
  <c r="H113" i="44" s="1"/>
  <c r="C113" i="44"/>
  <c r="B113" i="44"/>
  <c r="P112" i="44"/>
  <c r="O112" i="44"/>
  <c r="Q112" i="44" s="1"/>
  <c r="N112" i="44"/>
  <c r="L112" i="44"/>
  <c r="K112" i="44"/>
  <c r="M112" i="44" s="1"/>
  <c r="J112" i="44"/>
  <c r="H112" i="44"/>
  <c r="G112" i="44"/>
  <c r="C112" i="44"/>
  <c r="B112" i="44"/>
  <c r="P111" i="44"/>
  <c r="O111" i="44"/>
  <c r="N111" i="44"/>
  <c r="Q111" i="44" s="1"/>
  <c r="L111" i="44"/>
  <c r="K111" i="44"/>
  <c r="J111" i="44"/>
  <c r="M111" i="44" s="1"/>
  <c r="R111" i="44" s="1"/>
  <c r="G111" i="44"/>
  <c r="H111" i="44" s="1"/>
  <c r="C111" i="44"/>
  <c r="B111" i="44"/>
  <c r="P110" i="44"/>
  <c r="O110" i="44"/>
  <c r="Q110" i="44" s="1"/>
  <c r="N110" i="44"/>
  <c r="L110" i="44"/>
  <c r="K110" i="44"/>
  <c r="M110" i="44" s="1"/>
  <c r="R110" i="44" s="1"/>
  <c r="J110" i="44"/>
  <c r="H110" i="44"/>
  <c r="G110" i="44"/>
  <c r="C110" i="44"/>
  <c r="B110" i="44"/>
  <c r="P109" i="44"/>
  <c r="O109" i="44"/>
  <c r="N109" i="44"/>
  <c r="Q109" i="44" s="1"/>
  <c r="L109" i="44"/>
  <c r="K109" i="44"/>
  <c r="J109" i="44"/>
  <c r="M109" i="44" s="1"/>
  <c r="R109" i="44" s="1"/>
  <c r="G109" i="44"/>
  <c r="H109" i="44" s="1"/>
  <c r="C109" i="44"/>
  <c r="B109" i="44"/>
  <c r="P108" i="44"/>
  <c r="O108" i="44"/>
  <c r="Q108" i="44" s="1"/>
  <c r="N108" i="44"/>
  <c r="L108" i="44"/>
  <c r="K108" i="44"/>
  <c r="M108" i="44" s="1"/>
  <c r="J108" i="44"/>
  <c r="H108" i="44"/>
  <c r="G108" i="44"/>
  <c r="C108" i="44"/>
  <c r="B108" i="44"/>
  <c r="P107" i="44"/>
  <c r="O107" i="44"/>
  <c r="N107" i="44"/>
  <c r="Q107" i="44" s="1"/>
  <c r="L107" i="44"/>
  <c r="K107" i="44"/>
  <c r="J107" i="44"/>
  <c r="M107" i="44" s="1"/>
  <c r="R107" i="44" s="1"/>
  <c r="G107" i="44"/>
  <c r="H107" i="44" s="1"/>
  <c r="C107" i="44"/>
  <c r="B107" i="44"/>
  <c r="P106" i="44"/>
  <c r="O106" i="44"/>
  <c r="Q106" i="44" s="1"/>
  <c r="N106" i="44"/>
  <c r="L106" i="44"/>
  <c r="K106" i="44"/>
  <c r="M106" i="44" s="1"/>
  <c r="R106" i="44" s="1"/>
  <c r="J106" i="44"/>
  <c r="H106" i="44"/>
  <c r="G106" i="44"/>
  <c r="C106" i="44"/>
  <c r="B106" i="44"/>
  <c r="P105" i="44"/>
  <c r="O105" i="44"/>
  <c r="N105" i="44"/>
  <c r="Q105" i="44" s="1"/>
  <c r="L105" i="44"/>
  <c r="K105" i="44"/>
  <c r="J105" i="44"/>
  <c r="M105" i="44" s="1"/>
  <c r="R105" i="44" s="1"/>
  <c r="G105" i="44"/>
  <c r="H105" i="44" s="1"/>
  <c r="C105" i="44"/>
  <c r="B105" i="44"/>
  <c r="P104" i="44"/>
  <c r="O104" i="44"/>
  <c r="Q104" i="44" s="1"/>
  <c r="N104" i="44"/>
  <c r="L104" i="44"/>
  <c r="K104" i="44"/>
  <c r="M104" i="44" s="1"/>
  <c r="J104" i="44"/>
  <c r="H104" i="44"/>
  <c r="G104" i="44"/>
  <c r="C104" i="44"/>
  <c r="B104" i="44"/>
  <c r="P103" i="44"/>
  <c r="O103" i="44"/>
  <c r="N103" i="44"/>
  <c r="Q103" i="44" s="1"/>
  <c r="L103" i="44"/>
  <c r="K103" i="44"/>
  <c r="J103" i="44"/>
  <c r="M103" i="44" s="1"/>
  <c r="R103" i="44" s="1"/>
  <c r="G103" i="44"/>
  <c r="H103" i="44" s="1"/>
  <c r="C103" i="44"/>
  <c r="B103" i="44"/>
  <c r="P102" i="44"/>
  <c r="O102" i="44"/>
  <c r="Q102" i="44" s="1"/>
  <c r="N102" i="44"/>
  <c r="L102" i="44"/>
  <c r="K102" i="44"/>
  <c r="M102" i="44" s="1"/>
  <c r="R102" i="44" s="1"/>
  <c r="J102" i="44"/>
  <c r="H102" i="44"/>
  <c r="G102" i="44"/>
  <c r="C102" i="44"/>
  <c r="B102" i="44"/>
  <c r="P101" i="44"/>
  <c r="O101" i="44"/>
  <c r="N101" i="44"/>
  <c r="Q101" i="44" s="1"/>
  <c r="L101" i="44"/>
  <c r="K101" i="44"/>
  <c r="J101" i="44"/>
  <c r="M101" i="44" s="1"/>
  <c r="R101" i="44" s="1"/>
  <c r="G101" i="44"/>
  <c r="H101" i="44" s="1"/>
  <c r="C101" i="44"/>
  <c r="B101" i="44"/>
  <c r="P100" i="44"/>
  <c r="O100" i="44"/>
  <c r="Q100" i="44" s="1"/>
  <c r="N100" i="44"/>
  <c r="L100" i="44"/>
  <c r="K100" i="44"/>
  <c r="M100" i="44" s="1"/>
  <c r="J100" i="44"/>
  <c r="H100" i="44"/>
  <c r="G100" i="44"/>
  <c r="C100" i="44"/>
  <c r="B100" i="44"/>
  <c r="P99" i="44"/>
  <c r="O99" i="44"/>
  <c r="N99" i="44"/>
  <c r="Q99" i="44" s="1"/>
  <c r="L99" i="44"/>
  <c r="K99" i="44"/>
  <c r="J99" i="44"/>
  <c r="M99" i="44" s="1"/>
  <c r="R99" i="44" s="1"/>
  <c r="G99" i="44"/>
  <c r="H99" i="44" s="1"/>
  <c r="C99" i="44"/>
  <c r="B99" i="44"/>
  <c r="P98" i="44"/>
  <c r="O98" i="44"/>
  <c r="Q98" i="44" s="1"/>
  <c r="N98" i="44"/>
  <c r="L98" i="44"/>
  <c r="K98" i="44"/>
  <c r="M98" i="44" s="1"/>
  <c r="R98" i="44" s="1"/>
  <c r="J98" i="44"/>
  <c r="H98" i="44"/>
  <c r="G98" i="44"/>
  <c r="C98" i="44"/>
  <c r="B98" i="44"/>
  <c r="P97" i="44"/>
  <c r="O97" i="44"/>
  <c r="N97" i="44"/>
  <c r="Q97" i="44" s="1"/>
  <c r="L97" i="44"/>
  <c r="K97" i="44"/>
  <c r="J97" i="44"/>
  <c r="M97" i="44" s="1"/>
  <c r="R97" i="44" s="1"/>
  <c r="G97" i="44"/>
  <c r="H97" i="44" s="1"/>
  <c r="C97" i="44"/>
  <c r="B97" i="44"/>
  <c r="P96" i="44"/>
  <c r="O96" i="44"/>
  <c r="Q96" i="44" s="1"/>
  <c r="N96" i="44"/>
  <c r="L96" i="44"/>
  <c r="K96" i="44"/>
  <c r="M96" i="44" s="1"/>
  <c r="J96" i="44"/>
  <c r="H96" i="44"/>
  <c r="G96" i="44"/>
  <c r="C96" i="44"/>
  <c r="B96" i="44"/>
  <c r="P95" i="44"/>
  <c r="O95" i="44"/>
  <c r="N95" i="44"/>
  <c r="Q95" i="44" s="1"/>
  <c r="L95" i="44"/>
  <c r="K95" i="44"/>
  <c r="J95" i="44"/>
  <c r="M95" i="44" s="1"/>
  <c r="R95" i="44" s="1"/>
  <c r="G95" i="44"/>
  <c r="H95" i="44" s="1"/>
  <c r="C95" i="44"/>
  <c r="B95" i="44"/>
  <c r="P94" i="44"/>
  <c r="O94" i="44"/>
  <c r="Q94" i="44" s="1"/>
  <c r="N94" i="44"/>
  <c r="L94" i="44"/>
  <c r="K94" i="44"/>
  <c r="M94" i="44" s="1"/>
  <c r="R94" i="44" s="1"/>
  <c r="J94" i="44"/>
  <c r="H94" i="44"/>
  <c r="G94" i="44"/>
  <c r="C94" i="44"/>
  <c r="B94" i="44"/>
  <c r="P93" i="44"/>
  <c r="O93" i="44"/>
  <c r="N93" i="44"/>
  <c r="Q93" i="44" s="1"/>
  <c r="L93" i="44"/>
  <c r="K93" i="44"/>
  <c r="J93" i="44"/>
  <c r="M93" i="44" s="1"/>
  <c r="R93" i="44" s="1"/>
  <c r="G93" i="44"/>
  <c r="H93" i="44" s="1"/>
  <c r="C93" i="44"/>
  <c r="B93" i="44"/>
  <c r="P92" i="44"/>
  <c r="O92" i="44"/>
  <c r="Q92" i="44" s="1"/>
  <c r="N92" i="44"/>
  <c r="L92" i="44"/>
  <c r="K92" i="44"/>
  <c r="M92" i="44" s="1"/>
  <c r="J92" i="44"/>
  <c r="H92" i="44"/>
  <c r="G92" i="44"/>
  <c r="C92" i="44"/>
  <c r="B92" i="44"/>
  <c r="P91" i="44"/>
  <c r="O91" i="44"/>
  <c r="N91" i="44"/>
  <c r="Q91" i="44" s="1"/>
  <c r="L91" i="44"/>
  <c r="K91" i="44"/>
  <c r="J91" i="44"/>
  <c r="M91" i="44" s="1"/>
  <c r="R91" i="44" s="1"/>
  <c r="G91" i="44"/>
  <c r="H91" i="44" s="1"/>
  <c r="C91" i="44"/>
  <c r="B91" i="44"/>
  <c r="P90" i="44"/>
  <c r="O90" i="44"/>
  <c r="Q90" i="44" s="1"/>
  <c r="N90" i="44"/>
  <c r="L90" i="44"/>
  <c r="K90" i="44"/>
  <c r="M90" i="44" s="1"/>
  <c r="R90" i="44" s="1"/>
  <c r="J90" i="44"/>
  <c r="H90" i="44"/>
  <c r="G90" i="44"/>
  <c r="C90" i="44"/>
  <c r="B90" i="44"/>
  <c r="P89" i="44"/>
  <c r="O89" i="44"/>
  <c r="N89" i="44"/>
  <c r="Q89" i="44" s="1"/>
  <c r="L89" i="44"/>
  <c r="K89" i="44"/>
  <c r="J89" i="44"/>
  <c r="M89" i="44" s="1"/>
  <c r="R89" i="44" s="1"/>
  <c r="G89" i="44"/>
  <c r="H89" i="44" s="1"/>
  <c r="C89" i="44"/>
  <c r="B89" i="44"/>
  <c r="P88" i="44"/>
  <c r="O88" i="44"/>
  <c r="N88" i="44"/>
  <c r="Q88" i="44" s="1"/>
  <c r="L88" i="44"/>
  <c r="K88" i="44"/>
  <c r="J88" i="44"/>
  <c r="M88" i="44" s="1"/>
  <c r="R88" i="44" s="1"/>
  <c r="G88" i="44"/>
  <c r="H88" i="44" s="1"/>
  <c r="C88" i="44"/>
  <c r="B88" i="44"/>
  <c r="P87" i="44"/>
  <c r="O87" i="44"/>
  <c r="Q87" i="44" s="1"/>
  <c r="N87" i="44"/>
  <c r="L87" i="44"/>
  <c r="K87" i="44"/>
  <c r="M87" i="44" s="1"/>
  <c r="R87" i="44" s="1"/>
  <c r="J87" i="44"/>
  <c r="H87" i="44"/>
  <c r="G87" i="44"/>
  <c r="C87" i="44"/>
  <c r="B87" i="44"/>
  <c r="P86" i="44"/>
  <c r="O86" i="44"/>
  <c r="N86" i="44"/>
  <c r="Q86" i="44" s="1"/>
  <c r="L86" i="44"/>
  <c r="K86" i="44"/>
  <c r="J86" i="44"/>
  <c r="M86" i="44" s="1"/>
  <c r="G86" i="44"/>
  <c r="H86" i="44" s="1"/>
  <c r="C86" i="44"/>
  <c r="B86" i="44"/>
  <c r="P85" i="44"/>
  <c r="O85" i="44"/>
  <c r="Q85" i="44" s="1"/>
  <c r="N85" i="44"/>
  <c r="L85" i="44"/>
  <c r="K85" i="44"/>
  <c r="M85" i="44" s="1"/>
  <c r="J85" i="44"/>
  <c r="H85" i="44"/>
  <c r="G85" i="44"/>
  <c r="C85" i="44"/>
  <c r="B85" i="44"/>
  <c r="P84" i="44"/>
  <c r="O84" i="44"/>
  <c r="N84" i="44"/>
  <c r="Q84" i="44" s="1"/>
  <c r="L84" i="44"/>
  <c r="K84" i="44"/>
  <c r="J84" i="44"/>
  <c r="M84" i="44" s="1"/>
  <c r="R84" i="44" s="1"/>
  <c r="G84" i="44"/>
  <c r="H84" i="44" s="1"/>
  <c r="C84" i="44"/>
  <c r="B84" i="44"/>
  <c r="P83" i="44"/>
  <c r="O83" i="44"/>
  <c r="Q83" i="44" s="1"/>
  <c r="N83" i="44"/>
  <c r="L83" i="44"/>
  <c r="K83" i="44"/>
  <c r="M83" i="44" s="1"/>
  <c r="R83" i="44" s="1"/>
  <c r="J83" i="44"/>
  <c r="H83" i="44"/>
  <c r="G83" i="44"/>
  <c r="C83" i="44"/>
  <c r="B83" i="44"/>
  <c r="P82" i="44"/>
  <c r="O82" i="44"/>
  <c r="N82" i="44"/>
  <c r="Q82" i="44" s="1"/>
  <c r="L82" i="44"/>
  <c r="K82" i="44"/>
  <c r="J82" i="44"/>
  <c r="M82" i="44" s="1"/>
  <c r="G82" i="44"/>
  <c r="H82" i="44" s="1"/>
  <c r="C82" i="44"/>
  <c r="B82" i="44"/>
  <c r="P81" i="44"/>
  <c r="O81" i="44"/>
  <c r="Q81" i="44" s="1"/>
  <c r="N81" i="44"/>
  <c r="L81" i="44"/>
  <c r="K81" i="44"/>
  <c r="M81" i="44" s="1"/>
  <c r="J81" i="44"/>
  <c r="H81" i="44"/>
  <c r="G81" i="44"/>
  <c r="C81" i="44"/>
  <c r="B81" i="44"/>
  <c r="P80" i="44"/>
  <c r="O80" i="44"/>
  <c r="N80" i="44"/>
  <c r="Q80" i="44" s="1"/>
  <c r="L80" i="44"/>
  <c r="K80" i="44"/>
  <c r="J80" i="44"/>
  <c r="M80" i="44" s="1"/>
  <c r="R80" i="44" s="1"/>
  <c r="G80" i="44"/>
  <c r="H80" i="44" s="1"/>
  <c r="C80" i="44"/>
  <c r="B80" i="44"/>
  <c r="P79" i="44"/>
  <c r="O79" i="44"/>
  <c r="Q79" i="44" s="1"/>
  <c r="N79" i="44"/>
  <c r="L79" i="44"/>
  <c r="K79" i="44"/>
  <c r="M79" i="44" s="1"/>
  <c r="R79" i="44" s="1"/>
  <c r="J79" i="44"/>
  <c r="H79" i="44"/>
  <c r="G79" i="44"/>
  <c r="C79" i="44"/>
  <c r="B79" i="44"/>
  <c r="P78" i="44"/>
  <c r="O78" i="44"/>
  <c r="N78" i="44"/>
  <c r="Q78" i="44" s="1"/>
  <c r="L78" i="44"/>
  <c r="K78" i="44"/>
  <c r="J78" i="44"/>
  <c r="M78" i="44" s="1"/>
  <c r="G78" i="44"/>
  <c r="H78" i="44" s="1"/>
  <c r="C78" i="44"/>
  <c r="B78" i="44"/>
  <c r="P77" i="44"/>
  <c r="O77" i="44"/>
  <c r="Q77" i="44" s="1"/>
  <c r="N77" i="44"/>
  <c r="L77" i="44"/>
  <c r="K77" i="44"/>
  <c r="M77" i="44" s="1"/>
  <c r="J77" i="44"/>
  <c r="H77" i="44"/>
  <c r="G77" i="44"/>
  <c r="C77" i="44"/>
  <c r="B77" i="44"/>
  <c r="P76" i="44"/>
  <c r="O76" i="44"/>
  <c r="N76" i="44"/>
  <c r="Q76" i="44" s="1"/>
  <c r="L76" i="44"/>
  <c r="K76" i="44"/>
  <c r="J76" i="44"/>
  <c r="M76" i="44" s="1"/>
  <c r="R76" i="44" s="1"/>
  <c r="G76" i="44"/>
  <c r="H76" i="44" s="1"/>
  <c r="C76" i="44"/>
  <c r="B76" i="44"/>
  <c r="P75" i="44"/>
  <c r="O75" i="44"/>
  <c r="Q75" i="44" s="1"/>
  <c r="N75" i="44"/>
  <c r="L75" i="44"/>
  <c r="K75" i="44"/>
  <c r="M75" i="44" s="1"/>
  <c r="R75" i="44" s="1"/>
  <c r="J75" i="44"/>
  <c r="H75" i="44"/>
  <c r="G75" i="44"/>
  <c r="C75" i="44"/>
  <c r="B75" i="44"/>
  <c r="P74" i="44"/>
  <c r="O74" i="44"/>
  <c r="N74" i="44"/>
  <c r="Q74" i="44" s="1"/>
  <c r="L74" i="44"/>
  <c r="K74" i="44"/>
  <c r="J74" i="44"/>
  <c r="M74" i="44" s="1"/>
  <c r="G74" i="44"/>
  <c r="H74" i="44" s="1"/>
  <c r="C74" i="44"/>
  <c r="B74" i="44"/>
  <c r="P73" i="44"/>
  <c r="O73" i="44"/>
  <c r="Q73" i="44" s="1"/>
  <c r="N73" i="44"/>
  <c r="L73" i="44"/>
  <c r="K73" i="44"/>
  <c r="M73" i="44" s="1"/>
  <c r="J73" i="44"/>
  <c r="H73" i="44"/>
  <c r="G73" i="44"/>
  <c r="C73" i="44"/>
  <c r="B73" i="44"/>
  <c r="P72" i="44"/>
  <c r="O72" i="44"/>
  <c r="N72" i="44"/>
  <c r="Q72" i="44" s="1"/>
  <c r="L72" i="44"/>
  <c r="K72" i="44"/>
  <c r="J72" i="44"/>
  <c r="M72" i="44" s="1"/>
  <c r="R72" i="44" s="1"/>
  <c r="G72" i="44"/>
  <c r="H72" i="44" s="1"/>
  <c r="C72" i="44"/>
  <c r="B72" i="44"/>
  <c r="P71" i="44"/>
  <c r="O71" i="44"/>
  <c r="Q71" i="44" s="1"/>
  <c r="N71" i="44"/>
  <c r="L71" i="44"/>
  <c r="K71" i="44"/>
  <c r="M71" i="44" s="1"/>
  <c r="R71" i="44" s="1"/>
  <c r="J71" i="44"/>
  <c r="H71" i="44"/>
  <c r="G71" i="44"/>
  <c r="C71" i="44"/>
  <c r="B71" i="44"/>
  <c r="P70" i="44"/>
  <c r="O70" i="44"/>
  <c r="N70" i="44"/>
  <c r="Q70" i="44" s="1"/>
  <c r="L70" i="44"/>
  <c r="K70" i="44"/>
  <c r="J70" i="44"/>
  <c r="M70" i="44" s="1"/>
  <c r="G70" i="44"/>
  <c r="H70" i="44" s="1"/>
  <c r="C70" i="44"/>
  <c r="B70" i="44"/>
  <c r="P69" i="44"/>
  <c r="O69" i="44"/>
  <c r="Q69" i="44" s="1"/>
  <c r="N69" i="44"/>
  <c r="L69" i="44"/>
  <c r="K69" i="44"/>
  <c r="M69" i="44" s="1"/>
  <c r="J69" i="44"/>
  <c r="H69" i="44"/>
  <c r="G69" i="44"/>
  <c r="C69" i="44"/>
  <c r="B69" i="44"/>
  <c r="P68" i="44"/>
  <c r="O68" i="44"/>
  <c r="N68" i="44"/>
  <c r="Q68" i="44" s="1"/>
  <c r="L68" i="44"/>
  <c r="K68" i="44"/>
  <c r="J68" i="44"/>
  <c r="M68" i="44" s="1"/>
  <c r="R68" i="44" s="1"/>
  <c r="G68" i="44"/>
  <c r="H68" i="44" s="1"/>
  <c r="C68" i="44"/>
  <c r="B68" i="44"/>
  <c r="P67" i="44"/>
  <c r="O67" i="44"/>
  <c r="Q67" i="44" s="1"/>
  <c r="N67" i="44"/>
  <c r="L67" i="44"/>
  <c r="K67" i="44"/>
  <c r="M67" i="44" s="1"/>
  <c r="R67" i="44" s="1"/>
  <c r="J67" i="44"/>
  <c r="H67" i="44"/>
  <c r="G67" i="44"/>
  <c r="C67" i="44"/>
  <c r="B67" i="44"/>
  <c r="P66" i="44"/>
  <c r="O66" i="44"/>
  <c r="N66" i="44"/>
  <c r="Q66" i="44" s="1"/>
  <c r="L66" i="44"/>
  <c r="K66" i="44"/>
  <c r="J66" i="44"/>
  <c r="M66" i="44" s="1"/>
  <c r="G66" i="44"/>
  <c r="H66" i="44" s="1"/>
  <c r="C66" i="44"/>
  <c r="B66" i="44"/>
  <c r="P65" i="44"/>
  <c r="O65" i="44"/>
  <c r="Q65" i="44" s="1"/>
  <c r="N65" i="44"/>
  <c r="L65" i="44"/>
  <c r="K65" i="44"/>
  <c r="M65" i="44" s="1"/>
  <c r="J65" i="44"/>
  <c r="H65" i="44"/>
  <c r="G65" i="44"/>
  <c r="C65" i="44"/>
  <c r="B65" i="44"/>
  <c r="P64" i="44"/>
  <c r="O64" i="44"/>
  <c r="N64" i="44"/>
  <c r="Q64" i="44" s="1"/>
  <c r="L64" i="44"/>
  <c r="K64" i="44"/>
  <c r="J64" i="44"/>
  <c r="M64" i="44" s="1"/>
  <c r="R64" i="44" s="1"/>
  <c r="G64" i="44"/>
  <c r="H64" i="44" s="1"/>
  <c r="C64" i="44"/>
  <c r="B64" i="44"/>
  <c r="P63" i="44"/>
  <c r="O63" i="44"/>
  <c r="Q63" i="44" s="1"/>
  <c r="N63" i="44"/>
  <c r="L63" i="44"/>
  <c r="K63" i="44"/>
  <c r="M63" i="44" s="1"/>
  <c r="R63" i="44" s="1"/>
  <c r="J63" i="44"/>
  <c r="H63" i="44"/>
  <c r="G63" i="44"/>
  <c r="C63" i="44"/>
  <c r="B63" i="44"/>
  <c r="P62" i="44"/>
  <c r="O62" i="44"/>
  <c r="N62" i="44"/>
  <c r="Q62" i="44" s="1"/>
  <c r="L62" i="44"/>
  <c r="K62" i="44"/>
  <c r="J62" i="44"/>
  <c r="M62" i="44" s="1"/>
  <c r="G62" i="44"/>
  <c r="H62" i="44" s="1"/>
  <c r="C62" i="44"/>
  <c r="B62" i="44"/>
  <c r="P61" i="44"/>
  <c r="O61" i="44"/>
  <c r="Q61" i="44" s="1"/>
  <c r="N61" i="44"/>
  <c r="L61" i="44"/>
  <c r="K61" i="44"/>
  <c r="M61" i="44" s="1"/>
  <c r="J61" i="44"/>
  <c r="H61" i="44"/>
  <c r="G61" i="44"/>
  <c r="C61" i="44"/>
  <c r="B61" i="44"/>
  <c r="P60" i="44"/>
  <c r="O60" i="44"/>
  <c r="N60" i="44"/>
  <c r="Q60" i="44" s="1"/>
  <c r="L60" i="44"/>
  <c r="K60" i="44"/>
  <c r="J60" i="44"/>
  <c r="M60" i="44" s="1"/>
  <c r="R60" i="44" s="1"/>
  <c r="G60" i="44"/>
  <c r="H60" i="44" s="1"/>
  <c r="C60" i="44"/>
  <c r="B60" i="44"/>
  <c r="P59" i="44"/>
  <c r="O59" i="44"/>
  <c r="Q59" i="44" s="1"/>
  <c r="N59" i="44"/>
  <c r="L59" i="44"/>
  <c r="K59" i="44"/>
  <c r="M59" i="44" s="1"/>
  <c r="R59" i="44" s="1"/>
  <c r="J59" i="44"/>
  <c r="H59" i="44"/>
  <c r="G59" i="44"/>
  <c r="C59" i="44"/>
  <c r="B59" i="44"/>
  <c r="P58" i="44"/>
  <c r="O58" i="44"/>
  <c r="N58" i="44"/>
  <c r="Q58" i="44" s="1"/>
  <c r="L58" i="44"/>
  <c r="K58" i="44"/>
  <c r="J58" i="44"/>
  <c r="M58" i="44" s="1"/>
  <c r="G58" i="44"/>
  <c r="H58" i="44" s="1"/>
  <c r="C58" i="44"/>
  <c r="B58" i="44"/>
  <c r="P57" i="44"/>
  <c r="O57" i="44"/>
  <c r="Q57" i="44" s="1"/>
  <c r="N57" i="44"/>
  <c r="L57" i="44"/>
  <c r="K57" i="44"/>
  <c r="M57" i="44" s="1"/>
  <c r="J57" i="44"/>
  <c r="H57" i="44"/>
  <c r="G57" i="44"/>
  <c r="C57" i="44"/>
  <c r="B57" i="44"/>
  <c r="P56" i="44"/>
  <c r="O56" i="44"/>
  <c r="N56" i="44"/>
  <c r="Q56" i="44" s="1"/>
  <c r="L56" i="44"/>
  <c r="K56" i="44"/>
  <c r="J56" i="44"/>
  <c r="M56" i="44" s="1"/>
  <c r="R56" i="44" s="1"/>
  <c r="G56" i="44"/>
  <c r="H56" i="44" s="1"/>
  <c r="C56" i="44"/>
  <c r="B56" i="44"/>
  <c r="P55" i="44"/>
  <c r="O55" i="44"/>
  <c r="Q55" i="44" s="1"/>
  <c r="N55" i="44"/>
  <c r="L55" i="44"/>
  <c r="K55" i="44"/>
  <c r="M55" i="44" s="1"/>
  <c r="R55" i="44" s="1"/>
  <c r="J55" i="44"/>
  <c r="H55" i="44"/>
  <c r="G55" i="44"/>
  <c r="C55" i="44"/>
  <c r="B55" i="44"/>
  <c r="P54" i="44"/>
  <c r="O54" i="44"/>
  <c r="N54" i="44"/>
  <c r="Q54" i="44" s="1"/>
  <c r="L54" i="44"/>
  <c r="K54" i="44"/>
  <c r="J54" i="44"/>
  <c r="M54" i="44" s="1"/>
  <c r="G54" i="44"/>
  <c r="H54" i="44" s="1"/>
  <c r="C54" i="44"/>
  <c r="B54" i="44"/>
  <c r="P53" i="44"/>
  <c r="O53" i="44"/>
  <c r="Q53" i="44" s="1"/>
  <c r="N53" i="44"/>
  <c r="L53" i="44"/>
  <c r="K53" i="44"/>
  <c r="M53" i="44" s="1"/>
  <c r="J53" i="44"/>
  <c r="H53" i="44"/>
  <c r="G53" i="44"/>
  <c r="C53" i="44"/>
  <c r="B53" i="44"/>
  <c r="P52" i="44"/>
  <c r="O52" i="44"/>
  <c r="N52" i="44"/>
  <c r="Q52" i="44" s="1"/>
  <c r="L52" i="44"/>
  <c r="K52" i="44"/>
  <c r="J52" i="44"/>
  <c r="M52" i="44" s="1"/>
  <c r="R52" i="44" s="1"/>
  <c r="G52" i="44"/>
  <c r="H52" i="44" s="1"/>
  <c r="C52" i="44"/>
  <c r="B52" i="44"/>
  <c r="P51" i="44"/>
  <c r="O51" i="44"/>
  <c r="Q51" i="44" s="1"/>
  <c r="N51" i="44"/>
  <c r="L51" i="44"/>
  <c r="K51" i="44"/>
  <c r="M51" i="44" s="1"/>
  <c r="R51" i="44" s="1"/>
  <c r="J51" i="44"/>
  <c r="H51" i="44"/>
  <c r="G51" i="44"/>
  <c r="C51" i="44"/>
  <c r="B51" i="44"/>
  <c r="P50" i="44"/>
  <c r="O50" i="44"/>
  <c r="N50" i="44"/>
  <c r="Q50" i="44" s="1"/>
  <c r="L50" i="44"/>
  <c r="K50" i="44"/>
  <c r="J50" i="44"/>
  <c r="M50" i="44" s="1"/>
  <c r="G50" i="44"/>
  <c r="H50" i="44" s="1"/>
  <c r="C50" i="44"/>
  <c r="B50" i="44"/>
  <c r="P49" i="44"/>
  <c r="O49" i="44"/>
  <c r="Q49" i="44" s="1"/>
  <c r="N49" i="44"/>
  <c r="L49" i="44"/>
  <c r="K49" i="44"/>
  <c r="M49" i="44" s="1"/>
  <c r="J49" i="44"/>
  <c r="H49" i="44"/>
  <c r="G49" i="44"/>
  <c r="C49" i="44"/>
  <c r="B49" i="44"/>
  <c r="P48" i="44"/>
  <c r="O48" i="44"/>
  <c r="N48" i="44"/>
  <c r="Q48" i="44" s="1"/>
  <c r="L48" i="44"/>
  <c r="K48" i="44"/>
  <c r="J48" i="44"/>
  <c r="M48" i="44" s="1"/>
  <c r="R48" i="44" s="1"/>
  <c r="G48" i="44"/>
  <c r="H48" i="44" s="1"/>
  <c r="C48" i="44"/>
  <c r="B48" i="44"/>
  <c r="P47" i="44"/>
  <c r="O47" i="44"/>
  <c r="Q47" i="44" s="1"/>
  <c r="N47" i="44"/>
  <c r="L47" i="44"/>
  <c r="K47" i="44"/>
  <c r="M47" i="44" s="1"/>
  <c r="R47" i="44" s="1"/>
  <c r="J47" i="44"/>
  <c r="H47" i="44"/>
  <c r="G47" i="44"/>
  <c r="C47" i="44"/>
  <c r="B47" i="44"/>
  <c r="P46" i="44"/>
  <c r="O46" i="44"/>
  <c r="N46" i="44"/>
  <c r="Q46" i="44" s="1"/>
  <c r="L46" i="44"/>
  <c r="K46" i="44"/>
  <c r="J46" i="44"/>
  <c r="M46" i="44" s="1"/>
  <c r="G46" i="44"/>
  <c r="H46" i="44" s="1"/>
  <c r="C46" i="44"/>
  <c r="B46" i="44"/>
  <c r="A303" i="44"/>
  <c r="Y323" i="57"/>
  <c r="W323" i="57"/>
  <c r="V323" i="57"/>
  <c r="U323" i="57"/>
  <c r="S323" i="57"/>
  <c r="R323" i="57"/>
  <c r="Q323" i="57"/>
  <c r="P323" i="57"/>
  <c r="O323" i="57"/>
  <c r="N323" i="57"/>
  <c r="J323" i="57"/>
  <c r="I323" i="57"/>
  <c r="K323" i="57" s="1"/>
  <c r="H323" i="57"/>
  <c r="D323" i="57"/>
  <c r="C323" i="57"/>
  <c r="Y322" i="57"/>
  <c r="W322" i="57"/>
  <c r="V322" i="57"/>
  <c r="U322" i="57"/>
  <c r="S322" i="57"/>
  <c r="R322" i="57"/>
  <c r="Q322" i="57"/>
  <c r="P322" i="57"/>
  <c r="O322" i="57"/>
  <c r="N322" i="57"/>
  <c r="J322" i="57"/>
  <c r="I322" i="57"/>
  <c r="K322" i="57" s="1"/>
  <c r="H322" i="57"/>
  <c r="D322" i="57"/>
  <c r="C322" i="57"/>
  <c r="Y321" i="57"/>
  <c r="W321" i="57"/>
  <c r="V321" i="57"/>
  <c r="U321" i="57"/>
  <c r="S321" i="57"/>
  <c r="R321" i="57"/>
  <c r="Q321" i="57"/>
  <c r="P321" i="57"/>
  <c r="O321" i="57"/>
  <c r="N321" i="57"/>
  <c r="J321" i="57"/>
  <c r="I321" i="57"/>
  <c r="K321" i="57" s="1"/>
  <c r="H321" i="57"/>
  <c r="D321" i="57"/>
  <c r="C321" i="57"/>
  <c r="Y320" i="57"/>
  <c r="W320" i="57"/>
  <c r="V320" i="57"/>
  <c r="U320" i="57"/>
  <c r="S320" i="57"/>
  <c r="R320" i="57"/>
  <c r="Q320" i="57"/>
  <c r="P320" i="57"/>
  <c r="O320" i="57"/>
  <c r="N320" i="57"/>
  <c r="J320" i="57"/>
  <c r="I320" i="57"/>
  <c r="K320" i="57" s="1"/>
  <c r="H320" i="57"/>
  <c r="D320" i="57"/>
  <c r="C320" i="57"/>
  <c r="Y319" i="57"/>
  <c r="W319" i="57"/>
  <c r="V319" i="57"/>
  <c r="U319" i="57"/>
  <c r="S319" i="57"/>
  <c r="R319" i="57"/>
  <c r="Q319" i="57"/>
  <c r="P319" i="57"/>
  <c r="O319" i="57"/>
  <c r="N319" i="57"/>
  <c r="J319" i="57"/>
  <c r="I319" i="57"/>
  <c r="K319" i="57" s="1"/>
  <c r="H319" i="57"/>
  <c r="D319" i="57"/>
  <c r="C319" i="57"/>
  <c r="Y318" i="57"/>
  <c r="W318" i="57"/>
  <c r="V318" i="57"/>
  <c r="U318" i="57"/>
  <c r="S318" i="57"/>
  <c r="R318" i="57"/>
  <c r="Q318" i="57"/>
  <c r="P318" i="57"/>
  <c r="O318" i="57"/>
  <c r="N318" i="57"/>
  <c r="J318" i="57"/>
  <c r="I318" i="57"/>
  <c r="K318" i="57" s="1"/>
  <c r="H318" i="57"/>
  <c r="D318" i="57"/>
  <c r="C318" i="57"/>
  <c r="Y317" i="57"/>
  <c r="W317" i="57"/>
  <c r="V317" i="57"/>
  <c r="U317" i="57"/>
  <c r="S317" i="57"/>
  <c r="R317" i="57"/>
  <c r="Q317" i="57"/>
  <c r="P317" i="57"/>
  <c r="O317" i="57"/>
  <c r="N317" i="57"/>
  <c r="J317" i="57"/>
  <c r="I317" i="57"/>
  <c r="K317" i="57" s="1"/>
  <c r="H317" i="57"/>
  <c r="D317" i="57"/>
  <c r="C317" i="57"/>
  <c r="Y316" i="57"/>
  <c r="W316" i="57"/>
  <c r="V316" i="57"/>
  <c r="U316" i="57"/>
  <c r="S316" i="57"/>
  <c r="R316" i="57"/>
  <c r="Q316" i="57"/>
  <c r="P316" i="57"/>
  <c r="O316" i="57"/>
  <c r="N316" i="57"/>
  <c r="J316" i="57"/>
  <c r="I316" i="57"/>
  <c r="K316" i="57" s="1"/>
  <c r="H316" i="57"/>
  <c r="D316" i="57"/>
  <c r="C316" i="57"/>
  <c r="Y315" i="57"/>
  <c r="W315" i="57"/>
  <c r="V315" i="57"/>
  <c r="U315" i="57"/>
  <c r="S315" i="57"/>
  <c r="R315" i="57"/>
  <c r="Q315" i="57"/>
  <c r="P315" i="57"/>
  <c r="O315" i="57"/>
  <c r="N315" i="57"/>
  <c r="J315" i="57"/>
  <c r="I315" i="57"/>
  <c r="K315" i="57" s="1"/>
  <c r="H315" i="57"/>
  <c r="D315" i="57"/>
  <c r="C315" i="57"/>
  <c r="Y314" i="57"/>
  <c r="W314" i="57"/>
  <c r="V314" i="57"/>
  <c r="U314" i="57"/>
  <c r="S314" i="57"/>
  <c r="R314" i="57"/>
  <c r="Q314" i="57"/>
  <c r="P314" i="57"/>
  <c r="O314" i="57"/>
  <c r="N314" i="57"/>
  <c r="J314" i="57"/>
  <c r="I314" i="57"/>
  <c r="K314" i="57" s="1"/>
  <c r="H314" i="57"/>
  <c r="D314" i="57"/>
  <c r="C314" i="57"/>
  <c r="Y313" i="57"/>
  <c r="W313" i="57"/>
  <c r="V313" i="57"/>
  <c r="U313" i="57"/>
  <c r="S313" i="57"/>
  <c r="R313" i="57"/>
  <c r="Q313" i="57"/>
  <c r="P313" i="57"/>
  <c r="O313" i="57"/>
  <c r="N313" i="57"/>
  <c r="J313" i="57"/>
  <c r="I313" i="57"/>
  <c r="K313" i="57" s="1"/>
  <c r="H313" i="57"/>
  <c r="D313" i="57"/>
  <c r="C313" i="57"/>
  <c r="Y312" i="57"/>
  <c r="W312" i="57"/>
  <c r="V312" i="57"/>
  <c r="U312" i="57"/>
  <c r="S312" i="57"/>
  <c r="R312" i="57"/>
  <c r="Q312" i="57"/>
  <c r="P312" i="57"/>
  <c r="O312" i="57"/>
  <c r="N312" i="57"/>
  <c r="J312" i="57"/>
  <c r="I312" i="57"/>
  <c r="K312" i="57" s="1"/>
  <c r="H312" i="57"/>
  <c r="D312" i="57"/>
  <c r="C312" i="57"/>
  <c r="Y311" i="57"/>
  <c r="W311" i="57"/>
  <c r="V311" i="57"/>
  <c r="U311" i="57"/>
  <c r="S311" i="57"/>
  <c r="R311" i="57"/>
  <c r="Q311" i="57"/>
  <c r="P311" i="57"/>
  <c r="O311" i="57"/>
  <c r="N311" i="57"/>
  <c r="J311" i="57"/>
  <c r="I311" i="57"/>
  <c r="K311" i="57" s="1"/>
  <c r="H311" i="57"/>
  <c r="D311" i="57"/>
  <c r="C311" i="57"/>
  <c r="Y310" i="57"/>
  <c r="W310" i="57"/>
  <c r="V310" i="57"/>
  <c r="U310" i="57"/>
  <c r="S310" i="57"/>
  <c r="R310" i="57"/>
  <c r="Q310" i="57"/>
  <c r="P310" i="57"/>
  <c r="O310" i="57"/>
  <c r="N310" i="57"/>
  <c r="J310" i="57"/>
  <c r="I310" i="57"/>
  <c r="K310" i="57" s="1"/>
  <c r="H310" i="57"/>
  <c r="D310" i="57"/>
  <c r="C310" i="57"/>
  <c r="Y309" i="57"/>
  <c r="W309" i="57"/>
  <c r="V309" i="57"/>
  <c r="U309" i="57"/>
  <c r="S309" i="57"/>
  <c r="R309" i="57"/>
  <c r="Q309" i="57"/>
  <c r="P309" i="57"/>
  <c r="O309" i="57"/>
  <c r="N309" i="57"/>
  <c r="J309" i="57"/>
  <c r="I309" i="57"/>
  <c r="K309" i="57" s="1"/>
  <c r="H309" i="57"/>
  <c r="D309" i="57"/>
  <c r="C309" i="57"/>
  <c r="Y308" i="57"/>
  <c r="W308" i="57"/>
  <c r="V308" i="57"/>
  <c r="U308" i="57"/>
  <c r="S308" i="57"/>
  <c r="R308" i="57"/>
  <c r="Q308" i="57"/>
  <c r="P308" i="57"/>
  <c r="O308" i="57"/>
  <c r="N308" i="57"/>
  <c r="J308" i="57"/>
  <c r="I308" i="57"/>
  <c r="K308" i="57" s="1"/>
  <c r="H308" i="57"/>
  <c r="D308" i="57"/>
  <c r="C308" i="57"/>
  <c r="Y307" i="57"/>
  <c r="W307" i="57"/>
  <c r="V307" i="57"/>
  <c r="U307" i="57"/>
  <c r="X323" i="57" s="1"/>
  <c r="S307" i="57"/>
  <c r="R307" i="57"/>
  <c r="Q307" i="57"/>
  <c r="P307" i="57"/>
  <c r="O307" i="57"/>
  <c r="N307" i="57"/>
  <c r="J307" i="57"/>
  <c r="I307" i="57"/>
  <c r="K307" i="57" s="1"/>
  <c r="H307" i="57"/>
  <c r="D307" i="57"/>
  <c r="C307" i="57"/>
  <c r="Y306" i="57"/>
  <c r="W306" i="57"/>
  <c r="V306" i="57"/>
  <c r="X322" i="57" s="1"/>
  <c r="U306" i="57"/>
  <c r="S306" i="57"/>
  <c r="R306" i="57"/>
  <c r="Q306" i="57"/>
  <c r="P306" i="57"/>
  <c r="O306" i="57"/>
  <c r="N306" i="57"/>
  <c r="J306" i="57"/>
  <c r="I306" i="57"/>
  <c r="K306" i="57" s="1"/>
  <c r="H306" i="57"/>
  <c r="D306" i="57"/>
  <c r="C306" i="57"/>
  <c r="Y305" i="57"/>
  <c r="W305" i="57"/>
  <c r="V305" i="57"/>
  <c r="U305" i="57"/>
  <c r="X321" i="57" s="1"/>
  <c r="S305" i="57"/>
  <c r="R305" i="57"/>
  <c r="Q305" i="57"/>
  <c r="P305" i="57"/>
  <c r="O305" i="57"/>
  <c r="N305" i="57"/>
  <c r="J305" i="57"/>
  <c r="I305" i="57"/>
  <c r="K305" i="57" s="1"/>
  <c r="H305" i="57"/>
  <c r="D305" i="57"/>
  <c r="C305" i="57"/>
  <c r="Y304" i="57"/>
  <c r="W304" i="57"/>
  <c r="V304" i="57"/>
  <c r="X320" i="57" s="1"/>
  <c r="U304" i="57"/>
  <c r="S304" i="57"/>
  <c r="R304" i="57"/>
  <c r="Q304" i="57"/>
  <c r="P304" i="57"/>
  <c r="O304" i="57"/>
  <c r="N304" i="57"/>
  <c r="J304" i="57"/>
  <c r="I304" i="57"/>
  <c r="K304" i="57" s="1"/>
  <c r="H304" i="57"/>
  <c r="D304" i="57"/>
  <c r="C304" i="57"/>
  <c r="Y303" i="57"/>
  <c r="W303" i="57"/>
  <c r="V303" i="57"/>
  <c r="U303" i="57"/>
  <c r="X319" i="57" s="1"/>
  <c r="S303" i="57"/>
  <c r="R303" i="57"/>
  <c r="Q303" i="57"/>
  <c r="P303" i="57"/>
  <c r="O303" i="57"/>
  <c r="N303" i="57"/>
  <c r="J303" i="57"/>
  <c r="I303" i="57"/>
  <c r="K303" i="57" s="1"/>
  <c r="H303" i="57"/>
  <c r="D303" i="57"/>
  <c r="C303" i="57"/>
  <c r="Y302" i="57"/>
  <c r="W302" i="57"/>
  <c r="V302" i="57"/>
  <c r="X318" i="57" s="1"/>
  <c r="U302" i="57"/>
  <c r="S302" i="57"/>
  <c r="R302" i="57"/>
  <c r="Q302" i="57"/>
  <c r="P302" i="57"/>
  <c r="O302" i="57"/>
  <c r="N302" i="57"/>
  <c r="J302" i="57"/>
  <c r="I302" i="57"/>
  <c r="K302" i="57" s="1"/>
  <c r="H302" i="57"/>
  <c r="D302" i="57"/>
  <c r="C302" i="57"/>
  <c r="Y301" i="57"/>
  <c r="W301" i="57"/>
  <c r="V301" i="57"/>
  <c r="U301" i="57"/>
  <c r="X317" i="57" s="1"/>
  <c r="S301" i="57"/>
  <c r="R301" i="57"/>
  <c r="Q301" i="57"/>
  <c r="P301" i="57"/>
  <c r="O301" i="57"/>
  <c r="N301" i="57"/>
  <c r="J301" i="57"/>
  <c r="I301" i="57"/>
  <c r="K301" i="57" s="1"/>
  <c r="H301" i="57"/>
  <c r="D301" i="57"/>
  <c r="C301" i="57"/>
  <c r="Y300" i="57"/>
  <c r="W300" i="57"/>
  <c r="V300" i="57"/>
  <c r="X316" i="57" s="1"/>
  <c r="U300" i="57"/>
  <c r="S300" i="57"/>
  <c r="R300" i="57"/>
  <c r="Q300" i="57"/>
  <c r="P300" i="57"/>
  <c r="T323" i="57" s="1"/>
  <c r="O300" i="57"/>
  <c r="N300" i="57"/>
  <c r="J300" i="57"/>
  <c r="I300" i="57"/>
  <c r="K300" i="57" s="1"/>
  <c r="H300" i="57"/>
  <c r="D300" i="57"/>
  <c r="C300" i="57"/>
  <c r="Y299" i="57"/>
  <c r="W299" i="57"/>
  <c r="V299" i="57"/>
  <c r="U299" i="57"/>
  <c r="X315" i="57" s="1"/>
  <c r="S299" i="57"/>
  <c r="R299" i="57"/>
  <c r="Q299" i="57"/>
  <c r="T322" i="57" s="1"/>
  <c r="P299" i="57"/>
  <c r="O299" i="57"/>
  <c r="N299" i="57"/>
  <c r="J299" i="57"/>
  <c r="I299" i="57"/>
  <c r="K299" i="57" s="1"/>
  <c r="H299" i="57"/>
  <c r="D299" i="57"/>
  <c r="C299" i="57"/>
  <c r="Y298" i="57"/>
  <c r="W298" i="57"/>
  <c r="V298" i="57"/>
  <c r="X314" i="57" s="1"/>
  <c r="U298" i="57"/>
  <c r="S298" i="57"/>
  <c r="R298" i="57"/>
  <c r="Q298" i="57"/>
  <c r="P298" i="57"/>
  <c r="T321" i="57" s="1"/>
  <c r="O298" i="57"/>
  <c r="N298" i="57"/>
  <c r="J298" i="57"/>
  <c r="I298" i="57"/>
  <c r="K298" i="57" s="1"/>
  <c r="H298" i="57"/>
  <c r="D298" i="57"/>
  <c r="C298" i="57"/>
  <c r="Y297" i="57"/>
  <c r="W297" i="57"/>
  <c r="V297" i="57"/>
  <c r="U297" i="57"/>
  <c r="X313" i="57" s="1"/>
  <c r="S297" i="57"/>
  <c r="R297" i="57"/>
  <c r="Q297" i="57"/>
  <c r="T320" i="57" s="1"/>
  <c r="P297" i="57"/>
  <c r="O297" i="57"/>
  <c r="N297" i="57"/>
  <c r="J297" i="57"/>
  <c r="I297" i="57"/>
  <c r="K297" i="57" s="1"/>
  <c r="H297" i="57"/>
  <c r="D297" i="57"/>
  <c r="C297" i="57"/>
  <c r="Y296" i="57"/>
  <c r="W296" i="57"/>
  <c r="V296" i="57"/>
  <c r="X312" i="57" s="1"/>
  <c r="U296" i="57"/>
  <c r="S296" i="57"/>
  <c r="R296" i="57"/>
  <c r="Q296" i="57"/>
  <c r="P296" i="57"/>
  <c r="T319" i="57" s="1"/>
  <c r="O296" i="57"/>
  <c r="N296" i="57"/>
  <c r="J296" i="57"/>
  <c r="I296" i="57"/>
  <c r="K296" i="57" s="1"/>
  <c r="H296" i="57"/>
  <c r="D296" i="57"/>
  <c r="C296" i="57"/>
  <c r="Y295" i="57"/>
  <c r="W295" i="57"/>
  <c r="V295" i="57"/>
  <c r="U295" i="57"/>
  <c r="X311" i="57" s="1"/>
  <c r="S295" i="57"/>
  <c r="R295" i="57"/>
  <c r="Q295" i="57"/>
  <c r="T318" i="57" s="1"/>
  <c r="P295" i="57"/>
  <c r="O295" i="57"/>
  <c r="N295" i="57"/>
  <c r="J295" i="57"/>
  <c r="I295" i="57"/>
  <c r="K295" i="57" s="1"/>
  <c r="H295" i="57"/>
  <c r="D295" i="57"/>
  <c r="C295" i="57"/>
  <c r="Y294" i="57"/>
  <c r="W294" i="57"/>
  <c r="V294" i="57"/>
  <c r="X310" i="57" s="1"/>
  <c r="U294" i="57"/>
  <c r="S294" i="57"/>
  <c r="R294" i="57"/>
  <c r="Q294" i="57"/>
  <c r="P294" i="57"/>
  <c r="O294" i="57"/>
  <c r="N294" i="57"/>
  <c r="J294" i="57"/>
  <c r="I294" i="57"/>
  <c r="K294" i="57" s="1"/>
  <c r="H294" i="57"/>
  <c r="D294" i="57"/>
  <c r="C294" i="57"/>
  <c r="Y293" i="57"/>
  <c r="W293" i="57"/>
  <c r="V293" i="57"/>
  <c r="U293" i="57"/>
  <c r="X309" i="57" s="1"/>
  <c r="S293" i="57"/>
  <c r="R293" i="57"/>
  <c r="Q293" i="57"/>
  <c r="T316" i="57" s="1"/>
  <c r="P293" i="57"/>
  <c r="O293" i="57"/>
  <c r="N293" i="57"/>
  <c r="J293" i="57"/>
  <c r="I293" i="57"/>
  <c r="K293" i="57" s="1"/>
  <c r="H293" i="57"/>
  <c r="D293" i="57"/>
  <c r="C293" i="57"/>
  <c r="Y292" i="57"/>
  <c r="W292" i="57"/>
  <c r="V292" i="57"/>
  <c r="X308" i="57" s="1"/>
  <c r="U292" i="57"/>
  <c r="S292" i="57"/>
  <c r="R292" i="57"/>
  <c r="Q292" i="57"/>
  <c r="P292" i="57"/>
  <c r="T315" i="57" s="1"/>
  <c r="O292" i="57"/>
  <c r="N292" i="57"/>
  <c r="J292" i="57"/>
  <c r="I292" i="57"/>
  <c r="K292" i="57" s="1"/>
  <c r="H292" i="57"/>
  <c r="D292" i="57"/>
  <c r="C292" i="57"/>
  <c r="Y291" i="57"/>
  <c r="W291" i="57"/>
  <c r="V291" i="57"/>
  <c r="U291" i="57"/>
  <c r="X307" i="57" s="1"/>
  <c r="S291" i="57"/>
  <c r="R291" i="57"/>
  <c r="Q291" i="57"/>
  <c r="T314" i="57" s="1"/>
  <c r="P291" i="57"/>
  <c r="O291" i="57"/>
  <c r="N291" i="57"/>
  <c r="J291" i="57"/>
  <c r="I291" i="57"/>
  <c r="K291" i="57" s="1"/>
  <c r="H291" i="57"/>
  <c r="D291" i="57"/>
  <c r="C291" i="57"/>
  <c r="Y290" i="57"/>
  <c r="W290" i="57"/>
  <c r="V290" i="57"/>
  <c r="X306" i="57" s="1"/>
  <c r="U290" i="57"/>
  <c r="S290" i="57"/>
  <c r="R290" i="57"/>
  <c r="Q290" i="57"/>
  <c r="P290" i="57"/>
  <c r="T313" i="57" s="1"/>
  <c r="O290" i="57"/>
  <c r="N290" i="57"/>
  <c r="J290" i="57"/>
  <c r="I290" i="57"/>
  <c r="K290" i="57" s="1"/>
  <c r="H290" i="57"/>
  <c r="D290" i="57"/>
  <c r="C290" i="57"/>
  <c r="Y289" i="57"/>
  <c r="W289" i="57"/>
  <c r="V289" i="57"/>
  <c r="U289" i="57"/>
  <c r="X305" i="57" s="1"/>
  <c r="S289" i="57"/>
  <c r="R289" i="57"/>
  <c r="Q289" i="57"/>
  <c r="T312" i="57" s="1"/>
  <c r="P289" i="57"/>
  <c r="O289" i="57"/>
  <c r="N289" i="57"/>
  <c r="J289" i="57"/>
  <c r="I289" i="57"/>
  <c r="K289" i="57" s="1"/>
  <c r="H289" i="57"/>
  <c r="D289" i="57"/>
  <c r="C289" i="57"/>
  <c r="Y288" i="57"/>
  <c r="W288" i="57"/>
  <c r="V288" i="57"/>
  <c r="X304" i="57" s="1"/>
  <c r="U288" i="57"/>
  <c r="S288" i="57"/>
  <c r="R288" i="57"/>
  <c r="Q288" i="57"/>
  <c r="P288" i="57"/>
  <c r="T311" i="57" s="1"/>
  <c r="O288" i="57"/>
  <c r="N288" i="57"/>
  <c r="J288" i="57"/>
  <c r="I288" i="57"/>
  <c r="K288" i="57" s="1"/>
  <c r="H288" i="57"/>
  <c r="D288" i="57"/>
  <c r="C288" i="57"/>
  <c r="Y287" i="57"/>
  <c r="W287" i="57"/>
  <c r="V287" i="57"/>
  <c r="U287" i="57"/>
  <c r="X303" i="57" s="1"/>
  <c r="S287" i="57"/>
  <c r="R287" i="57"/>
  <c r="Q287" i="57"/>
  <c r="T310" i="57" s="1"/>
  <c r="P287" i="57"/>
  <c r="O287" i="57"/>
  <c r="N287" i="57"/>
  <c r="J287" i="57"/>
  <c r="I287" i="57"/>
  <c r="K287" i="57" s="1"/>
  <c r="H287" i="57"/>
  <c r="D287" i="57"/>
  <c r="C287" i="57"/>
  <c r="Y286" i="57"/>
  <c r="W286" i="57"/>
  <c r="V286" i="57"/>
  <c r="X302" i="57" s="1"/>
  <c r="U286" i="57"/>
  <c r="S286" i="57"/>
  <c r="R286" i="57"/>
  <c r="Q286" i="57"/>
  <c r="P286" i="57"/>
  <c r="T309" i="57" s="1"/>
  <c r="O286" i="57"/>
  <c r="N286" i="57"/>
  <c r="J286" i="57"/>
  <c r="I286" i="57"/>
  <c r="K286" i="57" s="1"/>
  <c r="H286" i="57"/>
  <c r="D286" i="57"/>
  <c r="C286" i="57"/>
  <c r="Y285" i="57"/>
  <c r="W285" i="57"/>
  <c r="V285" i="57"/>
  <c r="U285" i="57"/>
  <c r="X301" i="57" s="1"/>
  <c r="S285" i="57"/>
  <c r="R285" i="57"/>
  <c r="Q285" i="57"/>
  <c r="T308" i="57" s="1"/>
  <c r="P285" i="57"/>
  <c r="O285" i="57"/>
  <c r="N285" i="57"/>
  <c r="J285" i="57"/>
  <c r="I285" i="57"/>
  <c r="K285" i="57" s="1"/>
  <c r="H285" i="57"/>
  <c r="D285" i="57"/>
  <c r="C285" i="57"/>
  <c r="Y284" i="57"/>
  <c r="W284" i="57"/>
  <c r="V284" i="57"/>
  <c r="X300" i="57" s="1"/>
  <c r="U284" i="57"/>
  <c r="S284" i="57"/>
  <c r="R284" i="57"/>
  <c r="Q284" i="57"/>
  <c r="P284" i="57"/>
  <c r="T307" i="57" s="1"/>
  <c r="O284" i="57"/>
  <c r="N284" i="57"/>
  <c r="J284" i="57"/>
  <c r="I284" i="57"/>
  <c r="K284" i="57" s="1"/>
  <c r="H284" i="57"/>
  <c r="D284" i="57"/>
  <c r="C284" i="57"/>
  <c r="Y283" i="57"/>
  <c r="W283" i="57"/>
  <c r="V283" i="57"/>
  <c r="U283" i="57"/>
  <c r="X299" i="57" s="1"/>
  <c r="S283" i="57"/>
  <c r="R283" i="57"/>
  <c r="Q283" i="57"/>
  <c r="T306" i="57" s="1"/>
  <c r="P283" i="57"/>
  <c r="O283" i="57"/>
  <c r="N283" i="57"/>
  <c r="J283" i="57"/>
  <c r="I283" i="57"/>
  <c r="K283" i="57" s="1"/>
  <c r="H283" i="57"/>
  <c r="D283" i="57"/>
  <c r="C283" i="57"/>
  <c r="Y282" i="57"/>
  <c r="W282" i="57"/>
  <c r="V282" i="57"/>
  <c r="X298" i="57" s="1"/>
  <c r="U282" i="57"/>
  <c r="S282" i="57"/>
  <c r="R282" i="57"/>
  <c r="Q282" i="57"/>
  <c r="P282" i="57"/>
  <c r="T305" i="57" s="1"/>
  <c r="O282" i="57"/>
  <c r="N282" i="57"/>
  <c r="J282" i="57"/>
  <c r="I282" i="57"/>
  <c r="K282" i="57" s="1"/>
  <c r="H282" i="57"/>
  <c r="D282" i="57"/>
  <c r="C282" i="57"/>
  <c r="Y281" i="57"/>
  <c r="W281" i="57"/>
  <c r="V281" i="57"/>
  <c r="U281" i="57"/>
  <c r="X297" i="57" s="1"/>
  <c r="S281" i="57"/>
  <c r="R281" i="57"/>
  <c r="Q281" i="57"/>
  <c r="T304" i="57" s="1"/>
  <c r="P281" i="57"/>
  <c r="O281" i="57"/>
  <c r="N281" i="57"/>
  <c r="J281" i="57"/>
  <c r="I281" i="57"/>
  <c r="K281" i="57" s="1"/>
  <c r="H281" i="57"/>
  <c r="D281" i="57"/>
  <c r="C281" i="57"/>
  <c r="Y280" i="57"/>
  <c r="W280" i="57"/>
  <c r="V280" i="57"/>
  <c r="X296" i="57" s="1"/>
  <c r="U280" i="57"/>
  <c r="S280" i="57"/>
  <c r="R280" i="57"/>
  <c r="Q280" i="57"/>
  <c r="P280" i="57"/>
  <c r="T303" i="57" s="1"/>
  <c r="O280" i="57"/>
  <c r="N280" i="57"/>
  <c r="J280" i="57"/>
  <c r="I280" i="57"/>
  <c r="K280" i="57" s="1"/>
  <c r="H280" i="57"/>
  <c r="D280" i="57"/>
  <c r="C280" i="57"/>
  <c r="Y279" i="57"/>
  <c r="W279" i="57"/>
  <c r="V279" i="57"/>
  <c r="U279" i="57"/>
  <c r="X295" i="57" s="1"/>
  <c r="S279" i="57"/>
  <c r="R279" i="57"/>
  <c r="Q279" i="57"/>
  <c r="P279" i="57"/>
  <c r="O279" i="57"/>
  <c r="N279" i="57"/>
  <c r="J279" i="57"/>
  <c r="I279" i="57"/>
  <c r="K279" i="57" s="1"/>
  <c r="H279" i="57"/>
  <c r="D279" i="57"/>
  <c r="C279" i="57"/>
  <c r="Y278" i="57"/>
  <c r="W278" i="57"/>
  <c r="V278" i="57"/>
  <c r="X294" i="57" s="1"/>
  <c r="U278" i="57"/>
  <c r="S278" i="57"/>
  <c r="R278" i="57"/>
  <c r="Q278" i="57"/>
  <c r="P278" i="57"/>
  <c r="T301" i="57" s="1"/>
  <c r="O278" i="57"/>
  <c r="N278" i="57"/>
  <c r="J278" i="57"/>
  <c r="I278" i="57"/>
  <c r="K278" i="57" s="1"/>
  <c r="H278" i="57"/>
  <c r="D278" i="57"/>
  <c r="C278" i="57"/>
  <c r="Y277" i="57"/>
  <c r="W277" i="57"/>
  <c r="V277" i="57"/>
  <c r="U277" i="57"/>
  <c r="X293" i="57" s="1"/>
  <c r="S277" i="57"/>
  <c r="R277" i="57"/>
  <c r="Q277" i="57"/>
  <c r="P277" i="57"/>
  <c r="O277" i="57"/>
  <c r="N277" i="57"/>
  <c r="J277" i="57"/>
  <c r="I277" i="57"/>
  <c r="K277" i="57" s="1"/>
  <c r="H277" i="57"/>
  <c r="D277" i="57"/>
  <c r="C277" i="57"/>
  <c r="Y276" i="57"/>
  <c r="W276" i="57"/>
  <c r="V276" i="57"/>
  <c r="X292" i="57" s="1"/>
  <c r="U276" i="57"/>
  <c r="S276" i="57"/>
  <c r="R276" i="57"/>
  <c r="Q276" i="57"/>
  <c r="P276" i="57"/>
  <c r="T299" i="57" s="1"/>
  <c r="O276" i="57"/>
  <c r="N276" i="57"/>
  <c r="J276" i="57"/>
  <c r="I276" i="57"/>
  <c r="K276" i="57" s="1"/>
  <c r="H276" i="57"/>
  <c r="D276" i="57"/>
  <c r="C276" i="57"/>
  <c r="Y275" i="57"/>
  <c r="W275" i="57"/>
  <c r="V275" i="57"/>
  <c r="U275" i="57"/>
  <c r="X291" i="57" s="1"/>
  <c r="S275" i="57"/>
  <c r="R275" i="57"/>
  <c r="Q275" i="57"/>
  <c r="T298" i="57" s="1"/>
  <c r="P275" i="57"/>
  <c r="O275" i="57"/>
  <c r="N275" i="57"/>
  <c r="J275" i="57"/>
  <c r="I275" i="57"/>
  <c r="K275" i="57" s="1"/>
  <c r="H275" i="57"/>
  <c r="D275" i="57"/>
  <c r="C275" i="57"/>
  <c r="Y274" i="57"/>
  <c r="W274" i="57"/>
  <c r="V274" i="57"/>
  <c r="X290" i="57" s="1"/>
  <c r="U274" i="57"/>
  <c r="S274" i="57"/>
  <c r="R274" i="57"/>
  <c r="Q274" i="57"/>
  <c r="P274" i="57"/>
  <c r="T297" i="57" s="1"/>
  <c r="O274" i="57"/>
  <c r="N274" i="57"/>
  <c r="J274" i="57"/>
  <c r="I274" i="57"/>
  <c r="K274" i="57" s="1"/>
  <c r="H274" i="57"/>
  <c r="D274" i="57"/>
  <c r="C274" i="57"/>
  <c r="Y273" i="57"/>
  <c r="W273" i="57"/>
  <c r="V273" i="57"/>
  <c r="U273" i="57"/>
  <c r="X289" i="57" s="1"/>
  <c r="S273" i="57"/>
  <c r="R273" i="57"/>
  <c r="Q273" i="57"/>
  <c r="T296" i="57" s="1"/>
  <c r="P273" i="57"/>
  <c r="O273" i="57"/>
  <c r="N273" i="57"/>
  <c r="J273" i="57"/>
  <c r="I273" i="57"/>
  <c r="K273" i="57" s="1"/>
  <c r="H273" i="57"/>
  <c r="D273" i="57"/>
  <c r="C273" i="57"/>
  <c r="Y272" i="57"/>
  <c r="W272" i="57"/>
  <c r="V272" i="57"/>
  <c r="X288" i="57" s="1"/>
  <c r="U272" i="57"/>
  <c r="S272" i="57"/>
  <c r="R272" i="57"/>
  <c r="Q272" i="57"/>
  <c r="P272" i="57"/>
  <c r="T295" i="57" s="1"/>
  <c r="O272" i="57"/>
  <c r="N272" i="57"/>
  <c r="J272" i="57"/>
  <c r="I272" i="57"/>
  <c r="K272" i="57" s="1"/>
  <c r="H272" i="57"/>
  <c r="D272" i="57"/>
  <c r="C272" i="57"/>
  <c r="Y271" i="57"/>
  <c r="W271" i="57"/>
  <c r="V271" i="57"/>
  <c r="U271" i="57"/>
  <c r="X287" i="57" s="1"/>
  <c r="S271" i="57"/>
  <c r="R271" i="57"/>
  <c r="Q271" i="57"/>
  <c r="T294" i="57" s="1"/>
  <c r="P271" i="57"/>
  <c r="O271" i="57"/>
  <c r="N271" i="57"/>
  <c r="J271" i="57"/>
  <c r="I271" i="57"/>
  <c r="K271" i="57" s="1"/>
  <c r="H271" i="57"/>
  <c r="D271" i="57"/>
  <c r="C271" i="57"/>
  <c r="Y270" i="57"/>
  <c r="W270" i="57"/>
  <c r="V270" i="57"/>
  <c r="X286" i="57" s="1"/>
  <c r="U270" i="57"/>
  <c r="S270" i="57"/>
  <c r="R270" i="57"/>
  <c r="Q270" i="57"/>
  <c r="P270" i="57"/>
  <c r="T293" i="57" s="1"/>
  <c r="O270" i="57"/>
  <c r="N270" i="57"/>
  <c r="J270" i="57"/>
  <c r="I270" i="57"/>
  <c r="K270" i="57" s="1"/>
  <c r="H270" i="57"/>
  <c r="D270" i="57"/>
  <c r="C270" i="57"/>
  <c r="Y269" i="57"/>
  <c r="W269" i="57"/>
  <c r="V269" i="57"/>
  <c r="U269" i="57"/>
  <c r="X285" i="57" s="1"/>
  <c r="S269" i="57"/>
  <c r="R269" i="57"/>
  <c r="Q269" i="57"/>
  <c r="T292" i="57" s="1"/>
  <c r="P269" i="57"/>
  <c r="O269" i="57"/>
  <c r="N269" i="57"/>
  <c r="J269" i="57"/>
  <c r="I269" i="57"/>
  <c r="K269" i="57" s="1"/>
  <c r="H269" i="57"/>
  <c r="D269" i="57"/>
  <c r="C269" i="57"/>
  <c r="Y268" i="57"/>
  <c r="W268" i="57"/>
  <c r="V268" i="57"/>
  <c r="X284" i="57" s="1"/>
  <c r="U268" i="57"/>
  <c r="S268" i="57"/>
  <c r="R268" i="57"/>
  <c r="Q268" i="57"/>
  <c r="P268" i="57"/>
  <c r="T291" i="57" s="1"/>
  <c r="O268" i="57"/>
  <c r="N268" i="57"/>
  <c r="J268" i="57"/>
  <c r="I268" i="57"/>
  <c r="K268" i="57" s="1"/>
  <c r="H268" i="57"/>
  <c r="D268" i="57"/>
  <c r="C268" i="57"/>
  <c r="Y267" i="57"/>
  <c r="W267" i="57"/>
  <c r="V267" i="57"/>
  <c r="U267" i="57"/>
  <c r="X283" i="57" s="1"/>
  <c r="S267" i="57"/>
  <c r="R267" i="57"/>
  <c r="Q267" i="57"/>
  <c r="T290" i="57" s="1"/>
  <c r="P267" i="57"/>
  <c r="O267" i="57"/>
  <c r="N267" i="57"/>
  <c r="J267" i="57"/>
  <c r="I267" i="57"/>
  <c r="K267" i="57" s="1"/>
  <c r="H267" i="57"/>
  <c r="D267" i="57"/>
  <c r="C267" i="57"/>
  <c r="Y266" i="57"/>
  <c r="W266" i="57"/>
  <c r="V266" i="57"/>
  <c r="X282" i="57" s="1"/>
  <c r="U266" i="57"/>
  <c r="S266" i="57"/>
  <c r="R266" i="57"/>
  <c r="Q266" i="57"/>
  <c r="P266" i="57"/>
  <c r="T289" i="57" s="1"/>
  <c r="O266" i="57"/>
  <c r="N266" i="57"/>
  <c r="J266" i="57"/>
  <c r="I266" i="57"/>
  <c r="K266" i="57" s="1"/>
  <c r="H266" i="57"/>
  <c r="D266" i="57"/>
  <c r="C266" i="57"/>
  <c r="Y265" i="57"/>
  <c r="W265" i="57"/>
  <c r="V265" i="57"/>
  <c r="U265" i="57"/>
  <c r="X281" i="57" s="1"/>
  <c r="S265" i="57"/>
  <c r="R265" i="57"/>
  <c r="Q265" i="57"/>
  <c r="T288" i="57" s="1"/>
  <c r="P265" i="57"/>
  <c r="O265" i="57"/>
  <c r="N265" i="57"/>
  <c r="J265" i="57"/>
  <c r="I265" i="57"/>
  <c r="K265" i="57" s="1"/>
  <c r="H265" i="57"/>
  <c r="D265" i="57"/>
  <c r="C265" i="57"/>
  <c r="Y264" i="57"/>
  <c r="W264" i="57"/>
  <c r="V264" i="57"/>
  <c r="X280" i="57" s="1"/>
  <c r="U264" i="57"/>
  <c r="S264" i="57"/>
  <c r="R264" i="57"/>
  <c r="Q264" i="57"/>
  <c r="P264" i="57"/>
  <c r="T287" i="57" s="1"/>
  <c r="O264" i="57"/>
  <c r="N264" i="57"/>
  <c r="J264" i="57"/>
  <c r="I264" i="57"/>
  <c r="K264" i="57" s="1"/>
  <c r="H264" i="57"/>
  <c r="D264" i="57"/>
  <c r="C264" i="57"/>
  <c r="Y263" i="57"/>
  <c r="W263" i="57"/>
  <c r="V263" i="57"/>
  <c r="U263" i="57"/>
  <c r="X279" i="57" s="1"/>
  <c r="S263" i="57"/>
  <c r="R263" i="57"/>
  <c r="Q263" i="57"/>
  <c r="T286" i="57" s="1"/>
  <c r="P263" i="57"/>
  <c r="O263" i="57"/>
  <c r="N263" i="57"/>
  <c r="J263" i="57"/>
  <c r="I263" i="57"/>
  <c r="K263" i="57" s="1"/>
  <c r="H263" i="57"/>
  <c r="D263" i="57"/>
  <c r="C263" i="57"/>
  <c r="Y262" i="57"/>
  <c r="W262" i="57"/>
  <c r="V262" i="57"/>
  <c r="X278" i="57" s="1"/>
  <c r="U262" i="57"/>
  <c r="S262" i="57"/>
  <c r="R262" i="57"/>
  <c r="Q262" i="57"/>
  <c r="P262" i="57"/>
  <c r="T285" i="57" s="1"/>
  <c r="O262" i="57"/>
  <c r="N262" i="57"/>
  <c r="J262" i="57"/>
  <c r="I262" i="57"/>
  <c r="K262" i="57" s="1"/>
  <c r="H262" i="57"/>
  <c r="D262" i="57"/>
  <c r="C262" i="57"/>
  <c r="Y261" i="57"/>
  <c r="W261" i="57"/>
  <c r="V261" i="57"/>
  <c r="U261" i="57"/>
  <c r="X277" i="57" s="1"/>
  <c r="S261" i="57"/>
  <c r="R261" i="57"/>
  <c r="Q261" i="57"/>
  <c r="T284" i="57" s="1"/>
  <c r="P261" i="57"/>
  <c r="O261" i="57"/>
  <c r="N261" i="57"/>
  <c r="J261" i="57"/>
  <c r="I261" i="57"/>
  <c r="K261" i="57" s="1"/>
  <c r="H261" i="57"/>
  <c r="D261" i="57"/>
  <c r="C261" i="57"/>
  <c r="Y260" i="57"/>
  <c r="W260" i="57"/>
  <c r="V260" i="57"/>
  <c r="X276" i="57" s="1"/>
  <c r="U260" i="57"/>
  <c r="S260" i="57"/>
  <c r="R260" i="57"/>
  <c r="Q260" i="57"/>
  <c r="P260" i="57"/>
  <c r="T283" i="57" s="1"/>
  <c r="O260" i="57"/>
  <c r="N260" i="57"/>
  <c r="J260" i="57"/>
  <c r="I260" i="57"/>
  <c r="K260" i="57" s="1"/>
  <c r="H260" i="57"/>
  <c r="D260" i="57"/>
  <c r="C260" i="57"/>
  <c r="Y259" i="57"/>
  <c r="W259" i="57"/>
  <c r="V259" i="57"/>
  <c r="U259" i="57"/>
  <c r="X275" i="57" s="1"/>
  <c r="S259" i="57"/>
  <c r="R259" i="57"/>
  <c r="Q259" i="57"/>
  <c r="T282" i="57" s="1"/>
  <c r="P259" i="57"/>
  <c r="O259" i="57"/>
  <c r="N259" i="57"/>
  <c r="J259" i="57"/>
  <c r="I259" i="57"/>
  <c r="K259" i="57" s="1"/>
  <c r="H259" i="57"/>
  <c r="D259" i="57"/>
  <c r="C259" i="57"/>
  <c r="Y258" i="57"/>
  <c r="W258" i="57"/>
  <c r="V258" i="57"/>
  <c r="X274" i="57" s="1"/>
  <c r="U258" i="57"/>
  <c r="S258" i="57"/>
  <c r="R258" i="57"/>
  <c r="Q258" i="57"/>
  <c r="P258" i="57"/>
  <c r="T281" i="57" s="1"/>
  <c r="O258" i="57"/>
  <c r="N258" i="57"/>
  <c r="J258" i="57"/>
  <c r="I258" i="57"/>
  <c r="K258" i="57" s="1"/>
  <c r="H258" i="57"/>
  <c r="D258" i="57"/>
  <c r="C258" i="57"/>
  <c r="Y257" i="57"/>
  <c r="W257" i="57"/>
  <c r="V257" i="57"/>
  <c r="U257" i="57"/>
  <c r="X273" i="57" s="1"/>
  <c r="S257" i="57"/>
  <c r="R257" i="57"/>
  <c r="Q257" i="57"/>
  <c r="T280" i="57" s="1"/>
  <c r="P257" i="57"/>
  <c r="O257" i="57"/>
  <c r="N257" i="57"/>
  <c r="J257" i="57"/>
  <c r="I257" i="57"/>
  <c r="K257" i="57" s="1"/>
  <c r="H257" i="57"/>
  <c r="D257" i="57"/>
  <c r="C257" i="57"/>
  <c r="Y256" i="57"/>
  <c r="W256" i="57"/>
  <c r="V256" i="57"/>
  <c r="X272" i="57" s="1"/>
  <c r="U256" i="57"/>
  <c r="S256" i="57"/>
  <c r="R256" i="57"/>
  <c r="Q256" i="57"/>
  <c r="P256" i="57"/>
  <c r="T279" i="57" s="1"/>
  <c r="O256" i="57"/>
  <c r="N256" i="57"/>
  <c r="J256" i="57"/>
  <c r="I256" i="57"/>
  <c r="K256" i="57" s="1"/>
  <c r="H256" i="57"/>
  <c r="D256" i="57"/>
  <c r="C256" i="57"/>
  <c r="Y255" i="57"/>
  <c r="W255" i="57"/>
  <c r="V255" i="57"/>
  <c r="U255" i="57"/>
  <c r="X271" i="57" s="1"/>
  <c r="S255" i="57"/>
  <c r="R255" i="57"/>
  <c r="Q255" i="57"/>
  <c r="T278" i="57" s="1"/>
  <c r="P255" i="57"/>
  <c r="O255" i="57"/>
  <c r="N255" i="57"/>
  <c r="J255" i="57"/>
  <c r="I255" i="57"/>
  <c r="K255" i="57" s="1"/>
  <c r="H255" i="57"/>
  <c r="D255" i="57"/>
  <c r="C255" i="57"/>
  <c r="Y254" i="57"/>
  <c r="W254" i="57"/>
  <c r="V254" i="57"/>
  <c r="X270" i="57" s="1"/>
  <c r="U254" i="57"/>
  <c r="S254" i="57"/>
  <c r="R254" i="57"/>
  <c r="Q254" i="57"/>
  <c r="P254" i="57"/>
  <c r="T277" i="57" s="1"/>
  <c r="O254" i="57"/>
  <c r="N254" i="57"/>
  <c r="J254" i="57"/>
  <c r="I254" i="57"/>
  <c r="K254" i="57" s="1"/>
  <c r="H254" i="57"/>
  <c r="D254" i="57"/>
  <c r="C254" i="57"/>
  <c r="Y253" i="57"/>
  <c r="W253" i="57"/>
  <c r="V253" i="57"/>
  <c r="U253" i="57"/>
  <c r="X269" i="57" s="1"/>
  <c r="S253" i="57"/>
  <c r="R253" i="57"/>
  <c r="Q253" i="57"/>
  <c r="T276" i="57" s="1"/>
  <c r="P253" i="57"/>
  <c r="O253" i="57"/>
  <c r="N253" i="57"/>
  <c r="J253" i="57"/>
  <c r="I253" i="57"/>
  <c r="K253" i="57" s="1"/>
  <c r="H253" i="57"/>
  <c r="D253" i="57"/>
  <c r="C253" i="57"/>
  <c r="Y252" i="57"/>
  <c r="W252" i="57"/>
  <c r="V252" i="57"/>
  <c r="X268" i="57" s="1"/>
  <c r="U252" i="57"/>
  <c r="S252" i="57"/>
  <c r="R252" i="57"/>
  <c r="Q252" i="57"/>
  <c r="P252" i="57"/>
  <c r="T275" i="57" s="1"/>
  <c r="O252" i="57"/>
  <c r="N252" i="57"/>
  <c r="J252" i="57"/>
  <c r="I252" i="57"/>
  <c r="K252" i="57" s="1"/>
  <c r="H252" i="57"/>
  <c r="D252" i="57"/>
  <c r="C252" i="57"/>
  <c r="Y251" i="57"/>
  <c r="W251" i="57"/>
  <c r="V251" i="57"/>
  <c r="U251" i="57"/>
  <c r="X267" i="57" s="1"/>
  <c r="S251" i="57"/>
  <c r="R251" i="57"/>
  <c r="Q251" i="57"/>
  <c r="T274" i="57" s="1"/>
  <c r="P251" i="57"/>
  <c r="O251" i="57"/>
  <c r="N251" i="57"/>
  <c r="J251" i="57"/>
  <c r="I251" i="57"/>
  <c r="K251" i="57" s="1"/>
  <c r="H251" i="57"/>
  <c r="D251" i="57"/>
  <c r="C251" i="57"/>
  <c r="Y250" i="57"/>
  <c r="W250" i="57"/>
  <c r="V250" i="57"/>
  <c r="X266" i="57" s="1"/>
  <c r="U250" i="57"/>
  <c r="S250" i="57"/>
  <c r="R250" i="57"/>
  <c r="Q250" i="57"/>
  <c r="P250" i="57"/>
  <c r="T273" i="57" s="1"/>
  <c r="O250" i="57"/>
  <c r="N250" i="57"/>
  <c r="J250" i="57"/>
  <c r="I250" i="57"/>
  <c r="K250" i="57" s="1"/>
  <c r="H250" i="57"/>
  <c r="D250" i="57"/>
  <c r="C250" i="57"/>
  <c r="Y249" i="57"/>
  <c r="W249" i="57"/>
  <c r="V249" i="57"/>
  <c r="U249" i="57"/>
  <c r="X265" i="57" s="1"/>
  <c r="S249" i="57"/>
  <c r="R249" i="57"/>
  <c r="Q249" i="57"/>
  <c r="T272" i="57" s="1"/>
  <c r="P249" i="57"/>
  <c r="O249" i="57"/>
  <c r="N249" i="57"/>
  <c r="J249" i="57"/>
  <c r="I249" i="57"/>
  <c r="K249" i="57" s="1"/>
  <c r="H249" i="57"/>
  <c r="D249" i="57"/>
  <c r="C249" i="57"/>
  <c r="Y248" i="57"/>
  <c r="W248" i="57"/>
  <c r="V248" i="57"/>
  <c r="X264" i="57" s="1"/>
  <c r="U248" i="57"/>
  <c r="S248" i="57"/>
  <c r="R248" i="57"/>
  <c r="Q248" i="57"/>
  <c r="P248" i="57"/>
  <c r="T271" i="57" s="1"/>
  <c r="O248" i="57"/>
  <c r="N248" i="57"/>
  <c r="J248" i="57"/>
  <c r="I248" i="57"/>
  <c r="K248" i="57" s="1"/>
  <c r="H248" i="57"/>
  <c r="D248" i="57"/>
  <c r="C248" i="57"/>
  <c r="Y247" i="57"/>
  <c r="W247" i="57"/>
  <c r="V247" i="57"/>
  <c r="U247" i="57"/>
  <c r="X263" i="57" s="1"/>
  <c r="S247" i="57"/>
  <c r="R247" i="57"/>
  <c r="Q247" i="57"/>
  <c r="T270" i="57" s="1"/>
  <c r="P247" i="57"/>
  <c r="O247" i="57"/>
  <c r="N247" i="57"/>
  <c r="J247" i="57"/>
  <c r="I247" i="57"/>
  <c r="K247" i="57" s="1"/>
  <c r="H247" i="57"/>
  <c r="D247" i="57"/>
  <c r="C247" i="57"/>
  <c r="Y246" i="57"/>
  <c r="W246" i="57"/>
  <c r="V246" i="57"/>
  <c r="X262" i="57" s="1"/>
  <c r="U246" i="57"/>
  <c r="S246" i="57"/>
  <c r="R246" i="57"/>
  <c r="Q246" i="57"/>
  <c r="P246" i="57"/>
  <c r="T269" i="57" s="1"/>
  <c r="O246" i="57"/>
  <c r="N246" i="57"/>
  <c r="J246" i="57"/>
  <c r="I246" i="57"/>
  <c r="K246" i="57" s="1"/>
  <c r="H246" i="57"/>
  <c r="D246" i="57"/>
  <c r="C246" i="57"/>
  <c r="Y245" i="57"/>
  <c r="W245" i="57"/>
  <c r="V245" i="57"/>
  <c r="U245" i="57"/>
  <c r="X261" i="57" s="1"/>
  <c r="S245" i="57"/>
  <c r="R245" i="57"/>
  <c r="Q245" i="57"/>
  <c r="T268" i="57" s="1"/>
  <c r="P245" i="57"/>
  <c r="O245" i="57"/>
  <c r="N245" i="57"/>
  <c r="J245" i="57"/>
  <c r="I245" i="57"/>
  <c r="K245" i="57" s="1"/>
  <c r="H245" i="57"/>
  <c r="D245" i="57"/>
  <c r="C245" i="57"/>
  <c r="Y244" i="57"/>
  <c r="W244" i="57"/>
  <c r="V244" i="57"/>
  <c r="X260" i="57" s="1"/>
  <c r="U244" i="57"/>
  <c r="S244" i="57"/>
  <c r="R244" i="57"/>
  <c r="Q244" i="57"/>
  <c r="P244" i="57"/>
  <c r="T267" i="57" s="1"/>
  <c r="O244" i="57"/>
  <c r="N244" i="57"/>
  <c r="J244" i="57"/>
  <c r="I244" i="57"/>
  <c r="K244" i="57" s="1"/>
  <c r="H244" i="57"/>
  <c r="D244" i="57"/>
  <c r="C244" i="57"/>
  <c r="Y243" i="57"/>
  <c r="W243" i="57"/>
  <c r="V243" i="57"/>
  <c r="U243" i="57"/>
  <c r="X259" i="57" s="1"/>
  <c r="S243" i="57"/>
  <c r="R243" i="57"/>
  <c r="Q243" i="57"/>
  <c r="T266" i="57" s="1"/>
  <c r="P243" i="57"/>
  <c r="O243" i="57"/>
  <c r="N243" i="57"/>
  <c r="J243" i="57"/>
  <c r="I243" i="57"/>
  <c r="K243" i="57" s="1"/>
  <c r="H243" i="57"/>
  <c r="D243" i="57"/>
  <c r="C243" i="57"/>
  <c r="Y242" i="57"/>
  <c r="W242" i="57"/>
  <c r="V242" i="57"/>
  <c r="X258" i="57" s="1"/>
  <c r="U242" i="57"/>
  <c r="S242" i="57"/>
  <c r="R242" i="57"/>
  <c r="Q242" i="57"/>
  <c r="P242" i="57"/>
  <c r="T265" i="57" s="1"/>
  <c r="O242" i="57"/>
  <c r="N242" i="57"/>
  <c r="J242" i="57"/>
  <c r="I242" i="57"/>
  <c r="K242" i="57" s="1"/>
  <c r="H242" i="57"/>
  <c r="D242" i="57"/>
  <c r="C242" i="57"/>
  <c r="Y241" i="57"/>
  <c r="W241" i="57"/>
  <c r="V241" i="57"/>
  <c r="U241" i="57"/>
  <c r="X257" i="57" s="1"/>
  <c r="S241" i="57"/>
  <c r="R241" i="57"/>
  <c r="Q241" i="57"/>
  <c r="T264" i="57" s="1"/>
  <c r="P241" i="57"/>
  <c r="O241" i="57"/>
  <c r="N241" i="57"/>
  <c r="J241" i="57"/>
  <c r="I241" i="57"/>
  <c r="K241" i="57" s="1"/>
  <c r="H241" i="57"/>
  <c r="D241" i="57"/>
  <c r="C241" i="57"/>
  <c r="Y240" i="57"/>
  <c r="W240" i="57"/>
  <c r="V240" i="57"/>
  <c r="X256" i="57" s="1"/>
  <c r="U240" i="57"/>
  <c r="S240" i="57"/>
  <c r="R240" i="57"/>
  <c r="Q240" i="57"/>
  <c r="P240" i="57"/>
  <c r="T263" i="57" s="1"/>
  <c r="O240" i="57"/>
  <c r="N240" i="57"/>
  <c r="J240" i="57"/>
  <c r="I240" i="57"/>
  <c r="K240" i="57" s="1"/>
  <c r="H240" i="57"/>
  <c r="D240" i="57"/>
  <c r="C240" i="57"/>
  <c r="Y239" i="57"/>
  <c r="W239" i="57"/>
  <c r="V239" i="57"/>
  <c r="U239" i="57"/>
  <c r="S239" i="57"/>
  <c r="R239" i="57"/>
  <c r="Q239" i="57"/>
  <c r="P239" i="57"/>
  <c r="T262" i="57" s="1"/>
  <c r="O239" i="57"/>
  <c r="N239" i="57"/>
  <c r="J239" i="57"/>
  <c r="I239" i="57"/>
  <c r="K239" i="57" s="1"/>
  <c r="H239" i="57"/>
  <c r="D239" i="57"/>
  <c r="C239" i="57"/>
  <c r="Y238" i="57"/>
  <c r="W238" i="57"/>
  <c r="V238" i="57"/>
  <c r="U238" i="57"/>
  <c r="X254" i="57" s="1"/>
  <c r="S238" i="57"/>
  <c r="R238" i="57"/>
  <c r="Q238" i="57"/>
  <c r="P238" i="57"/>
  <c r="O238" i="57"/>
  <c r="N238" i="57"/>
  <c r="J238" i="57"/>
  <c r="I238" i="57"/>
  <c r="K238" i="57" s="1"/>
  <c r="H238" i="57"/>
  <c r="D238" i="57"/>
  <c r="C238" i="57"/>
  <c r="Y237" i="57"/>
  <c r="W237" i="57"/>
  <c r="V237" i="57"/>
  <c r="U237" i="57"/>
  <c r="S237" i="57"/>
  <c r="R237" i="57"/>
  <c r="Q237" i="57"/>
  <c r="P237" i="57"/>
  <c r="T260" i="57" s="1"/>
  <c r="O237" i="57"/>
  <c r="N237" i="57"/>
  <c r="J237" i="57"/>
  <c r="I237" i="57"/>
  <c r="K237" i="57" s="1"/>
  <c r="H237" i="57"/>
  <c r="D237" i="57"/>
  <c r="C237" i="57"/>
  <c r="Y236" i="57"/>
  <c r="W236" i="57"/>
  <c r="V236" i="57"/>
  <c r="U236" i="57"/>
  <c r="X252" i="57" s="1"/>
  <c r="S236" i="57"/>
  <c r="R236" i="57"/>
  <c r="Q236" i="57"/>
  <c r="P236" i="57"/>
  <c r="O236" i="57"/>
  <c r="N236" i="57"/>
  <c r="J236" i="57"/>
  <c r="I236" i="57"/>
  <c r="K236" i="57" s="1"/>
  <c r="H236" i="57"/>
  <c r="D236" i="57"/>
  <c r="C236" i="57"/>
  <c r="Y235" i="57"/>
  <c r="W235" i="57"/>
  <c r="V235" i="57"/>
  <c r="U235" i="57"/>
  <c r="S235" i="57"/>
  <c r="R235" i="57"/>
  <c r="Q235" i="57"/>
  <c r="P235" i="57"/>
  <c r="T258" i="57" s="1"/>
  <c r="O235" i="57"/>
  <c r="N235" i="57"/>
  <c r="J235" i="57"/>
  <c r="I235" i="57"/>
  <c r="K235" i="57" s="1"/>
  <c r="H235" i="57"/>
  <c r="D235" i="57"/>
  <c r="C235" i="57"/>
  <c r="Y234" i="57"/>
  <c r="W234" i="57"/>
  <c r="V234" i="57"/>
  <c r="U234" i="57"/>
  <c r="X250" i="57" s="1"/>
  <c r="S234" i="57"/>
  <c r="R234" i="57"/>
  <c r="Q234" i="57"/>
  <c r="P234" i="57"/>
  <c r="O234" i="57"/>
  <c r="N234" i="57"/>
  <c r="J234" i="57"/>
  <c r="I234" i="57"/>
  <c r="K234" i="57" s="1"/>
  <c r="H234" i="57"/>
  <c r="D234" i="57"/>
  <c r="C234" i="57"/>
  <c r="Y233" i="57"/>
  <c r="W233" i="57"/>
  <c r="V233" i="57"/>
  <c r="U233" i="57"/>
  <c r="S233" i="57"/>
  <c r="R233" i="57"/>
  <c r="Q233" i="57"/>
  <c r="P233" i="57"/>
  <c r="T256" i="57" s="1"/>
  <c r="O233" i="57"/>
  <c r="N233" i="57"/>
  <c r="J233" i="57"/>
  <c r="I233" i="57"/>
  <c r="K233" i="57" s="1"/>
  <c r="H233" i="57"/>
  <c r="D233" i="57"/>
  <c r="C233" i="57"/>
  <c r="Y232" i="57"/>
  <c r="W232" i="57"/>
  <c r="V232" i="57"/>
  <c r="U232" i="57"/>
  <c r="X248" i="57" s="1"/>
  <c r="S232" i="57"/>
  <c r="R232" i="57"/>
  <c r="Q232" i="57"/>
  <c r="P232" i="57"/>
  <c r="O232" i="57"/>
  <c r="N232" i="57"/>
  <c r="J232" i="57"/>
  <c r="I232" i="57"/>
  <c r="K232" i="57" s="1"/>
  <c r="H232" i="57"/>
  <c r="D232" i="57"/>
  <c r="C232" i="57"/>
  <c r="Y231" i="57"/>
  <c r="W231" i="57"/>
  <c r="V231" i="57"/>
  <c r="U231" i="57"/>
  <c r="S231" i="57"/>
  <c r="R231" i="57"/>
  <c r="Q231" i="57"/>
  <c r="P231" i="57"/>
  <c r="T254" i="57" s="1"/>
  <c r="O231" i="57"/>
  <c r="N231" i="57"/>
  <c r="J231" i="57"/>
  <c r="I231" i="57"/>
  <c r="K231" i="57" s="1"/>
  <c r="H231" i="57"/>
  <c r="D231" i="57"/>
  <c r="C231" i="57"/>
  <c r="Y230" i="57"/>
  <c r="W230" i="57"/>
  <c r="V230" i="57"/>
  <c r="U230" i="57"/>
  <c r="X246" i="57" s="1"/>
  <c r="S230" i="57"/>
  <c r="R230" i="57"/>
  <c r="Q230" i="57"/>
  <c r="P230" i="57"/>
  <c r="O230" i="57"/>
  <c r="N230" i="57"/>
  <c r="J230" i="57"/>
  <c r="I230" i="57"/>
  <c r="K230" i="57" s="1"/>
  <c r="H230" i="57"/>
  <c r="D230" i="57"/>
  <c r="C230" i="57"/>
  <c r="Y229" i="57"/>
  <c r="W229" i="57"/>
  <c r="V229" i="57"/>
  <c r="U229" i="57"/>
  <c r="S229" i="57"/>
  <c r="R229" i="57"/>
  <c r="Q229" i="57"/>
  <c r="P229" i="57"/>
  <c r="T252" i="57" s="1"/>
  <c r="O229" i="57"/>
  <c r="N229" i="57"/>
  <c r="J229" i="57"/>
  <c r="I229" i="57"/>
  <c r="K229" i="57" s="1"/>
  <c r="H229" i="57"/>
  <c r="D229" i="57"/>
  <c r="C229" i="57"/>
  <c r="Y228" i="57"/>
  <c r="W228" i="57"/>
  <c r="V228" i="57"/>
  <c r="U228" i="57"/>
  <c r="X244" i="57" s="1"/>
  <c r="S228" i="57"/>
  <c r="R228" i="57"/>
  <c r="Q228" i="57"/>
  <c r="P228" i="57"/>
  <c r="O228" i="57"/>
  <c r="N228" i="57"/>
  <c r="J228" i="57"/>
  <c r="I228" i="57"/>
  <c r="K228" i="57" s="1"/>
  <c r="H228" i="57"/>
  <c r="D228" i="57"/>
  <c r="C228" i="57"/>
  <c r="Y227" i="57"/>
  <c r="W227" i="57"/>
  <c r="V227" i="57"/>
  <c r="U227" i="57"/>
  <c r="S227" i="57"/>
  <c r="R227" i="57"/>
  <c r="Q227" i="57"/>
  <c r="P227" i="57"/>
  <c r="T250" i="57" s="1"/>
  <c r="O227" i="57"/>
  <c r="N227" i="57"/>
  <c r="J227" i="57"/>
  <c r="I227" i="57"/>
  <c r="K227" i="57" s="1"/>
  <c r="H227" i="57"/>
  <c r="D227" i="57"/>
  <c r="C227" i="57"/>
  <c r="Y226" i="57"/>
  <c r="W226" i="57"/>
  <c r="V226" i="57"/>
  <c r="U226" i="57"/>
  <c r="X242" i="57" s="1"/>
  <c r="S226" i="57"/>
  <c r="R226" i="57"/>
  <c r="Q226" i="57"/>
  <c r="P226" i="57"/>
  <c r="O226" i="57"/>
  <c r="N226" i="57"/>
  <c r="J226" i="57"/>
  <c r="I226" i="57"/>
  <c r="K226" i="57" s="1"/>
  <c r="H226" i="57"/>
  <c r="D226" i="57"/>
  <c r="C226" i="57"/>
  <c r="Y225" i="57"/>
  <c r="W225" i="57"/>
  <c r="V225" i="57"/>
  <c r="U225" i="57"/>
  <c r="S225" i="57"/>
  <c r="R225" i="57"/>
  <c r="Q225" i="57"/>
  <c r="P225" i="57"/>
  <c r="T248" i="57" s="1"/>
  <c r="O225" i="57"/>
  <c r="N225" i="57"/>
  <c r="J225" i="57"/>
  <c r="I225" i="57"/>
  <c r="K225" i="57" s="1"/>
  <c r="H225" i="57"/>
  <c r="D225" i="57"/>
  <c r="C225" i="57"/>
  <c r="Y224" i="57"/>
  <c r="W224" i="57"/>
  <c r="V224" i="57"/>
  <c r="U224" i="57"/>
  <c r="X240" i="57" s="1"/>
  <c r="S224" i="57"/>
  <c r="R224" i="57"/>
  <c r="Q224" i="57"/>
  <c r="P224" i="57"/>
  <c r="O224" i="57"/>
  <c r="N224" i="57"/>
  <c r="J224" i="57"/>
  <c r="I224" i="57"/>
  <c r="K224" i="57" s="1"/>
  <c r="H224" i="57"/>
  <c r="D224" i="57"/>
  <c r="C224" i="57"/>
  <c r="Y223" i="57"/>
  <c r="W223" i="57"/>
  <c r="V223" i="57"/>
  <c r="U223" i="57"/>
  <c r="S223" i="57"/>
  <c r="R223" i="57"/>
  <c r="Q223" i="57"/>
  <c r="P223" i="57"/>
  <c r="T246" i="57" s="1"/>
  <c r="O223" i="57"/>
  <c r="N223" i="57"/>
  <c r="J223" i="57"/>
  <c r="I223" i="57"/>
  <c r="K223" i="57" s="1"/>
  <c r="H223" i="57"/>
  <c r="D223" i="57"/>
  <c r="C223" i="57"/>
  <c r="Y222" i="57"/>
  <c r="W222" i="57"/>
  <c r="V222" i="57"/>
  <c r="U222" i="57"/>
  <c r="X238" i="57" s="1"/>
  <c r="S222" i="57"/>
  <c r="R222" i="57"/>
  <c r="Q222" i="57"/>
  <c r="P222" i="57"/>
  <c r="O222" i="57"/>
  <c r="N222" i="57"/>
  <c r="J222" i="57"/>
  <c r="I222" i="57"/>
  <c r="K222" i="57" s="1"/>
  <c r="H222" i="57"/>
  <c r="D222" i="57"/>
  <c r="C222" i="57"/>
  <c r="Y221" i="57"/>
  <c r="W221" i="57"/>
  <c r="V221" i="57"/>
  <c r="X237" i="57" s="1"/>
  <c r="U221" i="57"/>
  <c r="S221" i="57"/>
  <c r="R221" i="57"/>
  <c r="Q221" i="57"/>
  <c r="P221" i="57"/>
  <c r="T244" i="57" s="1"/>
  <c r="O221" i="57"/>
  <c r="N221" i="57"/>
  <c r="J221" i="57"/>
  <c r="I221" i="57"/>
  <c r="K221" i="57" s="1"/>
  <c r="H221" i="57"/>
  <c r="D221" i="57"/>
  <c r="C221" i="57"/>
  <c r="Y220" i="57"/>
  <c r="W220" i="57"/>
  <c r="V220" i="57"/>
  <c r="U220" i="57"/>
  <c r="X236" i="57" s="1"/>
  <c r="S220" i="57"/>
  <c r="R220" i="57"/>
  <c r="Q220" i="57"/>
  <c r="P220" i="57"/>
  <c r="O220" i="57"/>
  <c r="N220" i="57"/>
  <c r="J220" i="57"/>
  <c r="I220" i="57"/>
  <c r="K220" i="57" s="1"/>
  <c r="H220" i="57"/>
  <c r="D220" i="57"/>
  <c r="C220" i="57"/>
  <c r="Y219" i="57"/>
  <c r="W219" i="57"/>
  <c r="V219" i="57"/>
  <c r="X235" i="57" s="1"/>
  <c r="U219" i="57"/>
  <c r="S219" i="57"/>
  <c r="R219" i="57"/>
  <c r="Q219" i="57"/>
  <c r="P219" i="57"/>
  <c r="T242" i="57" s="1"/>
  <c r="O219" i="57"/>
  <c r="N219" i="57"/>
  <c r="J219" i="57"/>
  <c r="I219" i="57"/>
  <c r="K219" i="57" s="1"/>
  <c r="H219" i="57"/>
  <c r="D219" i="57"/>
  <c r="C219" i="57"/>
  <c r="Y218" i="57"/>
  <c r="W218" i="57"/>
  <c r="V218" i="57"/>
  <c r="U218" i="57"/>
  <c r="X234" i="57" s="1"/>
  <c r="S218" i="57"/>
  <c r="R218" i="57"/>
  <c r="Q218" i="57"/>
  <c r="P218" i="57"/>
  <c r="O218" i="57"/>
  <c r="N218" i="57"/>
  <c r="J218" i="57"/>
  <c r="I218" i="57"/>
  <c r="K218" i="57" s="1"/>
  <c r="H218" i="57"/>
  <c r="D218" i="57"/>
  <c r="C218" i="57"/>
  <c r="Y217" i="57"/>
  <c r="W217" i="57"/>
  <c r="V217" i="57"/>
  <c r="X233" i="57" s="1"/>
  <c r="U217" i="57"/>
  <c r="S217" i="57"/>
  <c r="R217" i="57"/>
  <c r="Q217" i="57"/>
  <c r="P217" i="57"/>
  <c r="T240" i="57" s="1"/>
  <c r="O217" i="57"/>
  <c r="N217" i="57"/>
  <c r="J217" i="57"/>
  <c r="I217" i="57"/>
  <c r="K217" i="57" s="1"/>
  <c r="H217" i="57"/>
  <c r="D217" i="57"/>
  <c r="C217" i="57"/>
  <c r="Y216" i="57"/>
  <c r="W216" i="57"/>
  <c r="V216" i="57"/>
  <c r="U216" i="57"/>
  <c r="X232" i="57" s="1"/>
  <c r="S216" i="57"/>
  <c r="R216" i="57"/>
  <c r="Q216" i="57"/>
  <c r="T239" i="57" s="1"/>
  <c r="P216" i="57"/>
  <c r="O216" i="57"/>
  <c r="N216" i="57"/>
  <c r="J216" i="57"/>
  <c r="I216" i="57"/>
  <c r="K216" i="57" s="1"/>
  <c r="H216" i="57"/>
  <c r="D216" i="57"/>
  <c r="C216" i="57"/>
  <c r="Y215" i="57"/>
  <c r="W215" i="57"/>
  <c r="V215" i="57"/>
  <c r="X231" i="57" s="1"/>
  <c r="U215" i="57"/>
  <c r="S215" i="57"/>
  <c r="R215" i="57"/>
  <c r="Q215" i="57"/>
  <c r="P215" i="57"/>
  <c r="T238" i="57" s="1"/>
  <c r="O215" i="57"/>
  <c r="N215" i="57"/>
  <c r="J215" i="57"/>
  <c r="I215" i="57"/>
  <c r="K215" i="57" s="1"/>
  <c r="H215" i="57"/>
  <c r="D215" i="57"/>
  <c r="C215" i="57"/>
  <c r="Y214" i="57"/>
  <c r="W214" i="57"/>
  <c r="V214" i="57"/>
  <c r="U214" i="57"/>
  <c r="X230" i="57" s="1"/>
  <c r="S214" i="57"/>
  <c r="R214" i="57"/>
  <c r="Q214" i="57"/>
  <c r="T237" i="57" s="1"/>
  <c r="P214" i="57"/>
  <c r="O214" i="57"/>
  <c r="N214" i="57"/>
  <c r="J214" i="57"/>
  <c r="I214" i="57"/>
  <c r="K214" i="57" s="1"/>
  <c r="H214" i="57"/>
  <c r="D214" i="57"/>
  <c r="C214" i="57"/>
  <c r="Y213" i="57"/>
  <c r="W213" i="57"/>
  <c r="V213" i="57"/>
  <c r="X229" i="57" s="1"/>
  <c r="U213" i="57"/>
  <c r="S213" i="57"/>
  <c r="R213" i="57"/>
  <c r="Q213" i="57"/>
  <c r="P213" i="57"/>
  <c r="T236" i="57" s="1"/>
  <c r="O213" i="57"/>
  <c r="N213" i="57"/>
  <c r="J213" i="57"/>
  <c r="I213" i="57"/>
  <c r="K213" i="57" s="1"/>
  <c r="H213" i="57"/>
  <c r="D213" i="57"/>
  <c r="C213" i="57"/>
  <c r="Y212" i="57"/>
  <c r="W212" i="57"/>
  <c r="V212" i="57"/>
  <c r="U212" i="57"/>
  <c r="X228" i="57" s="1"/>
  <c r="S212" i="57"/>
  <c r="R212" i="57"/>
  <c r="Q212" i="57"/>
  <c r="T235" i="57" s="1"/>
  <c r="P212" i="57"/>
  <c r="O212" i="57"/>
  <c r="N212" i="57"/>
  <c r="J212" i="57"/>
  <c r="I212" i="57"/>
  <c r="K212" i="57" s="1"/>
  <c r="H212" i="57"/>
  <c r="D212" i="57"/>
  <c r="C212" i="57"/>
  <c r="Y211" i="57"/>
  <c r="W211" i="57"/>
  <c r="V211" i="57"/>
  <c r="X227" i="57" s="1"/>
  <c r="U211" i="57"/>
  <c r="S211" i="57"/>
  <c r="R211" i="57"/>
  <c r="Q211" i="57"/>
  <c r="P211" i="57"/>
  <c r="T234" i="57" s="1"/>
  <c r="O211" i="57"/>
  <c r="N211" i="57"/>
  <c r="J211" i="57"/>
  <c r="I211" i="57"/>
  <c r="K211" i="57" s="1"/>
  <c r="H211" i="57"/>
  <c r="D211" i="57"/>
  <c r="C211" i="57"/>
  <c r="Y210" i="57"/>
  <c r="W210" i="57"/>
  <c r="V210" i="57"/>
  <c r="U210" i="57"/>
  <c r="X226" i="57" s="1"/>
  <c r="S210" i="57"/>
  <c r="R210" i="57"/>
  <c r="Q210" i="57"/>
  <c r="T233" i="57" s="1"/>
  <c r="P210" i="57"/>
  <c r="O210" i="57"/>
  <c r="N210" i="57"/>
  <c r="J210" i="57"/>
  <c r="I210" i="57"/>
  <c r="K210" i="57" s="1"/>
  <c r="H210" i="57"/>
  <c r="D210" i="57"/>
  <c r="C210" i="57"/>
  <c r="Y209" i="57"/>
  <c r="W209" i="57"/>
  <c r="V209" i="57"/>
  <c r="X225" i="57" s="1"/>
  <c r="U209" i="57"/>
  <c r="S209" i="57"/>
  <c r="R209" i="57"/>
  <c r="Q209" i="57"/>
  <c r="P209" i="57"/>
  <c r="T232" i="57" s="1"/>
  <c r="O209" i="57"/>
  <c r="N209" i="57"/>
  <c r="J209" i="57"/>
  <c r="I209" i="57"/>
  <c r="K209" i="57" s="1"/>
  <c r="H209" i="57"/>
  <c r="D209" i="57"/>
  <c r="C209" i="57"/>
  <c r="Y208" i="57"/>
  <c r="W208" i="57"/>
  <c r="V208" i="57"/>
  <c r="U208" i="57"/>
  <c r="X224" i="57" s="1"/>
  <c r="S208" i="57"/>
  <c r="R208" i="57"/>
  <c r="Q208" i="57"/>
  <c r="T231" i="57" s="1"/>
  <c r="P208" i="57"/>
  <c r="O208" i="57"/>
  <c r="N208" i="57"/>
  <c r="J208" i="57"/>
  <c r="I208" i="57"/>
  <c r="K208" i="57" s="1"/>
  <c r="H208" i="57"/>
  <c r="D208" i="57"/>
  <c r="C208" i="57"/>
  <c r="Y207" i="57"/>
  <c r="W207" i="57"/>
  <c r="V207" i="57"/>
  <c r="X223" i="57" s="1"/>
  <c r="U207" i="57"/>
  <c r="S207" i="57"/>
  <c r="R207" i="57"/>
  <c r="Q207" i="57"/>
  <c r="P207" i="57"/>
  <c r="T230" i="57" s="1"/>
  <c r="O207" i="57"/>
  <c r="N207" i="57"/>
  <c r="J207" i="57"/>
  <c r="I207" i="57"/>
  <c r="K207" i="57" s="1"/>
  <c r="H207" i="57"/>
  <c r="D207" i="57"/>
  <c r="C207" i="57"/>
  <c r="Y206" i="57"/>
  <c r="W206" i="57"/>
  <c r="V206" i="57"/>
  <c r="U206" i="57"/>
  <c r="X222" i="57" s="1"/>
  <c r="S206" i="57"/>
  <c r="R206" i="57"/>
  <c r="Q206" i="57"/>
  <c r="T229" i="57" s="1"/>
  <c r="P206" i="57"/>
  <c r="O206" i="57"/>
  <c r="N206" i="57"/>
  <c r="J206" i="57"/>
  <c r="I206" i="57"/>
  <c r="K206" i="57" s="1"/>
  <c r="H206" i="57"/>
  <c r="D206" i="57"/>
  <c r="C206" i="57"/>
  <c r="Y205" i="57"/>
  <c r="W205" i="57"/>
  <c r="V205" i="57"/>
  <c r="X221" i="57" s="1"/>
  <c r="U205" i="57"/>
  <c r="S205" i="57"/>
  <c r="R205" i="57"/>
  <c r="Q205" i="57"/>
  <c r="P205" i="57"/>
  <c r="T228" i="57" s="1"/>
  <c r="O205" i="57"/>
  <c r="N205" i="57"/>
  <c r="J205" i="57"/>
  <c r="I205" i="57"/>
  <c r="K205" i="57" s="1"/>
  <c r="H205" i="57"/>
  <c r="D205" i="57"/>
  <c r="C205" i="57"/>
  <c r="Y204" i="57"/>
  <c r="W204" i="57"/>
  <c r="V204" i="57"/>
  <c r="U204" i="57"/>
  <c r="X220" i="57" s="1"/>
  <c r="S204" i="57"/>
  <c r="R204" i="57"/>
  <c r="Q204" i="57"/>
  <c r="T227" i="57" s="1"/>
  <c r="P204" i="57"/>
  <c r="O204" i="57"/>
  <c r="N204" i="57"/>
  <c r="J204" i="57"/>
  <c r="I204" i="57"/>
  <c r="K204" i="57" s="1"/>
  <c r="H204" i="57"/>
  <c r="D204" i="57"/>
  <c r="C204" i="57"/>
  <c r="Y203" i="57"/>
  <c r="W203" i="57"/>
  <c r="V203" i="57"/>
  <c r="X219" i="57" s="1"/>
  <c r="U203" i="57"/>
  <c r="S203" i="57"/>
  <c r="R203" i="57"/>
  <c r="Q203" i="57"/>
  <c r="P203" i="57"/>
  <c r="T226" i="57" s="1"/>
  <c r="O203" i="57"/>
  <c r="N203" i="57"/>
  <c r="J203" i="57"/>
  <c r="I203" i="57"/>
  <c r="K203" i="57" s="1"/>
  <c r="H203" i="57"/>
  <c r="D203" i="57"/>
  <c r="C203" i="57"/>
  <c r="Y202" i="57"/>
  <c r="W202" i="57"/>
  <c r="V202" i="57"/>
  <c r="U202" i="57"/>
  <c r="X218" i="57" s="1"/>
  <c r="S202" i="57"/>
  <c r="R202" i="57"/>
  <c r="Q202" i="57"/>
  <c r="T225" i="57" s="1"/>
  <c r="P202" i="57"/>
  <c r="O202" i="57"/>
  <c r="N202" i="57"/>
  <c r="J202" i="57"/>
  <c r="I202" i="57"/>
  <c r="K202" i="57" s="1"/>
  <c r="H202" i="57"/>
  <c r="D202" i="57"/>
  <c r="C202" i="57"/>
  <c r="Y201" i="57"/>
  <c r="W201" i="57"/>
  <c r="V201" i="57"/>
  <c r="X217" i="57" s="1"/>
  <c r="U201" i="57"/>
  <c r="S201" i="57"/>
  <c r="R201" i="57"/>
  <c r="Q201" i="57"/>
  <c r="P201" i="57"/>
  <c r="T224" i="57" s="1"/>
  <c r="O201" i="57"/>
  <c r="N201" i="57"/>
  <c r="J201" i="57"/>
  <c r="I201" i="57"/>
  <c r="K201" i="57" s="1"/>
  <c r="H201" i="57"/>
  <c r="D201" i="57"/>
  <c r="C201" i="57"/>
  <c r="Y200" i="57"/>
  <c r="W200" i="57"/>
  <c r="V200" i="57"/>
  <c r="U200" i="57"/>
  <c r="X216" i="57" s="1"/>
  <c r="S200" i="57"/>
  <c r="R200" i="57"/>
  <c r="Q200" i="57"/>
  <c r="T223" i="57" s="1"/>
  <c r="P200" i="57"/>
  <c r="O200" i="57"/>
  <c r="N200" i="57"/>
  <c r="J200" i="57"/>
  <c r="I200" i="57"/>
  <c r="K200" i="57" s="1"/>
  <c r="H200" i="57"/>
  <c r="D200" i="57"/>
  <c r="C200" i="57"/>
  <c r="Y199" i="57"/>
  <c r="W199" i="57"/>
  <c r="V199" i="57"/>
  <c r="X215" i="57" s="1"/>
  <c r="U199" i="57"/>
  <c r="S199" i="57"/>
  <c r="R199" i="57"/>
  <c r="Q199" i="57"/>
  <c r="P199" i="57"/>
  <c r="T222" i="57" s="1"/>
  <c r="O199" i="57"/>
  <c r="N199" i="57"/>
  <c r="J199" i="57"/>
  <c r="I199" i="57"/>
  <c r="K199" i="57" s="1"/>
  <c r="H199" i="57"/>
  <c r="D199" i="57"/>
  <c r="C199" i="57"/>
  <c r="Y198" i="57"/>
  <c r="W198" i="57"/>
  <c r="V198" i="57"/>
  <c r="U198" i="57"/>
  <c r="X214" i="57" s="1"/>
  <c r="S198" i="57"/>
  <c r="R198" i="57"/>
  <c r="Q198" i="57"/>
  <c r="T221" i="57" s="1"/>
  <c r="P198" i="57"/>
  <c r="O198" i="57"/>
  <c r="N198" i="57"/>
  <c r="J198" i="57"/>
  <c r="I198" i="57"/>
  <c r="K198" i="57" s="1"/>
  <c r="H198" i="57"/>
  <c r="D198" i="57"/>
  <c r="C198" i="57"/>
  <c r="Y197" i="57"/>
  <c r="W197" i="57"/>
  <c r="V197" i="57"/>
  <c r="X213" i="57" s="1"/>
  <c r="U197" i="57"/>
  <c r="S197" i="57"/>
  <c r="R197" i="57"/>
  <c r="Q197" i="57"/>
  <c r="P197" i="57"/>
  <c r="T220" i="57" s="1"/>
  <c r="O197" i="57"/>
  <c r="N197" i="57"/>
  <c r="J197" i="57"/>
  <c r="I197" i="57"/>
  <c r="K197" i="57" s="1"/>
  <c r="H197" i="57"/>
  <c r="D197" i="57"/>
  <c r="C197" i="57"/>
  <c r="Y196" i="57"/>
  <c r="W196" i="57"/>
  <c r="V196" i="57"/>
  <c r="U196" i="57"/>
  <c r="X212" i="57" s="1"/>
  <c r="S196" i="57"/>
  <c r="R196" i="57"/>
  <c r="Q196" i="57"/>
  <c r="T219" i="57" s="1"/>
  <c r="P196" i="57"/>
  <c r="O196" i="57"/>
  <c r="N196" i="57"/>
  <c r="J196" i="57"/>
  <c r="I196" i="57"/>
  <c r="K196" i="57" s="1"/>
  <c r="H196" i="57"/>
  <c r="D196" i="57"/>
  <c r="C196" i="57"/>
  <c r="Y195" i="57"/>
  <c r="W195" i="57"/>
  <c r="V195" i="57"/>
  <c r="X211" i="57" s="1"/>
  <c r="U195" i="57"/>
  <c r="S195" i="57"/>
  <c r="R195" i="57"/>
  <c r="Q195" i="57"/>
  <c r="P195" i="57"/>
  <c r="T218" i="57" s="1"/>
  <c r="O195" i="57"/>
  <c r="N195" i="57"/>
  <c r="J195" i="57"/>
  <c r="I195" i="57"/>
  <c r="K195" i="57" s="1"/>
  <c r="H195" i="57"/>
  <c r="D195" i="57"/>
  <c r="C195" i="57"/>
  <c r="Y194" i="57"/>
  <c r="W194" i="57"/>
  <c r="V194" i="57"/>
  <c r="U194" i="57"/>
  <c r="X210" i="57" s="1"/>
  <c r="S194" i="57"/>
  <c r="R194" i="57"/>
  <c r="Q194" i="57"/>
  <c r="T217" i="57" s="1"/>
  <c r="P194" i="57"/>
  <c r="O194" i="57"/>
  <c r="N194" i="57"/>
  <c r="J194" i="57"/>
  <c r="I194" i="57"/>
  <c r="K194" i="57" s="1"/>
  <c r="H194" i="57"/>
  <c r="D194" i="57"/>
  <c r="C194" i="57"/>
  <c r="Y193" i="57"/>
  <c r="W193" i="57"/>
  <c r="V193" i="57"/>
  <c r="X209" i="57" s="1"/>
  <c r="U193" i="57"/>
  <c r="S193" i="57"/>
  <c r="R193" i="57"/>
  <c r="Q193" i="57"/>
  <c r="P193" i="57"/>
  <c r="T216" i="57" s="1"/>
  <c r="O193" i="57"/>
  <c r="N193" i="57"/>
  <c r="J193" i="57"/>
  <c r="I193" i="57"/>
  <c r="K193" i="57" s="1"/>
  <c r="H193" i="57"/>
  <c r="D193" i="57"/>
  <c r="C193" i="57"/>
  <c r="Y192" i="57"/>
  <c r="W192" i="57"/>
  <c r="V192" i="57"/>
  <c r="U192" i="57"/>
  <c r="X208" i="57" s="1"/>
  <c r="S192" i="57"/>
  <c r="R192" i="57"/>
  <c r="Q192" i="57"/>
  <c r="T215" i="57" s="1"/>
  <c r="P192" i="57"/>
  <c r="O192" i="57"/>
  <c r="N192" i="57"/>
  <c r="J192" i="57"/>
  <c r="I192" i="57"/>
  <c r="K192" i="57" s="1"/>
  <c r="H192" i="57"/>
  <c r="D192" i="57"/>
  <c r="C192" i="57"/>
  <c r="Y191" i="57"/>
  <c r="W191" i="57"/>
  <c r="V191" i="57"/>
  <c r="X207" i="57" s="1"/>
  <c r="U191" i="57"/>
  <c r="S191" i="57"/>
  <c r="R191" i="57"/>
  <c r="Q191" i="57"/>
  <c r="P191" i="57"/>
  <c r="T214" i="57" s="1"/>
  <c r="O191" i="57"/>
  <c r="N191" i="57"/>
  <c r="J191" i="57"/>
  <c r="I191" i="57"/>
  <c r="K191" i="57" s="1"/>
  <c r="H191" i="57"/>
  <c r="D191" i="57"/>
  <c r="C191" i="57"/>
  <c r="Y190" i="57"/>
  <c r="W190" i="57"/>
  <c r="V190" i="57"/>
  <c r="U190" i="57"/>
  <c r="X206" i="57" s="1"/>
  <c r="S190" i="57"/>
  <c r="R190" i="57"/>
  <c r="Q190" i="57"/>
  <c r="T213" i="57" s="1"/>
  <c r="P190" i="57"/>
  <c r="O190" i="57"/>
  <c r="N190" i="57"/>
  <c r="J190" i="57"/>
  <c r="I190" i="57"/>
  <c r="K190" i="57" s="1"/>
  <c r="H190" i="57"/>
  <c r="D190" i="57"/>
  <c r="C190" i="57"/>
  <c r="Y189" i="57"/>
  <c r="W189" i="57"/>
  <c r="V189" i="57"/>
  <c r="X205" i="57" s="1"/>
  <c r="U189" i="57"/>
  <c r="S189" i="57"/>
  <c r="R189" i="57"/>
  <c r="Q189" i="57"/>
  <c r="P189" i="57"/>
  <c r="T212" i="57" s="1"/>
  <c r="O189" i="57"/>
  <c r="N189" i="57"/>
  <c r="J189" i="57"/>
  <c r="I189" i="57"/>
  <c r="K189" i="57" s="1"/>
  <c r="H189" i="57"/>
  <c r="D189" i="57"/>
  <c r="C189" i="57"/>
  <c r="Y188" i="57"/>
  <c r="W188" i="57"/>
  <c r="V188" i="57"/>
  <c r="U188" i="57"/>
  <c r="X204" i="57" s="1"/>
  <c r="S188" i="57"/>
  <c r="R188" i="57"/>
  <c r="Q188" i="57"/>
  <c r="T211" i="57" s="1"/>
  <c r="P188" i="57"/>
  <c r="O188" i="57"/>
  <c r="N188" i="57"/>
  <c r="J188" i="57"/>
  <c r="I188" i="57"/>
  <c r="K188" i="57" s="1"/>
  <c r="H188" i="57"/>
  <c r="D188" i="57"/>
  <c r="C188" i="57"/>
  <c r="Y187" i="57"/>
  <c r="W187" i="57"/>
  <c r="V187" i="57"/>
  <c r="X203" i="57" s="1"/>
  <c r="U187" i="57"/>
  <c r="S187" i="57"/>
  <c r="R187" i="57"/>
  <c r="Q187" i="57"/>
  <c r="P187" i="57"/>
  <c r="T210" i="57" s="1"/>
  <c r="O187" i="57"/>
  <c r="N187" i="57"/>
  <c r="J187" i="57"/>
  <c r="I187" i="57"/>
  <c r="K187" i="57" s="1"/>
  <c r="H187" i="57"/>
  <c r="D187" i="57"/>
  <c r="C187" i="57"/>
  <c r="Y186" i="57"/>
  <c r="W186" i="57"/>
  <c r="V186" i="57"/>
  <c r="U186" i="57"/>
  <c r="X202" i="57" s="1"/>
  <c r="S186" i="57"/>
  <c r="R186" i="57"/>
  <c r="Q186" i="57"/>
  <c r="T209" i="57" s="1"/>
  <c r="P186" i="57"/>
  <c r="O186" i="57"/>
  <c r="N186" i="57"/>
  <c r="J186" i="57"/>
  <c r="I186" i="57"/>
  <c r="K186" i="57" s="1"/>
  <c r="H186" i="57"/>
  <c r="D186" i="57"/>
  <c r="C186" i="57"/>
  <c r="Y185" i="57"/>
  <c r="W185" i="57"/>
  <c r="V185" i="57"/>
  <c r="X201" i="57" s="1"/>
  <c r="U185" i="57"/>
  <c r="S185" i="57"/>
  <c r="R185" i="57"/>
  <c r="Q185" i="57"/>
  <c r="P185" i="57"/>
  <c r="T208" i="57" s="1"/>
  <c r="O185" i="57"/>
  <c r="N185" i="57"/>
  <c r="J185" i="57"/>
  <c r="I185" i="57"/>
  <c r="K185" i="57" s="1"/>
  <c r="H185" i="57"/>
  <c r="D185" i="57"/>
  <c r="C185" i="57"/>
  <c r="Y184" i="57"/>
  <c r="W184" i="57"/>
  <c r="V184" i="57"/>
  <c r="U184" i="57"/>
  <c r="X200" i="57" s="1"/>
  <c r="S184" i="57"/>
  <c r="R184" i="57"/>
  <c r="Q184" i="57"/>
  <c r="T207" i="57" s="1"/>
  <c r="P184" i="57"/>
  <c r="O184" i="57"/>
  <c r="N184" i="57"/>
  <c r="J184" i="57"/>
  <c r="I184" i="57"/>
  <c r="K184" i="57" s="1"/>
  <c r="H184" i="57"/>
  <c r="D184" i="57"/>
  <c r="C184" i="57"/>
  <c r="Y183" i="57"/>
  <c r="W183" i="57"/>
  <c r="V183" i="57"/>
  <c r="X199" i="57" s="1"/>
  <c r="U183" i="57"/>
  <c r="S183" i="57"/>
  <c r="R183" i="57"/>
  <c r="Q183" i="57"/>
  <c r="P183" i="57"/>
  <c r="T206" i="57" s="1"/>
  <c r="O183" i="57"/>
  <c r="N183" i="57"/>
  <c r="J183" i="57"/>
  <c r="I183" i="57"/>
  <c r="K183" i="57" s="1"/>
  <c r="H183" i="57"/>
  <c r="D183" i="57"/>
  <c r="C183" i="57"/>
  <c r="Y182" i="57"/>
  <c r="W182" i="57"/>
  <c r="V182" i="57"/>
  <c r="U182" i="57"/>
  <c r="X198" i="57" s="1"/>
  <c r="S182" i="57"/>
  <c r="R182" i="57"/>
  <c r="Q182" i="57"/>
  <c r="T205" i="57" s="1"/>
  <c r="P182" i="57"/>
  <c r="O182" i="57"/>
  <c r="N182" i="57"/>
  <c r="J182" i="57"/>
  <c r="I182" i="57"/>
  <c r="K182" i="57" s="1"/>
  <c r="H182" i="57"/>
  <c r="D182" i="57"/>
  <c r="C182" i="57"/>
  <c r="Y181" i="57"/>
  <c r="W181" i="57"/>
  <c r="V181" i="57"/>
  <c r="X197" i="57" s="1"/>
  <c r="U181" i="57"/>
  <c r="S181" i="57"/>
  <c r="R181" i="57"/>
  <c r="Q181" i="57"/>
  <c r="P181" i="57"/>
  <c r="T204" i="57" s="1"/>
  <c r="O181" i="57"/>
  <c r="N181" i="57"/>
  <c r="J181" i="57"/>
  <c r="I181" i="57"/>
  <c r="K181" i="57" s="1"/>
  <c r="H181" i="57"/>
  <c r="D181" i="57"/>
  <c r="C181" i="57"/>
  <c r="Y180" i="57"/>
  <c r="W180" i="57"/>
  <c r="V180" i="57"/>
  <c r="U180" i="57"/>
  <c r="X196" i="57" s="1"/>
  <c r="S180" i="57"/>
  <c r="R180" i="57"/>
  <c r="Q180" i="57"/>
  <c r="T203" i="57" s="1"/>
  <c r="P180" i="57"/>
  <c r="O180" i="57"/>
  <c r="N180" i="57"/>
  <c r="J180" i="57"/>
  <c r="I180" i="57"/>
  <c r="K180" i="57" s="1"/>
  <c r="H180" i="57"/>
  <c r="D180" i="57"/>
  <c r="C180" i="57"/>
  <c r="Y179" i="57"/>
  <c r="W179" i="57"/>
  <c r="V179" i="57"/>
  <c r="X195" i="57" s="1"/>
  <c r="U179" i="57"/>
  <c r="S179" i="57"/>
  <c r="R179" i="57"/>
  <c r="Q179" i="57"/>
  <c r="P179" i="57"/>
  <c r="T202" i="57" s="1"/>
  <c r="O179" i="57"/>
  <c r="N179" i="57"/>
  <c r="J179" i="57"/>
  <c r="I179" i="57"/>
  <c r="K179" i="57" s="1"/>
  <c r="H179" i="57"/>
  <c r="D179" i="57"/>
  <c r="C179" i="57"/>
  <c r="Y178" i="57"/>
  <c r="W178" i="57"/>
  <c r="V178" i="57"/>
  <c r="U178" i="57"/>
  <c r="X194" i="57" s="1"/>
  <c r="S178" i="57"/>
  <c r="R178" i="57"/>
  <c r="Q178" i="57"/>
  <c r="T201" i="57" s="1"/>
  <c r="P178" i="57"/>
  <c r="O178" i="57"/>
  <c r="N178" i="57"/>
  <c r="J178" i="57"/>
  <c r="I178" i="57"/>
  <c r="K178" i="57" s="1"/>
  <c r="H178" i="57"/>
  <c r="D178" i="57"/>
  <c r="C178" i="57"/>
  <c r="Y177" i="57"/>
  <c r="W177" i="57"/>
  <c r="V177" i="57"/>
  <c r="X193" i="57" s="1"/>
  <c r="U177" i="57"/>
  <c r="S177" i="57"/>
  <c r="R177" i="57"/>
  <c r="Q177" i="57"/>
  <c r="P177" i="57"/>
  <c r="T200" i="57" s="1"/>
  <c r="O177" i="57"/>
  <c r="N177" i="57"/>
  <c r="J177" i="57"/>
  <c r="I177" i="57"/>
  <c r="K177" i="57" s="1"/>
  <c r="H177" i="57"/>
  <c r="D177" i="57"/>
  <c r="C177" i="57"/>
  <c r="Y176" i="57"/>
  <c r="W176" i="57"/>
  <c r="V176" i="57"/>
  <c r="U176" i="57"/>
  <c r="X192" i="57" s="1"/>
  <c r="S176" i="57"/>
  <c r="R176" i="57"/>
  <c r="Q176" i="57"/>
  <c r="T199" i="57" s="1"/>
  <c r="P176" i="57"/>
  <c r="O176" i="57"/>
  <c r="N176" i="57"/>
  <c r="J176" i="57"/>
  <c r="I176" i="57"/>
  <c r="K176" i="57" s="1"/>
  <c r="H176" i="57"/>
  <c r="D176" i="57"/>
  <c r="C176" i="57"/>
  <c r="Y175" i="57"/>
  <c r="W175" i="57"/>
  <c r="V175" i="57"/>
  <c r="X191" i="57" s="1"/>
  <c r="U175" i="57"/>
  <c r="S175" i="57"/>
  <c r="R175" i="57"/>
  <c r="Q175" i="57"/>
  <c r="P175" i="57"/>
  <c r="T198" i="57" s="1"/>
  <c r="O175" i="57"/>
  <c r="N175" i="57"/>
  <c r="J175" i="57"/>
  <c r="I175" i="57"/>
  <c r="K175" i="57" s="1"/>
  <c r="H175" i="57"/>
  <c r="D175" i="57"/>
  <c r="C175" i="57"/>
  <c r="Y174" i="57"/>
  <c r="W174" i="57"/>
  <c r="V174" i="57"/>
  <c r="U174" i="57"/>
  <c r="X190" i="57" s="1"/>
  <c r="S174" i="57"/>
  <c r="R174" i="57"/>
  <c r="Q174" i="57"/>
  <c r="T197" i="57" s="1"/>
  <c r="P174" i="57"/>
  <c r="O174" i="57"/>
  <c r="N174" i="57"/>
  <c r="J174" i="57"/>
  <c r="I174" i="57"/>
  <c r="K174" i="57" s="1"/>
  <c r="H174" i="57"/>
  <c r="D174" i="57"/>
  <c r="C174" i="57"/>
  <c r="Y173" i="57"/>
  <c r="W173" i="57"/>
  <c r="V173" i="57"/>
  <c r="X189" i="57" s="1"/>
  <c r="U173" i="57"/>
  <c r="S173" i="57"/>
  <c r="R173" i="57"/>
  <c r="Q173" i="57"/>
  <c r="P173" i="57"/>
  <c r="T196" i="57" s="1"/>
  <c r="O173" i="57"/>
  <c r="N173" i="57"/>
  <c r="J173" i="57"/>
  <c r="I173" i="57"/>
  <c r="K173" i="57" s="1"/>
  <c r="H173" i="57"/>
  <c r="D173" i="57"/>
  <c r="C173" i="57"/>
  <c r="Y172" i="57"/>
  <c r="W172" i="57"/>
  <c r="V172" i="57"/>
  <c r="U172" i="57"/>
  <c r="X188" i="57" s="1"/>
  <c r="S172" i="57"/>
  <c r="R172" i="57"/>
  <c r="Q172" i="57"/>
  <c r="T195" i="57" s="1"/>
  <c r="P172" i="57"/>
  <c r="O172" i="57"/>
  <c r="N172" i="57"/>
  <c r="J172" i="57"/>
  <c r="I172" i="57"/>
  <c r="K172" i="57" s="1"/>
  <c r="H172" i="57"/>
  <c r="D172" i="57"/>
  <c r="C172" i="57"/>
  <c r="Y171" i="57"/>
  <c r="W171" i="57"/>
  <c r="V171" i="57"/>
  <c r="X187" i="57" s="1"/>
  <c r="U171" i="57"/>
  <c r="S171" i="57"/>
  <c r="R171" i="57"/>
  <c r="Q171" i="57"/>
  <c r="P171" i="57"/>
  <c r="T194" i="57" s="1"/>
  <c r="O171" i="57"/>
  <c r="N171" i="57"/>
  <c r="J171" i="57"/>
  <c r="I171" i="57"/>
  <c r="K171" i="57" s="1"/>
  <c r="H171" i="57"/>
  <c r="D171" i="57"/>
  <c r="C171" i="57"/>
  <c r="Y170" i="57"/>
  <c r="W170" i="57"/>
  <c r="V170" i="57"/>
  <c r="U170" i="57"/>
  <c r="X186" i="57" s="1"/>
  <c r="S170" i="57"/>
  <c r="R170" i="57"/>
  <c r="Q170" i="57"/>
  <c r="T193" i="57" s="1"/>
  <c r="P170" i="57"/>
  <c r="O170" i="57"/>
  <c r="N170" i="57"/>
  <c r="J170" i="57"/>
  <c r="I170" i="57"/>
  <c r="K170" i="57" s="1"/>
  <c r="H170" i="57"/>
  <c r="D170" i="57"/>
  <c r="C170" i="57"/>
  <c r="Y169" i="57"/>
  <c r="W169" i="57"/>
  <c r="V169" i="57"/>
  <c r="X185" i="57" s="1"/>
  <c r="U169" i="57"/>
  <c r="S169" i="57"/>
  <c r="R169" i="57"/>
  <c r="Q169" i="57"/>
  <c r="P169" i="57"/>
  <c r="T192" i="57" s="1"/>
  <c r="O169" i="57"/>
  <c r="N169" i="57"/>
  <c r="J169" i="57"/>
  <c r="I169" i="57"/>
  <c r="K169" i="57" s="1"/>
  <c r="H169" i="57"/>
  <c r="D169" i="57"/>
  <c r="C169" i="57"/>
  <c r="Y168" i="57"/>
  <c r="W168" i="57"/>
  <c r="V168" i="57"/>
  <c r="U168" i="57"/>
  <c r="X184" i="57" s="1"/>
  <c r="S168" i="57"/>
  <c r="R168" i="57"/>
  <c r="Q168" i="57"/>
  <c r="T191" i="57" s="1"/>
  <c r="P168" i="57"/>
  <c r="O168" i="57"/>
  <c r="N168" i="57"/>
  <c r="J168" i="57"/>
  <c r="I168" i="57"/>
  <c r="K168" i="57" s="1"/>
  <c r="H168" i="57"/>
  <c r="D168" i="57"/>
  <c r="C168" i="57"/>
  <c r="Y167" i="57"/>
  <c r="W167" i="57"/>
  <c r="V167" i="57"/>
  <c r="X183" i="57" s="1"/>
  <c r="U167" i="57"/>
  <c r="S167" i="57"/>
  <c r="R167" i="57"/>
  <c r="Q167" i="57"/>
  <c r="P167" i="57"/>
  <c r="T190" i="57" s="1"/>
  <c r="O167" i="57"/>
  <c r="N167" i="57"/>
  <c r="J167" i="57"/>
  <c r="I167" i="57"/>
  <c r="K167" i="57" s="1"/>
  <c r="H167" i="57"/>
  <c r="D167" i="57"/>
  <c r="C167" i="57"/>
  <c r="Y166" i="57"/>
  <c r="W166" i="57"/>
  <c r="V166" i="57"/>
  <c r="U166" i="57"/>
  <c r="S166" i="57"/>
  <c r="R166" i="57"/>
  <c r="Q166" i="57"/>
  <c r="P166" i="57"/>
  <c r="T189" i="57" s="1"/>
  <c r="O166" i="57"/>
  <c r="N166" i="57"/>
  <c r="J166" i="57"/>
  <c r="I166" i="57"/>
  <c r="K166" i="57" s="1"/>
  <c r="H166" i="57"/>
  <c r="D166" i="57"/>
  <c r="C166" i="57"/>
  <c r="Y165" i="57"/>
  <c r="W165" i="57"/>
  <c r="V165" i="57"/>
  <c r="U165" i="57"/>
  <c r="X181" i="57" s="1"/>
  <c r="S165" i="57"/>
  <c r="R165" i="57"/>
  <c r="Q165" i="57"/>
  <c r="P165" i="57"/>
  <c r="O165" i="57"/>
  <c r="N165" i="57"/>
  <c r="J165" i="57"/>
  <c r="I165" i="57"/>
  <c r="K165" i="57" s="1"/>
  <c r="H165" i="57"/>
  <c r="D165" i="57"/>
  <c r="C165" i="57"/>
  <c r="Y164" i="57"/>
  <c r="W164" i="57"/>
  <c r="V164" i="57"/>
  <c r="U164" i="57"/>
  <c r="S164" i="57"/>
  <c r="R164" i="57"/>
  <c r="Q164" i="57"/>
  <c r="P164" i="57"/>
  <c r="T187" i="57" s="1"/>
  <c r="O164" i="57"/>
  <c r="N164" i="57"/>
  <c r="J164" i="57"/>
  <c r="I164" i="57"/>
  <c r="K164" i="57" s="1"/>
  <c r="H164" i="57"/>
  <c r="D164" i="57"/>
  <c r="C164" i="57"/>
  <c r="Y163" i="57"/>
  <c r="W163" i="57"/>
  <c r="V163" i="57"/>
  <c r="U163" i="57"/>
  <c r="X179" i="57" s="1"/>
  <c r="S163" i="57"/>
  <c r="R163" i="57"/>
  <c r="Q163" i="57"/>
  <c r="P163" i="57"/>
  <c r="O163" i="57"/>
  <c r="N163" i="57"/>
  <c r="J163" i="57"/>
  <c r="I163" i="57"/>
  <c r="K163" i="57" s="1"/>
  <c r="H163" i="57"/>
  <c r="D163" i="57"/>
  <c r="C163" i="57"/>
  <c r="Y162" i="57"/>
  <c r="W162" i="57"/>
  <c r="V162" i="57"/>
  <c r="U162" i="57"/>
  <c r="S162" i="57"/>
  <c r="R162" i="57"/>
  <c r="Q162" i="57"/>
  <c r="P162" i="57"/>
  <c r="T185" i="57" s="1"/>
  <c r="O162" i="57"/>
  <c r="N162" i="57"/>
  <c r="J162" i="57"/>
  <c r="I162" i="57"/>
  <c r="K162" i="57" s="1"/>
  <c r="H162" i="57"/>
  <c r="D162" i="57"/>
  <c r="C162" i="57"/>
  <c r="Y161" i="57"/>
  <c r="W161" i="57"/>
  <c r="V161" i="57"/>
  <c r="U161" i="57"/>
  <c r="X177" i="57" s="1"/>
  <c r="S161" i="57"/>
  <c r="R161" i="57"/>
  <c r="Q161" i="57"/>
  <c r="P161" i="57"/>
  <c r="O161" i="57"/>
  <c r="N161" i="57"/>
  <c r="J161" i="57"/>
  <c r="I161" i="57"/>
  <c r="K161" i="57" s="1"/>
  <c r="H161" i="57"/>
  <c r="D161" i="57"/>
  <c r="C161" i="57"/>
  <c r="Y160" i="57"/>
  <c r="W160" i="57"/>
  <c r="V160" i="57"/>
  <c r="U160" i="57"/>
  <c r="S160" i="57"/>
  <c r="R160" i="57"/>
  <c r="Q160" i="57"/>
  <c r="P160" i="57"/>
  <c r="T183" i="57" s="1"/>
  <c r="O160" i="57"/>
  <c r="N160" i="57"/>
  <c r="J160" i="57"/>
  <c r="I160" i="57"/>
  <c r="K160" i="57" s="1"/>
  <c r="H160" i="57"/>
  <c r="D160" i="57"/>
  <c r="C160" i="57"/>
  <c r="Y159" i="57"/>
  <c r="W159" i="57"/>
  <c r="V159" i="57"/>
  <c r="U159" i="57"/>
  <c r="X175" i="57" s="1"/>
  <c r="S159" i="57"/>
  <c r="R159" i="57"/>
  <c r="Q159" i="57"/>
  <c r="P159" i="57"/>
  <c r="O159" i="57"/>
  <c r="N159" i="57"/>
  <c r="J159" i="57"/>
  <c r="I159" i="57"/>
  <c r="K159" i="57" s="1"/>
  <c r="H159" i="57"/>
  <c r="D159" i="57"/>
  <c r="C159" i="57"/>
  <c r="Y158" i="57"/>
  <c r="W158" i="57"/>
  <c r="V158" i="57"/>
  <c r="U158" i="57"/>
  <c r="S158" i="57"/>
  <c r="R158" i="57"/>
  <c r="Q158" i="57"/>
  <c r="P158" i="57"/>
  <c r="T181" i="57" s="1"/>
  <c r="O158" i="57"/>
  <c r="N158" i="57"/>
  <c r="J158" i="57"/>
  <c r="I158" i="57"/>
  <c r="K158" i="57" s="1"/>
  <c r="H158" i="57"/>
  <c r="D158" i="57"/>
  <c r="C158" i="57"/>
  <c r="Y157" i="57"/>
  <c r="W157" i="57"/>
  <c r="V157" i="57"/>
  <c r="U157" i="57"/>
  <c r="X173" i="57" s="1"/>
  <c r="S157" i="57"/>
  <c r="R157" i="57"/>
  <c r="Q157" i="57"/>
  <c r="P157" i="57"/>
  <c r="O157" i="57"/>
  <c r="N157" i="57"/>
  <c r="J157" i="57"/>
  <c r="I157" i="57"/>
  <c r="K157" i="57" s="1"/>
  <c r="H157" i="57"/>
  <c r="D157" i="57"/>
  <c r="C157" i="57"/>
  <c r="Y156" i="57"/>
  <c r="W156" i="57"/>
  <c r="V156" i="57"/>
  <c r="U156" i="57"/>
  <c r="S156" i="57"/>
  <c r="R156" i="57"/>
  <c r="Q156" i="57"/>
  <c r="P156" i="57"/>
  <c r="T179" i="57" s="1"/>
  <c r="O156" i="57"/>
  <c r="N156" i="57"/>
  <c r="J156" i="57"/>
  <c r="I156" i="57"/>
  <c r="K156" i="57" s="1"/>
  <c r="H156" i="57"/>
  <c r="D156" i="57"/>
  <c r="C156" i="57"/>
  <c r="Y155" i="57"/>
  <c r="W155" i="57"/>
  <c r="V155" i="57"/>
  <c r="U155" i="57"/>
  <c r="X171" i="57" s="1"/>
  <c r="S155" i="57"/>
  <c r="R155" i="57"/>
  <c r="Q155" i="57"/>
  <c r="P155" i="57"/>
  <c r="O155" i="57"/>
  <c r="N155" i="57"/>
  <c r="J155" i="57"/>
  <c r="I155" i="57"/>
  <c r="K155" i="57" s="1"/>
  <c r="H155" i="57"/>
  <c r="D155" i="57"/>
  <c r="C155" i="57"/>
  <c r="Y154" i="57"/>
  <c r="W154" i="57"/>
  <c r="V154" i="57"/>
  <c r="U154" i="57"/>
  <c r="S154" i="57"/>
  <c r="R154" i="57"/>
  <c r="Q154" i="57"/>
  <c r="P154" i="57"/>
  <c r="T177" i="57" s="1"/>
  <c r="O154" i="57"/>
  <c r="N154" i="57"/>
  <c r="J154" i="57"/>
  <c r="I154" i="57"/>
  <c r="K154" i="57" s="1"/>
  <c r="H154" i="57"/>
  <c r="D154" i="57"/>
  <c r="C154" i="57"/>
  <c r="Y153" i="57"/>
  <c r="W153" i="57"/>
  <c r="V153" i="57"/>
  <c r="U153" i="57"/>
  <c r="X169" i="57" s="1"/>
  <c r="S153" i="57"/>
  <c r="R153" i="57"/>
  <c r="Q153" i="57"/>
  <c r="P153" i="57"/>
  <c r="O153" i="57"/>
  <c r="N153" i="57"/>
  <c r="J153" i="57"/>
  <c r="I153" i="57"/>
  <c r="K153" i="57" s="1"/>
  <c r="H153" i="57"/>
  <c r="D153" i="57"/>
  <c r="C153" i="57"/>
  <c r="Y152" i="57"/>
  <c r="W152" i="57"/>
  <c r="V152" i="57"/>
  <c r="U152" i="57"/>
  <c r="S152" i="57"/>
  <c r="R152" i="57"/>
  <c r="Q152" i="57"/>
  <c r="P152" i="57"/>
  <c r="T175" i="57" s="1"/>
  <c r="O152" i="57"/>
  <c r="N152" i="57"/>
  <c r="J152" i="57"/>
  <c r="I152" i="57"/>
  <c r="K152" i="57" s="1"/>
  <c r="H152" i="57"/>
  <c r="D152" i="57"/>
  <c r="C152" i="57"/>
  <c r="Y151" i="57"/>
  <c r="W151" i="57"/>
  <c r="V151" i="57"/>
  <c r="U151" i="57"/>
  <c r="X167" i="57" s="1"/>
  <c r="S151" i="57"/>
  <c r="R151" i="57"/>
  <c r="Q151" i="57"/>
  <c r="P151" i="57"/>
  <c r="O151" i="57"/>
  <c r="N151" i="57"/>
  <c r="J151" i="57"/>
  <c r="I151" i="57"/>
  <c r="K151" i="57" s="1"/>
  <c r="H151" i="57"/>
  <c r="D151" i="57"/>
  <c r="C151" i="57"/>
  <c r="Y150" i="57"/>
  <c r="W150" i="57"/>
  <c r="V150" i="57"/>
  <c r="U150" i="57"/>
  <c r="S150" i="57"/>
  <c r="R150" i="57"/>
  <c r="Q150" i="57"/>
  <c r="P150" i="57"/>
  <c r="T173" i="57" s="1"/>
  <c r="O150" i="57"/>
  <c r="N150" i="57"/>
  <c r="J150" i="57"/>
  <c r="I150" i="57"/>
  <c r="K150" i="57" s="1"/>
  <c r="H150" i="57"/>
  <c r="D150" i="57"/>
  <c r="C150" i="57"/>
  <c r="Y149" i="57"/>
  <c r="W149" i="57"/>
  <c r="V149" i="57"/>
  <c r="U149" i="57"/>
  <c r="X165" i="57" s="1"/>
  <c r="S149" i="57"/>
  <c r="R149" i="57"/>
  <c r="Q149" i="57"/>
  <c r="P149" i="57"/>
  <c r="O149" i="57"/>
  <c r="N149" i="57"/>
  <c r="J149" i="57"/>
  <c r="I149" i="57"/>
  <c r="K149" i="57" s="1"/>
  <c r="H149" i="57"/>
  <c r="D149" i="57"/>
  <c r="C149" i="57"/>
  <c r="Y148" i="57"/>
  <c r="W148" i="57"/>
  <c r="V148" i="57"/>
  <c r="X164" i="57" s="1"/>
  <c r="U148" i="57"/>
  <c r="S148" i="57"/>
  <c r="R148" i="57"/>
  <c r="Q148" i="57"/>
  <c r="P148" i="57"/>
  <c r="T171" i="57" s="1"/>
  <c r="O148" i="57"/>
  <c r="N148" i="57"/>
  <c r="J148" i="57"/>
  <c r="I148" i="57"/>
  <c r="H148" i="57"/>
  <c r="D148" i="57"/>
  <c r="C148" i="57"/>
  <c r="Y147" i="57"/>
  <c r="W147" i="57"/>
  <c r="V147" i="57"/>
  <c r="U147" i="57"/>
  <c r="X163" i="57" s="1"/>
  <c r="S147" i="57"/>
  <c r="R147" i="57"/>
  <c r="Q147" i="57"/>
  <c r="P147" i="57"/>
  <c r="O147" i="57"/>
  <c r="N147" i="57"/>
  <c r="J147" i="57"/>
  <c r="I147" i="57"/>
  <c r="K147" i="57" s="1"/>
  <c r="H147" i="57"/>
  <c r="D147" i="57"/>
  <c r="C147" i="57"/>
  <c r="Y146" i="57"/>
  <c r="W146" i="57"/>
  <c r="V146" i="57"/>
  <c r="X162" i="57" s="1"/>
  <c r="U146" i="57"/>
  <c r="S146" i="57"/>
  <c r="R146" i="57"/>
  <c r="Q146" i="57"/>
  <c r="P146" i="57"/>
  <c r="T169" i="57" s="1"/>
  <c r="O146" i="57"/>
  <c r="N146" i="57"/>
  <c r="J146" i="57"/>
  <c r="I146" i="57"/>
  <c r="H146" i="57"/>
  <c r="D146" i="57"/>
  <c r="C146" i="57"/>
  <c r="Y145" i="57"/>
  <c r="W145" i="57"/>
  <c r="V145" i="57"/>
  <c r="U145" i="57"/>
  <c r="X161" i="57" s="1"/>
  <c r="S145" i="57"/>
  <c r="R145" i="57"/>
  <c r="Q145" i="57"/>
  <c r="P145" i="57"/>
  <c r="O145" i="57"/>
  <c r="N145" i="57"/>
  <c r="J145" i="57"/>
  <c r="I145" i="57"/>
  <c r="K145" i="57" s="1"/>
  <c r="H145" i="57"/>
  <c r="D145" i="57"/>
  <c r="C145" i="57"/>
  <c r="Y144" i="57"/>
  <c r="W144" i="57"/>
  <c r="V144" i="57"/>
  <c r="X160" i="57" s="1"/>
  <c r="U144" i="57"/>
  <c r="S144" i="57"/>
  <c r="R144" i="57"/>
  <c r="Q144" i="57"/>
  <c r="P144" i="57"/>
  <c r="T167" i="57" s="1"/>
  <c r="O144" i="57"/>
  <c r="N144" i="57"/>
  <c r="J144" i="57"/>
  <c r="I144" i="57"/>
  <c r="H144" i="57"/>
  <c r="D144" i="57"/>
  <c r="C144" i="57"/>
  <c r="Y143" i="57"/>
  <c r="W143" i="57"/>
  <c r="V143" i="57"/>
  <c r="U143" i="57"/>
  <c r="X159" i="57" s="1"/>
  <c r="S143" i="57"/>
  <c r="R143" i="57"/>
  <c r="Q143" i="57"/>
  <c r="T166" i="57" s="1"/>
  <c r="P143" i="57"/>
  <c r="O143" i="57"/>
  <c r="N143" i="57"/>
  <c r="J143" i="57"/>
  <c r="I143" i="57"/>
  <c r="K143" i="57" s="1"/>
  <c r="H143" i="57"/>
  <c r="D143" i="57"/>
  <c r="C143" i="57"/>
  <c r="Y142" i="57"/>
  <c r="W142" i="57"/>
  <c r="V142" i="57"/>
  <c r="X158" i="57" s="1"/>
  <c r="U142" i="57"/>
  <c r="S142" i="57"/>
  <c r="R142" i="57"/>
  <c r="Q142" i="57"/>
  <c r="P142" i="57"/>
  <c r="T165" i="57" s="1"/>
  <c r="O142" i="57"/>
  <c r="N142" i="57"/>
  <c r="J142" i="57"/>
  <c r="I142" i="57"/>
  <c r="H142" i="57"/>
  <c r="D142" i="57"/>
  <c r="C142" i="57"/>
  <c r="Y141" i="57"/>
  <c r="W141" i="57"/>
  <c r="V141" i="57"/>
  <c r="U141" i="57"/>
  <c r="X157" i="57" s="1"/>
  <c r="S141" i="57"/>
  <c r="R141" i="57"/>
  <c r="Q141" i="57"/>
  <c r="T164" i="57" s="1"/>
  <c r="P141" i="57"/>
  <c r="O141" i="57"/>
  <c r="N141" i="57"/>
  <c r="J141" i="57"/>
  <c r="I141" i="57"/>
  <c r="K141" i="57" s="1"/>
  <c r="H141" i="57"/>
  <c r="D141" i="57"/>
  <c r="C141" i="57"/>
  <c r="Y140" i="57"/>
  <c r="W140" i="57"/>
  <c r="V140" i="57"/>
  <c r="X156" i="57" s="1"/>
  <c r="U140" i="57"/>
  <c r="S140" i="57"/>
  <c r="R140" i="57"/>
  <c r="Q140" i="57"/>
  <c r="P140" i="57"/>
  <c r="T163" i="57" s="1"/>
  <c r="O140" i="57"/>
  <c r="N140" i="57"/>
  <c r="J140" i="57"/>
  <c r="I140" i="57"/>
  <c r="H140" i="57"/>
  <c r="D140" i="57"/>
  <c r="C140" i="57"/>
  <c r="Y139" i="57"/>
  <c r="W139" i="57"/>
  <c r="V139" i="57"/>
  <c r="U139" i="57"/>
  <c r="X155" i="57" s="1"/>
  <c r="S139" i="57"/>
  <c r="R139" i="57"/>
  <c r="Q139" i="57"/>
  <c r="T162" i="57" s="1"/>
  <c r="P139" i="57"/>
  <c r="O139" i="57"/>
  <c r="N139" i="57"/>
  <c r="J139" i="57"/>
  <c r="I139" i="57"/>
  <c r="K139" i="57" s="1"/>
  <c r="H139" i="57"/>
  <c r="D139" i="57"/>
  <c r="C139" i="57"/>
  <c r="Y138" i="57"/>
  <c r="W138" i="57"/>
  <c r="V138" i="57"/>
  <c r="X154" i="57" s="1"/>
  <c r="U138" i="57"/>
  <c r="S138" i="57"/>
  <c r="R138" i="57"/>
  <c r="Q138" i="57"/>
  <c r="P138" i="57"/>
  <c r="T161" i="57" s="1"/>
  <c r="O138" i="57"/>
  <c r="N138" i="57"/>
  <c r="J138" i="57"/>
  <c r="I138" i="57"/>
  <c r="H138" i="57"/>
  <c r="D138" i="57"/>
  <c r="C138" i="57"/>
  <c r="Y137" i="57"/>
  <c r="W137" i="57"/>
  <c r="V137" i="57"/>
  <c r="U137" i="57"/>
  <c r="X153" i="57" s="1"/>
  <c r="S137" i="57"/>
  <c r="R137" i="57"/>
  <c r="Q137" i="57"/>
  <c r="T160" i="57" s="1"/>
  <c r="P137" i="57"/>
  <c r="O137" i="57"/>
  <c r="N137" i="57"/>
  <c r="J137" i="57"/>
  <c r="I137" i="57"/>
  <c r="K137" i="57" s="1"/>
  <c r="H137" i="57"/>
  <c r="D137" i="57"/>
  <c r="C137" i="57"/>
  <c r="Y136" i="57"/>
  <c r="W136" i="57"/>
  <c r="V136" i="57"/>
  <c r="X152" i="57" s="1"/>
  <c r="U136" i="57"/>
  <c r="S136" i="57"/>
  <c r="R136" i="57"/>
  <c r="Q136" i="57"/>
  <c r="P136" i="57"/>
  <c r="T159" i="57" s="1"/>
  <c r="O136" i="57"/>
  <c r="N136" i="57"/>
  <c r="J136" i="57"/>
  <c r="I136" i="57"/>
  <c r="H136" i="57"/>
  <c r="D136" i="57"/>
  <c r="C136" i="57"/>
  <c r="Y135" i="57"/>
  <c r="W135" i="57"/>
  <c r="V135" i="57"/>
  <c r="U135" i="57"/>
  <c r="X151" i="57" s="1"/>
  <c r="S135" i="57"/>
  <c r="R135" i="57"/>
  <c r="Q135" i="57"/>
  <c r="T158" i="57" s="1"/>
  <c r="P135" i="57"/>
  <c r="O135" i="57"/>
  <c r="N135" i="57"/>
  <c r="J135" i="57"/>
  <c r="I135" i="57"/>
  <c r="K135" i="57" s="1"/>
  <c r="H135" i="57"/>
  <c r="D135" i="57"/>
  <c r="C135" i="57"/>
  <c r="Y134" i="57"/>
  <c r="W134" i="57"/>
  <c r="V134" i="57"/>
  <c r="X150" i="57" s="1"/>
  <c r="U134" i="57"/>
  <c r="S134" i="57"/>
  <c r="R134" i="57"/>
  <c r="Q134" i="57"/>
  <c r="P134" i="57"/>
  <c r="T157" i="57" s="1"/>
  <c r="O134" i="57"/>
  <c r="N134" i="57"/>
  <c r="J134" i="57"/>
  <c r="I134" i="57"/>
  <c r="H134" i="57"/>
  <c r="D134" i="57"/>
  <c r="C134" i="57"/>
  <c r="Y133" i="57"/>
  <c r="W133" i="57"/>
  <c r="V133" i="57"/>
  <c r="U133" i="57"/>
  <c r="X149" i="57" s="1"/>
  <c r="S133" i="57"/>
  <c r="R133" i="57"/>
  <c r="Q133" i="57"/>
  <c r="T156" i="57" s="1"/>
  <c r="P133" i="57"/>
  <c r="O133" i="57"/>
  <c r="N133" i="57"/>
  <c r="J133" i="57"/>
  <c r="I133" i="57"/>
  <c r="K133" i="57" s="1"/>
  <c r="H133" i="57"/>
  <c r="D133" i="57"/>
  <c r="C133" i="57"/>
  <c r="Y132" i="57"/>
  <c r="W132" i="57"/>
  <c r="V132" i="57"/>
  <c r="X148" i="57" s="1"/>
  <c r="U132" i="57"/>
  <c r="S132" i="57"/>
  <c r="R132" i="57"/>
  <c r="Q132" i="57"/>
  <c r="P132" i="57"/>
  <c r="T155" i="57" s="1"/>
  <c r="O132" i="57"/>
  <c r="N132" i="57"/>
  <c r="J132" i="57"/>
  <c r="I132" i="57"/>
  <c r="H132" i="57"/>
  <c r="D132" i="57"/>
  <c r="C132" i="57"/>
  <c r="Y131" i="57"/>
  <c r="W131" i="57"/>
  <c r="V131" i="57"/>
  <c r="U131" i="57"/>
  <c r="X147" i="57" s="1"/>
  <c r="S131" i="57"/>
  <c r="R131" i="57"/>
  <c r="Q131" i="57"/>
  <c r="T154" i="57" s="1"/>
  <c r="P131" i="57"/>
  <c r="O131" i="57"/>
  <c r="N131" i="57"/>
  <c r="J131" i="57"/>
  <c r="I131" i="57"/>
  <c r="K131" i="57" s="1"/>
  <c r="H131" i="57"/>
  <c r="D131" i="57"/>
  <c r="C131" i="57"/>
  <c r="Y130" i="57"/>
  <c r="W130" i="57"/>
  <c r="V130" i="57"/>
  <c r="X146" i="57" s="1"/>
  <c r="U130" i="57"/>
  <c r="S130" i="57"/>
  <c r="R130" i="57"/>
  <c r="Q130" i="57"/>
  <c r="P130" i="57"/>
  <c r="T153" i="57" s="1"/>
  <c r="O130" i="57"/>
  <c r="N130" i="57"/>
  <c r="J130" i="57"/>
  <c r="I130" i="57"/>
  <c r="H130" i="57"/>
  <c r="D130" i="57"/>
  <c r="C130" i="57"/>
  <c r="Y129" i="57"/>
  <c r="W129" i="57"/>
  <c r="V129" i="57"/>
  <c r="U129" i="57"/>
  <c r="X145" i="57" s="1"/>
  <c r="S129" i="57"/>
  <c r="R129" i="57"/>
  <c r="Q129" i="57"/>
  <c r="T152" i="57" s="1"/>
  <c r="P129" i="57"/>
  <c r="O129" i="57"/>
  <c r="N129" i="57"/>
  <c r="J129" i="57"/>
  <c r="I129" i="57"/>
  <c r="K129" i="57" s="1"/>
  <c r="H129" i="57"/>
  <c r="D129" i="57"/>
  <c r="C129" i="57"/>
  <c r="Y128" i="57"/>
  <c r="W128" i="57"/>
  <c r="V128" i="57"/>
  <c r="X144" i="57" s="1"/>
  <c r="U128" i="57"/>
  <c r="S128" i="57"/>
  <c r="R128" i="57"/>
  <c r="Q128" i="57"/>
  <c r="P128" i="57"/>
  <c r="T151" i="57" s="1"/>
  <c r="O128" i="57"/>
  <c r="N128" i="57"/>
  <c r="J128" i="57"/>
  <c r="I128" i="57"/>
  <c r="H128" i="57"/>
  <c r="D128" i="57"/>
  <c r="C128" i="57"/>
  <c r="Y127" i="57"/>
  <c r="W127" i="57"/>
  <c r="V127" i="57"/>
  <c r="U127" i="57"/>
  <c r="X143" i="57" s="1"/>
  <c r="S127" i="57"/>
  <c r="R127" i="57"/>
  <c r="Q127" i="57"/>
  <c r="T150" i="57" s="1"/>
  <c r="P127" i="57"/>
  <c r="O127" i="57"/>
  <c r="N127" i="57"/>
  <c r="J127" i="57"/>
  <c r="I127" i="57"/>
  <c r="K127" i="57" s="1"/>
  <c r="H127" i="57"/>
  <c r="D127" i="57"/>
  <c r="C127" i="57"/>
  <c r="Y126" i="57"/>
  <c r="W126" i="57"/>
  <c r="V126" i="57"/>
  <c r="X142" i="57" s="1"/>
  <c r="U126" i="57"/>
  <c r="S126" i="57"/>
  <c r="R126" i="57"/>
  <c r="Q126" i="57"/>
  <c r="P126" i="57"/>
  <c r="T149" i="57" s="1"/>
  <c r="O126" i="57"/>
  <c r="N126" i="57"/>
  <c r="J126" i="57"/>
  <c r="I126" i="57"/>
  <c r="H126" i="57"/>
  <c r="D126" i="57"/>
  <c r="C126" i="57"/>
  <c r="Y125" i="57"/>
  <c r="W125" i="57"/>
  <c r="V125" i="57"/>
  <c r="U125" i="57"/>
  <c r="X141" i="57" s="1"/>
  <c r="S125" i="57"/>
  <c r="R125" i="57"/>
  <c r="Q125" i="57"/>
  <c r="T148" i="57" s="1"/>
  <c r="P125" i="57"/>
  <c r="O125" i="57"/>
  <c r="N125" i="57"/>
  <c r="J125" i="57"/>
  <c r="I125" i="57"/>
  <c r="K125" i="57" s="1"/>
  <c r="H125" i="57"/>
  <c r="D125" i="57"/>
  <c r="C125" i="57"/>
  <c r="Y124" i="57"/>
  <c r="W124" i="57"/>
  <c r="V124" i="57"/>
  <c r="X140" i="57" s="1"/>
  <c r="U124" i="57"/>
  <c r="S124" i="57"/>
  <c r="R124" i="57"/>
  <c r="Q124" i="57"/>
  <c r="P124" i="57"/>
  <c r="T147" i="57" s="1"/>
  <c r="O124" i="57"/>
  <c r="N124" i="57"/>
  <c r="J124" i="57"/>
  <c r="I124" i="57"/>
  <c r="H124" i="57"/>
  <c r="D124" i="57"/>
  <c r="C124" i="57"/>
  <c r="Y123" i="57"/>
  <c r="W123" i="57"/>
  <c r="V123" i="57"/>
  <c r="U123" i="57"/>
  <c r="X139" i="57" s="1"/>
  <c r="S123" i="57"/>
  <c r="R123" i="57"/>
  <c r="Q123" i="57"/>
  <c r="T146" i="57" s="1"/>
  <c r="P123" i="57"/>
  <c r="O123" i="57"/>
  <c r="N123" i="57"/>
  <c r="J123" i="57"/>
  <c r="I123" i="57"/>
  <c r="K123" i="57" s="1"/>
  <c r="H123" i="57"/>
  <c r="D123" i="57"/>
  <c r="C123" i="57"/>
  <c r="Y122" i="57"/>
  <c r="W122" i="57"/>
  <c r="V122" i="57"/>
  <c r="U122" i="57"/>
  <c r="X138" i="57" s="1"/>
  <c r="S122" i="57"/>
  <c r="R122" i="57"/>
  <c r="Q122" i="57"/>
  <c r="P122" i="57"/>
  <c r="O122" i="57"/>
  <c r="N122" i="57"/>
  <c r="J122" i="57"/>
  <c r="I122" i="57"/>
  <c r="K122" i="57" s="1"/>
  <c r="H122" i="57"/>
  <c r="D122" i="57"/>
  <c r="C122" i="57"/>
  <c r="Y121" i="57"/>
  <c r="W121" i="57"/>
  <c r="V121" i="57"/>
  <c r="U121" i="57"/>
  <c r="S121" i="57"/>
  <c r="R121" i="57"/>
  <c r="Q121" i="57"/>
  <c r="P121" i="57"/>
  <c r="O121" i="57"/>
  <c r="N121" i="57"/>
  <c r="J121" i="57"/>
  <c r="I121" i="57"/>
  <c r="K121" i="57" s="1"/>
  <c r="H121" i="57"/>
  <c r="D121" i="57"/>
  <c r="C121" i="57"/>
  <c r="Y120" i="57"/>
  <c r="W120" i="57"/>
  <c r="V120" i="57"/>
  <c r="U120" i="57"/>
  <c r="X136" i="57" s="1"/>
  <c r="S120" i="57"/>
  <c r="R120" i="57"/>
  <c r="Q120" i="57"/>
  <c r="P120" i="57"/>
  <c r="O120" i="57"/>
  <c r="N120" i="57"/>
  <c r="J120" i="57"/>
  <c r="I120" i="57"/>
  <c r="K120" i="57" s="1"/>
  <c r="H120" i="57"/>
  <c r="D120" i="57"/>
  <c r="C120" i="57"/>
  <c r="Y119" i="57"/>
  <c r="W119" i="57"/>
  <c r="V119" i="57"/>
  <c r="U119" i="57"/>
  <c r="S119" i="57"/>
  <c r="R119" i="57"/>
  <c r="Q119" i="57"/>
  <c r="P119" i="57"/>
  <c r="O119" i="57"/>
  <c r="N119" i="57"/>
  <c r="J119" i="57"/>
  <c r="I119" i="57"/>
  <c r="K119" i="57" s="1"/>
  <c r="H119" i="57"/>
  <c r="D119" i="57"/>
  <c r="C119" i="57"/>
  <c r="Y118" i="57"/>
  <c r="W118" i="57"/>
  <c r="V118" i="57"/>
  <c r="U118" i="57"/>
  <c r="X134" i="57" s="1"/>
  <c r="S118" i="57"/>
  <c r="R118" i="57"/>
  <c r="Q118" i="57"/>
  <c r="P118" i="57"/>
  <c r="O118" i="57"/>
  <c r="N118" i="57"/>
  <c r="J118" i="57"/>
  <c r="I118" i="57"/>
  <c r="K118" i="57" s="1"/>
  <c r="H118" i="57"/>
  <c r="D118" i="57"/>
  <c r="C118" i="57"/>
  <c r="Y117" i="57"/>
  <c r="W117" i="57"/>
  <c r="V117" i="57"/>
  <c r="U117" i="57"/>
  <c r="S117" i="57"/>
  <c r="R117" i="57"/>
  <c r="Q117" i="57"/>
  <c r="P117" i="57"/>
  <c r="O117" i="57"/>
  <c r="N117" i="57"/>
  <c r="J117" i="57"/>
  <c r="I117" i="57"/>
  <c r="K117" i="57" s="1"/>
  <c r="H117" i="57"/>
  <c r="D117" i="57"/>
  <c r="C117" i="57"/>
  <c r="Y116" i="57"/>
  <c r="W116" i="57"/>
  <c r="V116" i="57"/>
  <c r="U116" i="57"/>
  <c r="X132" i="57" s="1"/>
  <c r="S116" i="57"/>
  <c r="R116" i="57"/>
  <c r="Q116" i="57"/>
  <c r="P116" i="57"/>
  <c r="O116" i="57"/>
  <c r="N116" i="57"/>
  <c r="J116" i="57"/>
  <c r="I116" i="57"/>
  <c r="K116" i="57" s="1"/>
  <c r="H116" i="57"/>
  <c r="D116" i="57"/>
  <c r="C116" i="57"/>
  <c r="Y115" i="57"/>
  <c r="W115" i="57"/>
  <c r="V115" i="57"/>
  <c r="U115" i="57"/>
  <c r="S115" i="57"/>
  <c r="R115" i="57"/>
  <c r="Q115" i="57"/>
  <c r="P115" i="57"/>
  <c r="O115" i="57"/>
  <c r="N115" i="57"/>
  <c r="J115" i="57"/>
  <c r="I115" i="57"/>
  <c r="K115" i="57" s="1"/>
  <c r="H115" i="57"/>
  <c r="D115" i="57"/>
  <c r="C115" i="57"/>
  <c r="Y114" i="57"/>
  <c r="W114" i="57"/>
  <c r="V114" i="57"/>
  <c r="U114" i="57"/>
  <c r="X130" i="57" s="1"/>
  <c r="S114" i="57"/>
  <c r="R114" i="57"/>
  <c r="Q114" i="57"/>
  <c r="P114" i="57"/>
  <c r="O114" i="57"/>
  <c r="N114" i="57"/>
  <c r="J114" i="57"/>
  <c r="I114" i="57"/>
  <c r="K114" i="57" s="1"/>
  <c r="H114" i="57"/>
  <c r="D114" i="57"/>
  <c r="C114" i="57"/>
  <c r="Y113" i="57"/>
  <c r="W113" i="57"/>
  <c r="V113" i="57"/>
  <c r="U113" i="57"/>
  <c r="S113" i="57"/>
  <c r="R113" i="57"/>
  <c r="Q113" i="57"/>
  <c r="P113" i="57"/>
  <c r="O113" i="57"/>
  <c r="N113" i="57"/>
  <c r="J113" i="57"/>
  <c r="I113" i="57"/>
  <c r="K113" i="57" s="1"/>
  <c r="H113" i="57"/>
  <c r="D113" i="57"/>
  <c r="C113" i="57"/>
  <c r="Y112" i="57"/>
  <c r="W112" i="57"/>
  <c r="V112" i="57"/>
  <c r="U112" i="57"/>
  <c r="X128" i="57" s="1"/>
  <c r="S112" i="57"/>
  <c r="R112" i="57"/>
  <c r="Q112" i="57"/>
  <c r="P112" i="57"/>
  <c r="O112" i="57"/>
  <c r="N112" i="57"/>
  <c r="J112" i="57"/>
  <c r="I112" i="57"/>
  <c r="K112" i="57" s="1"/>
  <c r="H112" i="57"/>
  <c r="D112" i="57"/>
  <c r="C112" i="57"/>
  <c r="Y111" i="57"/>
  <c r="W111" i="57"/>
  <c r="V111" i="57"/>
  <c r="U111" i="57"/>
  <c r="S111" i="57"/>
  <c r="R111" i="57"/>
  <c r="Q111" i="57"/>
  <c r="P111" i="57"/>
  <c r="O111" i="57"/>
  <c r="N111" i="57"/>
  <c r="J111" i="57"/>
  <c r="I111" i="57"/>
  <c r="K111" i="57" s="1"/>
  <c r="H111" i="57"/>
  <c r="D111" i="57"/>
  <c r="C111" i="57"/>
  <c r="Y110" i="57"/>
  <c r="W110" i="57"/>
  <c r="V110" i="57"/>
  <c r="U110" i="57"/>
  <c r="X126" i="57" s="1"/>
  <c r="S110" i="57"/>
  <c r="R110" i="57"/>
  <c r="Q110" i="57"/>
  <c r="P110" i="57"/>
  <c r="O110" i="57"/>
  <c r="N110" i="57"/>
  <c r="J110" i="57"/>
  <c r="I110" i="57"/>
  <c r="K110" i="57" s="1"/>
  <c r="H110" i="57"/>
  <c r="D110" i="57"/>
  <c r="C110" i="57"/>
  <c r="Y109" i="57"/>
  <c r="W109" i="57"/>
  <c r="V109" i="57"/>
  <c r="U109" i="57"/>
  <c r="S109" i="57"/>
  <c r="R109" i="57"/>
  <c r="Q109" i="57"/>
  <c r="P109" i="57"/>
  <c r="O109" i="57"/>
  <c r="N109" i="57"/>
  <c r="J109" i="57"/>
  <c r="I109" i="57"/>
  <c r="K109" i="57" s="1"/>
  <c r="H109" i="57"/>
  <c r="D109" i="57"/>
  <c r="C109" i="57"/>
  <c r="Y108" i="57"/>
  <c r="W108" i="57"/>
  <c r="V108" i="57"/>
  <c r="U108" i="57"/>
  <c r="X124" i="57" s="1"/>
  <c r="S108" i="57"/>
  <c r="R108" i="57"/>
  <c r="Q108" i="57"/>
  <c r="P108" i="57"/>
  <c r="O108" i="57"/>
  <c r="N108" i="57"/>
  <c r="J108" i="57"/>
  <c r="I108" i="57"/>
  <c r="K108" i="57" s="1"/>
  <c r="H108" i="57"/>
  <c r="D108" i="57"/>
  <c r="C108" i="57"/>
  <c r="Y107" i="57"/>
  <c r="W107" i="57"/>
  <c r="V107" i="57"/>
  <c r="U107" i="57"/>
  <c r="S107" i="57"/>
  <c r="R107" i="57"/>
  <c r="Q107" i="57"/>
  <c r="P107" i="57"/>
  <c r="O107" i="57"/>
  <c r="N107" i="57"/>
  <c r="J107" i="57"/>
  <c r="I107" i="57"/>
  <c r="K107" i="57" s="1"/>
  <c r="H107" i="57"/>
  <c r="D107" i="57"/>
  <c r="C107" i="57"/>
  <c r="Y106" i="57"/>
  <c r="W106" i="57"/>
  <c r="V106" i="57"/>
  <c r="U106" i="57"/>
  <c r="X122" i="57" s="1"/>
  <c r="S106" i="57"/>
  <c r="R106" i="57"/>
  <c r="Q106" i="57"/>
  <c r="P106" i="57"/>
  <c r="O106" i="57"/>
  <c r="N106" i="57"/>
  <c r="J106" i="57"/>
  <c r="I106" i="57"/>
  <c r="K106" i="57" s="1"/>
  <c r="H106" i="57"/>
  <c r="D106" i="57"/>
  <c r="C106" i="57"/>
  <c r="Y105" i="57"/>
  <c r="W105" i="57"/>
  <c r="V105" i="57"/>
  <c r="U105" i="57"/>
  <c r="X121" i="57" s="1"/>
  <c r="S105" i="57"/>
  <c r="R105" i="57"/>
  <c r="Q105" i="57"/>
  <c r="P105" i="57"/>
  <c r="O105" i="57"/>
  <c r="N105" i="57"/>
  <c r="J105" i="57"/>
  <c r="I105" i="57"/>
  <c r="K105" i="57" s="1"/>
  <c r="H105" i="57"/>
  <c r="D105" i="57"/>
  <c r="C105" i="57"/>
  <c r="Y104" i="57"/>
  <c r="W104" i="57"/>
  <c r="V104" i="57"/>
  <c r="U104" i="57"/>
  <c r="X120" i="57" s="1"/>
  <c r="S104" i="57"/>
  <c r="R104" i="57"/>
  <c r="Q104" i="57"/>
  <c r="P104" i="57"/>
  <c r="O104" i="57"/>
  <c r="N104" i="57"/>
  <c r="J104" i="57"/>
  <c r="I104" i="57"/>
  <c r="K104" i="57" s="1"/>
  <c r="H104" i="57"/>
  <c r="D104" i="57"/>
  <c r="C104" i="57"/>
  <c r="Y103" i="57"/>
  <c r="W103" i="57"/>
  <c r="V103" i="57"/>
  <c r="U103" i="57"/>
  <c r="X119" i="57" s="1"/>
  <c r="S103" i="57"/>
  <c r="R103" i="57"/>
  <c r="Q103" i="57"/>
  <c r="P103" i="57"/>
  <c r="O103" i="57"/>
  <c r="N103" i="57"/>
  <c r="J103" i="57"/>
  <c r="I103" i="57"/>
  <c r="K103" i="57" s="1"/>
  <c r="H103" i="57"/>
  <c r="D103" i="57"/>
  <c r="C103" i="57"/>
  <c r="Y102" i="57"/>
  <c r="W102" i="57"/>
  <c r="V102" i="57"/>
  <c r="U102" i="57"/>
  <c r="X118" i="57" s="1"/>
  <c r="S102" i="57"/>
  <c r="R102" i="57"/>
  <c r="Q102" i="57"/>
  <c r="P102" i="57"/>
  <c r="O102" i="57"/>
  <c r="N102" i="57"/>
  <c r="J102" i="57"/>
  <c r="I102" i="57"/>
  <c r="K102" i="57" s="1"/>
  <c r="H102" i="57"/>
  <c r="D102" i="57"/>
  <c r="C102" i="57"/>
  <c r="Y101" i="57"/>
  <c r="W101" i="57"/>
  <c r="V101" i="57"/>
  <c r="U101" i="57"/>
  <c r="X117" i="57" s="1"/>
  <c r="S101" i="57"/>
  <c r="R101" i="57"/>
  <c r="Q101" i="57"/>
  <c r="P101" i="57"/>
  <c r="O101" i="57"/>
  <c r="N101" i="57"/>
  <c r="J101" i="57"/>
  <c r="I101" i="57"/>
  <c r="K101" i="57" s="1"/>
  <c r="H101" i="57"/>
  <c r="D101" i="57"/>
  <c r="C101" i="57"/>
  <c r="Y100" i="57"/>
  <c r="W100" i="57"/>
  <c r="V100" i="57"/>
  <c r="U100" i="57"/>
  <c r="X116" i="57" s="1"/>
  <c r="S100" i="57"/>
  <c r="R100" i="57"/>
  <c r="Q100" i="57"/>
  <c r="P100" i="57"/>
  <c r="O100" i="57"/>
  <c r="N100" i="57"/>
  <c r="J100" i="57"/>
  <c r="I100" i="57"/>
  <c r="K100" i="57" s="1"/>
  <c r="H100" i="57"/>
  <c r="D100" i="57"/>
  <c r="C100" i="57"/>
  <c r="Y99" i="57"/>
  <c r="W99" i="57"/>
  <c r="V99" i="57"/>
  <c r="U99" i="57"/>
  <c r="X115" i="57" s="1"/>
  <c r="S99" i="57"/>
  <c r="R99" i="57"/>
  <c r="Q99" i="57"/>
  <c r="P99" i="57"/>
  <c r="O99" i="57"/>
  <c r="N99" i="57"/>
  <c r="J99" i="57"/>
  <c r="I99" i="57"/>
  <c r="K99" i="57" s="1"/>
  <c r="H99" i="57"/>
  <c r="D99" i="57"/>
  <c r="C99" i="57"/>
  <c r="Y98" i="57"/>
  <c r="W98" i="57"/>
  <c r="V98" i="57"/>
  <c r="U98" i="57"/>
  <c r="X114" i="57" s="1"/>
  <c r="S98" i="57"/>
  <c r="R98" i="57"/>
  <c r="Q98" i="57"/>
  <c r="P98" i="57"/>
  <c r="T121" i="57" s="1"/>
  <c r="O98" i="57"/>
  <c r="N98" i="57"/>
  <c r="J98" i="57"/>
  <c r="I98" i="57"/>
  <c r="K98" i="57" s="1"/>
  <c r="H98" i="57"/>
  <c r="D98" i="57"/>
  <c r="C98" i="57"/>
  <c r="Y97" i="57"/>
  <c r="W97" i="57"/>
  <c r="V97" i="57"/>
  <c r="U97" i="57"/>
  <c r="X113" i="57" s="1"/>
  <c r="S97" i="57"/>
  <c r="R97" i="57"/>
  <c r="Q97" i="57"/>
  <c r="P97" i="57"/>
  <c r="O97" i="57"/>
  <c r="N97" i="57"/>
  <c r="J97" i="57"/>
  <c r="I97" i="57"/>
  <c r="K97" i="57" s="1"/>
  <c r="H97" i="57"/>
  <c r="D97" i="57"/>
  <c r="C97" i="57"/>
  <c r="Y96" i="57"/>
  <c r="W96" i="57"/>
  <c r="V96" i="57"/>
  <c r="U96" i="57"/>
  <c r="X112" i="57" s="1"/>
  <c r="S96" i="57"/>
  <c r="R96" i="57"/>
  <c r="Q96" i="57"/>
  <c r="P96" i="57"/>
  <c r="T119" i="57" s="1"/>
  <c r="O96" i="57"/>
  <c r="N96" i="57"/>
  <c r="J96" i="57"/>
  <c r="I96" i="57"/>
  <c r="K96" i="57" s="1"/>
  <c r="H96" i="57"/>
  <c r="D96" i="57"/>
  <c r="C96" i="57"/>
  <c r="Y95" i="57"/>
  <c r="W95" i="57"/>
  <c r="V95" i="57"/>
  <c r="U95" i="57"/>
  <c r="X111" i="57" s="1"/>
  <c r="S95" i="57"/>
  <c r="R95" i="57"/>
  <c r="Q95" i="57"/>
  <c r="P95" i="57"/>
  <c r="O95" i="57"/>
  <c r="N95" i="57"/>
  <c r="J95" i="57"/>
  <c r="I95" i="57"/>
  <c r="K95" i="57" s="1"/>
  <c r="H95" i="57"/>
  <c r="D95" i="57"/>
  <c r="C95" i="57"/>
  <c r="Y94" i="57"/>
  <c r="W94" i="57"/>
  <c r="V94" i="57"/>
  <c r="U94" i="57"/>
  <c r="X110" i="57" s="1"/>
  <c r="S94" i="57"/>
  <c r="R94" i="57"/>
  <c r="Q94" i="57"/>
  <c r="P94" i="57"/>
  <c r="T117" i="57" s="1"/>
  <c r="O94" i="57"/>
  <c r="N94" i="57"/>
  <c r="J94" i="57"/>
  <c r="I94" i="57"/>
  <c r="K94" i="57" s="1"/>
  <c r="H94" i="57"/>
  <c r="D94" i="57"/>
  <c r="C94" i="57"/>
  <c r="Y93" i="57"/>
  <c r="W93" i="57"/>
  <c r="V93" i="57"/>
  <c r="U93" i="57"/>
  <c r="X109" i="57" s="1"/>
  <c r="S93" i="57"/>
  <c r="R93" i="57"/>
  <c r="Q93" i="57"/>
  <c r="P93" i="57"/>
  <c r="O93" i="57"/>
  <c r="N93" i="57"/>
  <c r="J93" i="57"/>
  <c r="I93" i="57"/>
  <c r="K93" i="57" s="1"/>
  <c r="H93" i="57"/>
  <c r="D93" i="57"/>
  <c r="C93" i="57"/>
  <c r="Y92" i="57"/>
  <c r="W92" i="57"/>
  <c r="V92" i="57"/>
  <c r="U92" i="57"/>
  <c r="X108" i="57" s="1"/>
  <c r="S92" i="57"/>
  <c r="R92" i="57"/>
  <c r="Q92" i="57"/>
  <c r="P92" i="57"/>
  <c r="T115" i="57" s="1"/>
  <c r="O92" i="57"/>
  <c r="N92" i="57"/>
  <c r="J92" i="57"/>
  <c r="I92" i="57"/>
  <c r="K92" i="57" s="1"/>
  <c r="H92" i="57"/>
  <c r="D92" i="57"/>
  <c r="C92" i="57"/>
  <c r="Y91" i="57"/>
  <c r="W91" i="57"/>
  <c r="V91" i="57"/>
  <c r="U91" i="57"/>
  <c r="X107" i="57" s="1"/>
  <c r="S91" i="57"/>
  <c r="R91" i="57"/>
  <c r="Q91" i="57"/>
  <c r="P91" i="57"/>
  <c r="O91" i="57"/>
  <c r="N91" i="57"/>
  <c r="J91" i="57"/>
  <c r="I91" i="57"/>
  <c r="K91" i="57" s="1"/>
  <c r="H91" i="57"/>
  <c r="D91" i="57"/>
  <c r="C91" i="57"/>
  <c r="Y90" i="57"/>
  <c r="W90" i="57"/>
  <c r="V90" i="57"/>
  <c r="U90" i="57"/>
  <c r="X106" i="57" s="1"/>
  <c r="S90" i="57"/>
  <c r="R90" i="57"/>
  <c r="Q90" i="57"/>
  <c r="P90" i="57"/>
  <c r="T113" i="57" s="1"/>
  <c r="O90" i="57"/>
  <c r="N90" i="57"/>
  <c r="J90" i="57"/>
  <c r="I90" i="57"/>
  <c r="K90" i="57" s="1"/>
  <c r="H90" i="57"/>
  <c r="D90" i="57"/>
  <c r="C90" i="57"/>
  <c r="Y89" i="57"/>
  <c r="W89" i="57"/>
  <c r="V89" i="57"/>
  <c r="U89" i="57"/>
  <c r="X105" i="57" s="1"/>
  <c r="S89" i="57"/>
  <c r="R89" i="57"/>
  <c r="Q89" i="57"/>
  <c r="P89" i="57"/>
  <c r="O89" i="57"/>
  <c r="N89" i="57"/>
  <c r="J89" i="57"/>
  <c r="I89" i="57"/>
  <c r="K89" i="57" s="1"/>
  <c r="H89" i="57"/>
  <c r="D89" i="57"/>
  <c r="C89" i="57"/>
  <c r="Y88" i="57"/>
  <c r="W88" i="57"/>
  <c r="V88" i="57"/>
  <c r="U88" i="57"/>
  <c r="X104" i="57" s="1"/>
  <c r="T88" i="57"/>
  <c r="S88" i="57"/>
  <c r="R88" i="57"/>
  <c r="Q88" i="57"/>
  <c r="P88" i="57"/>
  <c r="T111" i="57" s="1"/>
  <c r="O88" i="57"/>
  <c r="N88" i="57"/>
  <c r="J88" i="57"/>
  <c r="I88" i="57"/>
  <c r="K88" i="57" s="1"/>
  <c r="H88" i="57"/>
  <c r="D88" i="57"/>
  <c r="C88" i="57"/>
  <c r="Y87" i="57"/>
  <c r="W87" i="57"/>
  <c r="V87" i="57"/>
  <c r="U87" i="57"/>
  <c r="X103" i="57" s="1"/>
  <c r="T87" i="57"/>
  <c r="S87" i="57"/>
  <c r="R87" i="57"/>
  <c r="Q87" i="57"/>
  <c r="P87" i="57"/>
  <c r="O87" i="57"/>
  <c r="N87" i="57"/>
  <c r="J87" i="57"/>
  <c r="I87" i="57"/>
  <c r="K87" i="57" s="1"/>
  <c r="H87" i="57"/>
  <c r="D87" i="57"/>
  <c r="C87" i="57"/>
  <c r="Y86" i="57"/>
  <c r="W86" i="57"/>
  <c r="V86" i="57"/>
  <c r="U86" i="57"/>
  <c r="X102" i="57" s="1"/>
  <c r="T86" i="57"/>
  <c r="S86" i="57"/>
  <c r="R86" i="57"/>
  <c r="Q86" i="57"/>
  <c r="P86" i="57"/>
  <c r="T109" i="57" s="1"/>
  <c r="O86" i="57"/>
  <c r="N86" i="57"/>
  <c r="J86" i="57"/>
  <c r="I86" i="57"/>
  <c r="K86" i="57" s="1"/>
  <c r="H86" i="57"/>
  <c r="D86" i="57"/>
  <c r="C86" i="57"/>
  <c r="Y85" i="57"/>
  <c r="W85" i="57"/>
  <c r="V85" i="57"/>
  <c r="U85" i="57"/>
  <c r="X101" i="57" s="1"/>
  <c r="T85" i="57"/>
  <c r="S85" i="57"/>
  <c r="R85" i="57"/>
  <c r="Q85" i="57"/>
  <c r="P85" i="57"/>
  <c r="O85" i="57"/>
  <c r="N85" i="57"/>
  <c r="J85" i="57"/>
  <c r="I85" i="57"/>
  <c r="K85" i="57" s="1"/>
  <c r="H85" i="57"/>
  <c r="D85" i="57"/>
  <c r="C85" i="57"/>
  <c r="Y84" i="57"/>
  <c r="W84" i="57"/>
  <c r="V84" i="57"/>
  <c r="U84" i="57"/>
  <c r="X100" i="57" s="1"/>
  <c r="T84" i="57"/>
  <c r="S84" i="57"/>
  <c r="R84" i="57"/>
  <c r="Q84" i="57"/>
  <c r="P84" i="57"/>
  <c r="T107" i="57" s="1"/>
  <c r="O84" i="57"/>
  <c r="N84" i="57"/>
  <c r="J84" i="57"/>
  <c r="I84" i="57"/>
  <c r="K84" i="57" s="1"/>
  <c r="H84" i="57"/>
  <c r="D84" i="57"/>
  <c r="C84" i="57"/>
  <c r="Y83" i="57"/>
  <c r="W83" i="57"/>
  <c r="V83" i="57"/>
  <c r="U83" i="57"/>
  <c r="X99" i="57" s="1"/>
  <c r="T83" i="57"/>
  <c r="S83" i="57"/>
  <c r="R83" i="57"/>
  <c r="Q83" i="57"/>
  <c r="P83" i="57"/>
  <c r="O83" i="57"/>
  <c r="N83" i="57"/>
  <c r="J83" i="57"/>
  <c r="I83" i="57"/>
  <c r="K83" i="57" s="1"/>
  <c r="H83" i="57"/>
  <c r="D83" i="57"/>
  <c r="C83" i="57"/>
  <c r="Y82" i="57"/>
  <c r="W82" i="57"/>
  <c r="V82" i="57"/>
  <c r="U82" i="57"/>
  <c r="X98" i="57" s="1"/>
  <c r="T82" i="57"/>
  <c r="S82" i="57"/>
  <c r="R82" i="57"/>
  <c r="Q82" i="57"/>
  <c r="P82" i="57"/>
  <c r="T105" i="57" s="1"/>
  <c r="O82" i="57"/>
  <c r="N82" i="57"/>
  <c r="J82" i="57"/>
  <c r="I82" i="57"/>
  <c r="K82" i="57" s="1"/>
  <c r="H82" i="57"/>
  <c r="D82" i="57"/>
  <c r="C82" i="57"/>
  <c r="Y81" i="57"/>
  <c r="X81" i="57"/>
  <c r="W81" i="57"/>
  <c r="V81" i="57"/>
  <c r="U81" i="57"/>
  <c r="X97" i="57" s="1"/>
  <c r="T81" i="57"/>
  <c r="S81" i="57"/>
  <c r="R81" i="57"/>
  <c r="Q81" i="57"/>
  <c r="P81" i="57"/>
  <c r="T104" i="57" s="1"/>
  <c r="O81" i="57"/>
  <c r="N81" i="57"/>
  <c r="J81" i="57"/>
  <c r="I81" i="57"/>
  <c r="K81" i="57" s="1"/>
  <c r="H81" i="57"/>
  <c r="D81" i="57"/>
  <c r="C81" i="57"/>
  <c r="Y80" i="57"/>
  <c r="X80" i="57"/>
  <c r="W80" i="57"/>
  <c r="V80" i="57"/>
  <c r="U80" i="57"/>
  <c r="X96" i="57" s="1"/>
  <c r="T80" i="57"/>
  <c r="S80" i="57"/>
  <c r="R80" i="57"/>
  <c r="Q80" i="57"/>
  <c r="P80" i="57"/>
  <c r="T103" i="57" s="1"/>
  <c r="O80" i="57"/>
  <c r="N80" i="57"/>
  <c r="J80" i="57"/>
  <c r="I80" i="57"/>
  <c r="K80" i="57" s="1"/>
  <c r="H80" i="57"/>
  <c r="D80" i="57"/>
  <c r="C80" i="57"/>
  <c r="Y79" i="57"/>
  <c r="X79" i="57"/>
  <c r="W79" i="57"/>
  <c r="V79" i="57"/>
  <c r="U79" i="57"/>
  <c r="X95" i="57" s="1"/>
  <c r="T79" i="57"/>
  <c r="S79" i="57"/>
  <c r="R79" i="57"/>
  <c r="Q79" i="57"/>
  <c r="P79" i="57"/>
  <c r="T102" i="57" s="1"/>
  <c r="O79" i="57"/>
  <c r="N79" i="57"/>
  <c r="J79" i="57"/>
  <c r="I79" i="57"/>
  <c r="K79" i="57" s="1"/>
  <c r="H79" i="57"/>
  <c r="D79" i="57"/>
  <c r="C79" i="57"/>
  <c r="Y78" i="57"/>
  <c r="X78" i="57"/>
  <c r="W78" i="57"/>
  <c r="V78" i="57"/>
  <c r="U78" i="57"/>
  <c r="X94" i="57" s="1"/>
  <c r="T78" i="57"/>
  <c r="S78" i="57"/>
  <c r="R78" i="57"/>
  <c r="Q78" i="57"/>
  <c r="P78" i="57"/>
  <c r="T101" i="57" s="1"/>
  <c r="O78" i="57"/>
  <c r="N78" i="57"/>
  <c r="J78" i="57"/>
  <c r="I78" i="57"/>
  <c r="K78" i="57" s="1"/>
  <c r="H78" i="57"/>
  <c r="D78" i="57"/>
  <c r="C78" i="57"/>
  <c r="Y77" i="57"/>
  <c r="X77" i="57"/>
  <c r="W77" i="57"/>
  <c r="V77" i="57"/>
  <c r="U77" i="57"/>
  <c r="X93" i="57" s="1"/>
  <c r="T77" i="57"/>
  <c r="S77" i="57"/>
  <c r="R77" i="57"/>
  <c r="Q77" i="57"/>
  <c r="P77" i="57"/>
  <c r="T100" i="57" s="1"/>
  <c r="O77" i="57"/>
  <c r="N77" i="57"/>
  <c r="J77" i="57"/>
  <c r="I77" i="57"/>
  <c r="K77" i="57" s="1"/>
  <c r="H77" i="57"/>
  <c r="D77" i="57"/>
  <c r="C77" i="57"/>
  <c r="Y76" i="57"/>
  <c r="X76" i="57"/>
  <c r="W76" i="57"/>
  <c r="V76" i="57"/>
  <c r="U76" i="57"/>
  <c r="X92" i="57" s="1"/>
  <c r="T76" i="57"/>
  <c r="S76" i="57"/>
  <c r="R76" i="57"/>
  <c r="Q76" i="57"/>
  <c r="P76" i="57"/>
  <c r="T99" i="57" s="1"/>
  <c r="O76" i="57"/>
  <c r="N76" i="57"/>
  <c r="J76" i="57"/>
  <c r="I76" i="57"/>
  <c r="K76" i="57" s="1"/>
  <c r="H76" i="57"/>
  <c r="D76" i="57"/>
  <c r="C76" i="57"/>
  <c r="Y75" i="57"/>
  <c r="X75" i="57"/>
  <c r="W75" i="57"/>
  <c r="V75" i="57"/>
  <c r="U75" i="57"/>
  <c r="X91" i="57" s="1"/>
  <c r="T75" i="57"/>
  <c r="S75" i="57"/>
  <c r="R75" i="57"/>
  <c r="Q75" i="57"/>
  <c r="P75" i="57"/>
  <c r="T98" i="57" s="1"/>
  <c r="O75" i="57"/>
  <c r="N75" i="57"/>
  <c r="J75" i="57"/>
  <c r="I75" i="57"/>
  <c r="K75" i="57" s="1"/>
  <c r="H75" i="57"/>
  <c r="D75" i="57"/>
  <c r="C75" i="57"/>
  <c r="Y74" i="57"/>
  <c r="X74" i="57"/>
  <c r="W74" i="57"/>
  <c r="V74" i="57"/>
  <c r="U74" i="57"/>
  <c r="X90" i="57" s="1"/>
  <c r="T74" i="57"/>
  <c r="S74" i="57"/>
  <c r="R74" i="57"/>
  <c r="Q74" i="57"/>
  <c r="P74" i="57"/>
  <c r="T97" i="57" s="1"/>
  <c r="O74" i="57"/>
  <c r="N74" i="57"/>
  <c r="J74" i="57"/>
  <c r="I74" i="57"/>
  <c r="K74" i="57" s="1"/>
  <c r="H74" i="57"/>
  <c r="D74" i="57"/>
  <c r="C74" i="57"/>
  <c r="Y73" i="57"/>
  <c r="X73" i="57"/>
  <c r="W73" i="57"/>
  <c r="V73" i="57"/>
  <c r="U73" i="57"/>
  <c r="X89" i="57" s="1"/>
  <c r="T73" i="57"/>
  <c r="S73" i="57"/>
  <c r="R73" i="57"/>
  <c r="Q73" i="57"/>
  <c r="P73" i="57"/>
  <c r="T96" i="57" s="1"/>
  <c r="O73" i="57"/>
  <c r="N73" i="57"/>
  <c r="J73" i="57"/>
  <c r="I73" i="57"/>
  <c r="K73" i="57" s="1"/>
  <c r="H73" i="57"/>
  <c r="D73" i="57"/>
  <c r="C73" i="57"/>
  <c r="Y72" i="57"/>
  <c r="X72" i="57"/>
  <c r="W72" i="57"/>
  <c r="V72" i="57"/>
  <c r="U72" i="57"/>
  <c r="X88" i="57" s="1"/>
  <c r="T72" i="57"/>
  <c r="S72" i="57"/>
  <c r="R72" i="57"/>
  <c r="Q72" i="57"/>
  <c r="P72" i="57"/>
  <c r="T95" i="57" s="1"/>
  <c r="O72" i="57"/>
  <c r="N72" i="57"/>
  <c r="J72" i="57"/>
  <c r="I72" i="57"/>
  <c r="K72" i="57" s="1"/>
  <c r="H72" i="57"/>
  <c r="D72" i="57"/>
  <c r="C72" i="57"/>
  <c r="Y71" i="57"/>
  <c r="X71" i="57"/>
  <c r="W71" i="57"/>
  <c r="V71" i="57"/>
  <c r="U71" i="57"/>
  <c r="X87" i="57" s="1"/>
  <c r="T71" i="57"/>
  <c r="S71" i="57"/>
  <c r="R71" i="57"/>
  <c r="Q71" i="57"/>
  <c r="P71" i="57"/>
  <c r="T94" i="57" s="1"/>
  <c r="O71" i="57"/>
  <c r="N71" i="57"/>
  <c r="J71" i="57"/>
  <c r="I71" i="57"/>
  <c r="K71" i="57" s="1"/>
  <c r="H71" i="57"/>
  <c r="D71" i="57"/>
  <c r="C71" i="57"/>
  <c r="Y70" i="57"/>
  <c r="X70" i="57"/>
  <c r="W70" i="57"/>
  <c r="V70" i="57"/>
  <c r="U70" i="57"/>
  <c r="X86" i="57" s="1"/>
  <c r="T70" i="57"/>
  <c r="S70" i="57"/>
  <c r="R70" i="57"/>
  <c r="Q70" i="57"/>
  <c r="P70" i="57"/>
  <c r="T93" i="57" s="1"/>
  <c r="O70" i="57"/>
  <c r="N70" i="57"/>
  <c r="J70" i="57"/>
  <c r="I70" i="57"/>
  <c r="K70" i="57" s="1"/>
  <c r="H70" i="57"/>
  <c r="D70" i="57"/>
  <c r="C70" i="57"/>
  <c r="Y69" i="57"/>
  <c r="X69" i="57"/>
  <c r="W69" i="57"/>
  <c r="V69" i="57"/>
  <c r="U69" i="57"/>
  <c r="X85" i="57" s="1"/>
  <c r="T69" i="57"/>
  <c r="S69" i="57"/>
  <c r="R69" i="57"/>
  <c r="Q69" i="57"/>
  <c r="P69" i="57"/>
  <c r="T92" i="57" s="1"/>
  <c r="O69" i="57"/>
  <c r="N69" i="57"/>
  <c r="J69" i="57"/>
  <c r="I69" i="57"/>
  <c r="K69" i="57" s="1"/>
  <c r="H69" i="57"/>
  <c r="D69" i="57"/>
  <c r="C69" i="57"/>
  <c r="Y68" i="57"/>
  <c r="X68" i="57"/>
  <c r="W68" i="57"/>
  <c r="V68" i="57"/>
  <c r="U68" i="57"/>
  <c r="X84" i="57" s="1"/>
  <c r="T68" i="57"/>
  <c r="S68" i="57"/>
  <c r="R68" i="57"/>
  <c r="Q68" i="57"/>
  <c r="P68" i="57"/>
  <c r="T91" i="57" s="1"/>
  <c r="O68" i="57"/>
  <c r="N68" i="57"/>
  <c r="J68" i="57"/>
  <c r="I68" i="57"/>
  <c r="K68" i="57" s="1"/>
  <c r="H68" i="57"/>
  <c r="D68" i="57"/>
  <c r="C68" i="57"/>
  <c r="Y67" i="57"/>
  <c r="X67" i="57"/>
  <c r="W67" i="57"/>
  <c r="V67" i="57"/>
  <c r="U67" i="57"/>
  <c r="X83" i="57" s="1"/>
  <c r="T67" i="57"/>
  <c r="S67" i="57"/>
  <c r="R67" i="57"/>
  <c r="Q67" i="57"/>
  <c r="P67" i="57"/>
  <c r="T90" i="57" s="1"/>
  <c r="O67" i="57"/>
  <c r="N67" i="57"/>
  <c r="J67" i="57"/>
  <c r="I67" i="57"/>
  <c r="K67" i="57" s="1"/>
  <c r="H67" i="57"/>
  <c r="D67" i="57"/>
  <c r="C67" i="57"/>
  <c r="Y66" i="57"/>
  <c r="X66" i="57"/>
  <c r="W66" i="57"/>
  <c r="V66" i="57"/>
  <c r="U66" i="57"/>
  <c r="X82" i="57" s="1"/>
  <c r="T66" i="57"/>
  <c r="S66" i="57"/>
  <c r="R66" i="57"/>
  <c r="Q66" i="57"/>
  <c r="P66" i="57"/>
  <c r="T89" i="57" s="1"/>
  <c r="O66" i="57"/>
  <c r="N66" i="57"/>
  <c r="J66" i="57"/>
  <c r="I66" i="57"/>
  <c r="K66" i="57" s="1"/>
  <c r="H66" i="57"/>
  <c r="D66" i="57"/>
  <c r="C66" i="57"/>
  <c r="BG294" i="1"/>
  <c r="BG170" i="1"/>
  <c r="E37" i="36"/>
  <c r="D37" i="36"/>
  <c r="C37" i="36"/>
  <c r="B37" i="36"/>
  <c r="E36" i="36"/>
  <c r="D36" i="36"/>
  <c r="C36" i="36"/>
  <c r="B36" i="36"/>
  <c r="E35" i="36"/>
  <c r="D35" i="36"/>
  <c r="C35" i="36"/>
  <c r="B35" i="36"/>
  <c r="E34" i="36"/>
  <c r="D34" i="36"/>
  <c r="C34" i="36"/>
  <c r="B34" i="36"/>
  <c r="E33" i="36"/>
  <c r="D33" i="36"/>
  <c r="C33" i="36"/>
  <c r="B33" i="36"/>
  <c r="E32" i="36"/>
  <c r="D32" i="36"/>
  <c r="C32" i="36"/>
  <c r="B32" i="36"/>
  <c r="E31" i="36"/>
  <c r="D31" i="36"/>
  <c r="C31" i="36"/>
  <c r="B31" i="36"/>
  <c r="E30" i="36"/>
  <c r="D30" i="36"/>
  <c r="C30" i="36"/>
  <c r="B30" i="36"/>
  <c r="E29" i="36"/>
  <c r="D29" i="36"/>
  <c r="C29" i="36"/>
  <c r="B29" i="36"/>
  <c r="E28" i="36"/>
  <c r="D28" i="36"/>
  <c r="C28" i="36"/>
  <c r="B28" i="36"/>
  <c r="E27" i="36"/>
  <c r="D27" i="36"/>
  <c r="C27" i="36"/>
  <c r="B27" i="36"/>
  <c r="E26" i="36"/>
  <c r="D26" i="36"/>
  <c r="C26" i="36"/>
  <c r="B26" i="36"/>
  <c r="E25" i="36"/>
  <c r="D25" i="36"/>
  <c r="C25" i="36"/>
  <c r="B25" i="36"/>
  <c r="E24" i="36"/>
  <c r="D24" i="36"/>
  <c r="C24" i="36"/>
  <c r="B24" i="36"/>
  <c r="E23" i="36"/>
  <c r="D23" i="36"/>
  <c r="C23" i="36"/>
  <c r="B23" i="36"/>
  <c r="E22" i="36"/>
  <c r="D22" i="36"/>
  <c r="C22" i="36"/>
  <c r="B22" i="36"/>
  <c r="E21" i="36"/>
  <c r="D21" i="36"/>
  <c r="C21" i="36"/>
  <c r="B21" i="36"/>
  <c r="E20" i="36"/>
  <c r="D20" i="36"/>
  <c r="C20" i="36"/>
  <c r="B20" i="36"/>
  <c r="E19" i="36"/>
  <c r="D19" i="36"/>
  <c r="C19" i="36"/>
  <c r="B19" i="36"/>
  <c r="E18" i="36"/>
  <c r="D18" i="36"/>
  <c r="C18" i="36"/>
  <c r="B18" i="36"/>
  <c r="E17" i="36"/>
  <c r="D17" i="36"/>
  <c r="C17" i="36"/>
  <c r="B17" i="36"/>
  <c r="E16" i="36"/>
  <c r="D16" i="36"/>
  <c r="C16" i="36"/>
  <c r="B16" i="36"/>
  <c r="E15" i="36"/>
  <c r="D15" i="36"/>
  <c r="C15" i="36"/>
  <c r="B15" i="36"/>
  <c r="E14" i="36"/>
  <c r="D14" i="36"/>
  <c r="C14" i="36"/>
  <c r="B14" i="36"/>
  <c r="E37" i="37"/>
  <c r="D37" i="37"/>
  <c r="C37" i="37"/>
  <c r="B37" i="37"/>
  <c r="E36" i="37"/>
  <c r="D36" i="37"/>
  <c r="C36" i="37"/>
  <c r="B36" i="37"/>
  <c r="E35" i="37"/>
  <c r="D35" i="37"/>
  <c r="C35" i="37"/>
  <c r="B35" i="37"/>
  <c r="E34" i="37"/>
  <c r="D34" i="37"/>
  <c r="C34" i="37"/>
  <c r="B34" i="37"/>
  <c r="E33" i="37"/>
  <c r="D33" i="37"/>
  <c r="C33" i="37"/>
  <c r="B33" i="37"/>
  <c r="E32" i="37"/>
  <c r="D32" i="37"/>
  <c r="C32" i="37"/>
  <c r="B32" i="37"/>
  <c r="E31" i="37"/>
  <c r="D31" i="37"/>
  <c r="C31" i="37"/>
  <c r="B31" i="37"/>
  <c r="E30" i="37"/>
  <c r="D30" i="37"/>
  <c r="C30" i="37"/>
  <c r="B30" i="37"/>
  <c r="E29" i="37"/>
  <c r="D29" i="37"/>
  <c r="C29" i="37"/>
  <c r="B29" i="37"/>
  <c r="E28" i="37"/>
  <c r="D28" i="37"/>
  <c r="C28" i="37"/>
  <c r="B28" i="37"/>
  <c r="E27" i="37"/>
  <c r="D27" i="37"/>
  <c r="C27" i="37"/>
  <c r="B27" i="37"/>
  <c r="E26" i="37"/>
  <c r="D26" i="37"/>
  <c r="C26" i="37"/>
  <c r="B26" i="37"/>
  <c r="E25" i="37"/>
  <c r="D25" i="37"/>
  <c r="C25" i="37"/>
  <c r="B25" i="37"/>
  <c r="E24" i="37"/>
  <c r="D24" i="37"/>
  <c r="C24" i="37"/>
  <c r="B24" i="37"/>
  <c r="E23" i="37"/>
  <c r="D23" i="37"/>
  <c r="C23" i="37"/>
  <c r="B23" i="37"/>
  <c r="E22" i="37"/>
  <c r="D22" i="37"/>
  <c r="C22" i="37"/>
  <c r="B22" i="37"/>
  <c r="E21" i="37"/>
  <c r="D21" i="37"/>
  <c r="C21" i="37"/>
  <c r="B21" i="37"/>
  <c r="E20" i="37"/>
  <c r="D20" i="37"/>
  <c r="C20" i="37"/>
  <c r="B20" i="37"/>
  <c r="E19" i="37"/>
  <c r="D19" i="37"/>
  <c r="C19" i="37"/>
  <c r="B19" i="37"/>
  <c r="E18" i="37"/>
  <c r="D18" i="37"/>
  <c r="C18" i="37"/>
  <c r="B18" i="37"/>
  <c r="E17" i="37"/>
  <c r="D17" i="37"/>
  <c r="C17" i="37"/>
  <c r="B17" i="37"/>
  <c r="E16" i="37"/>
  <c r="D16" i="37"/>
  <c r="C16" i="37"/>
  <c r="B16" i="37"/>
  <c r="E15" i="37"/>
  <c r="D15" i="37"/>
  <c r="C15" i="37"/>
  <c r="B15" i="37"/>
  <c r="E14" i="37"/>
  <c r="D14" i="37"/>
  <c r="C14" i="37"/>
  <c r="B14" i="37"/>
  <c r="E37" i="40"/>
  <c r="D37" i="40"/>
  <c r="C37" i="40"/>
  <c r="B37" i="40"/>
  <c r="E36" i="40"/>
  <c r="D36" i="40"/>
  <c r="C36" i="40"/>
  <c r="B36" i="40"/>
  <c r="E35" i="40"/>
  <c r="D35" i="40"/>
  <c r="C35" i="40"/>
  <c r="B35" i="40"/>
  <c r="E34" i="40"/>
  <c r="D34" i="40"/>
  <c r="C34" i="40"/>
  <c r="B34" i="40"/>
  <c r="E33" i="40"/>
  <c r="D33" i="40"/>
  <c r="C33" i="40"/>
  <c r="B33" i="40"/>
  <c r="E32" i="40"/>
  <c r="D32" i="40"/>
  <c r="C32" i="40"/>
  <c r="B32" i="40"/>
  <c r="E31" i="40"/>
  <c r="D31" i="40"/>
  <c r="C31" i="40"/>
  <c r="B31" i="40"/>
  <c r="E30" i="40"/>
  <c r="D30" i="40"/>
  <c r="C30" i="40"/>
  <c r="B30" i="40"/>
  <c r="E29" i="40"/>
  <c r="D29" i="40"/>
  <c r="C29" i="40"/>
  <c r="B29" i="40"/>
  <c r="E28" i="40"/>
  <c r="D28" i="40"/>
  <c r="C28" i="40"/>
  <c r="B28" i="40"/>
  <c r="E27" i="40"/>
  <c r="D27" i="40"/>
  <c r="C27" i="40"/>
  <c r="B27" i="40"/>
  <c r="E26" i="40"/>
  <c r="D26" i="40"/>
  <c r="C26" i="40"/>
  <c r="B26" i="40"/>
  <c r="E25" i="40"/>
  <c r="D25" i="40"/>
  <c r="C25" i="40"/>
  <c r="B25" i="40"/>
  <c r="E24" i="40"/>
  <c r="D24" i="40"/>
  <c r="C24" i="40"/>
  <c r="B24" i="40"/>
  <c r="E23" i="40"/>
  <c r="D23" i="40"/>
  <c r="C23" i="40"/>
  <c r="B23" i="40"/>
  <c r="E22" i="40"/>
  <c r="D22" i="40"/>
  <c r="C22" i="40"/>
  <c r="B22" i="40"/>
  <c r="E21" i="40"/>
  <c r="D21" i="40"/>
  <c r="C21" i="40"/>
  <c r="B21" i="40"/>
  <c r="E20" i="40"/>
  <c r="D20" i="40"/>
  <c r="C20" i="40"/>
  <c r="B20" i="40"/>
  <c r="E19" i="40"/>
  <c r="D19" i="40"/>
  <c r="C19" i="40"/>
  <c r="B19" i="40"/>
  <c r="E18" i="40"/>
  <c r="D18" i="40"/>
  <c r="C18" i="40"/>
  <c r="B18" i="40"/>
  <c r="E17" i="40"/>
  <c r="D17" i="40"/>
  <c r="C17" i="40"/>
  <c r="B17" i="40"/>
  <c r="E16" i="40"/>
  <c r="D16" i="40"/>
  <c r="C16" i="40"/>
  <c r="B16" i="40"/>
  <c r="E15" i="40"/>
  <c r="D15" i="40"/>
  <c r="C15" i="40"/>
  <c r="B15" i="40"/>
  <c r="E14" i="40"/>
  <c r="D14" i="40"/>
  <c r="C14" i="40"/>
  <c r="B14" i="40"/>
  <c r="E37" i="41"/>
  <c r="D37" i="41"/>
  <c r="C37" i="41"/>
  <c r="B37" i="41"/>
  <c r="E36" i="41"/>
  <c r="D36" i="41"/>
  <c r="C36" i="41"/>
  <c r="B36" i="41"/>
  <c r="E35" i="41"/>
  <c r="D35" i="41"/>
  <c r="C35" i="41"/>
  <c r="B35" i="41"/>
  <c r="E34" i="41"/>
  <c r="D34" i="41"/>
  <c r="C34" i="41"/>
  <c r="B34" i="41"/>
  <c r="E33" i="41"/>
  <c r="D33" i="41"/>
  <c r="C33" i="41"/>
  <c r="B33" i="41"/>
  <c r="E32" i="41"/>
  <c r="D32" i="41"/>
  <c r="C32" i="41"/>
  <c r="B32" i="41"/>
  <c r="E31" i="41"/>
  <c r="D31" i="41"/>
  <c r="C31" i="41"/>
  <c r="B31" i="41"/>
  <c r="E30" i="41"/>
  <c r="D30" i="41"/>
  <c r="C30" i="41"/>
  <c r="B30" i="41"/>
  <c r="E29" i="41"/>
  <c r="D29" i="41"/>
  <c r="C29" i="41"/>
  <c r="B29" i="41"/>
  <c r="E28" i="41"/>
  <c r="D28" i="41"/>
  <c r="C28" i="41"/>
  <c r="B28" i="41"/>
  <c r="E27" i="41"/>
  <c r="D27" i="41"/>
  <c r="C27" i="41"/>
  <c r="B27" i="41"/>
  <c r="E26" i="41"/>
  <c r="D26" i="41"/>
  <c r="C26" i="41"/>
  <c r="B26" i="41"/>
  <c r="E25" i="41"/>
  <c r="D25" i="41"/>
  <c r="C25" i="41"/>
  <c r="B25" i="41"/>
  <c r="E24" i="41"/>
  <c r="D24" i="41"/>
  <c r="C24" i="41"/>
  <c r="B24" i="41"/>
  <c r="E23" i="41"/>
  <c r="D23" i="41"/>
  <c r="C23" i="41"/>
  <c r="B23" i="41"/>
  <c r="E22" i="41"/>
  <c r="D22" i="41"/>
  <c r="C22" i="41"/>
  <c r="B22" i="41"/>
  <c r="E21" i="41"/>
  <c r="D21" i="41"/>
  <c r="C21" i="41"/>
  <c r="B21" i="41"/>
  <c r="E20" i="41"/>
  <c r="D20" i="41"/>
  <c r="C20" i="41"/>
  <c r="B20" i="41"/>
  <c r="E19" i="41"/>
  <c r="D19" i="41"/>
  <c r="C19" i="41"/>
  <c r="B19" i="41"/>
  <c r="E18" i="41"/>
  <c r="D18" i="41"/>
  <c r="C18" i="41"/>
  <c r="B18" i="41"/>
  <c r="E17" i="41"/>
  <c r="D17" i="41"/>
  <c r="C17" i="41"/>
  <c r="B17" i="41"/>
  <c r="E16" i="41"/>
  <c r="D16" i="41"/>
  <c r="C16" i="41"/>
  <c r="B16" i="41"/>
  <c r="E15" i="41"/>
  <c r="D15" i="41"/>
  <c r="C15" i="41"/>
  <c r="B15" i="41"/>
  <c r="E14" i="41"/>
  <c r="D14" i="41"/>
  <c r="C14" i="41"/>
  <c r="B14" i="41"/>
  <c r="J37" i="42"/>
  <c r="H37" i="42"/>
  <c r="D37" i="42"/>
  <c r="C37" i="42"/>
  <c r="J36" i="42"/>
  <c r="H36" i="42"/>
  <c r="D36" i="42"/>
  <c r="C36" i="42"/>
  <c r="J35" i="42"/>
  <c r="H35" i="42"/>
  <c r="D35" i="42"/>
  <c r="C35" i="42"/>
  <c r="J34" i="42"/>
  <c r="H34" i="42"/>
  <c r="D34" i="42"/>
  <c r="C34" i="42"/>
  <c r="J33" i="42"/>
  <c r="H33" i="42"/>
  <c r="D33" i="42"/>
  <c r="C33" i="42"/>
  <c r="J32" i="42"/>
  <c r="H32" i="42"/>
  <c r="D32" i="42"/>
  <c r="C32" i="42"/>
  <c r="J31" i="42"/>
  <c r="H31" i="42"/>
  <c r="D31" i="42"/>
  <c r="C31" i="42"/>
  <c r="J30" i="42"/>
  <c r="H30" i="42"/>
  <c r="D30" i="42"/>
  <c r="C30" i="42"/>
  <c r="H29" i="42"/>
  <c r="D29" i="42"/>
  <c r="C29" i="42"/>
  <c r="J28" i="42"/>
  <c r="H28" i="42"/>
  <c r="D28" i="42"/>
  <c r="C28" i="42"/>
  <c r="J27" i="42"/>
  <c r="H27" i="42"/>
  <c r="D27" i="42"/>
  <c r="C27" i="42"/>
  <c r="J26" i="42"/>
  <c r="H26" i="42"/>
  <c r="D26" i="42"/>
  <c r="C26" i="42"/>
  <c r="J25" i="42"/>
  <c r="H25" i="42"/>
  <c r="D25" i="42"/>
  <c r="C25" i="42"/>
  <c r="J24" i="42"/>
  <c r="H24" i="42"/>
  <c r="D24" i="42"/>
  <c r="C24" i="42"/>
  <c r="J23" i="42"/>
  <c r="H23" i="42"/>
  <c r="D23" i="42"/>
  <c r="C23" i="42"/>
  <c r="J22" i="42"/>
  <c r="H22" i="42"/>
  <c r="D22" i="42"/>
  <c r="C22" i="42"/>
  <c r="J21" i="42"/>
  <c r="H21" i="42"/>
  <c r="D21" i="42"/>
  <c r="C21" i="42"/>
  <c r="J20" i="42"/>
  <c r="H20" i="42"/>
  <c r="D20" i="42"/>
  <c r="C20" i="42"/>
  <c r="J19" i="42"/>
  <c r="H19" i="42"/>
  <c r="D19" i="42"/>
  <c r="C19" i="42"/>
  <c r="J18" i="42"/>
  <c r="H18" i="42"/>
  <c r="D18" i="42"/>
  <c r="C18" i="42"/>
  <c r="J17" i="42"/>
  <c r="H17" i="42"/>
  <c r="D17" i="42"/>
  <c r="C17" i="42"/>
  <c r="J16" i="42"/>
  <c r="H16" i="42"/>
  <c r="D16" i="42"/>
  <c r="C16" i="42"/>
  <c r="J15" i="42"/>
  <c r="H15" i="42"/>
  <c r="D15" i="42"/>
  <c r="C15" i="42"/>
  <c r="J14" i="42"/>
  <c r="H14" i="42"/>
  <c r="D14" i="42"/>
  <c r="C14" i="42"/>
  <c r="G41" i="44"/>
  <c r="H41" i="44" s="1"/>
  <c r="C41" i="44"/>
  <c r="B41" i="44"/>
  <c r="G40" i="44"/>
  <c r="H40" i="44" s="1"/>
  <c r="C40" i="44"/>
  <c r="B40" i="44"/>
  <c r="G39" i="44"/>
  <c r="H39" i="44" s="1"/>
  <c r="C39" i="44"/>
  <c r="B39" i="44"/>
  <c r="G38" i="44"/>
  <c r="H38" i="44" s="1"/>
  <c r="C38" i="44"/>
  <c r="B38" i="44"/>
  <c r="G37" i="44"/>
  <c r="H37" i="44" s="1"/>
  <c r="C37" i="44"/>
  <c r="B37" i="44"/>
  <c r="G36" i="44"/>
  <c r="H36" i="44" s="1"/>
  <c r="C36" i="44"/>
  <c r="B36" i="44"/>
  <c r="G35" i="44"/>
  <c r="H35" i="44" s="1"/>
  <c r="C35" i="44"/>
  <c r="B35" i="44"/>
  <c r="G34" i="44"/>
  <c r="H34" i="44" s="1"/>
  <c r="C34" i="44"/>
  <c r="B34" i="44"/>
  <c r="G33" i="44"/>
  <c r="H33" i="44" s="1"/>
  <c r="C33" i="44"/>
  <c r="B33" i="44"/>
  <c r="G32" i="44"/>
  <c r="H32" i="44" s="1"/>
  <c r="C32" i="44"/>
  <c r="B32" i="44"/>
  <c r="G31" i="44"/>
  <c r="H31" i="44" s="1"/>
  <c r="C31" i="44"/>
  <c r="B31" i="44"/>
  <c r="G30" i="44"/>
  <c r="H30" i="44" s="1"/>
  <c r="C30" i="44"/>
  <c r="B30" i="44"/>
  <c r="G29" i="44"/>
  <c r="H29" i="44" s="1"/>
  <c r="C29" i="44"/>
  <c r="B29" i="44"/>
  <c r="G28" i="44"/>
  <c r="H28" i="44" s="1"/>
  <c r="C28" i="44"/>
  <c r="B28" i="44"/>
  <c r="G27" i="44"/>
  <c r="H27" i="44" s="1"/>
  <c r="C27" i="44"/>
  <c r="B27" i="44"/>
  <c r="G26" i="44"/>
  <c r="H26" i="44" s="1"/>
  <c r="C26" i="44"/>
  <c r="B26" i="44"/>
  <c r="G25" i="44"/>
  <c r="H25" i="44" s="1"/>
  <c r="C25" i="44"/>
  <c r="B25" i="44"/>
  <c r="G24" i="44"/>
  <c r="H24" i="44" s="1"/>
  <c r="C24" i="44"/>
  <c r="B24" i="44"/>
  <c r="G23" i="44"/>
  <c r="H23" i="44" s="1"/>
  <c r="C23" i="44"/>
  <c r="B23" i="44"/>
  <c r="G22" i="44"/>
  <c r="H22" i="44" s="1"/>
  <c r="C22" i="44"/>
  <c r="B22" i="44"/>
  <c r="G21" i="44"/>
  <c r="H21" i="44" s="1"/>
  <c r="C21" i="44"/>
  <c r="B21" i="44"/>
  <c r="G20" i="44"/>
  <c r="H20" i="44" s="1"/>
  <c r="C20" i="44"/>
  <c r="B20" i="44"/>
  <c r="G19" i="44"/>
  <c r="H19" i="44" s="1"/>
  <c r="C19" i="44"/>
  <c r="B19" i="44"/>
  <c r="G18" i="44"/>
  <c r="H18" i="44" s="1"/>
  <c r="C18" i="44"/>
  <c r="B18" i="44"/>
  <c r="Y54" i="57"/>
  <c r="N54" i="57"/>
  <c r="J54" i="57"/>
  <c r="H54" i="57"/>
  <c r="D54" i="57"/>
  <c r="C54" i="57"/>
  <c r="Y53" i="57"/>
  <c r="N53" i="57"/>
  <c r="J53" i="57"/>
  <c r="H53" i="57"/>
  <c r="D53" i="57"/>
  <c r="C53" i="57"/>
  <c r="Y52" i="57"/>
  <c r="N52" i="57"/>
  <c r="J52" i="57"/>
  <c r="H52" i="57"/>
  <c r="D52" i="57"/>
  <c r="C52" i="57"/>
  <c r="Y51" i="57"/>
  <c r="N51" i="57"/>
  <c r="J51" i="57"/>
  <c r="H51" i="57"/>
  <c r="D51" i="57"/>
  <c r="C51" i="57"/>
  <c r="Y50" i="57"/>
  <c r="N50" i="57"/>
  <c r="J50" i="57"/>
  <c r="H50" i="57"/>
  <c r="D50" i="57"/>
  <c r="C50" i="57"/>
  <c r="Y49" i="57"/>
  <c r="N49" i="57"/>
  <c r="J49" i="57"/>
  <c r="H49" i="57"/>
  <c r="D49" i="57"/>
  <c r="C49" i="57"/>
  <c r="Y48" i="57"/>
  <c r="N48" i="57"/>
  <c r="J48" i="57"/>
  <c r="H48" i="57"/>
  <c r="D48" i="57"/>
  <c r="C48" i="57"/>
  <c r="Y47" i="57"/>
  <c r="N47" i="57"/>
  <c r="J47" i="57"/>
  <c r="H47" i="57"/>
  <c r="D47" i="57"/>
  <c r="C47" i="57"/>
  <c r="Y46" i="57"/>
  <c r="N46" i="57"/>
  <c r="H46" i="57"/>
  <c r="D46" i="57"/>
  <c r="C46" i="57"/>
  <c r="Y45" i="57"/>
  <c r="N45" i="57"/>
  <c r="J45" i="57"/>
  <c r="H45" i="57"/>
  <c r="D45" i="57"/>
  <c r="C45" i="57"/>
  <c r="Y44" i="57"/>
  <c r="N44" i="57"/>
  <c r="J44" i="57"/>
  <c r="H44" i="57"/>
  <c r="D44" i="57"/>
  <c r="C44" i="57"/>
  <c r="Y43" i="57"/>
  <c r="N43" i="57"/>
  <c r="J43" i="57"/>
  <c r="H43" i="57"/>
  <c r="D43" i="57"/>
  <c r="C43" i="57"/>
  <c r="Y42" i="57"/>
  <c r="X42" i="57"/>
  <c r="T42" i="57"/>
  <c r="N42" i="57"/>
  <c r="J42" i="57"/>
  <c r="H42" i="57"/>
  <c r="D42" i="57"/>
  <c r="C42" i="57"/>
  <c r="Y41" i="57"/>
  <c r="X41" i="57"/>
  <c r="T41" i="57"/>
  <c r="N41" i="57"/>
  <c r="J41" i="57"/>
  <c r="H41" i="57"/>
  <c r="D41" i="57"/>
  <c r="C41" i="57"/>
  <c r="Y40" i="57"/>
  <c r="X40" i="57"/>
  <c r="T40" i="57"/>
  <c r="N40" i="57"/>
  <c r="J40" i="57"/>
  <c r="H40" i="57"/>
  <c r="D40" i="57"/>
  <c r="C40" i="57"/>
  <c r="Y39" i="57"/>
  <c r="X39" i="57"/>
  <c r="T39" i="57"/>
  <c r="N39" i="57"/>
  <c r="J39" i="57"/>
  <c r="H39" i="57"/>
  <c r="D39" i="57"/>
  <c r="C39" i="57"/>
  <c r="Y38" i="57"/>
  <c r="X38" i="57"/>
  <c r="T38" i="57"/>
  <c r="N38" i="57"/>
  <c r="J38" i="57"/>
  <c r="H38" i="57"/>
  <c r="D38" i="57"/>
  <c r="C38" i="57"/>
  <c r="Y37" i="57"/>
  <c r="X37" i="57"/>
  <c r="T37" i="57"/>
  <c r="N37" i="57"/>
  <c r="J37" i="57"/>
  <c r="H37" i="57"/>
  <c r="D37" i="57"/>
  <c r="C37" i="57"/>
  <c r="Y36" i="57"/>
  <c r="X36" i="57"/>
  <c r="T36" i="57"/>
  <c r="N36" i="57"/>
  <c r="J36" i="57"/>
  <c r="H36" i="57"/>
  <c r="D36" i="57"/>
  <c r="C36" i="57"/>
  <c r="Y35" i="57"/>
  <c r="X35" i="57"/>
  <c r="T35" i="57"/>
  <c r="N35" i="57"/>
  <c r="J35" i="57"/>
  <c r="H35" i="57"/>
  <c r="D35" i="57"/>
  <c r="C35" i="57"/>
  <c r="Y34" i="57"/>
  <c r="X34" i="57"/>
  <c r="T34" i="57"/>
  <c r="N34" i="57"/>
  <c r="J34" i="57"/>
  <c r="H34" i="57"/>
  <c r="D34" i="57"/>
  <c r="C34" i="57"/>
  <c r="Y33" i="57"/>
  <c r="X33" i="57"/>
  <c r="T33" i="57"/>
  <c r="N33" i="57"/>
  <c r="J33" i="57"/>
  <c r="H33" i="57"/>
  <c r="D33" i="57"/>
  <c r="C33" i="57"/>
  <c r="Y32" i="57"/>
  <c r="X32" i="57"/>
  <c r="T32" i="57"/>
  <c r="N32" i="57"/>
  <c r="J32" i="57"/>
  <c r="H32" i="57"/>
  <c r="D32" i="57"/>
  <c r="C32" i="57"/>
  <c r="Y31" i="57"/>
  <c r="X31" i="57"/>
  <c r="T31" i="57"/>
  <c r="N31" i="57"/>
  <c r="J31" i="57"/>
  <c r="H31" i="57"/>
  <c r="D31" i="57"/>
  <c r="C31" i="57"/>
  <c r="W340" i="58"/>
  <c r="V340" i="58"/>
  <c r="W68" i="58"/>
  <c r="V68" i="58"/>
  <c r="W33" i="58"/>
  <c r="V33" i="58"/>
  <c r="W13" i="58"/>
  <c r="V13" i="58"/>
  <c r="DR299" i="1"/>
  <c r="DP299" i="1"/>
  <c r="DO299" i="1"/>
  <c r="DN299" i="1"/>
  <c r="CI299" i="1"/>
  <c r="CA299" i="1"/>
  <c r="L295" i="42" s="1"/>
  <c r="BF299" i="1"/>
  <c r="BD299" i="1"/>
  <c r="AZ299" i="1"/>
  <c r="AW299" i="1"/>
  <c r="AQ299" i="1"/>
  <c r="AO299" i="1"/>
  <c r="AC299" i="1"/>
  <c r="AB299" i="1"/>
  <c r="AH299" i="1" s="1"/>
  <c r="T299" i="1"/>
  <c r="V299" i="1" s="1"/>
  <c r="Q299" i="1"/>
  <c r="E409" i="36"/>
  <c r="D409" i="36"/>
  <c r="C409" i="36"/>
  <c r="B409" i="36"/>
  <c r="E408" i="36"/>
  <c r="D408" i="36"/>
  <c r="C408" i="36"/>
  <c r="B408" i="36"/>
  <c r="E407" i="36"/>
  <c r="D407" i="36"/>
  <c r="C407" i="36"/>
  <c r="B407" i="36"/>
  <c r="E406" i="36"/>
  <c r="D406" i="36"/>
  <c r="C406" i="36"/>
  <c r="B406" i="36"/>
  <c r="E405" i="36"/>
  <c r="D405" i="36"/>
  <c r="C405" i="36"/>
  <c r="B405" i="36"/>
  <c r="E404" i="36"/>
  <c r="D404" i="36"/>
  <c r="C404" i="36"/>
  <c r="B404" i="36"/>
  <c r="E403" i="36"/>
  <c r="D403" i="36"/>
  <c r="C403" i="36"/>
  <c r="B403" i="36"/>
  <c r="E402" i="36"/>
  <c r="D402" i="36"/>
  <c r="C402" i="36"/>
  <c r="B402" i="36"/>
  <c r="E401" i="36"/>
  <c r="D401" i="36"/>
  <c r="C401" i="36"/>
  <c r="B401" i="36"/>
  <c r="E400" i="36"/>
  <c r="D400" i="36"/>
  <c r="C400" i="36"/>
  <c r="B400" i="36"/>
  <c r="E399" i="36"/>
  <c r="D399" i="36"/>
  <c r="C399" i="36"/>
  <c r="B399" i="36"/>
  <c r="E398" i="36"/>
  <c r="D398" i="36"/>
  <c r="C398" i="36"/>
  <c r="B398" i="36"/>
  <c r="E397" i="36"/>
  <c r="D397" i="36"/>
  <c r="C397" i="36"/>
  <c r="B397" i="36"/>
  <c r="E396" i="36"/>
  <c r="D396" i="36"/>
  <c r="C396" i="36"/>
  <c r="B396" i="36"/>
  <c r="E395" i="36"/>
  <c r="D395" i="36"/>
  <c r="C395" i="36"/>
  <c r="B395" i="36"/>
  <c r="E394" i="36"/>
  <c r="D394" i="36"/>
  <c r="C394" i="36"/>
  <c r="B394" i="36"/>
  <c r="E393" i="36"/>
  <c r="D393" i="36"/>
  <c r="C393" i="36"/>
  <c r="B393" i="36"/>
  <c r="E392" i="36"/>
  <c r="D392" i="36"/>
  <c r="C392" i="36"/>
  <c r="B392" i="36"/>
  <c r="E391" i="36"/>
  <c r="D391" i="36"/>
  <c r="C391" i="36"/>
  <c r="B391" i="36"/>
  <c r="E390" i="36"/>
  <c r="D390" i="36"/>
  <c r="C390" i="36"/>
  <c r="B390" i="36"/>
  <c r="E389" i="36"/>
  <c r="D389" i="36"/>
  <c r="C389" i="36"/>
  <c r="B389" i="36"/>
  <c r="E388" i="36"/>
  <c r="D388" i="36"/>
  <c r="C388" i="36"/>
  <c r="B388" i="36"/>
  <c r="E387" i="36"/>
  <c r="D387" i="36"/>
  <c r="C387" i="36"/>
  <c r="B387" i="36"/>
  <c r="E386" i="36"/>
  <c r="D386" i="36"/>
  <c r="C386" i="36"/>
  <c r="B386" i="36"/>
  <c r="E385" i="36"/>
  <c r="D385" i="36"/>
  <c r="C385" i="36"/>
  <c r="B385" i="36"/>
  <c r="E384" i="36"/>
  <c r="D384" i="36"/>
  <c r="C384" i="36"/>
  <c r="B384" i="36"/>
  <c r="E383" i="36"/>
  <c r="D383" i="36"/>
  <c r="C383" i="36"/>
  <c r="B383" i="36"/>
  <c r="E382" i="36"/>
  <c r="D382" i="36"/>
  <c r="C382" i="36"/>
  <c r="B382" i="36"/>
  <c r="E381" i="36"/>
  <c r="D381" i="36"/>
  <c r="C381" i="36"/>
  <c r="B381" i="36"/>
  <c r="E380" i="36"/>
  <c r="D380" i="36"/>
  <c r="C380" i="36"/>
  <c r="B380" i="36"/>
  <c r="E379" i="36"/>
  <c r="D379" i="36"/>
  <c r="C379" i="36"/>
  <c r="B379" i="36"/>
  <c r="E378" i="36"/>
  <c r="D378" i="36"/>
  <c r="C378" i="36"/>
  <c r="B378" i="36"/>
  <c r="E377" i="36"/>
  <c r="D377" i="36"/>
  <c r="C377" i="36"/>
  <c r="B377" i="36"/>
  <c r="E376" i="36"/>
  <c r="D376" i="36"/>
  <c r="C376" i="36"/>
  <c r="B376" i="36"/>
  <c r="E375" i="36"/>
  <c r="D375" i="36"/>
  <c r="C375" i="36"/>
  <c r="B375" i="36"/>
  <c r="E374" i="36"/>
  <c r="D374" i="36"/>
  <c r="C374" i="36"/>
  <c r="B374" i="36"/>
  <c r="E373" i="36"/>
  <c r="D373" i="36"/>
  <c r="C373" i="36"/>
  <c r="B373" i="36"/>
  <c r="E372" i="36"/>
  <c r="D372" i="36"/>
  <c r="C372" i="36"/>
  <c r="B372" i="36"/>
  <c r="E371" i="36"/>
  <c r="D371" i="36"/>
  <c r="C371" i="36"/>
  <c r="B371" i="36"/>
  <c r="E370" i="36"/>
  <c r="D370" i="36"/>
  <c r="C370" i="36"/>
  <c r="B370" i="36"/>
  <c r="E369" i="36"/>
  <c r="D369" i="36"/>
  <c r="C369" i="36"/>
  <c r="B369" i="36"/>
  <c r="E368" i="36"/>
  <c r="D368" i="36"/>
  <c r="C368" i="36"/>
  <c r="B368" i="36"/>
  <c r="E367" i="36"/>
  <c r="D367" i="36"/>
  <c r="C367" i="36"/>
  <c r="B367" i="36"/>
  <c r="E366" i="36"/>
  <c r="D366" i="36"/>
  <c r="C366" i="36"/>
  <c r="B366" i="36"/>
  <c r="E365" i="36"/>
  <c r="D365" i="36"/>
  <c r="C365" i="36"/>
  <c r="B365" i="36"/>
  <c r="E364" i="36"/>
  <c r="D364" i="36"/>
  <c r="C364" i="36"/>
  <c r="B364" i="36"/>
  <c r="E363" i="36"/>
  <c r="D363" i="36"/>
  <c r="C363" i="36"/>
  <c r="B363" i="36"/>
  <c r="E362" i="36"/>
  <c r="D362" i="36"/>
  <c r="C362" i="36"/>
  <c r="B362" i="36"/>
  <c r="E361" i="36"/>
  <c r="D361" i="36"/>
  <c r="C361" i="36"/>
  <c r="B361" i="36"/>
  <c r="E360" i="36"/>
  <c r="D360" i="36"/>
  <c r="C360" i="36"/>
  <c r="B360" i="36"/>
  <c r="E359" i="36"/>
  <c r="D359" i="36"/>
  <c r="C359" i="36"/>
  <c r="B359" i="36"/>
  <c r="E358" i="36"/>
  <c r="D358" i="36"/>
  <c r="C358" i="36"/>
  <c r="B358" i="36"/>
  <c r="E357" i="36"/>
  <c r="D357" i="36"/>
  <c r="C357" i="36"/>
  <c r="B357" i="36"/>
  <c r="E356" i="36"/>
  <c r="D356" i="36"/>
  <c r="C356" i="36"/>
  <c r="B356" i="36"/>
  <c r="E355" i="36"/>
  <c r="D355" i="36"/>
  <c r="C355" i="36"/>
  <c r="B355" i="36"/>
  <c r="E354" i="36"/>
  <c r="D354" i="36"/>
  <c r="C354" i="36"/>
  <c r="B354" i="36"/>
  <c r="E353" i="36"/>
  <c r="D353" i="36"/>
  <c r="C353" i="36"/>
  <c r="B353" i="36"/>
  <c r="E352" i="36"/>
  <c r="D352" i="36"/>
  <c r="C352" i="36"/>
  <c r="B352" i="36"/>
  <c r="E351" i="36"/>
  <c r="D351" i="36"/>
  <c r="C351" i="36"/>
  <c r="B351" i="36"/>
  <c r="E350" i="36"/>
  <c r="D350" i="36"/>
  <c r="C350" i="36"/>
  <c r="B350" i="36"/>
  <c r="E349" i="36"/>
  <c r="D349" i="36"/>
  <c r="C349" i="36"/>
  <c r="B349" i="36"/>
  <c r="E348" i="36"/>
  <c r="D348" i="36"/>
  <c r="C348" i="36"/>
  <c r="B348" i="36"/>
  <c r="E347" i="36"/>
  <c r="D347" i="36"/>
  <c r="C347" i="36"/>
  <c r="B347" i="36"/>
  <c r="E346" i="36"/>
  <c r="D346" i="36"/>
  <c r="C346" i="36"/>
  <c r="B346" i="36"/>
  <c r="E345" i="36"/>
  <c r="D345" i="36"/>
  <c r="C345" i="36"/>
  <c r="B345" i="36"/>
  <c r="E344" i="36"/>
  <c r="D344" i="36"/>
  <c r="C344" i="36"/>
  <c r="B344" i="36"/>
  <c r="E343" i="36"/>
  <c r="D343" i="36"/>
  <c r="C343" i="36"/>
  <c r="B343" i="36"/>
  <c r="E342" i="36"/>
  <c r="D342" i="36"/>
  <c r="C342" i="36"/>
  <c r="B342" i="36"/>
  <c r="E341" i="36"/>
  <c r="D341" i="36"/>
  <c r="C341" i="36"/>
  <c r="B341" i="36"/>
  <c r="E340" i="36"/>
  <c r="D340" i="36"/>
  <c r="C340" i="36"/>
  <c r="B340" i="36"/>
  <c r="E339" i="36"/>
  <c r="D339" i="36"/>
  <c r="C339" i="36"/>
  <c r="B339" i="36"/>
  <c r="E338" i="36"/>
  <c r="D338" i="36"/>
  <c r="C338" i="36"/>
  <c r="B338" i="36"/>
  <c r="E337" i="36"/>
  <c r="D337" i="36"/>
  <c r="C337" i="36"/>
  <c r="B337" i="36"/>
  <c r="E336" i="36"/>
  <c r="D336" i="36"/>
  <c r="C336" i="36"/>
  <c r="B336" i="36"/>
  <c r="E335" i="36"/>
  <c r="D335" i="36"/>
  <c r="C335" i="36"/>
  <c r="B335" i="36"/>
  <c r="E334" i="36"/>
  <c r="D334" i="36"/>
  <c r="C334" i="36"/>
  <c r="B334" i="36"/>
  <c r="E333" i="36"/>
  <c r="D333" i="36"/>
  <c r="C333" i="36"/>
  <c r="B333" i="36"/>
  <c r="E332" i="36"/>
  <c r="D332" i="36"/>
  <c r="C332" i="36"/>
  <c r="B332" i="36"/>
  <c r="E331" i="36"/>
  <c r="D331" i="36"/>
  <c r="C331" i="36"/>
  <c r="B331" i="36"/>
  <c r="E330" i="36"/>
  <c r="D330" i="36"/>
  <c r="C330" i="36"/>
  <c r="B330" i="36"/>
  <c r="E329" i="36"/>
  <c r="D329" i="36"/>
  <c r="C329" i="36"/>
  <c r="B329" i="36"/>
  <c r="E328" i="36"/>
  <c r="D328" i="36"/>
  <c r="C328" i="36"/>
  <c r="B328" i="36"/>
  <c r="E327" i="36"/>
  <c r="D327" i="36"/>
  <c r="C327" i="36"/>
  <c r="B327" i="36"/>
  <c r="E326" i="36"/>
  <c r="D326" i="36"/>
  <c r="C326" i="36"/>
  <c r="B326" i="36"/>
  <c r="E325" i="36"/>
  <c r="D325" i="36"/>
  <c r="C325" i="36"/>
  <c r="B325" i="36"/>
  <c r="E324" i="36"/>
  <c r="D324" i="36"/>
  <c r="C324" i="36"/>
  <c r="B324" i="36"/>
  <c r="E323" i="36"/>
  <c r="D323" i="36"/>
  <c r="C323" i="36"/>
  <c r="B323" i="36"/>
  <c r="E322" i="36"/>
  <c r="D322" i="36"/>
  <c r="C322" i="36"/>
  <c r="B322" i="36"/>
  <c r="E321" i="36"/>
  <c r="D321" i="36"/>
  <c r="C321" i="36"/>
  <c r="B321" i="36"/>
  <c r="E320" i="36"/>
  <c r="D320" i="36"/>
  <c r="C320" i="36"/>
  <c r="B320" i="36"/>
  <c r="E319" i="36"/>
  <c r="D319" i="36"/>
  <c r="C319" i="36"/>
  <c r="B319" i="36"/>
  <c r="E409" i="37"/>
  <c r="D409" i="37"/>
  <c r="C409" i="37"/>
  <c r="B409" i="37"/>
  <c r="E408" i="37"/>
  <c r="D408" i="37"/>
  <c r="C408" i="37"/>
  <c r="B408" i="37"/>
  <c r="E407" i="37"/>
  <c r="D407" i="37"/>
  <c r="C407" i="37"/>
  <c r="B407" i="37"/>
  <c r="E406" i="37"/>
  <c r="D406" i="37"/>
  <c r="C406" i="37"/>
  <c r="B406" i="37"/>
  <c r="E405" i="37"/>
  <c r="D405" i="37"/>
  <c r="C405" i="37"/>
  <c r="B405" i="37"/>
  <c r="E404" i="37"/>
  <c r="D404" i="37"/>
  <c r="C404" i="37"/>
  <c r="B404" i="37"/>
  <c r="E403" i="37"/>
  <c r="D403" i="37"/>
  <c r="C403" i="37"/>
  <c r="B403" i="37"/>
  <c r="E402" i="37"/>
  <c r="D402" i="37"/>
  <c r="C402" i="37"/>
  <c r="B402" i="37"/>
  <c r="E401" i="37"/>
  <c r="D401" i="37"/>
  <c r="C401" i="37"/>
  <c r="B401" i="37"/>
  <c r="E400" i="37"/>
  <c r="D400" i="37"/>
  <c r="C400" i="37"/>
  <c r="B400" i="37"/>
  <c r="E399" i="37"/>
  <c r="D399" i="37"/>
  <c r="C399" i="37"/>
  <c r="B399" i="37"/>
  <c r="E398" i="37"/>
  <c r="D398" i="37"/>
  <c r="C398" i="37"/>
  <c r="B398" i="37"/>
  <c r="E397" i="37"/>
  <c r="D397" i="37"/>
  <c r="C397" i="37"/>
  <c r="B397" i="37"/>
  <c r="E396" i="37"/>
  <c r="D396" i="37"/>
  <c r="C396" i="37"/>
  <c r="B396" i="37"/>
  <c r="E395" i="37"/>
  <c r="D395" i="37"/>
  <c r="C395" i="37"/>
  <c r="B395" i="37"/>
  <c r="E394" i="37"/>
  <c r="D394" i="37"/>
  <c r="C394" i="37"/>
  <c r="B394" i="37"/>
  <c r="E393" i="37"/>
  <c r="D393" i="37"/>
  <c r="C393" i="37"/>
  <c r="B393" i="37"/>
  <c r="E392" i="37"/>
  <c r="D392" i="37"/>
  <c r="C392" i="37"/>
  <c r="B392" i="37"/>
  <c r="E391" i="37"/>
  <c r="D391" i="37"/>
  <c r="C391" i="37"/>
  <c r="B391" i="37"/>
  <c r="E390" i="37"/>
  <c r="D390" i="37"/>
  <c r="C390" i="37"/>
  <c r="B390" i="37"/>
  <c r="E389" i="37"/>
  <c r="D389" i="37"/>
  <c r="C389" i="37"/>
  <c r="B389" i="37"/>
  <c r="E388" i="37"/>
  <c r="D388" i="37"/>
  <c r="C388" i="37"/>
  <c r="B388" i="37"/>
  <c r="E387" i="37"/>
  <c r="D387" i="37"/>
  <c r="C387" i="37"/>
  <c r="B387" i="37"/>
  <c r="E386" i="37"/>
  <c r="D386" i="37"/>
  <c r="C386" i="37"/>
  <c r="B386" i="37"/>
  <c r="E385" i="37"/>
  <c r="D385" i="37"/>
  <c r="C385" i="37"/>
  <c r="B385" i="37"/>
  <c r="E384" i="37"/>
  <c r="D384" i="37"/>
  <c r="C384" i="37"/>
  <c r="B384" i="37"/>
  <c r="E383" i="37"/>
  <c r="D383" i="37"/>
  <c r="C383" i="37"/>
  <c r="B383" i="37"/>
  <c r="E382" i="37"/>
  <c r="D382" i="37"/>
  <c r="C382" i="37"/>
  <c r="B382" i="37"/>
  <c r="E381" i="37"/>
  <c r="D381" i="37"/>
  <c r="C381" i="37"/>
  <c r="B381" i="37"/>
  <c r="E380" i="37"/>
  <c r="D380" i="37"/>
  <c r="C380" i="37"/>
  <c r="B380" i="37"/>
  <c r="E379" i="37"/>
  <c r="D379" i="37"/>
  <c r="C379" i="37"/>
  <c r="B379" i="37"/>
  <c r="E378" i="37"/>
  <c r="D378" i="37"/>
  <c r="C378" i="37"/>
  <c r="B378" i="37"/>
  <c r="E377" i="37"/>
  <c r="D377" i="37"/>
  <c r="C377" i="37"/>
  <c r="B377" i="37"/>
  <c r="E376" i="37"/>
  <c r="D376" i="37"/>
  <c r="C376" i="37"/>
  <c r="B376" i="37"/>
  <c r="E375" i="37"/>
  <c r="D375" i="37"/>
  <c r="C375" i="37"/>
  <c r="B375" i="37"/>
  <c r="E374" i="37"/>
  <c r="D374" i="37"/>
  <c r="C374" i="37"/>
  <c r="B374" i="37"/>
  <c r="E373" i="37"/>
  <c r="D373" i="37"/>
  <c r="C373" i="37"/>
  <c r="B373" i="37"/>
  <c r="E372" i="37"/>
  <c r="D372" i="37"/>
  <c r="C372" i="37"/>
  <c r="B372" i="37"/>
  <c r="E371" i="37"/>
  <c r="D371" i="37"/>
  <c r="C371" i="37"/>
  <c r="B371" i="37"/>
  <c r="E370" i="37"/>
  <c r="D370" i="37"/>
  <c r="C370" i="37"/>
  <c r="B370" i="37"/>
  <c r="E369" i="37"/>
  <c r="D369" i="37"/>
  <c r="C369" i="37"/>
  <c r="B369" i="37"/>
  <c r="E368" i="37"/>
  <c r="D368" i="37"/>
  <c r="C368" i="37"/>
  <c r="B368" i="37"/>
  <c r="E367" i="37"/>
  <c r="D367" i="37"/>
  <c r="C367" i="37"/>
  <c r="B367" i="37"/>
  <c r="E366" i="37"/>
  <c r="D366" i="37"/>
  <c r="C366" i="37"/>
  <c r="B366" i="37"/>
  <c r="E365" i="37"/>
  <c r="D365" i="37"/>
  <c r="C365" i="37"/>
  <c r="B365" i="37"/>
  <c r="E364" i="37"/>
  <c r="D364" i="37"/>
  <c r="C364" i="37"/>
  <c r="B364" i="37"/>
  <c r="E363" i="37"/>
  <c r="D363" i="37"/>
  <c r="C363" i="37"/>
  <c r="B363" i="37"/>
  <c r="E362" i="37"/>
  <c r="D362" i="37"/>
  <c r="C362" i="37"/>
  <c r="B362" i="37"/>
  <c r="E361" i="37"/>
  <c r="D361" i="37"/>
  <c r="C361" i="37"/>
  <c r="B361" i="37"/>
  <c r="E360" i="37"/>
  <c r="D360" i="37"/>
  <c r="C360" i="37"/>
  <c r="B360" i="37"/>
  <c r="E359" i="37"/>
  <c r="D359" i="37"/>
  <c r="C359" i="37"/>
  <c r="B359" i="37"/>
  <c r="E358" i="37"/>
  <c r="D358" i="37"/>
  <c r="C358" i="37"/>
  <c r="B358" i="37"/>
  <c r="E357" i="37"/>
  <c r="D357" i="37"/>
  <c r="C357" i="37"/>
  <c r="B357" i="37"/>
  <c r="E356" i="37"/>
  <c r="D356" i="37"/>
  <c r="C356" i="37"/>
  <c r="B356" i="37"/>
  <c r="E355" i="37"/>
  <c r="D355" i="37"/>
  <c r="C355" i="37"/>
  <c r="B355" i="37"/>
  <c r="E354" i="37"/>
  <c r="D354" i="37"/>
  <c r="C354" i="37"/>
  <c r="B354" i="37"/>
  <c r="E353" i="37"/>
  <c r="D353" i="37"/>
  <c r="C353" i="37"/>
  <c r="B353" i="37"/>
  <c r="E352" i="37"/>
  <c r="D352" i="37"/>
  <c r="C352" i="37"/>
  <c r="B352" i="37"/>
  <c r="E351" i="37"/>
  <c r="D351" i="37"/>
  <c r="C351" i="37"/>
  <c r="B351" i="37"/>
  <c r="E350" i="37"/>
  <c r="D350" i="37"/>
  <c r="C350" i="37"/>
  <c r="B350" i="37"/>
  <c r="E349" i="37"/>
  <c r="D349" i="37"/>
  <c r="C349" i="37"/>
  <c r="B349" i="37"/>
  <c r="E348" i="37"/>
  <c r="D348" i="37"/>
  <c r="C348" i="37"/>
  <c r="B348" i="37"/>
  <c r="E347" i="37"/>
  <c r="D347" i="37"/>
  <c r="C347" i="37"/>
  <c r="B347" i="37"/>
  <c r="E346" i="37"/>
  <c r="D346" i="37"/>
  <c r="C346" i="37"/>
  <c r="B346" i="37"/>
  <c r="E345" i="37"/>
  <c r="D345" i="37"/>
  <c r="C345" i="37"/>
  <c r="B345" i="37"/>
  <c r="E344" i="37"/>
  <c r="D344" i="37"/>
  <c r="C344" i="37"/>
  <c r="B344" i="37"/>
  <c r="E343" i="37"/>
  <c r="D343" i="37"/>
  <c r="C343" i="37"/>
  <c r="B343" i="37"/>
  <c r="E342" i="37"/>
  <c r="D342" i="37"/>
  <c r="C342" i="37"/>
  <c r="B342" i="37"/>
  <c r="E341" i="37"/>
  <c r="D341" i="37"/>
  <c r="C341" i="37"/>
  <c r="B341" i="37"/>
  <c r="E340" i="37"/>
  <c r="D340" i="37"/>
  <c r="C340" i="37"/>
  <c r="B340" i="37"/>
  <c r="E339" i="37"/>
  <c r="D339" i="37"/>
  <c r="C339" i="37"/>
  <c r="B339" i="37"/>
  <c r="E338" i="37"/>
  <c r="D338" i="37"/>
  <c r="C338" i="37"/>
  <c r="B338" i="37"/>
  <c r="E337" i="37"/>
  <c r="D337" i="37"/>
  <c r="C337" i="37"/>
  <c r="B337" i="37"/>
  <c r="E336" i="37"/>
  <c r="D336" i="37"/>
  <c r="C336" i="37"/>
  <c r="B336" i="37"/>
  <c r="E335" i="37"/>
  <c r="D335" i="37"/>
  <c r="C335" i="37"/>
  <c r="B335" i="37"/>
  <c r="E334" i="37"/>
  <c r="D334" i="37"/>
  <c r="C334" i="37"/>
  <c r="B334" i="37"/>
  <c r="E333" i="37"/>
  <c r="D333" i="37"/>
  <c r="C333" i="37"/>
  <c r="B333" i="37"/>
  <c r="E332" i="37"/>
  <c r="D332" i="37"/>
  <c r="C332" i="37"/>
  <c r="B332" i="37"/>
  <c r="E331" i="37"/>
  <c r="D331" i="37"/>
  <c r="C331" i="37"/>
  <c r="B331" i="37"/>
  <c r="E330" i="37"/>
  <c r="D330" i="37"/>
  <c r="C330" i="37"/>
  <c r="B330" i="37"/>
  <c r="E329" i="37"/>
  <c r="D329" i="37"/>
  <c r="C329" i="37"/>
  <c r="B329" i="37"/>
  <c r="E328" i="37"/>
  <c r="D328" i="37"/>
  <c r="C328" i="37"/>
  <c r="B328" i="37"/>
  <c r="E327" i="37"/>
  <c r="D327" i="37"/>
  <c r="C327" i="37"/>
  <c r="B327" i="37"/>
  <c r="E326" i="37"/>
  <c r="D326" i="37"/>
  <c r="C326" i="37"/>
  <c r="B326" i="37"/>
  <c r="G325" i="37"/>
  <c r="F325" i="37"/>
  <c r="E325" i="37"/>
  <c r="D325" i="37"/>
  <c r="C325" i="37"/>
  <c r="B325" i="37"/>
  <c r="E324" i="37"/>
  <c r="D324" i="37"/>
  <c r="C324" i="37"/>
  <c r="B324" i="37"/>
  <c r="E323" i="37"/>
  <c r="D323" i="37"/>
  <c r="C323" i="37"/>
  <c r="B323" i="37"/>
  <c r="E322" i="37"/>
  <c r="D322" i="37"/>
  <c r="C322" i="37"/>
  <c r="B322" i="37"/>
  <c r="E321" i="37"/>
  <c r="D321" i="37"/>
  <c r="C321" i="37"/>
  <c r="B321" i="37"/>
  <c r="E320" i="37"/>
  <c r="D320" i="37"/>
  <c r="C320" i="37"/>
  <c r="B320" i="37"/>
  <c r="G319" i="37"/>
  <c r="F319" i="37"/>
  <c r="E319" i="37"/>
  <c r="D319" i="37"/>
  <c r="C319" i="37"/>
  <c r="B319" i="37"/>
  <c r="E407" i="40"/>
  <c r="D407" i="40"/>
  <c r="C407" i="40"/>
  <c r="B407" i="40"/>
  <c r="E406" i="40"/>
  <c r="D406" i="40"/>
  <c r="C406" i="40"/>
  <c r="B406" i="40"/>
  <c r="E405" i="40"/>
  <c r="D405" i="40"/>
  <c r="C405" i="40"/>
  <c r="B405" i="40"/>
  <c r="E404" i="40"/>
  <c r="D404" i="40"/>
  <c r="C404" i="40"/>
  <c r="B404" i="40"/>
  <c r="E403" i="40"/>
  <c r="D403" i="40"/>
  <c r="C403" i="40"/>
  <c r="B403" i="40"/>
  <c r="E402" i="40"/>
  <c r="D402" i="40"/>
  <c r="C402" i="40"/>
  <c r="B402" i="40"/>
  <c r="E401" i="40"/>
  <c r="D401" i="40"/>
  <c r="C401" i="40"/>
  <c r="B401" i="40"/>
  <c r="E400" i="40"/>
  <c r="D400" i="40"/>
  <c r="C400" i="40"/>
  <c r="B400" i="40"/>
  <c r="E399" i="40"/>
  <c r="D399" i="40"/>
  <c r="C399" i="40"/>
  <c r="B399" i="40"/>
  <c r="E398" i="40"/>
  <c r="D398" i="40"/>
  <c r="C398" i="40"/>
  <c r="B398" i="40"/>
  <c r="E397" i="40"/>
  <c r="D397" i="40"/>
  <c r="C397" i="40"/>
  <c r="B397" i="40"/>
  <c r="E396" i="40"/>
  <c r="D396" i="40"/>
  <c r="C396" i="40"/>
  <c r="B396" i="40"/>
  <c r="E395" i="40"/>
  <c r="D395" i="40"/>
  <c r="C395" i="40"/>
  <c r="B395" i="40"/>
  <c r="E394" i="40"/>
  <c r="D394" i="40"/>
  <c r="C394" i="40"/>
  <c r="B394" i="40"/>
  <c r="E393" i="40"/>
  <c r="D393" i="40"/>
  <c r="C393" i="40"/>
  <c r="B393" i="40"/>
  <c r="E392" i="40"/>
  <c r="D392" i="40"/>
  <c r="C392" i="40"/>
  <c r="B392" i="40"/>
  <c r="E391" i="40"/>
  <c r="D391" i="40"/>
  <c r="C391" i="40"/>
  <c r="B391" i="40"/>
  <c r="E390" i="40"/>
  <c r="D390" i="40"/>
  <c r="C390" i="40"/>
  <c r="B390" i="40"/>
  <c r="E389" i="40"/>
  <c r="D389" i="40"/>
  <c r="C389" i="40"/>
  <c r="B389" i="40"/>
  <c r="E388" i="40"/>
  <c r="D388" i="40"/>
  <c r="C388" i="40"/>
  <c r="B388" i="40"/>
  <c r="E387" i="40"/>
  <c r="D387" i="40"/>
  <c r="C387" i="40"/>
  <c r="B387" i="40"/>
  <c r="E386" i="40"/>
  <c r="D386" i="40"/>
  <c r="C386" i="40"/>
  <c r="B386" i="40"/>
  <c r="E385" i="40"/>
  <c r="D385" i="40"/>
  <c r="C385" i="40"/>
  <c r="B385" i="40"/>
  <c r="E384" i="40"/>
  <c r="D384" i="40"/>
  <c r="C384" i="40"/>
  <c r="B384" i="40"/>
  <c r="E383" i="40"/>
  <c r="D383" i="40"/>
  <c r="C383" i="40"/>
  <c r="B383" i="40"/>
  <c r="E382" i="40"/>
  <c r="D382" i="40"/>
  <c r="C382" i="40"/>
  <c r="B382" i="40"/>
  <c r="E381" i="40"/>
  <c r="D381" i="40"/>
  <c r="C381" i="40"/>
  <c r="B381" i="40"/>
  <c r="E380" i="40"/>
  <c r="D380" i="40"/>
  <c r="C380" i="40"/>
  <c r="B380" i="40"/>
  <c r="E379" i="40"/>
  <c r="D379" i="40"/>
  <c r="C379" i="40"/>
  <c r="B379" i="40"/>
  <c r="E378" i="40"/>
  <c r="D378" i="40"/>
  <c r="C378" i="40"/>
  <c r="B378" i="40"/>
  <c r="E377" i="40"/>
  <c r="D377" i="40"/>
  <c r="C377" i="40"/>
  <c r="B377" i="40"/>
  <c r="E376" i="40"/>
  <c r="D376" i="40"/>
  <c r="C376" i="40"/>
  <c r="B376" i="40"/>
  <c r="E375" i="40"/>
  <c r="D375" i="40"/>
  <c r="C375" i="40"/>
  <c r="B375" i="40"/>
  <c r="E374" i="40"/>
  <c r="D374" i="40"/>
  <c r="C374" i="40"/>
  <c r="B374" i="40"/>
  <c r="E373" i="40"/>
  <c r="D373" i="40"/>
  <c r="C373" i="40"/>
  <c r="B373" i="40"/>
  <c r="E372" i="40"/>
  <c r="D372" i="40"/>
  <c r="C372" i="40"/>
  <c r="B372" i="40"/>
  <c r="E371" i="40"/>
  <c r="D371" i="40"/>
  <c r="C371" i="40"/>
  <c r="B371" i="40"/>
  <c r="E370" i="40"/>
  <c r="D370" i="40"/>
  <c r="C370" i="40"/>
  <c r="B370" i="40"/>
  <c r="E369" i="40"/>
  <c r="D369" i="40"/>
  <c r="C369" i="40"/>
  <c r="B369" i="40"/>
  <c r="E368" i="40"/>
  <c r="D368" i="40"/>
  <c r="C368" i="40"/>
  <c r="B368" i="40"/>
  <c r="E367" i="40"/>
  <c r="D367" i="40"/>
  <c r="C367" i="40"/>
  <c r="B367" i="40"/>
  <c r="E366" i="40"/>
  <c r="D366" i="40"/>
  <c r="C366" i="40"/>
  <c r="B366" i="40"/>
  <c r="E365" i="40"/>
  <c r="D365" i="40"/>
  <c r="C365" i="40"/>
  <c r="B365" i="40"/>
  <c r="E364" i="40"/>
  <c r="D364" i="40"/>
  <c r="C364" i="40"/>
  <c r="B364" i="40"/>
  <c r="E363" i="40"/>
  <c r="D363" i="40"/>
  <c r="C363" i="40"/>
  <c r="B363" i="40"/>
  <c r="E362" i="40"/>
  <c r="D362" i="40"/>
  <c r="C362" i="40"/>
  <c r="B362" i="40"/>
  <c r="E361" i="40"/>
  <c r="D361" i="40"/>
  <c r="C361" i="40"/>
  <c r="B361" i="40"/>
  <c r="E360" i="40"/>
  <c r="D360" i="40"/>
  <c r="C360" i="40"/>
  <c r="B360" i="40"/>
  <c r="E359" i="40"/>
  <c r="D359" i="40"/>
  <c r="C359" i="40"/>
  <c r="B359" i="40"/>
  <c r="E358" i="40"/>
  <c r="D358" i="40"/>
  <c r="C358" i="40"/>
  <c r="B358" i="40"/>
  <c r="E357" i="40"/>
  <c r="D357" i="40"/>
  <c r="C357" i="40"/>
  <c r="B357" i="40"/>
  <c r="E356" i="40"/>
  <c r="D356" i="40"/>
  <c r="C356" i="40"/>
  <c r="B356" i="40"/>
  <c r="E355" i="40"/>
  <c r="D355" i="40"/>
  <c r="C355" i="40"/>
  <c r="B355" i="40"/>
  <c r="E354" i="40"/>
  <c r="D354" i="40"/>
  <c r="C354" i="40"/>
  <c r="B354" i="40"/>
  <c r="E353" i="40"/>
  <c r="D353" i="40"/>
  <c r="C353" i="40"/>
  <c r="B353" i="40"/>
  <c r="E352" i="40"/>
  <c r="D352" i="40"/>
  <c r="C352" i="40"/>
  <c r="B352" i="40"/>
  <c r="E351" i="40"/>
  <c r="D351" i="40"/>
  <c r="C351" i="40"/>
  <c r="B351" i="40"/>
  <c r="E350" i="40"/>
  <c r="D350" i="40"/>
  <c r="C350" i="40"/>
  <c r="B350" i="40"/>
  <c r="E349" i="40"/>
  <c r="D349" i="40"/>
  <c r="C349" i="40"/>
  <c r="B349" i="40"/>
  <c r="E348" i="40"/>
  <c r="D348" i="40"/>
  <c r="C348" i="40"/>
  <c r="B348" i="40"/>
  <c r="E347" i="40"/>
  <c r="D347" i="40"/>
  <c r="C347" i="40"/>
  <c r="B347" i="40"/>
  <c r="E346" i="40"/>
  <c r="D346" i="40"/>
  <c r="C346" i="40"/>
  <c r="B346" i="40"/>
  <c r="E345" i="40"/>
  <c r="D345" i="40"/>
  <c r="C345" i="40"/>
  <c r="B345" i="40"/>
  <c r="E344" i="40"/>
  <c r="D344" i="40"/>
  <c r="C344" i="40"/>
  <c r="B344" i="40"/>
  <c r="E343" i="40"/>
  <c r="D343" i="40"/>
  <c r="C343" i="40"/>
  <c r="B343" i="40"/>
  <c r="E342" i="40"/>
  <c r="D342" i="40"/>
  <c r="C342" i="40"/>
  <c r="B342" i="40"/>
  <c r="E341" i="40"/>
  <c r="D341" i="40"/>
  <c r="C341" i="40"/>
  <c r="B341" i="40"/>
  <c r="E340" i="40"/>
  <c r="D340" i="40"/>
  <c r="C340" i="40"/>
  <c r="B340" i="40"/>
  <c r="E339" i="40"/>
  <c r="D339" i="40"/>
  <c r="C339" i="40"/>
  <c r="B339" i="40"/>
  <c r="E338" i="40"/>
  <c r="D338" i="40"/>
  <c r="C338" i="40"/>
  <c r="B338" i="40"/>
  <c r="E337" i="40"/>
  <c r="D337" i="40"/>
  <c r="C337" i="40"/>
  <c r="B337" i="40"/>
  <c r="E336" i="40"/>
  <c r="D336" i="40"/>
  <c r="C336" i="40"/>
  <c r="B336" i="40"/>
  <c r="E335" i="40"/>
  <c r="D335" i="40"/>
  <c r="C335" i="40"/>
  <c r="B335" i="40"/>
  <c r="E334" i="40"/>
  <c r="D334" i="40"/>
  <c r="C334" i="40"/>
  <c r="B334" i="40"/>
  <c r="E333" i="40"/>
  <c r="D333" i="40"/>
  <c r="C333" i="40"/>
  <c r="B333" i="40"/>
  <c r="E332" i="40"/>
  <c r="D332" i="40"/>
  <c r="C332" i="40"/>
  <c r="B332" i="40"/>
  <c r="E331" i="40"/>
  <c r="D331" i="40"/>
  <c r="C331" i="40"/>
  <c r="B331" i="40"/>
  <c r="E330" i="40"/>
  <c r="D330" i="40"/>
  <c r="C330" i="40"/>
  <c r="B330" i="40"/>
  <c r="E329" i="40"/>
  <c r="D329" i="40"/>
  <c r="C329" i="40"/>
  <c r="B329" i="40"/>
  <c r="E328" i="40"/>
  <c r="D328" i="40"/>
  <c r="C328" i="40"/>
  <c r="B328" i="40"/>
  <c r="E327" i="40"/>
  <c r="D327" i="40"/>
  <c r="C327" i="40"/>
  <c r="B327" i="40"/>
  <c r="E326" i="40"/>
  <c r="D326" i="40"/>
  <c r="C326" i="40"/>
  <c r="B326" i="40"/>
  <c r="E325" i="40"/>
  <c r="D325" i="40"/>
  <c r="C325" i="40"/>
  <c r="B325" i="40"/>
  <c r="E324" i="40"/>
  <c r="D324" i="40"/>
  <c r="C324" i="40"/>
  <c r="B324" i="40"/>
  <c r="E323" i="40"/>
  <c r="D323" i="40"/>
  <c r="C323" i="40"/>
  <c r="B323" i="40"/>
  <c r="E322" i="40"/>
  <c r="D322" i="40"/>
  <c r="C322" i="40"/>
  <c r="B322" i="40"/>
  <c r="E321" i="40"/>
  <c r="D321" i="40"/>
  <c r="C321" i="40"/>
  <c r="B321" i="40"/>
  <c r="E320" i="40"/>
  <c r="D320" i="40"/>
  <c r="C320" i="40"/>
  <c r="B320" i="40"/>
  <c r="E319" i="40"/>
  <c r="D319" i="40"/>
  <c r="C319" i="40"/>
  <c r="B319" i="40"/>
  <c r="E318" i="40"/>
  <c r="D318" i="40"/>
  <c r="C318" i="40"/>
  <c r="B318" i="40"/>
  <c r="E317" i="40"/>
  <c r="D317" i="40"/>
  <c r="C317" i="40"/>
  <c r="B317" i="40"/>
  <c r="E407" i="41"/>
  <c r="D407" i="41"/>
  <c r="C407" i="41"/>
  <c r="B407" i="41"/>
  <c r="E406" i="41"/>
  <c r="D406" i="41"/>
  <c r="C406" i="41"/>
  <c r="B406" i="41"/>
  <c r="E405" i="41"/>
  <c r="D405" i="41"/>
  <c r="C405" i="41"/>
  <c r="B405" i="41"/>
  <c r="E404" i="41"/>
  <c r="D404" i="41"/>
  <c r="C404" i="41"/>
  <c r="B404" i="41"/>
  <c r="E403" i="41"/>
  <c r="D403" i="41"/>
  <c r="C403" i="41"/>
  <c r="B403" i="41"/>
  <c r="E402" i="41"/>
  <c r="D402" i="41"/>
  <c r="C402" i="41"/>
  <c r="B402" i="41"/>
  <c r="E401" i="41"/>
  <c r="D401" i="41"/>
  <c r="C401" i="41"/>
  <c r="B401" i="41"/>
  <c r="E400" i="41"/>
  <c r="D400" i="41"/>
  <c r="C400" i="41"/>
  <c r="B400" i="41"/>
  <c r="E399" i="41"/>
  <c r="D399" i="41"/>
  <c r="C399" i="41"/>
  <c r="B399" i="41"/>
  <c r="E398" i="41"/>
  <c r="D398" i="41"/>
  <c r="C398" i="41"/>
  <c r="B398" i="41"/>
  <c r="E397" i="41"/>
  <c r="D397" i="41"/>
  <c r="C397" i="41"/>
  <c r="B397" i="41"/>
  <c r="E396" i="41"/>
  <c r="D396" i="41"/>
  <c r="C396" i="41"/>
  <c r="B396" i="41"/>
  <c r="E395" i="41"/>
  <c r="D395" i="41"/>
  <c r="C395" i="41"/>
  <c r="B395" i="41"/>
  <c r="E394" i="41"/>
  <c r="D394" i="41"/>
  <c r="C394" i="41"/>
  <c r="B394" i="41"/>
  <c r="E393" i="41"/>
  <c r="D393" i="41"/>
  <c r="C393" i="41"/>
  <c r="B393" i="41"/>
  <c r="E392" i="41"/>
  <c r="D392" i="41"/>
  <c r="C392" i="41"/>
  <c r="B392" i="41"/>
  <c r="E391" i="41"/>
  <c r="D391" i="41"/>
  <c r="C391" i="41"/>
  <c r="B391" i="41"/>
  <c r="E390" i="41"/>
  <c r="D390" i="41"/>
  <c r="C390" i="41"/>
  <c r="B390" i="41"/>
  <c r="E389" i="41"/>
  <c r="D389" i="41"/>
  <c r="C389" i="41"/>
  <c r="B389" i="41"/>
  <c r="E388" i="41"/>
  <c r="D388" i="41"/>
  <c r="C388" i="41"/>
  <c r="B388" i="41"/>
  <c r="E387" i="41"/>
  <c r="D387" i="41"/>
  <c r="C387" i="41"/>
  <c r="B387" i="41"/>
  <c r="E386" i="41"/>
  <c r="D386" i="41"/>
  <c r="C386" i="41"/>
  <c r="B386" i="41"/>
  <c r="E385" i="41"/>
  <c r="D385" i="41"/>
  <c r="C385" i="41"/>
  <c r="B385" i="41"/>
  <c r="E384" i="41"/>
  <c r="D384" i="41"/>
  <c r="C384" i="41"/>
  <c r="B384" i="41"/>
  <c r="E383" i="41"/>
  <c r="D383" i="41"/>
  <c r="C383" i="41"/>
  <c r="B383" i="41"/>
  <c r="E382" i="41"/>
  <c r="D382" i="41"/>
  <c r="C382" i="41"/>
  <c r="B382" i="41"/>
  <c r="E381" i="41"/>
  <c r="D381" i="41"/>
  <c r="C381" i="41"/>
  <c r="B381" i="41"/>
  <c r="E380" i="41"/>
  <c r="D380" i="41"/>
  <c r="C380" i="41"/>
  <c r="B380" i="41"/>
  <c r="E379" i="41"/>
  <c r="D379" i="41"/>
  <c r="C379" i="41"/>
  <c r="B379" i="41"/>
  <c r="E378" i="41"/>
  <c r="D378" i="41"/>
  <c r="C378" i="41"/>
  <c r="B378" i="41"/>
  <c r="E377" i="41"/>
  <c r="D377" i="41"/>
  <c r="C377" i="41"/>
  <c r="B377" i="41"/>
  <c r="E376" i="41"/>
  <c r="D376" i="41"/>
  <c r="C376" i="41"/>
  <c r="B376" i="41"/>
  <c r="E375" i="41"/>
  <c r="D375" i="41"/>
  <c r="C375" i="41"/>
  <c r="B375" i="41"/>
  <c r="E374" i="41"/>
  <c r="D374" i="41"/>
  <c r="C374" i="41"/>
  <c r="B374" i="41"/>
  <c r="E373" i="41"/>
  <c r="D373" i="41"/>
  <c r="C373" i="41"/>
  <c r="B373" i="41"/>
  <c r="E372" i="41"/>
  <c r="D372" i="41"/>
  <c r="C372" i="41"/>
  <c r="B372" i="41"/>
  <c r="E371" i="41"/>
  <c r="D371" i="41"/>
  <c r="C371" i="41"/>
  <c r="B371" i="41"/>
  <c r="E370" i="41"/>
  <c r="D370" i="41"/>
  <c r="C370" i="41"/>
  <c r="B370" i="41"/>
  <c r="E369" i="41"/>
  <c r="D369" i="41"/>
  <c r="C369" i="41"/>
  <c r="B369" i="41"/>
  <c r="E368" i="41"/>
  <c r="D368" i="41"/>
  <c r="C368" i="41"/>
  <c r="B368" i="41"/>
  <c r="E367" i="41"/>
  <c r="D367" i="41"/>
  <c r="C367" i="41"/>
  <c r="B367" i="41"/>
  <c r="E366" i="41"/>
  <c r="D366" i="41"/>
  <c r="C366" i="41"/>
  <c r="B366" i="41"/>
  <c r="E365" i="41"/>
  <c r="D365" i="41"/>
  <c r="C365" i="41"/>
  <c r="B365" i="41"/>
  <c r="E364" i="41"/>
  <c r="D364" i="41"/>
  <c r="C364" i="41"/>
  <c r="B364" i="41"/>
  <c r="E363" i="41"/>
  <c r="D363" i="41"/>
  <c r="C363" i="41"/>
  <c r="B363" i="41"/>
  <c r="E362" i="41"/>
  <c r="D362" i="41"/>
  <c r="C362" i="41"/>
  <c r="B362" i="41"/>
  <c r="E361" i="41"/>
  <c r="D361" i="41"/>
  <c r="C361" i="41"/>
  <c r="B361" i="41"/>
  <c r="E360" i="41"/>
  <c r="D360" i="41"/>
  <c r="C360" i="41"/>
  <c r="B360" i="41"/>
  <c r="E359" i="41"/>
  <c r="D359" i="41"/>
  <c r="C359" i="41"/>
  <c r="B359" i="41"/>
  <c r="E358" i="41"/>
  <c r="D358" i="41"/>
  <c r="C358" i="41"/>
  <c r="B358" i="41"/>
  <c r="E357" i="41"/>
  <c r="D357" i="41"/>
  <c r="C357" i="41"/>
  <c r="B357" i="41"/>
  <c r="E356" i="41"/>
  <c r="D356" i="41"/>
  <c r="C356" i="41"/>
  <c r="B356" i="41"/>
  <c r="E355" i="41"/>
  <c r="D355" i="41"/>
  <c r="C355" i="41"/>
  <c r="B355" i="41"/>
  <c r="E354" i="41"/>
  <c r="D354" i="41"/>
  <c r="C354" i="41"/>
  <c r="B354" i="41"/>
  <c r="E353" i="41"/>
  <c r="D353" i="41"/>
  <c r="C353" i="41"/>
  <c r="B353" i="41"/>
  <c r="E352" i="41"/>
  <c r="D352" i="41"/>
  <c r="C352" i="41"/>
  <c r="B352" i="41"/>
  <c r="E351" i="41"/>
  <c r="D351" i="41"/>
  <c r="C351" i="41"/>
  <c r="B351" i="41"/>
  <c r="E350" i="41"/>
  <c r="D350" i="41"/>
  <c r="C350" i="41"/>
  <c r="B350" i="41"/>
  <c r="E349" i="41"/>
  <c r="D349" i="41"/>
  <c r="C349" i="41"/>
  <c r="B349" i="41"/>
  <c r="E348" i="41"/>
  <c r="D348" i="41"/>
  <c r="C348" i="41"/>
  <c r="B348" i="41"/>
  <c r="E347" i="41"/>
  <c r="D347" i="41"/>
  <c r="C347" i="41"/>
  <c r="B347" i="41"/>
  <c r="E346" i="41"/>
  <c r="D346" i="41"/>
  <c r="C346" i="41"/>
  <c r="B346" i="41"/>
  <c r="E345" i="41"/>
  <c r="D345" i="41"/>
  <c r="C345" i="41"/>
  <c r="B345" i="41"/>
  <c r="E344" i="41"/>
  <c r="D344" i="41"/>
  <c r="C344" i="41"/>
  <c r="B344" i="41"/>
  <c r="E343" i="41"/>
  <c r="D343" i="41"/>
  <c r="C343" i="41"/>
  <c r="B343" i="41"/>
  <c r="E342" i="41"/>
  <c r="D342" i="41"/>
  <c r="C342" i="41"/>
  <c r="B342" i="41"/>
  <c r="E341" i="41"/>
  <c r="D341" i="41"/>
  <c r="C341" i="41"/>
  <c r="B341" i="41"/>
  <c r="E340" i="41"/>
  <c r="D340" i="41"/>
  <c r="C340" i="41"/>
  <c r="B340" i="41"/>
  <c r="E339" i="41"/>
  <c r="D339" i="41"/>
  <c r="C339" i="41"/>
  <c r="B339" i="41"/>
  <c r="E338" i="41"/>
  <c r="D338" i="41"/>
  <c r="C338" i="41"/>
  <c r="B338" i="41"/>
  <c r="E337" i="41"/>
  <c r="D337" i="41"/>
  <c r="C337" i="41"/>
  <c r="B337" i="41"/>
  <c r="E336" i="41"/>
  <c r="D336" i="41"/>
  <c r="C336" i="41"/>
  <c r="B336" i="41"/>
  <c r="E335" i="41"/>
  <c r="D335" i="41"/>
  <c r="C335" i="41"/>
  <c r="B335" i="41"/>
  <c r="E334" i="41"/>
  <c r="D334" i="41"/>
  <c r="C334" i="41"/>
  <c r="B334" i="41"/>
  <c r="E333" i="41"/>
  <c r="D333" i="41"/>
  <c r="C333" i="41"/>
  <c r="B333" i="41"/>
  <c r="E332" i="41"/>
  <c r="D332" i="41"/>
  <c r="C332" i="41"/>
  <c r="B332" i="41"/>
  <c r="E331" i="41"/>
  <c r="D331" i="41"/>
  <c r="C331" i="41"/>
  <c r="B331" i="41"/>
  <c r="E330" i="41"/>
  <c r="D330" i="41"/>
  <c r="C330" i="41"/>
  <c r="B330" i="41"/>
  <c r="E329" i="41"/>
  <c r="D329" i="41"/>
  <c r="C329" i="41"/>
  <c r="B329" i="41"/>
  <c r="E328" i="41"/>
  <c r="D328" i="41"/>
  <c r="C328" i="41"/>
  <c r="B328" i="41"/>
  <c r="E327" i="41"/>
  <c r="D327" i="41"/>
  <c r="C327" i="41"/>
  <c r="B327" i="41"/>
  <c r="E326" i="41"/>
  <c r="D326" i="41"/>
  <c r="C326" i="41"/>
  <c r="B326" i="41"/>
  <c r="E325" i="41"/>
  <c r="D325" i="41"/>
  <c r="C325" i="41"/>
  <c r="B325" i="41"/>
  <c r="E324" i="41"/>
  <c r="D324" i="41"/>
  <c r="C324" i="41"/>
  <c r="B324" i="41"/>
  <c r="G323" i="41"/>
  <c r="F323" i="41"/>
  <c r="E323" i="41"/>
  <c r="D323" i="41"/>
  <c r="C323" i="41"/>
  <c r="B323" i="41"/>
  <c r="E322" i="41"/>
  <c r="D322" i="41"/>
  <c r="C322" i="41"/>
  <c r="B322" i="41"/>
  <c r="E321" i="41"/>
  <c r="D321" i="41"/>
  <c r="C321" i="41"/>
  <c r="B321" i="41"/>
  <c r="E320" i="41"/>
  <c r="D320" i="41"/>
  <c r="C320" i="41"/>
  <c r="B320" i="41"/>
  <c r="E319" i="41"/>
  <c r="D319" i="41"/>
  <c r="C319" i="41"/>
  <c r="B319" i="41"/>
  <c r="E318" i="41"/>
  <c r="D318" i="41"/>
  <c r="C318" i="41"/>
  <c r="B318" i="41"/>
  <c r="G317" i="41"/>
  <c r="F317" i="41"/>
  <c r="E317" i="41"/>
  <c r="D317" i="41"/>
  <c r="C317" i="41"/>
  <c r="B317" i="41"/>
  <c r="J392" i="42"/>
  <c r="H392" i="42"/>
  <c r="D392" i="42"/>
  <c r="C392" i="42"/>
  <c r="J391" i="42"/>
  <c r="H391" i="42"/>
  <c r="D391" i="42"/>
  <c r="C391" i="42"/>
  <c r="J390" i="42"/>
  <c r="H390" i="42"/>
  <c r="D390" i="42"/>
  <c r="C390" i="42"/>
  <c r="J389" i="42"/>
  <c r="H389" i="42"/>
  <c r="D389" i="42"/>
  <c r="C389" i="42"/>
  <c r="J388" i="42"/>
  <c r="H388" i="42"/>
  <c r="D388" i="42"/>
  <c r="C388" i="42"/>
  <c r="J387" i="42"/>
  <c r="H387" i="42"/>
  <c r="D387" i="42"/>
  <c r="C387" i="42"/>
  <c r="J386" i="42"/>
  <c r="H386" i="42"/>
  <c r="D386" i="42"/>
  <c r="C386" i="42"/>
  <c r="J385" i="42"/>
  <c r="H385" i="42"/>
  <c r="D385" i="42"/>
  <c r="C385" i="42"/>
  <c r="J384" i="42"/>
  <c r="H384" i="42"/>
  <c r="D384" i="42"/>
  <c r="C384" i="42"/>
  <c r="J383" i="42"/>
  <c r="H383" i="42"/>
  <c r="D383" i="42"/>
  <c r="C383" i="42"/>
  <c r="J382" i="42"/>
  <c r="H382" i="42"/>
  <c r="D382" i="42"/>
  <c r="C382" i="42"/>
  <c r="J381" i="42"/>
  <c r="H381" i="42"/>
  <c r="D381" i="42"/>
  <c r="C381" i="42"/>
  <c r="J380" i="42"/>
  <c r="H380" i="42"/>
  <c r="D380" i="42"/>
  <c r="C380" i="42"/>
  <c r="J379" i="42"/>
  <c r="H379" i="42"/>
  <c r="D379" i="42"/>
  <c r="C379" i="42"/>
  <c r="J378" i="42"/>
  <c r="H378" i="42"/>
  <c r="D378" i="42"/>
  <c r="C378" i="42"/>
  <c r="J377" i="42"/>
  <c r="H377" i="42"/>
  <c r="D377" i="42"/>
  <c r="C377" i="42"/>
  <c r="J376" i="42"/>
  <c r="H376" i="42"/>
  <c r="D376" i="42"/>
  <c r="C376" i="42"/>
  <c r="J375" i="42"/>
  <c r="H375" i="42"/>
  <c r="D375" i="42"/>
  <c r="C375" i="42"/>
  <c r="J374" i="42"/>
  <c r="H374" i="42"/>
  <c r="D374" i="42"/>
  <c r="C374" i="42"/>
  <c r="H373" i="42"/>
  <c r="D373" i="42"/>
  <c r="C373" i="42"/>
  <c r="J372" i="42"/>
  <c r="H372" i="42"/>
  <c r="D372" i="42"/>
  <c r="C372" i="42"/>
  <c r="J371" i="42"/>
  <c r="H371" i="42"/>
  <c r="D371" i="42"/>
  <c r="C371" i="42"/>
  <c r="J370" i="42"/>
  <c r="H370" i="42"/>
  <c r="D370" i="42"/>
  <c r="C370" i="42"/>
  <c r="J369" i="42"/>
  <c r="H369" i="42"/>
  <c r="D369" i="42"/>
  <c r="C369" i="42"/>
  <c r="J368" i="42"/>
  <c r="H368" i="42"/>
  <c r="D368" i="42"/>
  <c r="C368" i="42"/>
  <c r="J367" i="42"/>
  <c r="H367" i="42"/>
  <c r="D367" i="42"/>
  <c r="C367" i="42"/>
  <c r="J366" i="42"/>
  <c r="H366" i="42"/>
  <c r="D366" i="42"/>
  <c r="C366" i="42"/>
  <c r="J365" i="42"/>
  <c r="H365" i="42"/>
  <c r="D365" i="42"/>
  <c r="C365" i="42"/>
  <c r="J364" i="42"/>
  <c r="H364" i="42"/>
  <c r="D364" i="42"/>
  <c r="C364" i="42"/>
  <c r="J363" i="42"/>
  <c r="H363" i="42"/>
  <c r="D363" i="42"/>
  <c r="C363" i="42"/>
  <c r="J362" i="42"/>
  <c r="H362" i="42"/>
  <c r="D362" i="42"/>
  <c r="C362" i="42"/>
  <c r="J361" i="42"/>
  <c r="H361" i="42"/>
  <c r="D361" i="42"/>
  <c r="C361" i="42"/>
  <c r="J360" i="42"/>
  <c r="H360" i="42"/>
  <c r="D360" i="42"/>
  <c r="C360" i="42"/>
  <c r="J359" i="42"/>
  <c r="H359" i="42"/>
  <c r="D359" i="42"/>
  <c r="C359" i="42"/>
  <c r="J358" i="42"/>
  <c r="H358" i="42"/>
  <c r="D358" i="42"/>
  <c r="C358" i="42"/>
  <c r="J357" i="42"/>
  <c r="H357" i="42"/>
  <c r="D357" i="42"/>
  <c r="C357" i="42"/>
  <c r="J356" i="42"/>
  <c r="H356" i="42"/>
  <c r="D356" i="42"/>
  <c r="C356" i="42"/>
  <c r="L355" i="42"/>
  <c r="J355" i="42"/>
  <c r="H355" i="42"/>
  <c r="D355" i="42"/>
  <c r="C355" i="42"/>
  <c r="J354" i="42"/>
  <c r="H354" i="42"/>
  <c r="D354" i="42"/>
  <c r="C354" i="42"/>
  <c r="J353" i="42"/>
  <c r="H353" i="42"/>
  <c r="D353" i="42"/>
  <c r="C353" i="42"/>
  <c r="J352" i="42"/>
  <c r="H352" i="42"/>
  <c r="D352" i="42"/>
  <c r="C352" i="42"/>
  <c r="J351" i="42"/>
  <c r="H351" i="42"/>
  <c r="D351" i="42"/>
  <c r="C351" i="42"/>
  <c r="J350" i="42"/>
  <c r="H350" i="42"/>
  <c r="D350" i="42"/>
  <c r="C350" i="42"/>
  <c r="J349" i="42"/>
  <c r="H349" i="42"/>
  <c r="D349" i="42"/>
  <c r="C349" i="42"/>
  <c r="J348" i="42"/>
  <c r="H348" i="42"/>
  <c r="D348" i="42"/>
  <c r="C348" i="42"/>
  <c r="J347" i="42"/>
  <c r="H347" i="42"/>
  <c r="D347" i="42"/>
  <c r="C347" i="42"/>
  <c r="J346" i="42"/>
  <c r="H346" i="42"/>
  <c r="D346" i="42"/>
  <c r="C346" i="42"/>
  <c r="J345" i="42"/>
  <c r="H345" i="42"/>
  <c r="D345" i="42"/>
  <c r="C345" i="42"/>
  <c r="J344" i="42"/>
  <c r="H344" i="42"/>
  <c r="D344" i="42"/>
  <c r="C344" i="42"/>
  <c r="J343" i="42"/>
  <c r="H343" i="42"/>
  <c r="D343" i="42"/>
  <c r="C343" i="42"/>
  <c r="J342" i="42"/>
  <c r="H342" i="42"/>
  <c r="D342" i="42"/>
  <c r="C342" i="42"/>
  <c r="J341" i="42"/>
  <c r="H341" i="42"/>
  <c r="D341" i="42"/>
  <c r="C341" i="42"/>
  <c r="J340" i="42"/>
  <c r="H340" i="42"/>
  <c r="D340" i="42"/>
  <c r="C340" i="42"/>
  <c r="J339" i="42"/>
  <c r="H339" i="42"/>
  <c r="D339" i="42"/>
  <c r="C339" i="42"/>
  <c r="J338" i="42"/>
  <c r="H338" i="42"/>
  <c r="D338" i="42"/>
  <c r="C338" i="42"/>
  <c r="J337" i="42"/>
  <c r="H337" i="42"/>
  <c r="D337" i="42"/>
  <c r="C337" i="42"/>
  <c r="J336" i="42"/>
  <c r="H336" i="42"/>
  <c r="D336" i="42"/>
  <c r="C336" i="42"/>
  <c r="J335" i="42"/>
  <c r="H335" i="42"/>
  <c r="D335" i="42"/>
  <c r="C335" i="42"/>
  <c r="J334" i="42"/>
  <c r="H334" i="42"/>
  <c r="D334" i="42"/>
  <c r="C334" i="42"/>
  <c r="J333" i="42"/>
  <c r="H333" i="42"/>
  <c r="D333" i="42"/>
  <c r="C333" i="42"/>
  <c r="J332" i="42"/>
  <c r="H332" i="42"/>
  <c r="D332" i="42"/>
  <c r="C332" i="42"/>
  <c r="J331" i="42"/>
  <c r="H331" i="42"/>
  <c r="D331" i="42"/>
  <c r="C331" i="42"/>
  <c r="J330" i="42"/>
  <c r="H330" i="42"/>
  <c r="D330" i="42"/>
  <c r="C330" i="42"/>
  <c r="J329" i="42"/>
  <c r="H329" i="42"/>
  <c r="D329" i="42"/>
  <c r="C329" i="42"/>
  <c r="J328" i="42"/>
  <c r="H328" i="42"/>
  <c r="D328" i="42"/>
  <c r="C328" i="42"/>
  <c r="J327" i="42"/>
  <c r="H327" i="42"/>
  <c r="D327" i="42"/>
  <c r="C327" i="42"/>
  <c r="J326" i="42"/>
  <c r="H326" i="42"/>
  <c r="D326" i="42"/>
  <c r="C326" i="42"/>
  <c r="J325" i="42"/>
  <c r="H325" i="42"/>
  <c r="D325" i="42"/>
  <c r="C325" i="42"/>
  <c r="J324" i="42"/>
  <c r="H324" i="42"/>
  <c r="D324" i="42"/>
  <c r="C324" i="42"/>
  <c r="J323" i="42"/>
  <c r="H323" i="42"/>
  <c r="D323" i="42"/>
  <c r="C323" i="42"/>
  <c r="J322" i="42"/>
  <c r="H322" i="42"/>
  <c r="D322" i="42"/>
  <c r="C322" i="42"/>
  <c r="J321" i="42"/>
  <c r="H321" i="42"/>
  <c r="D321" i="42"/>
  <c r="C321" i="42"/>
  <c r="J320" i="42"/>
  <c r="H320" i="42"/>
  <c r="D320" i="42"/>
  <c r="C320" i="42"/>
  <c r="J319" i="42"/>
  <c r="H319" i="42"/>
  <c r="D319" i="42"/>
  <c r="C319" i="42"/>
  <c r="J318" i="42"/>
  <c r="H318" i="42"/>
  <c r="D318" i="42"/>
  <c r="C318" i="42"/>
  <c r="J317" i="42"/>
  <c r="H317" i="42"/>
  <c r="D317" i="42"/>
  <c r="C317" i="42"/>
  <c r="J316" i="42"/>
  <c r="H316" i="42"/>
  <c r="D316" i="42"/>
  <c r="C316" i="42"/>
  <c r="J315" i="42"/>
  <c r="H315" i="42"/>
  <c r="D315" i="42"/>
  <c r="C315" i="42"/>
  <c r="J314" i="42"/>
  <c r="H314" i="42"/>
  <c r="D314" i="42"/>
  <c r="C314" i="42"/>
  <c r="J313" i="42"/>
  <c r="H313" i="42"/>
  <c r="D313" i="42"/>
  <c r="C313" i="42"/>
  <c r="J312" i="42"/>
  <c r="H312" i="42"/>
  <c r="D312" i="42"/>
  <c r="C312" i="42"/>
  <c r="J311" i="42"/>
  <c r="H311" i="42"/>
  <c r="D311" i="42"/>
  <c r="C311" i="42"/>
  <c r="J310" i="42"/>
  <c r="H310" i="42"/>
  <c r="D310" i="42"/>
  <c r="C310" i="42"/>
  <c r="J309" i="42"/>
  <c r="H309" i="42"/>
  <c r="D309" i="42"/>
  <c r="C309" i="42"/>
  <c r="J308" i="42"/>
  <c r="H308" i="42"/>
  <c r="D308" i="42"/>
  <c r="C308" i="42"/>
  <c r="J307" i="42"/>
  <c r="H307" i="42"/>
  <c r="D307" i="42"/>
  <c r="C307" i="42"/>
  <c r="J306" i="42"/>
  <c r="H306" i="42"/>
  <c r="D306" i="42"/>
  <c r="C306" i="42"/>
  <c r="J305" i="42"/>
  <c r="H305" i="42"/>
  <c r="D305" i="42"/>
  <c r="C305" i="42"/>
  <c r="J304" i="42"/>
  <c r="H304" i="42"/>
  <c r="D304" i="42"/>
  <c r="C304" i="42"/>
  <c r="J303" i="42"/>
  <c r="H303" i="42"/>
  <c r="D303" i="42"/>
  <c r="C303" i="42"/>
  <c r="J302" i="42"/>
  <c r="H302" i="42"/>
  <c r="D302" i="42"/>
  <c r="C302" i="42"/>
  <c r="G398" i="44"/>
  <c r="H398" i="44" s="1"/>
  <c r="C398" i="44"/>
  <c r="B398" i="44"/>
  <c r="G397" i="44"/>
  <c r="H397" i="44" s="1"/>
  <c r="C397" i="44"/>
  <c r="B397" i="44"/>
  <c r="G396" i="44"/>
  <c r="H396" i="44" s="1"/>
  <c r="C396" i="44"/>
  <c r="B396" i="44"/>
  <c r="G395" i="44"/>
  <c r="H395" i="44" s="1"/>
  <c r="C395" i="44"/>
  <c r="B395" i="44"/>
  <c r="G394" i="44"/>
  <c r="H394" i="44" s="1"/>
  <c r="C394" i="44"/>
  <c r="B394" i="44"/>
  <c r="G393" i="44"/>
  <c r="H393" i="44" s="1"/>
  <c r="C393" i="44"/>
  <c r="B393" i="44"/>
  <c r="G392" i="44"/>
  <c r="H392" i="44" s="1"/>
  <c r="C392" i="44"/>
  <c r="B392" i="44"/>
  <c r="G391" i="44"/>
  <c r="H391" i="44" s="1"/>
  <c r="C391" i="44"/>
  <c r="B391" i="44"/>
  <c r="G390" i="44"/>
  <c r="H390" i="44" s="1"/>
  <c r="C390" i="44"/>
  <c r="B390" i="44"/>
  <c r="G389" i="44"/>
  <c r="H389" i="44" s="1"/>
  <c r="C389" i="44"/>
  <c r="B389" i="44"/>
  <c r="G388" i="44"/>
  <c r="H388" i="44" s="1"/>
  <c r="C388" i="44"/>
  <c r="B388" i="44"/>
  <c r="G387" i="44"/>
  <c r="H387" i="44" s="1"/>
  <c r="C387" i="44"/>
  <c r="B387" i="44"/>
  <c r="G386" i="44"/>
  <c r="H386" i="44" s="1"/>
  <c r="C386" i="44"/>
  <c r="B386" i="44"/>
  <c r="G385" i="44"/>
  <c r="H385" i="44" s="1"/>
  <c r="C385" i="44"/>
  <c r="B385" i="44"/>
  <c r="G384" i="44"/>
  <c r="H384" i="44" s="1"/>
  <c r="C384" i="44"/>
  <c r="B384" i="44"/>
  <c r="G383" i="44"/>
  <c r="H383" i="44" s="1"/>
  <c r="C383" i="44"/>
  <c r="B383" i="44"/>
  <c r="G382" i="44"/>
  <c r="H382" i="44" s="1"/>
  <c r="C382" i="44"/>
  <c r="B382" i="44"/>
  <c r="G381" i="44"/>
  <c r="H381" i="44" s="1"/>
  <c r="C381" i="44"/>
  <c r="B381" i="44"/>
  <c r="G380" i="44"/>
  <c r="H380" i="44" s="1"/>
  <c r="C380" i="44"/>
  <c r="B380" i="44"/>
  <c r="G379" i="44"/>
  <c r="H379" i="44" s="1"/>
  <c r="C379" i="44"/>
  <c r="B379" i="44"/>
  <c r="G378" i="44"/>
  <c r="H378" i="44" s="1"/>
  <c r="C378" i="44"/>
  <c r="B378" i="44"/>
  <c r="G377" i="44"/>
  <c r="H377" i="44" s="1"/>
  <c r="C377" i="44"/>
  <c r="B377" i="44"/>
  <c r="G376" i="44"/>
  <c r="H376" i="44" s="1"/>
  <c r="C376" i="44"/>
  <c r="B376" i="44"/>
  <c r="G375" i="44"/>
  <c r="H375" i="44" s="1"/>
  <c r="C375" i="44"/>
  <c r="B375" i="44"/>
  <c r="G374" i="44"/>
  <c r="H374" i="44" s="1"/>
  <c r="C374" i="44"/>
  <c r="B374" i="44"/>
  <c r="G373" i="44"/>
  <c r="H373" i="44" s="1"/>
  <c r="C373" i="44"/>
  <c r="B373" i="44"/>
  <c r="G372" i="44"/>
  <c r="H372" i="44" s="1"/>
  <c r="C372" i="44"/>
  <c r="B372" i="44"/>
  <c r="G371" i="44"/>
  <c r="H371" i="44" s="1"/>
  <c r="C371" i="44"/>
  <c r="B371" i="44"/>
  <c r="G370" i="44"/>
  <c r="H370" i="44" s="1"/>
  <c r="C370" i="44"/>
  <c r="B370" i="44"/>
  <c r="G369" i="44"/>
  <c r="H369" i="44" s="1"/>
  <c r="C369" i="44"/>
  <c r="B369" i="44"/>
  <c r="G368" i="44"/>
  <c r="H368" i="44" s="1"/>
  <c r="C368" i="44"/>
  <c r="B368" i="44"/>
  <c r="G367" i="44"/>
  <c r="H367" i="44" s="1"/>
  <c r="C367" i="44"/>
  <c r="B367" i="44"/>
  <c r="G366" i="44"/>
  <c r="H366" i="44" s="1"/>
  <c r="C366" i="44"/>
  <c r="B366" i="44"/>
  <c r="G365" i="44"/>
  <c r="H365" i="44" s="1"/>
  <c r="C365" i="44"/>
  <c r="B365" i="44"/>
  <c r="G364" i="44"/>
  <c r="H364" i="44" s="1"/>
  <c r="C364" i="44"/>
  <c r="B364" i="44"/>
  <c r="G363" i="44"/>
  <c r="H363" i="44" s="1"/>
  <c r="C363" i="44"/>
  <c r="B363" i="44"/>
  <c r="G362" i="44"/>
  <c r="H362" i="44" s="1"/>
  <c r="C362" i="44"/>
  <c r="B362" i="44"/>
  <c r="G361" i="44"/>
  <c r="H361" i="44" s="1"/>
  <c r="C361" i="44"/>
  <c r="B361" i="44"/>
  <c r="G360" i="44"/>
  <c r="H360" i="44" s="1"/>
  <c r="C360" i="44"/>
  <c r="B360" i="44"/>
  <c r="G359" i="44"/>
  <c r="H359" i="44" s="1"/>
  <c r="C359" i="44"/>
  <c r="B359" i="44"/>
  <c r="G358" i="44"/>
  <c r="H358" i="44" s="1"/>
  <c r="C358" i="44"/>
  <c r="B358" i="44"/>
  <c r="G357" i="44"/>
  <c r="H357" i="44" s="1"/>
  <c r="C357" i="44"/>
  <c r="B357" i="44"/>
  <c r="G356" i="44"/>
  <c r="H356" i="44" s="1"/>
  <c r="C356" i="44"/>
  <c r="B356" i="44"/>
  <c r="G355" i="44"/>
  <c r="H355" i="44" s="1"/>
  <c r="C355" i="44"/>
  <c r="B355" i="44"/>
  <c r="G354" i="44"/>
  <c r="H354" i="44" s="1"/>
  <c r="C354" i="44"/>
  <c r="B354" i="44"/>
  <c r="G353" i="44"/>
  <c r="H353" i="44" s="1"/>
  <c r="C353" i="44"/>
  <c r="B353" i="44"/>
  <c r="G352" i="44"/>
  <c r="H352" i="44" s="1"/>
  <c r="C352" i="44"/>
  <c r="B352" i="44"/>
  <c r="G351" i="44"/>
  <c r="H351" i="44" s="1"/>
  <c r="C351" i="44"/>
  <c r="B351" i="44"/>
  <c r="G350" i="44"/>
  <c r="H350" i="44" s="1"/>
  <c r="C350" i="44"/>
  <c r="B350" i="44"/>
  <c r="G349" i="44"/>
  <c r="H349" i="44" s="1"/>
  <c r="C349" i="44"/>
  <c r="B349" i="44"/>
  <c r="G348" i="44"/>
  <c r="H348" i="44" s="1"/>
  <c r="C348" i="44"/>
  <c r="B348" i="44"/>
  <c r="G347" i="44"/>
  <c r="H347" i="44" s="1"/>
  <c r="C347" i="44"/>
  <c r="B347" i="44"/>
  <c r="G346" i="44"/>
  <c r="H346" i="44" s="1"/>
  <c r="C346" i="44"/>
  <c r="B346" i="44"/>
  <c r="G345" i="44"/>
  <c r="H345" i="44" s="1"/>
  <c r="C345" i="44"/>
  <c r="B345" i="44"/>
  <c r="G344" i="44"/>
  <c r="H344" i="44" s="1"/>
  <c r="C344" i="44"/>
  <c r="B344" i="44"/>
  <c r="G343" i="44"/>
  <c r="H343" i="44" s="1"/>
  <c r="C343" i="44"/>
  <c r="B343" i="44"/>
  <c r="G342" i="44"/>
  <c r="H342" i="44" s="1"/>
  <c r="C342" i="44"/>
  <c r="B342" i="44"/>
  <c r="G341" i="44"/>
  <c r="H341" i="44" s="1"/>
  <c r="C341" i="44"/>
  <c r="B341" i="44"/>
  <c r="G340" i="44"/>
  <c r="H340" i="44" s="1"/>
  <c r="C340" i="44"/>
  <c r="B340" i="44"/>
  <c r="G339" i="44"/>
  <c r="H339" i="44" s="1"/>
  <c r="C339" i="44"/>
  <c r="B339" i="44"/>
  <c r="G338" i="44"/>
  <c r="H338" i="44" s="1"/>
  <c r="C338" i="44"/>
  <c r="B338" i="44"/>
  <c r="G337" i="44"/>
  <c r="H337" i="44" s="1"/>
  <c r="C337" i="44"/>
  <c r="B337" i="44"/>
  <c r="G336" i="44"/>
  <c r="H336" i="44" s="1"/>
  <c r="C336" i="44"/>
  <c r="B336" i="44"/>
  <c r="G335" i="44"/>
  <c r="H335" i="44" s="1"/>
  <c r="C335" i="44"/>
  <c r="B335" i="44"/>
  <c r="G334" i="44"/>
  <c r="H334" i="44" s="1"/>
  <c r="C334" i="44"/>
  <c r="B334" i="44"/>
  <c r="G333" i="44"/>
  <c r="H333" i="44" s="1"/>
  <c r="C333" i="44"/>
  <c r="B333" i="44"/>
  <c r="G332" i="44"/>
  <c r="H332" i="44" s="1"/>
  <c r="C332" i="44"/>
  <c r="B332" i="44"/>
  <c r="G331" i="44"/>
  <c r="H331" i="44" s="1"/>
  <c r="C331" i="44"/>
  <c r="B331" i="44"/>
  <c r="G330" i="44"/>
  <c r="H330" i="44" s="1"/>
  <c r="C330" i="44"/>
  <c r="B330" i="44"/>
  <c r="G329" i="44"/>
  <c r="H329" i="44" s="1"/>
  <c r="C329" i="44"/>
  <c r="B329" i="44"/>
  <c r="G328" i="44"/>
  <c r="H328" i="44" s="1"/>
  <c r="C328" i="44"/>
  <c r="B328" i="44"/>
  <c r="G327" i="44"/>
  <c r="H327" i="44" s="1"/>
  <c r="C327" i="44"/>
  <c r="B327" i="44"/>
  <c r="G326" i="44"/>
  <c r="H326" i="44" s="1"/>
  <c r="C326" i="44"/>
  <c r="B326" i="44"/>
  <c r="G325" i="44"/>
  <c r="H325" i="44" s="1"/>
  <c r="C325" i="44"/>
  <c r="B325" i="44"/>
  <c r="G324" i="44"/>
  <c r="H324" i="44" s="1"/>
  <c r="C324" i="44"/>
  <c r="B324" i="44"/>
  <c r="G323" i="44"/>
  <c r="H323" i="44" s="1"/>
  <c r="C323" i="44"/>
  <c r="B323" i="44"/>
  <c r="G322" i="44"/>
  <c r="H322" i="44" s="1"/>
  <c r="C322" i="44"/>
  <c r="B322" i="44"/>
  <c r="G321" i="44"/>
  <c r="H321" i="44" s="1"/>
  <c r="C321" i="44"/>
  <c r="B321" i="44"/>
  <c r="G320" i="44"/>
  <c r="H320" i="44" s="1"/>
  <c r="C320" i="44"/>
  <c r="B320" i="44"/>
  <c r="G319" i="44"/>
  <c r="H319" i="44" s="1"/>
  <c r="C319" i="44"/>
  <c r="B319" i="44"/>
  <c r="G318" i="44"/>
  <c r="H318" i="44" s="1"/>
  <c r="C318" i="44"/>
  <c r="B318" i="44"/>
  <c r="G317" i="44"/>
  <c r="H317" i="44" s="1"/>
  <c r="C317" i="44"/>
  <c r="B317" i="44"/>
  <c r="G316" i="44"/>
  <c r="H316" i="44" s="1"/>
  <c r="C316" i="44"/>
  <c r="B316" i="44"/>
  <c r="G315" i="44"/>
  <c r="H315" i="44" s="1"/>
  <c r="C315" i="44"/>
  <c r="B315" i="44"/>
  <c r="O314" i="44"/>
  <c r="N314" i="44"/>
  <c r="K314" i="44"/>
  <c r="J314" i="44"/>
  <c r="G314" i="44"/>
  <c r="H314" i="44" s="1"/>
  <c r="C314" i="44"/>
  <c r="B314" i="44"/>
  <c r="G313" i="44"/>
  <c r="H313" i="44" s="1"/>
  <c r="C313" i="44"/>
  <c r="B313" i="44"/>
  <c r="G312" i="44"/>
  <c r="H312" i="44" s="1"/>
  <c r="C312" i="44"/>
  <c r="B312" i="44"/>
  <c r="G311" i="44"/>
  <c r="H311" i="44" s="1"/>
  <c r="C311" i="44"/>
  <c r="B311" i="44"/>
  <c r="G310" i="44"/>
  <c r="H310" i="44" s="1"/>
  <c r="C310" i="44"/>
  <c r="B310" i="44"/>
  <c r="G309" i="44"/>
  <c r="H309" i="44" s="1"/>
  <c r="C309" i="44"/>
  <c r="B309" i="44"/>
  <c r="O308" i="44"/>
  <c r="N308" i="44"/>
  <c r="K308" i="44"/>
  <c r="J308" i="44"/>
  <c r="G308" i="44"/>
  <c r="H308" i="44" s="1"/>
  <c r="C308" i="44"/>
  <c r="B308" i="44"/>
  <c r="Q228" i="1"/>
  <c r="AC340" i="58"/>
  <c r="AA340" i="58"/>
  <c r="N340" i="58"/>
  <c r="J340" i="58"/>
  <c r="H340" i="58"/>
  <c r="D340" i="58"/>
  <c r="C340" i="58"/>
  <c r="AC68" i="58"/>
  <c r="AA68" i="58"/>
  <c r="N68" i="58"/>
  <c r="J68" i="58"/>
  <c r="H68" i="58"/>
  <c r="D68" i="58"/>
  <c r="C68" i="58"/>
  <c r="AC33" i="58"/>
  <c r="AA33" i="58"/>
  <c r="N33" i="58"/>
  <c r="J33" i="58"/>
  <c r="H33" i="58"/>
  <c r="D33" i="58"/>
  <c r="C33" i="58"/>
  <c r="AC13" i="58"/>
  <c r="N13" i="58"/>
  <c r="J13" i="58"/>
  <c r="H13" i="58"/>
  <c r="D13" i="58"/>
  <c r="C13" i="58"/>
  <c r="B341" i="58"/>
  <c r="B342" i="58" s="1"/>
  <c r="B343" i="58" s="1"/>
  <c r="B344" i="58" s="1"/>
  <c r="B345" i="58" s="1"/>
  <c r="B346" i="58" s="1"/>
  <c r="B347" i="58" s="1"/>
  <c r="B348" i="58" s="1"/>
  <c r="B349" i="58" s="1"/>
  <c r="B350" i="58" s="1"/>
  <c r="B351" i="58" s="1"/>
  <c r="B352" i="58" s="1"/>
  <c r="B353" i="58" s="1"/>
  <c r="B354" i="58" s="1"/>
  <c r="B355" i="58" s="1"/>
  <c r="B356" i="58" s="1"/>
  <c r="B357" i="58" s="1"/>
  <c r="B358" i="58" s="1"/>
  <c r="B359" i="58" s="1"/>
  <c r="B360" i="58" s="1"/>
  <c r="B361" i="58" s="1"/>
  <c r="B362" i="58" s="1"/>
  <c r="B363" i="58" s="1"/>
  <c r="B364" i="58" s="1"/>
  <c r="B365" i="58" s="1"/>
  <c r="B366" i="58" s="1"/>
  <c r="B367" i="58" s="1"/>
  <c r="B368" i="58" s="1"/>
  <c r="B369" i="58" s="1"/>
  <c r="B370" i="58" s="1"/>
  <c r="B371" i="58" s="1"/>
  <c r="B372" i="58" s="1"/>
  <c r="B373" i="58" s="1"/>
  <c r="B374" i="58" s="1"/>
  <c r="B375" i="58" s="1"/>
  <c r="B376" i="58" s="1"/>
  <c r="B377" i="58" s="1"/>
  <c r="B378" i="58" s="1"/>
  <c r="B379" i="58" s="1"/>
  <c r="B380" i="58" s="1"/>
  <c r="B381" i="58" s="1"/>
  <c r="B382" i="58" s="1"/>
  <c r="B383" i="58" s="1"/>
  <c r="B384" i="58" s="1"/>
  <c r="B385" i="58" s="1"/>
  <c r="B386" i="58" s="1"/>
  <c r="B387" i="58" s="1"/>
  <c r="B388" i="58" s="1"/>
  <c r="B389" i="58" s="1"/>
  <c r="B390" i="58" s="1"/>
  <c r="B391" i="58" s="1"/>
  <c r="B392" i="58" s="1"/>
  <c r="B393" i="58" s="1"/>
  <c r="B394" i="58" s="1"/>
  <c r="B395" i="58" s="1"/>
  <c r="B396" i="58" s="1"/>
  <c r="B397" i="58" s="1"/>
  <c r="B398" i="58" s="1"/>
  <c r="B399" i="58" s="1"/>
  <c r="B400" i="58" s="1"/>
  <c r="B401" i="58" s="1"/>
  <c r="B402" i="58" s="1"/>
  <c r="B403" i="58" s="1"/>
  <c r="B404" i="58" s="1"/>
  <c r="B405" i="58" s="1"/>
  <c r="B406" i="58" s="1"/>
  <c r="B407" i="58" s="1"/>
  <c r="B408" i="58" s="1"/>
  <c r="B409" i="58" s="1"/>
  <c r="B410" i="58" s="1"/>
  <c r="B411" i="58" s="1"/>
  <c r="B412" i="58" s="1"/>
  <c r="B413" i="58" s="1"/>
  <c r="B414" i="58" s="1"/>
  <c r="B415" i="58" s="1"/>
  <c r="B416" i="58" s="1"/>
  <c r="B417" i="58" s="1"/>
  <c r="B418" i="58" s="1"/>
  <c r="B419" i="58" s="1"/>
  <c r="B420" i="58" s="1"/>
  <c r="B421" i="58" s="1"/>
  <c r="B422" i="58" s="1"/>
  <c r="B423" i="58" s="1"/>
  <c r="B424" i="58" s="1"/>
  <c r="B425" i="58" s="1"/>
  <c r="B426" i="58" s="1"/>
  <c r="B427" i="58" s="1"/>
  <c r="B428" i="58" s="1"/>
  <c r="B429" i="58" s="1"/>
  <c r="B430" i="58" s="1"/>
  <c r="B431" i="58" s="1"/>
  <c r="B69" i="58"/>
  <c r="B70" i="58" s="1"/>
  <c r="B71" i="58" s="1"/>
  <c r="B72" i="58" s="1"/>
  <c r="B73" i="58" s="1"/>
  <c r="B74" i="58" s="1"/>
  <c r="B75" i="58" s="1"/>
  <c r="B76" i="58" s="1"/>
  <c r="B77" i="58" s="1"/>
  <c r="B78" i="58" s="1"/>
  <c r="B79" i="58" s="1"/>
  <c r="B80" i="58" s="1"/>
  <c r="B81" i="58" s="1"/>
  <c r="B82" i="58" s="1"/>
  <c r="B83" i="58" s="1"/>
  <c r="B84" i="58" s="1"/>
  <c r="B85" i="58" s="1"/>
  <c r="B86" i="58" s="1"/>
  <c r="B87" i="58" s="1"/>
  <c r="B88" i="58" s="1"/>
  <c r="B89" i="58" s="1"/>
  <c r="B90" i="58" s="1"/>
  <c r="B91" i="58" s="1"/>
  <c r="B92" i="58" s="1"/>
  <c r="B93" i="58" s="1"/>
  <c r="B94" i="58" s="1"/>
  <c r="B95" i="58" s="1"/>
  <c r="B96" i="58" s="1"/>
  <c r="B97" i="58" s="1"/>
  <c r="B98" i="58" s="1"/>
  <c r="B99" i="58" s="1"/>
  <c r="B100" i="58" s="1"/>
  <c r="B101" i="58" s="1"/>
  <c r="B102" i="58" s="1"/>
  <c r="B103" i="58" s="1"/>
  <c r="B104" i="58" s="1"/>
  <c r="B105" i="58" s="1"/>
  <c r="B106" i="58" s="1"/>
  <c r="B107" i="58" s="1"/>
  <c r="B108" i="58" s="1"/>
  <c r="B109" i="58" s="1"/>
  <c r="B110" i="58" s="1"/>
  <c r="B111" i="58" s="1"/>
  <c r="B112" i="58" s="1"/>
  <c r="B113" i="58" s="1"/>
  <c r="B114" i="58" s="1"/>
  <c r="B115" i="58" s="1"/>
  <c r="B116" i="58" s="1"/>
  <c r="B117" i="58" s="1"/>
  <c r="B118" i="58" s="1"/>
  <c r="B119" i="58" s="1"/>
  <c r="B120" i="58" s="1"/>
  <c r="B121" i="58" s="1"/>
  <c r="B122" i="58" s="1"/>
  <c r="B123" i="58" s="1"/>
  <c r="B124" i="58" s="1"/>
  <c r="B125" i="58" s="1"/>
  <c r="B126" i="58" s="1"/>
  <c r="B127" i="58" s="1"/>
  <c r="B128" i="58" s="1"/>
  <c r="B129" i="58" s="1"/>
  <c r="B130" i="58" s="1"/>
  <c r="B131" i="58" s="1"/>
  <c r="B132" i="58" s="1"/>
  <c r="B133" i="58" s="1"/>
  <c r="B134" i="58" s="1"/>
  <c r="B135" i="58" s="1"/>
  <c r="B136" i="58" s="1"/>
  <c r="B137" i="58" s="1"/>
  <c r="B138" i="58" s="1"/>
  <c r="B139" i="58" s="1"/>
  <c r="B140" i="58" s="1"/>
  <c r="B141" i="58" s="1"/>
  <c r="B142" i="58" s="1"/>
  <c r="B143" i="58" s="1"/>
  <c r="B144" i="58" s="1"/>
  <c r="B145" i="58" s="1"/>
  <c r="B146" i="58" s="1"/>
  <c r="B147" i="58" s="1"/>
  <c r="B148" i="58" s="1"/>
  <c r="B149" i="58" s="1"/>
  <c r="B150" i="58" s="1"/>
  <c r="B151" i="58" s="1"/>
  <c r="B152" i="58" s="1"/>
  <c r="B153" i="58" s="1"/>
  <c r="B154" i="58" s="1"/>
  <c r="B155" i="58" s="1"/>
  <c r="B156" i="58" s="1"/>
  <c r="B157" i="58" s="1"/>
  <c r="B158" i="58" s="1"/>
  <c r="B159" i="58" s="1"/>
  <c r="B160" i="58" s="1"/>
  <c r="B161" i="58" s="1"/>
  <c r="B162" i="58" s="1"/>
  <c r="B163" i="58" s="1"/>
  <c r="B164" i="58" s="1"/>
  <c r="B165" i="58" s="1"/>
  <c r="B166" i="58" s="1"/>
  <c r="B167" i="58" s="1"/>
  <c r="B168" i="58" s="1"/>
  <c r="B169" i="58" s="1"/>
  <c r="B170" i="58" s="1"/>
  <c r="B171" i="58" s="1"/>
  <c r="B172" i="58" s="1"/>
  <c r="B173" i="58" s="1"/>
  <c r="B174" i="58" s="1"/>
  <c r="B175" i="58" s="1"/>
  <c r="B176" i="58" s="1"/>
  <c r="B177" i="58" s="1"/>
  <c r="B178" i="58" s="1"/>
  <c r="B179" i="58" s="1"/>
  <c r="B180" i="58" s="1"/>
  <c r="B181" i="58" s="1"/>
  <c r="B182" i="58" s="1"/>
  <c r="B183" i="58" s="1"/>
  <c r="B184" i="58" s="1"/>
  <c r="B185" i="58" s="1"/>
  <c r="B186" i="58" s="1"/>
  <c r="B187" i="58" s="1"/>
  <c r="B188" i="58" s="1"/>
  <c r="B189" i="58" s="1"/>
  <c r="B190" i="58" s="1"/>
  <c r="B191" i="58" s="1"/>
  <c r="B192" i="58" s="1"/>
  <c r="B193" i="58" s="1"/>
  <c r="B194" i="58" s="1"/>
  <c r="B195" i="58" s="1"/>
  <c r="B196" i="58" s="1"/>
  <c r="B197" i="58" s="1"/>
  <c r="B198" i="58" s="1"/>
  <c r="B199" i="58" s="1"/>
  <c r="B200" i="58" s="1"/>
  <c r="B201" i="58" s="1"/>
  <c r="B202" i="58" s="1"/>
  <c r="B203" i="58" s="1"/>
  <c r="B204" i="58" s="1"/>
  <c r="B205" i="58" s="1"/>
  <c r="B206" i="58" s="1"/>
  <c r="B207" i="58" s="1"/>
  <c r="B208" i="58" s="1"/>
  <c r="B209" i="58" s="1"/>
  <c r="B210" i="58" s="1"/>
  <c r="B211" i="58" s="1"/>
  <c r="B212" i="58" s="1"/>
  <c r="B213" i="58" s="1"/>
  <c r="B214" i="58" s="1"/>
  <c r="B215" i="58" s="1"/>
  <c r="B216" i="58" s="1"/>
  <c r="B217" i="58" s="1"/>
  <c r="B218" i="58" s="1"/>
  <c r="B219" i="58" s="1"/>
  <c r="B220" i="58" s="1"/>
  <c r="B221" i="58" s="1"/>
  <c r="B222" i="58" s="1"/>
  <c r="B223" i="58" s="1"/>
  <c r="B224" i="58" s="1"/>
  <c r="B225" i="58" s="1"/>
  <c r="B226" i="58" s="1"/>
  <c r="B227" i="58" s="1"/>
  <c r="B228" i="58" s="1"/>
  <c r="B229" i="58" s="1"/>
  <c r="B230" i="58" s="1"/>
  <c r="B231" i="58" s="1"/>
  <c r="B232" i="58" s="1"/>
  <c r="B233" i="58" s="1"/>
  <c r="B234" i="58" s="1"/>
  <c r="B235" i="58" s="1"/>
  <c r="B236" i="58" s="1"/>
  <c r="B237" i="58" s="1"/>
  <c r="B238" i="58" s="1"/>
  <c r="B239" i="58" s="1"/>
  <c r="B240" i="58" s="1"/>
  <c r="B241" i="58" s="1"/>
  <c r="B242" i="58" s="1"/>
  <c r="B243" i="58" s="1"/>
  <c r="B244" i="58" s="1"/>
  <c r="B245" i="58" s="1"/>
  <c r="B246" i="58" s="1"/>
  <c r="B247" i="58" s="1"/>
  <c r="B248" i="58" s="1"/>
  <c r="B249" i="58" s="1"/>
  <c r="B250" i="58" s="1"/>
  <c r="B251" i="58" s="1"/>
  <c r="B252" i="58" s="1"/>
  <c r="B253" i="58" s="1"/>
  <c r="B254" i="58" s="1"/>
  <c r="B255" i="58" s="1"/>
  <c r="B256" i="58" s="1"/>
  <c r="B257" i="58" s="1"/>
  <c r="B258" i="58" s="1"/>
  <c r="B259" i="58" s="1"/>
  <c r="B260" i="58" s="1"/>
  <c r="B261" i="58" s="1"/>
  <c r="B262" i="58" s="1"/>
  <c r="B263" i="58" s="1"/>
  <c r="B264" i="58" s="1"/>
  <c r="B265" i="58" s="1"/>
  <c r="B266" i="58" s="1"/>
  <c r="B267" i="58" s="1"/>
  <c r="B268" i="58" s="1"/>
  <c r="B269" i="58" s="1"/>
  <c r="B270" i="58" s="1"/>
  <c r="B271" i="58" s="1"/>
  <c r="B272" i="58" s="1"/>
  <c r="B273" i="58" s="1"/>
  <c r="B274" i="58" s="1"/>
  <c r="B275" i="58" s="1"/>
  <c r="B276" i="58" s="1"/>
  <c r="B277" i="58" s="1"/>
  <c r="B278" i="58" s="1"/>
  <c r="B279" i="58" s="1"/>
  <c r="B280" i="58" s="1"/>
  <c r="B281" i="58" s="1"/>
  <c r="B282" i="58" s="1"/>
  <c r="B283" i="58" s="1"/>
  <c r="B284" i="58" s="1"/>
  <c r="B285" i="58" s="1"/>
  <c r="B286" i="58" s="1"/>
  <c r="B287" i="58" s="1"/>
  <c r="B288" i="58" s="1"/>
  <c r="B289" i="58" s="1"/>
  <c r="B290" i="58" s="1"/>
  <c r="B291" i="58" s="1"/>
  <c r="B292" i="58" s="1"/>
  <c r="B293" i="58" s="1"/>
  <c r="B294" i="58" s="1"/>
  <c r="B295" i="58" s="1"/>
  <c r="B296" i="58" s="1"/>
  <c r="B297" i="58" s="1"/>
  <c r="B298" i="58" s="1"/>
  <c r="B299" i="58" s="1"/>
  <c r="B300" i="58" s="1"/>
  <c r="B301" i="58" s="1"/>
  <c r="B302" i="58" s="1"/>
  <c r="B303" i="58" s="1"/>
  <c r="B304" i="58" s="1"/>
  <c r="B305" i="58" s="1"/>
  <c r="B306" i="58" s="1"/>
  <c r="B307" i="58" s="1"/>
  <c r="B308" i="58" s="1"/>
  <c r="B309" i="58" s="1"/>
  <c r="B310" i="58" s="1"/>
  <c r="B311" i="58" s="1"/>
  <c r="B312" i="58" s="1"/>
  <c r="B313" i="58" s="1"/>
  <c r="B314" i="58" s="1"/>
  <c r="B315" i="58" s="1"/>
  <c r="B316" i="58" s="1"/>
  <c r="B317" i="58" s="1"/>
  <c r="B318" i="58" s="1"/>
  <c r="B319" i="58" s="1"/>
  <c r="B320" i="58" s="1"/>
  <c r="B321" i="58" s="1"/>
  <c r="B322" i="58" s="1"/>
  <c r="B323" i="58" s="1"/>
  <c r="B324" i="58" s="1"/>
  <c r="B325" i="58" s="1"/>
  <c r="B34" i="58"/>
  <c r="B35" i="58" s="1"/>
  <c r="B36" i="58" s="1"/>
  <c r="B37" i="58" s="1"/>
  <c r="B38" i="58" s="1"/>
  <c r="B39" i="58" s="1"/>
  <c r="B40" i="58" s="1"/>
  <c r="B41" i="58" s="1"/>
  <c r="B42" i="58" s="1"/>
  <c r="B43" i="58" s="1"/>
  <c r="B44" i="58" s="1"/>
  <c r="B45" i="58" s="1"/>
  <c r="B46" i="58" s="1"/>
  <c r="B47" i="58" s="1"/>
  <c r="B48" i="58" s="1"/>
  <c r="B49" i="58" s="1"/>
  <c r="B50" i="58" s="1"/>
  <c r="B51" i="58" s="1"/>
  <c r="B52" i="58" s="1"/>
  <c r="B53" i="58" s="1"/>
  <c r="B54" i="58" s="1"/>
  <c r="B55" i="58" s="1"/>
  <c r="B56" i="58" s="1"/>
  <c r="B57" i="58" s="1"/>
  <c r="AA15" i="58"/>
  <c r="D1" i="58"/>
  <c r="W432" i="58" l="1"/>
  <c r="R46" i="44"/>
  <c r="R49" i="44"/>
  <c r="R50" i="44"/>
  <c r="R53" i="44"/>
  <c r="R54" i="44"/>
  <c r="R57" i="44"/>
  <c r="R58" i="44"/>
  <c r="R61" i="44"/>
  <c r="R62" i="44"/>
  <c r="R65" i="44"/>
  <c r="R66" i="44"/>
  <c r="R69" i="44"/>
  <c r="R70" i="44"/>
  <c r="R73" i="44"/>
  <c r="R74" i="44"/>
  <c r="R77" i="44"/>
  <c r="R78" i="44"/>
  <c r="R81" i="44"/>
  <c r="R82" i="44"/>
  <c r="R85" i="44"/>
  <c r="R86" i="44"/>
  <c r="R92" i="44"/>
  <c r="R96" i="44"/>
  <c r="R100" i="44"/>
  <c r="R104" i="44"/>
  <c r="R108" i="44"/>
  <c r="R112" i="44"/>
  <c r="R116" i="44"/>
  <c r="R120" i="44"/>
  <c r="R124" i="44"/>
  <c r="R128" i="44"/>
  <c r="R132" i="44"/>
  <c r="R136" i="44"/>
  <c r="R140" i="44"/>
  <c r="R144" i="44"/>
  <c r="R148" i="44"/>
  <c r="R152" i="44"/>
  <c r="R156" i="44"/>
  <c r="R160" i="44"/>
  <c r="R164" i="44"/>
  <c r="R168" i="44"/>
  <c r="R172" i="44"/>
  <c r="R176" i="44"/>
  <c r="R180" i="44"/>
  <c r="R184" i="44"/>
  <c r="R188" i="44"/>
  <c r="R192" i="44"/>
  <c r="R196" i="44"/>
  <c r="R200" i="44"/>
  <c r="R204" i="44"/>
  <c r="R208" i="44"/>
  <c r="R209" i="44"/>
  <c r="R212" i="44"/>
  <c r="R213" i="44"/>
  <c r="R216" i="44"/>
  <c r="R217" i="44"/>
  <c r="R220" i="44"/>
  <c r="R221" i="44"/>
  <c r="R224" i="44"/>
  <c r="R225" i="44"/>
  <c r="R228" i="44"/>
  <c r="R229" i="44"/>
  <c r="R232" i="44"/>
  <c r="R233" i="44"/>
  <c r="R236" i="44"/>
  <c r="R237" i="44"/>
  <c r="R240" i="44"/>
  <c r="R241" i="44"/>
  <c r="R244" i="44"/>
  <c r="R245" i="44"/>
  <c r="R248" i="44"/>
  <c r="R249" i="44"/>
  <c r="R252" i="44"/>
  <c r="R253" i="44"/>
  <c r="R256" i="44"/>
  <c r="R257" i="44"/>
  <c r="R260" i="44"/>
  <c r="R261" i="44"/>
  <c r="R263" i="44"/>
  <c r="R264" i="44"/>
  <c r="R267" i="44"/>
  <c r="R268" i="44"/>
  <c r="R271" i="44"/>
  <c r="R272" i="44"/>
  <c r="R275" i="44"/>
  <c r="R276" i="44"/>
  <c r="R279" i="44"/>
  <c r="R280" i="44"/>
  <c r="R283" i="44"/>
  <c r="R284" i="44"/>
  <c r="R287" i="44"/>
  <c r="R288" i="44"/>
  <c r="R291" i="44"/>
  <c r="R292" i="44"/>
  <c r="R295" i="44"/>
  <c r="R296" i="44"/>
  <c r="R299" i="44"/>
  <c r="R300" i="44"/>
  <c r="R303" i="44"/>
  <c r="T123" i="57"/>
  <c r="T125" i="57"/>
  <c r="T127" i="57"/>
  <c r="T129" i="57"/>
  <c r="T106" i="57"/>
  <c r="X123" i="57"/>
  <c r="T131" i="57"/>
  <c r="T108" i="57"/>
  <c r="X125" i="57"/>
  <c r="T133" i="57"/>
  <c r="T110" i="57"/>
  <c r="X127" i="57"/>
  <c r="T135" i="57"/>
  <c r="T112" i="57"/>
  <c r="X129" i="57"/>
  <c r="T137" i="57"/>
  <c r="T114" i="57"/>
  <c r="X131" i="57"/>
  <c r="T139" i="57"/>
  <c r="T116" i="57"/>
  <c r="X133" i="57"/>
  <c r="T141" i="57"/>
  <c r="T118" i="57"/>
  <c r="X135" i="57"/>
  <c r="T143" i="57"/>
  <c r="T120" i="57"/>
  <c r="X137" i="57"/>
  <c r="T145" i="57"/>
  <c r="T122" i="57"/>
  <c r="K124" i="57"/>
  <c r="T124" i="57"/>
  <c r="K126" i="57"/>
  <c r="T126" i="57"/>
  <c r="K128" i="57"/>
  <c r="T128" i="57"/>
  <c r="K130" i="57"/>
  <c r="T130" i="57"/>
  <c r="K132" i="57"/>
  <c r="T132" i="57"/>
  <c r="K134" i="57"/>
  <c r="T134" i="57"/>
  <c r="K136" i="57"/>
  <c r="T136" i="57"/>
  <c r="K138" i="57"/>
  <c r="T138" i="57"/>
  <c r="K140" i="57"/>
  <c r="T140" i="57"/>
  <c r="K142" i="57"/>
  <c r="T142" i="57"/>
  <c r="K144" i="57"/>
  <c r="T144" i="57"/>
  <c r="K146" i="57"/>
  <c r="K148" i="57"/>
  <c r="T168" i="57"/>
  <c r="T170" i="57"/>
  <c r="T172" i="57"/>
  <c r="X166" i="57"/>
  <c r="T174" i="57"/>
  <c r="X168" i="57"/>
  <c r="T176" i="57"/>
  <c r="X170" i="57"/>
  <c r="T178" i="57"/>
  <c r="X172" i="57"/>
  <c r="T180" i="57"/>
  <c r="X174" i="57"/>
  <c r="T182" i="57"/>
  <c r="X176" i="57"/>
  <c r="T184" i="57"/>
  <c r="X178" i="57"/>
  <c r="T186" i="57"/>
  <c r="X180" i="57"/>
  <c r="T188" i="57"/>
  <c r="X182" i="57"/>
  <c r="T317" i="57"/>
  <c r="T241" i="57"/>
  <c r="T243" i="57"/>
  <c r="T245" i="57"/>
  <c r="X239" i="57"/>
  <c r="T247" i="57"/>
  <c r="X241" i="57"/>
  <c r="T249" i="57"/>
  <c r="X243" i="57"/>
  <c r="T251" i="57"/>
  <c r="X245" i="57"/>
  <c r="T253" i="57"/>
  <c r="X247" i="57"/>
  <c r="T255" i="57"/>
  <c r="X249" i="57"/>
  <c r="T257" i="57"/>
  <c r="X251" i="57"/>
  <c r="T259" i="57"/>
  <c r="X253" i="57"/>
  <c r="T261" i="57"/>
  <c r="X255" i="57"/>
  <c r="T300" i="57"/>
  <c r="T302" i="57"/>
  <c r="V327" i="58"/>
  <c r="V58" i="58"/>
  <c r="W327" i="58"/>
  <c r="V15" i="58"/>
  <c r="AI299" i="1"/>
  <c r="CP299" i="1"/>
  <c r="CT299" i="1"/>
  <c r="W15" i="58"/>
  <c r="W58" i="58"/>
  <c r="V432" i="58"/>
  <c r="AT299" i="1"/>
  <c r="CH299" i="1" s="1"/>
  <c r="W299" i="1"/>
  <c r="AC15" i="58"/>
  <c r="AA58" i="58"/>
  <c r="AC58" i="58"/>
  <c r="AA432" i="58"/>
  <c r="AA327" i="58"/>
  <c r="B435" i="58"/>
  <c r="AC432" i="58"/>
  <c r="V435" i="58" l="1"/>
  <c r="W435" i="58"/>
  <c r="AA435" i="58"/>
  <c r="N430" i="57"/>
  <c r="J430" i="57"/>
  <c r="H430" i="57"/>
  <c r="D430" i="57"/>
  <c r="C430" i="57"/>
  <c r="N429" i="57"/>
  <c r="J429" i="57"/>
  <c r="H429" i="57"/>
  <c r="D429" i="57"/>
  <c r="C429" i="57"/>
  <c r="N428" i="57"/>
  <c r="J428" i="57"/>
  <c r="H428" i="57"/>
  <c r="D428" i="57"/>
  <c r="C428" i="57"/>
  <c r="N427" i="57"/>
  <c r="J427" i="57"/>
  <c r="H427" i="57"/>
  <c r="D427" i="57"/>
  <c r="C427" i="57"/>
  <c r="N426" i="57"/>
  <c r="J426" i="57"/>
  <c r="H426" i="57"/>
  <c r="D426" i="57"/>
  <c r="C426" i="57"/>
  <c r="N425" i="57"/>
  <c r="J425" i="57"/>
  <c r="H425" i="57"/>
  <c r="D425" i="57"/>
  <c r="C425" i="57"/>
  <c r="N424" i="57"/>
  <c r="J424" i="57"/>
  <c r="H424" i="57"/>
  <c r="D424" i="57"/>
  <c r="C424" i="57"/>
  <c r="N423" i="57"/>
  <c r="J423" i="57"/>
  <c r="H423" i="57"/>
  <c r="D423" i="57"/>
  <c r="C423" i="57"/>
  <c r="N422" i="57"/>
  <c r="J422" i="57"/>
  <c r="H422" i="57"/>
  <c r="D422" i="57"/>
  <c r="C422" i="57"/>
  <c r="N421" i="57"/>
  <c r="J421" i="57"/>
  <c r="H421" i="57"/>
  <c r="D421" i="57"/>
  <c r="C421" i="57"/>
  <c r="N420" i="57"/>
  <c r="J420" i="57"/>
  <c r="H420" i="57"/>
  <c r="D420" i="57"/>
  <c r="C420" i="57"/>
  <c r="N419" i="57"/>
  <c r="J419" i="57"/>
  <c r="H419" i="57"/>
  <c r="D419" i="57"/>
  <c r="C419" i="57"/>
  <c r="N418" i="57"/>
  <c r="J418" i="57"/>
  <c r="H418" i="57"/>
  <c r="D418" i="57"/>
  <c r="C418" i="57"/>
  <c r="N417" i="57"/>
  <c r="J417" i="57"/>
  <c r="H417" i="57"/>
  <c r="D417" i="57"/>
  <c r="C417" i="57"/>
  <c r="N416" i="57"/>
  <c r="J416" i="57"/>
  <c r="H416" i="57"/>
  <c r="D416" i="57"/>
  <c r="C416" i="57"/>
  <c r="N415" i="57"/>
  <c r="J415" i="57"/>
  <c r="H415" i="57"/>
  <c r="D415" i="57"/>
  <c r="C415" i="57"/>
  <c r="N414" i="57"/>
  <c r="J414" i="57"/>
  <c r="H414" i="57"/>
  <c r="D414" i="57"/>
  <c r="C414" i="57"/>
  <c r="N413" i="57"/>
  <c r="J413" i="57"/>
  <c r="H413" i="57"/>
  <c r="D413" i="57"/>
  <c r="C413" i="57"/>
  <c r="N412" i="57"/>
  <c r="J412" i="57"/>
  <c r="H412" i="57"/>
  <c r="D412" i="57"/>
  <c r="C412" i="57"/>
  <c r="N411" i="57"/>
  <c r="H411" i="57"/>
  <c r="D411" i="57"/>
  <c r="C411" i="57"/>
  <c r="N410" i="57"/>
  <c r="J410" i="57"/>
  <c r="H410" i="57"/>
  <c r="D410" i="57"/>
  <c r="C410" i="57"/>
  <c r="N409" i="57"/>
  <c r="J409" i="57"/>
  <c r="H409" i="57"/>
  <c r="D409" i="57"/>
  <c r="C409" i="57"/>
  <c r="N408" i="57"/>
  <c r="J408" i="57"/>
  <c r="H408" i="57"/>
  <c r="D408" i="57"/>
  <c r="C408" i="57"/>
  <c r="N407" i="57"/>
  <c r="J407" i="57"/>
  <c r="H407" i="57"/>
  <c r="D407" i="57"/>
  <c r="C407" i="57"/>
  <c r="N406" i="57"/>
  <c r="J406" i="57"/>
  <c r="H406" i="57"/>
  <c r="D406" i="57"/>
  <c r="C406" i="57"/>
  <c r="N405" i="57"/>
  <c r="J405" i="57"/>
  <c r="H405" i="57"/>
  <c r="D405" i="57"/>
  <c r="C405" i="57"/>
  <c r="N404" i="57"/>
  <c r="J404" i="57"/>
  <c r="H404" i="57"/>
  <c r="D404" i="57"/>
  <c r="C404" i="57"/>
  <c r="N403" i="57"/>
  <c r="J403" i="57"/>
  <c r="H403" i="57"/>
  <c r="D403" i="57"/>
  <c r="C403" i="57"/>
  <c r="N402" i="57"/>
  <c r="J402" i="57"/>
  <c r="H402" i="57"/>
  <c r="D402" i="57"/>
  <c r="C402" i="57"/>
  <c r="N401" i="57"/>
  <c r="J401" i="57"/>
  <c r="H401" i="57"/>
  <c r="D401" i="57"/>
  <c r="C401" i="57"/>
  <c r="N400" i="57"/>
  <c r="J400" i="57"/>
  <c r="H400" i="57"/>
  <c r="D400" i="57"/>
  <c r="C400" i="57"/>
  <c r="N399" i="57"/>
  <c r="J399" i="57"/>
  <c r="H399" i="57"/>
  <c r="D399" i="57"/>
  <c r="C399" i="57"/>
  <c r="N398" i="57"/>
  <c r="J398" i="57"/>
  <c r="H398" i="57"/>
  <c r="D398" i="57"/>
  <c r="C398" i="57"/>
  <c r="N397" i="57"/>
  <c r="J397" i="57"/>
  <c r="H397" i="57"/>
  <c r="D397" i="57"/>
  <c r="C397" i="57"/>
  <c r="N396" i="57"/>
  <c r="J396" i="57"/>
  <c r="H396" i="57"/>
  <c r="D396" i="57"/>
  <c r="C396" i="57"/>
  <c r="N395" i="57"/>
  <c r="J395" i="57"/>
  <c r="H395" i="57"/>
  <c r="D395" i="57"/>
  <c r="C395" i="57"/>
  <c r="N394" i="57"/>
  <c r="J394" i="57"/>
  <c r="H394" i="57"/>
  <c r="D394" i="57"/>
  <c r="C394" i="57"/>
  <c r="N393" i="57"/>
  <c r="J393" i="57"/>
  <c r="H393" i="57"/>
  <c r="D393" i="57"/>
  <c r="C393" i="57"/>
  <c r="N392" i="57"/>
  <c r="J392" i="57"/>
  <c r="H392" i="57"/>
  <c r="D392" i="57"/>
  <c r="C392" i="57"/>
  <c r="N391" i="57"/>
  <c r="J391" i="57"/>
  <c r="H391" i="57"/>
  <c r="D391" i="57"/>
  <c r="C391" i="57"/>
  <c r="N390" i="57"/>
  <c r="J390" i="57"/>
  <c r="H390" i="57"/>
  <c r="D390" i="57"/>
  <c r="C390" i="57"/>
  <c r="N389" i="57"/>
  <c r="J389" i="57"/>
  <c r="H389" i="57"/>
  <c r="D389" i="57"/>
  <c r="C389" i="57"/>
  <c r="N388" i="57"/>
  <c r="J388" i="57"/>
  <c r="H388" i="57"/>
  <c r="D388" i="57"/>
  <c r="C388" i="57"/>
  <c r="N387" i="57"/>
  <c r="J387" i="57"/>
  <c r="H387" i="57"/>
  <c r="D387" i="57"/>
  <c r="C387" i="57"/>
  <c r="N386" i="57"/>
  <c r="J386" i="57"/>
  <c r="H386" i="57"/>
  <c r="D386" i="57"/>
  <c r="C386" i="57"/>
  <c r="N385" i="57"/>
  <c r="J385" i="57"/>
  <c r="H385" i="57"/>
  <c r="D385" i="57"/>
  <c r="C385" i="57"/>
  <c r="N384" i="57"/>
  <c r="J384" i="57"/>
  <c r="H384" i="57"/>
  <c r="D384" i="57"/>
  <c r="C384" i="57"/>
  <c r="N383" i="57"/>
  <c r="J383" i="57"/>
  <c r="H383" i="57"/>
  <c r="D383" i="57"/>
  <c r="C383" i="57"/>
  <c r="N382" i="57"/>
  <c r="J382" i="57"/>
  <c r="H382" i="57"/>
  <c r="D382" i="57"/>
  <c r="C382" i="57"/>
  <c r="N381" i="57"/>
  <c r="J381" i="57"/>
  <c r="H381" i="57"/>
  <c r="D381" i="57"/>
  <c r="C381" i="57"/>
  <c r="N380" i="57"/>
  <c r="J380" i="57"/>
  <c r="H380" i="57"/>
  <c r="D380" i="57"/>
  <c r="C380" i="57"/>
  <c r="N379" i="57"/>
  <c r="J379" i="57"/>
  <c r="H379" i="57"/>
  <c r="D379" i="57"/>
  <c r="C379" i="57"/>
  <c r="N378" i="57"/>
  <c r="J378" i="57"/>
  <c r="H378" i="57"/>
  <c r="D378" i="57"/>
  <c r="C378" i="57"/>
  <c r="N377" i="57"/>
  <c r="J377" i="57"/>
  <c r="H377" i="57"/>
  <c r="D377" i="57"/>
  <c r="C377" i="57"/>
  <c r="N376" i="57"/>
  <c r="J376" i="57"/>
  <c r="H376" i="57"/>
  <c r="D376" i="57"/>
  <c r="C376" i="57"/>
  <c r="N375" i="57"/>
  <c r="J375" i="57"/>
  <c r="H375" i="57"/>
  <c r="D375" i="57"/>
  <c r="C375" i="57"/>
  <c r="N374" i="57"/>
  <c r="J374" i="57"/>
  <c r="H374" i="57"/>
  <c r="D374" i="57"/>
  <c r="C374" i="57"/>
  <c r="N373" i="57"/>
  <c r="J373" i="57"/>
  <c r="H373" i="57"/>
  <c r="D373" i="57"/>
  <c r="C373" i="57"/>
  <c r="T372" i="57"/>
  <c r="N372" i="57"/>
  <c r="J372" i="57"/>
  <c r="H372" i="57"/>
  <c r="D372" i="57"/>
  <c r="C372" i="57"/>
  <c r="T371" i="57"/>
  <c r="N371" i="57"/>
  <c r="J371" i="57"/>
  <c r="H371" i="57"/>
  <c r="D371" i="57"/>
  <c r="C371" i="57"/>
  <c r="T370" i="57"/>
  <c r="N370" i="57"/>
  <c r="J370" i="57"/>
  <c r="H370" i="57"/>
  <c r="D370" i="57"/>
  <c r="C370" i="57"/>
  <c r="T369" i="57"/>
  <c r="N369" i="57"/>
  <c r="J369" i="57"/>
  <c r="H369" i="57"/>
  <c r="D369" i="57"/>
  <c r="C369" i="57"/>
  <c r="T368" i="57"/>
  <c r="N368" i="57"/>
  <c r="J368" i="57"/>
  <c r="H368" i="57"/>
  <c r="D368" i="57"/>
  <c r="C368" i="57"/>
  <c r="T367" i="57"/>
  <c r="N367" i="57"/>
  <c r="J367" i="57"/>
  <c r="H367" i="57"/>
  <c r="D367" i="57"/>
  <c r="C367" i="57"/>
  <c r="T366" i="57"/>
  <c r="N366" i="57"/>
  <c r="J366" i="57"/>
  <c r="H366" i="57"/>
  <c r="D366" i="57"/>
  <c r="C366" i="57"/>
  <c r="T365" i="57"/>
  <c r="N365" i="57"/>
  <c r="J365" i="57"/>
  <c r="H365" i="57"/>
  <c r="D365" i="57"/>
  <c r="C365" i="57"/>
  <c r="T364" i="57"/>
  <c r="N364" i="57"/>
  <c r="J364" i="57"/>
  <c r="H364" i="57"/>
  <c r="D364" i="57"/>
  <c r="C364" i="57"/>
  <c r="T363" i="57"/>
  <c r="N363" i="57"/>
  <c r="J363" i="57"/>
  <c r="H363" i="57"/>
  <c r="D363" i="57"/>
  <c r="C363" i="57"/>
  <c r="T362" i="57"/>
  <c r="N362" i="57"/>
  <c r="J362" i="57"/>
  <c r="H362" i="57"/>
  <c r="D362" i="57"/>
  <c r="C362" i="57"/>
  <c r="T361" i="57"/>
  <c r="N361" i="57"/>
  <c r="J361" i="57"/>
  <c r="H361" i="57"/>
  <c r="D361" i="57"/>
  <c r="C361" i="57"/>
  <c r="T360" i="57"/>
  <c r="N360" i="57"/>
  <c r="J360" i="57"/>
  <c r="H360" i="57"/>
  <c r="D360" i="57"/>
  <c r="C360" i="57"/>
  <c r="T359" i="57"/>
  <c r="N359" i="57"/>
  <c r="J359" i="57"/>
  <c r="H359" i="57"/>
  <c r="D359" i="57"/>
  <c r="C359" i="57"/>
  <c r="N358" i="57"/>
  <c r="J358" i="57"/>
  <c r="H358" i="57"/>
  <c r="D358" i="57"/>
  <c r="C358" i="57"/>
  <c r="N357" i="57"/>
  <c r="J357" i="57"/>
  <c r="H357" i="57"/>
  <c r="D357" i="57"/>
  <c r="C357" i="57"/>
  <c r="N356" i="57"/>
  <c r="J356" i="57"/>
  <c r="H356" i="57"/>
  <c r="D356" i="57"/>
  <c r="C356" i="57"/>
  <c r="N355" i="57"/>
  <c r="J355" i="57"/>
  <c r="H355" i="57"/>
  <c r="D355" i="57"/>
  <c r="C355" i="57"/>
  <c r="N354" i="57"/>
  <c r="J354" i="57"/>
  <c r="H354" i="57"/>
  <c r="D354" i="57"/>
  <c r="C354" i="57"/>
  <c r="X353" i="57"/>
  <c r="N353" i="57"/>
  <c r="J353" i="57"/>
  <c r="H353" i="57"/>
  <c r="D353" i="57"/>
  <c r="C353" i="57"/>
  <c r="X352" i="57"/>
  <c r="N352" i="57"/>
  <c r="J352" i="57"/>
  <c r="H352" i="57"/>
  <c r="D352" i="57"/>
  <c r="C352" i="57"/>
  <c r="X351" i="57"/>
  <c r="N351" i="57"/>
  <c r="J351" i="57"/>
  <c r="H351" i="57"/>
  <c r="D351" i="57"/>
  <c r="C351" i="57"/>
  <c r="X350" i="57"/>
  <c r="N350" i="57"/>
  <c r="J350" i="57"/>
  <c r="H350" i="57"/>
  <c r="D350" i="57"/>
  <c r="C350" i="57"/>
  <c r="X349" i="57"/>
  <c r="N349" i="57"/>
  <c r="J349" i="57"/>
  <c r="H349" i="57"/>
  <c r="D349" i="57"/>
  <c r="C349" i="57"/>
  <c r="X348" i="57"/>
  <c r="N348" i="57"/>
  <c r="J348" i="57"/>
  <c r="H348" i="57"/>
  <c r="D348" i="57"/>
  <c r="C348" i="57"/>
  <c r="X347" i="57"/>
  <c r="N347" i="57"/>
  <c r="J347" i="57"/>
  <c r="H347" i="57"/>
  <c r="D347" i="57"/>
  <c r="C347" i="57"/>
  <c r="X346" i="57"/>
  <c r="V346" i="57"/>
  <c r="U346" i="57"/>
  <c r="N346" i="57"/>
  <c r="J346" i="57"/>
  <c r="H346" i="57"/>
  <c r="D346" i="57"/>
  <c r="C346" i="57"/>
  <c r="X345" i="57"/>
  <c r="N345" i="57"/>
  <c r="J345" i="57"/>
  <c r="H345" i="57"/>
  <c r="D345" i="57"/>
  <c r="C345" i="57"/>
  <c r="X344" i="57"/>
  <c r="N344" i="57"/>
  <c r="J344" i="57"/>
  <c r="H344" i="57"/>
  <c r="D344" i="57"/>
  <c r="C344" i="57"/>
  <c r="X343" i="57"/>
  <c r="N343" i="57"/>
  <c r="J343" i="57"/>
  <c r="H343" i="57"/>
  <c r="D343" i="57"/>
  <c r="C343" i="57"/>
  <c r="X342" i="57"/>
  <c r="N342" i="57"/>
  <c r="J342" i="57"/>
  <c r="H342" i="57"/>
  <c r="D342" i="57"/>
  <c r="C342" i="57"/>
  <c r="X341" i="57"/>
  <c r="N341" i="57"/>
  <c r="J341" i="57"/>
  <c r="H341" i="57"/>
  <c r="D341" i="57"/>
  <c r="C341" i="57"/>
  <c r="X340" i="57"/>
  <c r="V340" i="57"/>
  <c r="U340" i="57"/>
  <c r="N340" i="57"/>
  <c r="J340" i="57"/>
  <c r="H340" i="57"/>
  <c r="D340" i="57"/>
  <c r="C340" i="57"/>
  <c r="N339" i="57" l="1"/>
  <c r="J339" i="57"/>
  <c r="H339" i="57"/>
  <c r="D339" i="57"/>
  <c r="C339" i="57"/>
  <c r="AA434" i="57"/>
  <c r="N65" i="57"/>
  <c r="J65" i="57"/>
  <c r="H65" i="57"/>
  <c r="D65" i="57"/>
  <c r="C65" i="57"/>
  <c r="N30" i="57"/>
  <c r="J30" i="57"/>
  <c r="H30" i="57"/>
  <c r="D30" i="57"/>
  <c r="C30" i="57"/>
  <c r="N14" i="57"/>
  <c r="H14" i="57"/>
  <c r="D14" i="57"/>
  <c r="C14" i="57"/>
  <c r="N13" i="57"/>
  <c r="J13" i="57"/>
  <c r="H13" i="57"/>
  <c r="D13" i="57"/>
  <c r="C13" i="57"/>
  <c r="B340" i="57"/>
  <c r="B341" i="57" s="1"/>
  <c r="B342" i="57" s="1"/>
  <c r="B343" i="57" s="1"/>
  <c r="B344" i="57" s="1"/>
  <c r="B345" i="57" s="1"/>
  <c r="B346" i="57" s="1"/>
  <c r="B347" i="57" s="1"/>
  <c r="B348" i="57" s="1"/>
  <c r="B349" i="57" s="1"/>
  <c r="B350" i="57" s="1"/>
  <c r="B351" i="57" s="1"/>
  <c r="B352" i="57" s="1"/>
  <c r="B353" i="57" s="1"/>
  <c r="B354" i="57" s="1"/>
  <c r="B355" i="57" s="1"/>
  <c r="B356" i="57" s="1"/>
  <c r="B357" i="57" s="1"/>
  <c r="B358" i="57" s="1"/>
  <c r="B359" i="57" s="1"/>
  <c r="B360" i="57" s="1"/>
  <c r="B361" i="57" s="1"/>
  <c r="B362" i="57" s="1"/>
  <c r="B363" i="57" s="1"/>
  <c r="B364" i="57" s="1"/>
  <c r="B365" i="57" s="1"/>
  <c r="B366" i="57" s="1"/>
  <c r="B367" i="57" s="1"/>
  <c r="B368" i="57" s="1"/>
  <c r="B369" i="57" s="1"/>
  <c r="B370" i="57" s="1"/>
  <c r="B371" i="57" s="1"/>
  <c r="B372" i="57" s="1"/>
  <c r="B373" i="57" s="1"/>
  <c r="B374" i="57" s="1"/>
  <c r="B375" i="57" s="1"/>
  <c r="B376" i="57" s="1"/>
  <c r="B377" i="57" s="1"/>
  <c r="B378" i="57" s="1"/>
  <c r="B379" i="57" s="1"/>
  <c r="B380" i="57" s="1"/>
  <c r="B381" i="57" s="1"/>
  <c r="B382" i="57" s="1"/>
  <c r="B383" i="57" s="1"/>
  <c r="B384" i="57" s="1"/>
  <c r="B385" i="57" s="1"/>
  <c r="B386" i="57" s="1"/>
  <c r="B387" i="57" s="1"/>
  <c r="B388" i="57" s="1"/>
  <c r="B389" i="57" s="1"/>
  <c r="B390" i="57" s="1"/>
  <c r="B391" i="57" s="1"/>
  <c r="B392" i="57" s="1"/>
  <c r="B393" i="57" s="1"/>
  <c r="B394" i="57" s="1"/>
  <c r="B395" i="57" s="1"/>
  <c r="B396" i="57" s="1"/>
  <c r="B397" i="57" s="1"/>
  <c r="B398" i="57" s="1"/>
  <c r="B399" i="57" s="1"/>
  <c r="B400" i="57" s="1"/>
  <c r="B401" i="57" s="1"/>
  <c r="B402" i="57" s="1"/>
  <c r="B403" i="57" s="1"/>
  <c r="B404" i="57" s="1"/>
  <c r="B405" i="57" s="1"/>
  <c r="B406" i="57" s="1"/>
  <c r="B407" i="57" s="1"/>
  <c r="B408" i="57" s="1"/>
  <c r="B409" i="57" s="1"/>
  <c r="B410" i="57" s="1"/>
  <c r="B411" i="57" s="1"/>
  <c r="B412" i="57" s="1"/>
  <c r="B413" i="57" s="1"/>
  <c r="B414" i="57" s="1"/>
  <c r="B415" i="57" s="1"/>
  <c r="B416" i="57" s="1"/>
  <c r="B417" i="57" s="1"/>
  <c r="B418" i="57" s="1"/>
  <c r="B419" i="57" s="1"/>
  <c r="B420" i="57" s="1"/>
  <c r="B421" i="57" s="1"/>
  <c r="B422" i="57" s="1"/>
  <c r="B423" i="57" s="1"/>
  <c r="B424" i="57" s="1"/>
  <c r="B425" i="57" s="1"/>
  <c r="B426" i="57" s="1"/>
  <c r="B427" i="57" s="1"/>
  <c r="B428" i="57" s="1"/>
  <c r="B429" i="57" s="1"/>
  <c r="B430" i="57" s="1"/>
  <c r="B66" i="57"/>
  <c r="B67" i="57" s="1"/>
  <c r="B68" i="57" s="1"/>
  <c r="B69" i="57" s="1"/>
  <c r="B70" i="57" s="1"/>
  <c r="B71" i="57" s="1"/>
  <c r="B72" i="57" s="1"/>
  <c r="B73" i="57" s="1"/>
  <c r="B74" i="57" s="1"/>
  <c r="B75" i="57" s="1"/>
  <c r="B76" i="57" s="1"/>
  <c r="B77" i="57" s="1"/>
  <c r="B78" i="57" s="1"/>
  <c r="B79" i="57" s="1"/>
  <c r="B80" i="57" s="1"/>
  <c r="B81" i="57" s="1"/>
  <c r="B82" i="57" s="1"/>
  <c r="B83" i="57" s="1"/>
  <c r="B84" i="57" s="1"/>
  <c r="B85" i="57" s="1"/>
  <c r="B86" i="57" s="1"/>
  <c r="B87" i="57" s="1"/>
  <c r="B88" i="57" s="1"/>
  <c r="B89" i="57" s="1"/>
  <c r="B90" i="57" s="1"/>
  <c r="B91" i="57" s="1"/>
  <c r="B92" i="57" s="1"/>
  <c r="B93" i="57" s="1"/>
  <c r="B94" i="57" s="1"/>
  <c r="B95" i="57" s="1"/>
  <c r="B96" i="57" s="1"/>
  <c r="B97" i="57" s="1"/>
  <c r="B98" i="57" s="1"/>
  <c r="B99" i="57" s="1"/>
  <c r="B100" i="57" s="1"/>
  <c r="B101" i="57" s="1"/>
  <c r="B102" i="57" s="1"/>
  <c r="B103" i="57" s="1"/>
  <c r="B104" i="57" s="1"/>
  <c r="B105" i="57" s="1"/>
  <c r="B106" i="57" s="1"/>
  <c r="B107" i="57" s="1"/>
  <c r="B108" i="57" s="1"/>
  <c r="B109" i="57" s="1"/>
  <c r="B110" i="57" s="1"/>
  <c r="B111" i="57" s="1"/>
  <c r="B112" i="57" s="1"/>
  <c r="B113" i="57" s="1"/>
  <c r="B114" i="57" s="1"/>
  <c r="B115" i="57" s="1"/>
  <c r="B116" i="57" s="1"/>
  <c r="B117" i="57" s="1"/>
  <c r="B118" i="57" s="1"/>
  <c r="B119" i="57" s="1"/>
  <c r="B120" i="57" s="1"/>
  <c r="B121" i="57" s="1"/>
  <c r="B122" i="57" s="1"/>
  <c r="B123" i="57" s="1"/>
  <c r="B124" i="57" s="1"/>
  <c r="B125" i="57" s="1"/>
  <c r="B126" i="57" s="1"/>
  <c r="B127" i="57" s="1"/>
  <c r="B128" i="57" s="1"/>
  <c r="B129" i="57" s="1"/>
  <c r="B130" i="57" s="1"/>
  <c r="B131" i="57" s="1"/>
  <c r="B132" i="57" s="1"/>
  <c r="B133" i="57" s="1"/>
  <c r="B134" i="57" s="1"/>
  <c r="B135" i="57" s="1"/>
  <c r="B136" i="57" s="1"/>
  <c r="B137" i="57" s="1"/>
  <c r="B138" i="57" s="1"/>
  <c r="B139" i="57" s="1"/>
  <c r="B140" i="57" s="1"/>
  <c r="B141" i="57" s="1"/>
  <c r="B142" i="57" s="1"/>
  <c r="B143" i="57" s="1"/>
  <c r="B144" i="57" s="1"/>
  <c r="B145" i="57" s="1"/>
  <c r="B146" i="57" s="1"/>
  <c r="B147" i="57" s="1"/>
  <c r="B148" i="57" s="1"/>
  <c r="B149" i="57" s="1"/>
  <c r="B150" i="57" s="1"/>
  <c r="B151" i="57" s="1"/>
  <c r="B152" i="57" s="1"/>
  <c r="B153" i="57" s="1"/>
  <c r="B154" i="57" s="1"/>
  <c r="B155" i="57" s="1"/>
  <c r="B156" i="57" s="1"/>
  <c r="B157" i="57" s="1"/>
  <c r="B158" i="57" s="1"/>
  <c r="B159" i="57" s="1"/>
  <c r="B160" i="57" s="1"/>
  <c r="B161" i="57" s="1"/>
  <c r="B162" i="57" s="1"/>
  <c r="B163" i="57" s="1"/>
  <c r="B164" i="57" s="1"/>
  <c r="B165" i="57" s="1"/>
  <c r="B166" i="57" s="1"/>
  <c r="B167" i="57" s="1"/>
  <c r="B168" i="57" s="1"/>
  <c r="B169" i="57" s="1"/>
  <c r="B170" i="57" s="1"/>
  <c r="B171" i="57" s="1"/>
  <c r="B172" i="57" s="1"/>
  <c r="B173" i="57" s="1"/>
  <c r="B174" i="57" s="1"/>
  <c r="B175" i="57" s="1"/>
  <c r="B176" i="57" s="1"/>
  <c r="B177" i="57" s="1"/>
  <c r="B178" i="57" s="1"/>
  <c r="B179" i="57" s="1"/>
  <c r="B180" i="57" s="1"/>
  <c r="B181" i="57" s="1"/>
  <c r="B182" i="57" s="1"/>
  <c r="B183" i="57" s="1"/>
  <c r="B184" i="57" s="1"/>
  <c r="B185" i="57" s="1"/>
  <c r="B186" i="57" s="1"/>
  <c r="B187" i="57" s="1"/>
  <c r="B188" i="57" s="1"/>
  <c r="B189" i="57" s="1"/>
  <c r="B190" i="57" s="1"/>
  <c r="B191" i="57" s="1"/>
  <c r="B192" i="57" s="1"/>
  <c r="B193" i="57" s="1"/>
  <c r="B194" i="57" s="1"/>
  <c r="B195" i="57" s="1"/>
  <c r="B196" i="57" s="1"/>
  <c r="B197" i="57" s="1"/>
  <c r="B198" i="57" s="1"/>
  <c r="B199" i="57" s="1"/>
  <c r="B200" i="57" s="1"/>
  <c r="B201" i="57" s="1"/>
  <c r="B202" i="57" s="1"/>
  <c r="B203" i="57" s="1"/>
  <c r="B204" i="57" s="1"/>
  <c r="B205" i="57" s="1"/>
  <c r="B206" i="57" s="1"/>
  <c r="B207" i="57" s="1"/>
  <c r="B208" i="57" s="1"/>
  <c r="B209" i="57" s="1"/>
  <c r="B210" i="57" s="1"/>
  <c r="B211" i="57" s="1"/>
  <c r="B212" i="57" s="1"/>
  <c r="B213" i="57" s="1"/>
  <c r="B214" i="57" s="1"/>
  <c r="B215" i="57" s="1"/>
  <c r="B216" i="57" s="1"/>
  <c r="B217" i="57" s="1"/>
  <c r="B218" i="57" s="1"/>
  <c r="B219" i="57" s="1"/>
  <c r="B220" i="57" s="1"/>
  <c r="B221" i="57" s="1"/>
  <c r="B222" i="57" s="1"/>
  <c r="B223" i="57" s="1"/>
  <c r="B224" i="57" s="1"/>
  <c r="B225" i="57" s="1"/>
  <c r="B226" i="57" s="1"/>
  <c r="B227" i="57" s="1"/>
  <c r="B228" i="57" s="1"/>
  <c r="B229" i="57" s="1"/>
  <c r="B230" i="57" s="1"/>
  <c r="B231" i="57" s="1"/>
  <c r="B232" i="57" s="1"/>
  <c r="B233" i="57" s="1"/>
  <c r="B234" i="57" s="1"/>
  <c r="B235" i="57" s="1"/>
  <c r="B236" i="57" s="1"/>
  <c r="B237" i="57" s="1"/>
  <c r="B238" i="57" s="1"/>
  <c r="B239" i="57" s="1"/>
  <c r="B240" i="57" s="1"/>
  <c r="B241" i="57" s="1"/>
  <c r="B242" i="57" s="1"/>
  <c r="B243" i="57" s="1"/>
  <c r="B244" i="57" s="1"/>
  <c r="B245" i="57" s="1"/>
  <c r="B246" i="57" s="1"/>
  <c r="B247" i="57" s="1"/>
  <c r="B248" i="57" s="1"/>
  <c r="B249" i="57" s="1"/>
  <c r="B250" i="57" s="1"/>
  <c r="B251" i="57" s="1"/>
  <c r="B252" i="57" s="1"/>
  <c r="B253" i="57" s="1"/>
  <c r="B254" i="57" s="1"/>
  <c r="B255" i="57" s="1"/>
  <c r="B256" i="57" s="1"/>
  <c r="B257" i="57" s="1"/>
  <c r="B258" i="57" s="1"/>
  <c r="B259" i="57" s="1"/>
  <c r="B260" i="57" s="1"/>
  <c r="B261" i="57" s="1"/>
  <c r="B262" i="57" s="1"/>
  <c r="B263" i="57" s="1"/>
  <c r="B264" i="57" s="1"/>
  <c r="B265" i="57" s="1"/>
  <c r="B266" i="57" s="1"/>
  <c r="B267" i="57" s="1"/>
  <c r="B268" i="57" s="1"/>
  <c r="B269" i="57" s="1"/>
  <c r="B270" i="57" s="1"/>
  <c r="B271" i="57" s="1"/>
  <c r="B272" i="57" s="1"/>
  <c r="B273" i="57" s="1"/>
  <c r="B274" i="57" s="1"/>
  <c r="B275" i="57" s="1"/>
  <c r="B276" i="57" s="1"/>
  <c r="B277" i="57" s="1"/>
  <c r="B278" i="57" s="1"/>
  <c r="B279" i="57" s="1"/>
  <c r="B280" i="57" s="1"/>
  <c r="B281" i="57" s="1"/>
  <c r="B282" i="57" s="1"/>
  <c r="B283" i="57" s="1"/>
  <c r="B284" i="57" s="1"/>
  <c r="B285" i="57" s="1"/>
  <c r="B286" i="57" s="1"/>
  <c r="B287" i="57" s="1"/>
  <c r="B288" i="57" s="1"/>
  <c r="B289" i="57" s="1"/>
  <c r="B290" i="57" s="1"/>
  <c r="B291" i="57" s="1"/>
  <c r="B292" i="57" s="1"/>
  <c r="B293" i="57" s="1"/>
  <c r="B294" i="57" s="1"/>
  <c r="B295" i="57" s="1"/>
  <c r="B296" i="57" s="1"/>
  <c r="B297" i="57" s="1"/>
  <c r="B298" i="57" s="1"/>
  <c r="B299" i="57" s="1"/>
  <c r="B300" i="57" s="1"/>
  <c r="B301" i="57" s="1"/>
  <c r="B302" i="57" s="1"/>
  <c r="B303" i="57" s="1"/>
  <c r="B304" i="57" s="1"/>
  <c r="B305" i="57" s="1"/>
  <c r="B306" i="57" s="1"/>
  <c r="B307" i="57" s="1"/>
  <c r="B308" i="57" s="1"/>
  <c r="B309" i="57" s="1"/>
  <c r="B310" i="57" s="1"/>
  <c r="B311" i="57" s="1"/>
  <c r="B312" i="57" s="1"/>
  <c r="B313" i="57" s="1"/>
  <c r="B314" i="57" s="1"/>
  <c r="B315" i="57" s="1"/>
  <c r="B316" i="57" s="1"/>
  <c r="B317" i="57" s="1"/>
  <c r="B318" i="57" s="1"/>
  <c r="B319" i="57" s="1"/>
  <c r="B320" i="57" s="1"/>
  <c r="B321" i="57" s="1"/>
  <c r="B322" i="57" s="1"/>
  <c r="B323" i="57" s="1"/>
  <c r="B31" i="57"/>
  <c r="B32" i="57" s="1"/>
  <c r="B33" i="57" s="1"/>
  <c r="B34" i="57" s="1"/>
  <c r="B35" i="57" s="1"/>
  <c r="B36" i="57" s="1"/>
  <c r="B37" i="57" s="1"/>
  <c r="B38" i="57" s="1"/>
  <c r="B39" i="57" s="1"/>
  <c r="B40" i="57" s="1"/>
  <c r="B41" i="57" s="1"/>
  <c r="B42" i="57" s="1"/>
  <c r="B43" i="57" s="1"/>
  <c r="B44" i="57" s="1"/>
  <c r="B45" i="57" s="1"/>
  <c r="B46" i="57" s="1"/>
  <c r="B47" i="57" s="1"/>
  <c r="B48" i="57" s="1"/>
  <c r="B49" i="57" s="1"/>
  <c r="B50" i="57" s="1"/>
  <c r="B51" i="57" s="1"/>
  <c r="B52" i="57" s="1"/>
  <c r="B53" i="57" s="1"/>
  <c r="B54" i="57" s="1"/>
  <c r="X30" i="57"/>
  <c r="T30" i="57"/>
  <c r="D1" i="57"/>
  <c r="B434" i="57" l="1"/>
  <c r="DR220" i="1" l="1"/>
  <c r="DP220" i="1"/>
  <c r="DO220" i="1"/>
  <c r="DN220" i="1"/>
  <c r="CI220" i="1"/>
  <c r="CA220" i="1"/>
  <c r="L216" i="42" s="1"/>
  <c r="BD220" i="1"/>
  <c r="AZ220" i="1"/>
  <c r="AQ220" i="1"/>
  <c r="AO220" i="1"/>
  <c r="AC220" i="1"/>
  <c r="T220" i="1"/>
  <c r="Q220" i="1"/>
  <c r="CT220" i="1" l="1"/>
  <c r="AT220" i="1"/>
  <c r="CH220" i="1" s="1"/>
  <c r="V220" i="1"/>
  <c r="DR143" i="1"/>
  <c r="DP143" i="1"/>
  <c r="DO143" i="1"/>
  <c r="DN143" i="1"/>
  <c r="CI143" i="1"/>
  <c r="CA143" i="1"/>
  <c r="L139" i="42" s="1"/>
  <c r="BF143" i="1"/>
  <c r="BD143" i="1"/>
  <c r="AZ143" i="1"/>
  <c r="AW143" i="1"/>
  <c r="AQ143" i="1"/>
  <c r="AO143" i="1"/>
  <c r="AC143" i="1"/>
  <c r="T143" i="1"/>
  <c r="Q143" i="1"/>
  <c r="J68" i="1"/>
  <c r="CT143" i="1" l="1"/>
  <c r="CP143" i="1"/>
  <c r="W220" i="1"/>
  <c r="AT143" i="1"/>
  <c r="CH143" i="1" s="1"/>
  <c r="V143" i="1"/>
  <c r="BP303" i="1"/>
  <c r="I478" i="55"/>
  <c r="I390" i="55"/>
  <c r="I45" i="55"/>
  <c r="W143" i="1" l="1"/>
  <c r="D478" i="55"/>
  <c r="D390" i="55"/>
  <c r="J390" i="55" s="1"/>
  <c r="D45" i="55"/>
  <c r="D12" i="55"/>
  <c r="G6" i="55"/>
  <c r="H108" i="55" s="1"/>
  <c r="BI14" i="1"/>
  <c r="BI13" i="1"/>
  <c r="BJ13" i="1" s="1"/>
  <c r="H375" i="55" l="1"/>
  <c r="H257" i="55"/>
  <c r="J478" i="55"/>
  <c r="J45" i="55"/>
  <c r="H475" i="55"/>
  <c r="H471" i="55"/>
  <c r="H468" i="55"/>
  <c r="H465" i="55"/>
  <c r="H462" i="55"/>
  <c r="H459" i="55"/>
  <c r="H456" i="55"/>
  <c r="H454" i="55"/>
  <c r="H451" i="55"/>
  <c r="H448" i="55"/>
  <c r="H447" i="55"/>
  <c r="H444" i="55"/>
  <c r="H440" i="55"/>
  <c r="H437" i="55"/>
  <c r="H432" i="55"/>
  <c r="H431" i="55"/>
  <c r="H428" i="55"/>
  <c r="H422" i="55"/>
  <c r="H420" i="55"/>
  <c r="H418" i="55"/>
  <c r="H412" i="55"/>
  <c r="H410" i="55"/>
  <c r="H408" i="55"/>
  <c r="H404" i="55"/>
  <c r="H400" i="55"/>
  <c r="H398" i="55"/>
  <c r="H396" i="55"/>
  <c r="H387" i="55"/>
  <c r="H385" i="55"/>
  <c r="H381" i="55"/>
  <c r="H379" i="55"/>
  <c r="H373" i="55"/>
  <c r="H369" i="55"/>
  <c r="H365" i="55"/>
  <c r="H362" i="55"/>
  <c r="H359" i="55"/>
  <c r="H357" i="55"/>
  <c r="H352" i="55"/>
  <c r="H349" i="55"/>
  <c r="H345" i="55"/>
  <c r="H341" i="55"/>
  <c r="H338" i="55"/>
  <c r="H335" i="55"/>
  <c r="H331" i="55"/>
  <c r="H328" i="55"/>
  <c r="H325" i="55"/>
  <c r="H322" i="55"/>
  <c r="H319" i="55"/>
  <c r="H316" i="55"/>
  <c r="H313" i="55"/>
  <c r="H310" i="55"/>
  <c r="H306" i="55"/>
  <c r="H304" i="55"/>
  <c r="H301" i="55"/>
  <c r="H298" i="55"/>
  <c r="H295" i="55"/>
  <c r="H291" i="55"/>
  <c r="H288" i="55"/>
  <c r="H285" i="55"/>
  <c r="H283" i="55"/>
  <c r="H281" i="55"/>
  <c r="H278" i="55"/>
  <c r="H275" i="55"/>
  <c r="H272" i="55"/>
  <c r="H269" i="55"/>
  <c r="H267" i="55"/>
  <c r="H264" i="55"/>
  <c r="H260" i="55"/>
  <c r="H255" i="55"/>
  <c r="H252" i="55"/>
  <c r="H248" i="55"/>
  <c r="H473" i="55"/>
  <c r="H467" i="55"/>
  <c r="H460" i="55"/>
  <c r="H455" i="55"/>
  <c r="H450" i="55"/>
  <c r="H445" i="55"/>
  <c r="H435" i="55"/>
  <c r="H425" i="55"/>
  <c r="H416" i="55"/>
  <c r="H411" i="55"/>
  <c r="H406" i="55"/>
  <c r="H394" i="55"/>
  <c r="H386" i="55"/>
  <c r="H371" i="55"/>
  <c r="H363" i="55"/>
  <c r="H354" i="55"/>
  <c r="H347" i="55"/>
  <c r="H339" i="55"/>
  <c r="H333" i="55"/>
  <c r="H326" i="55"/>
  <c r="H320" i="55"/>
  <c r="H314" i="55"/>
  <c r="H308" i="55"/>
  <c r="H303" i="55"/>
  <c r="H296" i="55"/>
  <c r="H289" i="55"/>
  <c r="H280" i="55"/>
  <c r="H274" i="55"/>
  <c r="H262" i="55"/>
  <c r="H253" i="55"/>
  <c r="H247" i="55"/>
  <c r="H244" i="55"/>
  <c r="H241" i="55"/>
  <c r="H237" i="55"/>
  <c r="H233" i="55"/>
  <c r="H229" i="55"/>
  <c r="H226" i="55"/>
  <c r="H223" i="55"/>
  <c r="H220" i="55"/>
  <c r="H215" i="55"/>
  <c r="H213" i="55"/>
  <c r="H211" i="55"/>
  <c r="H209" i="55"/>
  <c r="H206" i="55"/>
  <c r="H203" i="55"/>
  <c r="H201" i="55"/>
  <c r="H197" i="55"/>
  <c r="H194" i="55"/>
  <c r="H189" i="55"/>
  <c r="H185" i="55"/>
  <c r="H183" i="55"/>
  <c r="H180" i="55"/>
  <c r="H175" i="55"/>
  <c r="H172" i="55"/>
  <c r="H171" i="55"/>
  <c r="H166" i="55"/>
  <c r="H163" i="55"/>
  <c r="H160" i="55"/>
  <c r="H158" i="55"/>
  <c r="H155" i="55"/>
  <c r="H150" i="55"/>
  <c r="H147" i="55"/>
  <c r="H145" i="55"/>
  <c r="H142" i="55"/>
  <c r="H140" i="55"/>
  <c r="H138" i="55"/>
  <c r="H134" i="55"/>
  <c r="H130" i="55"/>
  <c r="H124" i="55"/>
  <c r="H121" i="55"/>
  <c r="H117" i="55"/>
  <c r="H115" i="55"/>
  <c r="H112" i="55"/>
  <c r="H106" i="55"/>
  <c r="H104" i="55"/>
  <c r="H101" i="55"/>
  <c r="H98" i="55"/>
  <c r="H94" i="55"/>
  <c r="H91" i="55"/>
  <c r="H89" i="55"/>
  <c r="H84" i="55"/>
  <c r="H78" i="55"/>
  <c r="H74" i="55"/>
  <c r="H69" i="55"/>
  <c r="H65" i="55"/>
  <c r="H61" i="55"/>
  <c r="H57" i="55"/>
  <c r="H53" i="55"/>
  <c r="H51" i="55"/>
  <c r="H42" i="55"/>
  <c r="H38" i="55"/>
  <c r="H35" i="55"/>
  <c r="H32" i="55"/>
  <c r="H29" i="55"/>
  <c r="H21" i="55"/>
  <c r="H19" i="55"/>
  <c r="H17" i="55"/>
  <c r="H469" i="55"/>
  <c r="H464" i="55"/>
  <c r="H457" i="55"/>
  <c r="H453" i="55"/>
  <c r="H442" i="55"/>
  <c r="H438" i="55"/>
  <c r="H433" i="55"/>
  <c r="H430" i="55"/>
  <c r="H427" i="55"/>
  <c r="H424" i="55"/>
  <c r="H419" i="55"/>
  <c r="H414" i="55"/>
  <c r="H402" i="55"/>
  <c r="H383" i="55"/>
  <c r="H367" i="55"/>
  <c r="H360" i="55"/>
  <c r="H356" i="55"/>
  <c r="H351" i="55"/>
  <c r="H343" i="55"/>
  <c r="H336" i="55"/>
  <c r="H330" i="55"/>
  <c r="H323" i="55"/>
  <c r="H317" i="55"/>
  <c r="H311" i="55"/>
  <c r="H300" i="55"/>
  <c r="H293" i="55"/>
  <c r="H286" i="55"/>
  <c r="H277" i="55"/>
  <c r="H271" i="55"/>
  <c r="H25" i="55"/>
  <c r="H31" i="55"/>
  <c r="H40" i="55"/>
  <c r="H49" i="55"/>
  <c r="H55" i="55"/>
  <c r="H63" i="55"/>
  <c r="H70" i="55"/>
  <c r="H76" i="55"/>
  <c r="H85" i="55"/>
  <c r="H87" i="55"/>
  <c r="H93" i="55"/>
  <c r="H100" i="55"/>
  <c r="H114" i="55"/>
  <c r="H119" i="55"/>
  <c r="H126" i="55"/>
  <c r="H131" i="55"/>
  <c r="H136" i="55"/>
  <c r="H144" i="55"/>
  <c r="H149" i="55"/>
  <c r="H153" i="55"/>
  <c r="H167" i="55"/>
  <c r="H176" i="55"/>
  <c r="H191" i="55"/>
  <c r="H196" i="55"/>
  <c r="H218" i="55"/>
  <c r="H224" i="55"/>
  <c r="H234" i="55"/>
  <c r="H239" i="55"/>
  <c r="H246" i="55"/>
  <c r="H259" i="55"/>
  <c r="H15" i="55"/>
  <c r="H23" i="55"/>
  <c r="H27" i="55"/>
  <c r="H34" i="55"/>
  <c r="H37" i="55"/>
  <c r="H59" i="55"/>
  <c r="H67" i="55"/>
  <c r="H72" i="55"/>
  <c r="H80" i="55"/>
  <c r="H82" i="55"/>
  <c r="H96" i="55"/>
  <c r="H103" i="55"/>
  <c r="H110" i="55"/>
  <c r="H122" i="55"/>
  <c r="H128" i="55"/>
  <c r="H133" i="55"/>
  <c r="H141" i="55"/>
  <c r="H151" i="55"/>
  <c r="H157" i="55"/>
  <c r="H161" i="55"/>
  <c r="H164" i="55"/>
  <c r="H169" i="55"/>
  <c r="H174" i="55"/>
  <c r="H178" i="55"/>
  <c r="H182" i="55"/>
  <c r="H187" i="55"/>
  <c r="H193" i="55"/>
  <c r="H199" i="55"/>
  <c r="H204" i="55"/>
  <c r="H208" i="55"/>
  <c r="H216" i="55"/>
  <c r="H221" i="55"/>
  <c r="H227" i="55"/>
  <c r="H231" i="55"/>
  <c r="H236" i="55"/>
  <c r="H243" i="55"/>
  <c r="H250" i="55"/>
  <c r="H266" i="55"/>
  <c r="D481" i="55"/>
  <c r="B411" i="1" l="1"/>
  <c r="B414" i="1" s="1"/>
  <c r="DR70" i="1"/>
  <c r="DP70" i="1"/>
  <c r="DO70" i="1"/>
  <c r="DN70" i="1"/>
  <c r="CI70" i="1"/>
  <c r="CA70" i="1"/>
  <c r="L66" i="42" s="1"/>
  <c r="BD70" i="1"/>
  <c r="AZ70" i="1"/>
  <c r="AQ70" i="1"/>
  <c r="AO70" i="1"/>
  <c r="AC70" i="1"/>
  <c r="T70" i="1"/>
  <c r="Q70" i="1"/>
  <c r="CT70" i="1" l="1"/>
  <c r="AT70" i="1"/>
  <c r="CH70" i="1" s="1"/>
  <c r="V70" i="1"/>
  <c r="W70" i="1" l="1"/>
  <c r="DR189" i="1" l="1"/>
  <c r="DP189" i="1"/>
  <c r="DO189" i="1"/>
  <c r="DN189" i="1"/>
  <c r="CI189" i="1"/>
  <c r="CA189" i="1"/>
  <c r="L185" i="42" s="1"/>
  <c r="BD189" i="1"/>
  <c r="AZ189" i="1"/>
  <c r="AQ189" i="1"/>
  <c r="AO189" i="1"/>
  <c r="AC189" i="1"/>
  <c r="T189" i="1"/>
  <c r="Q189" i="1"/>
  <c r="T294" i="1"/>
  <c r="DR40" i="1"/>
  <c r="DP40" i="1"/>
  <c r="DO40" i="1"/>
  <c r="DN40" i="1"/>
  <c r="CI40" i="1"/>
  <c r="CA40" i="1"/>
  <c r="L36" i="42" s="1"/>
  <c r="BF40" i="1"/>
  <c r="BD40" i="1"/>
  <c r="AZ40" i="1"/>
  <c r="AW40" i="1"/>
  <c r="AQ40" i="1"/>
  <c r="AO40" i="1"/>
  <c r="AC40" i="1"/>
  <c r="R53" i="57" s="1"/>
  <c r="T40" i="1"/>
  <c r="Q40" i="1"/>
  <c r="AN170" i="1"/>
  <c r="T170" i="1"/>
  <c r="DR39" i="1"/>
  <c r="DP39" i="1"/>
  <c r="DO39" i="1"/>
  <c r="DN39" i="1"/>
  <c r="CI39" i="1"/>
  <c r="CA39" i="1"/>
  <c r="L35" i="42" s="1"/>
  <c r="BF39" i="1"/>
  <c r="BD39" i="1"/>
  <c r="AZ39" i="1"/>
  <c r="AW39" i="1"/>
  <c r="AQ39" i="1"/>
  <c r="AO39" i="1"/>
  <c r="AC39" i="1"/>
  <c r="R52" i="57" s="1"/>
  <c r="T39" i="1"/>
  <c r="Q39" i="1"/>
  <c r="CT40" i="1" l="1"/>
  <c r="CT189" i="1"/>
  <c r="CT39" i="1"/>
  <c r="AC327" i="58"/>
  <c r="AC435" i="58" s="1"/>
  <c r="CP39" i="1"/>
  <c r="CP40" i="1"/>
  <c r="V39" i="1"/>
  <c r="W39" i="1" s="1"/>
  <c r="V40" i="1"/>
  <c r="W40" i="1" s="1"/>
  <c r="V189" i="1"/>
  <c r="W189" i="1" s="1"/>
  <c r="AT189" i="1"/>
  <c r="CH189" i="1" s="1"/>
  <c r="AT39" i="1"/>
  <c r="CH39" i="1" s="1"/>
  <c r="AT40" i="1"/>
  <c r="CH40" i="1" s="1"/>
  <c r="BH14" i="1"/>
  <c r="O52" i="57" l="1"/>
  <c r="O53" i="57"/>
  <c r="D1" i="1"/>
  <c r="DR346" i="1" l="1"/>
  <c r="DP346" i="1"/>
  <c r="DO346" i="1"/>
  <c r="DN346" i="1"/>
  <c r="CI346" i="1"/>
  <c r="CA346" i="1"/>
  <c r="BJ346" i="1"/>
  <c r="BD346" i="1"/>
  <c r="AZ346" i="1"/>
  <c r="AW346" i="1"/>
  <c r="AQ346" i="1"/>
  <c r="AO346" i="1"/>
  <c r="AC346" i="1"/>
  <c r="R380" i="57" s="1"/>
  <c r="T346" i="1"/>
  <c r="DR364" i="1"/>
  <c r="DP364" i="1"/>
  <c r="DO364" i="1"/>
  <c r="DN364" i="1"/>
  <c r="CI364" i="1"/>
  <c r="CA364" i="1"/>
  <c r="BJ364" i="1"/>
  <c r="BD364" i="1"/>
  <c r="AZ364" i="1"/>
  <c r="AW364" i="1"/>
  <c r="AQ364" i="1"/>
  <c r="AO364" i="1"/>
  <c r="AC364" i="1"/>
  <c r="R398" i="57" s="1"/>
  <c r="T364" i="1"/>
  <c r="CT364" i="1" l="1"/>
  <c r="L360" i="42"/>
  <c r="CT346" i="1"/>
  <c r="L342" i="42"/>
  <c r="CP364" i="1"/>
  <c r="CP346" i="1"/>
  <c r="Y398" i="57"/>
  <c r="Y380" i="57"/>
  <c r="V346" i="1"/>
  <c r="W346" i="1" s="1"/>
  <c r="AT346" i="1"/>
  <c r="CH346" i="1" s="1"/>
  <c r="AT364" i="1"/>
  <c r="CH364" i="1" s="1"/>
  <c r="V364" i="1"/>
  <c r="O380" i="57" l="1"/>
  <c r="W364" i="1"/>
  <c r="O398" i="57" l="1"/>
  <c r="DR384" i="1"/>
  <c r="DP384" i="1"/>
  <c r="DO384" i="1"/>
  <c r="DN384" i="1"/>
  <c r="CI384" i="1"/>
  <c r="CA384" i="1"/>
  <c r="BJ384" i="1"/>
  <c r="BD384" i="1"/>
  <c r="AZ384" i="1"/>
  <c r="AQ384" i="1"/>
  <c r="AO384" i="1"/>
  <c r="AC384" i="1"/>
  <c r="R418" i="57" s="1"/>
  <c r="T384" i="1"/>
  <c r="CT384" i="1" l="1"/>
  <c r="L380" i="42"/>
  <c r="Y418" i="57"/>
  <c r="AT384" i="1"/>
  <c r="CH384" i="1" s="1"/>
  <c r="V384" i="1"/>
  <c r="DR259" i="1"/>
  <c r="DP259" i="1"/>
  <c r="DO259" i="1"/>
  <c r="DN259" i="1"/>
  <c r="CI259" i="1"/>
  <c r="CA259" i="1"/>
  <c r="L255" i="42" s="1"/>
  <c r="BD259" i="1"/>
  <c r="AZ259" i="1"/>
  <c r="AQ259" i="1"/>
  <c r="AO259" i="1"/>
  <c r="AC259" i="1"/>
  <c r="T259" i="1"/>
  <c r="Q259" i="1"/>
  <c r="DR260" i="1"/>
  <c r="DP260" i="1"/>
  <c r="DO260" i="1"/>
  <c r="DN260" i="1"/>
  <c r="CI260" i="1"/>
  <c r="CA260" i="1"/>
  <c r="L256" i="42" s="1"/>
  <c r="BD260" i="1"/>
  <c r="AZ260" i="1"/>
  <c r="AQ260" i="1"/>
  <c r="AO260" i="1"/>
  <c r="AC260" i="1"/>
  <c r="T260" i="1"/>
  <c r="Q260" i="1"/>
  <c r="V260" i="1" l="1"/>
  <c r="W260" i="1" s="1"/>
  <c r="V259" i="1"/>
  <c r="W259" i="1" s="1"/>
  <c r="W384" i="1"/>
  <c r="CT260" i="1"/>
  <c r="CT259" i="1"/>
  <c r="AT259" i="1"/>
  <c r="CH259" i="1" s="1"/>
  <c r="AT260" i="1"/>
  <c r="CH260" i="1" s="1"/>
  <c r="CA139" i="1"/>
  <c r="L135" i="42" s="1"/>
  <c r="AO139" i="1"/>
  <c r="AH139" i="1"/>
  <c r="T139" i="1"/>
  <c r="DR286" i="1"/>
  <c r="DP286" i="1"/>
  <c r="DO286" i="1"/>
  <c r="DN286" i="1"/>
  <c r="CI286" i="1"/>
  <c r="CA286" i="1"/>
  <c r="L282" i="42" s="1"/>
  <c r="BF286" i="1"/>
  <c r="BD286" i="1"/>
  <c r="AZ286" i="1"/>
  <c r="O418" i="57" l="1"/>
  <c r="CT286" i="1"/>
  <c r="AW286" i="1"/>
  <c r="AQ286" i="1"/>
  <c r="AO286" i="1"/>
  <c r="AC286" i="1"/>
  <c r="T286" i="1"/>
  <c r="Q286" i="1"/>
  <c r="V286" i="1" l="1"/>
  <c r="W286" i="1" s="1"/>
  <c r="CP286" i="1"/>
  <c r="AT286" i="1"/>
  <c r="CH286" i="1" s="1"/>
  <c r="DR246" i="1"/>
  <c r="DP246" i="1"/>
  <c r="DO246" i="1"/>
  <c r="DN246" i="1"/>
  <c r="CI246" i="1"/>
  <c r="CA246" i="1"/>
  <c r="L242" i="42" s="1"/>
  <c r="BF246" i="1"/>
  <c r="BD246" i="1"/>
  <c r="AZ246" i="1"/>
  <c r="AW384" i="1" l="1"/>
  <c r="CT246" i="1"/>
  <c r="AW246" i="1"/>
  <c r="AQ246" i="1"/>
  <c r="AO246" i="1"/>
  <c r="AC246" i="1"/>
  <c r="T246" i="1"/>
  <c r="Q246" i="1"/>
  <c r="V246" i="1" l="1"/>
  <c r="W246" i="1" s="1"/>
  <c r="CP384" i="1"/>
  <c r="CP246" i="1"/>
  <c r="AT246" i="1"/>
  <c r="CH246" i="1" s="1"/>
  <c r="AN253" i="1"/>
  <c r="J267" i="1"/>
  <c r="J208" i="1"/>
  <c r="J193" i="1"/>
  <c r="J96" i="1"/>
  <c r="J79" i="1"/>
  <c r="J58" i="1"/>
  <c r="DR38" i="1"/>
  <c r="DP38" i="1"/>
  <c r="DO38" i="1"/>
  <c r="DN38" i="1"/>
  <c r="CI38" i="1"/>
  <c r="CA38" i="1"/>
  <c r="L34" i="42" s="1"/>
  <c r="BF38" i="1"/>
  <c r="BD38" i="1"/>
  <c r="AZ38" i="1"/>
  <c r="AW38" i="1"/>
  <c r="AQ38" i="1"/>
  <c r="AO38" i="1"/>
  <c r="AC38" i="1"/>
  <c r="R51" i="57" s="1"/>
  <c r="T38" i="1"/>
  <c r="Q38" i="1"/>
  <c r="CP38" i="1" l="1"/>
  <c r="CT38" i="1"/>
  <c r="AT38" i="1"/>
  <c r="CH38" i="1" s="1"/>
  <c r="V38" i="1"/>
  <c r="W38" i="1" l="1"/>
  <c r="O51" i="57" l="1"/>
  <c r="R6" i="53"/>
  <c r="N6" i="53"/>
  <c r="H4" i="53"/>
  <c r="CJ397" i="1"/>
  <c r="CJ42" i="1"/>
  <c r="CJ303" i="1"/>
  <c r="CJ15" i="1"/>
  <c r="BG397" i="1"/>
  <c r="CJ400" i="1" l="1"/>
  <c r="G6" i="53" s="1"/>
  <c r="BF37" i="1"/>
  <c r="D459" i="20" l="1"/>
  <c r="DR381" i="1"/>
  <c r="DP381" i="1"/>
  <c r="DO381" i="1"/>
  <c r="DN381" i="1"/>
  <c r="CI381" i="1"/>
  <c r="CA381" i="1"/>
  <c r="L377" i="42" s="1"/>
  <c r="BJ381" i="1"/>
  <c r="BD381" i="1"/>
  <c r="AZ381" i="1"/>
  <c r="AQ381" i="1"/>
  <c r="AO381" i="1"/>
  <c r="AC381" i="1"/>
  <c r="R415" i="57" s="1"/>
  <c r="T381" i="1"/>
  <c r="Y415" i="57" l="1"/>
  <c r="CT381" i="1"/>
  <c r="AT381" i="1"/>
  <c r="CH381" i="1" s="1"/>
  <c r="V381" i="1"/>
  <c r="W381" i="1" l="1"/>
  <c r="O415" i="57" l="1"/>
  <c r="DR297" i="1"/>
  <c r="DP297" i="1"/>
  <c r="DO297" i="1"/>
  <c r="DN297" i="1"/>
  <c r="CI297" i="1"/>
  <c r="CA297" i="1"/>
  <c r="L293" i="42" s="1"/>
  <c r="BD297" i="1"/>
  <c r="AZ297" i="1"/>
  <c r="AQ297" i="1"/>
  <c r="AO297" i="1"/>
  <c r="AC297" i="1"/>
  <c r="T297" i="1"/>
  <c r="Q297" i="1"/>
  <c r="CT297" i="1" l="1"/>
  <c r="AT297" i="1"/>
  <c r="CH297" i="1" s="1"/>
  <c r="V297" i="1"/>
  <c r="Q193" i="1"/>
  <c r="W297" i="1" l="1"/>
  <c r="AA335" i="52" l="1"/>
  <c r="W335" i="52"/>
  <c r="N335" i="52"/>
  <c r="H335" i="52"/>
  <c r="D335" i="52"/>
  <c r="C335" i="52"/>
  <c r="AA334" i="52"/>
  <c r="W334" i="52"/>
  <c r="N334" i="52"/>
  <c r="J334" i="52"/>
  <c r="H334" i="52"/>
  <c r="D334" i="52"/>
  <c r="C334" i="52"/>
  <c r="AA333" i="52"/>
  <c r="W333" i="52"/>
  <c r="N333" i="52"/>
  <c r="J333" i="52"/>
  <c r="H333" i="52"/>
  <c r="D333" i="52"/>
  <c r="C333" i="52"/>
  <c r="AA332" i="52"/>
  <c r="W332" i="52"/>
  <c r="N332" i="52"/>
  <c r="J332" i="52"/>
  <c r="H332" i="52"/>
  <c r="D332" i="52"/>
  <c r="C332" i="52"/>
  <c r="AA331" i="52"/>
  <c r="W331" i="52"/>
  <c r="N331" i="52"/>
  <c r="J331" i="52"/>
  <c r="H331" i="52"/>
  <c r="D331" i="52"/>
  <c r="C331" i="52"/>
  <c r="AA330" i="52"/>
  <c r="W330" i="52"/>
  <c r="N330" i="52"/>
  <c r="J330" i="52"/>
  <c r="H330" i="52"/>
  <c r="D330" i="52"/>
  <c r="C330" i="52"/>
  <c r="AA329" i="52"/>
  <c r="W329" i="52"/>
  <c r="N329" i="52"/>
  <c r="J329" i="52"/>
  <c r="H329" i="52"/>
  <c r="D329" i="52"/>
  <c r="C329" i="52"/>
  <c r="AA328" i="52"/>
  <c r="W328" i="52"/>
  <c r="N328" i="52"/>
  <c r="J328" i="52"/>
  <c r="H328" i="52"/>
  <c r="D328" i="52"/>
  <c r="C328" i="52"/>
  <c r="AA327" i="52"/>
  <c r="W327" i="52"/>
  <c r="N327" i="52"/>
  <c r="J327" i="52"/>
  <c r="H327" i="52"/>
  <c r="D327" i="52"/>
  <c r="C327" i="52"/>
  <c r="AA326" i="52"/>
  <c r="W326" i="52"/>
  <c r="N326" i="52"/>
  <c r="J326" i="52"/>
  <c r="H326" i="52"/>
  <c r="D326" i="52"/>
  <c r="C326" i="52"/>
  <c r="AA325" i="52"/>
  <c r="W325" i="52"/>
  <c r="N325" i="52"/>
  <c r="J325" i="52"/>
  <c r="H325" i="52"/>
  <c r="D325" i="52"/>
  <c r="C325" i="52"/>
  <c r="AA324" i="52"/>
  <c r="W324" i="52"/>
  <c r="N324" i="52"/>
  <c r="J324" i="52"/>
  <c r="H324" i="52"/>
  <c r="D324" i="52"/>
  <c r="C324" i="52"/>
  <c r="AA323" i="52"/>
  <c r="W323" i="52"/>
  <c r="N323" i="52"/>
  <c r="J323" i="52"/>
  <c r="H323" i="52"/>
  <c r="D323" i="52"/>
  <c r="C323" i="52"/>
  <c r="AA322" i="52"/>
  <c r="W322" i="52"/>
  <c r="N322" i="52"/>
  <c r="J322" i="52"/>
  <c r="H322" i="52"/>
  <c r="D322" i="52"/>
  <c r="C322" i="52"/>
  <c r="AA321" i="52"/>
  <c r="W321" i="52"/>
  <c r="N321" i="52"/>
  <c r="J321" i="52"/>
  <c r="H321" i="52"/>
  <c r="D321" i="52"/>
  <c r="C321" i="52"/>
  <c r="AA320" i="52"/>
  <c r="W320" i="52"/>
  <c r="N320" i="52"/>
  <c r="J320" i="52"/>
  <c r="H320" i="52"/>
  <c r="D320" i="52"/>
  <c r="C320" i="52"/>
  <c r="AA319" i="52"/>
  <c r="W319" i="52"/>
  <c r="N319" i="52"/>
  <c r="J319" i="52"/>
  <c r="H319" i="52"/>
  <c r="D319" i="52"/>
  <c r="C319" i="52"/>
  <c r="AA318" i="52"/>
  <c r="W318" i="52"/>
  <c r="N318" i="52"/>
  <c r="J318" i="52"/>
  <c r="H318" i="52"/>
  <c r="D318" i="52"/>
  <c r="C318" i="52"/>
  <c r="AA317" i="52"/>
  <c r="W317" i="52"/>
  <c r="N317" i="52"/>
  <c r="J317" i="52"/>
  <c r="H317" i="52"/>
  <c r="D317" i="52"/>
  <c r="C317" i="52"/>
  <c r="AA316" i="52"/>
  <c r="W316" i="52"/>
  <c r="N316" i="52"/>
  <c r="J316" i="52"/>
  <c r="H316" i="52"/>
  <c r="D316" i="52"/>
  <c r="C316" i="52"/>
  <c r="AA315" i="52"/>
  <c r="W315" i="52"/>
  <c r="N315" i="52"/>
  <c r="J315" i="52"/>
  <c r="H315" i="52"/>
  <c r="D315" i="52"/>
  <c r="C315" i="52"/>
  <c r="AA314" i="52"/>
  <c r="W314" i="52"/>
  <c r="V314" i="52"/>
  <c r="N314" i="52"/>
  <c r="J314" i="52"/>
  <c r="H314" i="52"/>
  <c r="D314" i="52"/>
  <c r="C314" i="52"/>
  <c r="AA313" i="52"/>
  <c r="W313" i="52"/>
  <c r="N313" i="52"/>
  <c r="J313" i="52"/>
  <c r="H313" i="52"/>
  <c r="D313" i="52"/>
  <c r="C313" i="52"/>
  <c r="AA312" i="52"/>
  <c r="W312" i="52"/>
  <c r="N312" i="52"/>
  <c r="J312" i="52"/>
  <c r="H312" i="52"/>
  <c r="D312" i="52"/>
  <c r="C312" i="52"/>
  <c r="AA311" i="52"/>
  <c r="W311" i="52"/>
  <c r="N311" i="52"/>
  <c r="J311" i="52"/>
  <c r="H311" i="52"/>
  <c r="D311" i="52"/>
  <c r="C311" i="52"/>
  <c r="AA310" i="52"/>
  <c r="W310" i="52"/>
  <c r="N310" i="52"/>
  <c r="J310" i="52"/>
  <c r="H310" i="52"/>
  <c r="D310" i="52"/>
  <c r="C310" i="52"/>
  <c r="AA309" i="52"/>
  <c r="W309" i="52"/>
  <c r="N309" i="52"/>
  <c r="J309" i="52"/>
  <c r="H309" i="52"/>
  <c r="D309" i="52"/>
  <c r="C309" i="52"/>
  <c r="AA308" i="52"/>
  <c r="W308" i="52"/>
  <c r="N308" i="52"/>
  <c r="J308" i="52"/>
  <c r="H308" i="52"/>
  <c r="D308" i="52"/>
  <c r="C308" i="52"/>
  <c r="AA307" i="52"/>
  <c r="W307" i="52"/>
  <c r="N307" i="52"/>
  <c r="J307" i="52"/>
  <c r="H307" i="52"/>
  <c r="D307" i="52"/>
  <c r="C307" i="52"/>
  <c r="AA306" i="52"/>
  <c r="W306" i="52"/>
  <c r="N306" i="52"/>
  <c r="J306" i="52"/>
  <c r="H306" i="52"/>
  <c r="D306" i="52"/>
  <c r="C306" i="52"/>
  <c r="AA305" i="52"/>
  <c r="W305" i="52"/>
  <c r="N305" i="52"/>
  <c r="J305" i="52"/>
  <c r="H305" i="52"/>
  <c r="D305" i="52"/>
  <c r="C305" i="52"/>
  <c r="AA304" i="52"/>
  <c r="W304" i="52"/>
  <c r="N304" i="52"/>
  <c r="J304" i="52"/>
  <c r="H304" i="52"/>
  <c r="D304" i="52"/>
  <c r="C304" i="52"/>
  <c r="AA303" i="52"/>
  <c r="W303" i="52"/>
  <c r="N303" i="52"/>
  <c r="J303" i="52"/>
  <c r="H303" i="52"/>
  <c r="D303" i="52"/>
  <c r="C303" i="52"/>
  <c r="AA302" i="52"/>
  <c r="W302" i="52"/>
  <c r="N302" i="52"/>
  <c r="J302" i="52"/>
  <c r="H302" i="52"/>
  <c r="D302" i="52"/>
  <c r="C302" i="52"/>
  <c r="AA301" i="52"/>
  <c r="W301" i="52"/>
  <c r="N301" i="52"/>
  <c r="J301" i="52"/>
  <c r="H301" i="52"/>
  <c r="D301" i="52"/>
  <c r="C301" i="52"/>
  <c r="AA300" i="52"/>
  <c r="W300" i="52"/>
  <c r="N300" i="52"/>
  <c r="J300" i="52"/>
  <c r="H300" i="52"/>
  <c r="D300" i="52"/>
  <c r="C300" i="52"/>
  <c r="AA299" i="52"/>
  <c r="W299" i="52"/>
  <c r="N299" i="52"/>
  <c r="J299" i="52"/>
  <c r="H299" i="52"/>
  <c r="D299" i="52"/>
  <c r="C299" i="52"/>
  <c r="AA298" i="52"/>
  <c r="W298" i="52"/>
  <c r="N298" i="52"/>
  <c r="J298" i="52"/>
  <c r="H298" i="52"/>
  <c r="D298" i="52"/>
  <c r="C298" i="52"/>
  <c r="AA297" i="52"/>
  <c r="W297" i="52"/>
  <c r="N297" i="52"/>
  <c r="J297" i="52"/>
  <c r="H297" i="52"/>
  <c r="D297" i="52"/>
  <c r="C297" i="52"/>
  <c r="AA296" i="52"/>
  <c r="W296" i="52"/>
  <c r="N296" i="52"/>
  <c r="J296" i="52"/>
  <c r="H296" i="52"/>
  <c r="D296" i="52"/>
  <c r="C296" i="52"/>
  <c r="AA295" i="52"/>
  <c r="W295" i="52"/>
  <c r="N295" i="52"/>
  <c r="J295" i="52"/>
  <c r="H295" i="52"/>
  <c r="D295" i="52"/>
  <c r="C295" i="52"/>
  <c r="AA294" i="52"/>
  <c r="W294" i="52"/>
  <c r="N294" i="52"/>
  <c r="J294" i="52"/>
  <c r="H294" i="52"/>
  <c r="D294" i="52"/>
  <c r="C294" i="52"/>
  <c r="AA293" i="52"/>
  <c r="W293" i="52"/>
  <c r="N293" i="52"/>
  <c r="J293" i="52"/>
  <c r="H293" i="52"/>
  <c r="D293" i="52"/>
  <c r="C293" i="52"/>
  <c r="AA292" i="52"/>
  <c r="W292" i="52"/>
  <c r="N292" i="52"/>
  <c r="J292" i="52"/>
  <c r="H292" i="52"/>
  <c r="D292" i="52"/>
  <c r="C292" i="52"/>
  <c r="AA291" i="52"/>
  <c r="W291" i="52"/>
  <c r="N291" i="52"/>
  <c r="J291" i="52"/>
  <c r="H291" i="52"/>
  <c r="D291" i="52"/>
  <c r="C291" i="52"/>
  <c r="AA290" i="52"/>
  <c r="W290" i="52"/>
  <c r="T290" i="52"/>
  <c r="S290" i="52"/>
  <c r="P290" i="52"/>
  <c r="N290" i="52"/>
  <c r="J290" i="52"/>
  <c r="H290" i="52"/>
  <c r="D290" i="52"/>
  <c r="C290" i="52"/>
  <c r="AA289" i="52"/>
  <c r="W289" i="52"/>
  <c r="N289" i="52"/>
  <c r="J289" i="52"/>
  <c r="H289" i="52"/>
  <c r="D289" i="52"/>
  <c r="C289" i="52"/>
  <c r="AA288" i="52"/>
  <c r="W288" i="52"/>
  <c r="N288" i="52"/>
  <c r="J288" i="52"/>
  <c r="H288" i="52"/>
  <c r="D288" i="52"/>
  <c r="C288" i="52"/>
  <c r="AA287" i="52"/>
  <c r="W287" i="52"/>
  <c r="N287" i="52"/>
  <c r="J287" i="52"/>
  <c r="H287" i="52"/>
  <c r="D287" i="52"/>
  <c r="C287" i="52"/>
  <c r="AA286" i="52"/>
  <c r="W286" i="52"/>
  <c r="T286" i="52"/>
  <c r="S286" i="52"/>
  <c r="P286" i="52"/>
  <c r="N286" i="52"/>
  <c r="J286" i="52"/>
  <c r="H286" i="52"/>
  <c r="D286" i="52"/>
  <c r="C286" i="52"/>
  <c r="AA285" i="52"/>
  <c r="W285" i="52"/>
  <c r="N285" i="52"/>
  <c r="J285" i="52"/>
  <c r="H285" i="52"/>
  <c r="D285" i="52"/>
  <c r="C285" i="52"/>
  <c r="AA284" i="52"/>
  <c r="W284" i="52"/>
  <c r="N284" i="52"/>
  <c r="J284" i="52"/>
  <c r="H284" i="52"/>
  <c r="D284" i="52"/>
  <c r="C284" i="52"/>
  <c r="AA283" i="52"/>
  <c r="W283" i="52"/>
  <c r="N283" i="52"/>
  <c r="J283" i="52"/>
  <c r="H283" i="52"/>
  <c r="D283" i="52"/>
  <c r="C283" i="52"/>
  <c r="AA282" i="52"/>
  <c r="W282" i="52"/>
  <c r="N282" i="52"/>
  <c r="J282" i="52"/>
  <c r="H282" i="52"/>
  <c r="D282" i="52"/>
  <c r="C282" i="52"/>
  <c r="AA281" i="52"/>
  <c r="W281" i="52"/>
  <c r="N281" i="52"/>
  <c r="J281" i="52"/>
  <c r="H281" i="52"/>
  <c r="D281" i="52"/>
  <c r="C281" i="52"/>
  <c r="AA280" i="52"/>
  <c r="W280" i="52"/>
  <c r="N280" i="52"/>
  <c r="J280" i="52"/>
  <c r="H280" i="52"/>
  <c r="D280" i="52"/>
  <c r="C280" i="52"/>
  <c r="AA279" i="52"/>
  <c r="W279" i="52"/>
  <c r="N279" i="52"/>
  <c r="J279" i="52"/>
  <c r="H279" i="52"/>
  <c r="D279" i="52"/>
  <c r="C279" i="52"/>
  <c r="AA278" i="52"/>
  <c r="W278" i="52"/>
  <c r="N278" i="52"/>
  <c r="J278" i="52"/>
  <c r="H278" i="52"/>
  <c r="D278" i="52"/>
  <c r="C278" i="52"/>
  <c r="AA277" i="52"/>
  <c r="W277" i="52"/>
  <c r="N277" i="52"/>
  <c r="J277" i="52"/>
  <c r="H277" i="52"/>
  <c r="D277" i="52"/>
  <c r="C277" i="52"/>
  <c r="AA276" i="52"/>
  <c r="W276" i="52"/>
  <c r="N276" i="52"/>
  <c r="J276" i="52"/>
  <c r="H276" i="52"/>
  <c r="D276" i="52"/>
  <c r="C276" i="52"/>
  <c r="AA275" i="52"/>
  <c r="W275" i="52"/>
  <c r="N275" i="52"/>
  <c r="J275" i="52"/>
  <c r="H275" i="52"/>
  <c r="D275" i="52"/>
  <c r="C275" i="52"/>
  <c r="AA274" i="52"/>
  <c r="W274" i="52"/>
  <c r="N274" i="52"/>
  <c r="J274" i="52"/>
  <c r="H274" i="52"/>
  <c r="D274" i="52"/>
  <c r="C274" i="52"/>
  <c r="AA273" i="52"/>
  <c r="W273" i="52"/>
  <c r="N273" i="52"/>
  <c r="J273" i="52"/>
  <c r="H273" i="52"/>
  <c r="D273" i="52"/>
  <c r="C273" i="52"/>
  <c r="AA272" i="52"/>
  <c r="W272" i="52"/>
  <c r="N272" i="52"/>
  <c r="J272" i="52"/>
  <c r="H272" i="52"/>
  <c r="D272" i="52"/>
  <c r="C272" i="52"/>
  <c r="AA271" i="52"/>
  <c r="W271" i="52"/>
  <c r="N271" i="52"/>
  <c r="J271" i="52"/>
  <c r="H271" i="52"/>
  <c r="D271" i="52"/>
  <c r="C271" i="52"/>
  <c r="AA270" i="52"/>
  <c r="W270" i="52"/>
  <c r="N270" i="52"/>
  <c r="J270" i="52"/>
  <c r="H270" i="52"/>
  <c r="D270" i="52"/>
  <c r="C270" i="52"/>
  <c r="AA269" i="52"/>
  <c r="W269" i="52"/>
  <c r="N269" i="52"/>
  <c r="J269" i="52"/>
  <c r="H269" i="52"/>
  <c r="D269" i="52"/>
  <c r="C269" i="52"/>
  <c r="AA268" i="52"/>
  <c r="W268" i="52"/>
  <c r="N268" i="52"/>
  <c r="J268" i="52"/>
  <c r="H268" i="52"/>
  <c r="D268" i="52"/>
  <c r="C268" i="52"/>
  <c r="AA267" i="52"/>
  <c r="W267" i="52"/>
  <c r="N267" i="52"/>
  <c r="J267" i="52"/>
  <c r="H267" i="52"/>
  <c r="D267" i="52"/>
  <c r="C267" i="52"/>
  <c r="AA266" i="52"/>
  <c r="W266" i="52"/>
  <c r="N266" i="52"/>
  <c r="J266" i="52"/>
  <c r="H266" i="52"/>
  <c r="D266" i="52"/>
  <c r="C266" i="52"/>
  <c r="AA265" i="52"/>
  <c r="W265" i="52"/>
  <c r="N265" i="52"/>
  <c r="J265" i="52"/>
  <c r="H265" i="52"/>
  <c r="D265" i="52"/>
  <c r="C265" i="52"/>
  <c r="AA264" i="52"/>
  <c r="W264" i="52"/>
  <c r="N264" i="52"/>
  <c r="J264" i="52"/>
  <c r="H264" i="52"/>
  <c r="D264" i="52"/>
  <c r="C264" i="52"/>
  <c r="AA263" i="52"/>
  <c r="W263" i="52"/>
  <c r="N263" i="52"/>
  <c r="J263" i="52"/>
  <c r="H263" i="52"/>
  <c r="D263" i="52"/>
  <c r="C263" i="52"/>
  <c r="AA262" i="52"/>
  <c r="W262" i="52"/>
  <c r="N262" i="52"/>
  <c r="J262" i="52"/>
  <c r="H262" i="52"/>
  <c r="D262" i="52"/>
  <c r="C262" i="52"/>
  <c r="AA261" i="52"/>
  <c r="W261" i="52"/>
  <c r="N261" i="52"/>
  <c r="J261" i="52"/>
  <c r="H261" i="52"/>
  <c r="D261" i="52"/>
  <c r="C261" i="52"/>
  <c r="AA260" i="52"/>
  <c r="W260" i="52"/>
  <c r="N260" i="52"/>
  <c r="J260" i="52"/>
  <c r="H260" i="52"/>
  <c r="D260" i="52"/>
  <c r="C260" i="52"/>
  <c r="AA259" i="52"/>
  <c r="W259" i="52"/>
  <c r="N259" i="52"/>
  <c r="J259" i="52"/>
  <c r="H259" i="52"/>
  <c r="D259" i="52"/>
  <c r="C259" i="52"/>
  <c r="AA258" i="52"/>
  <c r="W258" i="52"/>
  <c r="N258" i="52"/>
  <c r="J258" i="52"/>
  <c r="H258" i="52"/>
  <c r="D258" i="52"/>
  <c r="C258" i="52"/>
  <c r="AA257" i="52"/>
  <c r="W257" i="52"/>
  <c r="N257" i="52"/>
  <c r="J257" i="52"/>
  <c r="H257" i="52"/>
  <c r="D257" i="52"/>
  <c r="C257" i="52"/>
  <c r="AA256" i="52"/>
  <c r="W256" i="52"/>
  <c r="T256" i="52"/>
  <c r="S256" i="52"/>
  <c r="P256" i="52"/>
  <c r="N256" i="52"/>
  <c r="J256" i="52"/>
  <c r="H256" i="52"/>
  <c r="D256" i="52"/>
  <c r="C256" i="52"/>
  <c r="AA255" i="52"/>
  <c r="W255" i="52"/>
  <c r="N255" i="52"/>
  <c r="J255" i="52"/>
  <c r="H255" i="52"/>
  <c r="D255" i="52"/>
  <c r="C255" i="52"/>
  <c r="AA254" i="52"/>
  <c r="W254" i="52"/>
  <c r="N254" i="52"/>
  <c r="J254" i="52"/>
  <c r="H254" i="52"/>
  <c r="D254" i="52"/>
  <c r="C254" i="52"/>
  <c r="AA253" i="52"/>
  <c r="W253" i="52"/>
  <c r="N253" i="52"/>
  <c r="J253" i="52"/>
  <c r="H253" i="52"/>
  <c r="D253" i="52"/>
  <c r="C253" i="52"/>
  <c r="AA252" i="52"/>
  <c r="W252" i="52"/>
  <c r="N252" i="52"/>
  <c r="J252" i="52"/>
  <c r="H252" i="52"/>
  <c r="D252" i="52"/>
  <c r="C252" i="52"/>
  <c r="AA251" i="52"/>
  <c r="W251" i="52"/>
  <c r="N251" i="52"/>
  <c r="J251" i="52"/>
  <c r="H251" i="52"/>
  <c r="D251" i="52"/>
  <c r="C251" i="52"/>
  <c r="AA250" i="52"/>
  <c r="W250" i="52"/>
  <c r="N250" i="52"/>
  <c r="J250" i="52"/>
  <c r="H250" i="52"/>
  <c r="D250" i="52"/>
  <c r="C250" i="52"/>
  <c r="AA249" i="52"/>
  <c r="W249" i="52"/>
  <c r="N249" i="52"/>
  <c r="J249" i="52"/>
  <c r="H249" i="52"/>
  <c r="D249" i="52"/>
  <c r="C249" i="52"/>
  <c r="AA248" i="52"/>
  <c r="W248" i="52"/>
  <c r="N248" i="52"/>
  <c r="J248" i="52"/>
  <c r="H248" i="52"/>
  <c r="D248" i="52"/>
  <c r="C248" i="52"/>
  <c r="AA247" i="52"/>
  <c r="W247" i="52"/>
  <c r="N247" i="52"/>
  <c r="J247" i="52"/>
  <c r="H247" i="52"/>
  <c r="D247" i="52"/>
  <c r="C247" i="52"/>
  <c r="AA246" i="52"/>
  <c r="W246" i="52"/>
  <c r="N246" i="52"/>
  <c r="J246" i="52"/>
  <c r="H246" i="52"/>
  <c r="D246" i="52"/>
  <c r="C246" i="52"/>
  <c r="AA245" i="52"/>
  <c r="W245" i="52"/>
  <c r="N245" i="52"/>
  <c r="J245" i="52"/>
  <c r="H245" i="52"/>
  <c r="D245" i="52"/>
  <c r="C245" i="52"/>
  <c r="AA244" i="52"/>
  <c r="W244" i="52"/>
  <c r="N244" i="52"/>
  <c r="J244" i="52"/>
  <c r="H244" i="52"/>
  <c r="D244" i="52"/>
  <c r="C244" i="52"/>
  <c r="AA243" i="52"/>
  <c r="W243" i="52"/>
  <c r="N243" i="52"/>
  <c r="J243" i="52"/>
  <c r="H243" i="52"/>
  <c r="D243" i="52"/>
  <c r="C243" i="52"/>
  <c r="AA242" i="52"/>
  <c r="W242" i="52"/>
  <c r="N242" i="52"/>
  <c r="J242" i="52"/>
  <c r="H242" i="52"/>
  <c r="D242" i="52"/>
  <c r="C242" i="52"/>
  <c r="AA241" i="52"/>
  <c r="W241" i="52"/>
  <c r="N241" i="52"/>
  <c r="J241" i="52"/>
  <c r="H241" i="52"/>
  <c r="D241" i="52"/>
  <c r="C241" i="52"/>
  <c r="AA240" i="52"/>
  <c r="W240" i="52"/>
  <c r="N240" i="52"/>
  <c r="J240" i="52"/>
  <c r="H240" i="52"/>
  <c r="D240" i="52"/>
  <c r="C240" i="52"/>
  <c r="AA239" i="52"/>
  <c r="W239" i="52"/>
  <c r="N239" i="52"/>
  <c r="J239" i="52"/>
  <c r="H239" i="52"/>
  <c r="D239" i="52"/>
  <c r="C239" i="52"/>
  <c r="AA238" i="52"/>
  <c r="W238" i="52"/>
  <c r="N238" i="52"/>
  <c r="J238" i="52"/>
  <c r="H238" i="52"/>
  <c r="D238" i="52"/>
  <c r="C238" i="52"/>
  <c r="AA237" i="52"/>
  <c r="W237" i="52"/>
  <c r="N237" i="52"/>
  <c r="J237" i="52"/>
  <c r="H237" i="52"/>
  <c r="D237" i="52"/>
  <c r="C237" i="52"/>
  <c r="AA236" i="52"/>
  <c r="W236" i="52"/>
  <c r="N236" i="52"/>
  <c r="J236" i="52"/>
  <c r="H236" i="52"/>
  <c r="D236" i="52"/>
  <c r="C236" i="52"/>
  <c r="AA235" i="52"/>
  <c r="W235" i="52"/>
  <c r="N235" i="52"/>
  <c r="H235" i="52"/>
  <c r="D235" i="52"/>
  <c r="C235" i="52"/>
  <c r="AA234" i="52"/>
  <c r="W234" i="52"/>
  <c r="N234" i="52"/>
  <c r="J234" i="52"/>
  <c r="H234" i="52"/>
  <c r="D234" i="52"/>
  <c r="C234" i="52"/>
  <c r="AA233" i="52"/>
  <c r="W233" i="52"/>
  <c r="N233" i="52"/>
  <c r="J233" i="52"/>
  <c r="H233" i="52"/>
  <c r="D233" i="52"/>
  <c r="C233" i="52"/>
  <c r="AA232" i="52"/>
  <c r="W232" i="52"/>
  <c r="N232" i="52"/>
  <c r="J232" i="52"/>
  <c r="H232" i="52"/>
  <c r="D232" i="52"/>
  <c r="C232" i="52"/>
  <c r="AA231" i="52"/>
  <c r="W231" i="52"/>
  <c r="N231" i="52"/>
  <c r="J231" i="52"/>
  <c r="H231" i="52"/>
  <c r="D231" i="52"/>
  <c r="C231" i="52"/>
  <c r="AA230" i="52"/>
  <c r="W230" i="52"/>
  <c r="N230" i="52"/>
  <c r="J230" i="52"/>
  <c r="H230" i="52"/>
  <c r="D230" i="52"/>
  <c r="C230" i="52"/>
  <c r="AA229" i="52"/>
  <c r="W229" i="52"/>
  <c r="N229" i="52"/>
  <c r="J229" i="52"/>
  <c r="H229" i="52"/>
  <c r="D229" i="52"/>
  <c r="C229" i="52"/>
  <c r="AA228" i="52"/>
  <c r="W228" i="52"/>
  <c r="N228" i="52"/>
  <c r="J228" i="52"/>
  <c r="H228" i="52"/>
  <c r="D228" i="52"/>
  <c r="C228" i="52"/>
  <c r="AA227" i="52"/>
  <c r="W227" i="52"/>
  <c r="N227" i="52"/>
  <c r="J227" i="52"/>
  <c r="H227" i="52"/>
  <c r="D227" i="52"/>
  <c r="C227" i="52"/>
  <c r="AA226" i="52"/>
  <c r="W226" i="52"/>
  <c r="N226" i="52"/>
  <c r="J226" i="52"/>
  <c r="H226" i="52"/>
  <c r="D226" i="52"/>
  <c r="C226" i="52"/>
  <c r="AA225" i="52"/>
  <c r="W225" i="52"/>
  <c r="N225" i="52"/>
  <c r="J225" i="52"/>
  <c r="H225" i="52"/>
  <c r="D225" i="52"/>
  <c r="C225" i="52"/>
  <c r="AA224" i="52"/>
  <c r="W224" i="52"/>
  <c r="N224" i="52"/>
  <c r="J224" i="52"/>
  <c r="H224" i="52"/>
  <c r="D224" i="52"/>
  <c r="C224" i="52"/>
  <c r="AA223" i="52"/>
  <c r="W223" i="52"/>
  <c r="N223" i="52"/>
  <c r="J223" i="52"/>
  <c r="H223" i="52"/>
  <c r="D223" i="52"/>
  <c r="C223" i="52"/>
  <c r="AA222" i="52"/>
  <c r="W222" i="52"/>
  <c r="N222" i="52"/>
  <c r="J222" i="52"/>
  <c r="H222" i="52"/>
  <c r="D222" i="52"/>
  <c r="C222" i="52"/>
  <c r="AA221" i="52"/>
  <c r="W221" i="52"/>
  <c r="N221" i="52"/>
  <c r="J221" i="52"/>
  <c r="H221" i="52"/>
  <c r="D221" i="52"/>
  <c r="C221" i="52"/>
  <c r="AA220" i="52"/>
  <c r="W220" i="52"/>
  <c r="N220" i="52"/>
  <c r="H220" i="52"/>
  <c r="D220" i="52"/>
  <c r="C220" i="52"/>
  <c r="AA219" i="52"/>
  <c r="W219" i="52"/>
  <c r="N219" i="52"/>
  <c r="J219" i="52"/>
  <c r="H219" i="52"/>
  <c r="D219" i="52"/>
  <c r="C219" i="52"/>
  <c r="AA218" i="52"/>
  <c r="W218" i="52"/>
  <c r="N218" i="52"/>
  <c r="J218" i="52"/>
  <c r="H218" i="52"/>
  <c r="D218" i="52"/>
  <c r="C218" i="52"/>
  <c r="AA217" i="52"/>
  <c r="W217" i="52"/>
  <c r="N217" i="52"/>
  <c r="J217" i="52"/>
  <c r="H217" i="52"/>
  <c r="D217" i="52"/>
  <c r="C217" i="52"/>
  <c r="AA216" i="52"/>
  <c r="W216" i="52"/>
  <c r="N216" i="52"/>
  <c r="J216" i="52"/>
  <c r="H216" i="52"/>
  <c r="D216" i="52"/>
  <c r="C216" i="52"/>
  <c r="AA215" i="52"/>
  <c r="W215" i="52"/>
  <c r="N215" i="52"/>
  <c r="J215" i="52"/>
  <c r="H215" i="52"/>
  <c r="D215" i="52"/>
  <c r="C215" i="52"/>
  <c r="AA214" i="52"/>
  <c r="W214" i="52"/>
  <c r="N214" i="52"/>
  <c r="J214" i="52"/>
  <c r="H214" i="52"/>
  <c r="D214" i="52"/>
  <c r="C214" i="52"/>
  <c r="AA213" i="52"/>
  <c r="W213" i="52"/>
  <c r="N213" i="52"/>
  <c r="J213" i="52"/>
  <c r="H213" i="52"/>
  <c r="D213" i="52"/>
  <c r="C213" i="52"/>
  <c r="AA212" i="52"/>
  <c r="W212" i="52"/>
  <c r="N212" i="52"/>
  <c r="J212" i="52"/>
  <c r="H212" i="52"/>
  <c r="D212" i="52"/>
  <c r="C212" i="52"/>
  <c r="AA211" i="52"/>
  <c r="W211" i="52"/>
  <c r="N211" i="52"/>
  <c r="J211" i="52"/>
  <c r="H211" i="52"/>
  <c r="D211" i="52"/>
  <c r="C211" i="52"/>
  <c r="AA210" i="52"/>
  <c r="W210" i="52"/>
  <c r="N210" i="52"/>
  <c r="J210" i="52"/>
  <c r="H210" i="52"/>
  <c r="D210" i="52"/>
  <c r="C210" i="52"/>
  <c r="AA209" i="52"/>
  <c r="W209" i="52"/>
  <c r="N209" i="52"/>
  <c r="J209" i="52"/>
  <c r="H209" i="52"/>
  <c r="D209" i="52"/>
  <c r="C209" i="52"/>
  <c r="AA208" i="52"/>
  <c r="W208" i="52"/>
  <c r="N208" i="52"/>
  <c r="J208" i="52"/>
  <c r="H208" i="52"/>
  <c r="D208" i="52"/>
  <c r="C208" i="52"/>
  <c r="AA207" i="52"/>
  <c r="W207" i="52"/>
  <c r="N207" i="52"/>
  <c r="J207" i="52"/>
  <c r="H207" i="52"/>
  <c r="D207" i="52"/>
  <c r="C207" i="52"/>
  <c r="AA206" i="52"/>
  <c r="W206" i="52"/>
  <c r="N206" i="52"/>
  <c r="J206" i="52"/>
  <c r="H206" i="52"/>
  <c r="D206" i="52"/>
  <c r="C206" i="52"/>
  <c r="AA205" i="52"/>
  <c r="W205" i="52"/>
  <c r="N205" i="52"/>
  <c r="J205" i="52"/>
  <c r="H205" i="52"/>
  <c r="D205" i="52"/>
  <c r="C205" i="52"/>
  <c r="AA204" i="52"/>
  <c r="W204" i="52"/>
  <c r="N204" i="52"/>
  <c r="J204" i="52"/>
  <c r="H204" i="52"/>
  <c r="D204" i="52"/>
  <c r="C204" i="52"/>
  <c r="AA203" i="52"/>
  <c r="W203" i="52"/>
  <c r="N203" i="52"/>
  <c r="J203" i="52"/>
  <c r="H203" i="52"/>
  <c r="D203" i="52"/>
  <c r="C203" i="52"/>
  <c r="AA202" i="52"/>
  <c r="W202" i="52"/>
  <c r="N202" i="52"/>
  <c r="J202" i="52"/>
  <c r="H202" i="52"/>
  <c r="D202" i="52"/>
  <c r="C202" i="52"/>
  <c r="AA201" i="52"/>
  <c r="W201" i="52"/>
  <c r="N201" i="52"/>
  <c r="J201" i="52"/>
  <c r="H201" i="52"/>
  <c r="D201" i="52"/>
  <c r="C201" i="52"/>
  <c r="AA200" i="52"/>
  <c r="W200" i="52"/>
  <c r="N200" i="52"/>
  <c r="J200" i="52"/>
  <c r="H200" i="52"/>
  <c r="D200" i="52"/>
  <c r="C200" i="52"/>
  <c r="AA199" i="52"/>
  <c r="W199" i="52"/>
  <c r="N199" i="52"/>
  <c r="J199" i="52"/>
  <c r="H199" i="52"/>
  <c r="D199" i="52"/>
  <c r="C199" i="52"/>
  <c r="AA198" i="52"/>
  <c r="W198" i="52"/>
  <c r="N198" i="52"/>
  <c r="J198" i="52"/>
  <c r="H198" i="52"/>
  <c r="D198" i="52"/>
  <c r="C198" i="52"/>
  <c r="AA197" i="52"/>
  <c r="W197" i="52"/>
  <c r="N197" i="52"/>
  <c r="J197" i="52"/>
  <c r="H197" i="52"/>
  <c r="D197" i="52"/>
  <c r="C197" i="52"/>
  <c r="AA196" i="52"/>
  <c r="W196" i="52"/>
  <c r="N196" i="52"/>
  <c r="J196" i="52"/>
  <c r="H196" i="52"/>
  <c r="D196" i="52"/>
  <c r="C196" i="52"/>
  <c r="AA195" i="52"/>
  <c r="W195" i="52"/>
  <c r="N195" i="52"/>
  <c r="J195" i="52"/>
  <c r="H195" i="52"/>
  <c r="D195" i="52"/>
  <c r="C195" i="52"/>
  <c r="AA194" i="52"/>
  <c r="W194" i="52"/>
  <c r="N194" i="52"/>
  <c r="J194" i="52"/>
  <c r="H194" i="52"/>
  <c r="D194" i="52"/>
  <c r="C194" i="52"/>
  <c r="AA193" i="52"/>
  <c r="W193" i="52"/>
  <c r="N193" i="52"/>
  <c r="J193" i="52"/>
  <c r="H193" i="52"/>
  <c r="D193" i="52"/>
  <c r="C193" i="52"/>
  <c r="AA192" i="52"/>
  <c r="W192" i="52"/>
  <c r="N192" i="52"/>
  <c r="J192" i="52"/>
  <c r="H192" i="52"/>
  <c r="D192" i="52"/>
  <c r="C192" i="52"/>
  <c r="AA191" i="52"/>
  <c r="W191" i="52"/>
  <c r="N191" i="52"/>
  <c r="J191" i="52"/>
  <c r="H191" i="52"/>
  <c r="D191" i="52"/>
  <c r="C191" i="52"/>
  <c r="AA190" i="52"/>
  <c r="W190" i="52"/>
  <c r="N190" i="52"/>
  <c r="J190" i="52"/>
  <c r="H190" i="52"/>
  <c r="D190" i="52"/>
  <c r="C190" i="52"/>
  <c r="AA189" i="52"/>
  <c r="W189" i="52"/>
  <c r="N189" i="52"/>
  <c r="J189" i="52"/>
  <c r="H189" i="52"/>
  <c r="D189" i="52"/>
  <c r="C189" i="52"/>
  <c r="AA188" i="52"/>
  <c r="W188" i="52"/>
  <c r="T188" i="52"/>
  <c r="S188" i="52"/>
  <c r="P188" i="52"/>
  <c r="N188" i="52"/>
  <c r="J188" i="52"/>
  <c r="H188" i="52"/>
  <c r="D188" i="52"/>
  <c r="C188" i="52"/>
  <c r="AA187" i="52"/>
  <c r="W187" i="52"/>
  <c r="N187" i="52"/>
  <c r="J187" i="52"/>
  <c r="H187" i="52"/>
  <c r="D187" i="52"/>
  <c r="C187" i="52"/>
  <c r="AA186" i="52"/>
  <c r="W186" i="52"/>
  <c r="N186" i="52"/>
  <c r="J186" i="52"/>
  <c r="H186" i="52"/>
  <c r="D186" i="52"/>
  <c r="C186" i="52"/>
  <c r="AA185" i="52"/>
  <c r="W185" i="52"/>
  <c r="N185" i="52"/>
  <c r="J185" i="52"/>
  <c r="H185" i="52"/>
  <c r="D185" i="52"/>
  <c r="C185" i="52"/>
  <c r="AA184" i="52"/>
  <c r="W184" i="52"/>
  <c r="N184" i="52"/>
  <c r="J184" i="52"/>
  <c r="H184" i="52"/>
  <c r="D184" i="52"/>
  <c r="C184" i="52"/>
  <c r="AA183" i="52"/>
  <c r="W183" i="52"/>
  <c r="N183" i="52"/>
  <c r="J183" i="52"/>
  <c r="H183" i="52"/>
  <c r="D183" i="52"/>
  <c r="C183" i="52"/>
  <c r="AA182" i="52"/>
  <c r="W182" i="52"/>
  <c r="N182" i="52"/>
  <c r="J182" i="52"/>
  <c r="H182" i="52"/>
  <c r="D182" i="52"/>
  <c r="C182" i="52"/>
  <c r="AA181" i="52"/>
  <c r="W181" i="52"/>
  <c r="N181" i="52"/>
  <c r="J181" i="52"/>
  <c r="H181" i="52"/>
  <c r="D181" i="52"/>
  <c r="C181" i="52"/>
  <c r="AA180" i="52"/>
  <c r="W180" i="52"/>
  <c r="N180" i="52"/>
  <c r="J180" i="52"/>
  <c r="H180" i="52"/>
  <c r="D180" i="52"/>
  <c r="C180" i="52"/>
  <c r="AA179" i="52"/>
  <c r="W179" i="52"/>
  <c r="N179" i="52"/>
  <c r="J179" i="52"/>
  <c r="H179" i="52"/>
  <c r="D179" i="52"/>
  <c r="C179" i="52"/>
  <c r="AA178" i="52"/>
  <c r="W178" i="52"/>
  <c r="N178" i="52"/>
  <c r="J178" i="52"/>
  <c r="H178" i="52"/>
  <c r="D178" i="52"/>
  <c r="C178" i="52"/>
  <c r="AA177" i="52"/>
  <c r="W177" i="52"/>
  <c r="N177" i="52"/>
  <c r="J177" i="52"/>
  <c r="H177" i="52"/>
  <c r="D177" i="52"/>
  <c r="C177" i="52"/>
  <c r="AA176" i="52"/>
  <c r="W176" i="52"/>
  <c r="N176" i="52"/>
  <c r="J176" i="52"/>
  <c r="H176" i="52"/>
  <c r="D176" i="52"/>
  <c r="C176" i="52"/>
  <c r="AA175" i="52"/>
  <c r="W175" i="52"/>
  <c r="N175" i="52"/>
  <c r="J175" i="52"/>
  <c r="H175" i="52"/>
  <c r="D175" i="52"/>
  <c r="C175" i="52"/>
  <c r="AA174" i="52"/>
  <c r="W174" i="52"/>
  <c r="N174" i="52"/>
  <c r="J174" i="52"/>
  <c r="H174" i="52"/>
  <c r="D174" i="52"/>
  <c r="C174" i="52"/>
  <c r="AA173" i="52"/>
  <c r="W173" i="52"/>
  <c r="N173" i="52"/>
  <c r="J173" i="52"/>
  <c r="H173" i="52"/>
  <c r="D173" i="52"/>
  <c r="C173" i="52"/>
  <c r="AA172" i="52"/>
  <c r="W172" i="52"/>
  <c r="N172" i="52"/>
  <c r="J172" i="52"/>
  <c r="H172" i="52"/>
  <c r="D172" i="52"/>
  <c r="C172" i="52"/>
  <c r="AA171" i="52"/>
  <c r="W171" i="52"/>
  <c r="N171" i="52"/>
  <c r="J171" i="52"/>
  <c r="H171" i="52"/>
  <c r="D171" i="52"/>
  <c r="C171" i="52"/>
  <c r="AA170" i="52"/>
  <c r="W170" i="52"/>
  <c r="N170" i="52"/>
  <c r="J170" i="52"/>
  <c r="H170" i="52"/>
  <c r="D170" i="52"/>
  <c r="C170" i="52"/>
  <c r="AA169" i="52"/>
  <c r="W169" i="52"/>
  <c r="N169" i="52"/>
  <c r="J169" i="52"/>
  <c r="H169" i="52"/>
  <c r="D169" i="52"/>
  <c r="C169" i="52"/>
  <c r="AA168" i="52"/>
  <c r="W168" i="52"/>
  <c r="N168" i="52"/>
  <c r="J168" i="52"/>
  <c r="H168" i="52"/>
  <c r="D168" i="52"/>
  <c r="C168" i="52"/>
  <c r="AA167" i="52"/>
  <c r="W167" i="52"/>
  <c r="N167" i="52"/>
  <c r="J167" i="52"/>
  <c r="H167" i="52"/>
  <c r="D167" i="52"/>
  <c r="C167" i="52"/>
  <c r="AA166" i="52"/>
  <c r="W166" i="52"/>
  <c r="T166" i="52"/>
  <c r="S166" i="52"/>
  <c r="P166" i="52"/>
  <c r="N166" i="52"/>
  <c r="J166" i="52"/>
  <c r="H166" i="52"/>
  <c r="D166" i="52"/>
  <c r="C166" i="52"/>
  <c r="AA165" i="52"/>
  <c r="W165" i="52"/>
  <c r="N165" i="52"/>
  <c r="J165" i="52"/>
  <c r="H165" i="52"/>
  <c r="D165" i="52"/>
  <c r="C165" i="52"/>
  <c r="AA164" i="52"/>
  <c r="W164" i="52"/>
  <c r="N164" i="52"/>
  <c r="J164" i="52"/>
  <c r="H164" i="52"/>
  <c r="D164" i="52"/>
  <c r="C164" i="52"/>
  <c r="AA163" i="52"/>
  <c r="W163" i="52"/>
  <c r="N163" i="52"/>
  <c r="J163" i="52"/>
  <c r="H163" i="52"/>
  <c r="D163" i="52"/>
  <c r="C163" i="52"/>
  <c r="AA162" i="52"/>
  <c r="W162" i="52"/>
  <c r="N162" i="52"/>
  <c r="H162" i="52"/>
  <c r="D162" i="52"/>
  <c r="C162" i="52"/>
  <c r="AA161" i="52"/>
  <c r="W161" i="52"/>
  <c r="N161" i="52"/>
  <c r="J161" i="52"/>
  <c r="H161" i="52"/>
  <c r="D161" i="52"/>
  <c r="C161" i="52"/>
  <c r="AA160" i="52"/>
  <c r="W160" i="52"/>
  <c r="N160" i="52"/>
  <c r="J160" i="52"/>
  <c r="H160" i="52"/>
  <c r="D160" i="52"/>
  <c r="C160" i="52"/>
  <c r="AA159" i="52"/>
  <c r="W159" i="52"/>
  <c r="T159" i="52"/>
  <c r="S159" i="52"/>
  <c r="P159" i="52"/>
  <c r="N159" i="52"/>
  <c r="J159" i="52"/>
  <c r="H159" i="52"/>
  <c r="D159" i="52"/>
  <c r="C159" i="52"/>
  <c r="AA158" i="52"/>
  <c r="W158" i="52"/>
  <c r="N158" i="52"/>
  <c r="J158" i="52"/>
  <c r="H158" i="52"/>
  <c r="D158" i="52"/>
  <c r="C158" i="52"/>
  <c r="AA157" i="52"/>
  <c r="W157" i="52"/>
  <c r="N157" i="52"/>
  <c r="J157" i="52"/>
  <c r="H157" i="52"/>
  <c r="D157" i="52"/>
  <c r="C157" i="52"/>
  <c r="AA156" i="52"/>
  <c r="W156" i="52"/>
  <c r="N156" i="52"/>
  <c r="J156" i="52"/>
  <c r="H156" i="52"/>
  <c r="D156" i="52"/>
  <c r="C156" i="52"/>
  <c r="AA155" i="52"/>
  <c r="W155" i="52"/>
  <c r="N155" i="52"/>
  <c r="J155" i="52"/>
  <c r="H155" i="52"/>
  <c r="D155" i="52"/>
  <c r="C155" i="52"/>
  <c r="AA154" i="52"/>
  <c r="W154" i="52"/>
  <c r="N154" i="52"/>
  <c r="J154" i="52"/>
  <c r="H154" i="52"/>
  <c r="D154" i="52"/>
  <c r="C154" i="52"/>
  <c r="AA153" i="52"/>
  <c r="W153" i="52"/>
  <c r="N153" i="52"/>
  <c r="J153" i="52"/>
  <c r="H153" i="52"/>
  <c r="D153" i="52"/>
  <c r="C153" i="52"/>
  <c r="AA152" i="52"/>
  <c r="W152" i="52"/>
  <c r="N152" i="52"/>
  <c r="J152" i="52"/>
  <c r="H152" i="52"/>
  <c r="D152" i="52"/>
  <c r="C152" i="52"/>
  <c r="AA151" i="52"/>
  <c r="W151" i="52"/>
  <c r="T151" i="52"/>
  <c r="S151" i="52"/>
  <c r="P151" i="52"/>
  <c r="N151" i="52"/>
  <c r="J151" i="52"/>
  <c r="H151" i="52"/>
  <c r="D151" i="52"/>
  <c r="C151" i="52"/>
  <c r="AA150" i="52"/>
  <c r="W150" i="52"/>
  <c r="N150" i="52"/>
  <c r="J150" i="52"/>
  <c r="H150" i="52"/>
  <c r="D150" i="52"/>
  <c r="C150" i="52"/>
  <c r="AA149" i="52"/>
  <c r="W149" i="52"/>
  <c r="N149" i="52"/>
  <c r="J149" i="52"/>
  <c r="H149" i="52"/>
  <c r="D149" i="52"/>
  <c r="C149" i="52"/>
  <c r="AA148" i="52"/>
  <c r="W148" i="52"/>
  <c r="N148" i="52"/>
  <c r="J148" i="52"/>
  <c r="H148" i="52"/>
  <c r="D148" i="52"/>
  <c r="C148" i="52"/>
  <c r="AA147" i="52"/>
  <c r="W147" i="52"/>
  <c r="N147" i="52"/>
  <c r="J147" i="52"/>
  <c r="H147" i="52"/>
  <c r="D147" i="52"/>
  <c r="C147" i="52"/>
  <c r="AA146" i="52"/>
  <c r="W146" i="52"/>
  <c r="N146" i="52"/>
  <c r="J146" i="52"/>
  <c r="H146" i="52"/>
  <c r="D146" i="52"/>
  <c r="C146" i="52"/>
  <c r="AA145" i="52"/>
  <c r="W145" i="52"/>
  <c r="T145" i="52"/>
  <c r="S145" i="52"/>
  <c r="P145" i="52"/>
  <c r="N145" i="52"/>
  <c r="J145" i="52"/>
  <c r="H145" i="52"/>
  <c r="D145" i="52"/>
  <c r="C145" i="52"/>
  <c r="AA144" i="52"/>
  <c r="W144" i="52"/>
  <c r="N144" i="52"/>
  <c r="J144" i="52"/>
  <c r="H144" i="52"/>
  <c r="D144" i="52"/>
  <c r="C144" i="52"/>
  <c r="AA143" i="52"/>
  <c r="W143" i="52"/>
  <c r="T143" i="52"/>
  <c r="S143" i="52"/>
  <c r="P143" i="52"/>
  <c r="N143" i="52"/>
  <c r="J143" i="52"/>
  <c r="H143" i="52"/>
  <c r="D143" i="52"/>
  <c r="C143" i="52"/>
  <c r="AA142" i="52"/>
  <c r="W142" i="52"/>
  <c r="N142" i="52"/>
  <c r="J142" i="52"/>
  <c r="H142" i="52"/>
  <c r="D142" i="52"/>
  <c r="C142" i="52"/>
  <c r="AA141" i="52"/>
  <c r="W141" i="52"/>
  <c r="N141" i="52"/>
  <c r="J141" i="52"/>
  <c r="H141" i="52"/>
  <c r="D141" i="52"/>
  <c r="C141" i="52"/>
  <c r="AA140" i="52"/>
  <c r="W140" i="52"/>
  <c r="N140" i="52"/>
  <c r="J140" i="52"/>
  <c r="H140" i="52"/>
  <c r="D140" i="52"/>
  <c r="C140" i="52"/>
  <c r="AA139" i="52"/>
  <c r="W139" i="52"/>
  <c r="N139" i="52"/>
  <c r="J139" i="52"/>
  <c r="H139" i="52"/>
  <c r="D139" i="52"/>
  <c r="C139" i="52"/>
  <c r="AA138" i="52"/>
  <c r="W138" i="52"/>
  <c r="N138" i="52"/>
  <c r="J138" i="52"/>
  <c r="H138" i="52"/>
  <c r="D138" i="52"/>
  <c r="C138" i="52"/>
  <c r="AA137" i="52"/>
  <c r="W137" i="52"/>
  <c r="N137" i="52"/>
  <c r="J137" i="52"/>
  <c r="H137" i="52"/>
  <c r="D137" i="52"/>
  <c r="C137" i="52"/>
  <c r="AA136" i="52"/>
  <c r="W136" i="52"/>
  <c r="N136" i="52"/>
  <c r="J136" i="52"/>
  <c r="H136" i="52"/>
  <c r="D136" i="52"/>
  <c r="C136" i="52"/>
  <c r="AA135" i="52"/>
  <c r="W135" i="52"/>
  <c r="N135" i="52"/>
  <c r="J135" i="52"/>
  <c r="H135" i="52"/>
  <c r="D135" i="52"/>
  <c r="C135" i="52"/>
  <c r="AA134" i="52"/>
  <c r="W134" i="52"/>
  <c r="N134" i="52"/>
  <c r="J134" i="52"/>
  <c r="H134" i="52"/>
  <c r="D134" i="52"/>
  <c r="C134" i="52"/>
  <c r="AA133" i="52"/>
  <c r="W133" i="52"/>
  <c r="N133" i="52"/>
  <c r="J133" i="52"/>
  <c r="H133" i="52"/>
  <c r="D133" i="52"/>
  <c r="C133" i="52"/>
  <c r="AA132" i="52"/>
  <c r="W132" i="52"/>
  <c r="S132" i="52"/>
  <c r="P132" i="52"/>
  <c r="N132" i="52"/>
  <c r="J132" i="52"/>
  <c r="H132" i="52"/>
  <c r="D132" i="52"/>
  <c r="C132" i="52"/>
  <c r="AA131" i="52"/>
  <c r="W131" i="52"/>
  <c r="T131" i="52"/>
  <c r="S131" i="52"/>
  <c r="P131" i="52"/>
  <c r="N131" i="52"/>
  <c r="J131" i="52"/>
  <c r="H131" i="52"/>
  <c r="D131" i="52"/>
  <c r="C131" i="52"/>
  <c r="AA130" i="52"/>
  <c r="W130" i="52"/>
  <c r="N130" i="52"/>
  <c r="J130" i="52"/>
  <c r="H130" i="52"/>
  <c r="D130" i="52"/>
  <c r="C130" i="52"/>
  <c r="AA129" i="52"/>
  <c r="W129" i="52"/>
  <c r="N129" i="52"/>
  <c r="J129" i="52"/>
  <c r="H129" i="52"/>
  <c r="D129" i="52"/>
  <c r="C129" i="52"/>
  <c r="AA128" i="52"/>
  <c r="W128" i="52"/>
  <c r="N128" i="52"/>
  <c r="J128" i="52"/>
  <c r="H128" i="52"/>
  <c r="D128" i="52"/>
  <c r="C128" i="52"/>
  <c r="AA127" i="52"/>
  <c r="W127" i="52"/>
  <c r="T127" i="52"/>
  <c r="S127" i="52"/>
  <c r="P127" i="52"/>
  <c r="N127" i="52"/>
  <c r="J127" i="52"/>
  <c r="H127" i="52"/>
  <c r="D127" i="52"/>
  <c r="C127" i="52"/>
  <c r="AA126" i="52"/>
  <c r="W126" i="52"/>
  <c r="N126" i="52"/>
  <c r="J126" i="52"/>
  <c r="H126" i="52"/>
  <c r="D126" i="52"/>
  <c r="C126" i="52"/>
  <c r="AA125" i="52"/>
  <c r="W125" i="52"/>
  <c r="N125" i="52"/>
  <c r="J125" i="52"/>
  <c r="H125" i="52"/>
  <c r="D125" i="52"/>
  <c r="C125" i="52"/>
  <c r="AA124" i="52"/>
  <c r="W124" i="52"/>
  <c r="N124" i="52"/>
  <c r="J124" i="52"/>
  <c r="H124" i="52"/>
  <c r="D124" i="52"/>
  <c r="C124" i="52"/>
  <c r="AA123" i="52"/>
  <c r="W123" i="52"/>
  <c r="N123" i="52"/>
  <c r="J123" i="52"/>
  <c r="H123" i="52"/>
  <c r="D123" i="52"/>
  <c r="C123" i="52"/>
  <c r="AA122" i="52"/>
  <c r="W122" i="52"/>
  <c r="N122" i="52"/>
  <c r="J122" i="52"/>
  <c r="H122" i="52"/>
  <c r="D122" i="52"/>
  <c r="C122" i="52"/>
  <c r="AA121" i="52"/>
  <c r="W121" i="52"/>
  <c r="N121" i="52"/>
  <c r="J121" i="52"/>
  <c r="H121" i="52"/>
  <c r="D121" i="52"/>
  <c r="C121" i="52"/>
  <c r="AA120" i="52"/>
  <c r="W120" i="52"/>
  <c r="N120" i="52"/>
  <c r="J120" i="52"/>
  <c r="H120" i="52"/>
  <c r="D120" i="52"/>
  <c r="C120" i="52"/>
  <c r="AA119" i="52"/>
  <c r="W119" i="52"/>
  <c r="N119" i="52"/>
  <c r="J119" i="52"/>
  <c r="H119" i="52"/>
  <c r="D119" i="52"/>
  <c r="C119" i="52"/>
  <c r="AA118" i="52"/>
  <c r="W118" i="52"/>
  <c r="N118" i="52"/>
  <c r="H118" i="52"/>
  <c r="D118" i="52"/>
  <c r="C118" i="52"/>
  <c r="AA117" i="52"/>
  <c r="W117" i="52"/>
  <c r="N117" i="52"/>
  <c r="J117" i="52"/>
  <c r="H117" i="52"/>
  <c r="D117" i="52"/>
  <c r="C117" i="52"/>
  <c r="AA116" i="52"/>
  <c r="W116" i="52"/>
  <c r="N116" i="52"/>
  <c r="J116" i="52"/>
  <c r="H116" i="52"/>
  <c r="D116" i="52"/>
  <c r="C116" i="52"/>
  <c r="AA115" i="52"/>
  <c r="W115" i="52"/>
  <c r="N115" i="52"/>
  <c r="J115" i="52"/>
  <c r="H115" i="52"/>
  <c r="D115" i="52"/>
  <c r="C115" i="52"/>
  <c r="AA114" i="52"/>
  <c r="W114" i="52"/>
  <c r="N114" i="52"/>
  <c r="J114" i="52"/>
  <c r="H114" i="52"/>
  <c r="D114" i="52"/>
  <c r="C114" i="52"/>
  <c r="AA113" i="52"/>
  <c r="W113" i="52"/>
  <c r="T113" i="52"/>
  <c r="S113" i="52"/>
  <c r="P113" i="52"/>
  <c r="N113" i="52"/>
  <c r="J113" i="52"/>
  <c r="H113" i="52"/>
  <c r="D113" i="52"/>
  <c r="C113" i="52"/>
  <c r="AA112" i="52"/>
  <c r="W112" i="52"/>
  <c r="N112" i="52"/>
  <c r="J112" i="52"/>
  <c r="H112" i="52"/>
  <c r="D112" i="52"/>
  <c r="C112" i="52"/>
  <c r="AA111" i="52"/>
  <c r="W111" i="52"/>
  <c r="N111" i="52"/>
  <c r="J111" i="52"/>
  <c r="H111" i="52"/>
  <c r="D111" i="52"/>
  <c r="C111" i="52"/>
  <c r="AA110" i="52"/>
  <c r="W110" i="52"/>
  <c r="N110" i="52"/>
  <c r="J110" i="52"/>
  <c r="H110" i="52"/>
  <c r="D110" i="52"/>
  <c r="C110" i="52"/>
  <c r="AA109" i="52"/>
  <c r="W109" i="52"/>
  <c r="N109" i="52"/>
  <c r="J109" i="52"/>
  <c r="H109" i="52"/>
  <c r="D109" i="52"/>
  <c r="C109" i="52"/>
  <c r="AA108" i="52"/>
  <c r="W108" i="52"/>
  <c r="N108" i="52"/>
  <c r="J108" i="52"/>
  <c r="H108" i="52"/>
  <c r="D108" i="52"/>
  <c r="C108" i="52"/>
  <c r="AA107" i="52"/>
  <c r="W107" i="52"/>
  <c r="T107" i="52"/>
  <c r="S107" i="52"/>
  <c r="P107" i="52"/>
  <c r="N107" i="52"/>
  <c r="J107" i="52"/>
  <c r="H107" i="52"/>
  <c r="D107" i="52"/>
  <c r="C107" i="52"/>
  <c r="AA106" i="52"/>
  <c r="W106" i="52"/>
  <c r="N106" i="52"/>
  <c r="J106" i="52"/>
  <c r="H106" i="52"/>
  <c r="D106" i="52"/>
  <c r="C106" i="52"/>
  <c r="AA105" i="52"/>
  <c r="W105" i="52"/>
  <c r="N105" i="52"/>
  <c r="J105" i="52"/>
  <c r="H105" i="52"/>
  <c r="D105" i="52"/>
  <c r="C105" i="52"/>
  <c r="AA104" i="52"/>
  <c r="W104" i="52"/>
  <c r="N104" i="52"/>
  <c r="J104" i="52"/>
  <c r="H104" i="52"/>
  <c r="D104" i="52"/>
  <c r="C104" i="52"/>
  <c r="AA103" i="52"/>
  <c r="W103" i="52"/>
  <c r="N103" i="52"/>
  <c r="J103" i="52"/>
  <c r="H103" i="52"/>
  <c r="D103" i="52"/>
  <c r="C103" i="52"/>
  <c r="AA102" i="52"/>
  <c r="W102" i="52"/>
  <c r="N102" i="52"/>
  <c r="J102" i="52"/>
  <c r="H102" i="52"/>
  <c r="D102" i="52"/>
  <c r="C102" i="52"/>
  <c r="AA101" i="52"/>
  <c r="W101" i="52"/>
  <c r="N101" i="52"/>
  <c r="H101" i="52"/>
  <c r="D101" i="52"/>
  <c r="C101" i="52"/>
  <c r="AA100" i="52"/>
  <c r="W100" i="52"/>
  <c r="N100" i="52"/>
  <c r="J100" i="52"/>
  <c r="H100" i="52"/>
  <c r="D100" i="52"/>
  <c r="C100" i="52"/>
  <c r="AA99" i="52"/>
  <c r="W99" i="52"/>
  <c r="N99" i="52"/>
  <c r="J99" i="52"/>
  <c r="H99" i="52"/>
  <c r="D99" i="52"/>
  <c r="C99" i="52"/>
  <c r="AA98" i="52"/>
  <c r="W98" i="52"/>
  <c r="N98" i="52"/>
  <c r="J98" i="52"/>
  <c r="H98" i="52"/>
  <c r="D98" i="52"/>
  <c r="C98" i="52"/>
  <c r="AA97" i="52"/>
  <c r="W97" i="52"/>
  <c r="N97" i="52"/>
  <c r="J97" i="52"/>
  <c r="H97" i="52"/>
  <c r="D97" i="52"/>
  <c r="C97" i="52"/>
  <c r="AA96" i="52"/>
  <c r="W96" i="52"/>
  <c r="N96" i="52"/>
  <c r="J96" i="52"/>
  <c r="H96" i="52"/>
  <c r="D96" i="52"/>
  <c r="C96" i="52"/>
  <c r="AA95" i="52"/>
  <c r="W95" i="52"/>
  <c r="N95" i="52"/>
  <c r="J95" i="52"/>
  <c r="H95" i="52"/>
  <c r="D95" i="52"/>
  <c r="C95" i="52"/>
  <c r="AA94" i="52"/>
  <c r="W94" i="52"/>
  <c r="N94" i="52"/>
  <c r="J94" i="52"/>
  <c r="H94" i="52"/>
  <c r="D94" i="52"/>
  <c r="C94" i="52"/>
  <c r="AA93" i="52"/>
  <c r="W93" i="52"/>
  <c r="N93" i="52"/>
  <c r="J93" i="52"/>
  <c r="H93" i="52"/>
  <c r="D93" i="52"/>
  <c r="C93" i="52"/>
  <c r="AA92" i="52"/>
  <c r="W92" i="52"/>
  <c r="N92" i="52"/>
  <c r="J92" i="52"/>
  <c r="H92" i="52"/>
  <c r="D92" i="52"/>
  <c r="C92" i="52"/>
  <c r="AA91" i="52"/>
  <c r="W91" i="52"/>
  <c r="S91" i="52"/>
  <c r="P91" i="52"/>
  <c r="N91" i="52"/>
  <c r="J91" i="52"/>
  <c r="H91" i="52"/>
  <c r="D91" i="52"/>
  <c r="C91" i="52"/>
  <c r="AA90" i="52"/>
  <c r="W90" i="52"/>
  <c r="N90" i="52"/>
  <c r="J90" i="52"/>
  <c r="H90" i="52"/>
  <c r="D90" i="52"/>
  <c r="C90" i="52"/>
  <c r="AA89" i="52"/>
  <c r="W89" i="52"/>
  <c r="N89" i="52"/>
  <c r="J89" i="52"/>
  <c r="H89" i="52"/>
  <c r="D89" i="52"/>
  <c r="C89" i="52"/>
  <c r="AA88" i="52"/>
  <c r="W88" i="52"/>
  <c r="N88" i="52"/>
  <c r="J88" i="52"/>
  <c r="H88" i="52"/>
  <c r="D88" i="52"/>
  <c r="C88" i="52"/>
  <c r="AA87" i="52"/>
  <c r="W87" i="52"/>
  <c r="N87" i="52"/>
  <c r="J87" i="52"/>
  <c r="H87" i="52"/>
  <c r="D87" i="52"/>
  <c r="C87" i="52"/>
  <c r="AA86" i="52"/>
  <c r="W86" i="52"/>
  <c r="N86" i="52"/>
  <c r="J86" i="52"/>
  <c r="H86" i="52"/>
  <c r="D86" i="52"/>
  <c r="C86" i="52"/>
  <c r="AA85" i="52"/>
  <c r="W85" i="52"/>
  <c r="N85" i="52"/>
  <c r="J85" i="52"/>
  <c r="H85" i="52"/>
  <c r="D85" i="52"/>
  <c r="C85" i="52"/>
  <c r="AA84" i="52"/>
  <c r="W84" i="52"/>
  <c r="N84" i="52"/>
  <c r="J84" i="52"/>
  <c r="H84" i="52"/>
  <c r="D84" i="52"/>
  <c r="C84" i="52"/>
  <c r="AA83" i="52"/>
  <c r="W83" i="52"/>
  <c r="T83" i="52"/>
  <c r="S83" i="52"/>
  <c r="P83" i="52"/>
  <c r="N83" i="52"/>
  <c r="J83" i="52"/>
  <c r="H83" i="52"/>
  <c r="D83" i="52"/>
  <c r="C83" i="52"/>
  <c r="AA82" i="52"/>
  <c r="W82" i="52"/>
  <c r="N82" i="52"/>
  <c r="J82" i="52"/>
  <c r="H82" i="52"/>
  <c r="D82" i="52"/>
  <c r="C82" i="52"/>
  <c r="AA81" i="52"/>
  <c r="W81" i="52"/>
  <c r="N81" i="52"/>
  <c r="H81" i="52"/>
  <c r="D81" i="52"/>
  <c r="C81" i="52"/>
  <c r="AA80" i="52"/>
  <c r="W80" i="52"/>
  <c r="N80" i="52"/>
  <c r="J80" i="52"/>
  <c r="H80" i="52"/>
  <c r="D80" i="52"/>
  <c r="C80" i="52"/>
  <c r="AA79" i="52"/>
  <c r="W79" i="52"/>
  <c r="N79" i="52"/>
  <c r="J79" i="52"/>
  <c r="H79" i="52"/>
  <c r="D79" i="52"/>
  <c r="C79" i="52"/>
  <c r="AA78" i="52"/>
  <c r="W78" i="52"/>
  <c r="N78" i="52"/>
  <c r="J78" i="52"/>
  <c r="H78" i="52"/>
  <c r="D78" i="52"/>
  <c r="C78" i="52"/>
  <c r="AA77" i="52"/>
  <c r="W77" i="52"/>
  <c r="N77" i="52"/>
  <c r="J77" i="52"/>
  <c r="H77" i="52"/>
  <c r="D77" i="52"/>
  <c r="C77" i="52"/>
  <c r="AA76" i="52"/>
  <c r="W76" i="52"/>
  <c r="N76" i="52"/>
  <c r="J76" i="52"/>
  <c r="H76" i="52"/>
  <c r="D76" i="52"/>
  <c r="C76" i="52"/>
  <c r="AA75" i="52"/>
  <c r="W75" i="52"/>
  <c r="T75" i="52"/>
  <c r="S75" i="52"/>
  <c r="P75" i="52"/>
  <c r="N75" i="52"/>
  <c r="J75" i="52"/>
  <c r="H75" i="52"/>
  <c r="D75" i="52"/>
  <c r="C75" i="52"/>
  <c r="AA74" i="52"/>
  <c r="W74" i="52"/>
  <c r="N74" i="52"/>
  <c r="J74" i="52"/>
  <c r="H74" i="52"/>
  <c r="D74" i="52"/>
  <c r="C74" i="52"/>
  <c r="AA73" i="52"/>
  <c r="W73" i="52"/>
  <c r="N73" i="52"/>
  <c r="J73" i="52"/>
  <c r="H73" i="52"/>
  <c r="D73" i="52"/>
  <c r="C73" i="52"/>
  <c r="AA72" i="52"/>
  <c r="W72" i="52"/>
  <c r="N72" i="52"/>
  <c r="J72" i="52"/>
  <c r="H72" i="52"/>
  <c r="D72" i="52"/>
  <c r="C72" i="52"/>
  <c r="AA71" i="52"/>
  <c r="W71" i="52"/>
  <c r="N71" i="52"/>
  <c r="J71" i="52"/>
  <c r="H71" i="52"/>
  <c r="D71" i="52"/>
  <c r="C71" i="52"/>
  <c r="AA70" i="52"/>
  <c r="W70" i="52"/>
  <c r="N70" i="52"/>
  <c r="J70" i="52"/>
  <c r="H70" i="52"/>
  <c r="D70" i="52"/>
  <c r="C70" i="52"/>
  <c r="AA69" i="52"/>
  <c r="W69" i="52"/>
  <c r="N69" i="52"/>
  <c r="J69" i="52"/>
  <c r="H69" i="52"/>
  <c r="D69" i="52"/>
  <c r="C69" i="52"/>
  <c r="V319" i="52" l="1"/>
  <c r="T319" i="52"/>
  <c r="P319" i="52" l="1"/>
  <c r="V270" i="52" l="1"/>
  <c r="T270" i="52"/>
  <c r="P270" i="52"/>
  <c r="X319" i="52"/>
  <c r="X270" i="52" l="1"/>
  <c r="AA443" i="52"/>
  <c r="AA442" i="52"/>
  <c r="AA441" i="52"/>
  <c r="AA440" i="52"/>
  <c r="AA439" i="52"/>
  <c r="AA438" i="52"/>
  <c r="AA437" i="52"/>
  <c r="AA436" i="52"/>
  <c r="AA435" i="52"/>
  <c r="AA434" i="52"/>
  <c r="AA433" i="52"/>
  <c r="AA432" i="52"/>
  <c r="AA431" i="52"/>
  <c r="AA430" i="52"/>
  <c r="AA429" i="52"/>
  <c r="AA428" i="52"/>
  <c r="AA427" i="52"/>
  <c r="AA426" i="52"/>
  <c r="AA425" i="52"/>
  <c r="AA424" i="52"/>
  <c r="AA423" i="52"/>
  <c r="AA422" i="52"/>
  <c r="AA421" i="52"/>
  <c r="AA420" i="52"/>
  <c r="AA419" i="52"/>
  <c r="AA418" i="52"/>
  <c r="AA417" i="52"/>
  <c r="AA416" i="52"/>
  <c r="AA415" i="52"/>
  <c r="AA414" i="52"/>
  <c r="AA413" i="52"/>
  <c r="AA412" i="52"/>
  <c r="AA411" i="52"/>
  <c r="AA410" i="52"/>
  <c r="AA409" i="52"/>
  <c r="AA408" i="52"/>
  <c r="AA407" i="52"/>
  <c r="AA406" i="52"/>
  <c r="AA405" i="52"/>
  <c r="AA404" i="52"/>
  <c r="AA403" i="52"/>
  <c r="AA402" i="52"/>
  <c r="AA401" i="52"/>
  <c r="AA400" i="52"/>
  <c r="AA399" i="52"/>
  <c r="AA398" i="52"/>
  <c r="AA397" i="52"/>
  <c r="AA396" i="52"/>
  <c r="AA395" i="52"/>
  <c r="AA394" i="52"/>
  <c r="AA393" i="52"/>
  <c r="AA392" i="52"/>
  <c r="AA391" i="52"/>
  <c r="AA390" i="52"/>
  <c r="AA389" i="52"/>
  <c r="AA388" i="52"/>
  <c r="AA387" i="52"/>
  <c r="AA386" i="52"/>
  <c r="AA385" i="52"/>
  <c r="AA384" i="52"/>
  <c r="AA383" i="52"/>
  <c r="AA382" i="52"/>
  <c r="AA381" i="52"/>
  <c r="AA380" i="52"/>
  <c r="AA379" i="52"/>
  <c r="AA378" i="52"/>
  <c r="AA377" i="52"/>
  <c r="AA376" i="52"/>
  <c r="AA375" i="52"/>
  <c r="AA374" i="52"/>
  <c r="AA373" i="52"/>
  <c r="AA372" i="52"/>
  <c r="AA371" i="52"/>
  <c r="AA370" i="52"/>
  <c r="AA369" i="52"/>
  <c r="AA368" i="52"/>
  <c r="AA367" i="52"/>
  <c r="AA366" i="52"/>
  <c r="AA365" i="52"/>
  <c r="AA364" i="52"/>
  <c r="AA363" i="52"/>
  <c r="AA362" i="52"/>
  <c r="AA361" i="52"/>
  <c r="AA360" i="52"/>
  <c r="AA359" i="52"/>
  <c r="AA358" i="52"/>
  <c r="AA357" i="52"/>
  <c r="AA356" i="52"/>
  <c r="AA355" i="52"/>
  <c r="AA354" i="52"/>
  <c r="AA353" i="52"/>
  <c r="AA352" i="52"/>
  <c r="AA68" i="52"/>
  <c r="AA336" i="52" s="1"/>
  <c r="AA57" i="52"/>
  <c r="AA56" i="52"/>
  <c r="AA55" i="52"/>
  <c r="AA54" i="52"/>
  <c r="AA53" i="52"/>
  <c r="AA52" i="52"/>
  <c r="AA51" i="52"/>
  <c r="AA50" i="52"/>
  <c r="AA49" i="52"/>
  <c r="AA48" i="52"/>
  <c r="AA47" i="52"/>
  <c r="AA46" i="52"/>
  <c r="AA45" i="52"/>
  <c r="AA44" i="52"/>
  <c r="AA43" i="52"/>
  <c r="AA42" i="52"/>
  <c r="AA41" i="52"/>
  <c r="AA40" i="52"/>
  <c r="AA39" i="52"/>
  <c r="AA38" i="52"/>
  <c r="AA37" i="52"/>
  <c r="AA36" i="52"/>
  <c r="AA35" i="52"/>
  <c r="AA34" i="52"/>
  <c r="AA33" i="52"/>
  <c r="AA14" i="52"/>
  <c r="AH443" i="52"/>
  <c r="W443" i="52"/>
  <c r="N443" i="52"/>
  <c r="J443" i="52"/>
  <c r="H443" i="52"/>
  <c r="D443" i="52"/>
  <c r="C443" i="52"/>
  <c r="AH442" i="52"/>
  <c r="W442" i="52"/>
  <c r="N442" i="52"/>
  <c r="J442" i="52"/>
  <c r="H442" i="52"/>
  <c r="D442" i="52"/>
  <c r="C442" i="52"/>
  <c r="AH441" i="52"/>
  <c r="W441" i="52"/>
  <c r="N441" i="52"/>
  <c r="J441" i="52"/>
  <c r="H441" i="52"/>
  <c r="D441" i="52"/>
  <c r="C441" i="52"/>
  <c r="AH440" i="52"/>
  <c r="W440" i="52"/>
  <c r="N440" i="52"/>
  <c r="J440" i="52"/>
  <c r="H440" i="52"/>
  <c r="D440" i="52"/>
  <c r="C440" i="52"/>
  <c r="AH439" i="52"/>
  <c r="W439" i="52"/>
  <c r="N439" i="52"/>
  <c r="J439" i="52"/>
  <c r="H439" i="52"/>
  <c r="D439" i="52"/>
  <c r="C439" i="52"/>
  <c r="AH438" i="52"/>
  <c r="W438" i="52"/>
  <c r="N438" i="52"/>
  <c r="J438" i="52"/>
  <c r="H438" i="52"/>
  <c r="D438" i="52"/>
  <c r="C438" i="52"/>
  <c r="AH437" i="52"/>
  <c r="W437" i="52"/>
  <c r="N437" i="52"/>
  <c r="J437" i="52"/>
  <c r="H437" i="52"/>
  <c r="D437" i="52"/>
  <c r="C437" i="52"/>
  <c r="AH436" i="52"/>
  <c r="W436" i="52"/>
  <c r="N436" i="52"/>
  <c r="J436" i="52"/>
  <c r="H436" i="52"/>
  <c r="D436" i="52"/>
  <c r="C436" i="52"/>
  <c r="AH435" i="52"/>
  <c r="W435" i="52"/>
  <c r="N435" i="52"/>
  <c r="J435" i="52"/>
  <c r="H435" i="52"/>
  <c r="D435" i="52"/>
  <c r="C435" i="52"/>
  <c r="AH434" i="52"/>
  <c r="W434" i="52"/>
  <c r="N434" i="52"/>
  <c r="J434" i="52"/>
  <c r="H434" i="52"/>
  <c r="D434" i="52"/>
  <c r="C434" i="52"/>
  <c r="AH433" i="52"/>
  <c r="W433" i="52"/>
  <c r="N433" i="52"/>
  <c r="J433" i="52"/>
  <c r="H433" i="52"/>
  <c r="D433" i="52"/>
  <c r="C433" i="52"/>
  <c r="AH432" i="52"/>
  <c r="W432" i="52"/>
  <c r="N432" i="52"/>
  <c r="J432" i="52"/>
  <c r="H432" i="52"/>
  <c r="D432" i="52"/>
  <c r="C432" i="52"/>
  <c r="AH431" i="52"/>
  <c r="W431" i="52"/>
  <c r="N431" i="52"/>
  <c r="J431" i="52"/>
  <c r="H431" i="52"/>
  <c r="D431" i="52"/>
  <c r="C431" i="52"/>
  <c r="AH430" i="52"/>
  <c r="W430" i="52"/>
  <c r="N430" i="52"/>
  <c r="J430" i="52"/>
  <c r="H430" i="52"/>
  <c r="D430" i="52"/>
  <c r="C430" i="52"/>
  <c r="AH429" i="52"/>
  <c r="W429" i="52"/>
  <c r="N429" i="52"/>
  <c r="J429" i="52"/>
  <c r="H429" i="52"/>
  <c r="D429" i="52"/>
  <c r="C429" i="52"/>
  <c r="AH428" i="52"/>
  <c r="W428" i="52"/>
  <c r="N428" i="52"/>
  <c r="J428" i="52"/>
  <c r="H428" i="52"/>
  <c r="D428" i="52"/>
  <c r="C428" i="52"/>
  <c r="AH427" i="52"/>
  <c r="W427" i="52"/>
  <c r="N427" i="52"/>
  <c r="H427" i="52"/>
  <c r="D427" i="52"/>
  <c r="C427" i="52"/>
  <c r="AH426" i="52"/>
  <c r="W426" i="52"/>
  <c r="N426" i="52"/>
  <c r="J426" i="52"/>
  <c r="H426" i="52"/>
  <c r="D426" i="52"/>
  <c r="C426" i="52"/>
  <c r="AH425" i="52"/>
  <c r="W425" i="52"/>
  <c r="N425" i="52"/>
  <c r="J425" i="52"/>
  <c r="H425" i="52"/>
  <c r="D425" i="52"/>
  <c r="C425" i="52"/>
  <c r="AH424" i="52"/>
  <c r="W424" i="52"/>
  <c r="N424" i="52"/>
  <c r="J424" i="52"/>
  <c r="H424" i="52"/>
  <c r="D424" i="52"/>
  <c r="C424" i="52"/>
  <c r="AH423" i="52"/>
  <c r="W423" i="52"/>
  <c r="N423" i="52"/>
  <c r="J423" i="52"/>
  <c r="H423" i="52"/>
  <c r="D423" i="52"/>
  <c r="C423" i="52"/>
  <c r="AH422" i="52"/>
  <c r="W422" i="52"/>
  <c r="N422" i="52"/>
  <c r="J422" i="52"/>
  <c r="H422" i="52"/>
  <c r="D422" i="52"/>
  <c r="C422" i="52"/>
  <c r="AH421" i="52"/>
  <c r="W421" i="52"/>
  <c r="N421" i="52"/>
  <c r="J421" i="52"/>
  <c r="H421" i="52"/>
  <c r="D421" i="52"/>
  <c r="C421" i="52"/>
  <c r="AH420" i="52"/>
  <c r="W420" i="52"/>
  <c r="N420" i="52"/>
  <c r="J420" i="52"/>
  <c r="H420" i="52"/>
  <c r="D420" i="52"/>
  <c r="C420" i="52"/>
  <c r="AH419" i="52"/>
  <c r="W419" i="52"/>
  <c r="N419" i="52"/>
  <c r="J419" i="52"/>
  <c r="H419" i="52"/>
  <c r="D419" i="52"/>
  <c r="C419" i="52"/>
  <c r="AH418" i="52"/>
  <c r="W418" i="52"/>
  <c r="N418" i="52"/>
  <c r="J418" i="52"/>
  <c r="H418" i="52"/>
  <c r="D418" i="52"/>
  <c r="C418" i="52"/>
  <c r="AH417" i="52"/>
  <c r="W417" i="52"/>
  <c r="N417" i="52"/>
  <c r="J417" i="52"/>
  <c r="H417" i="52"/>
  <c r="D417" i="52"/>
  <c r="C417" i="52"/>
  <c r="AH416" i="52"/>
  <c r="W416" i="52"/>
  <c r="N416" i="52"/>
  <c r="J416" i="52"/>
  <c r="H416" i="52"/>
  <c r="D416" i="52"/>
  <c r="C416" i="52"/>
  <c r="AH415" i="52"/>
  <c r="W415" i="52"/>
  <c r="N415" i="52"/>
  <c r="J415" i="52"/>
  <c r="H415" i="52"/>
  <c r="D415" i="52"/>
  <c r="C415" i="52"/>
  <c r="AH414" i="52"/>
  <c r="W414" i="52"/>
  <c r="N414" i="52"/>
  <c r="J414" i="52"/>
  <c r="H414" i="52"/>
  <c r="D414" i="52"/>
  <c r="C414" i="52"/>
  <c r="AH413" i="52"/>
  <c r="W413" i="52"/>
  <c r="N413" i="52"/>
  <c r="J413" i="52"/>
  <c r="H413" i="52"/>
  <c r="D413" i="52"/>
  <c r="C413" i="52"/>
  <c r="AH412" i="52"/>
  <c r="W412" i="52"/>
  <c r="N412" i="52"/>
  <c r="J412" i="52"/>
  <c r="H412" i="52"/>
  <c r="D412" i="52"/>
  <c r="C412" i="52"/>
  <c r="AH411" i="52"/>
  <c r="W411" i="52"/>
  <c r="N411" i="52"/>
  <c r="J411" i="52"/>
  <c r="H411" i="52"/>
  <c r="D411" i="52"/>
  <c r="C411" i="52"/>
  <c r="AH410" i="52"/>
  <c r="W410" i="52"/>
  <c r="N410" i="52"/>
  <c r="J410" i="52"/>
  <c r="H410" i="52"/>
  <c r="D410" i="52"/>
  <c r="C410" i="52"/>
  <c r="AH409" i="52"/>
  <c r="W409" i="52"/>
  <c r="N409" i="52"/>
  <c r="J409" i="52"/>
  <c r="H409" i="52"/>
  <c r="D409" i="52"/>
  <c r="C409" i="52"/>
  <c r="AH408" i="52"/>
  <c r="W408" i="52"/>
  <c r="N408" i="52"/>
  <c r="J408" i="52"/>
  <c r="H408" i="52"/>
  <c r="D408" i="52"/>
  <c r="C408" i="52"/>
  <c r="AH407" i="52"/>
  <c r="W407" i="52"/>
  <c r="N407" i="52"/>
  <c r="J407" i="52"/>
  <c r="H407" i="52"/>
  <c r="D407" i="52"/>
  <c r="C407" i="52"/>
  <c r="AH406" i="52"/>
  <c r="W406" i="52"/>
  <c r="N406" i="52"/>
  <c r="J406" i="52"/>
  <c r="H406" i="52"/>
  <c r="D406" i="52"/>
  <c r="C406" i="52"/>
  <c r="AH405" i="52"/>
  <c r="W405" i="52"/>
  <c r="N405" i="52"/>
  <c r="J405" i="52"/>
  <c r="H405" i="52"/>
  <c r="D405" i="52"/>
  <c r="C405" i="52"/>
  <c r="AH404" i="52"/>
  <c r="W404" i="52"/>
  <c r="N404" i="52"/>
  <c r="J404" i="52"/>
  <c r="H404" i="52"/>
  <c r="D404" i="52"/>
  <c r="C404" i="52"/>
  <c r="AH403" i="52"/>
  <c r="W403" i="52"/>
  <c r="N403" i="52"/>
  <c r="J403" i="52"/>
  <c r="H403" i="52"/>
  <c r="D403" i="52"/>
  <c r="C403" i="52"/>
  <c r="AH402" i="52"/>
  <c r="W402" i="52"/>
  <c r="N402" i="52"/>
  <c r="J402" i="52"/>
  <c r="H402" i="52"/>
  <c r="D402" i="52"/>
  <c r="C402" i="52"/>
  <c r="AH401" i="52"/>
  <c r="W401" i="52"/>
  <c r="N401" i="52"/>
  <c r="J401" i="52"/>
  <c r="H401" i="52"/>
  <c r="D401" i="52"/>
  <c r="C401" i="52"/>
  <c r="AH400" i="52"/>
  <c r="W400" i="52"/>
  <c r="N400" i="52"/>
  <c r="J400" i="52"/>
  <c r="H400" i="52"/>
  <c r="D400" i="52"/>
  <c r="C400" i="52"/>
  <c r="AH399" i="52"/>
  <c r="W399" i="52"/>
  <c r="N399" i="52"/>
  <c r="J399" i="52"/>
  <c r="H399" i="52"/>
  <c r="D399" i="52"/>
  <c r="C399" i="52"/>
  <c r="AH398" i="52"/>
  <c r="W398" i="52"/>
  <c r="N398" i="52"/>
  <c r="J398" i="52"/>
  <c r="H398" i="52"/>
  <c r="D398" i="52"/>
  <c r="C398" i="52"/>
  <c r="AH397" i="52"/>
  <c r="W397" i="52"/>
  <c r="N397" i="52"/>
  <c r="J397" i="52"/>
  <c r="H397" i="52"/>
  <c r="D397" i="52"/>
  <c r="C397" i="52"/>
  <c r="AH396" i="52"/>
  <c r="W396" i="52"/>
  <c r="N396" i="52"/>
  <c r="J396" i="52"/>
  <c r="H396" i="52"/>
  <c r="D396" i="52"/>
  <c r="C396" i="52"/>
  <c r="AH395" i="52"/>
  <c r="W395" i="52"/>
  <c r="N395" i="52"/>
  <c r="J395" i="52"/>
  <c r="H395" i="52"/>
  <c r="D395" i="52"/>
  <c r="C395" i="52"/>
  <c r="AH394" i="52"/>
  <c r="W394" i="52"/>
  <c r="N394" i="52"/>
  <c r="J394" i="52"/>
  <c r="H394" i="52"/>
  <c r="D394" i="52"/>
  <c r="C394" i="52"/>
  <c r="AH393" i="52"/>
  <c r="W393" i="52"/>
  <c r="N393" i="52"/>
  <c r="J393" i="52"/>
  <c r="H393" i="52"/>
  <c r="D393" i="52"/>
  <c r="C393" i="52"/>
  <c r="AH392" i="52"/>
  <c r="W392" i="52"/>
  <c r="N392" i="52"/>
  <c r="J392" i="52"/>
  <c r="H392" i="52"/>
  <c r="D392" i="52"/>
  <c r="C392" i="52"/>
  <c r="AH391" i="52"/>
  <c r="W391" i="52"/>
  <c r="N391" i="52"/>
  <c r="J391" i="52"/>
  <c r="H391" i="52"/>
  <c r="D391" i="52"/>
  <c r="C391" i="52"/>
  <c r="AH390" i="52"/>
  <c r="W390" i="52"/>
  <c r="N390" i="52"/>
  <c r="J390" i="52"/>
  <c r="H390" i="52"/>
  <c r="D390" i="52"/>
  <c r="C390" i="52"/>
  <c r="AH389" i="52"/>
  <c r="W389" i="52"/>
  <c r="N389" i="52"/>
  <c r="J389" i="52"/>
  <c r="H389" i="52"/>
  <c r="D389" i="52"/>
  <c r="C389" i="52"/>
  <c r="AH388" i="52"/>
  <c r="W388" i="52"/>
  <c r="N388" i="52"/>
  <c r="J388" i="52"/>
  <c r="H388" i="52"/>
  <c r="D388" i="52"/>
  <c r="C388" i="52"/>
  <c r="AH387" i="52"/>
  <c r="W387" i="52"/>
  <c r="N387" i="52"/>
  <c r="J387" i="52"/>
  <c r="H387" i="52"/>
  <c r="D387" i="52"/>
  <c r="C387" i="52"/>
  <c r="AH386" i="52"/>
  <c r="W386" i="52"/>
  <c r="N386" i="52"/>
  <c r="J386" i="52"/>
  <c r="H386" i="52"/>
  <c r="D386" i="52"/>
  <c r="C386" i="52"/>
  <c r="AH385" i="52"/>
  <c r="W385" i="52"/>
  <c r="N385" i="52"/>
  <c r="J385" i="52"/>
  <c r="H385" i="52"/>
  <c r="D385" i="52"/>
  <c r="C385" i="52"/>
  <c r="AH384" i="52"/>
  <c r="W384" i="52"/>
  <c r="N384" i="52"/>
  <c r="J384" i="52"/>
  <c r="H384" i="52"/>
  <c r="D384" i="52"/>
  <c r="C384" i="52"/>
  <c r="AH383" i="52"/>
  <c r="W383" i="52"/>
  <c r="N383" i="52"/>
  <c r="J383" i="52"/>
  <c r="H383" i="52"/>
  <c r="D383" i="52"/>
  <c r="C383" i="52"/>
  <c r="AH382" i="52"/>
  <c r="W382" i="52"/>
  <c r="N382" i="52"/>
  <c r="J382" i="52"/>
  <c r="H382" i="52"/>
  <c r="D382" i="52"/>
  <c r="C382" i="52"/>
  <c r="AH381" i="52"/>
  <c r="W381" i="52"/>
  <c r="N381" i="52"/>
  <c r="J381" i="52"/>
  <c r="H381" i="52"/>
  <c r="D381" i="52"/>
  <c r="C381" i="52"/>
  <c r="AH380" i="52"/>
  <c r="W380" i="52"/>
  <c r="N380" i="52"/>
  <c r="J380" i="52"/>
  <c r="H380" i="52"/>
  <c r="D380" i="52"/>
  <c r="C380" i="52"/>
  <c r="AH379" i="52"/>
  <c r="W379" i="52"/>
  <c r="N379" i="52"/>
  <c r="J379" i="52"/>
  <c r="H379" i="52"/>
  <c r="D379" i="52"/>
  <c r="C379" i="52"/>
  <c r="AH378" i="52"/>
  <c r="W378" i="52"/>
  <c r="N378" i="52"/>
  <c r="J378" i="52"/>
  <c r="H378" i="52"/>
  <c r="D378" i="52"/>
  <c r="C378" i="52"/>
  <c r="AH377" i="52"/>
  <c r="W377" i="52"/>
  <c r="N377" i="52"/>
  <c r="J377" i="52"/>
  <c r="H377" i="52"/>
  <c r="D377" i="52"/>
  <c r="C377" i="52"/>
  <c r="AH376" i="52"/>
  <c r="W376" i="52"/>
  <c r="N376" i="52"/>
  <c r="J376" i="52"/>
  <c r="H376" i="52"/>
  <c r="D376" i="52"/>
  <c r="C376" i="52"/>
  <c r="AH375" i="52"/>
  <c r="W375" i="52"/>
  <c r="N375" i="52"/>
  <c r="J375" i="52"/>
  <c r="H375" i="52"/>
  <c r="D375" i="52"/>
  <c r="C375" i="52"/>
  <c r="AH374" i="52"/>
  <c r="W374" i="52"/>
  <c r="N374" i="52"/>
  <c r="J374" i="52"/>
  <c r="H374" i="52"/>
  <c r="D374" i="52"/>
  <c r="C374" i="52"/>
  <c r="AH373" i="52"/>
  <c r="W373" i="52"/>
  <c r="N373" i="52"/>
  <c r="J373" i="52"/>
  <c r="H373" i="52"/>
  <c r="D373" i="52"/>
  <c r="C373" i="52"/>
  <c r="AH372" i="52"/>
  <c r="W372" i="52"/>
  <c r="N372" i="52"/>
  <c r="J372" i="52"/>
  <c r="H372" i="52"/>
  <c r="D372" i="52"/>
  <c r="C372" i="52"/>
  <c r="AH371" i="52"/>
  <c r="W371" i="52"/>
  <c r="N371" i="52"/>
  <c r="J371" i="52"/>
  <c r="H371" i="52"/>
  <c r="D371" i="52"/>
  <c r="C371" i="52"/>
  <c r="AH370" i="52"/>
  <c r="W370" i="52"/>
  <c r="N370" i="52"/>
  <c r="J370" i="52"/>
  <c r="H370" i="52"/>
  <c r="D370" i="52"/>
  <c r="C370" i="52"/>
  <c r="AH369" i="52"/>
  <c r="W369" i="52"/>
  <c r="N369" i="52"/>
  <c r="J369" i="52"/>
  <c r="H369" i="52"/>
  <c r="D369" i="52"/>
  <c r="C369" i="52"/>
  <c r="AH368" i="52"/>
  <c r="W368" i="52"/>
  <c r="N368" i="52"/>
  <c r="J368" i="52"/>
  <c r="H368" i="52"/>
  <c r="D368" i="52"/>
  <c r="C368" i="52"/>
  <c r="AH367" i="52"/>
  <c r="W367" i="52"/>
  <c r="N367" i="52"/>
  <c r="J367" i="52"/>
  <c r="H367" i="52"/>
  <c r="D367" i="52"/>
  <c r="C367" i="52"/>
  <c r="AH366" i="52"/>
  <c r="W366" i="52"/>
  <c r="N366" i="52"/>
  <c r="J366" i="52"/>
  <c r="H366" i="52"/>
  <c r="D366" i="52"/>
  <c r="C366" i="52"/>
  <c r="AH365" i="52"/>
  <c r="W365" i="52"/>
  <c r="N365" i="52"/>
  <c r="J365" i="52"/>
  <c r="H365" i="52"/>
  <c r="D365" i="52"/>
  <c r="C365" i="52"/>
  <c r="AH364" i="52"/>
  <c r="W364" i="52"/>
  <c r="N364" i="52"/>
  <c r="J364" i="52"/>
  <c r="H364" i="52"/>
  <c r="D364" i="52"/>
  <c r="C364" i="52"/>
  <c r="AH363" i="52"/>
  <c r="W363" i="52"/>
  <c r="N363" i="52"/>
  <c r="J363" i="52"/>
  <c r="H363" i="52"/>
  <c r="D363" i="52"/>
  <c r="C363" i="52"/>
  <c r="AH362" i="52"/>
  <c r="W362" i="52"/>
  <c r="N362" i="52"/>
  <c r="J362" i="52"/>
  <c r="H362" i="52"/>
  <c r="D362" i="52"/>
  <c r="C362" i="52"/>
  <c r="AH361" i="52"/>
  <c r="W361" i="52"/>
  <c r="N361" i="52"/>
  <c r="J361" i="52"/>
  <c r="H361" i="52"/>
  <c r="D361" i="52"/>
  <c r="C361" i="52"/>
  <c r="AH360" i="52"/>
  <c r="W360" i="52"/>
  <c r="N360" i="52"/>
  <c r="J360" i="52"/>
  <c r="H360" i="52"/>
  <c r="D360" i="52"/>
  <c r="C360" i="52"/>
  <c r="AH359" i="52"/>
  <c r="W359" i="52"/>
  <c r="N359" i="52"/>
  <c r="J359" i="52"/>
  <c r="H359" i="52"/>
  <c r="D359" i="52"/>
  <c r="C359" i="52"/>
  <c r="AH358" i="52"/>
  <c r="W358" i="52"/>
  <c r="N358" i="52"/>
  <c r="J358" i="52"/>
  <c r="H358" i="52"/>
  <c r="D358" i="52"/>
  <c r="C358" i="52"/>
  <c r="AH357" i="52"/>
  <c r="W357" i="52"/>
  <c r="N357" i="52"/>
  <c r="J357" i="52"/>
  <c r="H357" i="52"/>
  <c r="D357" i="52"/>
  <c r="C357" i="52"/>
  <c r="AH356" i="52"/>
  <c r="W356" i="52"/>
  <c r="N356" i="52"/>
  <c r="J356" i="52"/>
  <c r="H356" i="52"/>
  <c r="D356" i="52"/>
  <c r="C356" i="52"/>
  <c r="AH355" i="52"/>
  <c r="W355" i="52"/>
  <c r="N355" i="52"/>
  <c r="J355" i="52"/>
  <c r="H355" i="52"/>
  <c r="D355" i="52"/>
  <c r="C355" i="52"/>
  <c r="AH354" i="52"/>
  <c r="W354" i="52"/>
  <c r="N354" i="52"/>
  <c r="J354" i="52"/>
  <c r="H354" i="52"/>
  <c r="D354" i="52"/>
  <c r="C354" i="52"/>
  <c r="AH353" i="52"/>
  <c r="W353" i="52"/>
  <c r="N353" i="52"/>
  <c r="J353" i="52"/>
  <c r="I353" i="52"/>
  <c r="H353" i="52"/>
  <c r="D353" i="52"/>
  <c r="C353" i="52"/>
  <c r="AH352" i="52"/>
  <c r="W352" i="52"/>
  <c r="N352" i="52"/>
  <c r="H352" i="52"/>
  <c r="D352" i="52"/>
  <c r="C352" i="52"/>
  <c r="AH335" i="52"/>
  <c r="AH333" i="52"/>
  <c r="AH332" i="52"/>
  <c r="AH331" i="52"/>
  <c r="AH330" i="52"/>
  <c r="AH329" i="52"/>
  <c r="AH328" i="52"/>
  <c r="AH327" i="52"/>
  <c r="AH326" i="52"/>
  <c r="AH325" i="52"/>
  <c r="AH324" i="52"/>
  <c r="AH323" i="52"/>
  <c r="AH322" i="52"/>
  <c r="AH321" i="52"/>
  <c r="AH320" i="52"/>
  <c r="AH319" i="52"/>
  <c r="AH318" i="52"/>
  <c r="AH317" i="52"/>
  <c r="AH316" i="52"/>
  <c r="AH315" i="52"/>
  <c r="AH314" i="52"/>
  <c r="AH313" i="52"/>
  <c r="AH312" i="52"/>
  <c r="AH311" i="52"/>
  <c r="AH310" i="52"/>
  <c r="AH309" i="52"/>
  <c r="AH308" i="52"/>
  <c r="AH307" i="52"/>
  <c r="AH306" i="52"/>
  <c r="AH305" i="52"/>
  <c r="AH304" i="52"/>
  <c r="AH303" i="52"/>
  <c r="AH302" i="52"/>
  <c r="AH301" i="52"/>
  <c r="AH300" i="52"/>
  <c r="AH299" i="52"/>
  <c r="AH298" i="52"/>
  <c r="AH297" i="52"/>
  <c r="AH296" i="52"/>
  <c r="AH295" i="52"/>
  <c r="AH294" i="52"/>
  <c r="AH293" i="52"/>
  <c r="AH292" i="52"/>
  <c r="AH291" i="52"/>
  <c r="AH290" i="52"/>
  <c r="AH289" i="52"/>
  <c r="AH288" i="52"/>
  <c r="AH287" i="52"/>
  <c r="AH286" i="52"/>
  <c r="AH285" i="52"/>
  <c r="AH284" i="52"/>
  <c r="AH283" i="52"/>
  <c r="AH282" i="52"/>
  <c r="AH281" i="52"/>
  <c r="AH280" i="52"/>
  <c r="AH279" i="52"/>
  <c r="AH278" i="52"/>
  <c r="AH277" i="52"/>
  <c r="AH276" i="52"/>
  <c r="AH275" i="52"/>
  <c r="AH274" i="52"/>
  <c r="AH273" i="52"/>
  <c r="AH272" i="52"/>
  <c r="AH271" i="52"/>
  <c r="AH270" i="52"/>
  <c r="AH269" i="52"/>
  <c r="AH268" i="52"/>
  <c r="AH267" i="52"/>
  <c r="AH266" i="52"/>
  <c r="AH265" i="52"/>
  <c r="AH264" i="52"/>
  <c r="AH263" i="52"/>
  <c r="AH262" i="52"/>
  <c r="AH261" i="52"/>
  <c r="AH260" i="52"/>
  <c r="AH259" i="52"/>
  <c r="AH258" i="52"/>
  <c r="AH257" i="52"/>
  <c r="AH256" i="52"/>
  <c r="AH255" i="52"/>
  <c r="AH254" i="52"/>
  <c r="AH253" i="52"/>
  <c r="AH252" i="52"/>
  <c r="AH251" i="52"/>
  <c r="AH250" i="52"/>
  <c r="AH249" i="52"/>
  <c r="AH248" i="52"/>
  <c r="AH247" i="52"/>
  <c r="AH246" i="52"/>
  <c r="AH245" i="52"/>
  <c r="AH244" i="52"/>
  <c r="AH243" i="52"/>
  <c r="AH242" i="52"/>
  <c r="AH241" i="52"/>
  <c r="AH240" i="52"/>
  <c r="AH239" i="52"/>
  <c r="AH238" i="52"/>
  <c r="AH237" i="52"/>
  <c r="AH236" i="52"/>
  <c r="AH235" i="52"/>
  <c r="AH234" i="52"/>
  <c r="AH233" i="52"/>
  <c r="AH232" i="52"/>
  <c r="AH231" i="52"/>
  <c r="AH230" i="52"/>
  <c r="AH229" i="52"/>
  <c r="AH228" i="52"/>
  <c r="AH227" i="52"/>
  <c r="AH226" i="52"/>
  <c r="AH225" i="52"/>
  <c r="AH224" i="52"/>
  <c r="AH223" i="52"/>
  <c r="AH222" i="52"/>
  <c r="AH221" i="52"/>
  <c r="AH220" i="52"/>
  <c r="AH219" i="52"/>
  <c r="AH218" i="52"/>
  <c r="AH217" i="52"/>
  <c r="AH216" i="52"/>
  <c r="AH215" i="52"/>
  <c r="AH214" i="52"/>
  <c r="AH213" i="52"/>
  <c r="AH212" i="52"/>
  <c r="AH211" i="52"/>
  <c r="AH210" i="52"/>
  <c r="AH209" i="52"/>
  <c r="AH208" i="52"/>
  <c r="AH207" i="52"/>
  <c r="AH206" i="52"/>
  <c r="AH205" i="52"/>
  <c r="AH204" i="52"/>
  <c r="AH203" i="52"/>
  <c r="AH202" i="52"/>
  <c r="AH201" i="52"/>
  <c r="AH200" i="52"/>
  <c r="AH199" i="52"/>
  <c r="AH198" i="52"/>
  <c r="AH197" i="52"/>
  <c r="AH196" i="52"/>
  <c r="AH195" i="52"/>
  <c r="AH194" i="52"/>
  <c r="AH193" i="52"/>
  <c r="AH192" i="52"/>
  <c r="AH191" i="52"/>
  <c r="AH190" i="52"/>
  <c r="AH189" i="52"/>
  <c r="AH188" i="52"/>
  <c r="AH187" i="52"/>
  <c r="AH186" i="52"/>
  <c r="AH185" i="52"/>
  <c r="AH184" i="52"/>
  <c r="AH183" i="52"/>
  <c r="AH182" i="52"/>
  <c r="AH181" i="52"/>
  <c r="AH180" i="52"/>
  <c r="AH179" i="52"/>
  <c r="AH178" i="52"/>
  <c r="AH177" i="52"/>
  <c r="AH176" i="52"/>
  <c r="AH175" i="52"/>
  <c r="AH174" i="52"/>
  <c r="AH173" i="52"/>
  <c r="AH172" i="52"/>
  <c r="AH171" i="52"/>
  <c r="AH170" i="52"/>
  <c r="AH169" i="52"/>
  <c r="AH168" i="52"/>
  <c r="AH167" i="52"/>
  <c r="AH166" i="52"/>
  <c r="AH165" i="52"/>
  <c r="AH164" i="52"/>
  <c r="AH163" i="52"/>
  <c r="AH162" i="52"/>
  <c r="AH161" i="52"/>
  <c r="AH160" i="52"/>
  <c r="AH159" i="52"/>
  <c r="AH158" i="52"/>
  <c r="AH157" i="52"/>
  <c r="AH156" i="52"/>
  <c r="AH155" i="52"/>
  <c r="AH154" i="52"/>
  <c r="AH153" i="52"/>
  <c r="AH152" i="52"/>
  <c r="AH151" i="52"/>
  <c r="AH150" i="52"/>
  <c r="AH149" i="52"/>
  <c r="AH148" i="52"/>
  <c r="AH147" i="52"/>
  <c r="AH146" i="52"/>
  <c r="AH145" i="52"/>
  <c r="AH144" i="52"/>
  <c r="AH143" i="52"/>
  <c r="AH142" i="52"/>
  <c r="AH141" i="52"/>
  <c r="AH140" i="52"/>
  <c r="AH139" i="52"/>
  <c r="AH138" i="52"/>
  <c r="AH137" i="52"/>
  <c r="AH136" i="52"/>
  <c r="AH135" i="52"/>
  <c r="AH134" i="52"/>
  <c r="AH133" i="52"/>
  <c r="AH132" i="52"/>
  <c r="AH131" i="52"/>
  <c r="AH130" i="52"/>
  <c r="AH129" i="52"/>
  <c r="AH128" i="52"/>
  <c r="AH127" i="52"/>
  <c r="AH126" i="52"/>
  <c r="AH125" i="52"/>
  <c r="AH124" i="52"/>
  <c r="AH123" i="52"/>
  <c r="AH122" i="52"/>
  <c r="AH121" i="52"/>
  <c r="AH120" i="52"/>
  <c r="AH119" i="52"/>
  <c r="AH118" i="52"/>
  <c r="AH117" i="52"/>
  <c r="AH116" i="52"/>
  <c r="AH115" i="52"/>
  <c r="AH114" i="52"/>
  <c r="AH113" i="52"/>
  <c r="AH112" i="52"/>
  <c r="AH111" i="52"/>
  <c r="AH110" i="52"/>
  <c r="AH109" i="52"/>
  <c r="AH108" i="52"/>
  <c r="AH107" i="52"/>
  <c r="AH106" i="52"/>
  <c r="AH105" i="52"/>
  <c r="AH104" i="52"/>
  <c r="AH103" i="52"/>
  <c r="AH102" i="52"/>
  <c r="AH101" i="52"/>
  <c r="AH100" i="52"/>
  <c r="AH99" i="52"/>
  <c r="AH98" i="52"/>
  <c r="AH97" i="52"/>
  <c r="AH96" i="52"/>
  <c r="AH95" i="52"/>
  <c r="AH94" i="52"/>
  <c r="AH93" i="52"/>
  <c r="AH92" i="52"/>
  <c r="AH91" i="52"/>
  <c r="AH90" i="52"/>
  <c r="AH89" i="52"/>
  <c r="AH88" i="52"/>
  <c r="AH87" i="52"/>
  <c r="AH86" i="52"/>
  <c r="AH85" i="52"/>
  <c r="AH84" i="52"/>
  <c r="AH83" i="52"/>
  <c r="AH82" i="52"/>
  <c r="AH81" i="52"/>
  <c r="AH80" i="52"/>
  <c r="AH79" i="52"/>
  <c r="AH78" i="52"/>
  <c r="AH77" i="52"/>
  <c r="AH76" i="52"/>
  <c r="AH75" i="52"/>
  <c r="AH74" i="52"/>
  <c r="AH73" i="52"/>
  <c r="AH72" i="52"/>
  <c r="AH71" i="52"/>
  <c r="AH70" i="52"/>
  <c r="AH69" i="52"/>
  <c r="AH68" i="52"/>
  <c r="W68" i="52"/>
  <c r="W336" i="52" s="1"/>
  <c r="N68" i="52"/>
  <c r="J68" i="52"/>
  <c r="H68" i="52"/>
  <c r="D68" i="52"/>
  <c r="C68" i="52"/>
  <c r="AH57" i="52"/>
  <c r="W57" i="52"/>
  <c r="N57" i="52"/>
  <c r="J57" i="52"/>
  <c r="H57" i="52"/>
  <c r="D57" i="52"/>
  <c r="C57" i="52"/>
  <c r="AH56" i="52"/>
  <c r="W56" i="52"/>
  <c r="N56" i="52"/>
  <c r="J56" i="52"/>
  <c r="H56" i="52"/>
  <c r="D56" i="52"/>
  <c r="C56" i="52"/>
  <c r="AH55" i="52"/>
  <c r="W55" i="52"/>
  <c r="N55" i="52"/>
  <c r="J55" i="52"/>
  <c r="H55" i="52"/>
  <c r="D55" i="52"/>
  <c r="C55" i="52"/>
  <c r="AH54" i="52"/>
  <c r="W54" i="52"/>
  <c r="N54" i="52"/>
  <c r="J54" i="52"/>
  <c r="H54" i="52"/>
  <c r="D54" i="52"/>
  <c r="C54" i="52"/>
  <c r="AH53" i="52"/>
  <c r="W53" i="52"/>
  <c r="N53" i="52"/>
  <c r="J53" i="52"/>
  <c r="H53" i="52"/>
  <c r="D53" i="52"/>
  <c r="C53" i="52"/>
  <c r="AH52" i="52"/>
  <c r="W52" i="52"/>
  <c r="N52" i="52"/>
  <c r="J52" i="52"/>
  <c r="H52" i="52"/>
  <c r="D52" i="52"/>
  <c r="C52" i="52"/>
  <c r="AH51" i="52"/>
  <c r="W51" i="52"/>
  <c r="N51" i="52"/>
  <c r="H51" i="52"/>
  <c r="D51" i="52"/>
  <c r="C51" i="52"/>
  <c r="AH50" i="52"/>
  <c r="W50" i="52"/>
  <c r="N50" i="52"/>
  <c r="J50" i="52"/>
  <c r="H50" i="52"/>
  <c r="D50" i="52"/>
  <c r="C50" i="52"/>
  <c r="AH49" i="52"/>
  <c r="W49" i="52"/>
  <c r="N49" i="52"/>
  <c r="J49" i="52"/>
  <c r="H49" i="52"/>
  <c r="D49" i="52"/>
  <c r="C49" i="52"/>
  <c r="AH48" i="52"/>
  <c r="W48" i="52"/>
  <c r="N48" i="52"/>
  <c r="J48" i="52"/>
  <c r="H48" i="52"/>
  <c r="D48" i="52"/>
  <c r="C48" i="52"/>
  <c r="AH47" i="52"/>
  <c r="W47" i="52"/>
  <c r="N47" i="52"/>
  <c r="J47" i="52"/>
  <c r="H47" i="52"/>
  <c r="D47" i="52"/>
  <c r="C47" i="52"/>
  <c r="AH46" i="52"/>
  <c r="W46" i="52"/>
  <c r="N46" i="52"/>
  <c r="J46" i="52"/>
  <c r="H46" i="52"/>
  <c r="D46" i="52"/>
  <c r="C46" i="52"/>
  <c r="AH45" i="52"/>
  <c r="W45" i="52"/>
  <c r="N45" i="52"/>
  <c r="J45" i="52"/>
  <c r="H45" i="52"/>
  <c r="D45" i="52"/>
  <c r="C45" i="52"/>
  <c r="AH44" i="52"/>
  <c r="W44" i="52"/>
  <c r="N44" i="52"/>
  <c r="J44" i="52"/>
  <c r="H44" i="52"/>
  <c r="D44" i="52"/>
  <c r="C44" i="52"/>
  <c r="AH43" i="52"/>
  <c r="W43" i="52"/>
  <c r="N43" i="52"/>
  <c r="J43" i="52"/>
  <c r="H43" i="52"/>
  <c r="D43" i="52"/>
  <c r="C43" i="52"/>
  <c r="AH42" i="52"/>
  <c r="W42" i="52"/>
  <c r="N42" i="52"/>
  <c r="J42" i="52"/>
  <c r="H42" i="52"/>
  <c r="D42" i="52"/>
  <c r="C42" i="52"/>
  <c r="AH41" i="52"/>
  <c r="W41" i="52"/>
  <c r="N41" i="52"/>
  <c r="J41" i="52"/>
  <c r="H41" i="52"/>
  <c r="D41" i="52"/>
  <c r="C41" i="52"/>
  <c r="AH40" i="52"/>
  <c r="W40" i="52"/>
  <c r="N40" i="52"/>
  <c r="J40" i="52"/>
  <c r="H40" i="52"/>
  <c r="D40" i="52"/>
  <c r="C40" i="52"/>
  <c r="AH39" i="52"/>
  <c r="W39" i="52"/>
  <c r="N39" i="52"/>
  <c r="J39" i="52"/>
  <c r="H39" i="52"/>
  <c r="D39" i="52"/>
  <c r="C39" i="52"/>
  <c r="AH38" i="52"/>
  <c r="W38" i="52"/>
  <c r="N38" i="52"/>
  <c r="J38" i="52"/>
  <c r="H38" i="52"/>
  <c r="D38" i="52"/>
  <c r="C38" i="52"/>
  <c r="AH37" i="52"/>
  <c r="W37" i="52"/>
  <c r="N37" i="52"/>
  <c r="J37" i="52"/>
  <c r="H37" i="52"/>
  <c r="D37" i="52"/>
  <c r="C37" i="52"/>
  <c r="AH36" i="52"/>
  <c r="W36" i="52"/>
  <c r="N36" i="52"/>
  <c r="J36" i="52"/>
  <c r="H36" i="52"/>
  <c r="D36" i="52"/>
  <c r="C36" i="52"/>
  <c r="AH35" i="52"/>
  <c r="W35" i="52"/>
  <c r="N35" i="52"/>
  <c r="J35" i="52"/>
  <c r="H35" i="52"/>
  <c r="D35" i="52"/>
  <c r="C35" i="52"/>
  <c r="AH34" i="52"/>
  <c r="W34" i="52"/>
  <c r="N34" i="52"/>
  <c r="J34" i="52"/>
  <c r="H34" i="52"/>
  <c r="D34" i="52"/>
  <c r="C34" i="52"/>
  <c r="AH33" i="52"/>
  <c r="W33" i="52"/>
  <c r="N33" i="52"/>
  <c r="J33" i="52"/>
  <c r="H33" i="52"/>
  <c r="D33" i="52"/>
  <c r="C33" i="52"/>
  <c r="AH14" i="52"/>
  <c r="W14" i="52"/>
  <c r="N14" i="52"/>
  <c r="H14" i="52"/>
  <c r="D14" i="52"/>
  <c r="C14" i="52"/>
  <c r="AH13" i="52"/>
  <c r="W13" i="52"/>
  <c r="P13" i="52"/>
  <c r="N13" i="52"/>
  <c r="J13" i="52"/>
  <c r="H13" i="52"/>
  <c r="D13" i="52"/>
  <c r="C13" i="52"/>
  <c r="B351" i="52"/>
  <c r="B67" i="52"/>
  <c r="B32" i="52"/>
  <c r="C9" i="52"/>
  <c r="B12" i="52"/>
  <c r="Q444" i="52"/>
  <c r="B353" i="52"/>
  <c r="B354" i="52" s="1"/>
  <c r="B355" i="52" s="1"/>
  <c r="B356" i="52" s="1"/>
  <c r="B357" i="52" s="1"/>
  <c r="B358" i="52" s="1"/>
  <c r="B359" i="52" s="1"/>
  <c r="B360" i="52" s="1"/>
  <c r="B361" i="52" s="1"/>
  <c r="B362" i="52" s="1"/>
  <c r="B363" i="52" s="1"/>
  <c r="B364" i="52" s="1"/>
  <c r="B365" i="52" s="1"/>
  <c r="B366" i="52" s="1"/>
  <c r="B367" i="52" s="1"/>
  <c r="B368" i="52" s="1"/>
  <c r="B369" i="52" s="1"/>
  <c r="B370" i="52" s="1"/>
  <c r="B371" i="52" s="1"/>
  <c r="B372" i="52" s="1"/>
  <c r="B373" i="52" s="1"/>
  <c r="B374" i="52" s="1"/>
  <c r="B375" i="52" s="1"/>
  <c r="B376" i="52" s="1"/>
  <c r="B377" i="52" s="1"/>
  <c r="B378" i="52" s="1"/>
  <c r="B379" i="52" s="1"/>
  <c r="B380" i="52" s="1"/>
  <c r="B381" i="52" s="1"/>
  <c r="B382" i="52" s="1"/>
  <c r="B383" i="52" s="1"/>
  <c r="B384" i="52" s="1"/>
  <c r="B385" i="52" s="1"/>
  <c r="B386" i="52" s="1"/>
  <c r="B387" i="52" s="1"/>
  <c r="B388" i="52" s="1"/>
  <c r="B389" i="52" s="1"/>
  <c r="B390" i="52" s="1"/>
  <c r="B391" i="52" s="1"/>
  <c r="B392" i="52" s="1"/>
  <c r="B393" i="52" s="1"/>
  <c r="B394" i="52" s="1"/>
  <c r="B395" i="52" s="1"/>
  <c r="B396" i="52" s="1"/>
  <c r="B397" i="52" s="1"/>
  <c r="B398" i="52" s="1"/>
  <c r="B399" i="52" s="1"/>
  <c r="B400" i="52" s="1"/>
  <c r="B401" i="52" s="1"/>
  <c r="B402" i="52" s="1"/>
  <c r="B403" i="52" s="1"/>
  <c r="B404" i="52" s="1"/>
  <c r="B405" i="52" s="1"/>
  <c r="B406" i="52" s="1"/>
  <c r="B407" i="52" s="1"/>
  <c r="B408" i="52" s="1"/>
  <c r="B409" i="52" s="1"/>
  <c r="B410" i="52" s="1"/>
  <c r="B411" i="52" s="1"/>
  <c r="B412" i="52" s="1"/>
  <c r="B413" i="52" s="1"/>
  <c r="B414" i="52" s="1"/>
  <c r="B415" i="52" s="1"/>
  <c r="B416" i="52" s="1"/>
  <c r="B417" i="52" s="1"/>
  <c r="B418" i="52" s="1"/>
  <c r="B419" i="52" s="1"/>
  <c r="B420" i="52" s="1"/>
  <c r="B421" i="52" s="1"/>
  <c r="B422" i="52" s="1"/>
  <c r="B423" i="52" s="1"/>
  <c r="B424" i="52" s="1"/>
  <c r="B425" i="52" s="1"/>
  <c r="B426" i="52" s="1"/>
  <c r="B427" i="52" s="1"/>
  <c r="B428" i="52" s="1"/>
  <c r="B429" i="52" s="1"/>
  <c r="B430" i="52" s="1"/>
  <c r="B431" i="52" s="1"/>
  <c r="B432" i="52" s="1"/>
  <c r="B433" i="52" s="1"/>
  <c r="B434" i="52" s="1"/>
  <c r="B435" i="52" s="1"/>
  <c r="B436" i="52" s="1"/>
  <c r="B437" i="52" s="1"/>
  <c r="B438" i="52" s="1"/>
  <c r="B439" i="52" s="1"/>
  <c r="B440" i="52" s="1"/>
  <c r="B441" i="52" s="1"/>
  <c r="B442" i="52" s="1"/>
  <c r="B443" i="52" s="1"/>
  <c r="Q336" i="52"/>
  <c r="B69" i="52"/>
  <c r="B70" i="52" s="1"/>
  <c r="B71" i="52" s="1"/>
  <c r="B72" i="52" s="1"/>
  <c r="B73" i="52" s="1"/>
  <c r="B74" i="52" s="1"/>
  <c r="B75" i="52" s="1"/>
  <c r="B76" i="52" s="1"/>
  <c r="B77" i="52" s="1"/>
  <c r="B78" i="52" s="1"/>
  <c r="B79" i="52" s="1"/>
  <c r="B80" i="52" s="1"/>
  <c r="B81" i="52" s="1"/>
  <c r="B82" i="52" s="1"/>
  <c r="B83" i="52" s="1"/>
  <c r="B84" i="52" s="1"/>
  <c r="B85" i="52" s="1"/>
  <c r="B86" i="52" s="1"/>
  <c r="B87" i="52" s="1"/>
  <c r="B88" i="52" s="1"/>
  <c r="B89" i="52" s="1"/>
  <c r="B90" i="52" s="1"/>
  <c r="B91" i="52" s="1"/>
  <c r="B92" i="52" s="1"/>
  <c r="B93" i="52" s="1"/>
  <c r="B94" i="52" s="1"/>
  <c r="B95" i="52" s="1"/>
  <c r="B96" i="52" s="1"/>
  <c r="B97" i="52" s="1"/>
  <c r="B98" i="52" s="1"/>
  <c r="B99" i="52" s="1"/>
  <c r="B100" i="52" s="1"/>
  <c r="B101" i="52" s="1"/>
  <c r="B102" i="52" s="1"/>
  <c r="B103" i="52" s="1"/>
  <c r="B104" i="52" s="1"/>
  <c r="B105" i="52" s="1"/>
  <c r="B106" i="52" s="1"/>
  <c r="B107" i="52" s="1"/>
  <c r="B108" i="52" s="1"/>
  <c r="B109" i="52" s="1"/>
  <c r="B110" i="52" s="1"/>
  <c r="B111" i="52" s="1"/>
  <c r="B112" i="52" s="1"/>
  <c r="B113" i="52" s="1"/>
  <c r="B114" i="52" s="1"/>
  <c r="B115" i="52" s="1"/>
  <c r="B116" i="52" s="1"/>
  <c r="B117" i="52" s="1"/>
  <c r="B118" i="52" s="1"/>
  <c r="B119" i="52" s="1"/>
  <c r="B120" i="52" s="1"/>
  <c r="B121" i="52" s="1"/>
  <c r="B122" i="52" s="1"/>
  <c r="B123" i="52" s="1"/>
  <c r="B124" i="52" s="1"/>
  <c r="B125" i="52" s="1"/>
  <c r="B126" i="52" s="1"/>
  <c r="B127" i="52" s="1"/>
  <c r="B128" i="52" s="1"/>
  <c r="B129" i="52" s="1"/>
  <c r="B130" i="52" s="1"/>
  <c r="B131" i="52" s="1"/>
  <c r="B132" i="52" s="1"/>
  <c r="B133" i="52" s="1"/>
  <c r="B134" i="52" s="1"/>
  <c r="B135" i="52" s="1"/>
  <c r="B136" i="52" s="1"/>
  <c r="B137" i="52" s="1"/>
  <c r="B138" i="52" s="1"/>
  <c r="B139" i="52" s="1"/>
  <c r="B140" i="52" s="1"/>
  <c r="B141" i="52" s="1"/>
  <c r="B142" i="52" s="1"/>
  <c r="B143" i="52" s="1"/>
  <c r="B144" i="52" s="1"/>
  <c r="B145" i="52" s="1"/>
  <c r="B146" i="52" s="1"/>
  <c r="B147" i="52" s="1"/>
  <c r="B148" i="52" s="1"/>
  <c r="B149" i="52" s="1"/>
  <c r="B150" i="52" s="1"/>
  <c r="B151" i="52" s="1"/>
  <c r="B152" i="52" s="1"/>
  <c r="B153" i="52" s="1"/>
  <c r="B154" i="52" s="1"/>
  <c r="B155" i="52" s="1"/>
  <c r="B156" i="52" s="1"/>
  <c r="B157" i="52" s="1"/>
  <c r="B158" i="52" s="1"/>
  <c r="B159" i="52" s="1"/>
  <c r="B160" i="52" s="1"/>
  <c r="B161" i="52" s="1"/>
  <c r="B162" i="52" s="1"/>
  <c r="B163" i="52" s="1"/>
  <c r="B164" i="52" s="1"/>
  <c r="B165" i="52" s="1"/>
  <c r="B166" i="52" s="1"/>
  <c r="B167" i="52" s="1"/>
  <c r="B168" i="52" s="1"/>
  <c r="B169" i="52" s="1"/>
  <c r="B170" i="52" s="1"/>
  <c r="B171" i="52" s="1"/>
  <c r="B172" i="52" s="1"/>
  <c r="B173" i="52" s="1"/>
  <c r="B174" i="52" s="1"/>
  <c r="B175" i="52" s="1"/>
  <c r="B176" i="52" s="1"/>
  <c r="B177" i="52" s="1"/>
  <c r="B178" i="52" s="1"/>
  <c r="B179" i="52" s="1"/>
  <c r="B180" i="52" s="1"/>
  <c r="B181" i="52" s="1"/>
  <c r="B182" i="52" s="1"/>
  <c r="B183" i="52" s="1"/>
  <c r="B184" i="52" s="1"/>
  <c r="B185" i="52" s="1"/>
  <c r="B186" i="52" s="1"/>
  <c r="B187" i="52" s="1"/>
  <c r="B188" i="52" s="1"/>
  <c r="B189" i="52" s="1"/>
  <c r="B190" i="52" s="1"/>
  <c r="B191" i="52" s="1"/>
  <c r="B192" i="52" s="1"/>
  <c r="B193" i="52" s="1"/>
  <c r="B194" i="52" s="1"/>
  <c r="B195" i="52" s="1"/>
  <c r="B196" i="52" s="1"/>
  <c r="B197" i="52" s="1"/>
  <c r="B198" i="52" s="1"/>
  <c r="B199" i="52" s="1"/>
  <c r="B200" i="52" s="1"/>
  <c r="B201" i="52" s="1"/>
  <c r="B202" i="52" s="1"/>
  <c r="B203" i="52" s="1"/>
  <c r="B204" i="52" s="1"/>
  <c r="B205" i="52" s="1"/>
  <c r="B206" i="52" s="1"/>
  <c r="B207" i="52" s="1"/>
  <c r="B208" i="52" s="1"/>
  <c r="B209" i="52" s="1"/>
  <c r="B210" i="52" s="1"/>
  <c r="B211" i="52" s="1"/>
  <c r="B212" i="52" s="1"/>
  <c r="B213" i="52" s="1"/>
  <c r="B214" i="52" s="1"/>
  <c r="B215" i="52" s="1"/>
  <c r="B216" i="52" s="1"/>
  <c r="B217" i="52" s="1"/>
  <c r="B218" i="52" s="1"/>
  <c r="B219" i="52" s="1"/>
  <c r="B220" i="52" s="1"/>
  <c r="B221" i="52" s="1"/>
  <c r="B222" i="52" s="1"/>
  <c r="B223" i="52" s="1"/>
  <c r="B224" i="52" s="1"/>
  <c r="B225" i="52" s="1"/>
  <c r="B226" i="52" s="1"/>
  <c r="B227" i="52" s="1"/>
  <c r="B228" i="52" s="1"/>
  <c r="B229" i="52" s="1"/>
  <c r="B230" i="52" s="1"/>
  <c r="B231" i="52" s="1"/>
  <c r="B232" i="52" s="1"/>
  <c r="B233" i="52" s="1"/>
  <c r="B234" i="52" s="1"/>
  <c r="B235" i="52" s="1"/>
  <c r="B236" i="52" s="1"/>
  <c r="B237" i="52" s="1"/>
  <c r="B238" i="52" s="1"/>
  <c r="B239" i="52" s="1"/>
  <c r="B240" i="52" s="1"/>
  <c r="B241" i="52" s="1"/>
  <c r="B242" i="52" s="1"/>
  <c r="B243" i="52" s="1"/>
  <c r="B244" i="52" s="1"/>
  <c r="B245" i="52" s="1"/>
  <c r="B246" i="52" s="1"/>
  <c r="B247" i="52" s="1"/>
  <c r="B248" i="52" s="1"/>
  <c r="B249" i="52" s="1"/>
  <c r="B250" i="52" s="1"/>
  <c r="B251" i="52" s="1"/>
  <c r="B252" i="52" s="1"/>
  <c r="B253" i="52" s="1"/>
  <c r="B254" i="52" s="1"/>
  <c r="B255" i="52" s="1"/>
  <c r="B256" i="52" s="1"/>
  <c r="B257" i="52" s="1"/>
  <c r="B258" i="52" s="1"/>
  <c r="B259" i="52" s="1"/>
  <c r="B260" i="52" s="1"/>
  <c r="B261" i="52" s="1"/>
  <c r="B262" i="52" s="1"/>
  <c r="B263" i="52" s="1"/>
  <c r="B264" i="52" s="1"/>
  <c r="B265" i="52" s="1"/>
  <c r="B266" i="52" s="1"/>
  <c r="B267" i="52" s="1"/>
  <c r="B268" i="52" s="1"/>
  <c r="B269" i="52" s="1"/>
  <c r="B270" i="52" s="1"/>
  <c r="B271" i="52" s="1"/>
  <c r="B272" i="52" s="1"/>
  <c r="B273" i="52" s="1"/>
  <c r="B274" i="52" s="1"/>
  <c r="B275" i="52" s="1"/>
  <c r="B276" i="52" s="1"/>
  <c r="B277" i="52" s="1"/>
  <c r="B278" i="52" s="1"/>
  <c r="B279" i="52" s="1"/>
  <c r="B280" i="52" s="1"/>
  <c r="B281" i="52" s="1"/>
  <c r="B282" i="52" s="1"/>
  <c r="B283" i="52" s="1"/>
  <c r="B284" i="52" s="1"/>
  <c r="B285" i="52" s="1"/>
  <c r="B286" i="52" s="1"/>
  <c r="B287" i="52" s="1"/>
  <c r="B288" i="52" s="1"/>
  <c r="B289" i="52" s="1"/>
  <c r="B290" i="52" s="1"/>
  <c r="B291" i="52" s="1"/>
  <c r="B292" i="52" s="1"/>
  <c r="B293" i="52" s="1"/>
  <c r="B294" i="52" s="1"/>
  <c r="B295" i="52" s="1"/>
  <c r="B296" i="52" s="1"/>
  <c r="B297" i="52" s="1"/>
  <c r="B298" i="52" s="1"/>
  <c r="B299" i="52" s="1"/>
  <c r="B300" i="52" s="1"/>
  <c r="B301" i="52" s="1"/>
  <c r="B302" i="52" s="1"/>
  <c r="B303" i="52" s="1"/>
  <c r="B304" i="52" s="1"/>
  <c r="B305" i="52" s="1"/>
  <c r="B306" i="52" s="1"/>
  <c r="B307" i="52" s="1"/>
  <c r="B308" i="52" s="1"/>
  <c r="B309" i="52" s="1"/>
  <c r="B310" i="52" s="1"/>
  <c r="B311" i="52" s="1"/>
  <c r="B312" i="52" s="1"/>
  <c r="B313" i="52" s="1"/>
  <c r="B314" i="52" s="1"/>
  <c r="B315" i="52" s="1"/>
  <c r="B316" i="52" s="1"/>
  <c r="B317" i="52" s="1"/>
  <c r="B318" i="52" s="1"/>
  <c r="B319" i="52" s="1"/>
  <c r="B320" i="52" s="1"/>
  <c r="B321" i="52" s="1"/>
  <c r="B322" i="52" s="1"/>
  <c r="B323" i="52" s="1"/>
  <c r="B324" i="52" s="1"/>
  <c r="B325" i="52" s="1"/>
  <c r="B326" i="52" s="1"/>
  <c r="B327" i="52" s="1"/>
  <c r="B328" i="52" s="1"/>
  <c r="B329" i="52" s="1"/>
  <c r="B330" i="52" s="1"/>
  <c r="B331" i="52" s="1"/>
  <c r="B332" i="52" s="1"/>
  <c r="B333" i="52" s="1"/>
  <c r="B334" i="52" s="1"/>
  <c r="B335" i="52" s="1"/>
  <c r="Q58" i="52"/>
  <c r="B34" i="52"/>
  <c r="B35" i="52" s="1"/>
  <c r="B36" i="52" s="1"/>
  <c r="B37" i="52" s="1"/>
  <c r="B38" i="52" s="1"/>
  <c r="B39" i="52" s="1"/>
  <c r="B40" i="52" s="1"/>
  <c r="B41" i="52" s="1"/>
  <c r="B42" i="52" s="1"/>
  <c r="B43" i="52" s="1"/>
  <c r="B44" i="52" s="1"/>
  <c r="B45" i="52" s="1"/>
  <c r="B46" i="52" s="1"/>
  <c r="B47" i="52" s="1"/>
  <c r="B48" i="52" s="1"/>
  <c r="B49" i="52" s="1"/>
  <c r="B50" i="52" s="1"/>
  <c r="B51" i="52" s="1"/>
  <c r="B52" i="52" s="1"/>
  <c r="B53" i="52" s="1"/>
  <c r="B54" i="52" s="1"/>
  <c r="B55" i="52" s="1"/>
  <c r="B56" i="52" s="1"/>
  <c r="B57" i="52" s="1"/>
  <c r="B14" i="52"/>
  <c r="D1" i="52"/>
  <c r="W15" i="52" l="1"/>
  <c r="B447" i="52"/>
  <c r="AA58" i="52"/>
  <c r="AA444" i="52"/>
  <c r="W444" i="52"/>
  <c r="K353" i="52"/>
  <c r="W58" i="52"/>
  <c r="W447" i="52" l="1"/>
  <c r="DR267" i="1"/>
  <c r="DP267" i="1"/>
  <c r="DO267" i="1"/>
  <c r="DN267" i="1"/>
  <c r="CI267" i="1"/>
  <c r="CA267" i="1"/>
  <c r="L263" i="42" s="1"/>
  <c r="BD267" i="1"/>
  <c r="AZ267" i="1"/>
  <c r="AQ267" i="1"/>
  <c r="AO267" i="1"/>
  <c r="AC267" i="1"/>
  <c r="T267" i="1"/>
  <c r="Q267" i="1"/>
  <c r="P299" i="52" l="1"/>
  <c r="T299" i="52"/>
  <c r="V299" i="52"/>
  <c r="CT267" i="1"/>
  <c r="AT267" i="1"/>
  <c r="CH267" i="1" s="1"/>
  <c r="V267" i="1"/>
  <c r="DR221" i="1"/>
  <c r="DP221" i="1"/>
  <c r="DO221" i="1"/>
  <c r="DN221" i="1"/>
  <c r="CI221" i="1"/>
  <c r="CA221" i="1"/>
  <c r="L217" i="42" s="1"/>
  <c r="BD221" i="1"/>
  <c r="AZ221" i="1"/>
  <c r="AQ221" i="1"/>
  <c r="AO221" i="1"/>
  <c r="AC221" i="1"/>
  <c r="T221" i="1"/>
  <c r="Q221" i="1"/>
  <c r="P251" i="52" l="1"/>
  <c r="V251" i="52"/>
  <c r="CT221" i="1"/>
  <c r="T251" i="52"/>
  <c r="X299" i="52"/>
  <c r="AT221" i="1"/>
  <c r="CH221" i="1" s="1"/>
  <c r="V221" i="1"/>
  <c r="W221" i="1" s="1"/>
  <c r="W267" i="1"/>
  <c r="X251" i="52" l="1"/>
  <c r="BJ396" i="1" l="1"/>
  <c r="BJ395" i="1"/>
  <c r="BJ394" i="1"/>
  <c r="BJ393" i="1"/>
  <c r="BJ392" i="1"/>
  <c r="BJ391" i="1"/>
  <c r="BJ390" i="1"/>
  <c r="BJ389" i="1"/>
  <c r="BJ388" i="1"/>
  <c r="BJ387" i="1"/>
  <c r="BJ386" i="1"/>
  <c r="BJ385" i="1"/>
  <c r="BJ383" i="1"/>
  <c r="BJ382" i="1"/>
  <c r="BJ380" i="1"/>
  <c r="BJ379" i="1"/>
  <c r="BJ378" i="1"/>
  <c r="BJ377" i="1"/>
  <c r="BJ376" i="1"/>
  <c r="BJ375" i="1"/>
  <c r="BJ374" i="1"/>
  <c r="BJ373" i="1"/>
  <c r="BJ372" i="1"/>
  <c r="BJ371" i="1"/>
  <c r="BJ370" i="1"/>
  <c r="BJ369" i="1"/>
  <c r="BJ368" i="1"/>
  <c r="BJ367" i="1"/>
  <c r="BJ366" i="1"/>
  <c r="BJ365" i="1"/>
  <c r="BJ363" i="1"/>
  <c r="BJ362" i="1"/>
  <c r="BJ361" i="1"/>
  <c r="BJ360" i="1"/>
  <c r="BJ359" i="1"/>
  <c r="BJ358" i="1"/>
  <c r="BJ357" i="1"/>
  <c r="BJ356" i="1"/>
  <c r="BJ355" i="1"/>
  <c r="BJ354" i="1"/>
  <c r="BJ353" i="1"/>
  <c r="BJ352" i="1"/>
  <c r="BJ351" i="1"/>
  <c r="BJ350" i="1"/>
  <c r="BJ349" i="1"/>
  <c r="BJ348" i="1"/>
  <c r="BJ347" i="1"/>
  <c r="BJ345" i="1"/>
  <c r="BJ344" i="1"/>
  <c r="BJ343" i="1"/>
  <c r="BJ342" i="1"/>
  <c r="BJ341" i="1"/>
  <c r="BJ340" i="1"/>
  <c r="BJ339" i="1"/>
  <c r="BJ338" i="1"/>
  <c r="BJ337" i="1"/>
  <c r="BJ336" i="1"/>
  <c r="BJ335" i="1"/>
  <c r="BJ334" i="1"/>
  <c r="BJ333" i="1"/>
  <c r="BJ332" i="1"/>
  <c r="BJ331" i="1"/>
  <c r="BJ330" i="1"/>
  <c r="BJ329" i="1"/>
  <c r="BJ328" i="1"/>
  <c r="BJ327" i="1"/>
  <c r="BJ326" i="1"/>
  <c r="BJ325" i="1"/>
  <c r="BJ324" i="1"/>
  <c r="BJ323" i="1"/>
  <c r="BJ322" i="1"/>
  <c r="BJ321" i="1"/>
  <c r="BJ320" i="1"/>
  <c r="BJ319" i="1"/>
  <c r="BJ318" i="1"/>
  <c r="BJ317" i="1"/>
  <c r="BJ316" i="1"/>
  <c r="BJ315" i="1"/>
  <c r="BJ314" i="1"/>
  <c r="BJ313" i="1"/>
  <c r="BJ312" i="1"/>
  <c r="BJ311" i="1"/>
  <c r="BJ310" i="1"/>
  <c r="BJ309" i="1"/>
  <c r="BJ308" i="1"/>
  <c r="BJ307" i="1"/>
  <c r="BJ306" i="1"/>
  <c r="BJ305" i="1"/>
  <c r="Y14" i="57" l="1"/>
  <c r="Y339" i="57"/>
  <c r="Y341" i="57"/>
  <c r="Y343" i="57"/>
  <c r="Y345" i="57"/>
  <c r="Y347" i="57"/>
  <c r="Y349" i="57"/>
  <c r="Y351" i="57"/>
  <c r="Y353" i="57"/>
  <c r="Y355" i="57"/>
  <c r="Y357" i="57"/>
  <c r="Y359" i="57"/>
  <c r="Y361" i="57"/>
  <c r="Y363" i="57"/>
  <c r="Y365" i="57"/>
  <c r="Y367" i="57"/>
  <c r="Y369" i="57"/>
  <c r="Y371" i="57"/>
  <c r="Y373" i="57"/>
  <c r="Y375" i="57"/>
  <c r="Y377" i="57"/>
  <c r="Y379" i="57"/>
  <c r="Y382" i="57"/>
  <c r="Y384" i="57"/>
  <c r="Y386" i="57"/>
  <c r="Y388" i="57"/>
  <c r="Y390" i="57"/>
  <c r="Y392" i="57"/>
  <c r="Y394" i="57"/>
  <c r="Y396" i="57"/>
  <c r="Y399" i="57"/>
  <c r="Y401" i="57"/>
  <c r="Y403" i="57"/>
  <c r="Y405" i="57"/>
  <c r="Y407" i="57"/>
  <c r="Y409" i="57"/>
  <c r="Y411" i="57"/>
  <c r="Y413" i="57"/>
  <c r="Y416" i="57"/>
  <c r="Y419" i="57"/>
  <c r="Y421" i="57"/>
  <c r="Y423" i="57"/>
  <c r="Y425" i="57"/>
  <c r="Y427" i="57"/>
  <c r="Y429" i="57"/>
  <c r="Y13" i="57"/>
  <c r="Y30" i="57"/>
  <c r="Y65" i="57"/>
  <c r="Y340" i="57"/>
  <c r="Y342" i="57"/>
  <c r="Y344" i="57"/>
  <c r="Y346" i="57"/>
  <c r="Y348" i="57"/>
  <c r="Y350" i="57"/>
  <c r="Y352" i="57"/>
  <c r="Y354" i="57"/>
  <c r="Y356" i="57"/>
  <c r="Y358" i="57"/>
  <c r="Y360" i="57"/>
  <c r="Y362" i="57"/>
  <c r="Y364" i="57"/>
  <c r="Y366" i="57"/>
  <c r="Y368" i="57"/>
  <c r="Y370" i="57"/>
  <c r="Y372" i="57"/>
  <c r="Y374" i="57"/>
  <c r="Y376" i="57"/>
  <c r="Y378" i="57"/>
  <c r="Y381" i="57"/>
  <c r="Y383" i="57"/>
  <c r="Y385" i="57"/>
  <c r="Y387" i="57"/>
  <c r="Y389" i="57"/>
  <c r="Y391" i="57"/>
  <c r="Y393" i="57"/>
  <c r="Y395" i="57"/>
  <c r="Y397" i="57"/>
  <c r="Y400" i="57"/>
  <c r="Y402" i="57"/>
  <c r="Y404" i="57"/>
  <c r="Y406" i="57"/>
  <c r="Y408" i="57"/>
  <c r="Y410" i="57"/>
  <c r="Y412" i="57"/>
  <c r="Y414" i="57"/>
  <c r="Y417" i="57"/>
  <c r="Y420" i="57"/>
  <c r="Y422" i="57"/>
  <c r="Y424" i="57"/>
  <c r="Y426" i="57"/>
  <c r="Y428" i="57"/>
  <c r="Y430" i="57"/>
  <c r="BJ15" i="1"/>
  <c r="BJ397" i="1"/>
  <c r="BJ42" i="1"/>
  <c r="Y15" i="57" l="1"/>
  <c r="Y55" i="57"/>
  <c r="Y431" i="57"/>
  <c r="CA289" i="1"/>
  <c r="L285" i="42" s="1"/>
  <c r="DR289" i="1"/>
  <c r="DP289" i="1"/>
  <c r="DO289" i="1"/>
  <c r="DN289" i="1"/>
  <c r="CI289" i="1"/>
  <c r="BD289" i="1"/>
  <c r="AZ289" i="1"/>
  <c r="AQ289" i="1"/>
  <c r="AO289" i="1"/>
  <c r="AC289" i="1"/>
  <c r="T289" i="1"/>
  <c r="Q289" i="1"/>
  <c r="P322" i="52" l="1"/>
  <c r="T322" i="52"/>
  <c r="V322" i="52"/>
  <c r="CT289" i="1"/>
  <c r="AT289" i="1"/>
  <c r="CH289" i="1" s="1"/>
  <c r="V289" i="1"/>
  <c r="AZ245" i="1"/>
  <c r="X322" i="52" l="1"/>
  <c r="W289" i="1"/>
  <c r="J377" i="1"/>
  <c r="J373" i="42" s="1"/>
  <c r="J411" i="57" l="1"/>
  <c r="J235" i="52"/>
  <c r="J427" i="52"/>
  <c r="J397" i="1"/>
  <c r="DR245" i="1" l="1"/>
  <c r="DP245" i="1"/>
  <c r="DO245" i="1"/>
  <c r="DN245" i="1"/>
  <c r="CI245" i="1"/>
  <c r="CA245" i="1"/>
  <c r="L241" i="42" s="1"/>
  <c r="BD245" i="1"/>
  <c r="AQ245" i="1"/>
  <c r="AO245" i="1"/>
  <c r="AC245" i="1"/>
  <c r="T245" i="1"/>
  <c r="Q245" i="1"/>
  <c r="P278" i="52" l="1"/>
  <c r="T278" i="52"/>
  <c r="V278" i="52"/>
  <c r="CT245" i="1"/>
  <c r="AT245" i="1"/>
  <c r="CH245" i="1" s="1"/>
  <c r="V245" i="1"/>
  <c r="X278" i="52" l="1"/>
  <c r="W245" i="1"/>
  <c r="Q219" i="1"/>
  <c r="V250" i="52"/>
  <c r="T250" i="52"/>
  <c r="P250" i="52"/>
  <c r="X250" i="52" l="1"/>
  <c r="DR58" i="1" l="1"/>
  <c r="DP58" i="1"/>
  <c r="DO58" i="1"/>
  <c r="DN58" i="1"/>
  <c r="CI58" i="1"/>
  <c r="CA58" i="1"/>
  <c r="L54" i="42" s="1"/>
  <c r="BF58" i="1"/>
  <c r="BD58" i="1"/>
  <c r="AZ58" i="1"/>
  <c r="AW58" i="1"/>
  <c r="AQ58" i="1"/>
  <c r="AO58" i="1"/>
  <c r="AC58" i="1"/>
  <c r="T58" i="1"/>
  <c r="Q58" i="1"/>
  <c r="P82" i="52" l="1"/>
  <c r="V82" i="52"/>
  <c r="T82" i="52"/>
  <c r="J81" i="52"/>
  <c r="CP58" i="1"/>
  <c r="CT58" i="1"/>
  <c r="AT58" i="1"/>
  <c r="CH58" i="1" s="1"/>
  <c r="V58" i="1"/>
  <c r="X82" i="52" l="1"/>
  <c r="W58" i="1"/>
  <c r="DR120" i="1" l="1"/>
  <c r="DP120" i="1"/>
  <c r="DO120" i="1"/>
  <c r="DN120" i="1"/>
  <c r="CI120" i="1"/>
  <c r="CA120" i="1"/>
  <c r="L116" i="42" s="1"/>
  <c r="BF120" i="1"/>
  <c r="BD120" i="1"/>
  <c r="AZ120" i="1"/>
  <c r="AW120" i="1"/>
  <c r="AQ120" i="1"/>
  <c r="AO120" i="1"/>
  <c r="AC120" i="1"/>
  <c r="T120" i="1"/>
  <c r="Q120" i="1"/>
  <c r="DR324" i="1"/>
  <c r="DP324" i="1"/>
  <c r="DO324" i="1"/>
  <c r="DN324" i="1"/>
  <c r="CI324" i="1"/>
  <c r="CA324" i="1"/>
  <c r="L320" i="42" s="1"/>
  <c r="BD324" i="1"/>
  <c r="AZ324" i="1"/>
  <c r="AW324" i="1"/>
  <c r="AQ324" i="1"/>
  <c r="AO324" i="1"/>
  <c r="AC324" i="1"/>
  <c r="R358" i="57" s="1"/>
  <c r="T324" i="1"/>
  <c r="DR390" i="1"/>
  <c r="DP390" i="1"/>
  <c r="DO390" i="1"/>
  <c r="DN390" i="1"/>
  <c r="CI390" i="1"/>
  <c r="CA390" i="1"/>
  <c r="L386" i="42" s="1"/>
  <c r="BF390" i="1"/>
  <c r="BD390" i="1"/>
  <c r="AZ390" i="1"/>
  <c r="AW390" i="1"/>
  <c r="AQ390" i="1"/>
  <c r="AO390" i="1"/>
  <c r="AC390" i="1"/>
  <c r="R424" i="57" s="1"/>
  <c r="T390" i="1"/>
  <c r="DR386" i="1"/>
  <c r="DP386" i="1"/>
  <c r="DO386" i="1"/>
  <c r="DN386" i="1"/>
  <c r="CI386" i="1"/>
  <c r="CA386" i="1"/>
  <c r="L382" i="42" s="1"/>
  <c r="BD386" i="1"/>
  <c r="AZ386" i="1"/>
  <c r="AW386" i="1"/>
  <c r="AQ386" i="1"/>
  <c r="AO386" i="1"/>
  <c r="AC386" i="1"/>
  <c r="R420" i="57" s="1"/>
  <c r="T386" i="1"/>
  <c r="P436" i="52" l="1"/>
  <c r="P371" i="52"/>
  <c r="P144" i="52"/>
  <c r="V432" i="52"/>
  <c r="T436" i="52"/>
  <c r="V371" i="52"/>
  <c r="T432" i="52"/>
  <c r="V436" i="52"/>
  <c r="T144" i="52"/>
  <c r="T371" i="52"/>
  <c r="V144" i="52"/>
  <c r="P432" i="52"/>
  <c r="V390" i="1"/>
  <c r="W390" i="1" s="1"/>
  <c r="V324" i="1"/>
  <c r="W324" i="1" s="1"/>
  <c r="CT120" i="1"/>
  <c r="CP386" i="1"/>
  <c r="CP390" i="1"/>
  <c r="CP324" i="1"/>
  <c r="CT386" i="1"/>
  <c r="CT390" i="1"/>
  <c r="CT324" i="1"/>
  <c r="CP120" i="1"/>
  <c r="AT324" i="1"/>
  <c r="CH324" i="1" s="1"/>
  <c r="AT120" i="1"/>
  <c r="CH120" i="1" s="1"/>
  <c r="V120" i="1"/>
  <c r="AT386" i="1"/>
  <c r="CH386" i="1" s="1"/>
  <c r="AT390" i="1"/>
  <c r="CH390" i="1" s="1"/>
  <c r="V386" i="1"/>
  <c r="O358" i="57" l="1"/>
  <c r="O424" i="57"/>
  <c r="P296" i="52"/>
  <c r="X144" i="52"/>
  <c r="V296" i="52"/>
  <c r="X436" i="52"/>
  <c r="X432" i="52"/>
  <c r="X371" i="52"/>
  <c r="W120" i="1"/>
  <c r="W386" i="1"/>
  <c r="O420" i="57" l="1"/>
  <c r="X296" i="52"/>
  <c r="T296" i="52"/>
  <c r="BF214" i="1"/>
  <c r="DR212" i="1"/>
  <c r="DP212" i="1"/>
  <c r="DO212" i="1"/>
  <c r="DN212" i="1"/>
  <c r="CI212" i="1"/>
  <c r="CA212" i="1"/>
  <c r="L208" i="42" s="1"/>
  <c r="BD212" i="1"/>
  <c r="AZ212" i="1"/>
  <c r="AQ212" i="1"/>
  <c r="AO212" i="1"/>
  <c r="AC212" i="1"/>
  <c r="T212" i="1"/>
  <c r="Q212" i="1"/>
  <c r="BE397" i="1"/>
  <c r="DR363" i="1"/>
  <c r="DP363" i="1"/>
  <c r="DO363" i="1"/>
  <c r="DN363" i="1"/>
  <c r="CI363" i="1"/>
  <c r="CA363" i="1"/>
  <c r="L359" i="42" s="1"/>
  <c r="BD363" i="1"/>
  <c r="AZ363" i="1"/>
  <c r="AW363" i="1"/>
  <c r="AQ363" i="1"/>
  <c r="AO363" i="1"/>
  <c r="AC363" i="1"/>
  <c r="R397" i="57" s="1"/>
  <c r="T363" i="1"/>
  <c r="DR92" i="1"/>
  <c r="DP92" i="1"/>
  <c r="DO92" i="1"/>
  <c r="DN92" i="1"/>
  <c r="CI92" i="1"/>
  <c r="CA92" i="1"/>
  <c r="L88" i="42" s="1"/>
  <c r="BD92" i="1"/>
  <c r="AZ92" i="1"/>
  <c r="AQ92" i="1"/>
  <c r="AO92" i="1"/>
  <c r="AC92" i="1"/>
  <c r="T92" i="1"/>
  <c r="Q92" i="1"/>
  <c r="P115" i="52" l="1"/>
  <c r="P242" i="52"/>
  <c r="V115" i="52"/>
  <c r="V412" i="52"/>
  <c r="V242" i="52"/>
  <c r="T115" i="52"/>
  <c r="T412" i="52"/>
  <c r="T242" i="52"/>
  <c r="P412" i="52"/>
  <c r="CT92" i="1"/>
  <c r="CP363" i="1"/>
  <c r="CT363" i="1"/>
  <c r="CT212" i="1"/>
  <c r="AT212" i="1"/>
  <c r="CH212" i="1" s="1"/>
  <c r="V212" i="1"/>
  <c r="AT92" i="1"/>
  <c r="CH92" i="1" s="1"/>
  <c r="AT363" i="1"/>
  <c r="CH363" i="1" s="1"/>
  <c r="V363" i="1"/>
  <c r="V92" i="1"/>
  <c r="BY397" i="1"/>
  <c r="BY303" i="1"/>
  <c r="BY42" i="1"/>
  <c r="BY15" i="1"/>
  <c r="X115" i="52" l="1"/>
  <c r="X242" i="52"/>
  <c r="X412" i="52"/>
  <c r="W212" i="1"/>
  <c r="BY400" i="1"/>
  <c r="W363" i="1"/>
  <c r="W92" i="1"/>
  <c r="BF155" i="1"/>
  <c r="O397" i="57" l="1"/>
  <c r="T183" i="1"/>
  <c r="T37" i="1"/>
  <c r="DR37" i="1"/>
  <c r="DP37" i="1"/>
  <c r="DO37" i="1"/>
  <c r="DN37" i="1"/>
  <c r="CI37" i="1"/>
  <c r="CA37" i="1"/>
  <c r="L33" i="42" s="1"/>
  <c r="BD37" i="1"/>
  <c r="AZ37" i="1"/>
  <c r="AW37" i="1"/>
  <c r="AQ37" i="1"/>
  <c r="AO37" i="1"/>
  <c r="AC37" i="1"/>
  <c r="R50" i="57" s="1"/>
  <c r="Q37" i="1"/>
  <c r="CA214" i="1"/>
  <c r="L210" i="42" s="1"/>
  <c r="T214" i="1"/>
  <c r="BK397" i="1"/>
  <c r="DR377" i="1"/>
  <c r="DP377" i="1"/>
  <c r="DO377" i="1"/>
  <c r="DN377" i="1"/>
  <c r="CI377" i="1"/>
  <c r="CA377" i="1"/>
  <c r="L373" i="42" s="1"/>
  <c r="BD377" i="1"/>
  <c r="AZ377" i="1"/>
  <c r="AQ377" i="1"/>
  <c r="AO377" i="1"/>
  <c r="AC377" i="1"/>
  <c r="R411" i="57" s="1"/>
  <c r="T377" i="1"/>
  <c r="DR249" i="1"/>
  <c r="DP249" i="1"/>
  <c r="DO249" i="1"/>
  <c r="DN249" i="1"/>
  <c r="CI249" i="1"/>
  <c r="CA249" i="1"/>
  <c r="L245" i="42" s="1"/>
  <c r="BD249" i="1"/>
  <c r="AZ249" i="1"/>
  <c r="AQ249" i="1"/>
  <c r="AO249" i="1"/>
  <c r="AC249" i="1"/>
  <c r="T249" i="1"/>
  <c r="Q249" i="1"/>
  <c r="P244" i="52" l="1"/>
  <c r="P281" i="52"/>
  <c r="P211" i="52"/>
  <c r="V281" i="52"/>
  <c r="V425" i="52"/>
  <c r="V55" i="52"/>
  <c r="T281" i="52"/>
  <c r="T425" i="52"/>
  <c r="T55" i="52"/>
  <c r="P425" i="52"/>
  <c r="P55" i="52"/>
  <c r="CT249" i="1"/>
  <c r="CP37" i="1"/>
  <c r="CT377" i="1"/>
  <c r="CT37" i="1"/>
  <c r="AT37" i="1"/>
  <c r="CH37" i="1" s="1"/>
  <c r="V37" i="1"/>
  <c r="AT377" i="1"/>
  <c r="CH377" i="1" s="1"/>
  <c r="AT249" i="1"/>
  <c r="CH249" i="1" s="1"/>
  <c r="V377" i="1"/>
  <c r="V249" i="1"/>
  <c r="P133" i="52"/>
  <c r="X281" i="52" l="1"/>
  <c r="T133" i="52"/>
  <c r="V133" i="52"/>
  <c r="X425" i="52"/>
  <c r="X55" i="52"/>
  <c r="W37" i="1"/>
  <c r="W377" i="1"/>
  <c r="W249" i="1"/>
  <c r="O50" i="57" l="1"/>
  <c r="O411" i="57"/>
  <c r="X133" i="52"/>
  <c r="BE303" i="1"/>
  <c r="CA155" i="1" l="1"/>
  <c r="L151" i="42" s="1"/>
  <c r="AO155" i="1"/>
  <c r="AC155" i="1"/>
  <c r="T155" i="1"/>
  <c r="P182" i="52" l="1"/>
  <c r="T182" i="52"/>
  <c r="H28" i="49"/>
  <c r="D28" i="49"/>
  <c r="H27" i="49"/>
  <c r="D27" i="49"/>
  <c r="H26" i="49"/>
  <c r="D26" i="49"/>
  <c r="H25" i="49"/>
  <c r="D25" i="49"/>
  <c r="H24" i="49"/>
  <c r="D24" i="49"/>
  <c r="H23" i="49"/>
  <c r="D23" i="49"/>
  <c r="H22" i="49"/>
  <c r="D22" i="49"/>
  <c r="H21" i="49"/>
  <c r="D21" i="49"/>
  <c r="H20" i="49"/>
  <c r="D20" i="49"/>
  <c r="H19" i="49"/>
  <c r="D19" i="49"/>
  <c r="H18" i="49"/>
  <c r="D18" i="49"/>
  <c r="H17" i="49"/>
  <c r="D17" i="49"/>
  <c r="N15" i="49"/>
  <c r="L7" i="49"/>
  <c r="M7" i="49" s="1"/>
  <c r="O7" i="49" s="1"/>
  <c r="R7" i="49" s="1"/>
  <c r="S7" i="49" s="1"/>
  <c r="T7" i="49" s="1"/>
  <c r="L6" i="49"/>
  <c r="M6" i="49" s="1"/>
  <c r="O6" i="49" s="1"/>
  <c r="R6" i="49" s="1"/>
  <c r="S6" i="49" s="1"/>
  <c r="T6" i="49" s="1"/>
  <c r="L5" i="49"/>
  <c r="M5" i="49" s="1"/>
  <c r="O5" i="49" s="1"/>
  <c r="R5" i="49" s="1"/>
  <c r="S5" i="49" s="1"/>
  <c r="T5" i="49" s="1"/>
  <c r="K4" i="49"/>
  <c r="AZ396" i="1"/>
  <c r="AZ395" i="1"/>
  <c r="AZ394" i="1"/>
  <c r="AZ393" i="1"/>
  <c r="AZ392" i="1"/>
  <c r="AZ391" i="1"/>
  <c r="AZ389" i="1"/>
  <c r="AZ388" i="1"/>
  <c r="AZ387" i="1"/>
  <c r="AZ385" i="1"/>
  <c r="AZ383" i="1"/>
  <c r="AZ382" i="1"/>
  <c r="AZ380" i="1"/>
  <c r="AZ379" i="1"/>
  <c r="AZ378" i="1"/>
  <c r="AZ376" i="1"/>
  <c r="AZ375" i="1"/>
  <c r="AZ374" i="1"/>
  <c r="AZ373" i="1"/>
  <c r="AZ372" i="1"/>
  <c r="AZ371" i="1"/>
  <c r="AZ370" i="1"/>
  <c r="AZ369" i="1"/>
  <c r="AZ368" i="1"/>
  <c r="AZ367" i="1"/>
  <c r="AZ366" i="1"/>
  <c r="AZ365" i="1"/>
  <c r="AZ362" i="1"/>
  <c r="AZ361" i="1"/>
  <c r="AZ360" i="1"/>
  <c r="AZ359" i="1"/>
  <c r="AZ358" i="1"/>
  <c r="AZ357" i="1"/>
  <c r="AZ356" i="1"/>
  <c r="AZ355" i="1"/>
  <c r="AZ354" i="1"/>
  <c r="AZ353" i="1"/>
  <c r="AZ352" i="1"/>
  <c r="AZ351" i="1"/>
  <c r="AZ350" i="1"/>
  <c r="AZ349" i="1"/>
  <c r="AZ348" i="1"/>
  <c r="AZ347" i="1"/>
  <c r="AZ345" i="1"/>
  <c r="AZ344" i="1"/>
  <c r="AZ343" i="1"/>
  <c r="AZ342" i="1"/>
  <c r="AZ341" i="1"/>
  <c r="AZ340" i="1"/>
  <c r="AZ339" i="1"/>
  <c r="AZ338" i="1"/>
  <c r="AZ337" i="1"/>
  <c r="AZ336" i="1"/>
  <c r="AZ335" i="1"/>
  <c r="AZ334" i="1"/>
  <c r="AZ333" i="1"/>
  <c r="AZ332" i="1"/>
  <c r="AZ331" i="1"/>
  <c r="AZ330" i="1"/>
  <c r="AZ329" i="1"/>
  <c r="AZ328" i="1"/>
  <c r="AZ327" i="1"/>
  <c r="AZ326" i="1"/>
  <c r="AZ325" i="1"/>
  <c r="AZ323" i="1"/>
  <c r="AZ322" i="1"/>
  <c r="AZ321" i="1"/>
  <c r="AZ320" i="1"/>
  <c r="AZ319" i="1"/>
  <c r="AZ318" i="1"/>
  <c r="AZ317" i="1"/>
  <c r="AZ316" i="1"/>
  <c r="AZ315" i="1"/>
  <c r="AZ314" i="1"/>
  <c r="AZ313" i="1"/>
  <c r="AZ312" i="1"/>
  <c r="AZ311" i="1"/>
  <c r="AZ310" i="1"/>
  <c r="AZ309" i="1"/>
  <c r="AZ308" i="1"/>
  <c r="AZ307" i="1"/>
  <c r="AZ306" i="1"/>
  <c r="AZ305" i="1"/>
  <c r="AZ302" i="1"/>
  <c r="AZ301" i="1"/>
  <c r="AZ300" i="1"/>
  <c r="AZ298" i="1"/>
  <c r="AZ296" i="1"/>
  <c r="AZ295" i="1"/>
  <c r="AZ294" i="1"/>
  <c r="AZ293" i="1"/>
  <c r="AZ292" i="1"/>
  <c r="AZ291" i="1"/>
  <c r="AZ290" i="1"/>
  <c r="AZ288" i="1"/>
  <c r="AZ287" i="1"/>
  <c r="AZ285" i="1"/>
  <c r="AZ284" i="1"/>
  <c r="AZ283" i="1"/>
  <c r="AZ282" i="1"/>
  <c r="AZ281" i="1"/>
  <c r="AZ280" i="1"/>
  <c r="AZ279" i="1"/>
  <c r="AZ278" i="1"/>
  <c r="AZ277" i="1"/>
  <c r="AZ276" i="1"/>
  <c r="AZ275" i="1"/>
  <c r="AZ274" i="1"/>
  <c r="AZ273" i="1"/>
  <c r="AZ272" i="1"/>
  <c r="AZ271" i="1"/>
  <c r="AZ270" i="1"/>
  <c r="AZ269" i="1"/>
  <c r="AZ268" i="1"/>
  <c r="AZ266" i="1"/>
  <c r="AZ265" i="1"/>
  <c r="AZ264" i="1"/>
  <c r="AZ263" i="1"/>
  <c r="AZ262" i="1"/>
  <c r="AZ261" i="1"/>
  <c r="AZ258" i="1"/>
  <c r="AZ257" i="1"/>
  <c r="AZ256" i="1"/>
  <c r="AZ255" i="1"/>
  <c r="AZ254" i="1"/>
  <c r="AZ253" i="1"/>
  <c r="AZ252" i="1"/>
  <c r="AZ251" i="1"/>
  <c r="AZ250" i="1"/>
  <c r="AZ248" i="1"/>
  <c r="AZ247" i="1"/>
  <c r="AZ244" i="1"/>
  <c r="AZ243" i="1"/>
  <c r="AZ242" i="1"/>
  <c r="AZ241" i="1"/>
  <c r="AZ240" i="1"/>
  <c r="AZ239" i="1"/>
  <c r="AZ238" i="1"/>
  <c r="AZ237" i="1"/>
  <c r="AZ236" i="1"/>
  <c r="AZ235" i="1"/>
  <c r="AZ234" i="1"/>
  <c r="AZ233" i="1"/>
  <c r="AZ232" i="1"/>
  <c r="AZ231" i="1"/>
  <c r="AZ230" i="1"/>
  <c r="AZ229" i="1"/>
  <c r="AZ228" i="1"/>
  <c r="AZ227" i="1"/>
  <c r="AZ226" i="1"/>
  <c r="AZ225" i="1"/>
  <c r="AZ224" i="1"/>
  <c r="AZ223" i="1"/>
  <c r="AZ222" i="1"/>
  <c r="AZ219" i="1"/>
  <c r="AZ218" i="1"/>
  <c r="AZ217" i="1"/>
  <c r="AZ216" i="1"/>
  <c r="AZ215" i="1"/>
  <c r="AZ214" i="1"/>
  <c r="AZ213" i="1"/>
  <c r="AZ211" i="1"/>
  <c r="AZ210" i="1"/>
  <c r="AZ209" i="1"/>
  <c r="AZ208" i="1"/>
  <c r="AZ207" i="1"/>
  <c r="AZ206" i="1"/>
  <c r="AZ205" i="1"/>
  <c r="AZ204" i="1"/>
  <c r="AZ203" i="1"/>
  <c r="AZ202" i="1"/>
  <c r="AZ201" i="1"/>
  <c r="AZ200" i="1"/>
  <c r="AZ199" i="1"/>
  <c r="AZ198" i="1"/>
  <c r="AZ197" i="1"/>
  <c r="AZ196" i="1"/>
  <c r="AZ195" i="1"/>
  <c r="AZ194" i="1"/>
  <c r="AZ193" i="1"/>
  <c r="AZ192" i="1"/>
  <c r="AZ191" i="1"/>
  <c r="AZ190" i="1"/>
  <c r="AZ188" i="1"/>
  <c r="AZ187" i="1"/>
  <c r="AZ186" i="1"/>
  <c r="AZ185" i="1"/>
  <c r="AZ184" i="1"/>
  <c r="AZ183" i="1"/>
  <c r="AZ182" i="1"/>
  <c r="AZ181" i="1"/>
  <c r="AZ180" i="1"/>
  <c r="AZ179" i="1"/>
  <c r="AZ178" i="1"/>
  <c r="AZ177" i="1"/>
  <c r="AZ176" i="1"/>
  <c r="AZ175" i="1"/>
  <c r="AZ174" i="1"/>
  <c r="AZ173" i="1"/>
  <c r="AZ172" i="1"/>
  <c r="AZ171" i="1"/>
  <c r="AZ170" i="1"/>
  <c r="AZ169" i="1"/>
  <c r="AZ168" i="1"/>
  <c r="AZ167" i="1"/>
  <c r="AZ166" i="1"/>
  <c r="AZ165" i="1"/>
  <c r="AZ164" i="1"/>
  <c r="AZ163" i="1"/>
  <c r="AZ162" i="1"/>
  <c r="AZ161" i="1"/>
  <c r="AZ160" i="1"/>
  <c r="AZ159" i="1"/>
  <c r="AZ158" i="1"/>
  <c r="AZ157" i="1"/>
  <c r="AZ156" i="1"/>
  <c r="AZ155" i="1"/>
  <c r="AZ154" i="1"/>
  <c r="AZ153" i="1"/>
  <c r="AZ152" i="1"/>
  <c r="AZ151" i="1"/>
  <c r="AZ150" i="1"/>
  <c r="AZ149" i="1"/>
  <c r="AZ148" i="1"/>
  <c r="AZ147" i="1"/>
  <c r="AZ146" i="1"/>
  <c r="AZ145" i="1"/>
  <c r="AZ144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69" i="1"/>
  <c r="AZ68" i="1"/>
  <c r="AZ67" i="1"/>
  <c r="AZ66" i="1"/>
  <c r="AZ65" i="1"/>
  <c r="AZ64" i="1"/>
  <c r="AZ63" i="1"/>
  <c r="AZ62" i="1"/>
  <c r="AZ61" i="1"/>
  <c r="AZ60" i="1"/>
  <c r="AZ59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1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3" i="1"/>
  <c r="L4" i="49" l="1"/>
  <c r="M4" i="49" s="1"/>
  <c r="O4" i="49" s="1"/>
  <c r="BK42" i="1"/>
  <c r="T34" i="49" l="1"/>
  <c r="S62" i="49"/>
  <c r="T62" i="49" s="1"/>
  <c r="O8" i="49"/>
  <c r="O10" i="49" s="1"/>
  <c r="R4" i="49"/>
  <c r="S4" i="49" s="1"/>
  <c r="T4" i="49" s="1"/>
  <c r="T8" i="49" s="1"/>
  <c r="T10" i="49" s="1"/>
  <c r="T35" i="49"/>
  <c r="DR201" i="1"/>
  <c r="DP201" i="1"/>
  <c r="DO201" i="1"/>
  <c r="DN201" i="1"/>
  <c r="CI201" i="1"/>
  <c r="CA201" i="1"/>
  <c r="L197" i="42" s="1"/>
  <c r="BD201" i="1"/>
  <c r="AQ201" i="1"/>
  <c r="AO201" i="1"/>
  <c r="AC201" i="1"/>
  <c r="T201" i="1"/>
  <c r="Q201" i="1"/>
  <c r="V214" i="1"/>
  <c r="DR214" i="1"/>
  <c r="DP214" i="1"/>
  <c r="DO214" i="1"/>
  <c r="DN214" i="1"/>
  <c r="CI214" i="1"/>
  <c r="CT214" i="1"/>
  <c r="BD214" i="1"/>
  <c r="AW214" i="1"/>
  <c r="AQ214" i="1"/>
  <c r="AO214" i="1"/>
  <c r="AC214" i="1"/>
  <c r="Q214" i="1"/>
  <c r="P229" i="52" l="1"/>
  <c r="V229" i="52"/>
  <c r="V244" i="52"/>
  <c r="T229" i="52"/>
  <c r="S8" i="49"/>
  <c r="S10" i="49" s="1"/>
  <c r="T244" i="52"/>
  <c r="V201" i="1"/>
  <c r="W201" i="1" s="1"/>
  <c r="T37" i="49"/>
  <c r="CT201" i="1"/>
  <c r="CP214" i="1"/>
  <c r="AT214" i="1"/>
  <c r="CH214" i="1" s="1"/>
  <c r="AT201" i="1"/>
  <c r="CH201" i="1" s="1"/>
  <c r="W214" i="1"/>
  <c r="P304" i="52"/>
  <c r="X229" i="52" l="1"/>
  <c r="X244" i="52"/>
  <c r="T304" i="52"/>
  <c r="V304" i="52"/>
  <c r="CA134" i="1"/>
  <c r="L130" i="42" s="1"/>
  <c r="AO134" i="1"/>
  <c r="AC134" i="1"/>
  <c r="T134" i="1"/>
  <c r="P160" i="52" l="1"/>
  <c r="X304" i="52"/>
  <c r="T160" i="52"/>
  <c r="DR274" i="1"/>
  <c r="DP274" i="1"/>
  <c r="DO274" i="1"/>
  <c r="DN274" i="1"/>
  <c r="CI274" i="1"/>
  <c r="CA274" i="1"/>
  <c r="L270" i="42" s="1"/>
  <c r="BD274" i="1"/>
  <c r="AQ274" i="1"/>
  <c r="AO274" i="1"/>
  <c r="AC274" i="1"/>
  <c r="T274" i="1"/>
  <c r="Q274" i="1"/>
  <c r="P307" i="52" l="1"/>
  <c r="T307" i="52"/>
  <c r="V307" i="52"/>
  <c r="V274" i="1"/>
  <c r="W274" i="1" s="1"/>
  <c r="CT274" i="1"/>
  <c r="AT274" i="1"/>
  <c r="CH274" i="1" s="1"/>
  <c r="DR215" i="1"/>
  <c r="DP215" i="1"/>
  <c r="DO215" i="1"/>
  <c r="DN215" i="1"/>
  <c r="CI215" i="1"/>
  <c r="CA215" i="1"/>
  <c r="L211" i="42" s="1"/>
  <c r="BD215" i="1"/>
  <c r="AQ215" i="1"/>
  <c r="AO215" i="1"/>
  <c r="AC215" i="1"/>
  <c r="T215" i="1"/>
  <c r="Q215" i="1"/>
  <c r="P245" i="52" l="1"/>
  <c r="X307" i="52"/>
  <c r="T245" i="52"/>
  <c r="V245" i="52"/>
  <c r="CT215" i="1"/>
  <c r="AT215" i="1"/>
  <c r="CH215" i="1" s="1"/>
  <c r="V215" i="1"/>
  <c r="X245" i="52" l="1"/>
  <c r="W215" i="1"/>
  <c r="BR8" i="1" l="1"/>
  <c r="I299" i="1" s="1"/>
  <c r="K299" i="1" l="1"/>
  <c r="AA299" i="1"/>
  <c r="I13" i="1"/>
  <c r="I13" i="57" s="1"/>
  <c r="K13" i="57" s="1"/>
  <c r="I143" i="1"/>
  <c r="I220" i="1"/>
  <c r="I189" i="1"/>
  <c r="I70" i="1"/>
  <c r="K189" i="1"/>
  <c r="I39" i="1"/>
  <c r="I40" i="1"/>
  <c r="I364" i="1"/>
  <c r="I346" i="1"/>
  <c r="I342" i="42" s="1"/>
  <c r="I384" i="1"/>
  <c r="I380" i="42" s="1"/>
  <c r="I260" i="1"/>
  <c r="I259" i="1"/>
  <c r="I246" i="1"/>
  <c r="I286" i="1"/>
  <c r="I381" i="1"/>
  <c r="I377" i="42" s="1"/>
  <c r="I38" i="1"/>
  <c r="I297" i="1"/>
  <c r="I396" i="1"/>
  <c r="I392" i="42" s="1"/>
  <c r="I394" i="1"/>
  <c r="I390" i="42" s="1"/>
  <c r="I393" i="1"/>
  <c r="I389" i="42" s="1"/>
  <c r="I391" i="1"/>
  <c r="I387" i="42" s="1"/>
  <c r="I389" i="1"/>
  <c r="I385" i="42" s="1"/>
  <c r="I387" i="1"/>
  <c r="I383" i="42" s="1"/>
  <c r="I385" i="1"/>
  <c r="I381" i="42" s="1"/>
  <c r="I382" i="1"/>
  <c r="I378" i="42" s="1"/>
  <c r="I379" i="1"/>
  <c r="I375" i="42" s="1"/>
  <c r="I377" i="1"/>
  <c r="I373" i="42" s="1"/>
  <c r="I375" i="1"/>
  <c r="I371" i="42" s="1"/>
  <c r="I373" i="1"/>
  <c r="I369" i="42" s="1"/>
  <c r="I371" i="1"/>
  <c r="I367" i="42" s="1"/>
  <c r="I369" i="1"/>
  <c r="I365" i="42" s="1"/>
  <c r="I367" i="1"/>
  <c r="I363" i="42" s="1"/>
  <c r="I365" i="1"/>
  <c r="I361" i="42" s="1"/>
  <c r="I362" i="1"/>
  <c r="I358" i="42" s="1"/>
  <c r="I360" i="1"/>
  <c r="I356" i="42" s="1"/>
  <c r="I358" i="1"/>
  <c r="I354" i="42" s="1"/>
  <c r="I355" i="1"/>
  <c r="I351" i="42" s="1"/>
  <c r="I353" i="1"/>
  <c r="I349" i="42" s="1"/>
  <c r="I350" i="1"/>
  <c r="I346" i="42" s="1"/>
  <c r="I349" i="1"/>
  <c r="I345" i="42" s="1"/>
  <c r="I347" i="1"/>
  <c r="I343" i="42" s="1"/>
  <c r="I344" i="1"/>
  <c r="I340" i="42" s="1"/>
  <c r="I342" i="1"/>
  <c r="I338" i="42" s="1"/>
  <c r="I340" i="1"/>
  <c r="I336" i="42" s="1"/>
  <c r="I338" i="1"/>
  <c r="I334" i="42" s="1"/>
  <c r="I336" i="1"/>
  <c r="I332" i="42" s="1"/>
  <c r="I334" i="1"/>
  <c r="I330" i="42" s="1"/>
  <c r="I332" i="1"/>
  <c r="I328" i="42" s="1"/>
  <c r="I330" i="1"/>
  <c r="I326" i="42" s="1"/>
  <c r="I328" i="1"/>
  <c r="I324" i="42" s="1"/>
  <c r="I326" i="1"/>
  <c r="I322" i="42" s="1"/>
  <c r="I324" i="1"/>
  <c r="I320" i="42" s="1"/>
  <c r="I322" i="1"/>
  <c r="I318" i="42" s="1"/>
  <c r="I320" i="1"/>
  <c r="I316" i="42" s="1"/>
  <c r="I318" i="1"/>
  <c r="I314" i="42" s="1"/>
  <c r="I316" i="1"/>
  <c r="I312" i="42" s="1"/>
  <c r="I314" i="1"/>
  <c r="I310" i="42" s="1"/>
  <c r="I312" i="1"/>
  <c r="I308" i="42" s="1"/>
  <c r="I310" i="1"/>
  <c r="I306" i="42" s="1"/>
  <c r="I308" i="1"/>
  <c r="I304" i="42" s="1"/>
  <c r="I306" i="1"/>
  <c r="I302" i="42" s="1"/>
  <c r="I301" i="1"/>
  <c r="I300" i="1"/>
  <c r="I296" i="1"/>
  <c r="I294" i="1"/>
  <c r="I292" i="1"/>
  <c r="I290" i="1"/>
  <c r="I288" i="1"/>
  <c r="I318" i="52"/>
  <c r="K318" i="52" s="1"/>
  <c r="I284" i="1"/>
  <c r="I282" i="1"/>
  <c r="I280" i="1"/>
  <c r="I278" i="1"/>
  <c r="I276" i="1"/>
  <c r="I274" i="1"/>
  <c r="I272" i="1"/>
  <c r="I271" i="1"/>
  <c r="I269" i="1"/>
  <c r="I267" i="1"/>
  <c r="I265" i="1"/>
  <c r="I264" i="1"/>
  <c r="I262" i="1"/>
  <c r="I258" i="1"/>
  <c r="I256" i="1"/>
  <c r="I254" i="1"/>
  <c r="I252" i="1"/>
  <c r="I250" i="1"/>
  <c r="I249" i="1"/>
  <c r="I247" i="1"/>
  <c r="I244" i="1"/>
  <c r="I242" i="1"/>
  <c r="I240" i="1"/>
  <c r="I238" i="1"/>
  <c r="I237" i="1"/>
  <c r="I235" i="1"/>
  <c r="I233" i="1"/>
  <c r="I231" i="1"/>
  <c r="I229" i="1"/>
  <c r="I227" i="1"/>
  <c r="I226" i="1"/>
  <c r="I223" i="1"/>
  <c r="I221" i="1"/>
  <c r="I219" i="1"/>
  <c r="I217" i="1"/>
  <c r="I215" i="1"/>
  <c r="I213" i="1"/>
  <c r="I211" i="1"/>
  <c r="I209" i="1"/>
  <c r="I207" i="1"/>
  <c r="I205" i="1"/>
  <c r="I203" i="1"/>
  <c r="I201" i="1"/>
  <c r="I199" i="1"/>
  <c r="I197" i="1"/>
  <c r="I195" i="1"/>
  <c r="I193" i="1"/>
  <c r="I192" i="1"/>
  <c r="I190" i="1"/>
  <c r="I187" i="1"/>
  <c r="I185" i="1"/>
  <c r="I183" i="1"/>
  <c r="I181" i="1"/>
  <c r="I179" i="1"/>
  <c r="I177" i="1"/>
  <c r="I176" i="1"/>
  <c r="I174" i="1"/>
  <c r="I172" i="1"/>
  <c r="I170" i="1"/>
  <c r="I168" i="1"/>
  <c r="I166" i="1"/>
  <c r="I164" i="1"/>
  <c r="I162" i="1"/>
  <c r="I160" i="1"/>
  <c r="I158" i="1"/>
  <c r="I156" i="1"/>
  <c r="I154" i="1"/>
  <c r="I152" i="1"/>
  <c r="I150" i="1"/>
  <c r="I149" i="1"/>
  <c r="I147" i="1"/>
  <c r="I145" i="1"/>
  <c r="I142" i="1"/>
  <c r="I140" i="1"/>
  <c r="I138" i="1"/>
  <c r="I135" i="1"/>
  <c r="I133" i="1"/>
  <c r="I130" i="1"/>
  <c r="I129" i="1"/>
  <c r="I127" i="1"/>
  <c r="I125" i="1"/>
  <c r="I123" i="1"/>
  <c r="I121" i="1"/>
  <c r="I119" i="1"/>
  <c r="I117" i="1"/>
  <c r="I115" i="1"/>
  <c r="I113" i="1"/>
  <c r="I111" i="1"/>
  <c r="I132" i="52"/>
  <c r="K132" i="52" s="1"/>
  <c r="I108" i="1"/>
  <c r="I106" i="1"/>
  <c r="I104" i="1"/>
  <c r="I102" i="1"/>
  <c r="I100" i="1"/>
  <c r="I98" i="1"/>
  <c r="I96" i="1"/>
  <c r="I94" i="1"/>
  <c r="I92" i="1"/>
  <c r="I90" i="1"/>
  <c r="I88" i="1"/>
  <c r="I86" i="1"/>
  <c r="I84" i="1"/>
  <c r="I82" i="1"/>
  <c r="I80" i="1"/>
  <c r="I78" i="1"/>
  <c r="I76" i="1"/>
  <c r="I74" i="1"/>
  <c r="I395" i="1"/>
  <c r="I391" i="42" s="1"/>
  <c r="I392" i="1"/>
  <c r="I388" i="42" s="1"/>
  <c r="I390" i="1"/>
  <c r="I386" i="42" s="1"/>
  <c r="I388" i="1"/>
  <c r="I384" i="42" s="1"/>
  <c r="I386" i="1"/>
  <c r="I382" i="42" s="1"/>
  <c r="I383" i="1"/>
  <c r="I379" i="42" s="1"/>
  <c r="I380" i="1"/>
  <c r="I376" i="42" s="1"/>
  <c r="I378" i="1"/>
  <c r="I374" i="42" s="1"/>
  <c r="I376" i="1"/>
  <c r="I372" i="42" s="1"/>
  <c r="I374" i="1"/>
  <c r="I370" i="42" s="1"/>
  <c r="I372" i="1"/>
  <c r="I368" i="42" s="1"/>
  <c r="I370" i="1"/>
  <c r="I366" i="42" s="1"/>
  <c r="I368" i="1"/>
  <c r="I364" i="42" s="1"/>
  <c r="I366" i="1"/>
  <c r="I362" i="42" s="1"/>
  <c r="I363" i="1"/>
  <c r="I359" i="42" s="1"/>
  <c r="I361" i="1"/>
  <c r="I357" i="42" s="1"/>
  <c r="I359" i="1"/>
  <c r="I355" i="42" s="1"/>
  <c r="I357" i="1"/>
  <c r="I353" i="42" s="1"/>
  <c r="I356" i="1"/>
  <c r="I352" i="42" s="1"/>
  <c r="I354" i="1"/>
  <c r="I350" i="42" s="1"/>
  <c r="I352" i="1"/>
  <c r="I348" i="42" s="1"/>
  <c r="I351" i="1"/>
  <c r="I347" i="42" s="1"/>
  <c r="I348" i="1"/>
  <c r="I344" i="42" s="1"/>
  <c r="I345" i="1"/>
  <c r="I341" i="42" s="1"/>
  <c r="I343" i="1"/>
  <c r="I339" i="42" s="1"/>
  <c r="I341" i="1"/>
  <c r="I337" i="42" s="1"/>
  <c r="I339" i="1"/>
  <c r="I335" i="42" s="1"/>
  <c r="I337" i="1"/>
  <c r="I333" i="42" s="1"/>
  <c r="I335" i="1"/>
  <c r="I331" i="42" s="1"/>
  <c r="I333" i="1"/>
  <c r="I329" i="42" s="1"/>
  <c r="I331" i="1"/>
  <c r="I327" i="42" s="1"/>
  <c r="I329" i="1"/>
  <c r="I325" i="42" s="1"/>
  <c r="I327" i="1"/>
  <c r="I323" i="42" s="1"/>
  <c r="I325" i="1"/>
  <c r="I321" i="42" s="1"/>
  <c r="I323" i="1"/>
  <c r="I319" i="42" s="1"/>
  <c r="I321" i="1"/>
  <c r="I317" i="42" s="1"/>
  <c r="I319" i="1"/>
  <c r="I315" i="42" s="1"/>
  <c r="I317" i="1"/>
  <c r="I313" i="42" s="1"/>
  <c r="I315" i="1"/>
  <c r="I311" i="42" s="1"/>
  <c r="I313" i="1"/>
  <c r="I309" i="42" s="1"/>
  <c r="I311" i="1"/>
  <c r="I307" i="42" s="1"/>
  <c r="I309" i="1"/>
  <c r="I305" i="42" s="1"/>
  <c r="I307" i="1"/>
  <c r="I303" i="42" s="1"/>
  <c r="I305" i="1"/>
  <c r="I302" i="1"/>
  <c r="I298" i="1"/>
  <c r="I295" i="1"/>
  <c r="I293" i="1"/>
  <c r="I291" i="1"/>
  <c r="I289" i="1"/>
  <c r="I287" i="1"/>
  <c r="I285" i="1"/>
  <c r="I283" i="1"/>
  <c r="I281" i="1"/>
  <c r="I279" i="1"/>
  <c r="I277" i="1"/>
  <c r="I275" i="1"/>
  <c r="I273" i="1"/>
  <c r="I270" i="1"/>
  <c r="I268" i="1"/>
  <c r="I266" i="1"/>
  <c r="I263" i="1"/>
  <c r="I261" i="1"/>
  <c r="I257" i="1"/>
  <c r="I255" i="1"/>
  <c r="I253" i="1"/>
  <c r="I251" i="1"/>
  <c r="I248" i="1"/>
  <c r="I245" i="1"/>
  <c r="I243" i="1"/>
  <c r="I241" i="1"/>
  <c r="I239" i="1"/>
  <c r="I236" i="1"/>
  <c r="I234" i="1"/>
  <c r="I232" i="1"/>
  <c r="I230" i="1"/>
  <c r="I228" i="1"/>
  <c r="I225" i="1"/>
  <c r="I222" i="1"/>
  <c r="I218" i="1"/>
  <c r="I214" i="1"/>
  <c r="I210" i="1"/>
  <c r="I208" i="1"/>
  <c r="I204" i="1"/>
  <c r="I200" i="1"/>
  <c r="I196" i="1"/>
  <c r="I188" i="1"/>
  <c r="I184" i="1"/>
  <c r="I180" i="1"/>
  <c r="I173" i="1"/>
  <c r="I169" i="1"/>
  <c r="I165" i="1"/>
  <c r="I161" i="1"/>
  <c r="I157" i="1"/>
  <c r="I153" i="1"/>
  <c r="I146" i="1"/>
  <c r="I141" i="1"/>
  <c r="I137" i="1"/>
  <c r="I134" i="1"/>
  <c r="I131" i="1"/>
  <c r="I128" i="1"/>
  <c r="I124" i="1"/>
  <c r="I120" i="1"/>
  <c r="I116" i="1"/>
  <c r="I112" i="1"/>
  <c r="I109" i="1"/>
  <c r="I105" i="1"/>
  <c r="I101" i="1"/>
  <c r="I97" i="1"/>
  <c r="I93" i="1"/>
  <c r="I89" i="1"/>
  <c r="I85" i="1"/>
  <c r="I81" i="1"/>
  <c r="I77" i="1"/>
  <c r="I73" i="1"/>
  <c r="I71" i="1"/>
  <c r="I68" i="1"/>
  <c r="I66" i="1"/>
  <c r="I64" i="1"/>
  <c r="I62" i="1"/>
  <c r="I60" i="1"/>
  <c r="I58" i="1"/>
  <c r="I56" i="1"/>
  <c r="I54" i="1"/>
  <c r="I52" i="1"/>
  <c r="I50" i="1"/>
  <c r="I48" i="1"/>
  <c r="I46" i="1"/>
  <c r="I44" i="1"/>
  <c r="I41" i="1"/>
  <c r="I36" i="1"/>
  <c r="I34" i="1"/>
  <c r="I32" i="1"/>
  <c r="I30" i="1"/>
  <c r="I28" i="1"/>
  <c r="I26" i="1"/>
  <c r="I24" i="1"/>
  <c r="I22" i="1"/>
  <c r="I20" i="1"/>
  <c r="I18" i="1"/>
  <c r="I14" i="1"/>
  <c r="I224" i="1"/>
  <c r="I249" i="52"/>
  <c r="K249" i="52" s="1"/>
  <c r="I216" i="1"/>
  <c r="I212" i="1"/>
  <c r="I206" i="1"/>
  <c r="I202" i="1"/>
  <c r="I198" i="1"/>
  <c r="I194" i="1"/>
  <c r="I191" i="1"/>
  <c r="I186" i="1"/>
  <c r="I182" i="1"/>
  <c r="I178" i="1"/>
  <c r="I175" i="1"/>
  <c r="I171" i="1"/>
  <c r="I167" i="1"/>
  <c r="I163" i="1"/>
  <c r="I159" i="1"/>
  <c r="I155" i="1"/>
  <c r="I151" i="1"/>
  <c r="I148" i="1"/>
  <c r="I144" i="1"/>
  <c r="I139" i="1"/>
  <c r="I136" i="1"/>
  <c r="I132" i="1"/>
  <c r="I126" i="1"/>
  <c r="I122" i="1"/>
  <c r="I118" i="1"/>
  <c r="I114" i="1"/>
  <c r="I110" i="1"/>
  <c r="I107" i="1"/>
  <c r="I103" i="1"/>
  <c r="I99" i="1"/>
  <c r="I95" i="1"/>
  <c r="I91" i="1"/>
  <c r="I87" i="1"/>
  <c r="I83" i="1"/>
  <c r="I79" i="1"/>
  <c r="I75" i="1"/>
  <c r="I72" i="1"/>
  <c r="I69" i="1"/>
  <c r="I67" i="1"/>
  <c r="I65" i="1"/>
  <c r="I63" i="1"/>
  <c r="I61" i="1"/>
  <c r="I59" i="1"/>
  <c r="I57" i="1"/>
  <c r="I55" i="1"/>
  <c r="I53" i="1"/>
  <c r="I51" i="1"/>
  <c r="I49" i="1"/>
  <c r="I47" i="1"/>
  <c r="I45" i="1"/>
  <c r="I37" i="1"/>
  <c r="I35" i="1"/>
  <c r="I33" i="1"/>
  <c r="I31" i="1"/>
  <c r="I29" i="1"/>
  <c r="I27" i="1"/>
  <c r="I25" i="1"/>
  <c r="I23" i="1"/>
  <c r="I21" i="1"/>
  <c r="I19" i="1"/>
  <c r="I17" i="1"/>
  <c r="R319" i="52"/>
  <c r="J301" i="42"/>
  <c r="H301" i="42"/>
  <c r="D301" i="42"/>
  <c r="C301" i="42"/>
  <c r="I17" i="42" l="1"/>
  <c r="I34" i="57"/>
  <c r="K34" i="57" s="1"/>
  <c r="I21" i="42"/>
  <c r="I38" i="57"/>
  <c r="K38" i="57" s="1"/>
  <c r="I25" i="42"/>
  <c r="I42" i="57"/>
  <c r="K42" i="57" s="1"/>
  <c r="I29" i="42"/>
  <c r="I46" i="57"/>
  <c r="I33" i="42"/>
  <c r="I50" i="57"/>
  <c r="K50" i="57" s="1"/>
  <c r="I31" i="57"/>
  <c r="K31" i="57" s="1"/>
  <c r="I14" i="42"/>
  <c r="I35" i="57"/>
  <c r="K35" i="57" s="1"/>
  <c r="I18" i="42"/>
  <c r="I39" i="57"/>
  <c r="K39" i="57" s="1"/>
  <c r="I22" i="42"/>
  <c r="I43" i="57"/>
  <c r="K43" i="57" s="1"/>
  <c r="I26" i="42"/>
  <c r="I30" i="42"/>
  <c r="I47" i="57"/>
  <c r="K47" i="57" s="1"/>
  <c r="I37" i="42"/>
  <c r="I54" i="57"/>
  <c r="K54" i="57" s="1"/>
  <c r="I34" i="42"/>
  <c r="I51" i="57"/>
  <c r="K51" i="57" s="1"/>
  <c r="I35" i="42"/>
  <c r="I52" i="57"/>
  <c r="K52" i="57" s="1"/>
  <c r="I15" i="42"/>
  <c r="I32" i="57"/>
  <c r="K32" i="57" s="1"/>
  <c r="I19" i="42"/>
  <c r="I36" i="57"/>
  <c r="K36" i="57" s="1"/>
  <c r="I23" i="42"/>
  <c r="I40" i="57"/>
  <c r="K40" i="57" s="1"/>
  <c r="I27" i="42"/>
  <c r="I44" i="57"/>
  <c r="K44" i="57" s="1"/>
  <c r="I31" i="42"/>
  <c r="I48" i="57"/>
  <c r="K48" i="57" s="1"/>
  <c r="I16" i="42"/>
  <c r="I33" i="57"/>
  <c r="K33" i="57" s="1"/>
  <c r="I20" i="42"/>
  <c r="I37" i="57"/>
  <c r="K37" i="57" s="1"/>
  <c r="I24" i="42"/>
  <c r="I41" i="57"/>
  <c r="K41" i="57" s="1"/>
  <c r="I28" i="42"/>
  <c r="I45" i="57"/>
  <c r="K45" i="57" s="1"/>
  <c r="I32" i="42"/>
  <c r="I49" i="57"/>
  <c r="K49" i="57" s="1"/>
  <c r="I36" i="42"/>
  <c r="I53" i="57"/>
  <c r="K53" i="57" s="1"/>
  <c r="K143" i="1"/>
  <c r="AF299" i="1"/>
  <c r="AD299" i="1"/>
  <c r="AJ299" i="1" s="1"/>
  <c r="I13" i="58"/>
  <c r="K13" i="58" s="1"/>
  <c r="I360" i="42"/>
  <c r="I341" i="57"/>
  <c r="K341" i="57" s="1"/>
  <c r="I345" i="57"/>
  <c r="K345" i="57" s="1"/>
  <c r="I349" i="57"/>
  <c r="K349" i="57" s="1"/>
  <c r="I353" i="57"/>
  <c r="K353" i="57" s="1"/>
  <c r="I357" i="57"/>
  <c r="K357" i="57" s="1"/>
  <c r="I361" i="57"/>
  <c r="K361" i="57" s="1"/>
  <c r="I365" i="57"/>
  <c r="K365" i="57" s="1"/>
  <c r="I369" i="57"/>
  <c r="K369" i="57" s="1"/>
  <c r="I373" i="57"/>
  <c r="K373" i="57" s="1"/>
  <c r="I377" i="57"/>
  <c r="K377" i="57" s="1"/>
  <c r="I382" i="57"/>
  <c r="K382" i="57" s="1"/>
  <c r="I386" i="57"/>
  <c r="K386" i="57" s="1"/>
  <c r="I390" i="57"/>
  <c r="K390" i="57" s="1"/>
  <c r="I393" i="57"/>
  <c r="K393" i="57" s="1"/>
  <c r="I397" i="57"/>
  <c r="K397" i="57" s="1"/>
  <c r="I402" i="57"/>
  <c r="K402" i="57" s="1"/>
  <c r="I406" i="57"/>
  <c r="K406" i="57" s="1"/>
  <c r="I410" i="57"/>
  <c r="K410" i="57" s="1"/>
  <c r="I414" i="57"/>
  <c r="K414" i="57" s="1"/>
  <c r="I420" i="57"/>
  <c r="K420" i="57" s="1"/>
  <c r="I424" i="57"/>
  <c r="K424" i="57" s="1"/>
  <c r="I429" i="57"/>
  <c r="K429" i="57" s="1"/>
  <c r="I340" i="57"/>
  <c r="K340" i="57" s="1"/>
  <c r="I344" i="57"/>
  <c r="K344" i="57" s="1"/>
  <c r="I348" i="57"/>
  <c r="K348" i="57" s="1"/>
  <c r="I352" i="57"/>
  <c r="K352" i="57" s="1"/>
  <c r="I356" i="57"/>
  <c r="K356" i="57" s="1"/>
  <c r="I360" i="57"/>
  <c r="K360" i="57" s="1"/>
  <c r="I364" i="57"/>
  <c r="K364" i="57" s="1"/>
  <c r="I368" i="57"/>
  <c r="K368" i="57" s="1"/>
  <c r="I372" i="57"/>
  <c r="K372" i="57" s="1"/>
  <c r="I376" i="57"/>
  <c r="K376" i="57" s="1"/>
  <c r="I381" i="57"/>
  <c r="K381" i="57" s="1"/>
  <c r="I384" i="57"/>
  <c r="K384" i="57" s="1"/>
  <c r="I389" i="57"/>
  <c r="K389" i="57" s="1"/>
  <c r="I394" i="57"/>
  <c r="K394" i="57" s="1"/>
  <c r="I399" i="57"/>
  <c r="K399" i="57" s="1"/>
  <c r="I403" i="57"/>
  <c r="K403" i="57" s="1"/>
  <c r="I407" i="57"/>
  <c r="K407" i="57" s="1"/>
  <c r="I411" i="57"/>
  <c r="K411" i="57" s="1"/>
  <c r="I416" i="57"/>
  <c r="K416" i="57" s="1"/>
  <c r="I421" i="57"/>
  <c r="K421" i="57" s="1"/>
  <c r="I425" i="57"/>
  <c r="K425" i="57" s="1"/>
  <c r="I428" i="57"/>
  <c r="K428" i="57" s="1"/>
  <c r="I415" i="57"/>
  <c r="K415" i="57" s="1"/>
  <c r="I30" i="57"/>
  <c r="K30" i="57" s="1"/>
  <c r="I33" i="58"/>
  <c r="K33" i="58" s="1"/>
  <c r="I14" i="57"/>
  <c r="I65" i="57"/>
  <c r="K65" i="57" s="1"/>
  <c r="I68" i="58"/>
  <c r="K68" i="58" s="1"/>
  <c r="I339" i="57"/>
  <c r="K339" i="57" s="1"/>
  <c r="I340" i="58"/>
  <c r="K340" i="58" s="1"/>
  <c r="I343" i="57"/>
  <c r="K343" i="57" s="1"/>
  <c r="I347" i="57"/>
  <c r="K347" i="57" s="1"/>
  <c r="I351" i="57"/>
  <c r="K351" i="57" s="1"/>
  <c r="I355" i="57"/>
  <c r="K355" i="57" s="1"/>
  <c r="I359" i="57"/>
  <c r="K359" i="57" s="1"/>
  <c r="I363" i="57"/>
  <c r="K363" i="57" s="1"/>
  <c r="I367" i="57"/>
  <c r="K367" i="57" s="1"/>
  <c r="I371" i="57"/>
  <c r="K371" i="57" s="1"/>
  <c r="I375" i="57"/>
  <c r="K375" i="57" s="1"/>
  <c r="I379" i="57"/>
  <c r="K379" i="57" s="1"/>
  <c r="I385" i="57"/>
  <c r="K385" i="57" s="1"/>
  <c r="I388" i="57"/>
  <c r="K388" i="57" s="1"/>
  <c r="I391" i="57"/>
  <c r="K391" i="57" s="1"/>
  <c r="I395" i="57"/>
  <c r="K395" i="57" s="1"/>
  <c r="I400" i="57"/>
  <c r="K400" i="57" s="1"/>
  <c r="I404" i="57"/>
  <c r="K404" i="57" s="1"/>
  <c r="I408" i="57"/>
  <c r="K408" i="57" s="1"/>
  <c r="I412" i="57"/>
  <c r="K412" i="57" s="1"/>
  <c r="I417" i="57"/>
  <c r="K417" i="57" s="1"/>
  <c r="I422" i="57"/>
  <c r="K422" i="57" s="1"/>
  <c r="I426" i="57"/>
  <c r="K426" i="57" s="1"/>
  <c r="I342" i="57"/>
  <c r="K342" i="57" s="1"/>
  <c r="I346" i="57"/>
  <c r="K346" i="57" s="1"/>
  <c r="I350" i="57"/>
  <c r="K350" i="57" s="1"/>
  <c r="I354" i="57"/>
  <c r="K354" i="57" s="1"/>
  <c r="I358" i="57"/>
  <c r="K358" i="57" s="1"/>
  <c r="I362" i="57"/>
  <c r="K362" i="57" s="1"/>
  <c r="I366" i="57"/>
  <c r="K366" i="57" s="1"/>
  <c r="I370" i="57"/>
  <c r="K370" i="57" s="1"/>
  <c r="I374" i="57"/>
  <c r="K374" i="57" s="1"/>
  <c r="I378" i="57"/>
  <c r="K378" i="57" s="1"/>
  <c r="I383" i="57"/>
  <c r="K383" i="57" s="1"/>
  <c r="I387" i="57"/>
  <c r="K387" i="57" s="1"/>
  <c r="I392" i="57"/>
  <c r="K392" i="57" s="1"/>
  <c r="I396" i="57"/>
  <c r="K396" i="57" s="1"/>
  <c r="I401" i="57"/>
  <c r="K401" i="57" s="1"/>
  <c r="I405" i="57"/>
  <c r="K405" i="57" s="1"/>
  <c r="I409" i="57"/>
  <c r="K409" i="57" s="1"/>
  <c r="I413" i="57"/>
  <c r="K413" i="57" s="1"/>
  <c r="I419" i="57"/>
  <c r="K419" i="57" s="1"/>
  <c r="I423" i="57"/>
  <c r="K423" i="57" s="1"/>
  <c r="I427" i="57"/>
  <c r="K427" i="57" s="1"/>
  <c r="I430" i="57"/>
  <c r="K430" i="57" s="1"/>
  <c r="I418" i="57"/>
  <c r="K418" i="57" s="1"/>
  <c r="I380" i="57"/>
  <c r="K380" i="57" s="1"/>
  <c r="I250" i="52"/>
  <c r="K250" i="52" s="1"/>
  <c r="AA189" i="1"/>
  <c r="AF189" i="1" s="1"/>
  <c r="K246" i="1"/>
  <c r="AA260" i="1"/>
  <c r="AF260" i="1" s="1"/>
  <c r="AA364" i="1"/>
  <c r="AF364" i="1" s="1"/>
  <c r="I398" i="57"/>
  <c r="K398" i="57" s="1"/>
  <c r="AA39" i="1"/>
  <c r="AF39" i="1" s="1"/>
  <c r="P52" i="57" s="1"/>
  <c r="AA143" i="1"/>
  <c r="AF143" i="1" s="1"/>
  <c r="K39" i="1"/>
  <c r="K35" i="42" s="1"/>
  <c r="K364" i="1"/>
  <c r="K360" i="42" s="1"/>
  <c r="AA220" i="1"/>
  <c r="K220" i="1"/>
  <c r="K70" i="1"/>
  <c r="AA70" i="1"/>
  <c r="K40" i="1"/>
  <c r="K36" i="42" s="1"/>
  <c r="AA40" i="1"/>
  <c r="K260" i="1"/>
  <c r="AA346" i="1"/>
  <c r="K346" i="1"/>
  <c r="K342" i="42" s="1"/>
  <c r="K384" i="1"/>
  <c r="K380" i="42" s="1"/>
  <c r="AA384" i="1"/>
  <c r="I143" i="52"/>
  <c r="K143" i="52" s="1"/>
  <c r="AA246" i="1"/>
  <c r="AF246" i="1" s="1"/>
  <c r="K259" i="1"/>
  <c r="AA259" i="1"/>
  <c r="AA381" i="1"/>
  <c r="AF381" i="1" s="1"/>
  <c r="P415" i="57" s="1"/>
  <c r="K286" i="1"/>
  <c r="AA286" i="1"/>
  <c r="K381" i="1"/>
  <c r="K377" i="42" s="1"/>
  <c r="K38" i="1"/>
  <c r="K34" i="42" s="1"/>
  <c r="AA38" i="1"/>
  <c r="I244" i="52"/>
  <c r="K244" i="52" s="1"/>
  <c r="I15" i="1"/>
  <c r="I241" i="52"/>
  <c r="K241" i="52" s="1"/>
  <c r="I243" i="52"/>
  <c r="K243" i="52" s="1"/>
  <c r="I269" i="52"/>
  <c r="K269" i="52" s="1"/>
  <c r="I321" i="52"/>
  <c r="K321" i="52" s="1"/>
  <c r="I228" i="52"/>
  <c r="K228" i="52" s="1"/>
  <c r="I298" i="52"/>
  <c r="K298" i="52" s="1"/>
  <c r="I306" i="52"/>
  <c r="K306" i="52" s="1"/>
  <c r="K324" i="1"/>
  <c r="K320" i="42" s="1"/>
  <c r="I81" i="52"/>
  <c r="K81" i="52" s="1"/>
  <c r="I295" i="52"/>
  <c r="K295" i="52" s="1"/>
  <c r="I303" i="52"/>
  <c r="K303" i="52" s="1"/>
  <c r="I114" i="52"/>
  <c r="K114" i="52" s="1"/>
  <c r="I280" i="52"/>
  <c r="K280" i="52" s="1"/>
  <c r="I303" i="1"/>
  <c r="I42" i="1"/>
  <c r="I397" i="1"/>
  <c r="K297" i="1"/>
  <c r="AA297" i="1"/>
  <c r="K245" i="1"/>
  <c r="I277" i="52"/>
  <c r="K277" i="52" s="1"/>
  <c r="I427" i="52"/>
  <c r="K427" i="52" s="1"/>
  <c r="I414" i="52"/>
  <c r="K414" i="52" s="1"/>
  <c r="I438" i="52"/>
  <c r="K438" i="52" s="1"/>
  <c r="I373" i="52"/>
  <c r="K373" i="52" s="1"/>
  <c r="I55" i="52"/>
  <c r="K55" i="52" s="1"/>
  <c r="I434" i="52"/>
  <c r="K434" i="52" s="1"/>
  <c r="K221" i="1"/>
  <c r="AA221" i="1"/>
  <c r="K267" i="1"/>
  <c r="AA267" i="1"/>
  <c r="AA245" i="1"/>
  <c r="R278" i="52" s="1"/>
  <c r="AA289" i="1"/>
  <c r="R322" i="52" s="1"/>
  <c r="K289" i="1"/>
  <c r="AA212" i="1"/>
  <c r="R242" i="52" s="1"/>
  <c r="K215" i="1"/>
  <c r="K212" i="1"/>
  <c r="AA386" i="1"/>
  <c r="R432" i="52" s="1"/>
  <c r="AA58" i="1"/>
  <c r="R82" i="52" s="1"/>
  <c r="AA201" i="1"/>
  <c r="R229" i="52" s="1"/>
  <c r="R133" i="52"/>
  <c r="AA92" i="1"/>
  <c r="R115" i="52" s="1"/>
  <c r="AA324" i="1"/>
  <c r="R371" i="52" s="1"/>
  <c r="K92" i="1"/>
  <c r="K58" i="1"/>
  <c r="K386" i="1"/>
  <c r="K382" i="42" s="1"/>
  <c r="R250" i="52"/>
  <c r="K120" i="1"/>
  <c r="AA120" i="1"/>
  <c r="R144" i="52" s="1"/>
  <c r="K390" i="1"/>
  <c r="K386" i="42" s="1"/>
  <c r="AA390" i="1"/>
  <c r="R296" i="52"/>
  <c r="K363" i="1"/>
  <c r="K359" i="42" s="1"/>
  <c r="AA363" i="1"/>
  <c r="K377" i="1"/>
  <c r="K373" i="42" s="1"/>
  <c r="AA37" i="1"/>
  <c r="K37" i="1"/>
  <c r="K33" i="42" s="1"/>
  <c r="AA377" i="1"/>
  <c r="K249" i="1"/>
  <c r="AA249" i="1"/>
  <c r="R281" i="52" s="1"/>
  <c r="R304" i="52"/>
  <c r="K201" i="1"/>
  <c r="AA215" i="1"/>
  <c r="R245" i="52" s="1"/>
  <c r="AF201" i="1"/>
  <c r="K214" i="1"/>
  <c r="AA214" i="1"/>
  <c r="R244" i="52" s="1"/>
  <c r="K274" i="1"/>
  <c r="AA274" i="1"/>
  <c r="R307" i="52" s="1"/>
  <c r="AK299" i="1" l="1"/>
  <c r="AE299" i="1"/>
  <c r="AU299" i="1" s="1"/>
  <c r="AG299" i="1"/>
  <c r="AL299" i="1"/>
  <c r="AG364" i="1"/>
  <c r="P398" i="57"/>
  <c r="AG143" i="1"/>
  <c r="AG189" i="1"/>
  <c r="AF220" i="1"/>
  <c r="AF70" i="1"/>
  <c r="AF40" i="1"/>
  <c r="P53" i="57" s="1"/>
  <c r="AG39" i="1"/>
  <c r="AF346" i="1"/>
  <c r="P380" i="57" s="1"/>
  <c r="AF384" i="1"/>
  <c r="AG246" i="1"/>
  <c r="AF259" i="1"/>
  <c r="AG260" i="1"/>
  <c r="AF286" i="1"/>
  <c r="AF38" i="1"/>
  <c r="P51" i="57" s="1"/>
  <c r="AG381" i="1"/>
  <c r="I400" i="1"/>
  <c r="I335" i="52"/>
  <c r="I352" i="52"/>
  <c r="R270" i="52"/>
  <c r="R299" i="52"/>
  <c r="R251" i="52"/>
  <c r="AF297" i="1"/>
  <c r="R55" i="52"/>
  <c r="R425" i="52"/>
  <c r="R412" i="52"/>
  <c r="R436" i="52"/>
  <c r="AF245" i="1"/>
  <c r="AF267" i="1"/>
  <c r="AF221" i="1"/>
  <c r="AF289" i="1"/>
  <c r="AF212" i="1"/>
  <c r="AF324" i="1"/>
  <c r="P358" i="57" s="1"/>
  <c r="AF92" i="1"/>
  <c r="AF386" i="1"/>
  <c r="P420" i="57" s="1"/>
  <c r="AF58" i="1"/>
  <c r="AF215" i="1"/>
  <c r="AF120" i="1"/>
  <c r="AF390" i="1"/>
  <c r="P424" i="57" s="1"/>
  <c r="AF377" i="1"/>
  <c r="P411" i="57" s="1"/>
  <c r="AF363" i="1"/>
  <c r="P397" i="57" s="1"/>
  <c r="AF37" i="1"/>
  <c r="P50" i="57" s="1"/>
  <c r="AF249" i="1"/>
  <c r="AG201" i="1"/>
  <c r="AF214" i="1"/>
  <c r="AF274" i="1"/>
  <c r="P335" i="52"/>
  <c r="AX299" i="1"/>
  <c r="DQ299" i="1"/>
  <c r="Y323" i="58" l="1"/>
  <c r="AD323" i="58" s="1"/>
  <c r="CC299" i="1"/>
  <c r="AM299" i="1"/>
  <c r="CQ299" i="1"/>
  <c r="CK299" i="1"/>
  <c r="BA299" i="1"/>
  <c r="BX299" i="1" s="1"/>
  <c r="BZ299" i="1" s="1"/>
  <c r="BN299" i="1"/>
  <c r="BB299" i="1"/>
  <c r="AG40" i="1"/>
  <c r="AG384" i="1"/>
  <c r="P418" i="57"/>
  <c r="AG70" i="1"/>
  <c r="AG220" i="1"/>
  <c r="AG346" i="1"/>
  <c r="BF384" i="1"/>
  <c r="AG259" i="1"/>
  <c r="AG286" i="1"/>
  <c r="AG38" i="1"/>
  <c r="AG386" i="1"/>
  <c r="AG221" i="1"/>
  <c r="AG297" i="1"/>
  <c r="AG245" i="1"/>
  <c r="AG324" i="1"/>
  <c r="AG267" i="1"/>
  <c r="AG377" i="1"/>
  <c r="AW297" i="1"/>
  <c r="AG92" i="1"/>
  <c r="AG215" i="1"/>
  <c r="AG289" i="1"/>
  <c r="AG212" i="1"/>
  <c r="AG58" i="1"/>
  <c r="AG363" i="1"/>
  <c r="AG390" i="1"/>
  <c r="AG249" i="1"/>
  <c r="AG120" i="1"/>
  <c r="AG37" i="1"/>
  <c r="AG214" i="1"/>
  <c r="AG274" i="1"/>
  <c r="CN299" i="1" l="1"/>
  <c r="BT299" i="1"/>
  <c r="CL299" i="1"/>
  <c r="CM299" i="1" s="1"/>
  <c r="CR299" i="1" s="1"/>
  <c r="CF299" i="1"/>
  <c r="CP297" i="1"/>
  <c r="BF297" i="1"/>
  <c r="DR211" i="1"/>
  <c r="DP211" i="1"/>
  <c r="DO211" i="1"/>
  <c r="DN211" i="1"/>
  <c r="CI211" i="1"/>
  <c r="CA211" i="1"/>
  <c r="L207" i="42" s="1"/>
  <c r="BD211" i="1"/>
  <c r="AQ211" i="1"/>
  <c r="AO211" i="1"/>
  <c r="AC211" i="1"/>
  <c r="T211" i="1"/>
  <c r="Q211" i="1"/>
  <c r="DR113" i="1"/>
  <c r="DP113" i="1"/>
  <c r="DO113" i="1"/>
  <c r="DN113" i="1"/>
  <c r="CI113" i="1"/>
  <c r="CA113" i="1"/>
  <c r="L109" i="42" s="1"/>
  <c r="BD113" i="1"/>
  <c r="AQ113" i="1"/>
  <c r="AO113" i="1"/>
  <c r="AC113" i="1"/>
  <c r="T113" i="1"/>
  <c r="Q113" i="1"/>
  <c r="DR184" i="1"/>
  <c r="DP184" i="1"/>
  <c r="DO184" i="1"/>
  <c r="DN184" i="1"/>
  <c r="CI184" i="1"/>
  <c r="CA184" i="1"/>
  <c r="L180" i="42" s="1"/>
  <c r="BF184" i="1"/>
  <c r="BD184" i="1"/>
  <c r="AW184" i="1"/>
  <c r="AQ184" i="1"/>
  <c r="AO184" i="1"/>
  <c r="AC184" i="1"/>
  <c r="T184" i="1"/>
  <c r="DR241" i="1"/>
  <c r="DP241" i="1"/>
  <c r="DO241" i="1"/>
  <c r="DN241" i="1"/>
  <c r="CI241" i="1"/>
  <c r="CA241" i="1"/>
  <c r="L237" i="42" s="1"/>
  <c r="BF241" i="1"/>
  <c r="BD241" i="1"/>
  <c r="AW241" i="1"/>
  <c r="AQ241" i="1"/>
  <c r="AO241" i="1"/>
  <c r="AC241" i="1"/>
  <c r="T241" i="1"/>
  <c r="Q241" i="1"/>
  <c r="P212" i="52" l="1"/>
  <c r="P137" i="52"/>
  <c r="P241" i="52"/>
  <c r="P274" i="52"/>
  <c r="V137" i="52"/>
  <c r="T274" i="52"/>
  <c r="V212" i="52"/>
  <c r="T137" i="52"/>
  <c r="V274" i="52"/>
  <c r="T212" i="52"/>
  <c r="T241" i="52"/>
  <c r="V241" i="52"/>
  <c r="BK303" i="1"/>
  <c r="CT113" i="1"/>
  <c r="CT211" i="1"/>
  <c r="CT241" i="1"/>
  <c r="CT184" i="1"/>
  <c r="CP241" i="1"/>
  <c r="CP184" i="1"/>
  <c r="AT211" i="1"/>
  <c r="CH211" i="1" s="1"/>
  <c r="V211" i="1"/>
  <c r="AT184" i="1"/>
  <c r="CH184" i="1" s="1"/>
  <c r="AT113" i="1"/>
  <c r="CH113" i="1" s="1"/>
  <c r="V113" i="1"/>
  <c r="V184" i="1"/>
  <c r="AT241" i="1"/>
  <c r="CH241" i="1" s="1"/>
  <c r="V241" i="1"/>
  <c r="DR102" i="1"/>
  <c r="DP102" i="1"/>
  <c r="DO102" i="1"/>
  <c r="DN102" i="1"/>
  <c r="CI102" i="1"/>
  <c r="CT102" i="1"/>
  <c r="BD102" i="1"/>
  <c r="AW102" i="1"/>
  <c r="AQ102" i="1"/>
  <c r="AO102" i="1"/>
  <c r="AC102" i="1"/>
  <c r="T102" i="1"/>
  <c r="Q102" i="1"/>
  <c r="P125" i="52" l="1"/>
  <c r="X274" i="52"/>
  <c r="X137" i="52"/>
  <c r="X212" i="52"/>
  <c r="X241" i="52"/>
  <c r="T125" i="52"/>
  <c r="V125" i="52"/>
  <c r="CP102" i="1"/>
  <c r="W211" i="1"/>
  <c r="W113" i="1"/>
  <c r="W184" i="1"/>
  <c r="W241" i="1"/>
  <c r="AT102" i="1"/>
  <c r="CH102" i="1" s="1"/>
  <c r="V102" i="1"/>
  <c r="X125" i="52" l="1"/>
  <c r="W102" i="1"/>
  <c r="BT14" i="1" l="1"/>
  <c r="BT13" i="1"/>
  <c r="V41" i="52" l="1"/>
  <c r="T41" i="52"/>
  <c r="P41" i="52"/>
  <c r="X41" i="52" l="1"/>
  <c r="I240" i="52"/>
  <c r="K240" i="52" s="1"/>
  <c r="I136" i="52"/>
  <c r="K136" i="52" s="1"/>
  <c r="I273" i="52"/>
  <c r="K273" i="52" s="1"/>
  <c r="I211" i="52"/>
  <c r="K211" i="52" s="1"/>
  <c r="I124" i="52"/>
  <c r="K124" i="52" s="1"/>
  <c r="DR227" i="1"/>
  <c r="DP227" i="1"/>
  <c r="DO227" i="1"/>
  <c r="DN227" i="1"/>
  <c r="CI227" i="1"/>
  <c r="CA227" i="1"/>
  <c r="L223" i="42" s="1"/>
  <c r="BD227" i="1"/>
  <c r="AQ227" i="1"/>
  <c r="AO227" i="1"/>
  <c r="AC227" i="1"/>
  <c r="T227" i="1"/>
  <c r="Q227" i="1"/>
  <c r="DR351" i="1"/>
  <c r="DP351" i="1"/>
  <c r="DO351" i="1"/>
  <c r="DN351" i="1"/>
  <c r="CI351" i="1"/>
  <c r="CA351" i="1"/>
  <c r="L347" i="42" s="1"/>
  <c r="BD351" i="1"/>
  <c r="AQ351" i="1"/>
  <c r="AO351" i="1"/>
  <c r="AC351" i="1"/>
  <c r="R385" i="57" s="1"/>
  <c r="T351" i="1"/>
  <c r="DR200" i="1"/>
  <c r="DP200" i="1"/>
  <c r="DO200" i="1"/>
  <c r="DN200" i="1"/>
  <c r="CI200" i="1"/>
  <c r="CA200" i="1"/>
  <c r="L196" i="42" s="1"/>
  <c r="BD200" i="1"/>
  <c r="AQ200" i="1"/>
  <c r="AO200" i="1"/>
  <c r="AC200" i="1"/>
  <c r="T200" i="1"/>
  <c r="Q200" i="1"/>
  <c r="P154" i="52"/>
  <c r="DR222" i="1"/>
  <c r="DP222" i="1"/>
  <c r="DO222" i="1"/>
  <c r="DN222" i="1"/>
  <c r="CI222" i="1"/>
  <c r="CA222" i="1"/>
  <c r="L218" i="42" s="1"/>
  <c r="BD222" i="1"/>
  <c r="AQ222" i="1"/>
  <c r="AO222" i="1"/>
  <c r="AC222" i="1"/>
  <c r="T222" i="1"/>
  <c r="Q222" i="1"/>
  <c r="P228" i="52" l="1"/>
  <c r="P252" i="52"/>
  <c r="P259" i="52"/>
  <c r="T154" i="52"/>
  <c r="V259" i="52"/>
  <c r="V252" i="52"/>
  <c r="T228" i="52"/>
  <c r="T398" i="52"/>
  <c r="V154" i="52"/>
  <c r="T259" i="52"/>
  <c r="T252" i="52"/>
  <c r="V228" i="52"/>
  <c r="V398" i="52"/>
  <c r="I41" i="52"/>
  <c r="K41" i="52" s="1"/>
  <c r="P398" i="52"/>
  <c r="K211" i="1"/>
  <c r="AA211" i="1"/>
  <c r="R241" i="52" s="1"/>
  <c r="R41" i="52"/>
  <c r="K241" i="1"/>
  <c r="K113" i="1"/>
  <c r="AA241" i="1"/>
  <c r="R274" i="52" s="1"/>
  <c r="AA113" i="1"/>
  <c r="R137" i="52" s="1"/>
  <c r="K184" i="1"/>
  <c r="AA184" i="1"/>
  <c r="R212" i="52" s="1"/>
  <c r="K102" i="1"/>
  <c r="AA102" i="1"/>
  <c r="R125" i="52" s="1"/>
  <c r="CT222" i="1"/>
  <c r="CT227" i="1"/>
  <c r="CT200" i="1"/>
  <c r="CT351" i="1"/>
  <c r="AT227" i="1"/>
  <c r="CH227" i="1" s="1"/>
  <c r="AT351" i="1"/>
  <c r="CH351" i="1" s="1"/>
  <c r="V227" i="1"/>
  <c r="V351" i="1"/>
  <c r="AT200" i="1"/>
  <c r="CH200" i="1" s="1"/>
  <c r="V200" i="1"/>
  <c r="AT222" i="1"/>
  <c r="CH222" i="1" s="1"/>
  <c r="V222" i="1"/>
  <c r="X252" i="52" l="1"/>
  <c r="X154" i="52"/>
  <c r="X228" i="52"/>
  <c r="X259" i="52"/>
  <c r="X398" i="52"/>
  <c r="AF241" i="1"/>
  <c r="AF211" i="1"/>
  <c r="AF113" i="1"/>
  <c r="AF184" i="1"/>
  <c r="AF102" i="1"/>
  <c r="W227" i="1"/>
  <c r="W351" i="1"/>
  <c r="W200" i="1"/>
  <c r="W222" i="1"/>
  <c r="DR157" i="1"/>
  <c r="DP157" i="1"/>
  <c r="DO157" i="1"/>
  <c r="DN157" i="1"/>
  <c r="CI157" i="1"/>
  <c r="CA157" i="1"/>
  <c r="L153" i="42" s="1"/>
  <c r="BF157" i="1"/>
  <c r="BD157" i="1"/>
  <c r="AW157" i="1"/>
  <c r="AQ157" i="1"/>
  <c r="AO157" i="1"/>
  <c r="AC157" i="1"/>
  <c r="T157" i="1"/>
  <c r="Q157" i="1"/>
  <c r="DR181" i="1"/>
  <c r="DP181" i="1"/>
  <c r="DO181" i="1"/>
  <c r="DN181" i="1"/>
  <c r="CI181" i="1"/>
  <c r="CA181" i="1"/>
  <c r="L177" i="42" s="1"/>
  <c r="BD181" i="1"/>
  <c r="AQ181" i="1"/>
  <c r="AO181" i="1"/>
  <c r="AC181" i="1"/>
  <c r="T181" i="1"/>
  <c r="Q181" i="1"/>
  <c r="O385" i="57" l="1"/>
  <c r="P209" i="52"/>
  <c r="P184" i="52"/>
  <c r="V209" i="52"/>
  <c r="T209" i="52"/>
  <c r="T184" i="52"/>
  <c r="V184" i="52"/>
  <c r="AG241" i="1"/>
  <c r="AG211" i="1"/>
  <c r="AG113" i="1"/>
  <c r="AG102" i="1"/>
  <c r="AG184" i="1"/>
  <c r="BF102" i="1"/>
  <c r="CT157" i="1"/>
  <c r="CT181" i="1"/>
  <c r="CP157" i="1"/>
  <c r="AT181" i="1"/>
  <c r="CH181" i="1" s="1"/>
  <c r="AT157" i="1"/>
  <c r="CH157" i="1" s="1"/>
  <c r="V157" i="1"/>
  <c r="V181" i="1"/>
  <c r="DR208" i="1"/>
  <c r="DP208" i="1"/>
  <c r="DO208" i="1"/>
  <c r="DN208" i="1"/>
  <c r="CI208" i="1"/>
  <c r="CA208" i="1"/>
  <c r="L204" i="42" s="1"/>
  <c r="BD208" i="1"/>
  <c r="AQ208" i="1"/>
  <c r="AO208" i="1"/>
  <c r="AC208" i="1"/>
  <c r="T208" i="1"/>
  <c r="Q208" i="1"/>
  <c r="P236" i="52" l="1"/>
  <c r="X184" i="52"/>
  <c r="X209" i="52"/>
  <c r="V236" i="52"/>
  <c r="T236" i="52"/>
  <c r="CT208" i="1"/>
  <c r="W157" i="1"/>
  <c r="W181" i="1"/>
  <c r="AT208" i="1"/>
  <c r="CH208" i="1" s="1"/>
  <c r="V208" i="1"/>
  <c r="V42" i="52"/>
  <c r="T42" i="52"/>
  <c r="DR287" i="1"/>
  <c r="DP287" i="1"/>
  <c r="DO287" i="1"/>
  <c r="DN287" i="1"/>
  <c r="CI287" i="1"/>
  <c r="CA287" i="1"/>
  <c r="L283" i="42" s="1"/>
  <c r="BD287" i="1"/>
  <c r="AQ287" i="1"/>
  <c r="AO287" i="1"/>
  <c r="AC287" i="1"/>
  <c r="T287" i="1"/>
  <c r="Q287" i="1"/>
  <c r="DR288" i="1"/>
  <c r="DP288" i="1"/>
  <c r="DO288" i="1"/>
  <c r="DN288" i="1"/>
  <c r="CI288" i="1"/>
  <c r="CA288" i="1"/>
  <c r="L284" i="42" s="1"/>
  <c r="BD288" i="1"/>
  <c r="AQ288" i="1"/>
  <c r="AO288" i="1"/>
  <c r="AC288" i="1"/>
  <c r="T288" i="1"/>
  <c r="Q288" i="1"/>
  <c r="P321" i="52" l="1"/>
  <c r="P320" i="52"/>
  <c r="X236" i="52"/>
  <c r="T320" i="52"/>
  <c r="V321" i="52"/>
  <c r="V320" i="52"/>
  <c r="T321" i="52"/>
  <c r="P42" i="52"/>
  <c r="CT287" i="1"/>
  <c r="CT288" i="1"/>
  <c r="W208" i="1"/>
  <c r="AT287" i="1"/>
  <c r="CH287" i="1" s="1"/>
  <c r="AT288" i="1"/>
  <c r="CH288" i="1" s="1"/>
  <c r="V287" i="1"/>
  <c r="V288" i="1"/>
  <c r="X321" i="52" l="1"/>
  <c r="X320" i="52"/>
  <c r="X42" i="52"/>
  <c r="W287" i="1"/>
  <c r="W288" i="1"/>
  <c r="B443" i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H13" i="1" l="1"/>
  <c r="CT359" i="1"/>
  <c r="CT268" i="1"/>
  <c r="CT261" i="1"/>
  <c r="CT257" i="1"/>
  <c r="CT253" i="1"/>
  <c r="CT225" i="1"/>
  <c r="CT187" i="1"/>
  <c r="CT161" i="1"/>
  <c r="CT155" i="1"/>
  <c r="CT139" i="1"/>
  <c r="CT134" i="1"/>
  <c r="CT133" i="1"/>
  <c r="CT127" i="1"/>
  <c r="CT121" i="1"/>
  <c r="CT119" i="1"/>
  <c r="CT109" i="1"/>
  <c r="CT108" i="1"/>
  <c r="CT104" i="1"/>
  <c r="CT90" i="1"/>
  <c r="CT84" i="1"/>
  <c r="CT67" i="1"/>
  <c r="CT59" i="1"/>
  <c r="CT54" i="1"/>
  <c r="CT51" i="1"/>
  <c r="J118" i="52" l="1"/>
  <c r="DR129" i="1"/>
  <c r="DP129" i="1"/>
  <c r="DO129" i="1"/>
  <c r="DN129" i="1"/>
  <c r="CI129" i="1"/>
  <c r="CA129" i="1"/>
  <c r="L125" i="42" s="1"/>
  <c r="BF129" i="1"/>
  <c r="BD129" i="1"/>
  <c r="AW129" i="1"/>
  <c r="AQ129" i="1"/>
  <c r="AO129" i="1"/>
  <c r="AC129" i="1"/>
  <c r="T129" i="1"/>
  <c r="Q129" i="1"/>
  <c r="G6" i="20"/>
  <c r="H325" i="20" s="1"/>
  <c r="H333" i="20" l="1"/>
  <c r="H30" i="20"/>
  <c r="H408" i="20"/>
  <c r="P153" i="52"/>
  <c r="H317" i="20"/>
  <c r="H280" i="20"/>
  <c r="H574" i="20"/>
  <c r="H135" i="20"/>
  <c r="H134" i="20"/>
  <c r="H243" i="20"/>
  <c r="H244" i="20"/>
  <c r="H559" i="20"/>
  <c r="H558" i="20"/>
  <c r="H452" i="20"/>
  <c r="H123" i="20"/>
  <c r="T153" i="52"/>
  <c r="V153" i="52"/>
  <c r="H546" i="20"/>
  <c r="H545" i="20"/>
  <c r="H547" i="20"/>
  <c r="H455" i="20"/>
  <c r="H456" i="20"/>
  <c r="H454" i="20"/>
  <c r="H398" i="20"/>
  <c r="H320" i="20"/>
  <c r="H319" i="20"/>
  <c r="H375" i="20"/>
  <c r="H376" i="20"/>
  <c r="H92" i="20"/>
  <c r="H64" i="20"/>
  <c r="H570" i="20"/>
  <c r="H50" i="20"/>
  <c r="H51" i="20"/>
  <c r="H53" i="20"/>
  <c r="H301" i="20"/>
  <c r="H160" i="20"/>
  <c r="H161" i="20"/>
  <c r="H159" i="20"/>
  <c r="H533" i="20"/>
  <c r="H534" i="20"/>
  <c r="H442" i="20"/>
  <c r="H381" i="20"/>
  <c r="H382" i="20"/>
  <c r="H248" i="20"/>
  <c r="H391" i="20"/>
  <c r="H419" i="20"/>
  <c r="H303" i="20"/>
  <c r="H304" i="20"/>
  <c r="H296" i="20"/>
  <c r="H297" i="20"/>
  <c r="H234" i="20"/>
  <c r="H364" i="20"/>
  <c r="H365" i="20"/>
  <c r="H277" i="20"/>
  <c r="H278" i="20"/>
  <c r="H322" i="20"/>
  <c r="H166" i="20"/>
  <c r="H121" i="20"/>
  <c r="H290" i="20"/>
  <c r="H230" i="20"/>
  <c r="H440" i="20"/>
  <c r="H438" i="20"/>
  <c r="CT129" i="1"/>
  <c r="CP129" i="1"/>
  <c r="H108" i="20"/>
  <c r="H104" i="20"/>
  <c r="H107" i="20"/>
  <c r="AT129" i="1"/>
  <c r="CH129" i="1" s="1"/>
  <c r="V129" i="1"/>
  <c r="X153" i="52" l="1"/>
  <c r="W129" i="1"/>
  <c r="P204" i="52"/>
  <c r="AZ14" i="1"/>
  <c r="V204" i="52" l="1"/>
  <c r="T204" i="52"/>
  <c r="DR266" i="1"/>
  <c r="DP266" i="1"/>
  <c r="DO266" i="1"/>
  <c r="DN266" i="1"/>
  <c r="CI266" i="1"/>
  <c r="CA266" i="1"/>
  <c r="L262" i="42" s="1"/>
  <c r="BF266" i="1"/>
  <c r="BD266" i="1"/>
  <c r="AW266" i="1"/>
  <c r="AQ266" i="1"/>
  <c r="AO266" i="1"/>
  <c r="AC266" i="1"/>
  <c r="T266" i="1"/>
  <c r="Q266" i="1"/>
  <c r="P298" i="52" l="1"/>
  <c r="X204" i="52"/>
  <c r="V298" i="52"/>
  <c r="T298" i="52"/>
  <c r="CT266" i="1"/>
  <c r="CP266" i="1"/>
  <c r="AT266" i="1"/>
  <c r="CH266" i="1" s="1"/>
  <c r="V266" i="1"/>
  <c r="X298" i="52" l="1"/>
  <c r="W266" i="1"/>
  <c r="G14" i="44"/>
  <c r="H14" i="44" s="1"/>
  <c r="C14" i="44"/>
  <c r="B14" i="44"/>
  <c r="H450" i="20" l="1"/>
  <c r="DR281" i="1"/>
  <c r="DO281" i="1"/>
  <c r="DN281" i="1"/>
  <c r="CI281" i="1"/>
  <c r="CA281" i="1"/>
  <c r="L277" i="42" s="1"/>
  <c r="BF281" i="1"/>
  <c r="BD281" i="1"/>
  <c r="AW281" i="1"/>
  <c r="DP281" i="1"/>
  <c r="AT281" i="1"/>
  <c r="CH281" i="1" s="1"/>
  <c r="AC281" i="1"/>
  <c r="T281" i="1"/>
  <c r="P314" i="52" l="1"/>
  <c r="X314" i="52"/>
  <c r="J220" i="52"/>
  <c r="T314" i="52"/>
  <c r="V281" i="1"/>
  <c r="W281" i="1" s="1"/>
  <c r="CT281" i="1"/>
  <c r="CP281" i="1"/>
  <c r="CO15" i="1"/>
  <c r="Z15" i="1" l="1"/>
  <c r="U15" i="1"/>
  <c r="CA15" i="1"/>
  <c r="BU15" i="1"/>
  <c r="BP15" i="1"/>
  <c r="BO15" i="1"/>
  <c r="BI15" i="1"/>
  <c r="BH15" i="1"/>
  <c r="BG15" i="1"/>
  <c r="BE15" i="1"/>
  <c r="BC15" i="1"/>
  <c r="AV15" i="1"/>
  <c r="AS15" i="1"/>
  <c r="AR15" i="1"/>
  <c r="AP15" i="1"/>
  <c r="AN15" i="1"/>
  <c r="AO109" i="1" l="1"/>
  <c r="AC109" i="1"/>
  <c r="T132" i="52" l="1"/>
  <c r="Q96" i="1"/>
  <c r="DR96" i="1"/>
  <c r="DP96" i="1"/>
  <c r="DO96" i="1"/>
  <c r="DN96" i="1"/>
  <c r="CI96" i="1"/>
  <c r="CA96" i="1"/>
  <c r="L92" i="42" s="1"/>
  <c r="BD96" i="1"/>
  <c r="AQ96" i="1"/>
  <c r="AO96" i="1"/>
  <c r="AC96" i="1"/>
  <c r="T96" i="1"/>
  <c r="E318" i="36"/>
  <c r="D318" i="36"/>
  <c r="C318" i="36"/>
  <c r="B318" i="36"/>
  <c r="E318" i="37"/>
  <c r="D318" i="37"/>
  <c r="C318" i="37"/>
  <c r="B318" i="37"/>
  <c r="A319" i="37"/>
  <c r="A320" i="37" s="1"/>
  <c r="E316" i="40"/>
  <c r="D316" i="40"/>
  <c r="C316" i="40"/>
  <c r="B316" i="40"/>
  <c r="E316" i="41"/>
  <c r="D316" i="41"/>
  <c r="C316" i="41"/>
  <c r="B316" i="41"/>
  <c r="G307" i="44"/>
  <c r="C307" i="44"/>
  <c r="B307" i="44"/>
  <c r="P119" i="52" l="1"/>
  <c r="T119" i="52"/>
  <c r="V119" i="52"/>
  <c r="CT96" i="1"/>
  <c r="AT96" i="1"/>
  <c r="CH96" i="1" s="1"/>
  <c r="V96" i="1"/>
  <c r="X119" i="52" l="1"/>
  <c r="W96" i="1"/>
  <c r="AW45" i="1"/>
  <c r="AW46" i="1"/>
  <c r="AW47" i="1"/>
  <c r="AW48" i="1"/>
  <c r="AW49" i="1"/>
  <c r="AW50" i="1"/>
  <c r="AW51" i="1"/>
  <c r="AW54" i="1"/>
  <c r="AW56" i="1"/>
  <c r="AW57" i="1"/>
  <c r="AW59" i="1"/>
  <c r="AW60" i="1"/>
  <c r="AW61" i="1"/>
  <c r="AW62" i="1"/>
  <c r="AW63" i="1"/>
  <c r="AW64" i="1"/>
  <c r="AW65" i="1"/>
  <c r="AW66" i="1"/>
  <c r="AW67" i="1"/>
  <c r="AW68" i="1"/>
  <c r="AW69" i="1"/>
  <c r="AW71" i="1"/>
  <c r="AW72" i="1"/>
  <c r="AW74" i="1"/>
  <c r="AW75" i="1"/>
  <c r="AW77" i="1"/>
  <c r="AW78" i="1"/>
  <c r="AW82" i="1"/>
  <c r="AW83" i="1"/>
  <c r="AW84" i="1"/>
  <c r="AW86" i="1"/>
  <c r="AW87" i="1"/>
  <c r="AW89" i="1"/>
  <c r="AW90" i="1"/>
  <c r="AW91" i="1"/>
  <c r="AW93" i="1"/>
  <c r="AW98" i="1"/>
  <c r="AW100" i="1"/>
  <c r="AW101" i="1"/>
  <c r="AW103" i="1"/>
  <c r="AW104" i="1"/>
  <c r="AW105" i="1"/>
  <c r="AW106" i="1"/>
  <c r="AW107" i="1"/>
  <c r="AW108" i="1"/>
  <c r="AW109" i="1"/>
  <c r="AW110" i="1"/>
  <c r="AW111" i="1"/>
  <c r="AW112" i="1"/>
  <c r="AW114" i="1"/>
  <c r="AW115" i="1"/>
  <c r="AW116" i="1"/>
  <c r="AW117" i="1"/>
  <c r="AW118" i="1"/>
  <c r="AW119" i="1"/>
  <c r="AW121" i="1"/>
  <c r="AW122" i="1"/>
  <c r="AW123" i="1"/>
  <c r="AW124" i="1"/>
  <c r="AW125" i="1"/>
  <c r="AW127" i="1"/>
  <c r="AW128" i="1"/>
  <c r="AW130" i="1"/>
  <c r="AW131" i="1"/>
  <c r="AW133" i="1"/>
  <c r="AW134" i="1"/>
  <c r="AW135" i="1"/>
  <c r="AW136" i="1"/>
  <c r="AW138" i="1"/>
  <c r="AW139" i="1"/>
  <c r="AW140" i="1"/>
  <c r="AW141" i="1"/>
  <c r="AW142" i="1"/>
  <c r="AW144" i="1"/>
  <c r="AW145" i="1"/>
  <c r="AW146" i="1"/>
  <c r="AW147" i="1"/>
  <c r="AW148" i="1"/>
  <c r="AW149" i="1"/>
  <c r="AW151" i="1"/>
  <c r="AW152" i="1"/>
  <c r="AW153" i="1"/>
  <c r="AW155" i="1"/>
  <c r="AW158" i="1"/>
  <c r="AW159" i="1"/>
  <c r="AW160" i="1"/>
  <c r="AW161" i="1"/>
  <c r="AW163" i="1"/>
  <c r="AW165" i="1"/>
  <c r="AW168" i="1"/>
  <c r="AW169" i="1"/>
  <c r="AW170" i="1"/>
  <c r="AW171" i="1"/>
  <c r="AW174" i="1"/>
  <c r="AW176" i="1"/>
  <c r="AW178" i="1"/>
  <c r="AW182" i="1"/>
  <c r="AW183" i="1"/>
  <c r="AW186" i="1"/>
  <c r="AW187" i="1"/>
  <c r="AW192" i="1"/>
  <c r="AW193" i="1"/>
  <c r="AW197" i="1"/>
  <c r="AW198" i="1"/>
  <c r="AW199" i="1"/>
  <c r="AW202" i="1"/>
  <c r="AW203" i="1"/>
  <c r="AW205" i="1"/>
  <c r="AW206" i="1"/>
  <c r="AW207" i="1"/>
  <c r="AW209" i="1"/>
  <c r="AW213" i="1"/>
  <c r="AW217" i="1"/>
  <c r="AW218" i="1"/>
  <c r="AW223" i="1"/>
  <c r="AW224" i="1"/>
  <c r="AW225" i="1"/>
  <c r="AW226" i="1"/>
  <c r="AW228" i="1"/>
  <c r="AW229" i="1"/>
  <c r="AW233" i="1"/>
  <c r="AW234" i="1"/>
  <c r="AW235" i="1"/>
  <c r="AW236" i="1"/>
  <c r="AW237" i="1"/>
  <c r="AW242" i="1"/>
  <c r="AW243" i="1"/>
  <c r="AW250" i="1"/>
  <c r="AW251" i="1"/>
  <c r="AW252" i="1"/>
  <c r="AW253" i="1"/>
  <c r="AW255" i="1"/>
  <c r="AW256" i="1"/>
  <c r="AW257" i="1"/>
  <c r="AW261" i="1"/>
  <c r="AW262" i="1"/>
  <c r="AW263" i="1"/>
  <c r="AW264" i="1"/>
  <c r="AW265" i="1"/>
  <c r="AW268" i="1"/>
  <c r="AW275" i="1"/>
  <c r="AW277" i="1"/>
  <c r="AW279" i="1"/>
  <c r="AW280" i="1"/>
  <c r="AW283" i="1"/>
  <c r="AW285" i="1"/>
  <c r="AW290" i="1"/>
  <c r="AW291" i="1"/>
  <c r="AW292" i="1"/>
  <c r="AW293" i="1"/>
  <c r="AW294" i="1"/>
  <c r="AW295" i="1"/>
  <c r="AW298" i="1"/>
  <c r="AW300" i="1"/>
  <c r="AW302" i="1"/>
  <c r="AW305" i="1"/>
  <c r="X340" i="58" s="1"/>
  <c r="AW306" i="1"/>
  <c r="AW307" i="1"/>
  <c r="AW308" i="1"/>
  <c r="AW309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6" i="1"/>
  <c r="AW327" i="1"/>
  <c r="AW328" i="1"/>
  <c r="AW329" i="1"/>
  <c r="AW330" i="1"/>
  <c r="AW331" i="1"/>
  <c r="AW333" i="1"/>
  <c r="AW334" i="1"/>
  <c r="AW335" i="1"/>
  <c r="AW336" i="1"/>
  <c r="AW337" i="1"/>
  <c r="AW338" i="1"/>
  <c r="AW339" i="1"/>
  <c r="AW340" i="1"/>
  <c r="AW341" i="1"/>
  <c r="AW343" i="1"/>
  <c r="AW344" i="1"/>
  <c r="AW345" i="1"/>
  <c r="AW347" i="1"/>
  <c r="AW348" i="1"/>
  <c r="AW349" i="1"/>
  <c r="AW355" i="1"/>
  <c r="AW356" i="1"/>
  <c r="AW357" i="1"/>
  <c r="AW358" i="1"/>
  <c r="AW359" i="1"/>
  <c r="AW360" i="1"/>
  <c r="AW361" i="1"/>
  <c r="AW362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8" i="1"/>
  <c r="AW380" i="1"/>
  <c r="AW382" i="1"/>
  <c r="AW385" i="1"/>
  <c r="AW388" i="1"/>
  <c r="AW389" i="1"/>
  <c r="AW391" i="1"/>
  <c r="AW392" i="1"/>
  <c r="AW393" i="1"/>
  <c r="AW394" i="1"/>
  <c r="AW395" i="1"/>
  <c r="AW396" i="1"/>
  <c r="BF257" i="1" l="1"/>
  <c r="BF253" i="1"/>
  <c r="BF225" i="1"/>
  <c r="BF161" i="1"/>
  <c r="BF134" i="1"/>
  <c r="BF133" i="1"/>
  <c r="BF127" i="1"/>
  <c r="H388" i="20" l="1"/>
  <c r="H387" i="20"/>
  <c r="H269" i="20" l="1"/>
  <c r="H268" i="20"/>
  <c r="H62" i="20" l="1"/>
  <c r="E51" i="36" l="1"/>
  <c r="D51" i="36"/>
  <c r="C51" i="36"/>
  <c r="B51" i="36"/>
  <c r="E13" i="36"/>
  <c r="D13" i="36"/>
  <c r="C13" i="36"/>
  <c r="B13" i="36"/>
  <c r="E51" i="37"/>
  <c r="D51" i="37"/>
  <c r="C51" i="37"/>
  <c r="B51" i="37"/>
  <c r="E13" i="37"/>
  <c r="D13" i="37"/>
  <c r="C13" i="37"/>
  <c r="B13" i="37"/>
  <c r="E48" i="40"/>
  <c r="D48" i="40"/>
  <c r="C48" i="40"/>
  <c r="B48" i="40"/>
  <c r="E13" i="40"/>
  <c r="D13" i="40"/>
  <c r="C13" i="40"/>
  <c r="B13" i="40"/>
  <c r="E48" i="41"/>
  <c r="D48" i="41"/>
  <c r="C48" i="41"/>
  <c r="B48" i="41"/>
  <c r="E13" i="41"/>
  <c r="D13" i="41"/>
  <c r="C13" i="41"/>
  <c r="B13" i="41"/>
  <c r="J40" i="42"/>
  <c r="H40" i="42"/>
  <c r="D40" i="42"/>
  <c r="C40" i="42"/>
  <c r="J13" i="42"/>
  <c r="H13" i="42"/>
  <c r="D13" i="42"/>
  <c r="C13" i="42"/>
  <c r="G45" i="44"/>
  <c r="C45" i="44"/>
  <c r="B45" i="44"/>
  <c r="G17" i="44"/>
  <c r="C17" i="44"/>
  <c r="B17" i="44"/>
  <c r="G13" i="44"/>
  <c r="C13" i="44"/>
  <c r="B13" i="44"/>
  <c r="AG399" i="44" l="1"/>
  <c r="AC399" i="44"/>
  <c r="S399" i="44"/>
  <c r="AK398" i="44"/>
  <c r="AH398" i="44"/>
  <c r="AF398" i="44"/>
  <c r="AE398" i="44"/>
  <c r="AD398" i="44"/>
  <c r="AB398" i="44"/>
  <c r="AA398" i="44"/>
  <c r="AI398" i="44" s="1"/>
  <c r="Z398" i="44"/>
  <c r="U398" i="44"/>
  <c r="AK389" i="44"/>
  <c r="AH389" i="44"/>
  <c r="AF389" i="44"/>
  <c r="AE389" i="44"/>
  <c r="AD389" i="44"/>
  <c r="AB389" i="44"/>
  <c r="AA389" i="44"/>
  <c r="AI389" i="44" s="1"/>
  <c r="Z389" i="44"/>
  <c r="U389" i="44"/>
  <c r="AK388" i="44"/>
  <c r="AH388" i="44"/>
  <c r="AF388" i="44"/>
  <c r="AE388" i="44"/>
  <c r="AD388" i="44"/>
  <c r="AB388" i="44"/>
  <c r="AA388" i="44"/>
  <c r="AI388" i="44" s="1"/>
  <c r="Z388" i="44"/>
  <c r="U388" i="44"/>
  <c r="AK387" i="44"/>
  <c r="AH387" i="44"/>
  <c r="AF387" i="44"/>
  <c r="AE387" i="44"/>
  <c r="AD387" i="44"/>
  <c r="AB387" i="44"/>
  <c r="AA387" i="44"/>
  <c r="AI387" i="44" s="1"/>
  <c r="Z387" i="44"/>
  <c r="U387" i="44"/>
  <c r="AK386" i="44"/>
  <c r="AH386" i="44"/>
  <c r="AF386" i="44"/>
  <c r="AE386" i="44"/>
  <c r="AD386" i="44"/>
  <c r="AB386" i="44"/>
  <c r="AA386" i="44"/>
  <c r="AI386" i="44" s="1"/>
  <c r="Z386" i="44"/>
  <c r="U386" i="44"/>
  <c r="AK385" i="44"/>
  <c r="AH385" i="44"/>
  <c r="AF385" i="44"/>
  <c r="AE385" i="44"/>
  <c r="AD385" i="44"/>
  <c r="AB385" i="44"/>
  <c r="AA385" i="44"/>
  <c r="AI385" i="44" s="1"/>
  <c r="Z385" i="44"/>
  <c r="U385" i="44"/>
  <c r="AK384" i="44"/>
  <c r="AH384" i="44"/>
  <c r="AF384" i="44"/>
  <c r="AE384" i="44"/>
  <c r="AD384" i="44"/>
  <c r="AB384" i="44"/>
  <c r="AA384" i="44"/>
  <c r="AI384" i="44" s="1"/>
  <c r="Z384" i="44"/>
  <c r="U384" i="44"/>
  <c r="AK383" i="44"/>
  <c r="AH383" i="44"/>
  <c r="AF383" i="44"/>
  <c r="AE383" i="44"/>
  <c r="AD383" i="44"/>
  <c r="AB383" i="44"/>
  <c r="AA383" i="44"/>
  <c r="AI383" i="44" s="1"/>
  <c r="Z383" i="44"/>
  <c r="U383" i="44"/>
  <c r="AK382" i="44"/>
  <c r="AH382" i="44"/>
  <c r="AF382" i="44"/>
  <c r="AE382" i="44"/>
  <c r="AD382" i="44"/>
  <c r="AB382" i="44"/>
  <c r="AA382" i="44"/>
  <c r="AI382" i="44" s="1"/>
  <c r="Z382" i="44"/>
  <c r="U382" i="44"/>
  <c r="AK381" i="44"/>
  <c r="AH381" i="44"/>
  <c r="AF381" i="44"/>
  <c r="AE381" i="44"/>
  <c r="AD381" i="44"/>
  <c r="AB381" i="44"/>
  <c r="AA381" i="44"/>
  <c r="AI381" i="44" s="1"/>
  <c r="Z381" i="44"/>
  <c r="U381" i="44"/>
  <c r="AK380" i="44"/>
  <c r="AH380" i="44"/>
  <c r="AF380" i="44"/>
  <c r="AE380" i="44"/>
  <c r="AD380" i="44"/>
  <c r="AB380" i="44"/>
  <c r="AA380" i="44"/>
  <c r="AI380" i="44" s="1"/>
  <c r="Z380" i="44"/>
  <c r="U380" i="44"/>
  <c r="AK379" i="44"/>
  <c r="AH379" i="44"/>
  <c r="AF379" i="44"/>
  <c r="AE379" i="44"/>
  <c r="AD379" i="44"/>
  <c r="AB379" i="44"/>
  <c r="AA379" i="44"/>
  <c r="AI379" i="44" s="1"/>
  <c r="Z379" i="44"/>
  <c r="U379" i="44"/>
  <c r="AK378" i="44"/>
  <c r="AH378" i="44"/>
  <c r="AF378" i="44"/>
  <c r="AE378" i="44"/>
  <c r="AD378" i="44"/>
  <c r="AB378" i="44"/>
  <c r="AA378" i="44"/>
  <c r="AI378" i="44" s="1"/>
  <c r="Z378" i="44"/>
  <c r="U378" i="44"/>
  <c r="AK377" i="44"/>
  <c r="AH377" i="44"/>
  <c r="AF377" i="44"/>
  <c r="AE377" i="44"/>
  <c r="AD377" i="44"/>
  <c r="AB377" i="44"/>
  <c r="AA377" i="44"/>
  <c r="AI377" i="44" s="1"/>
  <c r="Z377" i="44"/>
  <c r="U377" i="44"/>
  <c r="AK376" i="44"/>
  <c r="AH376" i="44"/>
  <c r="AF376" i="44"/>
  <c r="AE376" i="44"/>
  <c r="AD376" i="44"/>
  <c r="AB376" i="44"/>
  <c r="AA376" i="44"/>
  <c r="AI376" i="44" s="1"/>
  <c r="Z376" i="44"/>
  <c r="U376" i="44"/>
  <c r="AK375" i="44"/>
  <c r="AH375" i="44"/>
  <c r="AF375" i="44"/>
  <c r="AE375" i="44"/>
  <c r="AD375" i="44"/>
  <c r="AB375" i="44"/>
  <c r="AA375" i="44"/>
  <c r="AI375" i="44" s="1"/>
  <c r="Z375" i="44"/>
  <c r="U375" i="44"/>
  <c r="AK374" i="44"/>
  <c r="AH374" i="44"/>
  <c r="AF374" i="44"/>
  <c r="AE374" i="44"/>
  <c r="AD374" i="44"/>
  <c r="AB374" i="44"/>
  <c r="AA374" i="44"/>
  <c r="AI374" i="44" s="1"/>
  <c r="Z374" i="44"/>
  <c r="U374" i="44"/>
  <c r="AK373" i="44"/>
  <c r="AH373" i="44"/>
  <c r="AF373" i="44"/>
  <c r="AE373" i="44"/>
  <c r="AD373" i="44"/>
  <c r="AB373" i="44"/>
  <c r="AA373" i="44"/>
  <c r="AI373" i="44" s="1"/>
  <c r="Z373" i="44"/>
  <c r="U373" i="44"/>
  <c r="AK372" i="44"/>
  <c r="AH372" i="44"/>
  <c r="AF372" i="44"/>
  <c r="AE372" i="44"/>
  <c r="AD372" i="44"/>
  <c r="AB372" i="44"/>
  <c r="AA372" i="44"/>
  <c r="AI372" i="44" s="1"/>
  <c r="Z372" i="44"/>
  <c r="U372" i="44"/>
  <c r="AK371" i="44"/>
  <c r="AH371" i="44"/>
  <c r="AF371" i="44"/>
  <c r="AE371" i="44"/>
  <c r="AD371" i="44"/>
  <c r="AB371" i="44"/>
  <c r="AA371" i="44"/>
  <c r="AI371" i="44" s="1"/>
  <c r="Z371" i="44"/>
  <c r="U371" i="44"/>
  <c r="AK370" i="44"/>
  <c r="AH370" i="44"/>
  <c r="AF370" i="44"/>
  <c r="AE370" i="44"/>
  <c r="AD370" i="44"/>
  <c r="AB370" i="44"/>
  <c r="AA370" i="44"/>
  <c r="AI370" i="44" s="1"/>
  <c r="Z370" i="44"/>
  <c r="U370" i="44"/>
  <c r="AK369" i="44"/>
  <c r="AH369" i="44"/>
  <c r="AF369" i="44"/>
  <c r="AE369" i="44"/>
  <c r="AD369" i="44"/>
  <c r="AB369" i="44"/>
  <c r="AA369" i="44"/>
  <c r="AI369" i="44" s="1"/>
  <c r="Z369" i="44"/>
  <c r="U369" i="44"/>
  <c r="AK368" i="44"/>
  <c r="AH368" i="44"/>
  <c r="AF368" i="44"/>
  <c r="AE368" i="44"/>
  <c r="AD368" i="44"/>
  <c r="AB368" i="44"/>
  <c r="AA368" i="44"/>
  <c r="AI368" i="44" s="1"/>
  <c r="Z368" i="44"/>
  <c r="U368" i="44"/>
  <c r="AK367" i="44"/>
  <c r="AH367" i="44"/>
  <c r="AF367" i="44"/>
  <c r="AE367" i="44"/>
  <c r="AD367" i="44"/>
  <c r="AB367" i="44"/>
  <c r="AA367" i="44"/>
  <c r="AI367" i="44" s="1"/>
  <c r="Z367" i="44"/>
  <c r="U367" i="44"/>
  <c r="AK366" i="44"/>
  <c r="AH366" i="44"/>
  <c r="AF366" i="44"/>
  <c r="AE366" i="44"/>
  <c r="AD366" i="44"/>
  <c r="AB366" i="44"/>
  <c r="AA366" i="44"/>
  <c r="AI366" i="44" s="1"/>
  <c r="Z366" i="44"/>
  <c r="U366" i="44"/>
  <c r="AK365" i="44"/>
  <c r="AH365" i="44"/>
  <c r="AF365" i="44"/>
  <c r="AE365" i="44"/>
  <c r="AD365" i="44"/>
  <c r="AB365" i="44"/>
  <c r="AA365" i="44"/>
  <c r="AI365" i="44" s="1"/>
  <c r="Z365" i="44"/>
  <c r="U365" i="44"/>
  <c r="AK364" i="44"/>
  <c r="AH364" i="44"/>
  <c r="AF364" i="44"/>
  <c r="AE364" i="44"/>
  <c r="AD364" i="44"/>
  <c r="AB364" i="44"/>
  <c r="AA364" i="44"/>
  <c r="AI364" i="44" s="1"/>
  <c r="Z364" i="44"/>
  <c r="U364" i="44"/>
  <c r="AK363" i="44"/>
  <c r="AH363" i="44"/>
  <c r="AF363" i="44"/>
  <c r="AE363" i="44"/>
  <c r="AD363" i="44"/>
  <c r="AB363" i="44"/>
  <c r="AA363" i="44"/>
  <c r="AI363" i="44" s="1"/>
  <c r="Z363" i="44"/>
  <c r="U363" i="44"/>
  <c r="AK362" i="44"/>
  <c r="AH362" i="44"/>
  <c r="AF362" i="44"/>
  <c r="AE362" i="44"/>
  <c r="AD362" i="44"/>
  <c r="AB362" i="44"/>
  <c r="AA362" i="44"/>
  <c r="AI362" i="44" s="1"/>
  <c r="Z362" i="44"/>
  <c r="U362" i="44"/>
  <c r="AK361" i="44"/>
  <c r="AH361" i="44"/>
  <c r="AF361" i="44"/>
  <c r="AE361" i="44"/>
  <c r="AD361" i="44"/>
  <c r="AB361" i="44"/>
  <c r="AA361" i="44"/>
  <c r="AI361" i="44" s="1"/>
  <c r="Z361" i="44"/>
  <c r="U361" i="44"/>
  <c r="AK360" i="44"/>
  <c r="AH360" i="44"/>
  <c r="AF360" i="44"/>
  <c r="AE360" i="44"/>
  <c r="AD360" i="44"/>
  <c r="AB360" i="44"/>
  <c r="AA360" i="44"/>
  <c r="AI360" i="44" s="1"/>
  <c r="Z360" i="44"/>
  <c r="U360" i="44"/>
  <c r="AK359" i="44"/>
  <c r="AH359" i="44"/>
  <c r="AF359" i="44"/>
  <c r="AE359" i="44"/>
  <c r="AD359" i="44"/>
  <c r="AB359" i="44"/>
  <c r="AA359" i="44"/>
  <c r="AI359" i="44" s="1"/>
  <c r="Z359" i="44"/>
  <c r="U359" i="44"/>
  <c r="AK358" i="44"/>
  <c r="AH358" i="44"/>
  <c r="AF358" i="44"/>
  <c r="AE358" i="44"/>
  <c r="AD358" i="44"/>
  <c r="AB358" i="44"/>
  <c r="AA358" i="44"/>
  <c r="AI358" i="44" s="1"/>
  <c r="Z358" i="44"/>
  <c r="U358" i="44"/>
  <c r="AK357" i="44"/>
  <c r="AH357" i="44"/>
  <c r="AF357" i="44"/>
  <c r="AE357" i="44"/>
  <c r="AD357" i="44"/>
  <c r="AB357" i="44"/>
  <c r="AA357" i="44"/>
  <c r="AI357" i="44" s="1"/>
  <c r="Z357" i="44"/>
  <c r="U357" i="44"/>
  <c r="AK356" i="44"/>
  <c r="AH356" i="44"/>
  <c r="AF356" i="44"/>
  <c r="AE356" i="44"/>
  <c r="AD356" i="44"/>
  <c r="AB356" i="44"/>
  <c r="AA356" i="44"/>
  <c r="AI356" i="44" s="1"/>
  <c r="Z356" i="44"/>
  <c r="U356" i="44"/>
  <c r="AK355" i="44"/>
  <c r="AH355" i="44"/>
  <c r="AF355" i="44"/>
  <c r="AE355" i="44"/>
  <c r="AD355" i="44"/>
  <c r="AB355" i="44"/>
  <c r="AA355" i="44"/>
  <c r="AI355" i="44" s="1"/>
  <c r="Z355" i="44"/>
  <c r="U355" i="44"/>
  <c r="AK354" i="44"/>
  <c r="AH354" i="44"/>
  <c r="AF354" i="44"/>
  <c r="AE354" i="44"/>
  <c r="AD354" i="44"/>
  <c r="AB354" i="44"/>
  <c r="AA354" i="44"/>
  <c r="AI354" i="44" s="1"/>
  <c r="Z354" i="44"/>
  <c r="U354" i="44"/>
  <c r="AK353" i="44"/>
  <c r="AH353" i="44"/>
  <c r="AF353" i="44"/>
  <c r="AE353" i="44"/>
  <c r="AD353" i="44"/>
  <c r="AB353" i="44"/>
  <c r="AA353" i="44"/>
  <c r="AI353" i="44" s="1"/>
  <c r="Z353" i="44"/>
  <c r="U353" i="44"/>
  <c r="AK352" i="44"/>
  <c r="AH352" i="44"/>
  <c r="AF352" i="44"/>
  <c r="AE352" i="44"/>
  <c r="AD352" i="44"/>
  <c r="AB352" i="44"/>
  <c r="AA352" i="44"/>
  <c r="AI352" i="44" s="1"/>
  <c r="Z352" i="44"/>
  <c r="U352" i="44"/>
  <c r="AK351" i="44"/>
  <c r="AH351" i="44"/>
  <c r="AF351" i="44"/>
  <c r="AE351" i="44"/>
  <c r="AD351" i="44"/>
  <c r="AB351" i="44"/>
  <c r="AA351" i="44"/>
  <c r="AI351" i="44" s="1"/>
  <c r="Z351" i="44"/>
  <c r="U351" i="44"/>
  <c r="AK350" i="44"/>
  <c r="AH350" i="44"/>
  <c r="AF350" i="44"/>
  <c r="AE350" i="44"/>
  <c r="AD350" i="44"/>
  <c r="AB350" i="44"/>
  <c r="AA350" i="44"/>
  <c r="AI350" i="44" s="1"/>
  <c r="Z350" i="44"/>
  <c r="U350" i="44"/>
  <c r="AK349" i="44"/>
  <c r="AH349" i="44"/>
  <c r="AF349" i="44"/>
  <c r="AE349" i="44"/>
  <c r="AD349" i="44"/>
  <c r="AB349" i="44"/>
  <c r="AA349" i="44"/>
  <c r="AI349" i="44" s="1"/>
  <c r="Z349" i="44"/>
  <c r="U349" i="44"/>
  <c r="AK348" i="44"/>
  <c r="AH348" i="44"/>
  <c r="AF348" i="44"/>
  <c r="AE348" i="44"/>
  <c r="AD348" i="44"/>
  <c r="AB348" i="44"/>
  <c r="AA348" i="44"/>
  <c r="AI348" i="44" s="1"/>
  <c r="Z348" i="44"/>
  <c r="U348" i="44"/>
  <c r="AK347" i="44"/>
  <c r="AH347" i="44"/>
  <c r="AF347" i="44"/>
  <c r="AE347" i="44"/>
  <c r="AD347" i="44"/>
  <c r="AB347" i="44"/>
  <c r="AA347" i="44"/>
  <c r="AI347" i="44" s="1"/>
  <c r="Z347" i="44"/>
  <c r="U347" i="44"/>
  <c r="AK346" i="44"/>
  <c r="AH346" i="44"/>
  <c r="AF346" i="44"/>
  <c r="AE346" i="44"/>
  <c r="AD346" i="44"/>
  <c r="AB346" i="44"/>
  <c r="AA346" i="44"/>
  <c r="AI346" i="44" s="1"/>
  <c r="Z346" i="44"/>
  <c r="U346" i="44"/>
  <c r="AK345" i="44"/>
  <c r="AH345" i="44"/>
  <c r="AF345" i="44"/>
  <c r="AE345" i="44"/>
  <c r="AD345" i="44"/>
  <c r="AB345" i="44"/>
  <c r="AA345" i="44"/>
  <c r="AI345" i="44" s="1"/>
  <c r="Z345" i="44"/>
  <c r="U345" i="44"/>
  <c r="AK344" i="44"/>
  <c r="AH344" i="44"/>
  <c r="AF344" i="44"/>
  <c r="AE344" i="44"/>
  <c r="AD344" i="44"/>
  <c r="AB344" i="44"/>
  <c r="AA344" i="44"/>
  <c r="AI344" i="44" s="1"/>
  <c r="Z344" i="44"/>
  <c r="U344" i="44"/>
  <c r="AK343" i="44"/>
  <c r="AH343" i="44"/>
  <c r="AF343" i="44"/>
  <c r="AE343" i="44"/>
  <c r="AD343" i="44"/>
  <c r="AB343" i="44"/>
  <c r="AA343" i="44"/>
  <c r="AI343" i="44" s="1"/>
  <c r="Z343" i="44"/>
  <c r="U343" i="44"/>
  <c r="AK342" i="44"/>
  <c r="AH342" i="44"/>
  <c r="AF342" i="44"/>
  <c r="AE342" i="44"/>
  <c r="AD342" i="44"/>
  <c r="AB342" i="44"/>
  <c r="AA342" i="44"/>
  <c r="AI342" i="44" s="1"/>
  <c r="Z342" i="44"/>
  <c r="U342" i="44"/>
  <c r="AK341" i="44"/>
  <c r="AH341" i="44"/>
  <c r="AF341" i="44"/>
  <c r="AE341" i="44"/>
  <c r="AD341" i="44"/>
  <c r="AB341" i="44"/>
  <c r="AA341" i="44"/>
  <c r="AI341" i="44" s="1"/>
  <c r="Z341" i="44"/>
  <c r="U341" i="44"/>
  <c r="AK340" i="44"/>
  <c r="AH340" i="44"/>
  <c r="AF340" i="44"/>
  <c r="AE340" i="44"/>
  <c r="AD340" i="44"/>
  <c r="AB340" i="44"/>
  <c r="AA340" i="44"/>
  <c r="AI340" i="44" s="1"/>
  <c r="Z340" i="44"/>
  <c r="U340" i="44"/>
  <c r="AK339" i="44"/>
  <c r="AH339" i="44"/>
  <c r="AF339" i="44"/>
  <c r="AE339" i="44"/>
  <c r="AD339" i="44"/>
  <c r="AB339" i="44"/>
  <c r="AA339" i="44"/>
  <c r="AI339" i="44" s="1"/>
  <c r="Z339" i="44"/>
  <c r="U339" i="44"/>
  <c r="AK338" i="44"/>
  <c r="AH338" i="44"/>
  <c r="AF338" i="44"/>
  <c r="AE338" i="44"/>
  <c r="AD338" i="44"/>
  <c r="AB338" i="44"/>
  <c r="AA338" i="44"/>
  <c r="AI338" i="44" s="1"/>
  <c r="Z338" i="44"/>
  <c r="U338" i="44"/>
  <c r="AK337" i="44"/>
  <c r="AH337" i="44"/>
  <c r="AF337" i="44"/>
  <c r="AE337" i="44"/>
  <c r="AD337" i="44"/>
  <c r="AB337" i="44"/>
  <c r="AA337" i="44"/>
  <c r="AI337" i="44" s="1"/>
  <c r="Z337" i="44"/>
  <c r="U337" i="44"/>
  <c r="AK336" i="44"/>
  <c r="AH336" i="44"/>
  <c r="AF336" i="44"/>
  <c r="AE336" i="44"/>
  <c r="AD336" i="44"/>
  <c r="AB336" i="44"/>
  <c r="AA336" i="44"/>
  <c r="AI336" i="44" s="1"/>
  <c r="Z336" i="44"/>
  <c r="U336" i="44"/>
  <c r="AK335" i="44"/>
  <c r="AH335" i="44"/>
  <c r="AF335" i="44"/>
  <c r="AE335" i="44"/>
  <c r="AD335" i="44"/>
  <c r="AB335" i="44"/>
  <c r="AA335" i="44"/>
  <c r="AI335" i="44" s="1"/>
  <c r="Z335" i="44"/>
  <c r="U335" i="44"/>
  <c r="AK334" i="44"/>
  <c r="AH334" i="44"/>
  <c r="AF334" i="44"/>
  <c r="AE334" i="44"/>
  <c r="AD334" i="44"/>
  <c r="AB334" i="44"/>
  <c r="AA334" i="44"/>
  <c r="AI334" i="44" s="1"/>
  <c r="Z334" i="44"/>
  <c r="U334" i="44"/>
  <c r="AK333" i="44"/>
  <c r="AH333" i="44"/>
  <c r="AF333" i="44"/>
  <c r="AE333" i="44"/>
  <c r="AD333" i="44"/>
  <c r="AB333" i="44"/>
  <c r="AA333" i="44"/>
  <c r="AI333" i="44" s="1"/>
  <c r="Z333" i="44"/>
  <c r="U333" i="44"/>
  <c r="AK332" i="44"/>
  <c r="AH332" i="44"/>
  <c r="AF332" i="44"/>
  <c r="AE332" i="44"/>
  <c r="AD332" i="44"/>
  <c r="AB332" i="44"/>
  <c r="AA332" i="44"/>
  <c r="AI332" i="44" s="1"/>
  <c r="Z332" i="44"/>
  <c r="U332" i="44"/>
  <c r="AK331" i="44"/>
  <c r="AH331" i="44"/>
  <c r="AF331" i="44"/>
  <c r="AE331" i="44"/>
  <c r="AD331" i="44"/>
  <c r="AB331" i="44"/>
  <c r="AA331" i="44"/>
  <c r="AI331" i="44" s="1"/>
  <c r="Z331" i="44"/>
  <c r="U331" i="44"/>
  <c r="AK330" i="44"/>
  <c r="AH330" i="44"/>
  <c r="AF330" i="44"/>
  <c r="AE330" i="44"/>
  <c r="AD330" i="44"/>
  <c r="AB330" i="44"/>
  <c r="AA330" i="44"/>
  <c r="AI330" i="44" s="1"/>
  <c r="Z330" i="44"/>
  <c r="U330" i="44"/>
  <c r="AK329" i="44"/>
  <c r="AH329" i="44"/>
  <c r="AF329" i="44"/>
  <c r="AE329" i="44"/>
  <c r="AD329" i="44"/>
  <c r="AB329" i="44"/>
  <c r="AA329" i="44"/>
  <c r="AI329" i="44" s="1"/>
  <c r="Z329" i="44"/>
  <c r="U329" i="44"/>
  <c r="AK328" i="44"/>
  <c r="AH328" i="44"/>
  <c r="AF328" i="44"/>
  <c r="AE328" i="44"/>
  <c r="AD328" i="44"/>
  <c r="AB328" i="44"/>
  <c r="AA328" i="44"/>
  <c r="AI328" i="44" s="1"/>
  <c r="Z328" i="44"/>
  <c r="U328" i="44"/>
  <c r="AK327" i="44"/>
  <c r="AH327" i="44"/>
  <c r="AF327" i="44"/>
  <c r="AE327" i="44"/>
  <c r="AD327" i="44"/>
  <c r="AB327" i="44"/>
  <c r="AA327" i="44"/>
  <c r="AI327" i="44" s="1"/>
  <c r="Z327" i="44"/>
  <c r="U327" i="44"/>
  <c r="AK326" i="44"/>
  <c r="AH326" i="44"/>
  <c r="AF326" i="44"/>
  <c r="AE326" i="44"/>
  <c r="AD326" i="44"/>
  <c r="AB326" i="44"/>
  <c r="AA326" i="44"/>
  <c r="AI326" i="44" s="1"/>
  <c r="Z326" i="44"/>
  <c r="U326" i="44"/>
  <c r="AK325" i="44"/>
  <c r="AH325" i="44"/>
  <c r="AF325" i="44"/>
  <c r="AE325" i="44"/>
  <c r="AD325" i="44"/>
  <c r="AB325" i="44"/>
  <c r="AA325" i="44"/>
  <c r="AI325" i="44" s="1"/>
  <c r="Z325" i="44"/>
  <c r="U325" i="44"/>
  <c r="AK324" i="44"/>
  <c r="AH324" i="44"/>
  <c r="AF324" i="44"/>
  <c r="AE324" i="44"/>
  <c r="AD324" i="44"/>
  <c r="AB324" i="44"/>
  <c r="AA324" i="44"/>
  <c r="AI324" i="44" s="1"/>
  <c r="Z324" i="44"/>
  <c r="U324" i="44"/>
  <c r="AK323" i="44"/>
  <c r="AH323" i="44"/>
  <c r="AF323" i="44"/>
  <c r="AE323" i="44"/>
  <c r="AD323" i="44"/>
  <c r="AB323" i="44"/>
  <c r="AA323" i="44"/>
  <c r="AI323" i="44" s="1"/>
  <c r="Z323" i="44"/>
  <c r="U323" i="44"/>
  <c r="AK322" i="44"/>
  <c r="AH322" i="44"/>
  <c r="AF322" i="44"/>
  <c r="AE322" i="44"/>
  <c r="AD322" i="44"/>
  <c r="AB322" i="44"/>
  <c r="AA322" i="44"/>
  <c r="AI322" i="44" s="1"/>
  <c r="Z322" i="44"/>
  <c r="U322" i="44"/>
  <c r="AK321" i="44"/>
  <c r="AH321" i="44"/>
  <c r="AF321" i="44"/>
  <c r="AE321" i="44"/>
  <c r="AD321" i="44"/>
  <c r="AB321" i="44"/>
  <c r="AA321" i="44"/>
  <c r="AI321" i="44" s="1"/>
  <c r="Z321" i="44"/>
  <c r="U321" i="44"/>
  <c r="AK320" i="44"/>
  <c r="AH320" i="44"/>
  <c r="AF320" i="44"/>
  <c r="AE320" i="44"/>
  <c r="AD320" i="44"/>
  <c r="AB320" i="44"/>
  <c r="AA320" i="44"/>
  <c r="AI320" i="44" s="1"/>
  <c r="Z320" i="44"/>
  <c r="U320" i="44"/>
  <c r="AK319" i="44"/>
  <c r="AH319" i="44"/>
  <c r="AF319" i="44"/>
  <c r="AE319" i="44"/>
  <c r="AD319" i="44"/>
  <c r="AB319" i="44"/>
  <c r="AA319" i="44"/>
  <c r="AI319" i="44" s="1"/>
  <c r="Z319" i="44"/>
  <c r="U319" i="44"/>
  <c r="AK318" i="44"/>
  <c r="AH318" i="44"/>
  <c r="AF318" i="44"/>
  <c r="AE318" i="44"/>
  <c r="AD318" i="44"/>
  <c r="AB318" i="44"/>
  <c r="AA318" i="44"/>
  <c r="AI318" i="44" s="1"/>
  <c r="Z318" i="44"/>
  <c r="U318" i="44"/>
  <c r="AK317" i="44"/>
  <c r="AH317" i="44"/>
  <c r="AF317" i="44"/>
  <c r="AE317" i="44"/>
  <c r="AD317" i="44"/>
  <c r="AB317" i="44"/>
  <c r="AA317" i="44"/>
  <c r="AI317" i="44" s="1"/>
  <c r="Z317" i="44"/>
  <c r="U317" i="44"/>
  <c r="AK316" i="44"/>
  <c r="AH316" i="44"/>
  <c r="AF316" i="44"/>
  <c r="AE316" i="44"/>
  <c r="AD316" i="44"/>
  <c r="AB316" i="44"/>
  <c r="AA316" i="44"/>
  <c r="AI316" i="44" s="1"/>
  <c r="Z316" i="44"/>
  <c r="U316" i="44"/>
  <c r="AK315" i="44"/>
  <c r="AH315" i="44"/>
  <c r="AF315" i="44"/>
  <c r="AE315" i="44"/>
  <c r="AD315" i="44"/>
  <c r="AB315" i="44"/>
  <c r="AA315" i="44"/>
  <c r="AI315" i="44" s="1"/>
  <c r="Z315" i="44"/>
  <c r="U315" i="44"/>
  <c r="AK314" i="44"/>
  <c r="AH314" i="44"/>
  <c r="AF314" i="44"/>
  <c r="AE314" i="44"/>
  <c r="AD314" i="44"/>
  <c r="AB314" i="44"/>
  <c r="AA314" i="44"/>
  <c r="AI314" i="44" s="1"/>
  <c r="Z314" i="44"/>
  <c r="U314" i="44"/>
  <c r="AK313" i="44"/>
  <c r="AH313" i="44"/>
  <c r="AF313" i="44"/>
  <c r="AE313" i="44"/>
  <c r="AD313" i="44"/>
  <c r="AB313" i="44"/>
  <c r="AA313" i="44"/>
  <c r="AI313" i="44" s="1"/>
  <c r="Z313" i="44"/>
  <c r="U313" i="44"/>
  <c r="AK312" i="44"/>
  <c r="AH312" i="44"/>
  <c r="AF312" i="44"/>
  <c r="AE312" i="44"/>
  <c r="AD312" i="44"/>
  <c r="AB312" i="44"/>
  <c r="AA312" i="44"/>
  <c r="AI312" i="44" s="1"/>
  <c r="Z312" i="44"/>
  <c r="U312" i="44"/>
  <c r="AK311" i="44"/>
  <c r="AH311" i="44"/>
  <c r="AF311" i="44"/>
  <c r="AE311" i="44"/>
  <c r="AD311" i="44"/>
  <c r="AB311" i="44"/>
  <c r="AA311" i="44"/>
  <c r="AI311" i="44" s="1"/>
  <c r="Z311" i="44"/>
  <c r="U311" i="44"/>
  <c r="AK310" i="44"/>
  <c r="AH310" i="44"/>
  <c r="AF310" i="44"/>
  <c r="AE310" i="44"/>
  <c r="AD310" i="44"/>
  <c r="AB310" i="44"/>
  <c r="AA310" i="44"/>
  <c r="AI310" i="44" s="1"/>
  <c r="Z310" i="44"/>
  <c r="U310" i="44"/>
  <c r="AK309" i="44"/>
  <c r="AH309" i="44"/>
  <c r="AF309" i="44"/>
  <c r="AE309" i="44"/>
  <c r="AD309" i="44"/>
  <c r="AB309" i="44"/>
  <c r="AA309" i="44"/>
  <c r="AI309" i="44" s="1"/>
  <c r="Z309" i="44"/>
  <c r="U309" i="44"/>
  <c r="AK308" i="44"/>
  <c r="AH308" i="44"/>
  <c r="AF308" i="44"/>
  <c r="AE308" i="44"/>
  <c r="AD308" i="44"/>
  <c r="AB308" i="44"/>
  <c r="AA308" i="44"/>
  <c r="AI308" i="44" s="1"/>
  <c r="Z308" i="44"/>
  <c r="U308" i="44"/>
  <c r="A308" i="44"/>
  <c r="A309" i="44" s="1"/>
  <c r="A310" i="44" s="1"/>
  <c r="A311" i="44" s="1"/>
  <c r="A312" i="44" s="1"/>
  <c r="A313" i="44" s="1"/>
  <c r="A314" i="44" s="1"/>
  <c r="A315" i="44" s="1"/>
  <c r="A316" i="44" s="1"/>
  <c r="A317" i="44" s="1"/>
  <c r="A318" i="44" s="1"/>
  <c r="A319" i="44" s="1"/>
  <c r="A320" i="44" s="1"/>
  <c r="A321" i="44" s="1"/>
  <c r="A322" i="44" s="1"/>
  <c r="A323" i="44" s="1"/>
  <c r="A324" i="44" s="1"/>
  <c r="A325" i="44" s="1"/>
  <c r="A326" i="44" s="1"/>
  <c r="A327" i="44" s="1"/>
  <c r="A328" i="44" s="1"/>
  <c r="A329" i="44" s="1"/>
  <c r="A330" i="44" s="1"/>
  <c r="A331" i="44" s="1"/>
  <c r="A332" i="44" s="1"/>
  <c r="A333" i="44" s="1"/>
  <c r="A334" i="44" s="1"/>
  <c r="A335" i="44" s="1"/>
  <c r="A336" i="44" s="1"/>
  <c r="A337" i="44" s="1"/>
  <c r="A338" i="44" s="1"/>
  <c r="A339" i="44" s="1"/>
  <c r="A340" i="44" s="1"/>
  <c r="A341" i="44" s="1"/>
  <c r="A342" i="44" s="1"/>
  <c r="A343" i="44" s="1"/>
  <c r="A344" i="44" s="1"/>
  <c r="A345" i="44" s="1"/>
  <c r="A346" i="44" s="1"/>
  <c r="A347" i="44" s="1"/>
  <c r="A348" i="44" s="1"/>
  <c r="A349" i="44" s="1"/>
  <c r="A350" i="44" s="1"/>
  <c r="A351" i="44" s="1"/>
  <c r="A352" i="44" s="1"/>
  <c r="A353" i="44" s="1"/>
  <c r="A354" i="44" s="1"/>
  <c r="A355" i="44" s="1"/>
  <c r="A356" i="44" s="1"/>
  <c r="A357" i="44" s="1"/>
  <c r="A358" i="44" s="1"/>
  <c r="A359" i="44" s="1"/>
  <c r="A360" i="44" s="1"/>
  <c r="A361" i="44" s="1"/>
  <c r="A362" i="44" s="1"/>
  <c r="A363" i="44" s="1"/>
  <c r="A364" i="44" s="1"/>
  <c r="A365" i="44" s="1"/>
  <c r="A366" i="44" s="1"/>
  <c r="A367" i="44" s="1"/>
  <c r="A368" i="44" s="1"/>
  <c r="A369" i="44" s="1"/>
  <c r="A370" i="44" s="1"/>
  <c r="A371" i="44" s="1"/>
  <c r="A372" i="44" s="1"/>
  <c r="A373" i="44" s="1"/>
  <c r="A374" i="44" s="1"/>
  <c r="A375" i="44" s="1"/>
  <c r="A376" i="44" s="1"/>
  <c r="A377" i="44" s="1"/>
  <c r="A378" i="44" s="1"/>
  <c r="A379" i="44" s="1"/>
  <c r="A380" i="44" s="1"/>
  <c r="A381" i="44" s="1"/>
  <c r="A382" i="44" s="1"/>
  <c r="A383" i="44" s="1"/>
  <c r="A384" i="44" s="1"/>
  <c r="A385" i="44" s="1"/>
  <c r="A386" i="44" s="1"/>
  <c r="A387" i="44" s="1"/>
  <c r="A388" i="44" s="1"/>
  <c r="A389" i="44" s="1"/>
  <c r="A390" i="44" s="1"/>
  <c r="A391" i="44" s="1"/>
  <c r="A392" i="44" s="1"/>
  <c r="A393" i="44" s="1"/>
  <c r="A394" i="44" s="1"/>
  <c r="A395" i="44" s="1"/>
  <c r="A396" i="44" s="1"/>
  <c r="A397" i="44" s="1"/>
  <c r="A398" i="44" s="1"/>
  <c r="AK307" i="44"/>
  <c r="AH307" i="44"/>
  <c r="AH399" i="44" s="1"/>
  <c r="AF307" i="44"/>
  <c r="AF399" i="44" s="1"/>
  <c r="AE307" i="44"/>
  <c r="AE399" i="44" s="1"/>
  <c r="AD307" i="44"/>
  <c r="AD399" i="44" s="1"/>
  <c r="AB307" i="44"/>
  <c r="AB399" i="44" s="1"/>
  <c r="AA307" i="44"/>
  <c r="AA399" i="44" s="1"/>
  <c r="Z307" i="44"/>
  <c r="Z399" i="44" s="1"/>
  <c r="U307" i="44"/>
  <c r="U399" i="44" s="1"/>
  <c r="H307" i="44"/>
  <c r="AC304" i="44"/>
  <c r="S304" i="44"/>
  <c r="AK303" i="44"/>
  <c r="AH303" i="44"/>
  <c r="AF303" i="44"/>
  <c r="AE303" i="44"/>
  <c r="AD303" i="44"/>
  <c r="AB303" i="44"/>
  <c r="AA303" i="44"/>
  <c r="AI303" i="44" s="1"/>
  <c r="Z303" i="44"/>
  <c r="U303" i="44"/>
  <c r="AK278" i="44"/>
  <c r="AH278" i="44"/>
  <c r="AF278" i="44"/>
  <c r="AE278" i="44"/>
  <c r="AD278" i="44"/>
  <c r="AB278" i="44"/>
  <c r="AA278" i="44"/>
  <c r="AI278" i="44" s="1"/>
  <c r="Z278" i="44"/>
  <c r="U278" i="44"/>
  <c r="AK277" i="44"/>
  <c r="AH277" i="44"/>
  <c r="AF277" i="44"/>
  <c r="AE277" i="44"/>
  <c r="AD277" i="44"/>
  <c r="AB277" i="44"/>
  <c r="AA277" i="44"/>
  <c r="AI277" i="44" s="1"/>
  <c r="Z277" i="44"/>
  <c r="U277" i="44"/>
  <c r="AK276" i="44"/>
  <c r="AH276" i="44"/>
  <c r="AF276" i="44"/>
  <c r="AE276" i="44"/>
  <c r="AD276" i="44"/>
  <c r="AB276" i="44"/>
  <c r="AA276" i="44"/>
  <c r="AI276" i="44" s="1"/>
  <c r="Z276" i="44"/>
  <c r="U276" i="44"/>
  <c r="AK275" i="44"/>
  <c r="AH275" i="44"/>
  <c r="AF275" i="44"/>
  <c r="AE275" i="44"/>
  <c r="AD275" i="44"/>
  <c r="AB275" i="44"/>
  <c r="AA275" i="44"/>
  <c r="AI275" i="44" s="1"/>
  <c r="Z275" i="44"/>
  <c r="U275" i="44"/>
  <c r="AK274" i="44"/>
  <c r="AH274" i="44"/>
  <c r="AF274" i="44"/>
  <c r="AE274" i="44"/>
  <c r="AD274" i="44"/>
  <c r="AB274" i="44"/>
  <c r="AA274" i="44"/>
  <c r="AI274" i="44" s="1"/>
  <c r="Z274" i="44"/>
  <c r="U274" i="44"/>
  <c r="AK273" i="44"/>
  <c r="AH273" i="44"/>
  <c r="AF273" i="44"/>
  <c r="AE273" i="44"/>
  <c r="AD273" i="44"/>
  <c r="AB273" i="44"/>
  <c r="AA273" i="44"/>
  <c r="AI273" i="44" s="1"/>
  <c r="Z273" i="44"/>
  <c r="U273" i="44"/>
  <c r="AK272" i="44"/>
  <c r="AH272" i="44"/>
  <c r="AF272" i="44"/>
  <c r="AE272" i="44"/>
  <c r="AD272" i="44"/>
  <c r="AB272" i="44"/>
  <c r="AA272" i="44"/>
  <c r="AI272" i="44" s="1"/>
  <c r="Z272" i="44"/>
  <c r="U272" i="44"/>
  <c r="AK271" i="44"/>
  <c r="AH271" i="44"/>
  <c r="AF271" i="44"/>
  <c r="AE271" i="44"/>
  <c r="AD271" i="44"/>
  <c r="AB271" i="44"/>
  <c r="AA271" i="44"/>
  <c r="AI271" i="44" s="1"/>
  <c r="Z271" i="44"/>
  <c r="U271" i="44"/>
  <c r="AK270" i="44"/>
  <c r="AH270" i="44"/>
  <c r="AF270" i="44"/>
  <c r="AE270" i="44"/>
  <c r="AD270" i="44"/>
  <c r="AB270" i="44"/>
  <c r="AA270" i="44"/>
  <c r="AI270" i="44" s="1"/>
  <c r="Z270" i="44"/>
  <c r="U270" i="44"/>
  <c r="AK269" i="44"/>
  <c r="AH269" i="44"/>
  <c r="AF269" i="44"/>
  <c r="AE269" i="44"/>
  <c r="AD269" i="44"/>
  <c r="AB269" i="44"/>
  <c r="AA269" i="44"/>
  <c r="AI269" i="44" s="1"/>
  <c r="Z269" i="44"/>
  <c r="U269" i="44"/>
  <c r="AK268" i="44"/>
  <c r="AH268" i="44"/>
  <c r="AF268" i="44"/>
  <c r="AE268" i="44"/>
  <c r="AD268" i="44"/>
  <c r="AB268" i="44"/>
  <c r="AA268" i="44"/>
  <c r="AI268" i="44" s="1"/>
  <c r="Z268" i="44"/>
  <c r="U268" i="44"/>
  <c r="AK267" i="44"/>
  <c r="AH267" i="44"/>
  <c r="AF267" i="44"/>
  <c r="AE267" i="44"/>
  <c r="AD267" i="44"/>
  <c r="AB267" i="44"/>
  <c r="AA267" i="44"/>
  <c r="AI267" i="44" s="1"/>
  <c r="Z267" i="44"/>
  <c r="U267" i="44"/>
  <c r="AK266" i="44"/>
  <c r="AH266" i="44"/>
  <c r="AF266" i="44"/>
  <c r="AE266" i="44"/>
  <c r="AD266" i="44"/>
  <c r="AB266" i="44"/>
  <c r="AA266" i="44"/>
  <c r="AI266" i="44" s="1"/>
  <c r="Z266" i="44"/>
  <c r="U266" i="44"/>
  <c r="AK265" i="44"/>
  <c r="AH265" i="44"/>
  <c r="AF265" i="44"/>
  <c r="AE265" i="44"/>
  <c r="AD265" i="44"/>
  <c r="AB265" i="44"/>
  <c r="AA265" i="44"/>
  <c r="AI265" i="44" s="1"/>
  <c r="Z265" i="44"/>
  <c r="U265" i="44"/>
  <c r="AK264" i="44"/>
  <c r="AH264" i="44"/>
  <c r="AF264" i="44"/>
  <c r="AE264" i="44"/>
  <c r="AD264" i="44"/>
  <c r="AB264" i="44"/>
  <c r="AA264" i="44"/>
  <c r="AI264" i="44" s="1"/>
  <c r="Z264" i="44"/>
  <c r="U264" i="44"/>
  <c r="AK263" i="44"/>
  <c r="AH263" i="44"/>
  <c r="AF263" i="44"/>
  <c r="AE263" i="44"/>
  <c r="AD263" i="44"/>
  <c r="AB263" i="44"/>
  <c r="AA263" i="44"/>
  <c r="AI263" i="44" s="1"/>
  <c r="Z263" i="44"/>
  <c r="U263" i="44"/>
  <c r="AK262" i="44"/>
  <c r="AH262" i="44"/>
  <c r="AF262" i="44"/>
  <c r="AE262" i="44"/>
  <c r="AD262" i="44"/>
  <c r="AB262" i="44"/>
  <c r="AA262" i="44"/>
  <c r="AI262" i="44" s="1"/>
  <c r="Z262" i="44"/>
  <c r="U262" i="44"/>
  <c r="AK261" i="44"/>
  <c r="AH261" i="44"/>
  <c r="AF261" i="44"/>
  <c r="AE261" i="44"/>
  <c r="AD261" i="44"/>
  <c r="AB261" i="44"/>
  <c r="AA261" i="44"/>
  <c r="AI261" i="44" s="1"/>
  <c r="Z261" i="44"/>
  <c r="U261" i="44"/>
  <c r="AK260" i="44"/>
  <c r="AH260" i="44"/>
  <c r="AF260" i="44"/>
  <c r="AE260" i="44"/>
  <c r="AD260" i="44"/>
  <c r="AB260" i="44"/>
  <c r="AA260" i="44"/>
  <c r="AI260" i="44" s="1"/>
  <c r="Z260" i="44"/>
  <c r="U260" i="44"/>
  <c r="AK259" i="44"/>
  <c r="AH259" i="44"/>
  <c r="AF259" i="44"/>
  <c r="AE259" i="44"/>
  <c r="AD259" i="44"/>
  <c r="AB259" i="44"/>
  <c r="AA259" i="44"/>
  <c r="AI259" i="44" s="1"/>
  <c r="Z259" i="44"/>
  <c r="U259" i="44"/>
  <c r="AK258" i="44"/>
  <c r="AH258" i="44"/>
  <c r="AF258" i="44"/>
  <c r="AE258" i="44"/>
  <c r="AD258" i="44"/>
  <c r="AB258" i="44"/>
  <c r="AA258" i="44"/>
  <c r="AI258" i="44" s="1"/>
  <c r="Z258" i="44"/>
  <c r="U258" i="44"/>
  <c r="AK257" i="44"/>
  <c r="AH257" i="44"/>
  <c r="AF257" i="44"/>
  <c r="AE257" i="44"/>
  <c r="AD257" i="44"/>
  <c r="AB257" i="44"/>
  <c r="AA257" i="44"/>
  <c r="AI257" i="44" s="1"/>
  <c r="Z257" i="44"/>
  <c r="U257" i="44"/>
  <c r="AK256" i="44"/>
  <c r="AH256" i="44"/>
  <c r="AF256" i="44"/>
  <c r="AE256" i="44"/>
  <c r="AD256" i="44"/>
  <c r="AB256" i="44"/>
  <c r="AA256" i="44"/>
  <c r="AI256" i="44" s="1"/>
  <c r="Z256" i="44"/>
  <c r="U256" i="44"/>
  <c r="AK255" i="44"/>
  <c r="AH255" i="44"/>
  <c r="AF255" i="44"/>
  <c r="AE255" i="44"/>
  <c r="AD255" i="44"/>
  <c r="AB255" i="44"/>
  <c r="AA255" i="44"/>
  <c r="AI255" i="44" s="1"/>
  <c r="Z255" i="44"/>
  <c r="U255" i="44"/>
  <c r="AK254" i="44"/>
  <c r="AH254" i="44"/>
  <c r="AF254" i="44"/>
  <c r="AE254" i="44"/>
  <c r="AD254" i="44"/>
  <c r="AB254" i="44"/>
  <c r="AA254" i="44"/>
  <c r="AI254" i="44" s="1"/>
  <c r="Z254" i="44"/>
  <c r="U254" i="44"/>
  <c r="AK253" i="44"/>
  <c r="AH253" i="44"/>
  <c r="AF253" i="44"/>
  <c r="AE253" i="44"/>
  <c r="AD253" i="44"/>
  <c r="AB253" i="44"/>
  <c r="AA253" i="44"/>
  <c r="AI253" i="44" s="1"/>
  <c r="Z253" i="44"/>
  <c r="U253" i="44"/>
  <c r="AK252" i="44"/>
  <c r="AH252" i="44"/>
  <c r="AF252" i="44"/>
  <c r="AE252" i="44"/>
  <c r="AD252" i="44"/>
  <c r="AB252" i="44"/>
  <c r="AA252" i="44"/>
  <c r="AI252" i="44" s="1"/>
  <c r="Z252" i="44"/>
  <c r="U252" i="44"/>
  <c r="AK251" i="44"/>
  <c r="AH251" i="44"/>
  <c r="AF251" i="44"/>
  <c r="AE251" i="44"/>
  <c r="AD251" i="44"/>
  <c r="AB251" i="44"/>
  <c r="AA251" i="44"/>
  <c r="AI251" i="44" s="1"/>
  <c r="Z251" i="44"/>
  <c r="U251" i="44"/>
  <c r="AK250" i="44"/>
  <c r="AH250" i="44"/>
  <c r="AF250" i="44"/>
  <c r="AE250" i="44"/>
  <c r="AD250" i="44"/>
  <c r="AB250" i="44"/>
  <c r="AA250" i="44"/>
  <c r="AI250" i="44" s="1"/>
  <c r="Z250" i="44"/>
  <c r="U250" i="44"/>
  <c r="AK249" i="44"/>
  <c r="AH249" i="44"/>
  <c r="AF249" i="44"/>
  <c r="AE249" i="44"/>
  <c r="AD249" i="44"/>
  <c r="AB249" i="44"/>
  <c r="AA249" i="44"/>
  <c r="AI249" i="44" s="1"/>
  <c r="Z249" i="44"/>
  <c r="U249" i="44"/>
  <c r="AK248" i="44"/>
  <c r="AH248" i="44"/>
  <c r="AF248" i="44"/>
  <c r="AE248" i="44"/>
  <c r="AD248" i="44"/>
  <c r="AB248" i="44"/>
  <c r="AA248" i="44"/>
  <c r="AI248" i="44" s="1"/>
  <c r="Z248" i="44"/>
  <c r="U248" i="44"/>
  <c r="AK247" i="44"/>
  <c r="AH247" i="44"/>
  <c r="AF247" i="44"/>
  <c r="AE247" i="44"/>
  <c r="AD247" i="44"/>
  <c r="AB247" i="44"/>
  <c r="AA247" i="44"/>
  <c r="AI247" i="44" s="1"/>
  <c r="Z247" i="44"/>
  <c r="U247" i="44"/>
  <c r="AK246" i="44"/>
  <c r="AH246" i="44"/>
  <c r="AF246" i="44"/>
  <c r="AE246" i="44"/>
  <c r="AD246" i="44"/>
  <c r="AB246" i="44"/>
  <c r="AA246" i="44"/>
  <c r="AI246" i="44" s="1"/>
  <c r="Z246" i="44"/>
  <c r="U246" i="44"/>
  <c r="AK245" i="44"/>
  <c r="AH245" i="44"/>
  <c r="AF245" i="44"/>
  <c r="AE245" i="44"/>
  <c r="AD245" i="44"/>
  <c r="AB245" i="44"/>
  <c r="AA245" i="44"/>
  <c r="AI245" i="44" s="1"/>
  <c r="Z245" i="44"/>
  <c r="U245" i="44"/>
  <c r="AK244" i="44"/>
  <c r="AH244" i="44"/>
  <c r="AF244" i="44"/>
  <c r="AE244" i="44"/>
  <c r="AD244" i="44"/>
  <c r="AB244" i="44"/>
  <c r="AA244" i="44"/>
  <c r="AI244" i="44" s="1"/>
  <c r="Z244" i="44"/>
  <c r="U244" i="44"/>
  <c r="AK243" i="44"/>
  <c r="AH243" i="44"/>
  <c r="AF243" i="44"/>
  <c r="AE243" i="44"/>
  <c r="AD243" i="44"/>
  <c r="AB243" i="44"/>
  <c r="AA243" i="44"/>
  <c r="AI243" i="44" s="1"/>
  <c r="Z243" i="44"/>
  <c r="U243" i="44"/>
  <c r="AK242" i="44"/>
  <c r="AH242" i="44"/>
  <c r="AF242" i="44"/>
  <c r="AE242" i="44"/>
  <c r="AD242" i="44"/>
  <c r="AB242" i="44"/>
  <c r="AA242" i="44"/>
  <c r="AI242" i="44" s="1"/>
  <c r="Z242" i="44"/>
  <c r="U242" i="44"/>
  <c r="AK241" i="44"/>
  <c r="AH241" i="44"/>
  <c r="AF241" i="44"/>
  <c r="AE241" i="44"/>
  <c r="AD241" i="44"/>
  <c r="AB241" i="44"/>
  <c r="AA241" i="44"/>
  <c r="AI241" i="44" s="1"/>
  <c r="Z241" i="44"/>
  <c r="U241" i="44"/>
  <c r="AK240" i="44"/>
  <c r="AH240" i="44"/>
  <c r="AF240" i="44"/>
  <c r="AE240" i="44"/>
  <c r="AD240" i="44"/>
  <c r="AB240" i="44"/>
  <c r="AA240" i="44"/>
  <c r="AI240" i="44" s="1"/>
  <c r="Z240" i="44"/>
  <c r="U240" i="44"/>
  <c r="AK239" i="44"/>
  <c r="AH239" i="44"/>
  <c r="AF239" i="44"/>
  <c r="AE239" i="44"/>
  <c r="AD239" i="44"/>
  <c r="AB239" i="44"/>
  <c r="AA239" i="44"/>
  <c r="AI239" i="44" s="1"/>
  <c r="Z239" i="44"/>
  <c r="U239" i="44"/>
  <c r="AK238" i="44"/>
  <c r="AH238" i="44"/>
  <c r="AF238" i="44"/>
  <c r="AE238" i="44"/>
  <c r="AD238" i="44"/>
  <c r="AB238" i="44"/>
  <c r="AA238" i="44"/>
  <c r="AI238" i="44" s="1"/>
  <c r="Z238" i="44"/>
  <c r="U238" i="44"/>
  <c r="AK237" i="44"/>
  <c r="AH237" i="44"/>
  <c r="AF237" i="44"/>
  <c r="AE237" i="44"/>
  <c r="AD237" i="44"/>
  <c r="AB237" i="44"/>
  <c r="AA237" i="44"/>
  <c r="AI237" i="44" s="1"/>
  <c r="Z237" i="44"/>
  <c r="U237" i="44"/>
  <c r="AK236" i="44"/>
  <c r="AH236" i="44"/>
  <c r="AF236" i="44"/>
  <c r="AE236" i="44"/>
  <c r="AD236" i="44"/>
  <c r="AB236" i="44"/>
  <c r="AA236" i="44"/>
  <c r="AI236" i="44" s="1"/>
  <c r="Z236" i="44"/>
  <c r="U236" i="44"/>
  <c r="AK235" i="44"/>
  <c r="AH235" i="44"/>
  <c r="AF235" i="44"/>
  <c r="AE235" i="44"/>
  <c r="AD235" i="44"/>
  <c r="AB235" i="44"/>
  <c r="AA235" i="44"/>
  <c r="AI235" i="44" s="1"/>
  <c r="Z235" i="44"/>
  <c r="U235" i="44"/>
  <c r="AK234" i="44"/>
  <c r="AH234" i="44"/>
  <c r="AF234" i="44"/>
  <c r="AE234" i="44"/>
  <c r="AD234" i="44"/>
  <c r="AB234" i="44"/>
  <c r="AA234" i="44"/>
  <c r="AI234" i="44" s="1"/>
  <c r="Z234" i="44"/>
  <c r="U234" i="44"/>
  <c r="AK233" i="44"/>
  <c r="AH233" i="44"/>
  <c r="AF233" i="44"/>
  <c r="AE233" i="44"/>
  <c r="AD233" i="44"/>
  <c r="AB233" i="44"/>
  <c r="AA233" i="44"/>
  <c r="AI233" i="44" s="1"/>
  <c r="Z233" i="44"/>
  <c r="U233" i="44"/>
  <c r="AK232" i="44"/>
  <c r="AH232" i="44"/>
  <c r="AF232" i="44"/>
  <c r="AE232" i="44"/>
  <c r="AD232" i="44"/>
  <c r="AB232" i="44"/>
  <c r="AA232" i="44"/>
  <c r="AI232" i="44" s="1"/>
  <c r="Z232" i="44"/>
  <c r="U232" i="44"/>
  <c r="AK231" i="44"/>
  <c r="AH231" i="44"/>
  <c r="AF231" i="44"/>
  <c r="AE231" i="44"/>
  <c r="AD231" i="44"/>
  <c r="AB231" i="44"/>
  <c r="AA231" i="44"/>
  <c r="AI231" i="44" s="1"/>
  <c r="Z231" i="44"/>
  <c r="U231" i="44"/>
  <c r="AK230" i="44"/>
  <c r="AH230" i="44"/>
  <c r="AF230" i="44"/>
  <c r="AE230" i="44"/>
  <c r="AD230" i="44"/>
  <c r="AB230" i="44"/>
  <c r="AA230" i="44"/>
  <c r="AI230" i="44" s="1"/>
  <c r="Z230" i="44"/>
  <c r="U230" i="44"/>
  <c r="AK229" i="44"/>
  <c r="AH229" i="44"/>
  <c r="AF229" i="44"/>
  <c r="AE229" i="44"/>
  <c r="AD229" i="44"/>
  <c r="AB229" i="44"/>
  <c r="AA229" i="44"/>
  <c r="AI229" i="44" s="1"/>
  <c r="Z229" i="44"/>
  <c r="U229" i="44"/>
  <c r="AK228" i="44"/>
  <c r="AH228" i="44"/>
  <c r="AF228" i="44"/>
  <c r="AE228" i="44"/>
  <c r="AD228" i="44"/>
  <c r="AB228" i="44"/>
  <c r="AA228" i="44"/>
  <c r="AI228" i="44" s="1"/>
  <c r="Z228" i="44"/>
  <c r="U228" i="44"/>
  <c r="AK227" i="44"/>
  <c r="AH227" i="44"/>
  <c r="AF227" i="44"/>
  <c r="AE227" i="44"/>
  <c r="AD227" i="44"/>
  <c r="AB227" i="44"/>
  <c r="AA227" i="44"/>
  <c r="AI227" i="44" s="1"/>
  <c r="Z227" i="44"/>
  <c r="U227" i="44"/>
  <c r="AK226" i="44"/>
  <c r="AH226" i="44"/>
  <c r="AF226" i="44"/>
  <c r="AE226" i="44"/>
  <c r="AD226" i="44"/>
  <c r="AB226" i="44"/>
  <c r="AA226" i="44"/>
  <c r="AI226" i="44" s="1"/>
  <c r="Z226" i="44"/>
  <c r="U226" i="44"/>
  <c r="AK225" i="44"/>
  <c r="AH225" i="44"/>
  <c r="AF225" i="44"/>
  <c r="AE225" i="44"/>
  <c r="AD225" i="44"/>
  <c r="AB225" i="44"/>
  <c r="AA225" i="44"/>
  <c r="AI225" i="44" s="1"/>
  <c r="Z225" i="44"/>
  <c r="U225" i="44"/>
  <c r="AK224" i="44"/>
  <c r="AH224" i="44"/>
  <c r="AF224" i="44"/>
  <c r="AE224" i="44"/>
  <c r="AD224" i="44"/>
  <c r="AB224" i="44"/>
  <c r="AA224" i="44"/>
  <c r="AI224" i="44" s="1"/>
  <c r="Z224" i="44"/>
  <c r="U224" i="44"/>
  <c r="AK223" i="44"/>
  <c r="AH223" i="44"/>
  <c r="AF223" i="44"/>
  <c r="AE223" i="44"/>
  <c r="AD223" i="44"/>
  <c r="AB223" i="44"/>
  <c r="AA223" i="44"/>
  <c r="AI223" i="44" s="1"/>
  <c r="Z223" i="44"/>
  <c r="U223" i="44"/>
  <c r="AK222" i="44"/>
  <c r="AH222" i="44"/>
  <c r="AF222" i="44"/>
  <c r="AE222" i="44"/>
  <c r="AD222" i="44"/>
  <c r="AB222" i="44"/>
  <c r="AA222" i="44"/>
  <c r="AI222" i="44" s="1"/>
  <c r="Z222" i="44"/>
  <c r="U222" i="44"/>
  <c r="AK221" i="44"/>
  <c r="AH221" i="44"/>
  <c r="AF221" i="44"/>
  <c r="AE221" i="44"/>
  <c r="AD221" i="44"/>
  <c r="AB221" i="44"/>
  <c r="AA221" i="44"/>
  <c r="AI221" i="44" s="1"/>
  <c r="Z221" i="44"/>
  <c r="U221" i="44"/>
  <c r="AK220" i="44"/>
  <c r="AH220" i="44"/>
  <c r="AF220" i="44"/>
  <c r="AE220" i="44"/>
  <c r="AD220" i="44"/>
  <c r="AB220" i="44"/>
  <c r="AA220" i="44"/>
  <c r="AI220" i="44" s="1"/>
  <c r="Z220" i="44"/>
  <c r="U220" i="44"/>
  <c r="AK219" i="44"/>
  <c r="AH219" i="44"/>
  <c r="AF219" i="44"/>
  <c r="AE219" i="44"/>
  <c r="AD219" i="44"/>
  <c r="AB219" i="44"/>
  <c r="AA219" i="44"/>
  <c r="AI219" i="44" s="1"/>
  <c r="Z219" i="44"/>
  <c r="U219" i="44"/>
  <c r="AK218" i="44"/>
  <c r="AH218" i="44"/>
  <c r="AF218" i="44"/>
  <c r="AE218" i="44"/>
  <c r="AD218" i="44"/>
  <c r="AB218" i="44"/>
  <c r="AA218" i="44"/>
  <c r="AI218" i="44" s="1"/>
  <c r="Z218" i="44"/>
  <c r="U218" i="44"/>
  <c r="AK217" i="44"/>
  <c r="AH217" i="44"/>
  <c r="AF217" i="44"/>
  <c r="AE217" i="44"/>
  <c r="AD217" i="44"/>
  <c r="AB217" i="44"/>
  <c r="AA217" i="44"/>
  <c r="AI217" i="44" s="1"/>
  <c r="Z217" i="44"/>
  <c r="U217" i="44"/>
  <c r="AK216" i="44"/>
  <c r="AH216" i="44"/>
  <c r="AF216" i="44"/>
  <c r="AE216" i="44"/>
  <c r="AD216" i="44"/>
  <c r="AB216" i="44"/>
  <c r="AA216" i="44"/>
  <c r="AI216" i="44" s="1"/>
  <c r="Z216" i="44"/>
  <c r="U216" i="44"/>
  <c r="AK215" i="44"/>
  <c r="AH215" i="44"/>
  <c r="AF215" i="44"/>
  <c r="AE215" i="44"/>
  <c r="AD215" i="44"/>
  <c r="AB215" i="44"/>
  <c r="AA215" i="44"/>
  <c r="AI215" i="44" s="1"/>
  <c r="Z215" i="44"/>
  <c r="U215" i="44"/>
  <c r="AK214" i="44"/>
  <c r="AH214" i="44"/>
  <c r="AF214" i="44"/>
  <c r="AE214" i="44"/>
  <c r="AD214" i="44"/>
  <c r="AB214" i="44"/>
  <c r="AA214" i="44"/>
  <c r="AI214" i="44" s="1"/>
  <c r="Z214" i="44"/>
  <c r="U214" i="44"/>
  <c r="AK213" i="44"/>
  <c r="AH213" i="44"/>
  <c r="AF213" i="44"/>
  <c r="AE213" i="44"/>
  <c r="AD213" i="44"/>
  <c r="AB213" i="44"/>
  <c r="AA213" i="44"/>
  <c r="AI213" i="44" s="1"/>
  <c r="Z213" i="44"/>
  <c r="U213" i="44"/>
  <c r="AK212" i="44"/>
  <c r="AH212" i="44"/>
  <c r="AF212" i="44"/>
  <c r="AE212" i="44"/>
  <c r="AD212" i="44"/>
  <c r="AB212" i="44"/>
  <c r="AA212" i="44"/>
  <c r="AI212" i="44" s="1"/>
  <c r="Z212" i="44"/>
  <c r="U212" i="44"/>
  <c r="AK211" i="44"/>
  <c r="AH211" i="44"/>
  <c r="AF211" i="44"/>
  <c r="AE211" i="44"/>
  <c r="AD211" i="44"/>
  <c r="AB211" i="44"/>
  <c r="AA211" i="44"/>
  <c r="AI211" i="44" s="1"/>
  <c r="Z211" i="44"/>
  <c r="U211" i="44"/>
  <c r="AK210" i="44"/>
  <c r="AH210" i="44"/>
  <c r="AF210" i="44"/>
  <c r="AE210" i="44"/>
  <c r="AD210" i="44"/>
  <c r="AB210" i="44"/>
  <c r="AA210" i="44"/>
  <c r="AI210" i="44" s="1"/>
  <c r="Z210" i="44"/>
  <c r="U210" i="44"/>
  <c r="AK209" i="44"/>
  <c r="AH209" i="44"/>
  <c r="AF209" i="44"/>
  <c r="AE209" i="44"/>
  <c r="AD209" i="44"/>
  <c r="AB209" i="44"/>
  <c r="AA209" i="44"/>
  <c r="AI209" i="44" s="1"/>
  <c r="Z209" i="44"/>
  <c r="U209" i="44"/>
  <c r="AK208" i="44"/>
  <c r="AH208" i="44"/>
  <c r="AF208" i="44"/>
  <c r="AE208" i="44"/>
  <c r="AD208" i="44"/>
  <c r="AB208" i="44"/>
  <c r="AA208" i="44"/>
  <c r="AI208" i="44" s="1"/>
  <c r="Z208" i="44"/>
  <c r="U208" i="44"/>
  <c r="AK207" i="44"/>
  <c r="AH207" i="44"/>
  <c r="AF207" i="44"/>
  <c r="AE207" i="44"/>
  <c r="AD207" i="44"/>
  <c r="AB207" i="44"/>
  <c r="AA207" i="44"/>
  <c r="AI207" i="44" s="1"/>
  <c r="Z207" i="44"/>
  <c r="U207" i="44"/>
  <c r="AK206" i="44"/>
  <c r="AH206" i="44"/>
  <c r="AF206" i="44"/>
  <c r="AE206" i="44"/>
  <c r="AD206" i="44"/>
  <c r="AB206" i="44"/>
  <c r="AA206" i="44"/>
  <c r="AI206" i="44" s="1"/>
  <c r="Z206" i="44"/>
  <c r="U206" i="44"/>
  <c r="AK205" i="44"/>
  <c r="AH205" i="44"/>
  <c r="AF205" i="44"/>
  <c r="AE205" i="44"/>
  <c r="AD205" i="44"/>
  <c r="AB205" i="44"/>
  <c r="AA205" i="44"/>
  <c r="AI205" i="44" s="1"/>
  <c r="Z205" i="44"/>
  <c r="U205" i="44"/>
  <c r="AK204" i="44"/>
  <c r="AH204" i="44"/>
  <c r="AF204" i="44"/>
  <c r="AE204" i="44"/>
  <c r="AD204" i="44"/>
  <c r="AB204" i="44"/>
  <c r="AA204" i="44"/>
  <c r="AI204" i="44" s="1"/>
  <c r="Z204" i="44"/>
  <c r="U204" i="44"/>
  <c r="AK203" i="44"/>
  <c r="AH203" i="44"/>
  <c r="AF203" i="44"/>
  <c r="AE203" i="44"/>
  <c r="AD203" i="44"/>
  <c r="AB203" i="44"/>
  <c r="AA203" i="44"/>
  <c r="AI203" i="44" s="1"/>
  <c r="Z203" i="44"/>
  <c r="U203" i="44"/>
  <c r="AK202" i="44"/>
  <c r="AH202" i="44"/>
  <c r="AF202" i="44"/>
  <c r="AE202" i="44"/>
  <c r="AD202" i="44"/>
  <c r="AB202" i="44"/>
  <c r="AA202" i="44"/>
  <c r="AI202" i="44" s="1"/>
  <c r="Z202" i="44"/>
  <c r="U202" i="44"/>
  <c r="AK201" i="44"/>
  <c r="AH201" i="44"/>
  <c r="AF201" i="44"/>
  <c r="AE201" i="44"/>
  <c r="AD201" i="44"/>
  <c r="AB201" i="44"/>
  <c r="AA201" i="44"/>
  <c r="AI201" i="44" s="1"/>
  <c r="Z201" i="44"/>
  <c r="U201" i="44"/>
  <c r="AK200" i="44"/>
  <c r="AH200" i="44"/>
  <c r="AF200" i="44"/>
  <c r="AE200" i="44"/>
  <c r="AD200" i="44"/>
  <c r="AB200" i="44"/>
  <c r="AA200" i="44"/>
  <c r="AI200" i="44" s="1"/>
  <c r="Z200" i="44"/>
  <c r="U200" i="44"/>
  <c r="AK199" i="44"/>
  <c r="AH199" i="44"/>
  <c r="AF199" i="44"/>
  <c r="AE199" i="44"/>
  <c r="AD199" i="44"/>
  <c r="AB199" i="44"/>
  <c r="AA199" i="44"/>
  <c r="AI199" i="44" s="1"/>
  <c r="Z199" i="44"/>
  <c r="U199" i="44"/>
  <c r="AK198" i="44"/>
  <c r="AH198" i="44"/>
  <c r="AF198" i="44"/>
  <c r="AE198" i="44"/>
  <c r="AD198" i="44"/>
  <c r="AB198" i="44"/>
  <c r="AA198" i="44"/>
  <c r="AI198" i="44" s="1"/>
  <c r="Z198" i="44"/>
  <c r="U198" i="44"/>
  <c r="AK197" i="44"/>
  <c r="AH197" i="44"/>
  <c r="AF197" i="44"/>
  <c r="AE197" i="44"/>
  <c r="AD197" i="44"/>
  <c r="AB197" i="44"/>
  <c r="AA197" i="44"/>
  <c r="AI197" i="44" s="1"/>
  <c r="Z197" i="44"/>
  <c r="U197" i="44"/>
  <c r="AK196" i="44"/>
  <c r="AH196" i="44"/>
  <c r="AF196" i="44"/>
  <c r="AE196" i="44"/>
  <c r="AD196" i="44"/>
  <c r="AB196" i="44"/>
  <c r="AA196" i="44"/>
  <c r="AI196" i="44" s="1"/>
  <c r="Z196" i="44"/>
  <c r="U196" i="44"/>
  <c r="AK195" i="44"/>
  <c r="AH195" i="44"/>
  <c r="AF195" i="44"/>
  <c r="AE195" i="44"/>
  <c r="AD195" i="44"/>
  <c r="AB195" i="44"/>
  <c r="AA195" i="44"/>
  <c r="AI195" i="44" s="1"/>
  <c r="Z195" i="44"/>
  <c r="U195" i="44"/>
  <c r="AK194" i="44"/>
  <c r="AH194" i="44"/>
  <c r="AF194" i="44"/>
  <c r="AE194" i="44"/>
  <c r="AD194" i="44"/>
  <c r="AB194" i="44"/>
  <c r="AA194" i="44"/>
  <c r="AI194" i="44" s="1"/>
  <c r="Z194" i="44"/>
  <c r="U194" i="44"/>
  <c r="AK193" i="44"/>
  <c r="AH193" i="44"/>
  <c r="AF193" i="44"/>
  <c r="AE193" i="44"/>
  <c r="AD193" i="44"/>
  <c r="AB193" i="44"/>
  <c r="AA193" i="44"/>
  <c r="AI193" i="44" s="1"/>
  <c r="Z193" i="44"/>
  <c r="U193" i="44"/>
  <c r="AK192" i="44"/>
  <c r="AH192" i="44"/>
  <c r="AF192" i="44"/>
  <c r="AE192" i="44"/>
  <c r="AD192" i="44"/>
  <c r="AB192" i="44"/>
  <c r="AA192" i="44"/>
  <c r="AI192" i="44" s="1"/>
  <c r="Z192" i="44"/>
  <c r="U192" i="44"/>
  <c r="AK191" i="44"/>
  <c r="AH191" i="44"/>
  <c r="AF191" i="44"/>
  <c r="AE191" i="44"/>
  <c r="AD191" i="44"/>
  <c r="AB191" i="44"/>
  <c r="AA191" i="44"/>
  <c r="AI191" i="44" s="1"/>
  <c r="Z191" i="44"/>
  <c r="U191" i="44"/>
  <c r="AK190" i="44"/>
  <c r="AH190" i="44"/>
  <c r="AF190" i="44"/>
  <c r="AE190" i="44"/>
  <c r="AD190" i="44"/>
  <c r="AB190" i="44"/>
  <c r="AA190" i="44"/>
  <c r="AI190" i="44" s="1"/>
  <c r="Z190" i="44"/>
  <c r="U190" i="44"/>
  <c r="AK189" i="44"/>
  <c r="AH189" i="44"/>
  <c r="AF189" i="44"/>
  <c r="AE189" i="44"/>
  <c r="AD189" i="44"/>
  <c r="AB189" i="44"/>
  <c r="AA189" i="44"/>
  <c r="AI189" i="44" s="1"/>
  <c r="Z189" i="44"/>
  <c r="U189" i="44"/>
  <c r="AK188" i="44"/>
  <c r="AH188" i="44"/>
  <c r="AF188" i="44"/>
  <c r="AE188" i="44"/>
  <c r="AD188" i="44"/>
  <c r="AB188" i="44"/>
  <c r="AA188" i="44"/>
  <c r="AI188" i="44" s="1"/>
  <c r="Z188" i="44"/>
  <c r="U188" i="44"/>
  <c r="AK187" i="44"/>
  <c r="AH187" i="44"/>
  <c r="AF187" i="44"/>
  <c r="AE187" i="44"/>
  <c r="AD187" i="44"/>
  <c r="AB187" i="44"/>
  <c r="AA187" i="44"/>
  <c r="AI187" i="44" s="1"/>
  <c r="Z187" i="44"/>
  <c r="U187" i="44"/>
  <c r="AK186" i="44"/>
  <c r="AH186" i="44"/>
  <c r="AF186" i="44"/>
  <c r="AE186" i="44"/>
  <c r="AD186" i="44"/>
  <c r="AB186" i="44"/>
  <c r="AA186" i="44"/>
  <c r="AI186" i="44" s="1"/>
  <c r="Z186" i="44"/>
  <c r="U186" i="44"/>
  <c r="AK185" i="44"/>
  <c r="AH185" i="44"/>
  <c r="AF185" i="44"/>
  <c r="AE185" i="44"/>
  <c r="AD185" i="44"/>
  <c r="AB185" i="44"/>
  <c r="AA185" i="44"/>
  <c r="AI185" i="44" s="1"/>
  <c r="Z185" i="44"/>
  <c r="U185" i="44"/>
  <c r="AK184" i="44"/>
  <c r="AH184" i="44"/>
  <c r="AF184" i="44"/>
  <c r="AE184" i="44"/>
  <c r="AD184" i="44"/>
  <c r="AB184" i="44"/>
  <c r="AA184" i="44"/>
  <c r="AI184" i="44" s="1"/>
  <c r="Z184" i="44"/>
  <c r="U184" i="44"/>
  <c r="AK183" i="44"/>
  <c r="AH183" i="44"/>
  <c r="AF183" i="44"/>
  <c r="AE183" i="44"/>
  <c r="AD183" i="44"/>
  <c r="AB183" i="44"/>
  <c r="AA183" i="44"/>
  <c r="AI183" i="44" s="1"/>
  <c r="Z183" i="44"/>
  <c r="U183" i="44"/>
  <c r="AK182" i="44"/>
  <c r="AH182" i="44"/>
  <c r="AF182" i="44"/>
  <c r="AE182" i="44"/>
  <c r="AD182" i="44"/>
  <c r="AB182" i="44"/>
  <c r="AA182" i="44"/>
  <c r="AI182" i="44" s="1"/>
  <c r="Z182" i="44"/>
  <c r="U182" i="44"/>
  <c r="AK181" i="44"/>
  <c r="AH181" i="44"/>
  <c r="AF181" i="44"/>
  <c r="AE181" i="44"/>
  <c r="AD181" i="44"/>
  <c r="AB181" i="44"/>
  <c r="AA181" i="44"/>
  <c r="AI181" i="44" s="1"/>
  <c r="Z181" i="44"/>
  <c r="U181" i="44"/>
  <c r="AK180" i="44"/>
  <c r="AH180" i="44"/>
  <c r="AF180" i="44"/>
  <c r="AE180" i="44"/>
  <c r="AD180" i="44"/>
  <c r="AB180" i="44"/>
  <c r="AA180" i="44"/>
  <c r="AI180" i="44" s="1"/>
  <c r="Z180" i="44"/>
  <c r="U180" i="44"/>
  <c r="AK179" i="44"/>
  <c r="AH179" i="44"/>
  <c r="AF179" i="44"/>
  <c r="AE179" i="44"/>
  <c r="AD179" i="44"/>
  <c r="AB179" i="44"/>
  <c r="AA179" i="44"/>
  <c r="AI179" i="44" s="1"/>
  <c r="Z179" i="44"/>
  <c r="U179" i="44"/>
  <c r="AK178" i="44"/>
  <c r="AH178" i="44"/>
  <c r="AF178" i="44"/>
  <c r="AE178" i="44"/>
  <c r="AD178" i="44"/>
  <c r="AB178" i="44"/>
  <c r="AA178" i="44"/>
  <c r="AI178" i="44" s="1"/>
  <c r="Z178" i="44"/>
  <c r="U178" i="44"/>
  <c r="AK177" i="44"/>
  <c r="AH177" i="44"/>
  <c r="AF177" i="44"/>
  <c r="AE177" i="44"/>
  <c r="AD177" i="44"/>
  <c r="AB177" i="44"/>
  <c r="AA177" i="44"/>
  <c r="AI177" i="44" s="1"/>
  <c r="Z177" i="44"/>
  <c r="U177" i="44"/>
  <c r="AK176" i="44"/>
  <c r="AH176" i="44"/>
  <c r="AF176" i="44"/>
  <c r="AE176" i="44"/>
  <c r="AD176" i="44"/>
  <c r="AB176" i="44"/>
  <c r="AA176" i="44"/>
  <c r="AI176" i="44" s="1"/>
  <c r="Z176" i="44"/>
  <c r="U176" i="44"/>
  <c r="AK175" i="44"/>
  <c r="AH175" i="44"/>
  <c r="AF175" i="44"/>
  <c r="AE175" i="44"/>
  <c r="AD175" i="44"/>
  <c r="AB175" i="44"/>
  <c r="AA175" i="44"/>
  <c r="AI175" i="44" s="1"/>
  <c r="Z175" i="44"/>
  <c r="U175" i="44"/>
  <c r="AK174" i="44"/>
  <c r="AH174" i="44"/>
  <c r="AF174" i="44"/>
  <c r="AE174" i="44"/>
  <c r="AD174" i="44"/>
  <c r="AB174" i="44"/>
  <c r="AA174" i="44"/>
  <c r="AI174" i="44" s="1"/>
  <c r="Z174" i="44"/>
  <c r="U174" i="44"/>
  <c r="AK173" i="44"/>
  <c r="AH173" i="44"/>
  <c r="AF173" i="44"/>
  <c r="AE173" i="44"/>
  <c r="AD173" i="44"/>
  <c r="AB173" i="44"/>
  <c r="AA173" i="44"/>
  <c r="AI173" i="44" s="1"/>
  <c r="Z173" i="44"/>
  <c r="U173" i="44"/>
  <c r="AK172" i="44"/>
  <c r="AH172" i="44"/>
  <c r="AF172" i="44"/>
  <c r="AE172" i="44"/>
  <c r="AD172" i="44"/>
  <c r="AB172" i="44"/>
  <c r="AA172" i="44"/>
  <c r="AI172" i="44" s="1"/>
  <c r="Z172" i="44"/>
  <c r="U172" i="44"/>
  <c r="AK171" i="44"/>
  <c r="AH171" i="44"/>
  <c r="AF171" i="44"/>
  <c r="AE171" i="44"/>
  <c r="AD171" i="44"/>
  <c r="AB171" i="44"/>
  <c r="AA171" i="44"/>
  <c r="AI171" i="44" s="1"/>
  <c r="Z171" i="44"/>
  <c r="U171" i="44"/>
  <c r="AK170" i="44"/>
  <c r="AH170" i="44"/>
  <c r="AF170" i="44"/>
  <c r="AE170" i="44"/>
  <c r="AD170" i="44"/>
  <c r="AB170" i="44"/>
  <c r="AA170" i="44"/>
  <c r="AI170" i="44" s="1"/>
  <c r="Z170" i="44"/>
  <c r="U170" i="44"/>
  <c r="AK169" i="44"/>
  <c r="AH169" i="44"/>
  <c r="AF169" i="44"/>
  <c r="AE169" i="44"/>
  <c r="AD169" i="44"/>
  <c r="AB169" i="44"/>
  <c r="AA169" i="44"/>
  <c r="AI169" i="44" s="1"/>
  <c r="Z169" i="44"/>
  <c r="U169" i="44"/>
  <c r="AK168" i="44"/>
  <c r="AH168" i="44"/>
  <c r="AF168" i="44"/>
  <c r="AE168" i="44"/>
  <c r="AD168" i="44"/>
  <c r="AB168" i="44"/>
  <c r="AA168" i="44"/>
  <c r="AI168" i="44" s="1"/>
  <c r="Z168" i="44"/>
  <c r="U168" i="44"/>
  <c r="AK167" i="44"/>
  <c r="AH167" i="44"/>
  <c r="AF167" i="44"/>
  <c r="AE167" i="44"/>
  <c r="AD167" i="44"/>
  <c r="AB167" i="44"/>
  <c r="AA167" i="44"/>
  <c r="AI167" i="44" s="1"/>
  <c r="Z167" i="44"/>
  <c r="U167" i="44"/>
  <c r="AK166" i="44"/>
  <c r="AH166" i="44"/>
  <c r="AF166" i="44"/>
  <c r="AE166" i="44"/>
  <c r="AD166" i="44"/>
  <c r="AB166" i="44"/>
  <c r="AA166" i="44"/>
  <c r="AI166" i="44" s="1"/>
  <c r="Z166" i="44"/>
  <c r="U166" i="44"/>
  <c r="AK165" i="44"/>
  <c r="AH165" i="44"/>
  <c r="AF165" i="44"/>
  <c r="AE165" i="44"/>
  <c r="AD165" i="44"/>
  <c r="AB165" i="44"/>
  <c r="AA165" i="44"/>
  <c r="AI165" i="44" s="1"/>
  <c r="Z165" i="44"/>
  <c r="U165" i="44"/>
  <c r="AK164" i="44"/>
  <c r="AH164" i="44"/>
  <c r="AF164" i="44"/>
  <c r="AE164" i="44"/>
  <c r="AD164" i="44"/>
  <c r="AB164" i="44"/>
  <c r="AA164" i="44"/>
  <c r="AI164" i="44" s="1"/>
  <c r="Z164" i="44"/>
  <c r="U164" i="44"/>
  <c r="AK163" i="44"/>
  <c r="AH163" i="44"/>
  <c r="AF163" i="44"/>
  <c r="AE163" i="44"/>
  <c r="AD163" i="44"/>
  <c r="AB163" i="44"/>
  <c r="AA163" i="44"/>
  <c r="AI163" i="44" s="1"/>
  <c r="Z163" i="44"/>
  <c r="U163" i="44"/>
  <c r="AK162" i="44"/>
  <c r="AH162" i="44"/>
  <c r="AF162" i="44"/>
  <c r="AE162" i="44"/>
  <c r="AD162" i="44"/>
  <c r="AB162" i="44"/>
  <c r="AA162" i="44"/>
  <c r="AI162" i="44" s="1"/>
  <c r="Z162" i="44"/>
  <c r="U162" i="44"/>
  <c r="AK161" i="44"/>
  <c r="AH161" i="44"/>
  <c r="AF161" i="44"/>
  <c r="AE161" i="44"/>
  <c r="AD161" i="44"/>
  <c r="AB161" i="44"/>
  <c r="AA161" i="44"/>
  <c r="AI161" i="44" s="1"/>
  <c r="Z161" i="44"/>
  <c r="U161" i="44"/>
  <c r="AK160" i="44"/>
  <c r="AH160" i="44"/>
  <c r="AF160" i="44"/>
  <c r="AE160" i="44"/>
  <c r="AD160" i="44"/>
  <c r="AB160" i="44"/>
  <c r="AA160" i="44"/>
  <c r="AI160" i="44" s="1"/>
  <c r="Z160" i="44"/>
  <c r="U160" i="44"/>
  <c r="AK159" i="44"/>
  <c r="AH159" i="44"/>
  <c r="AF159" i="44"/>
  <c r="AE159" i="44"/>
  <c r="AD159" i="44"/>
  <c r="AB159" i="44"/>
  <c r="AA159" i="44"/>
  <c r="AI159" i="44" s="1"/>
  <c r="Z159" i="44"/>
  <c r="U159" i="44"/>
  <c r="AK158" i="44"/>
  <c r="AH158" i="44"/>
  <c r="AF158" i="44"/>
  <c r="AE158" i="44"/>
  <c r="AD158" i="44"/>
  <c r="AB158" i="44"/>
  <c r="AA158" i="44"/>
  <c r="AI158" i="44" s="1"/>
  <c r="Z158" i="44"/>
  <c r="U158" i="44"/>
  <c r="AK157" i="44"/>
  <c r="AH157" i="44"/>
  <c r="AF157" i="44"/>
  <c r="AE157" i="44"/>
  <c r="AD157" i="44"/>
  <c r="AB157" i="44"/>
  <c r="AA157" i="44"/>
  <c r="AI157" i="44" s="1"/>
  <c r="Z157" i="44"/>
  <c r="U157" i="44"/>
  <c r="AK156" i="44"/>
  <c r="AH156" i="44"/>
  <c r="AF156" i="44"/>
  <c r="AE156" i="44"/>
  <c r="AD156" i="44"/>
  <c r="AB156" i="44"/>
  <c r="AA156" i="44"/>
  <c r="AI156" i="44" s="1"/>
  <c r="Z156" i="44"/>
  <c r="U156" i="44"/>
  <c r="AK155" i="44"/>
  <c r="AH155" i="44"/>
  <c r="AF155" i="44"/>
  <c r="AE155" i="44"/>
  <c r="AD155" i="44"/>
  <c r="AB155" i="44"/>
  <c r="AA155" i="44"/>
  <c r="AI155" i="44" s="1"/>
  <c r="Z155" i="44"/>
  <c r="U155" i="44"/>
  <c r="AK154" i="44"/>
  <c r="AH154" i="44"/>
  <c r="AF154" i="44"/>
  <c r="AE154" i="44"/>
  <c r="AD154" i="44"/>
  <c r="AB154" i="44"/>
  <c r="AA154" i="44"/>
  <c r="AI154" i="44" s="1"/>
  <c r="Z154" i="44"/>
  <c r="U154" i="44"/>
  <c r="AK153" i="44"/>
  <c r="AH153" i="44"/>
  <c r="AF153" i="44"/>
  <c r="AE153" i="44"/>
  <c r="AD153" i="44"/>
  <c r="AB153" i="44"/>
  <c r="AA153" i="44"/>
  <c r="AI153" i="44" s="1"/>
  <c r="Z153" i="44"/>
  <c r="U153" i="44"/>
  <c r="AK152" i="44"/>
  <c r="AH152" i="44"/>
  <c r="AF152" i="44"/>
  <c r="AE152" i="44"/>
  <c r="AD152" i="44"/>
  <c r="AB152" i="44"/>
  <c r="AA152" i="44"/>
  <c r="AI152" i="44" s="1"/>
  <c r="Z152" i="44"/>
  <c r="U152" i="44"/>
  <c r="AK151" i="44"/>
  <c r="AH151" i="44"/>
  <c r="AF151" i="44"/>
  <c r="AE151" i="44"/>
  <c r="AD151" i="44"/>
  <c r="AB151" i="44"/>
  <c r="AA151" i="44"/>
  <c r="AI151" i="44" s="1"/>
  <c r="Z151" i="44"/>
  <c r="U151" i="44"/>
  <c r="AK150" i="44"/>
  <c r="AH150" i="44"/>
  <c r="AF150" i="44"/>
  <c r="AE150" i="44"/>
  <c r="AD150" i="44"/>
  <c r="AB150" i="44"/>
  <c r="AA150" i="44"/>
  <c r="AI150" i="44" s="1"/>
  <c r="Z150" i="44"/>
  <c r="U150" i="44"/>
  <c r="AK149" i="44"/>
  <c r="AH149" i="44"/>
  <c r="AF149" i="44"/>
  <c r="AE149" i="44"/>
  <c r="AD149" i="44"/>
  <c r="AB149" i="44"/>
  <c r="AA149" i="44"/>
  <c r="AI149" i="44" s="1"/>
  <c r="Z149" i="44"/>
  <c r="U149" i="44"/>
  <c r="AK148" i="44"/>
  <c r="AH148" i="44"/>
  <c r="AF148" i="44"/>
  <c r="AE148" i="44"/>
  <c r="AD148" i="44"/>
  <c r="AB148" i="44"/>
  <c r="AA148" i="44"/>
  <c r="AI148" i="44" s="1"/>
  <c r="Z148" i="44"/>
  <c r="U148" i="44"/>
  <c r="AK147" i="44"/>
  <c r="AH147" i="44"/>
  <c r="AF147" i="44"/>
  <c r="AE147" i="44"/>
  <c r="AD147" i="44"/>
  <c r="AB147" i="44"/>
  <c r="AA147" i="44"/>
  <c r="AI147" i="44" s="1"/>
  <c r="Z147" i="44"/>
  <c r="U147" i="44"/>
  <c r="AK146" i="44"/>
  <c r="AH146" i="44"/>
  <c r="AF146" i="44"/>
  <c r="AE146" i="44"/>
  <c r="AD146" i="44"/>
  <c r="AB146" i="44"/>
  <c r="AA146" i="44"/>
  <c r="AI146" i="44" s="1"/>
  <c r="Z146" i="44"/>
  <c r="U146" i="44"/>
  <c r="AK145" i="44"/>
  <c r="AH145" i="44"/>
  <c r="AF145" i="44"/>
  <c r="AE145" i="44"/>
  <c r="AD145" i="44"/>
  <c r="AB145" i="44"/>
  <c r="AA145" i="44"/>
  <c r="AI145" i="44" s="1"/>
  <c r="Z145" i="44"/>
  <c r="U145" i="44"/>
  <c r="AK144" i="44"/>
  <c r="AH144" i="44"/>
  <c r="AF144" i="44"/>
  <c r="AE144" i="44"/>
  <c r="AD144" i="44"/>
  <c r="AB144" i="44"/>
  <c r="AA144" i="44"/>
  <c r="AI144" i="44" s="1"/>
  <c r="Z144" i="44"/>
  <c r="U144" i="44"/>
  <c r="AK143" i="44"/>
  <c r="AH143" i="44"/>
  <c r="AF143" i="44"/>
  <c r="AE143" i="44"/>
  <c r="AD143" i="44"/>
  <c r="AB143" i="44"/>
  <c r="AA143" i="44"/>
  <c r="AI143" i="44" s="1"/>
  <c r="Z143" i="44"/>
  <c r="U143" i="44"/>
  <c r="AK142" i="44"/>
  <c r="AH142" i="44"/>
  <c r="AF142" i="44"/>
  <c r="AE142" i="44"/>
  <c r="AD142" i="44"/>
  <c r="AB142" i="44"/>
  <c r="AA142" i="44"/>
  <c r="AI142" i="44" s="1"/>
  <c r="Z142" i="44"/>
  <c r="U142" i="44"/>
  <c r="AK141" i="44"/>
  <c r="AH141" i="44"/>
  <c r="AF141" i="44"/>
  <c r="AE141" i="44"/>
  <c r="AD141" i="44"/>
  <c r="AB141" i="44"/>
  <c r="AA141" i="44"/>
  <c r="AI141" i="44" s="1"/>
  <c r="Z141" i="44"/>
  <c r="U141" i="44"/>
  <c r="AK140" i="44"/>
  <c r="AH140" i="44"/>
  <c r="AF140" i="44"/>
  <c r="AE140" i="44"/>
  <c r="AD140" i="44"/>
  <c r="AB140" i="44"/>
  <c r="AA140" i="44"/>
  <c r="AI140" i="44" s="1"/>
  <c r="Z140" i="44"/>
  <c r="U140" i="44"/>
  <c r="AK139" i="44"/>
  <c r="AH139" i="44"/>
  <c r="AF139" i="44"/>
  <c r="AE139" i="44"/>
  <c r="AD139" i="44"/>
  <c r="AB139" i="44"/>
  <c r="AA139" i="44"/>
  <c r="AI139" i="44" s="1"/>
  <c r="Z139" i="44"/>
  <c r="U139" i="44"/>
  <c r="AK138" i="44"/>
  <c r="AH138" i="44"/>
  <c r="AF138" i="44"/>
  <c r="AE138" i="44"/>
  <c r="AD138" i="44"/>
  <c r="AB138" i="44"/>
  <c r="AA138" i="44"/>
  <c r="AI138" i="44" s="1"/>
  <c r="Z138" i="44"/>
  <c r="U138" i="44"/>
  <c r="AK137" i="44"/>
  <c r="AH137" i="44"/>
  <c r="AF137" i="44"/>
  <c r="AE137" i="44"/>
  <c r="AD137" i="44"/>
  <c r="AB137" i="44"/>
  <c r="AA137" i="44"/>
  <c r="AI137" i="44" s="1"/>
  <c r="Z137" i="44"/>
  <c r="U137" i="44"/>
  <c r="AK136" i="44"/>
  <c r="AH136" i="44"/>
  <c r="AF136" i="44"/>
  <c r="AE136" i="44"/>
  <c r="AD136" i="44"/>
  <c r="AB136" i="44"/>
  <c r="AA136" i="44"/>
  <c r="AI136" i="44" s="1"/>
  <c r="Z136" i="44"/>
  <c r="U136" i="44"/>
  <c r="AK135" i="44"/>
  <c r="AH135" i="44"/>
  <c r="AF135" i="44"/>
  <c r="AE135" i="44"/>
  <c r="AD135" i="44"/>
  <c r="AB135" i="44"/>
  <c r="AA135" i="44"/>
  <c r="AI135" i="44" s="1"/>
  <c r="Z135" i="44"/>
  <c r="U135" i="44"/>
  <c r="AK134" i="44"/>
  <c r="AH134" i="44"/>
  <c r="AF134" i="44"/>
  <c r="AE134" i="44"/>
  <c r="AD134" i="44"/>
  <c r="AB134" i="44"/>
  <c r="AA134" i="44"/>
  <c r="AI134" i="44" s="1"/>
  <c r="Z134" i="44"/>
  <c r="U134" i="44"/>
  <c r="AK133" i="44"/>
  <c r="AH133" i="44"/>
  <c r="AF133" i="44"/>
  <c r="AE133" i="44"/>
  <c r="AD133" i="44"/>
  <c r="AB133" i="44"/>
  <c r="AA133" i="44"/>
  <c r="AI133" i="44" s="1"/>
  <c r="Z133" i="44"/>
  <c r="U133" i="44"/>
  <c r="AK132" i="44"/>
  <c r="AH132" i="44"/>
  <c r="AF132" i="44"/>
  <c r="AE132" i="44"/>
  <c r="AD132" i="44"/>
  <c r="AB132" i="44"/>
  <c r="AA132" i="44"/>
  <c r="AI132" i="44" s="1"/>
  <c r="Z132" i="44"/>
  <c r="U132" i="44"/>
  <c r="AK131" i="44"/>
  <c r="AH131" i="44"/>
  <c r="AF131" i="44"/>
  <c r="AE131" i="44"/>
  <c r="AD131" i="44"/>
  <c r="AB131" i="44"/>
  <c r="AA131" i="44"/>
  <c r="AI131" i="44" s="1"/>
  <c r="Z131" i="44"/>
  <c r="U131" i="44"/>
  <c r="AK130" i="44"/>
  <c r="AH130" i="44"/>
  <c r="AF130" i="44"/>
  <c r="AE130" i="44"/>
  <c r="AD130" i="44"/>
  <c r="AB130" i="44"/>
  <c r="AA130" i="44"/>
  <c r="AI130" i="44" s="1"/>
  <c r="Z130" i="44"/>
  <c r="U130" i="44"/>
  <c r="AK129" i="44"/>
  <c r="AH129" i="44"/>
  <c r="AF129" i="44"/>
  <c r="AE129" i="44"/>
  <c r="AD129" i="44"/>
  <c r="AB129" i="44"/>
  <c r="AA129" i="44"/>
  <c r="AI129" i="44" s="1"/>
  <c r="Z129" i="44"/>
  <c r="U129" i="44"/>
  <c r="AK128" i="44"/>
  <c r="AH128" i="44"/>
  <c r="AF128" i="44"/>
  <c r="AE128" i="44"/>
  <c r="AD128" i="44"/>
  <c r="AB128" i="44"/>
  <c r="AA128" i="44"/>
  <c r="AI128" i="44" s="1"/>
  <c r="Z128" i="44"/>
  <c r="U128" i="44"/>
  <c r="AK127" i="44"/>
  <c r="AH127" i="44"/>
  <c r="AF127" i="44"/>
  <c r="AE127" i="44"/>
  <c r="AD127" i="44"/>
  <c r="AB127" i="44"/>
  <c r="AA127" i="44"/>
  <c r="AI127" i="44" s="1"/>
  <c r="Z127" i="44"/>
  <c r="U127" i="44"/>
  <c r="AK126" i="44"/>
  <c r="AH126" i="44"/>
  <c r="AF126" i="44"/>
  <c r="AE126" i="44"/>
  <c r="AD126" i="44"/>
  <c r="AB126" i="44"/>
  <c r="AA126" i="44"/>
  <c r="AI126" i="44" s="1"/>
  <c r="Z126" i="44"/>
  <c r="U126" i="44"/>
  <c r="AK125" i="44"/>
  <c r="AH125" i="44"/>
  <c r="AF125" i="44"/>
  <c r="AE125" i="44"/>
  <c r="AD125" i="44"/>
  <c r="AB125" i="44"/>
  <c r="AA125" i="44"/>
  <c r="AI125" i="44" s="1"/>
  <c r="Z125" i="44"/>
  <c r="U125" i="44"/>
  <c r="AK124" i="44"/>
  <c r="AH124" i="44"/>
  <c r="AF124" i="44"/>
  <c r="AE124" i="44"/>
  <c r="AD124" i="44"/>
  <c r="AB124" i="44"/>
  <c r="AA124" i="44"/>
  <c r="AI124" i="44" s="1"/>
  <c r="Z124" i="44"/>
  <c r="U124" i="44"/>
  <c r="AK123" i="44"/>
  <c r="AH123" i="44"/>
  <c r="AF123" i="44"/>
  <c r="AE123" i="44"/>
  <c r="AD123" i="44"/>
  <c r="AB123" i="44"/>
  <c r="AA123" i="44"/>
  <c r="AI123" i="44" s="1"/>
  <c r="Z123" i="44"/>
  <c r="U123" i="44"/>
  <c r="AK122" i="44"/>
  <c r="AH122" i="44"/>
  <c r="AF122" i="44"/>
  <c r="AE122" i="44"/>
  <c r="AD122" i="44"/>
  <c r="AB122" i="44"/>
  <c r="AA122" i="44"/>
  <c r="AI122" i="44" s="1"/>
  <c r="Z122" i="44"/>
  <c r="U122" i="44"/>
  <c r="AK121" i="44"/>
  <c r="AH121" i="44"/>
  <c r="AF121" i="44"/>
  <c r="AE121" i="44"/>
  <c r="AD121" i="44"/>
  <c r="AB121" i="44"/>
  <c r="AA121" i="44"/>
  <c r="AI121" i="44" s="1"/>
  <c r="Z121" i="44"/>
  <c r="U121" i="44"/>
  <c r="AK120" i="44"/>
  <c r="AH120" i="44"/>
  <c r="AF120" i="44"/>
  <c r="AE120" i="44"/>
  <c r="AD120" i="44"/>
  <c r="AB120" i="44"/>
  <c r="AA120" i="44"/>
  <c r="AI120" i="44" s="1"/>
  <c r="Z120" i="44"/>
  <c r="U120" i="44"/>
  <c r="AK119" i="44"/>
  <c r="AH119" i="44"/>
  <c r="AF119" i="44"/>
  <c r="AE119" i="44"/>
  <c r="AD119" i="44"/>
  <c r="AB119" i="44"/>
  <c r="AA119" i="44"/>
  <c r="AI119" i="44" s="1"/>
  <c r="Z119" i="44"/>
  <c r="U119" i="44"/>
  <c r="AK118" i="44"/>
  <c r="AH118" i="44"/>
  <c r="AF118" i="44"/>
  <c r="AE118" i="44"/>
  <c r="AD118" i="44"/>
  <c r="AB118" i="44"/>
  <c r="AA118" i="44"/>
  <c r="AI118" i="44" s="1"/>
  <c r="Z118" i="44"/>
  <c r="U118" i="44"/>
  <c r="AK117" i="44"/>
  <c r="AH117" i="44"/>
  <c r="AF117" i="44"/>
  <c r="AE117" i="44"/>
  <c r="AD117" i="44"/>
  <c r="AB117" i="44"/>
  <c r="AA117" i="44"/>
  <c r="AI117" i="44" s="1"/>
  <c r="Z117" i="44"/>
  <c r="U117" i="44"/>
  <c r="AK116" i="44"/>
  <c r="AH116" i="44"/>
  <c r="AF116" i="44"/>
  <c r="AE116" i="44"/>
  <c r="AD116" i="44"/>
  <c r="AB116" i="44"/>
  <c r="AA116" i="44"/>
  <c r="AI116" i="44" s="1"/>
  <c r="Z116" i="44"/>
  <c r="U116" i="44"/>
  <c r="AK115" i="44"/>
  <c r="AH115" i="44"/>
  <c r="AF115" i="44"/>
  <c r="AE115" i="44"/>
  <c r="AD115" i="44"/>
  <c r="AB115" i="44"/>
  <c r="AA115" i="44"/>
  <c r="AI115" i="44" s="1"/>
  <c r="Z115" i="44"/>
  <c r="U115" i="44"/>
  <c r="AK114" i="44"/>
  <c r="AH114" i="44"/>
  <c r="AF114" i="44"/>
  <c r="AE114" i="44"/>
  <c r="AD114" i="44"/>
  <c r="AB114" i="44"/>
  <c r="AA114" i="44"/>
  <c r="AI114" i="44" s="1"/>
  <c r="Z114" i="44"/>
  <c r="U114" i="44"/>
  <c r="AK113" i="44"/>
  <c r="AH113" i="44"/>
  <c r="AF113" i="44"/>
  <c r="AE113" i="44"/>
  <c r="AD113" i="44"/>
  <c r="AB113" i="44"/>
  <c r="AA113" i="44"/>
  <c r="AI113" i="44" s="1"/>
  <c r="Z113" i="44"/>
  <c r="U113" i="44"/>
  <c r="AK112" i="44"/>
  <c r="AH112" i="44"/>
  <c r="AF112" i="44"/>
  <c r="AE112" i="44"/>
  <c r="AD112" i="44"/>
  <c r="AB112" i="44"/>
  <c r="AA112" i="44"/>
  <c r="AI112" i="44" s="1"/>
  <c r="Z112" i="44"/>
  <c r="U112" i="44"/>
  <c r="AK111" i="44"/>
  <c r="AH111" i="44"/>
  <c r="AF111" i="44"/>
  <c r="AE111" i="44"/>
  <c r="AD111" i="44"/>
  <c r="AB111" i="44"/>
  <c r="AA111" i="44"/>
  <c r="AI111" i="44" s="1"/>
  <c r="Z111" i="44"/>
  <c r="U111" i="44"/>
  <c r="AK110" i="44"/>
  <c r="AH110" i="44"/>
  <c r="AF110" i="44"/>
  <c r="AE110" i="44"/>
  <c r="AD110" i="44"/>
  <c r="AB110" i="44"/>
  <c r="AA110" i="44"/>
  <c r="AI110" i="44" s="1"/>
  <c r="Z110" i="44"/>
  <c r="U110" i="44"/>
  <c r="AK109" i="44"/>
  <c r="AH109" i="44"/>
  <c r="AF109" i="44"/>
  <c r="AE109" i="44"/>
  <c r="AD109" i="44"/>
  <c r="AB109" i="44"/>
  <c r="AA109" i="44"/>
  <c r="AI109" i="44" s="1"/>
  <c r="Z109" i="44"/>
  <c r="U109" i="44"/>
  <c r="AK108" i="44"/>
  <c r="AH108" i="44"/>
  <c r="AF108" i="44"/>
  <c r="AE108" i="44"/>
  <c r="AD108" i="44"/>
  <c r="AB108" i="44"/>
  <c r="AA108" i="44"/>
  <c r="AI108" i="44" s="1"/>
  <c r="Z108" i="44"/>
  <c r="U108" i="44"/>
  <c r="AK107" i="44"/>
  <c r="AH107" i="44"/>
  <c r="AF107" i="44"/>
  <c r="AE107" i="44"/>
  <c r="AD107" i="44"/>
  <c r="AB107" i="44"/>
  <c r="AA107" i="44"/>
  <c r="AI107" i="44" s="1"/>
  <c r="Z107" i="44"/>
  <c r="U107" i="44"/>
  <c r="AK106" i="44"/>
  <c r="AH106" i="44"/>
  <c r="AF106" i="44"/>
  <c r="AE106" i="44"/>
  <c r="AD106" i="44"/>
  <c r="AB106" i="44"/>
  <c r="AA106" i="44"/>
  <c r="AI106" i="44" s="1"/>
  <c r="Z106" i="44"/>
  <c r="U106" i="44"/>
  <c r="AK105" i="44"/>
  <c r="AH105" i="44"/>
  <c r="AF105" i="44"/>
  <c r="AE105" i="44"/>
  <c r="AD105" i="44"/>
  <c r="AB105" i="44"/>
  <c r="AA105" i="44"/>
  <c r="AI105" i="44" s="1"/>
  <c r="Z105" i="44"/>
  <c r="U105" i="44"/>
  <c r="AK104" i="44"/>
  <c r="AH104" i="44"/>
  <c r="AF104" i="44"/>
  <c r="AE104" i="44"/>
  <c r="AD104" i="44"/>
  <c r="AB104" i="44"/>
  <c r="AA104" i="44"/>
  <c r="AI104" i="44" s="1"/>
  <c r="Z104" i="44"/>
  <c r="U104" i="44"/>
  <c r="AK103" i="44"/>
  <c r="AH103" i="44"/>
  <c r="AF103" i="44"/>
  <c r="AE103" i="44"/>
  <c r="AD103" i="44"/>
  <c r="AB103" i="44"/>
  <c r="AA103" i="44"/>
  <c r="AI103" i="44" s="1"/>
  <c r="Z103" i="44"/>
  <c r="U103" i="44"/>
  <c r="AK102" i="44"/>
  <c r="AH102" i="44"/>
  <c r="AF102" i="44"/>
  <c r="AE102" i="44"/>
  <c r="AD102" i="44"/>
  <c r="AB102" i="44"/>
  <c r="AA102" i="44"/>
  <c r="AI102" i="44" s="1"/>
  <c r="Z102" i="44"/>
  <c r="U102" i="44"/>
  <c r="AK101" i="44"/>
  <c r="AH101" i="44"/>
  <c r="AF101" i="44"/>
  <c r="AE101" i="44"/>
  <c r="AD101" i="44"/>
  <c r="AB101" i="44"/>
  <c r="AA101" i="44"/>
  <c r="AI101" i="44" s="1"/>
  <c r="Z101" i="44"/>
  <c r="U101" i="44"/>
  <c r="AK100" i="44"/>
  <c r="AH100" i="44"/>
  <c r="AF100" i="44"/>
  <c r="AE100" i="44"/>
  <c r="AD100" i="44"/>
  <c r="AB100" i="44"/>
  <c r="AA100" i="44"/>
  <c r="AI100" i="44" s="1"/>
  <c r="Z100" i="44"/>
  <c r="U100" i="44"/>
  <c r="AK99" i="44"/>
  <c r="AH99" i="44"/>
  <c r="AF99" i="44"/>
  <c r="AE99" i="44"/>
  <c r="AD99" i="44"/>
  <c r="AB99" i="44"/>
  <c r="AA99" i="44"/>
  <c r="AI99" i="44" s="1"/>
  <c r="Z99" i="44"/>
  <c r="U99" i="44"/>
  <c r="AK98" i="44"/>
  <c r="AH98" i="44"/>
  <c r="AF98" i="44"/>
  <c r="AE98" i="44"/>
  <c r="AD98" i="44"/>
  <c r="AB98" i="44"/>
  <c r="AA98" i="44"/>
  <c r="AI98" i="44" s="1"/>
  <c r="Z98" i="44"/>
  <c r="U98" i="44"/>
  <c r="AK97" i="44"/>
  <c r="AH97" i="44"/>
  <c r="AF97" i="44"/>
  <c r="AE97" i="44"/>
  <c r="AD97" i="44"/>
  <c r="AB97" i="44"/>
  <c r="AA97" i="44"/>
  <c r="AI97" i="44" s="1"/>
  <c r="Z97" i="44"/>
  <c r="U97" i="44"/>
  <c r="AK96" i="44"/>
  <c r="AH96" i="44"/>
  <c r="AF96" i="44"/>
  <c r="AE96" i="44"/>
  <c r="AD96" i="44"/>
  <c r="AB96" i="44"/>
  <c r="AA96" i="44"/>
  <c r="AI96" i="44" s="1"/>
  <c r="Z96" i="44"/>
  <c r="U96" i="44"/>
  <c r="AK95" i="44"/>
  <c r="AH95" i="44"/>
  <c r="AF95" i="44"/>
  <c r="AE95" i="44"/>
  <c r="AD95" i="44"/>
  <c r="AB95" i="44"/>
  <c r="AA95" i="44"/>
  <c r="AI95" i="44" s="1"/>
  <c r="Z95" i="44"/>
  <c r="U95" i="44"/>
  <c r="AK94" i="44"/>
  <c r="AH94" i="44"/>
  <c r="AF94" i="44"/>
  <c r="AE94" i="44"/>
  <c r="AD94" i="44"/>
  <c r="AB94" i="44"/>
  <c r="AA94" i="44"/>
  <c r="AI94" i="44" s="1"/>
  <c r="Z94" i="44"/>
  <c r="U94" i="44"/>
  <c r="AK93" i="44"/>
  <c r="AH93" i="44"/>
  <c r="AF93" i="44"/>
  <c r="AE93" i="44"/>
  <c r="AD93" i="44"/>
  <c r="AB93" i="44"/>
  <c r="AA93" i="44"/>
  <c r="AI93" i="44" s="1"/>
  <c r="Z93" i="44"/>
  <c r="U93" i="44"/>
  <c r="AK92" i="44"/>
  <c r="AH92" i="44"/>
  <c r="AF92" i="44"/>
  <c r="AE92" i="44"/>
  <c r="AD92" i="44"/>
  <c r="AB92" i="44"/>
  <c r="AA92" i="44"/>
  <c r="AI92" i="44" s="1"/>
  <c r="Z92" i="44"/>
  <c r="U92" i="44"/>
  <c r="AK91" i="44"/>
  <c r="AH91" i="44"/>
  <c r="AF91" i="44"/>
  <c r="AE91" i="44"/>
  <c r="AD91" i="44"/>
  <c r="AB91" i="44"/>
  <c r="AA91" i="44"/>
  <c r="AI91" i="44" s="1"/>
  <c r="Z91" i="44"/>
  <c r="U91" i="44"/>
  <c r="AK90" i="44"/>
  <c r="AH90" i="44"/>
  <c r="AF90" i="44"/>
  <c r="AE90" i="44"/>
  <c r="AD90" i="44"/>
  <c r="AB90" i="44"/>
  <c r="AA90" i="44"/>
  <c r="AI90" i="44" s="1"/>
  <c r="Z90" i="44"/>
  <c r="U90" i="44"/>
  <c r="AK89" i="44"/>
  <c r="AH89" i="44"/>
  <c r="AF89" i="44"/>
  <c r="AE89" i="44"/>
  <c r="AD89" i="44"/>
  <c r="AB89" i="44"/>
  <c r="AA89" i="44"/>
  <c r="AI89" i="44" s="1"/>
  <c r="Z89" i="44"/>
  <c r="U89" i="44"/>
  <c r="AK88" i="44"/>
  <c r="AH88" i="44"/>
  <c r="AF88" i="44"/>
  <c r="AE88" i="44"/>
  <c r="AD88" i="44"/>
  <c r="AB88" i="44"/>
  <c r="AA88" i="44"/>
  <c r="AI88" i="44" s="1"/>
  <c r="Z88" i="44"/>
  <c r="U88" i="44"/>
  <c r="AK87" i="44"/>
  <c r="AH87" i="44"/>
  <c r="AF87" i="44"/>
  <c r="AE87" i="44"/>
  <c r="AD87" i="44"/>
  <c r="AB87" i="44"/>
  <c r="AA87" i="44"/>
  <c r="AI87" i="44" s="1"/>
  <c r="Z87" i="44"/>
  <c r="U87" i="44"/>
  <c r="AK86" i="44"/>
  <c r="AH86" i="44"/>
  <c r="AF86" i="44"/>
  <c r="AE86" i="44"/>
  <c r="AD86" i="44"/>
  <c r="AB86" i="44"/>
  <c r="AA86" i="44"/>
  <c r="AI86" i="44" s="1"/>
  <c r="Z86" i="44"/>
  <c r="U86" i="44"/>
  <c r="AK85" i="44"/>
  <c r="AH85" i="44"/>
  <c r="AF85" i="44"/>
  <c r="AE85" i="44"/>
  <c r="AD85" i="44"/>
  <c r="AB85" i="44"/>
  <c r="AA85" i="44"/>
  <c r="AI85" i="44" s="1"/>
  <c r="Z85" i="44"/>
  <c r="U85" i="44"/>
  <c r="AK84" i="44"/>
  <c r="AH84" i="44"/>
  <c r="AF84" i="44"/>
  <c r="AE84" i="44"/>
  <c r="AD84" i="44"/>
  <c r="AB84" i="44"/>
  <c r="AA84" i="44"/>
  <c r="AI84" i="44" s="1"/>
  <c r="Z84" i="44"/>
  <c r="U84" i="44"/>
  <c r="AK83" i="44"/>
  <c r="AH83" i="44"/>
  <c r="AF83" i="44"/>
  <c r="AE83" i="44"/>
  <c r="AD83" i="44"/>
  <c r="AB83" i="44"/>
  <c r="AA83" i="44"/>
  <c r="AI83" i="44" s="1"/>
  <c r="Z83" i="44"/>
  <c r="U83" i="44"/>
  <c r="AK82" i="44"/>
  <c r="AH82" i="44"/>
  <c r="AF82" i="44"/>
  <c r="AE82" i="44"/>
  <c r="AD82" i="44"/>
  <c r="AB82" i="44"/>
  <c r="AA82" i="44"/>
  <c r="AI82" i="44" s="1"/>
  <c r="Z82" i="44"/>
  <c r="U82" i="44"/>
  <c r="AK81" i="44"/>
  <c r="AH81" i="44"/>
  <c r="AF81" i="44"/>
  <c r="AE81" i="44"/>
  <c r="AD81" i="44"/>
  <c r="AB81" i="44"/>
  <c r="AA81" i="44"/>
  <c r="AI81" i="44" s="1"/>
  <c r="Z81" i="44"/>
  <c r="U81" i="44"/>
  <c r="AK80" i="44"/>
  <c r="AH80" i="44"/>
  <c r="AF80" i="44"/>
  <c r="AE80" i="44"/>
  <c r="AD80" i="44"/>
  <c r="AB80" i="44"/>
  <c r="AA80" i="44"/>
  <c r="AI80" i="44" s="1"/>
  <c r="Z80" i="44"/>
  <c r="U80" i="44"/>
  <c r="AK79" i="44"/>
  <c r="AH79" i="44"/>
  <c r="AF79" i="44"/>
  <c r="AE79" i="44"/>
  <c r="AD79" i="44"/>
  <c r="AB79" i="44"/>
  <c r="AA79" i="44"/>
  <c r="AI79" i="44" s="1"/>
  <c r="Z79" i="44"/>
  <c r="U79" i="44"/>
  <c r="AK78" i="44"/>
  <c r="AH78" i="44"/>
  <c r="AF78" i="44"/>
  <c r="AE78" i="44"/>
  <c r="AD78" i="44"/>
  <c r="AB78" i="44"/>
  <c r="AA78" i="44"/>
  <c r="AI78" i="44" s="1"/>
  <c r="Z78" i="44"/>
  <c r="U78" i="44"/>
  <c r="AK77" i="44"/>
  <c r="AH77" i="44"/>
  <c r="AF77" i="44"/>
  <c r="AE77" i="44"/>
  <c r="AD77" i="44"/>
  <c r="AB77" i="44"/>
  <c r="AA77" i="44"/>
  <c r="AI77" i="44" s="1"/>
  <c r="Z77" i="44"/>
  <c r="U77" i="44"/>
  <c r="AK76" i="44"/>
  <c r="AH76" i="44"/>
  <c r="AF76" i="44"/>
  <c r="AE76" i="44"/>
  <c r="AD76" i="44"/>
  <c r="AB76" i="44"/>
  <c r="AA76" i="44"/>
  <c r="AI76" i="44" s="1"/>
  <c r="Z76" i="44"/>
  <c r="U76" i="44"/>
  <c r="AK75" i="44"/>
  <c r="AH75" i="44"/>
  <c r="AF75" i="44"/>
  <c r="AE75" i="44"/>
  <c r="AD75" i="44"/>
  <c r="AB75" i="44"/>
  <c r="AA75" i="44"/>
  <c r="AI75" i="44" s="1"/>
  <c r="Z75" i="44"/>
  <c r="U75" i="44"/>
  <c r="AK74" i="44"/>
  <c r="AH74" i="44"/>
  <c r="AF74" i="44"/>
  <c r="AE74" i="44"/>
  <c r="AD74" i="44"/>
  <c r="AB74" i="44"/>
  <c r="AA74" i="44"/>
  <c r="AI74" i="44" s="1"/>
  <c r="Z74" i="44"/>
  <c r="U74" i="44"/>
  <c r="AK73" i="44"/>
  <c r="AH73" i="44"/>
  <c r="AF73" i="44"/>
  <c r="AE73" i="44"/>
  <c r="AD73" i="44"/>
  <c r="AB73" i="44"/>
  <c r="AA73" i="44"/>
  <c r="AI73" i="44" s="1"/>
  <c r="Z73" i="44"/>
  <c r="U73" i="44"/>
  <c r="AK72" i="44"/>
  <c r="AH72" i="44"/>
  <c r="AF72" i="44"/>
  <c r="AE72" i="44"/>
  <c r="AD72" i="44"/>
  <c r="AB72" i="44"/>
  <c r="AA72" i="44"/>
  <c r="AI72" i="44" s="1"/>
  <c r="Z72" i="44"/>
  <c r="U72" i="44"/>
  <c r="AK71" i="44"/>
  <c r="AH71" i="44"/>
  <c r="AF71" i="44"/>
  <c r="AE71" i="44"/>
  <c r="AD71" i="44"/>
  <c r="AB71" i="44"/>
  <c r="AA71" i="44"/>
  <c r="AI71" i="44" s="1"/>
  <c r="Z71" i="44"/>
  <c r="U71" i="44"/>
  <c r="AK70" i="44"/>
  <c r="AH70" i="44"/>
  <c r="AF70" i="44"/>
  <c r="AE70" i="44"/>
  <c r="AD70" i="44"/>
  <c r="AB70" i="44"/>
  <c r="AA70" i="44"/>
  <c r="AI70" i="44" s="1"/>
  <c r="Z70" i="44"/>
  <c r="U70" i="44"/>
  <c r="AK69" i="44"/>
  <c r="AH69" i="44"/>
  <c r="AF69" i="44"/>
  <c r="AE69" i="44"/>
  <c r="AD69" i="44"/>
  <c r="AB69" i="44"/>
  <c r="AA69" i="44"/>
  <c r="AI69" i="44" s="1"/>
  <c r="Z69" i="44"/>
  <c r="U69" i="44"/>
  <c r="AK68" i="44"/>
  <c r="AH68" i="44"/>
  <c r="AF68" i="44"/>
  <c r="AE68" i="44"/>
  <c r="AD68" i="44"/>
  <c r="AB68" i="44"/>
  <c r="AA68" i="44"/>
  <c r="AI68" i="44" s="1"/>
  <c r="Z68" i="44"/>
  <c r="U68" i="44"/>
  <c r="AK67" i="44"/>
  <c r="AH67" i="44"/>
  <c r="AF67" i="44"/>
  <c r="AE67" i="44"/>
  <c r="AD67" i="44"/>
  <c r="AB67" i="44"/>
  <c r="AA67" i="44"/>
  <c r="AI67" i="44" s="1"/>
  <c r="Z67" i="44"/>
  <c r="U67" i="44"/>
  <c r="AK66" i="44"/>
  <c r="AH66" i="44"/>
  <c r="AF66" i="44"/>
  <c r="AE66" i="44"/>
  <c r="AD66" i="44"/>
  <c r="AB66" i="44"/>
  <c r="AA66" i="44"/>
  <c r="AI66" i="44" s="1"/>
  <c r="Z66" i="44"/>
  <c r="U66" i="44"/>
  <c r="AK65" i="44"/>
  <c r="AH65" i="44"/>
  <c r="AF65" i="44"/>
  <c r="AE65" i="44"/>
  <c r="AD65" i="44"/>
  <c r="AB65" i="44"/>
  <c r="AA65" i="44"/>
  <c r="AI65" i="44" s="1"/>
  <c r="Z65" i="44"/>
  <c r="U65" i="44"/>
  <c r="AK64" i="44"/>
  <c r="AH64" i="44"/>
  <c r="AF64" i="44"/>
  <c r="AE64" i="44"/>
  <c r="AD64" i="44"/>
  <c r="AB64" i="44"/>
  <c r="AA64" i="44"/>
  <c r="AI64" i="44" s="1"/>
  <c r="Z64" i="44"/>
  <c r="U64" i="44"/>
  <c r="AK63" i="44"/>
  <c r="AH63" i="44"/>
  <c r="AF63" i="44"/>
  <c r="AE63" i="44"/>
  <c r="AD63" i="44"/>
  <c r="AB63" i="44"/>
  <c r="AA63" i="44"/>
  <c r="AI63" i="44" s="1"/>
  <c r="Z63" i="44"/>
  <c r="U63" i="44"/>
  <c r="AK62" i="44"/>
  <c r="AH62" i="44"/>
  <c r="AF62" i="44"/>
  <c r="AE62" i="44"/>
  <c r="AD62" i="44"/>
  <c r="AB62" i="44"/>
  <c r="AA62" i="44"/>
  <c r="AI62" i="44" s="1"/>
  <c r="Z62" i="44"/>
  <c r="U62" i="44"/>
  <c r="AK61" i="44"/>
  <c r="AH61" i="44"/>
  <c r="AF61" i="44"/>
  <c r="AE61" i="44"/>
  <c r="AD61" i="44"/>
  <c r="AB61" i="44"/>
  <c r="AA61" i="44"/>
  <c r="AI61" i="44" s="1"/>
  <c r="Z61" i="44"/>
  <c r="U61" i="44"/>
  <c r="AK60" i="44"/>
  <c r="AH60" i="44"/>
  <c r="AF60" i="44"/>
  <c r="AE60" i="44"/>
  <c r="AD60" i="44"/>
  <c r="AB60" i="44"/>
  <c r="AA60" i="44"/>
  <c r="AI60" i="44" s="1"/>
  <c r="Z60" i="44"/>
  <c r="U60" i="44"/>
  <c r="AK59" i="44"/>
  <c r="AH59" i="44"/>
  <c r="AF59" i="44"/>
  <c r="AE59" i="44"/>
  <c r="AD59" i="44"/>
  <c r="AB59" i="44"/>
  <c r="AA59" i="44"/>
  <c r="AI59" i="44" s="1"/>
  <c r="Z59" i="44"/>
  <c r="U59" i="44"/>
  <c r="AK58" i="44"/>
  <c r="AH58" i="44"/>
  <c r="AF58" i="44"/>
  <c r="AE58" i="44"/>
  <c r="AD58" i="44"/>
  <c r="AB58" i="44"/>
  <c r="AA58" i="44"/>
  <c r="AI58" i="44" s="1"/>
  <c r="Z58" i="44"/>
  <c r="U58" i="44"/>
  <c r="AK57" i="44"/>
  <c r="AH57" i="44"/>
  <c r="AF57" i="44"/>
  <c r="AE57" i="44"/>
  <c r="AD57" i="44"/>
  <c r="AB57" i="44"/>
  <c r="AA57" i="44"/>
  <c r="AI57" i="44" s="1"/>
  <c r="Z57" i="44"/>
  <c r="U57" i="44"/>
  <c r="AK56" i="44"/>
  <c r="AH56" i="44"/>
  <c r="AF56" i="44"/>
  <c r="AE56" i="44"/>
  <c r="AD56" i="44"/>
  <c r="AB56" i="44"/>
  <c r="AA56" i="44"/>
  <c r="AI56" i="44" s="1"/>
  <c r="Z56" i="44"/>
  <c r="U56" i="44"/>
  <c r="AK55" i="44"/>
  <c r="AH55" i="44"/>
  <c r="AF55" i="44"/>
  <c r="AE55" i="44"/>
  <c r="AD55" i="44"/>
  <c r="AB55" i="44"/>
  <c r="AA55" i="44"/>
  <c r="AI55" i="44" s="1"/>
  <c r="Z55" i="44"/>
  <c r="U55" i="44"/>
  <c r="AK54" i="44"/>
  <c r="AH54" i="44"/>
  <c r="AF54" i="44"/>
  <c r="AE54" i="44"/>
  <c r="AD54" i="44"/>
  <c r="AB54" i="44"/>
  <c r="AA54" i="44"/>
  <c r="AI54" i="44" s="1"/>
  <c r="Z54" i="44"/>
  <c r="U54" i="44"/>
  <c r="AK53" i="44"/>
  <c r="AH53" i="44"/>
  <c r="AF53" i="44"/>
  <c r="AE53" i="44"/>
  <c r="AD53" i="44"/>
  <c r="AB53" i="44"/>
  <c r="AA53" i="44"/>
  <c r="AI53" i="44" s="1"/>
  <c r="Z53" i="44"/>
  <c r="U53" i="44"/>
  <c r="AK52" i="44"/>
  <c r="AH52" i="44"/>
  <c r="AF52" i="44"/>
  <c r="AE52" i="44"/>
  <c r="AD52" i="44"/>
  <c r="AB52" i="44"/>
  <c r="AA52" i="44"/>
  <c r="AI52" i="44" s="1"/>
  <c r="Z52" i="44"/>
  <c r="U52" i="44"/>
  <c r="AK51" i="44"/>
  <c r="AH51" i="44"/>
  <c r="AF51" i="44"/>
  <c r="AE51" i="44"/>
  <c r="AD51" i="44"/>
  <c r="AB51" i="44"/>
  <c r="AA51" i="44"/>
  <c r="AI51" i="44" s="1"/>
  <c r="Z51" i="44"/>
  <c r="U51" i="44"/>
  <c r="AK50" i="44"/>
  <c r="AH50" i="44"/>
  <c r="AF50" i="44"/>
  <c r="AE50" i="44"/>
  <c r="AD50" i="44"/>
  <c r="AB50" i="44"/>
  <c r="AA50" i="44"/>
  <c r="AI50" i="44" s="1"/>
  <c r="Z50" i="44"/>
  <c r="U50" i="44"/>
  <c r="AK49" i="44"/>
  <c r="AH49" i="44"/>
  <c r="AF49" i="44"/>
  <c r="AE49" i="44"/>
  <c r="AD49" i="44"/>
  <c r="AB49" i="44"/>
  <c r="AA49" i="44"/>
  <c r="AI49" i="44" s="1"/>
  <c r="Z49" i="44"/>
  <c r="U49" i="44"/>
  <c r="AK48" i="44"/>
  <c r="AH48" i="44"/>
  <c r="AF48" i="44"/>
  <c r="AE48" i="44"/>
  <c r="AD48" i="44"/>
  <c r="AB48" i="44"/>
  <c r="AA48" i="44"/>
  <c r="AI48" i="44" s="1"/>
  <c r="Z48" i="44"/>
  <c r="U48" i="44"/>
  <c r="AK47" i="44"/>
  <c r="AH47" i="44"/>
  <c r="AF47" i="44"/>
  <c r="AE47" i="44"/>
  <c r="AD47" i="44"/>
  <c r="AB47" i="44"/>
  <c r="AA47" i="44"/>
  <c r="AI47" i="44" s="1"/>
  <c r="Z47" i="44"/>
  <c r="U47" i="44"/>
  <c r="AK46" i="44"/>
  <c r="AH46" i="44"/>
  <c r="AF46" i="44"/>
  <c r="AE46" i="44"/>
  <c r="AD46" i="44"/>
  <c r="AB46" i="44"/>
  <c r="AA46" i="44"/>
  <c r="AI46" i="44" s="1"/>
  <c r="Z46" i="44"/>
  <c r="U46" i="44"/>
  <c r="A46" i="44"/>
  <c r="A47" i="44" s="1"/>
  <c r="A48" i="44" s="1"/>
  <c r="A49" i="44" s="1"/>
  <c r="A50" i="44" s="1"/>
  <c r="A51" i="44" s="1"/>
  <c r="A52" i="44" s="1"/>
  <c r="A53" i="44" s="1"/>
  <c r="A54" i="44" s="1"/>
  <c r="A55" i="44" s="1"/>
  <c r="A56" i="44" s="1"/>
  <c r="A57" i="44" s="1"/>
  <c r="A58" i="44" s="1"/>
  <c r="A59" i="44" s="1"/>
  <c r="A60" i="44" s="1"/>
  <c r="A61" i="44" s="1"/>
  <c r="A62" i="44" s="1"/>
  <c r="A63" i="44" s="1"/>
  <c r="A64" i="44" s="1"/>
  <c r="A65" i="44" s="1"/>
  <c r="A66" i="44" s="1"/>
  <c r="A67" i="44" s="1"/>
  <c r="A68" i="44" s="1"/>
  <c r="A69" i="44" s="1"/>
  <c r="A70" i="44" s="1"/>
  <c r="A71" i="44" s="1"/>
  <c r="A72" i="44" s="1"/>
  <c r="A73" i="44" s="1"/>
  <c r="A74" i="44" s="1"/>
  <c r="A75" i="44" s="1"/>
  <c r="A76" i="44" s="1"/>
  <c r="A77" i="44" s="1"/>
  <c r="A78" i="44" s="1"/>
  <c r="A79" i="44" s="1"/>
  <c r="A80" i="44" s="1"/>
  <c r="A81" i="44" s="1"/>
  <c r="A82" i="44" s="1"/>
  <c r="A83" i="44" s="1"/>
  <c r="A84" i="44" s="1"/>
  <c r="A85" i="44" s="1"/>
  <c r="A86" i="44" s="1"/>
  <c r="A87" i="44" s="1"/>
  <c r="A88" i="44" s="1"/>
  <c r="A89" i="44" s="1"/>
  <c r="A90" i="44" s="1"/>
  <c r="A91" i="44" s="1"/>
  <c r="A92" i="44" s="1"/>
  <c r="A93" i="44" s="1"/>
  <c r="A94" i="44" s="1"/>
  <c r="A95" i="44" s="1"/>
  <c r="A96" i="44" s="1"/>
  <c r="A97" i="44" s="1"/>
  <c r="A98" i="44" s="1"/>
  <c r="A99" i="44" s="1"/>
  <c r="A100" i="44" s="1"/>
  <c r="A101" i="44" s="1"/>
  <c r="A102" i="44" s="1"/>
  <c r="A103" i="44" s="1"/>
  <c r="A104" i="44" s="1"/>
  <c r="A105" i="44" s="1"/>
  <c r="A106" i="44" s="1"/>
  <c r="A107" i="44" s="1"/>
  <c r="A108" i="44" s="1"/>
  <c r="A109" i="44" s="1"/>
  <c r="A110" i="44" s="1"/>
  <c r="A111" i="44" s="1"/>
  <c r="A112" i="44" s="1"/>
  <c r="A113" i="44" s="1"/>
  <c r="A114" i="44" s="1"/>
  <c r="A115" i="44" s="1"/>
  <c r="A116" i="44" s="1"/>
  <c r="A117" i="44" s="1"/>
  <c r="A118" i="44" s="1"/>
  <c r="A119" i="44" s="1"/>
  <c r="A120" i="44" s="1"/>
  <c r="A121" i="44" s="1"/>
  <c r="A122" i="44" s="1"/>
  <c r="A123" i="44" s="1"/>
  <c r="A124" i="44" s="1"/>
  <c r="A125" i="44" s="1"/>
  <c r="A126" i="44" s="1"/>
  <c r="A127" i="44" s="1"/>
  <c r="A128" i="44" s="1"/>
  <c r="A129" i="44" s="1"/>
  <c r="A130" i="44" s="1"/>
  <c r="A131" i="44" s="1"/>
  <c r="A132" i="44" s="1"/>
  <c r="A133" i="44" s="1"/>
  <c r="A134" i="44" s="1"/>
  <c r="A135" i="44" s="1"/>
  <c r="A136" i="44" s="1"/>
  <c r="A137" i="44" s="1"/>
  <c r="A138" i="44" s="1"/>
  <c r="A139" i="44" s="1"/>
  <c r="A140" i="44" s="1"/>
  <c r="A141" i="44" s="1"/>
  <c r="A142" i="44" s="1"/>
  <c r="A143" i="44" s="1"/>
  <c r="A144" i="44" s="1"/>
  <c r="A145" i="44" s="1"/>
  <c r="A146" i="44" s="1"/>
  <c r="A147" i="44" s="1"/>
  <c r="A148" i="44" s="1"/>
  <c r="A149" i="44" s="1"/>
  <c r="AK45" i="44"/>
  <c r="AH45" i="44"/>
  <c r="AH304" i="44" s="1"/>
  <c r="AF45" i="44"/>
  <c r="AF304" i="44" s="1"/>
  <c r="AE45" i="44"/>
  <c r="AE304" i="44" s="1"/>
  <c r="AD45" i="44"/>
  <c r="AD304" i="44" s="1"/>
  <c r="AB45" i="44"/>
  <c r="AB304" i="44" s="1"/>
  <c r="AA45" i="44"/>
  <c r="AA304" i="44" s="1"/>
  <c r="Z45" i="44"/>
  <c r="Z304" i="44" s="1"/>
  <c r="U45" i="44"/>
  <c r="U304" i="44" s="1"/>
  <c r="H45" i="44"/>
  <c r="AC42" i="44"/>
  <c r="S42" i="44"/>
  <c r="AK41" i="44"/>
  <c r="AH41" i="44"/>
  <c r="AF41" i="44"/>
  <c r="AE41" i="44"/>
  <c r="AD41" i="44"/>
  <c r="AB41" i="44"/>
  <c r="AA41" i="44"/>
  <c r="AI41" i="44" s="1"/>
  <c r="Z41" i="44"/>
  <c r="U41" i="44"/>
  <c r="AK38" i="44"/>
  <c r="AH38" i="44"/>
  <c r="AF38" i="44"/>
  <c r="AE38" i="44"/>
  <c r="AD38" i="44"/>
  <c r="AB38" i="44"/>
  <c r="AA38" i="44"/>
  <c r="AI38" i="44" s="1"/>
  <c r="Z38" i="44"/>
  <c r="U38" i="44"/>
  <c r="AK37" i="44"/>
  <c r="AH37" i="44"/>
  <c r="AF37" i="44"/>
  <c r="AE37" i="44"/>
  <c r="AD37" i="44"/>
  <c r="AB37" i="44"/>
  <c r="AA37" i="44"/>
  <c r="AI37" i="44" s="1"/>
  <c r="Z37" i="44"/>
  <c r="U37" i="44"/>
  <c r="AK36" i="44"/>
  <c r="AH36" i="44"/>
  <c r="AF36" i="44"/>
  <c r="AE36" i="44"/>
  <c r="AD36" i="44"/>
  <c r="AB36" i="44"/>
  <c r="AA36" i="44"/>
  <c r="AI36" i="44" s="1"/>
  <c r="Z36" i="44"/>
  <c r="U36" i="44"/>
  <c r="AK35" i="44"/>
  <c r="AH35" i="44"/>
  <c r="AF35" i="44"/>
  <c r="AE35" i="44"/>
  <c r="AD35" i="44"/>
  <c r="AB35" i="44"/>
  <c r="AA35" i="44"/>
  <c r="AI35" i="44" s="1"/>
  <c r="Z35" i="44"/>
  <c r="U35" i="44"/>
  <c r="AK34" i="44"/>
  <c r="AH34" i="44"/>
  <c r="AF34" i="44"/>
  <c r="AE34" i="44"/>
  <c r="AD34" i="44"/>
  <c r="AB34" i="44"/>
  <c r="AA34" i="44"/>
  <c r="AI34" i="44" s="1"/>
  <c r="Z34" i="44"/>
  <c r="U34" i="44"/>
  <c r="AK33" i="44"/>
  <c r="AH33" i="44"/>
  <c r="AF33" i="44"/>
  <c r="AE33" i="44"/>
  <c r="AD33" i="44"/>
  <c r="AB33" i="44"/>
  <c r="AA33" i="44"/>
  <c r="AI33" i="44" s="1"/>
  <c r="Z33" i="44"/>
  <c r="U33" i="44"/>
  <c r="AK32" i="44"/>
  <c r="AH32" i="44"/>
  <c r="AF32" i="44"/>
  <c r="AE32" i="44"/>
  <c r="AD32" i="44"/>
  <c r="AB32" i="44"/>
  <c r="AA32" i="44"/>
  <c r="AI32" i="44" s="1"/>
  <c r="Z32" i="44"/>
  <c r="U32" i="44"/>
  <c r="AK31" i="44"/>
  <c r="AH31" i="44"/>
  <c r="AF31" i="44"/>
  <c r="AE31" i="44"/>
  <c r="AD31" i="44"/>
  <c r="AB31" i="44"/>
  <c r="AA31" i="44"/>
  <c r="AI31" i="44" s="1"/>
  <c r="Z31" i="44"/>
  <c r="U31" i="44"/>
  <c r="AK30" i="44"/>
  <c r="AH30" i="44"/>
  <c r="AF30" i="44"/>
  <c r="AE30" i="44"/>
  <c r="AD30" i="44"/>
  <c r="AB30" i="44"/>
  <c r="AA30" i="44"/>
  <c r="AI30" i="44" s="1"/>
  <c r="Z30" i="44"/>
  <c r="U30" i="44"/>
  <c r="AK29" i="44"/>
  <c r="AH29" i="44"/>
  <c r="AF29" i="44"/>
  <c r="AE29" i="44"/>
  <c r="AD29" i="44"/>
  <c r="AB29" i="44"/>
  <c r="AA29" i="44"/>
  <c r="AI29" i="44" s="1"/>
  <c r="Z29" i="44"/>
  <c r="U29" i="44"/>
  <c r="AK28" i="44"/>
  <c r="AH28" i="44"/>
  <c r="AF28" i="44"/>
  <c r="AE28" i="44"/>
  <c r="AD28" i="44"/>
  <c r="AB28" i="44"/>
  <c r="AA28" i="44"/>
  <c r="AI28" i="44" s="1"/>
  <c r="Z28" i="44"/>
  <c r="U28" i="44"/>
  <c r="AK27" i="44"/>
  <c r="AH27" i="44"/>
  <c r="AF27" i="44"/>
  <c r="AE27" i="44"/>
  <c r="AD27" i="44"/>
  <c r="AB27" i="44"/>
  <c r="AA27" i="44"/>
  <c r="AI27" i="44" s="1"/>
  <c r="Z27" i="44"/>
  <c r="U27" i="44"/>
  <c r="AK26" i="44"/>
  <c r="AH26" i="44"/>
  <c r="AF26" i="44"/>
  <c r="AE26" i="44"/>
  <c r="AD26" i="44"/>
  <c r="AB26" i="44"/>
  <c r="AA26" i="44"/>
  <c r="AI26" i="44" s="1"/>
  <c r="Z26" i="44"/>
  <c r="U26" i="44"/>
  <c r="AK25" i="44"/>
  <c r="AH25" i="44"/>
  <c r="AF25" i="44"/>
  <c r="AE25" i="44"/>
  <c r="AD25" i="44"/>
  <c r="AB25" i="44"/>
  <c r="AA25" i="44"/>
  <c r="AI25" i="44" s="1"/>
  <c r="Z25" i="44"/>
  <c r="U25" i="44"/>
  <c r="AK24" i="44"/>
  <c r="AH24" i="44"/>
  <c r="AF24" i="44"/>
  <c r="AE24" i="44"/>
  <c r="AD24" i="44"/>
  <c r="AB24" i="44"/>
  <c r="AA24" i="44"/>
  <c r="AI24" i="44" s="1"/>
  <c r="Z24" i="44"/>
  <c r="U24" i="44"/>
  <c r="AK23" i="44"/>
  <c r="AH23" i="44"/>
  <c r="AF23" i="44"/>
  <c r="AE23" i="44"/>
  <c r="AD23" i="44"/>
  <c r="AB23" i="44"/>
  <c r="AA23" i="44"/>
  <c r="AI23" i="44" s="1"/>
  <c r="Z23" i="44"/>
  <c r="U23" i="44"/>
  <c r="AK22" i="44"/>
  <c r="AH22" i="44"/>
  <c r="AF22" i="44"/>
  <c r="AE22" i="44"/>
  <c r="AD22" i="44"/>
  <c r="AB22" i="44"/>
  <c r="AA22" i="44"/>
  <c r="AI22" i="44" s="1"/>
  <c r="Z22" i="44"/>
  <c r="U22" i="44"/>
  <c r="AK21" i="44"/>
  <c r="AH21" i="44"/>
  <c r="AF21" i="44"/>
  <c r="AE21" i="44"/>
  <c r="AD21" i="44"/>
  <c r="AB21" i="44"/>
  <c r="AA21" i="44"/>
  <c r="AI21" i="44" s="1"/>
  <c r="Z21" i="44"/>
  <c r="U21" i="44"/>
  <c r="AK20" i="44"/>
  <c r="AH20" i="44"/>
  <c r="AF20" i="44"/>
  <c r="AE20" i="44"/>
  <c r="AD20" i="44"/>
  <c r="AB20" i="44"/>
  <c r="AA20" i="44"/>
  <c r="AI20" i="44" s="1"/>
  <c r="Z20" i="44"/>
  <c r="U20" i="44"/>
  <c r="AK19" i="44"/>
  <c r="AH19" i="44"/>
  <c r="AF19" i="44"/>
  <c r="AE19" i="44"/>
  <c r="AD19" i="44"/>
  <c r="AB19" i="44"/>
  <c r="AA19" i="44"/>
  <c r="AI19" i="44" s="1"/>
  <c r="Z19" i="44"/>
  <c r="U19" i="44"/>
  <c r="AK18" i="44"/>
  <c r="AH18" i="44"/>
  <c r="AF18" i="44"/>
  <c r="AE18" i="44"/>
  <c r="AD18" i="44"/>
  <c r="AB18" i="44"/>
  <c r="AA18" i="44"/>
  <c r="AI18" i="44" s="1"/>
  <c r="Z18" i="44"/>
  <c r="U18" i="44"/>
  <c r="A18" i="44"/>
  <c r="A19" i="44" s="1"/>
  <c r="A20" i="44" s="1"/>
  <c r="A21" i="44" s="1"/>
  <c r="A22" i="44" s="1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A33" i="44" s="1"/>
  <c r="AK17" i="44"/>
  <c r="AH17" i="44"/>
  <c r="AF17" i="44"/>
  <c r="AE17" i="44"/>
  <c r="AD17" i="44"/>
  <c r="AB17" i="44"/>
  <c r="AA17" i="44"/>
  <c r="AI17" i="44" s="1"/>
  <c r="Z17" i="44"/>
  <c r="U17" i="44"/>
  <c r="U42" i="44" s="1"/>
  <c r="H17" i="44"/>
  <c r="S15" i="44"/>
  <c r="AK13" i="44"/>
  <c r="AH13" i="44"/>
  <c r="AH42" i="44" s="1"/>
  <c r="AF13" i="44"/>
  <c r="AF42" i="44" s="1"/>
  <c r="AE13" i="44"/>
  <c r="AE42" i="44" s="1"/>
  <c r="AD13" i="44"/>
  <c r="AD42" i="44" s="1"/>
  <c r="AB13" i="44"/>
  <c r="AB42" i="44" s="1"/>
  <c r="AA13" i="44"/>
  <c r="AA42" i="44" s="1"/>
  <c r="Z13" i="44"/>
  <c r="Z42" i="44" s="1"/>
  <c r="U13" i="44"/>
  <c r="U15" i="44" s="1"/>
  <c r="H13" i="44"/>
  <c r="C1" i="44"/>
  <c r="Z393" i="42"/>
  <c r="V393" i="42"/>
  <c r="S393" i="42"/>
  <c r="AC392" i="42"/>
  <c r="AA392" i="42"/>
  <c r="Y392" i="42"/>
  <c r="X392" i="42"/>
  <c r="W392" i="42"/>
  <c r="U392" i="42"/>
  <c r="T392" i="42"/>
  <c r="AB392" i="42" s="1"/>
  <c r="R392" i="42"/>
  <c r="Q392" i="42"/>
  <c r="N392" i="42"/>
  <c r="M392" i="42"/>
  <c r="AC382" i="42"/>
  <c r="AA382" i="42"/>
  <c r="Y382" i="42"/>
  <c r="X382" i="42"/>
  <c r="W382" i="42"/>
  <c r="U382" i="42"/>
  <c r="T382" i="42"/>
  <c r="AB382" i="42" s="1"/>
  <c r="R382" i="42"/>
  <c r="Q382" i="42"/>
  <c r="N382" i="42"/>
  <c r="M382" i="42"/>
  <c r="AC381" i="42"/>
  <c r="AA381" i="42"/>
  <c r="Y381" i="42"/>
  <c r="X381" i="42"/>
  <c r="W381" i="42"/>
  <c r="U381" i="42"/>
  <c r="T381" i="42"/>
  <c r="AB381" i="42" s="1"/>
  <c r="R381" i="42"/>
  <c r="Q381" i="42"/>
  <c r="N381" i="42"/>
  <c r="M381" i="42"/>
  <c r="AC380" i="42"/>
  <c r="AA380" i="42"/>
  <c r="Y380" i="42"/>
  <c r="X380" i="42"/>
  <c r="W380" i="42"/>
  <c r="U380" i="42"/>
  <c r="T380" i="42"/>
  <c r="AB380" i="42" s="1"/>
  <c r="R380" i="42"/>
  <c r="Q380" i="42"/>
  <c r="N380" i="42"/>
  <c r="M380" i="42"/>
  <c r="AC379" i="42"/>
  <c r="AA379" i="42"/>
  <c r="Y379" i="42"/>
  <c r="X379" i="42"/>
  <c r="W379" i="42"/>
  <c r="U379" i="42"/>
  <c r="T379" i="42"/>
  <c r="AB379" i="42" s="1"/>
  <c r="R379" i="42"/>
  <c r="Q379" i="42"/>
  <c r="N379" i="42"/>
  <c r="M379" i="42"/>
  <c r="AC378" i="42"/>
  <c r="AA378" i="42"/>
  <c r="Y378" i="42"/>
  <c r="X378" i="42"/>
  <c r="W378" i="42"/>
  <c r="U378" i="42"/>
  <c r="T378" i="42"/>
  <c r="AB378" i="42" s="1"/>
  <c r="R378" i="42"/>
  <c r="Q378" i="42"/>
  <c r="N378" i="42"/>
  <c r="M378" i="42"/>
  <c r="AC377" i="42"/>
  <c r="AA377" i="42"/>
  <c r="Y377" i="42"/>
  <c r="X377" i="42"/>
  <c r="W377" i="42"/>
  <c r="U377" i="42"/>
  <c r="T377" i="42"/>
  <c r="AB377" i="42" s="1"/>
  <c r="R377" i="42"/>
  <c r="Q377" i="42"/>
  <c r="N377" i="42"/>
  <c r="M377" i="42"/>
  <c r="AC376" i="42"/>
  <c r="AA376" i="42"/>
  <c r="Y376" i="42"/>
  <c r="X376" i="42"/>
  <c r="W376" i="42"/>
  <c r="U376" i="42"/>
  <c r="T376" i="42"/>
  <c r="AB376" i="42" s="1"/>
  <c r="R376" i="42"/>
  <c r="Q376" i="42"/>
  <c r="N376" i="42"/>
  <c r="M376" i="42"/>
  <c r="AC375" i="42"/>
  <c r="AA375" i="42"/>
  <c r="Y375" i="42"/>
  <c r="X375" i="42"/>
  <c r="W375" i="42"/>
  <c r="U375" i="42"/>
  <c r="T375" i="42"/>
  <c r="AB375" i="42" s="1"/>
  <c r="R375" i="42"/>
  <c r="Q375" i="42"/>
  <c r="N375" i="42"/>
  <c r="M375" i="42"/>
  <c r="AC374" i="42"/>
  <c r="AA374" i="42"/>
  <c r="Y374" i="42"/>
  <c r="X374" i="42"/>
  <c r="W374" i="42"/>
  <c r="U374" i="42"/>
  <c r="T374" i="42"/>
  <c r="AB374" i="42" s="1"/>
  <c r="R374" i="42"/>
  <c r="Q374" i="42"/>
  <c r="N374" i="42"/>
  <c r="M374" i="42"/>
  <c r="AC373" i="42"/>
  <c r="AA373" i="42"/>
  <c r="Y373" i="42"/>
  <c r="X373" i="42"/>
  <c r="W373" i="42"/>
  <c r="U373" i="42"/>
  <c r="T373" i="42"/>
  <c r="AB373" i="42" s="1"/>
  <c r="R373" i="42"/>
  <c r="Q373" i="42"/>
  <c r="N373" i="42"/>
  <c r="M373" i="42"/>
  <c r="AC372" i="42"/>
  <c r="AA372" i="42"/>
  <c r="Y372" i="42"/>
  <c r="X372" i="42"/>
  <c r="W372" i="42"/>
  <c r="U372" i="42"/>
  <c r="T372" i="42"/>
  <c r="AB372" i="42" s="1"/>
  <c r="R372" i="42"/>
  <c r="Q372" i="42"/>
  <c r="N372" i="42"/>
  <c r="M372" i="42"/>
  <c r="AC371" i="42"/>
  <c r="AA371" i="42"/>
  <c r="Y371" i="42"/>
  <c r="X371" i="42"/>
  <c r="W371" i="42"/>
  <c r="U371" i="42"/>
  <c r="T371" i="42"/>
  <c r="AB371" i="42" s="1"/>
  <c r="R371" i="42"/>
  <c r="Q371" i="42"/>
  <c r="N371" i="42"/>
  <c r="M371" i="42"/>
  <c r="AC370" i="42"/>
  <c r="AA370" i="42"/>
  <c r="Y370" i="42"/>
  <c r="X370" i="42"/>
  <c r="W370" i="42"/>
  <c r="U370" i="42"/>
  <c r="T370" i="42"/>
  <c r="AB370" i="42" s="1"/>
  <c r="R370" i="42"/>
  <c r="Q370" i="42"/>
  <c r="N370" i="42"/>
  <c r="M370" i="42"/>
  <c r="AC369" i="42"/>
  <c r="AA369" i="42"/>
  <c r="Y369" i="42"/>
  <c r="X369" i="42"/>
  <c r="W369" i="42"/>
  <c r="U369" i="42"/>
  <c r="T369" i="42"/>
  <c r="AB369" i="42" s="1"/>
  <c r="R369" i="42"/>
  <c r="Q369" i="42"/>
  <c r="N369" i="42"/>
  <c r="M369" i="42"/>
  <c r="AC368" i="42"/>
  <c r="AA368" i="42"/>
  <c r="Y368" i="42"/>
  <c r="X368" i="42"/>
  <c r="W368" i="42"/>
  <c r="U368" i="42"/>
  <c r="T368" i="42"/>
  <c r="AB368" i="42" s="1"/>
  <c r="R368" i="42"/>
  <c r="Q368" i="42"/>
  <c r="N368" i="42"/>
  <c r="M368" i="42"/>
  <c r="AC367" i="42"/>
  <c r="AA367" i="42"/>
  <c r="Y367" i="42"/>
  <c r="X367" i="42"/>
  <c r="W367" i="42"/>
  <c r="U367" i="42"/>
  <c r="T367" i="42"/>
  <c r="AB367" i="42" s="1"/>
  <c r="R367" i="42"/>
  <c r="Q367" i="42"/>
  <c r="N367" i="42"/>
  <c r="M367" i="42"/>
  <c r="AC366" i="42"/>
  <c r="AA366" i="42"/>
  <c r="Y366" i="42"/>
  <c r="X366" i="42"/>
  <c r="W366" i="42"/>
  <c r="U366" i="42"/>
  <c r="T366" i="42"/>
  <c r="AB366" i="42" s="1"/>
  <c r="R366" i="42"/>
  <c r="Q366" i="42"/>
  <c r="N366" i="42"/>
  <c r="M366" i="42"/>
  <c r="AC365" i="42"/>
  <c r="AA365" i="42"/>
  <c r="Y365" i="42"/>
  <c r="X365" i="42"/>
  <c r="W365" i="42"/>
  <c r="U365" i="42"/>
  <c r="T365" i="42"/>
  <c r="AB365" i="42" s="1"/>
  <c r="R365" i="42"/>
  <c r="Q365" i="42"/>
  <c r="N365" i="42"/>
  <c r="M365" i="42"/>
  <c r="AC364" i="42"/>
  <c r="AA364" i="42"/>
  <c r="Y364" i="42"/>
  <c r="X364" i="42"/>
  <c r="W364" i="42"/>
  <c r="U364" i="42"/>
  <c r="T364" i="42"/>
  <c r="AB364" i="42" s="1"/>
  <c r="R364" i="42"/>
  <c r="Q364" i="42"/>
  <c r="N364" i="42"/>
  <c r="M364" i="42"/>
  <c r="AC363" i="42"/>
  <c r="AA363" i="42"/>
  <c r="Y363" i="42"/>
  <c r="X363" i="42"/>
  <c r="W363" i="42"/>
  <c r="U363" i="42"/>
  <c r="T363" i="42"/>
  <c r="AB363" i="42" s="1"/>
  <c r="R363" i="42"/>
  <c r="Q363" i="42"/>
  <c r="N363" i="42"/>
  <c r="M363" i="42"/>
  <c r="AC362" i="42"/>
  <c r="AA362" i="42"/>
  <c r="Y362" i="42"/>
  <c r="X362" i="42"/>
  <c r="W362" i="42"/>
  <c r="U362" i="42"/>
  <c r="T362" i="42"/>
  <c r="AB362" i="42" s="1"/>
  <c r="R362" i="42"/>
  <c r="Q362" i="42"/>
  <c r="N362" i="42"/>
  <c r="M362" i="42"/>
  <c r="AC361" i="42"/>
  <c r="AA361" i="42"/>
  <c r="Y361" i="42"/>
  <c r="X361" i="42"/>
  <c r="W361" i="42"/>
  <c r="U361" i="42"/>
  <c r="T361" i="42"/>
  <c r="AB361" i="42" s="1"/>
  <c r="R361" i="42"/>
  <c r="Q361" i="42"/>
  <c r="N361" i="42"/>
  <c r="M361" i="42"/>
  <c r="AC360" i="42"/>
  <c r="AA360" i="42"/>
  <c r="Y360" i="42"/>
  <c r="X360" i="42"/>
  <c r="W360" i="42"/>
  <c r="U360" i="42"/>
  <c r="T360" i="42"/>
  <c r="AB360" i="42" s="1"/>
  <c r="R360" i="42"/>
  <c r="Q360" i="42"/>
  <c r="N360" i="42"/>
  <c r="M360" i="42"/>
  <c r="AC359" i="42"/>
  <c r="AA359" i="42"/>
  <c r="Y359" i="42"/>
  <c r="X359" i="42"/>
  <c r="W359" i="42"/>
  <c r="U359" i="42"/>
  <c r="T359" i="42"/>
  <c r="AB359" i="42" s="1"/>
  <c r="R359" i="42"/>
  <c r="Q359" i="42"/>
  <c r="N359" i="42"/>
  <c r="M359" i="42"/>
  <c r="AC358" i="42"/>
  <c r="AA358" i="42"/>
  <c r="Y358" i="42"/>
  <c r="X358" i="42"/>
  <c r="W358" i="42"/>
  <c r="U358" i="42"/>
  <c r="T358" i="42"/>
  <c r="AB358" i="42" s="1"/>
  <c r="R358" i="42"/>
  <c r="Q358" i="42"/>
  <c r="N358" i="42"/>
  <c r="M358" i="42"/>
  <c r="AC357" i="42"/>
  <c r="AA357" i="42"/>
  <c r="Y357" i="42"/>
  <c r="X357" i="42"/>
  <c r="W357" i="42"/>
  <c r="U357" i="42"/>
  <c r="T357" i="42"/>
  <c r="AB357" i="42" s="1"/>
  <c r="R357" i="42"/>
  <c r="Q357" i="42"/>
  <c r="N357" i="42"/>
  <c r="M357" i="42"/>
  <c r="AC356" i="42"/>
  <c r="AA356" i="42"/>
  <c r="Y356" i="42"/>
  <c r="X356" i="42"/>
  <c r="W356" i="42"/>
  <c r="U356" i="42"/>
  <c r="T356" i="42"/>
  <c r="AB356" i="42" s="1"/>
  <c r="R356" i="42"/>
  <c r="Q356" i="42"/>
  <c r="N356" i="42"/>
  <c r="M356" i="42"/>
  <c r="AC355" i="42"/>
  <c r="AA355" i="42"/>
  <c r="Y355" i="42"/>
  <c r="X355" i="42"/>
  <c r="W355" i="42"/>
  <c r="U355" i="42"/>
  <c r="T355" i="42"/>
  <c r="AB355" i="42" s="1"/>
  <c r="R355" i="42"/>
  <c r="Q355" i="42"/>
  <c r="N355" i="42"/>
  <c r="M355" i="42"/>
  <c r="AC354" i="42"/>
  <c r="AA354" i="42"/>
  <c r="Y354" i="42"/>
  <c r="X354" i="42"/>
  <c r="W354" i="42"/>
  <c r="U354" i="42"/>
  <c r="T354" i="42"/>
  <c r="AB354" i="42" s="1"/>
  <c r="R354" i="42"/>
  <c r="Q354" i="42"/>
  <c r="N354" i="42"/>
  <c r="M354" i="42"/>
  <c r="AC353" i="42"/>
  <c r="AA353" i="42"/>
  <c r="Y353" i="42"/>
  <c r="X353" i="42"/>
  <c r="W353" i="42"/>
  <c r="U353" i="42"/>
  <c r="T353" i="42"/>
  <c r="AB353" i="42" s="1"/>
  <c r="R353" i="42"/>
  <c r="Q353" i="42"/>
  <c r="N353" i="42"/>
  <c r="M353" i="42"/>
  <c r="AC352" i="42"/>
  <c r="AA352" i="42"/>
  <c r="Y352" i="42"/>
  <c r="X352" i="42"/>
  <c r="W352" i="42"/>
  <c r="U352" i="42"/>
  <c r="T352" i="42"/>
  <c r="AB352" i="42" s="1"/>
  <c r="R352" i="42"/>
  <c r="Q352" i="42"/>
  <c r="N352" i="42"/>
  <c r="M352" i="42"/>
  <c r="AC351" i="42"/>
  <c r="AA351" i="42"/>
  <c r="Y351" i="42"/>
  <c r="X351" i="42"/>
  <c r="W351" i="42"/>
  <c r="U351" i="42"/>
  <c r="T351" i="42"/>
  <c r="AB351" i="42" s="1"/>
  <c r="R351" i="42"/>
  <c r="Q351" i="42"/>
  <c r="N351" i="42"/>
  <c r="M351" i="42"/>
  <c r="AC350" i="42"/>
  <c r="AA350" i="42"/>
  <c r="Y350" i="42"/>
  <c r="X350" i="42"/>
  <c r="W350" i="42"/>
  <c r="U350" i="42"/>
  <c r="T350" i="42"/>
  <c r="AB350" i="42" s="1"/>
  <c r="R350" i="42"/>
  <c r="Q350" i="42"/>
  <c r="N350" i="42"/>
  <c r="M350" i="42"/>
  <c r="AC349" i="42"/>
  <c r="AA349" i="42"/>
  <c r="Y349" i="42"/>
  <c r="X349" i="42"/>
  <c r="W349" i="42"/>
  <c r="U349" i="42"/>
  <c r="T349" i="42"/>
  <c r="AB349" i="42" s="1"/>
  <c r="R349" i="42"/>
  <c r="Q349" i="42"/>
  <c r="N349" i="42"/>
  <c r="M349" i="42"/>
  <c r="AC348" i="42"/>
  <c r="AA348" i="42"/>
  <c r="Y348" i="42"/>
  <c r="X348" i="42"/>
  <c r="W348" i="42"/>
  <c r="U348" i="42"/>
  <c r="T348" i="42"/>
  <c r="AB348" i="42" s="1"/>
  <c r="R348" i="42"/>
  <c r="Q348" i="42"/>
  <c r="N348" i="42"/>
  <c r="M348" i="42"/>
  <c r="AC347" i="42"/>
  <c r="AA347" i="42"/>
  <c r="Y347" i="42"/>
  <c r="X347" i="42"/>
  <c r="W347" i="42"/>
  <c r="U347" i="42"/>
  <c r="T347" i="42"/>
  <c r="AB347" i="42" s="1"/>
  <c r="R347" i="42"/>
  <c r="Q347" i="42"/>
  <c r="N347" i="42"/>
  <c r="M347" i="42"/>
  <c r="AC346" i="42"/>
  <c r="AA346" i="42"/>
  <c r="Y346" i="42"/>
  <c r="X346" i="42"/>
  <c r="W346" i="42"/>
  <c r="U346" i="42"/>
  <c r="T346" i="42"/>
  <c r="AB346" i="42" s="1"/>
  <c r="R346" i="42"/>
  <c r="Q346" i="42"/>
  <c r="N346" i="42"/>
  <c r="M346" i="42"/>
  <c r="AC345" i="42"/>
  <c r="AA345" i="42"/>
  <c r="Y345" i="42"/>
  <c r="X345" i="42"/>
  <c r="W345" i="42"/>
  <c r="U345" i="42"/>
  <c r="T345" i="42"/>
  <c r="AB345" i="42" s="1"/>
  <c r="R345" i="42"/>
  <c r="Q345" i="42"/>
  <c r="N345" i="42"/>
  <c r="M345" i="42"/>
  <c r="AC344" i="42"/>
  <c r="AA344" i="42"/>
  <c r="Y344" i="42"/>
  <c r="X344" i="42"/>
  <c r="W344" i="42"/>
  <c r="U344" i="42"/>
  <c r="T344" i="42"/>
  <c r="AB344" i="42" s="1"/>
  <c r="R344" i="42"/>
  <c r="Q344" i="42"/>
  <c r="N344" i="42"/>
  <c r="M344" i="42"/>
  <c r="AC343" i="42"/>
  <c r="AA343" i="42"/>
  <c r="Y343" i="42"/>
  <c r="X343" i="42"/>
  <c r="W343" i="42"/>
  <c r="U343" i="42"/>
  <c r="T343" i="42"/>
  <c r="AB343" i="42" s="1"/>
  <c r="R343" i="42"/>
  <c r="Q343" i="42"/>
  <c r="N343" i="42"/>
  <c r="M343" i="42"/>
  <c r="AC342" i="42"/>
  <c r="AA342" i="42"/>
  <c r="Y342" i="42"/>
  <c r="X342" i="42"/>
  <c r="W342" i="42"/>
  <c r="U342" i="42"/>
  <c r="T342" i="42"/>
  <c r="AB342" i="42" s="1"/>
  <c r="R342" i="42"/>
  <c r="Q342" i="42"/>
  <c r="N342" i="42"/>
  <c r="M342" i="42"/>
  <c r="AC341" i="42"/>
  <c r="AA341" i="42"/>
  <c r="Y341" i="42"/>
  <c r="X341" i="42"/>
  <c r="W341" i="42"/>
  <c r="U341" i="42"/>
  <c r="T341" i="42"/>
  <c r="AB341" i="42" s="1"/>
  <c r="R341" i="42"/>
  <c r="Q341" i="42"/>
  <c r="N341" i="42"/>
  <c r="M341" i="42"/>
  <c r="AC340" i="42"/>
  <c r="AA340" i="42"/>
  <c r="Y340" i="42"/>
  <c r="X340" i="42"/>
  <c r="W340" i="42"/>
  <c r="U340" i="42"/>
  <c r="T340" i="42"/>
  <c r="AB340" i="42" s="1"/>
  <c r="R340" i="42"/>
  <c r="Q340" i="42"/>
  <c r="N340" i="42"/>
  <c r="M340" i="42"/>
  <c r="AC339" i="42"/>
  <c r="AA339" i="42"/>
  <c r="Y339" i="42"/>
  <c r="X339" i="42"/>
  <c r="W339" i="42"/>
  <c r="U339" i="42"/>
  <c r="T339" i="42"/>
  <c r="AB339" i="42" s="1"/>
  <c r="R339" i="42"/>
  <c r="Q339" i="42"/>
  <c r="N339" i="42"/>
  <c r="M339" i="42"/>
  <c r="AC338" i="42"/>
  <c r="AA338" i="42"/>
  <c r="Y338" i="42"/>
  <c r="X338" i="42"/>
  <c r="W338" i="42"/>
  <c r="U338" i="42"/>
  <c r="T338" i="42"/>
  <c r="AB338" i="42" s="1"/>
  <c r="R338" i="42"/>
  <c r="Q338" i="42"/>
  <c r="N338" i="42"/>
  <c r="M338" i="42"/>
  <c r="AC337" i="42"/>
  <c r="AA337" i="42"/>
  <c r="Y337" i="42"/>
  <c r="X337" i="42"/>
  <c r="W337" i="42"/>
  <c r="U337" i="42"/>
  <c r="T337" i="42"/>
  <c r="AB337" i="42" s="1"/>
  <c r="R337" i="42"/>
  <c r="Q337" i="42"/>
  <c r="N337" i="42"/>
  <c r="M337" i="42"/>
  <c r="AC336" i="42"/>
  <c r="AA336" i="42"/>
  <c r="Y336" i="42"/>
  <c r="X336" i="42"/>
  <c r="W336" i="42"/>
  <c r="U336" i="42"/>
  <c r="T336" i="42"/>
  <c r="AB336" i="42" s="1"/>
  <c r="R336" i="42"/>
  <c r="Q336" i="42"/>
  <c r="N336" i="42"/>
  <c r="M336" i="42"/>
  <c r="AC335" i="42"/>
  <c r="AA335" i="42"/>
  <c r="Y335" i="42"/>
  <c r="X335" i="42"/>
  <c r="W335" i="42"/>
  <c r="U335" i="42"/>
  <c r="T335" i="42"/>
  <c r="AB335" i="42" s="1"/>
  <c r="R335" i="42"/>
  <c r="Q335" i="42"/>
  <c r="N335" i="42"/>
  <c r="M335" i="42"/>
  <c r="AC334" i="42"/>
  <c r="AA334" i="42"/>
  <c r="Y334" i="42"/>
  <c r="X334" i="42"/>
  <c r="W334" i="42"/>
  <c r="U334" i="42"/>
  <c r="T334" i="42"/>
  <c r="AB334" i="42" s="1"/>
  <c r="R334" i="42"/>
  <c r="Q334" i="42"/>
  <c r="N334" i="42"/>
  <c r="M334" i="42"/>
  <c r="AC333" i="42"/>
  <c r="AA333" i="42"/>
  <c r="Y333" i="42"/>
  <c r="X333" i="42"/>
  <c r="W333" i="42"/>
  <c r="U333" i="42"/>
  <c r="T333" i="42"/>
  <c r="AB333" i="42" s="1"/>
  <c r="R333" i="42"/>
  <c r="Q333" i="42"/>
  <c r="N333" i="42"/>
  <c r="M333" i="42"/>
  <c r="AC332" i="42"/>
  <c r="AA332" i="42"/>
  <c r="Y332" i="42"/>
  <c r="X332" i="42"/>
  <c r="W332" i="42"/>
  <c r="U332" i="42"/>
  <c r="T332" i="42"/>
  <c r="AB332" i="42" s="1"/>
  <c r="R332" i="42"/>
  <c r="Q332" i="42"/>
  <c r="N332" i="42"/>
  <c r="M332" i="42"/>
  <c r="AC331" i="42"/>
  <c r="AA331" i="42"/>
  <c r="Y331" i="42"/>
  <c r="X331" i="42"/>
  <c r="W331" i="42"/>
  <c r="U331" i="42"/>
  <c r="T331" i="42"/>
  <c r="AB331" i="42" s="1"/>
  <c r="R331" i="42"/>
  <c r="Q331" i="42"/>
  <c r="N331" i="42"/>
  <c r="M331" i="42"/>
  <c r="AC330" i="42"/>
  <c r="AA330" i="42"/>
  <c r="Y330" i="42"/>
  <c r="X330" i="42"/>
  <c r="W330" i="42"/>
  <c r="U330" i="42"/>
  <c r="T330" i="42"/>
  <c r="AB330" i="42" s="1"/>
  <c r="R330" i="42"/>
  <c r="Q330" i="42"/>
  <c r="N330" i="42"/>
  <c r="M330" i="42"/>
  <c r="AC329" i="42"/>
  <c r="AA329" i="42"/>
  <c r="Y329" i="42"/>
  <c r="X329" i="42"/>
  <c r="W329" i="42"/>
  <c r="U329" i="42"/>
  <c r="T329" i="42"/>
  <c r="AB329" i="42" s="1"/>
  <c r="R329" i="42"/>
  <c r="Q329" i="42"/>
  <c r="N329" i="42"/>
  <c r="M329" i="42"/>
  <c r="AC327" i="42"/>
  <c r="AA327" i="42"/>
  <c r="Y327" i="42"/>
  <c r="X327" i="42"/>
  <c r="W327" i="42"/>
  <c r="U327" i="42"/>
  <c r="T327" i="42"/>
  <c r="AB327" i="42" s="1"/>
  <c r="R327" i="42"/>
  <c r="Q327" i="42"/>
  <c r="N327" i="42"/>
  <c r="M327" i="42"/>
  <c r="AC326" i="42"/>
  <c r="AA326" i="42"/>
  <c r="Y326" i="42"/>
  <c r="X326" i="42"/>
  <c r="W326" i="42"/>
  <c r="U326" i="42"/>
  <c r="T326" i="42"/>
  <c r="AB326" i="42" s="1"/>
  <c r="R326" i="42"/>
  <c r="Q326" i="42"/>
  <c r="N326" i="42"/>
  <c r="M326" i="42"/>
  <c r="AC325" i="42"/>
  <c r="AA325" i="42"/>
  <c r="Y325" i="42"/>
  <c r="X325" i="42"/>
  <c r="W325" i="42"/>
  <c r="U325" i="42"/>
  <c r="T325" i="42"/>
  <c r="AB325" i="42" s="1"/>
  <c r="R325" i="42"/>
  <c r="Q325" i="42"/>
  <c r="N325" i="42"/>
  <c r="M325" i="42"/>
  <c r="AC324" i="42"/>
  <c r="AA324" i="42"/>
  <c r="Y324" i="42"/>
  <c r="X324" i="42"/>
  <c r="W324" i="42"/>
  <c r="U324" i="42"/>
  <c r="T324" i="42"/>
  <c r="AB324" i="42" s="1"/>
  <c r="R324" i="42"/>
  <c r="Q324" i="42"/>
  <c r="N324" i="42"/>
  <c r="M324" i="42"/>
  <c r="AC323" i="42"/>
  <c r="AA323" i="42"/>
  <c r="Y323" i="42"/>
  <c r="X323" i="42"/>
  <c r="W323" i="42"/>
  <c r="U323" i="42"/>
  <c r="T323" i="42"/>
  <c r="AB323" i="42" s="1"/>
  <c r="R323" i="42"/>
  <c r="Q323" i="42"/>
  <c r="N323" i="42"/>
  <c r="M323" i="42"/>
  <c r="AC322" i="42"/>
  <c r="AA322" i="42"/>
  <c r="Y322" i="42"/>
  <c r="X322" i="42"/>
  <c r="W322" i="42"/>
  <c r="U322" i="42"/>
  <c r="T322" i="42"/>
  <c r="AB322" i="42" s="1"/>
  <c r="R322" i="42"/>
  <c r="Q322" i="42"/>
  <c r="N322" i="42"/>
  <c r="M322" i="42"/>
  <c r="AC321" i="42"/>
  <c r="AA321" i="42"/>
  <c r="Y321" i="42"/>
  <c r="X321" i="42"/>
  <c r="W321" i="42"/>
  <c r="U321" i="42"/>
  <c r="T321" i="42"/>
  <c r="AB321" i="42" s="1"/>
  <c r="R321" i="42"/>
  <c r="Q321" i="42"/>
  <c r="N321" i="42"/>
  <c r="M321" i="42"/>
  <c r="AC320" i="42"/>
  <c r="AA320" i="42"/>
  <c r="Y320" i="42"/>
  <c r="X320" i="42"/>
  <c r="W320" i="42"/>
  <c r="U320" i="42"/>
  <c r="T320" i="42"/>
  <c r="AB320" i="42" s="1"/>
  <c r="R320" i="42"/>
  <c r="Q320" i="42"/>
  <c r="N320" i="42"/>
  <c r="M320" i="42"/>
  <c r="AC319" i="42"/>
  <c r="AA319" i="42"/>
  <c r="Y319" i="42"/>
  <c r="X319" i="42"/>
  <c r="W319" i="42"/>
  <c r="U319" i="42"/>
  <c r="T319" i="42"/>
  <c r="AB319" i="42" s="1"/>
  <c r="R319" i="42"/>
  <c r="Q319" i="42"/>
  <c r="N319" i="42"/>
  <c r="M319" i="42"/>
  <c r="AC318" i="42"/>
  <c r="AA318" i="42"/>
  <c r="Y318" i="42"/>
  <c r="X318" i="42"/>
  <c r="W318" i="42"/>
  <c r="U318" i="42"/>
  <c r="T318" i="42"/>
  <c r="AB318" i="42" s="1"/>
  <c r="R318" i="42"/>
  <c r="Q318" i="42"/>
  <c r="N318" i="42"/>
  <c r="M318" i="42"/>
  <c r="AC317" i="42"/>
  <c r="AA317" i="42"/>
  <c r="Y317" i="42"/>
  <c r="X317" i="42"/>
  <c r="W317" i="42"/>
  <c r="U317" i="42"/>
  <c r="T317" i="42"/>
  <c r="AB317" i="42" s="1"/>
  <c r="R317" i="42"/>
  <c r="Q317" i="42"/>
  <c r="N317" i="42"/>
  <c r="M317" i="42"/>
  <c r="AC316" i="42"/>
  <c r="AA316" i="42"/>
  <c r="Y316" i="42"/>
  <c r="X316" i="42"/>
  <c r="W316" i="42"/>
  <c r="U316" i="42"/>
  <c r="T316" i="42"/>
  <c r="AB316" i="42" s="1"/>
  <c r="R316" i="42"/>
  <c r="Q316" i="42"/>
  <c r="N316" i="42"/>
  <c r="M316" i="42"/>
  <c r="AC315" i="42"/>
  <c r="AA315" i="42"/>
  <c r="Y315" i="42"/>
  <c r="X315" i="42"/>
  <c r="W315" i="42"/>
  <c r="U315" i="42"/>
  <c r="T315" i="42"/>
  <c r="AB315" i="42" s="1"/>
  <c r="R315" i="42"/>
  <c r="Q315" i="42"/>
  <c r="N315" i="42"/>
  <c r="M315" i="42"/>
  <c r="AC314" i="42"/>
  <c r="AA314" i="42"/>
  <c r="Y314" i="42"/>
  <c r="X314" i="42"/>
  <c r="W314" i="42"/>
  <c r="U314" i="42"/>
  <c r="T314" i="42"/>
  <c r="AB314" i="42" s="1"/>
  <c r="R314" i="42"/>
  <c r="Q314" i="42"/>
  <c r="N314" i="42"/>
  <c r="M314" i="42"/>
  <c r="AC313" i="42"/>
  <c r="AA313" i="42"/>
  <c r="Y313" i="42"/>
  <c r="X313" i="42"/>
  <c r="W313" i="42"/>
  <c r="U313" i="42"/>
  <c r="T313" i="42"/>
  <c r="AB313" i="42" s="1"/>
  <c r="R313" i="42"/>
  <c r="Q313" i="42"/>
  <c r="N313" i="42"/>
  <c r="M313" i="42"/>
  <c r="AC312" i="42"/>
  <c r="AA312" i="42"/>
  <c r="Y312" i="42"/>
  <c r="X312" i="42"/>
  <c r="W312" i="42"/>
  <c r="U312" i="42"/>
  <c r="T312" i="42"/>
  <c r="AB312" i="42" s="1"/>
  <c r="R312" i="42"/>
  <c r="Q312" i="42"/>
  <c r="N312" i="42"/>
  <c r="M312" i="42"/>
  <c r="AC311" i="42"/>
  <c r="AA311" i="42"/>
  <c r="Y311" i="42"/>
  <c r="X311" i="42"/>
  <c r="W311" i="42"/>
  <c r="U311" i="42"/>
  <c r="T311" i="42"/>
  <c r="AB311" i="42" s="1"/>
  <c r="R311" i="42"/>
  <c r="Q311" i="42"/>
  <c r="N311" i="42"/>
  <c r="M311" i="42"/>
  <c r="AC310" i="42"/>
  <c r="AA310" i="42"/>
  <c r="Y310" i="42"/>
  <c r="X310" i="42"/>
  <c r="W310" i="42"/>
  <c r="U310" i="42"/>
  <c r="T310" i="42"/>
  <c r="AB310" i="42" s="1"/>
  <c r="R310" i="42"/>
  <c r="Q310" i="42"/>
  <c r="N310" i="42"/>
  <c r="M310" i="42"/>
  <c r="AC309" i="42"/>
  <c r="AA309" i="42"/>
  <c r="Y309" i="42"/>
  <c r="X309" i="42"/>
  <c r="W309" i="42"/>
  <c r="U309" i="42"/>
  <c r="T309" i="42"/>
  <c r="AB309" i="42" s="1"/>
  <c r="R309" i="42"/>
  <c r="Q309" i="42"/>
  <c r="N309" i="42"/>
  <c r="M309" i="42"/>
  <c r="AC308" i="42"/>
  <c r="AA308" i="42"/>
  <c r="Y308" i="42"/>
  <c r="X308" i="42"/>
  <c r="W308" i="42"/>
  <c r="U308" i="42"/>
  <c r="T308" i="42"/>
  <c r="AB308" i="42" s="1"/>
  <c r="R308" i="42"/>
  <c r="Q308" i="42"/>
  <c r="N308" i="42"/>
  <c r="M308" i="42"/>
  <c r="AC307" i="42"/>
  <c r="AA307" i="42"/>
  <c r="Y307" i="42"/>
  <c r="X307" i="42"/>
  <c r="W307" i="42"/>
  <c r="U307" i="42"/>
  <c r="T307" i="42"/>
  <c r="AB307" i="42" s="1"/>
  <c r="R307" i="42"/>
  <c r="Q307" i="42"/>
  <c r="N307" i="42"/>
  <c r="M307" i="42"/>
  <c r="AC306" i="42"/>
  <c r="AA306" i="42"/>
  <c r="Y306" i="42"/>
  <c r="X306" i="42"/>
  <c r="W306" i="42"/>
  <c r="U306" i="42"/>
  <c r="T306" i="42"/>
  <c r="AB306" i="42" s="1"/>
  <c r="R306" i="42"/>
  <c r="Q306" i="42"/>
  <c r="N306" i="42"/>
  <c r="M306" i="42"/>
  <c r="AC305" i="42"/>
  <c r="AA305" i="42"/>
  <c r="Y305" i="42"/>
  <c r="X305" i="42"/>
  <c r="W305" i="42"/>
  <c r="U305" i="42"/>
  <c r="T305" i="42"/>
  <c r="AB305" i="42" s="1"/>
  <c r="R305" i="42"/>
  <c r="Q305" i="42"/>
  <c r="N305" i="42"/>
  <c r="M305" i="42"/>
  <c r="AC304" i="42"/>
  <c r="AA304" i="42"/>
  <c r="Y304" i="42"/>
  <c r="X304" i="42"/>
  <c r="W304" i="42"/>
  <c r="U304" i="42"/>
  <c r="T304" i="42"/>
  <c r="AB304" i="42" s="1"/>
  <c r="R304" i="42"/>
  <c r="Q304" i="42"/>
  <c r="N304" i="42"/>
  <c r="M304" i="42"/>
  <c r="AC303" i="42"/>
  <c r="AA303" i="42"/>
  <c r="Y303" i="42"/>
  <c r="X303" i="42"/>
  <c r="W303" i="42"/>
  <c r="U303" i="42"/>
  <c r="T303" i="42"/>
  <c r="AB303" i="42" s="1"/>
  <c r="R303" i="42"/>
  <c r="Q303" i="42"/>
  <c r="N303" i="42"/>
  <c r="M303" i="42"/>
  <c r="AC302" i="42"/>
  <c r="AA302" i="42"/>
  <c r="Y302" i="42"/>
  <c r="X302" i="42"/>
  <c r="W302" i="42"/>
  <c r="U302" i="42"/>
  <c r="T302" i="42"/>
  <c r="AB302" i="42" s="1"/>
  <c r="R302" i="42"/>
  <c r="Q302" i="42"/>
  <c r="N302" i="42"/>
  <c r="M302" i="42"/>
  <c r="B302" i="42"/>
  <c r="B303" i="42" s="1"/>
  <c r="B304" i="42" s="1"/>
  <c r="B305" i="42" s="1"/>
  <c r="B306" i="42" s="1"/>
  <c r="B307" i="42" s="1"/>
  <c r="B308" i="42" s="1"/>
  <c r="B309" i="42" s="1"/>
  <c r="B310" i="42" s="1"/>
  <c r="B311" i="42" s="1"/>
  <c r="B312" i="42" s="1"/>
  <c r="B313" i="42" s="1"/>
  <c r="B314" i="42" s="1"/>
  <c r="B315" i="42" s="1"/>
  <c r="B316" i="42" s="1"/>
  <c r="B317" i="42" s="1"/>
  <c r="B318" i="42" s="1"/>
  <c r="B319" i="42" s="1"/>
  <c r="B320" i="42" s="1"/>
  <c r="B321" i="42" s="1"/>
  <c r="B322" i="42" s="1"/>
  <c r="B323" i="42" s="1"/>
  <c r="B324" i="42" s="1"/>
  <c r="B325" i="42" s="1"/>
  <c r="B326" i="42" s="1"/>
  <c r="B327" i="42" s="1"/>
  <c r="B328" i="42" s="1"/>
  <c r="B329" i="42" s="1"/>
  <c r="B330" i="42" s="1"/>
  <c r="B331" i="42" s="1"/>
  <c r="B332" i="42" s="1"/>
  <c r="B333" i="42" s="1"/>
  <c r="B334" i="42" s="1"/>
  <c r="B335" i="42" s="1"/>
  <c r="B336" i="42" s="1"/>
  <c r="B337" i="42" s="1"/>
  <c r="B338" i="42" s="1"/>
  <c r="B339" i="42" s="1"/>
  <c r="B340" i="42" s="1"/>
  <c r="B341" i="42" s="1"/>
  <c r="B342" i="42" s="1"/>
  <c r="B343" i="42" s="1"/>
  <c r="B344" i="42" s="1"/>
  <c r="B345" i="42" s="1"/>
  <c r="B346" i="42" s="1"/>
  <c r="B347" i="42" s="1"/>
  <c r="B348" i="42" s="1"/>
  <c r="B349" i="42" s="1"/>
  <c r="B350" i="42" s="1"/>
  <c r="B351" i="42" s="1"/>
  <c r="B352" i="42" s="1"/>
  <c r="B353" i="42" s="1"/>
  <c r="B354" i="42" s="1"/>
  <c r="B355" i="42" s="1"/>
  <c r="B356" i="42" s="1"/>
  <c r="B357" i="42" s="1"/>
  <c r="B358" i="42" s="1"/>
  <c r="B359" i="42" s="1"/>
  <c r="B360" i="42" s="1"/>
  <c r="B361" i="42" s="1"/>
  <c r="B362" i="42" s="1"/>
  <c r="B363" i="42" s="1"/>
  <c r="B364" i="42" s="1"/>
  <c r="B365" i="42" s="1"/>
  <c r="B366" i="42" s="1"/>
  <c r="B367" i="42" s="1"/>
  <c r="B368" i="42" s="1"/>
  <c r="B369" i="42" s="1"/>
  <c r="B370" i="42" s="1"/>
  <c r="B371" i="42" s="1"/>
  <c r="B372" i="42" s="1"/>
  <c r="B373" i="42" s="1"/>
  <c r="B374" i="42" s="1"/>
  <c r="B375" i="42" s="1"/>
  <c r="B376" i="42" s="1"/>
  <c r="B377" i="42" s="1"/>
  <c r="B378" i="42" s="1"/>
  <c r="B379" i="42" s="1"/>
  <c r="B380" i="42" s="1"/>
  <c r="B381" i="42" s="1"/>
  <c r="B382" i="42" s="1"/>
  <c r="B383" i="42" s="1"/>
  <c r="B384" i="42" s="1"/>
  <c r="B385" i="42" s="1"/>
  <c r="B386" i="42" s="1"/>
  <c r="B387" i="42" s="1"/>
  <c r="B388" i="42" s="1"/>
  <c r="B389" i="42" s="1"/>
  <c r="B390" i="42" s="1"/>
  <c r="B391" i="42" s="1"/>
  <c r="B392" i="42" s="1"/>
  <c r="AC301" i="42"/>
  <c r="AC393" i="42" s="1"/>
  <c r="AA301" i="42"/>
  <c r="AA393" i="42" s="1"/>
  <c r="Y301" i="42"/>
  <c r="Y393" i="42" s="1"/>
  <c r="X301" i="42"/>
  <c r="X393" i="42" s="1"/>
  <c r="W301" i="42"/>
  <c r="W393" i="42" s="1"/>
  <c r="U301" i="42"/>
  <c r="U393" i="42" s="1"/>
  <c r="T301" i="42"/>
  <c r="T393" i="42" s="1"/>
  <c r="R301" i="42"/>
  <c r="R393" i="42" s="1"/>
  <c r="Q301" i="42"/>
  <c r="N301" i="42"/>
  <c r="N393" i="42" s="1"/>
  <c r="M301" i="42"/>
  <c r="M393" i="42" s="1"/>
  <c r="AC298" i="42"/>
  <c r="AA298" i="42"/>
  <c r="Y298" i="42"/>
  <c r="X298" i="42"/>
  <c r="W298" i="42"/>
  <c r="U298" i="42"/>
  <c r="T298" i="42"/>
  <c r="AB298" i="42" s="1"/>
  <c r="R298" i="42"/>
  <c r="Q298" i="42"/>
  <c r="N298" i="42"/>
  <c r="M298" i="42"/>
  <c r="AC240" i="42"/>
  <c r="AA240" i="42"/>
  <c r="Y240" i="42"/>
  <c r="X240" i="42"/>
  <c r="W240" i="42"/>
  <c r="U240" i="42"/>
  <c r="T240" i="42"/>
  <c r="AB240" i="42" s="1"/>
  <c r="R240" i="42"/>
  <c r="Q240" i="42"/>
  <c r="N240" i="42"/>
  <c r="M240" i="42"/>
  <c r="AC239" i="42"/>
  <c r="AA239" i="42"/>
  <c r="Y239" i="42"/>
  <c r="X239" i="42"/>
  <c r="W239" i="42"/>
  <c r="U239" i="42"/>
  <c r="T239" i="42"/>
  <c r="AB239" i="42" s="1"/>
  <c r="R239" i="42"/>
  <c r="Q239" i="42"/>
  <c r="N239" i="42"/>
  <c r="M239" i="42"/>
  <c r="AC238" i="42"/>
  <c r="AA238" i="42"/>
  <c r="Y238" i="42"/>
  <c r="X238" i="42"/>
  <c r="W238" i="42"/>
  <c r="U238" i="42"/>
  <c r="T238" i="42"/>
  <c r="AB238" i="42" s="1"/>
  <c r="R238" i="42"/>
  <c r="Q238" i="42"/>
  <c r="N238" i="42"/>
  <c r="M238" i="42"/>
  <c r="AC237" i="42"/>
  <c r="AA237" i="42"/>
  <c r="Y237" i="42"/>
  <c r="X237" i="42"/>
  <c r="W237" i="42"/>
  <c r="U237" i="42"/>
  <c r="T237" i="42"/>
  <c r="AB237" i="42" s="1"/>
  <c r="R237" i="42"/>
  <c r="Q237" i="42"/>
  <c r="N237" i="42"/>
  <c r="M237" i="42"/>
  <c r="AC236" i="42"/>
  <c r="AA236" i="42"/>
  <c r="Y236" i="42"/>
  <c r="X236" i="42"/>
  <c r="W236" i="42"/>
  <c r="U236" i="42"/>
  <c r="T236" i="42"/>
  <c r="AB236" i="42" s="1"/>
  <c r="R236" i="42"/>
  <c r="Q236" i="42"/>
  <c r="N236" i="42"/>
  <c r="M236" i="42"/>
  <c r="AC235" i="42"/>
  <c r="AA235" i="42"/>
  <c r="Y235" i="42"/>
  <c r="X235" i="42"/>
  <c r="W235" i="42"/>
  <c r="U235" i="42"/>
  <c r="T235" i="42"/>
  <c r="AB235" i="42" s="1"/>
  <c r="R235" i="42"/>
  <c r="Q235" i="42"/>
  <c r="N235" i="42"/>
  <c r="M235" i="42"/>
  <c r="AC234" i="42"/>
  <c r="AA234" i="42"/>
  <c r="Y234" i="42"/>
  <c r="X234" i="42"/>
  <c r="W234" i="42"/>
  <c r="U234" i="42"/>
  <c r="T234" i="42"/>
  <c r="AB234" i="42" s="1"/>
  <c r="R234" i="42"/>
  <c r="Q234" i="42"/>
  <c r="N234" i="42"/>
  <c r="M234" i="42"/>
  <c r="AC233" i="42"/>
  <c r="AA233" i="42"/>
  <c r="Y233" i="42"/>
  <c r="X233" i="42"/>
  <c r="W233" i="42"/>
  <c r="U233" i="42"/>
  <c r="T233" i="42"/>
  <c r="AB233" i="42" s="1"/>
  <c r="R233" i="42"/>
  <c r="Q233" i="42"/>
  <c r="N233" i="42"/>
  <c r="M233" i="42"/>
  <c r="AC232" i="42"/>
  <c r="AA232" i="42"/>
  <c r="Y232" i="42"/>
  <c r="X232" i="42"/>
  <c r="W232" i="42"/>
  <c r="U232" i="42"/>
  <c r="T232" i="42"/>
  <c r="AB232" i="42" s="1"/>
  <c r="R232" i="42"/>
  <c r="Q232" i="42"/>
  <c r="N232" i="42"/>
  <c r="M232" i="42"/>
  <c r="AC231" i="42"/>
  <c r="AA231" i="42"/>
  <c r="Y231" i="42"/>
  <c r="X231" i="42"/>
  <c r="W231" i="42"/>
  <c r="U231" i="42"/>
  <c r="T231" i="42"/>
  <c r="AB231" i="42" s="1"/>
  <c r="R231" i="42"/>
  <c r="Q231" i="42"/>
  <c r="N231" i="42"/>
  <c r="M231" i="42"/>
  <c r="AC230" i="42"/>
  <c r="AA230" i="42"/>
  <c r="Y230" i="42"/>
  <c r="X230" i="42"/>
  <c r="W230" i="42"/>
  <c r="U230" i="42"/>
  <c r="T230" i="42"/>
  <c r="AB230" i="42" s="1"/>
  <c r="R230" i="42"/>
  <c r="Q230" i="42"/>
  <c r="N230" i="42"/>
  <c r="M230" i="42"/>
  <c r="AC229" i="42"/>
  <c r="AA229" i="42"/>
  <c r="Y229" i="42"/>
  <c r="X229" i="42"/>
  <c r="W229" i="42"/>
  <c r="U229" i="42"/>
  <c r="T229" i="42"/>
  <c r="AB229" i="42" s="1"/>
  <c r="R229" i="42"/>
  <c r="Q229" i="42"/>
  <c r="N229" i="42"/>
  <c r="M229" i="42"/>
  <c r="AC228" i="42"/>
  <c r="AA228" i="42"/>
  <c r="Y228" i="42"/>
  <c r="X228" i="42"/>
  <c r="W228" i="42"/>
  <c r="U228" i="42"/>
  <c r="T228" i="42"/>
  <c r="AB228" i="42" s="1"/>
  <c r="R228" i="42"/>
  <c r="Q228" i="42"/>
  <c r="N228" i="42"/>
  <c r="M228" i="42"/>
  <c r="AC227" i="42"/>
  <c r="AA227" i="42"/>
  <c r="Y227" i="42"/>
  <c r="X227" i="42"/>
  <c r="W227" i="42"/>
  <c r="U227" i="42"/>
  <c r="T227" i="42"/>
  <c r="AB227" i="42" s="1"/>
  <c r="R227" i="42"/>
  <c r="Q227" i="42"/>
  <c r="N227" i="42"/>
  <c r="M227" i="42"/>
  <c r="AC226" i="42"/>
  <c r="AA226" i="42"/>
  <c r="Y226" i="42"/>
  <c r="X226" i="42"/>
  <c r="W226" i="42"/>
  <c r="U226" i="42"/>
  <c r="T226" i="42"/>
  <c r="AB226" i="42" s="1"/>
  <c r="R226" i="42"/>
  <c r="Q226" i="42"/>
  <c r="N226" i="42"/>
  <c r="M226" i="42"/>
  <c r="AC225" i="42"/>
  <c r="AA225" i="42"/>
  <c r="Y225" i="42"/>
  <c r="X225" i="42"/>
  <c r="W225" i="42"/>
  <c r="U225" i="42"/>
  <c r="T225" i="42"/>
  <c r="AB225" i="42" s="1"/>
  <c r="R225" i="42"/>
  <c r="Q225" i="42"/>
  <c r="N225" i="42"/>
  <c r="M225" i="42"/>
  <c r="AC224" i="42"/>
  <c r="AA224" i="42"/>
  <c r="Y224" i="42"/>
  <c r="X224" i="42"/>
  <c r="W224" i="42"/>
  <c r="U224" i="42"/>
  <c r="T224" i="42"/>
  <c r="AB224" i="42" s="1"/>
  <c r="R224" i="42"/>
  <c r="Q224" i="42"/>
  <c r="N224" i="42"/>
  <c r="M224" i="42"/>
  <c r="AC223" i="42"/>
  <c r="AA223" i="42"/>
  <c r="Y223" i="42"/>
  <c r="X223" i="42"/>
  <c r="W223" i="42"/>
  <c r="U223" i="42"/>
  <c r="T223" i="42"/>
  <c r="AB223" i="42" s="1"/>
  <c r="R223" i="42"/>
  <c r="Q223" i="42"/>
  <c r="N223" i="42"/>
  <c r="M223" i="42"/>
  <c r="AC222" i="42"/>
  <c r="AA222" i="42"/>
  <c r="Y222" i="42"/>
  <c r="X222" i="42"/>
  <c r="W222" i="42"/>
  <c r="U222" i="42"/>
  <c r="T222" i="42"/>
  <c r="AB222" i="42" s="1"/>
  <c r="R222" i="42"/>
  <c r="Q222" i="42"/>
  <c r="N222" i="42"/>
  <c r="M222" i="42"/>
  <c r="AC221" i="42"/>
  <c r="AA221" i="42"/>
  <c r="Y221" i="42"/>
  <c r="X221" i="42"/>
  <c r="W221" i="42"/>
  <c r="U221" i="42"/>
  <c r="T221" i="42"/>
  <c r="AB221" i="42" s="1"/>
  <c r="R221" i="42"/>
  <c r="Q221" i="42"/>
  <c r="N221" i="42"/>
  <c r="M221" i="42"/>
  <c r="AC220" i="42"/>
  <c r="AA220" i="42"/>
  <c r="Y220" i="42"/>
  <c r="X220" i="42"/>
  <c r="W220" i="42"/>
  <c r="U220" i="42"/>
  <c r="T220" i="42"/>
  <c r="AB220" i="42" s="1"/>
  <c r="R220" i="42"/>
  <c r="Q220" i="42"/>
  <c r="N220" i="42"/>
  <c r="M220" i="42"/>
  <c r="AC219" i="42"/>
  <c r="AA219" i="42"/>
  <c r="Y219" i="42"/>
  <c r="X219" i="42"/>
  <c r="W219" i="42"/>
  <c r="U219" i="42"/>
  <c r="T219" i="42"/>
  <c r="AB219" i="42" s="1"/>
  <c r="R219" i="42"/>
  <c r="Q219" i="42"/>
  <c r="N219" i="42"/>
  <c r="M219" i="42"/>
  <c r="AC218" i="42"/>
  <c r="AA218" i="42"/>
  <c r="Y218" i="42"/>
  <c r="X218" i="42"/>
  <c r="W218" i="42"/>
  <c r="U218" i="42"/>
  <c r="T218" i="42"/>
  <c r="AB218" i="42" s="1"/>
  <c r="R218" i="42"/>
  <c r="Q218" i="42"/>
  <c r="N218" i="42"/>
  <c r="M218" i="42"/>
  <c r="AC217" i="42"/>
  <c r="AA217" i="42"/>
  <c r="Y217" i="42"/>
  <c r="X217" i="42"/>
  <c r="W217" i="42"/>
  <c r="U217" i="42"/>
  <c r="T217" i="42"/>
  <c r="AB217" i="42" s="1"/>
  <c r="R217" i="42"/>
  <c r="Q217" i="42"/>
  <c r="N217" i="42"/>
  <c r="M217" i="42"/>
  <c r="AC216" i="42"/>
  <c r="AA216" i="42"/>
  <c r="Y216" i="42"/>
  <c r="X216" i="42"/>
  <c r="W216" i="42"/>
  <c r="U216" i="42"/>
  <c r="T216" i="42"/>
  <c r="AB216" i="42" s="1"/>
  <c r="R216" i="42"/>
  <c r="Q216" i="42"/>
  <c r="N216" i="42"/>
  <c r="M216" i="42"/>
  <c r="AC215" i="42"/>
  <c r="AA215" i="42"/>
  <c r="Y215" i="42"/>
  <c r="X215" i="42"/>
  <c r="W215" i="42"/>
  <c r="U215" i="42"/>
  <c r="T215" i="42"/>
  <c r="AB215" i="42" s="1"/>
  <c r="R215" i="42"/>
  <c r="Q215" i="42"/>
  <c r="N215" i="42"/>
  <c r="M215" i="42"/>
  <c r="AC214" i="42"/>
  <c r="AA214" i="42"/>
  <c r="Y214" i="42"/>
  <c r="X214" i="42"/>
  <c r="W214" i="42"/>
  <c r="U214" i="42"/>
  <c r="T214" i="42"/>
  <c r="AB214" i="42" s="1"/>
  <c r="R214" i="42"/>
  <c r="Q214" i="42"/>
  <c r="N214" i="42"/>
  <c r="M214" i="42"/>
  <c r="AC213" i="42"/>
  <c r="AA213" i="42"/>
  <c r="Y213" i="42"/>
  <c r="X213" i="42"/>
  <c r="W213" i="42"/>
  <c r="U213" i="42"/>
  <c r="T213" i="42"/>
  <c r="AB213" i="42" s="1"/>
  <c r="R213" i="42"/>
  <c r="Q213" i="42"/>
  <c r="N213" i="42"/>
  <c r="M213" i="42"/>
  <c r="AC212" i="42"/>
  <c r="AA212" i="42"/>
  <c r="Y212" i="42"/>
  <c r="X212" i="42"/>
  <c r="W212" i="42"/>
  <c r="U212" i="42"/>
  <c r="T212" i="42"/>
  <c r="AB212" i="42" s="1"/>
  <c r="R212" i="42"/>
  <c r="Q212" i="42"/>
  <c r="N212" i="42"/>
  <c r="M212" i="42"/>
  <c r="AC211" i="42"/>
  <c r="AA211" i="42"/>
  <c r="Y211" i="42"/>
  <c r="X211" i="42"/>
  <c r="W211" i="42"/>
  <c r="U211" i="42"/>
  <c r="T211" i="42"/>
  <c r="AB211" i="42" s="1"/>
  <c r="R211" i="42"/>
  <c r="Q211" i="42"/>
  <c r="N211" i="42"/>
  <c r="M211" i="42"/>
  <c r="AC210" i="42"/>
  <c r="AA210" i="42"/>
  <c r="Y210" i="42"/>
  <c r="X210" i="42"/>
  <c r="W210" i="42"/>
  <c r="U210" i="42"/>
  <c r="T210" i="42"/>
  <c r="AB210" i="42" s="1"/>
  <c r="R210" i="42"/>
  <c r="Q210" i="42"/>
  <c r="N210" i="42"/>
  <c r="M210" i="42"/>
  <c r="AC209" i="42"/>
  <c r="AA209" i="42"/>
  <c r="Y209" i="42"/>
  <c r="X209" i="42"/>
  <c r="W209" i="42"/>
  <c r="U209" i="42"/>
  <c r="T209" i="42"/>
  <c r="AB209" i="42" s="1"/>
  <c r="R209" i="42"/>
  <c r="Q209" i="42"/>
  <c r="N209" i="42"/>
  <c r="M209" i="42"/>
  <c r="AC208" i="42"/>
  <c r="AA208" i="42"/>
  <c r="Y208" i="42"/>
  <c r="X208" i="42"/>
  <c r="W208" i="42"/>
  <c r="U208" i="42"/>
  <c r="T208" i="42"/>
  <c r="AB208" i="42" s="1"/>
  <c r="R208" i="42"/>
  <c r="Q208" i="42"/>
  <c r="N208" i="42"/>
  <c r="M208" i="42"/>
  <c r="AC207" i="42"/>
  <c r="AA207" i="42"/>
  <c r="Y207" i="42"/>
  <c r="X207" i="42"/>
  <c r="W207" i="42"/>
  <c r="U207" i="42"/>
  <c r="T207" i="42"/>
  <c r="AB207" i="42" s="1"/>
  <c r="R207" i="42"/>
  <c r="Q207" i="42"/>
  <c r="N207" i="42"/>
  <c r="M207" i="42"/>
  <c r="AC206" i="42"/>
  <c r="AA206" i="42"/>
  <c r="Y206" i="42"/>
  <c r="X206" i="42"/>
  <c r="W206" i="42"/>
  <c r="U206" i="42"/>
  <c r="T206" i="42"/>
  <c r="AB206" i="42" s="1"/>
  <c r="R206" i="42"/>
  <c r="Q206" i="42"/>
  <c r="N206" i="42"/>
  <c r="M206" i="42"/>
  <c r="AC205" i="42"/>
  <c r="AA205" i="42"/>
  <c r="Y205" i="42"/>
  <c r="X205" i="42"/>
  <c r="W205" i="42"/>
  <c r="U205" i="42"/>
  <c r="T205" i="42"/>
  <c r="AB205" i="42" s="1"/>
  <c r="R205" i="42"/>
  <c r="Q205" i="42"/>
  <c r="N205" i="42"/>
  <c r="M205" i="42"/>
  <c r="AC204" i="42"/>
  <c r="AA204" i="42"/>
  <c r="Y204" i="42"/>
  <c r="X204" i="42"/>
  <c r="W204" i="42"/>
  <c r="U204" i="42"/>
  <c r="T204" i="42"/>
  <c r="AB204" i="42" s="1"/>
  <c r="R204" i="42"/>
  <c r="Q204" i="42"/>
  <c r="N204" i="42"/>
  <c r="M204" i="42"/>
  <c r="AC203" i="42"/>
  <c r="AA203" i="42"/>
  <c r="Y203" i="42"/>
  <c r="X203" i="42"/>
  <c r="W203" i="42"/>
  <c r="U203" i="42"/>
  <c r="T203" i="42"/>
  <c r="AB203" i="42" s="1"/>
  <c r="R203" i="42"/>
  <c r="Q203" i="42"/>
  <c r="N203" i="42"/>
  <c r="M203" i="42"/>
  <c r="AC202" i="42"/>
  <c r="AA202" i="42"/>
  <c r="Y202" i="42"/>
  <c r="X202" i="42"/>
  <c r="W202" i="42"/>
  <c r="U202" i="42"/>
  <c r="T202" i="42"/>
  <c r="AB202" i="42" s="1"/>
  <c r="R202" i="42"/>
  <c r="Q202" i="42"/>
  <c r="N202" i="42"/>
  <c r="M202" i="42"/>
  <c r="AC201" i="42"/>
  <c r="AA201" i="42"/>
  <c r="Y201" i="42"/>
  <c r="X201" i="42"/>
  <c r="W201" i="42"/>
  <c r="U201" i="42"/>
  <c r="T201" i="42"/>
  <c r="AB201" i="42" s="1"/>
  <c r="R201" i="42"/>
  <c r="Q201" i="42"/>
  <c r="N201" i="42"/>
  <c r="M201" i="42"/>
  <c r="AC200" i="42"/>
  <c r="AA200" i="42"/>
  <c r="Y200" i="42"/>
  <c r="X200" i="42"/>
  <c r="W200" i="42"/>
  <c r="U200" i="42"/>
  <c r="T200" i="42"/>
  <c r="AB200" i="42" s="1"/>
  <c r="R200" i="42"/>
  <c r="Q200" i="42"/>
  <c r="N200" i="42"/>
  <c r="M200" i="42"/>
  <c r="AC199" i="42"/>
  <c r="AA199" i="42"/>
  <c r="Y199" i="42"/>
  <c r="X199" i="42"/>
  <c r="W199" i="42"/>
  <c r="U199" i="42"/>
  <c r="T199" i="42"/>
  <c r="AB199" i="42" s="1"/>
  <c r="R199" i="42"/>
  <c r="Q199" i="42"/>
  <c r="N199" i="42"/>
  <c r="M199" i="42"/>
  <c r="AC198" i="42"/>
  <c r="AA198" i="42"/>
  <c r="Y198" i="42"/>
  <c r="X198" i="42"/>
  <c r="W198" i="42"/>
  <c r="U198" i="42"/>
  <c r="T198" i="42"/>
  <c r="AB198" i="42" s="1"/>
  <c r="R198" i="42"/>
  <c r="Q198" i="42"/>
  <c r="N198" i="42"/>
  <c r="M198" i="42"/>
  <c r="AC197" i="42"/>
  <c r="AA197" i="42"/>
  <c r="Y197" i="42"/>
  <c r="X197" i="42"/>
  <c r="W197" i="42"/>
  <c r="U197" i="42"/>
  <c r="T197" i="42"/>
  <c r="AB197" i="42" s="1"/>
  <c r="R197" i="42"/>
  <c r="Q197" i="42"/>
  <c r="N197" i="42"/>
  <c r="M197" i="42"/>
  <c r="AC196" i="42"/>
  <c r="AA196" i="42"/>
  <c r="Y196" i="42"/>
  <c r="X196" i="42"/>
  <c r="W196" i="42"/>
  <c r="U196" i="42"/>
  <c r="T196" i="42"/>
  <c r="AB196" i="42" s="1"/>
  <c r="R196" i="42"/>
  <c r="Q196" i="42"/>
  <c r="N196" i="42"/>
  <c r="M196" i="42"/>
  <c r="AC195" i="42"/>
  <c r="AA195" i="42"/>
  <c r="Y195" i="42"/>
  <c r="X195" i="42"/>
  <c r="W195" i="42"/>
  <c r="U195" i="42"/>
  <c r="T195" i="42"/>
  <c r="AB195" i="42" s="1"/>
  <c r="R195" i="42"/>
  <c r="Q195" i="42"/>
  <c r="N195" i="42"/>
  <c r="M195" i="42"/>
  <c r="AC194" i="42"/>
  <c r="AA194" i="42"/>
  <c r="Y194" i="42"/>
  <c r="X194" i="42"/>
  <c r="W194" i="42"/>
  <c r="U194" i="42"/>
  <c r="T194" i="42"/>
  <c r="AB194" i="42" s="1"/>
  <c r="R194" i="42"/>
  <c r="Q194" i="42"/>
  <c r="N194" i="42"/>
  <c r="M194" i="42"/>
  <c r="AC193" i="42"/>
  <c r="AA193" i="42"/>
  <c r="Y193" i="42"/>
  <c r="X193" i="42"/>
  <c r="W193" i="42"/>
  <c r="U193" i="42"/>
  <c r="T193" i="42"/>
  <c r="AB193" i="42" s="1"/>
  <c r="R193" i="42"/>
  <c r="Q193" i="42"/>
  <c r="N193" i="42"/>
  <c r="M193" i="42"/>
  <c r="AC192" i="42"/>
  <c r="AA192" i="42"/>
  <c r="Y192" i="42"/>
  <c r="X192" i="42"/>
  <c r="W192" i="42"/>
  <c r="U192" i="42"/>
  <c r="T192" i="42"/>
  <c r="AB192" i="42" s="1"/>
  <c r="R192" i="42"/>
  <c r="Q192" i="42"/>
  <c r="N192" i="42"/>
  <c r="M192" i="42"/>
  <c r="AC191" i="42"/>
  <c r="AA191" i="42"/>
  <c r="Y191" i="42"/>
  <c r="X191" i="42"/>
  <c r="W191" i="42"/>
  <c r="U191" i="42"/>
  <c r="T191" i="42"/>
  <c r="AB191" i="42" s="1"/>
  <c r="R191" i="42"/>
  <c r="Q191" i="42"/>
  <c r="N191" i="42"/>
  <c r="M191" i="42"/>
  <c r="AC190" i="42"/>
  <c r="AA190" i="42"/>
  <c r="Y190" i="42"/>
  <c r="X190" i="42"/>
  <c r="W190" i="42"/>
  <c r="U190" i="42"/>
  <c r="T190" i="42"/>
  <c r="AB190" i="42" s="1"/>
  <c r="R190" i="42"/>
  <c r="Q190" i="42"/>
  <c r="N190" i="42"/>
  <c r="M190" i="42"/>
  <c r="AC189" i="42"/>
  <c r="AA189" i="42"/>
  <c r="Y189" i="42"/>
  <c r="X189" i="42"/>
  <c r="W189" i="42"/>
  <c r="U189" i="42"/>
  <c r="T189" i="42"/>
  <c r="AB189" i="42" s="1"/>
  <c r="R189" i="42"/>
  <c r="Q189" i="42"/>
  <c r="N189" i="42"/>
  <c r="M189" i="42"/>
  <c r="AC188" i="42"/>
  <c r="AA188" i="42"/>
  <c r="Y188" i="42"/>
  <c r="X188" i="42"/>
  <c r="W188" i="42"/>
  <c r="U188" i="42"/>
  <c r="T188" i="42"/>
  <c r="AB188" i="42" s="1"/>
  <c r="R188" i="42"/>
  <c r="Q188" i="42"/>
  <c r="N188" i="42"/>
  <c r="M188" i="42"/>
  <c r="AC187" i="42"/>
  <c r="AA187" i="42"/>
  <c r="Y187" i="42"/>
  <c r="X187" i="42"/>
  <c r="W187" i="42"/>
  <c r="U187" i="42"/>
  <c r="T187" i="42"/>
  <c r="AB187" i="42" s="1"/>
  <c r="R187" i="42"/>
  <c r="Q187" i="42"/>
  <c r="N187" i="42"/>
  <c r="M187" i="42"/>
  <c r="AC186" i="42"/>
  <c r="AA186" i="42"/>
  <c r="Y186" i="42"/>
  <c r="X186" i="42"/>
  <c r="W186" i="42"/>
  <c r="U186" i="42"/>
  <c r="T186" i="42"/>
  <c r="AB186" i="42" s="1"/>
  <c r="R186" i="42"/>
  <c r="Q186" i="42"/>
  <c r="N186" i="42"/>
  <c r="M186" i="42"/>
  <c r="AC185" i="42"/>
  <c r="AA185" i="42"/>
  <c r="Y185" i="42"/>
  <c r="X185" i="42"/>
  <c r="W185" i="42"/>
  <c r="U185" i="42"/>
  <c r="T185" i="42"/>
  <c r="AB185" i="42" s="1"/>
  <c r="R185" i="42"/>
  <c r="Q185" i="42"/>
  <c r="N185" i="42"/>
  <c r="M185" i="42"/>
  <c r="AC184" i="42"/>
  <c r="AA184" i="42"/>
  <c r="Y184" i="42"/>
  <c r="X184" i="42"/>
  <c r="W184" i="42"/>
  <c r="U184" i="42"/>
  <c r="T184" i="42"/>
  <c r="AB184" i="42" s="1"/>
  <c r="R184" i="42"/>
  <c r="Q184" i="42"/>
  <c r="N184" i="42"/>
  <c r="M184" i="42"/>
  <c r="AC183" i="42"/>
  <c r="AA183" i="42"/>
  <c r="Y183" i="42"/>
  <c r="X183" i="42"/>
  <c r="W183" i="42"/>
  <c r="U183" i="42"/>
  <c r="T183" i="42"/>
  <c r="AB183" i="42" s="1"/>
  <c r="R183" i="42"/>
  <c r="Q183" i="42"/>
  <c r="N183" i="42"/>
  <c r="M183" i="42"/>
  <c r="AC182" i="42"/>
  <c r="AA182" i="42"/>
  <c r="Y182" i="42"/>
  <c r="X182" i="42"/>
  <c r="W182" i="42"/>
  <c r="U182" i="42"/>
  <c r="T182" i="42"/>
  <c r="AB182" i="42" s="1"/>
  <c r="R182" i="42"/>
  <c r="Q182" i="42"/>
  <c r="N182" i="42"/>
  <c r="M182" i="42"/>
  <c r="AC181" i="42"/>
  <c r="AA181" i="42"/>
  <c r="Y181" i="42"/>
  <c r="X181" i="42"/>
  <c r="W181" i="42"/>
  <c r="U181" i="42"/>
  <c r="T181" i="42"/>
  <c r="AB181" i="42" s="1"/>
  <c r="R181" i="42"/>
  <c r="Q181" i="42"/>
  <c r="N181" i="42"/>
  <c r="M181" i="42"/>
  <c r="AC180" i="42"/>
  <c r="AA180" i="42"/>
  <c r="Y180" i="42"/>
  <c r="X180" i="42"/>
  <c r="W180" i="42"/>
  <c r="U180" i="42"/>
  <c r="T180" i="42"/>
  <c r="AB180" i="42" s="1"/>
  <c r="R180" i="42"/>
  <c r="Q180" i="42"/>
  <c r="N180" i="42"/>
  <c r="M180" i="42"/>
  <c r="AC179" i="42"/>
  <c r="AA179" i="42"/>
  <c r="Y179" i="42"/>
  <c r="X179" i="42"/>
  <c r="W179" i="42"/>
  <c r="U179" i="42"/>
  <c r="T179" i="42"/>
  <c r="AB179" i="42" s="1"/>
  <c r="R179" i="42"/>
  <c r="Q179" i="42"/>
  <c r="N179" i="42"/>
  <c r="M179" i="42"/>
  <c r="AC178" i="42"/>
  <c r="AA178" i="42"/>
  <c r="Y178" i="42"/>
  <c r="X178" i="42"/>
  <c r="W178" i="42"/>
  <c r="U178" i="42"/>
  <c r="T178" i="42"/>
  <c r="AB178" i="42" s="1"/>
  <c r="R178" i="42"/>
  <c r="Q178" i="42"/>
  <c r="N178" i="42"/>
  <c r="M178" i="42"/>
  <c r="AC177" i="42"/>
  <c r="AA177" i="42"/>
  <c r="Y177" i="42"/>
  <c r="X177" i="42"/>
  <c r="W177" i="42"/>
  <c r="U177" i="42"/>
  <c r="T177" i="42"/>
  <c r="AB177" i="42" s="1"/>
  <c r="R177" i="42"/>
  <c r="Q177" i="42"/>
  <c r="N177" i="42"/>
  <c r="M177" i="42"/>
  <c r="AC176" i="42"/>
  <c r="AA176" i="42"/>
  <c r="Y176" i="42"/>
  <c r="X176" i="42"/>
  <c r="W176" i="42"/>
  <c r="U176" i="42"/>
  <c r="T176" i="42"/>
  <c r="AB176" i="42" s="1"/>
  <c r="R176" i="42"/>
  <c r="Q176" i="42"/>
  <c r="N176" i="42"/>
  <c r="M176" i="42"/>
  <c r="AC175" i="42"/>
  <c r="AA175" i="42"/>
  <c r="Y175" i="42"/>
  <c r="X175" i="42"/>
  <c r="W175" i="42"/>
  <c r="U175" i="42"/>
  <c r="T175" i="42"/>
  <c r="AB175" i="42" s="1"/>
  <c r="R175" i="42"/>
  <c r="Q175" i="42"/>
  <c r="N175" i="42"/>
  <c r="M175" i="42"/>
  <c r="AC174" i="42"/>
  <c r="AA174" i="42"/>
  <c r="Y174" i="42"/>
  <c r="X174" i="42"/>
  <c r="W174" i="42"/>
  <c r="U174" i="42"/>
  <c r="T174" i="42"/>
  <c r="AB174" i="42" s="1"/>
  <c r="R174" i="42"/>
  <c r="Q174" i="42"/>
  <c r="N174" i="42"/>
  <c r="M174" i="42"/>
  <c r="AC173" i="42"/>
  <c r="AA173" i="42"/>
  <c r="Y173" i="42"/>
  <c r="X173" i="42"/>
  <c r="W173" i="42"/>
  <c r="U173" i="42"/>
  <c r="T173" i="42"/>
  <c r="AB173" i="42" s="1"/>
  <c r="R173" i="42"/>
  <c r="Q173" i="42"/>
  <c r="N173" i="42"/>
  <c r="M173" i="42"/>
  <c r="AC172" i="42"/>
  <c r="AA172" i="42"/>
  <c r="Y172" i="42"/>
  <c r="X172" i="42"/>
  <c r="W172" i="42"/>
  <c r="U172" i="42"/>
  <c r="T172" i="42"/>
  <c r="AB172" i="42" s="1"/>
  <c r="R172" i="42"/>
  <c r="Q172" i="42"/>
  <c r="N172" i="42"/>
  <c r="M172" i="42"/>
  <c r="AC171" i="42"/>
  <c r="AA171" i="42"/>
  <c r="Y171" i="42"/>
  <c r="X171" i="42"/>
  <c r="W171" i="42"/>
  <c r="U171" i="42"/>
  <c r="T171" i="42"/>
  <c r="AB171" i="42" s="1"/>
  <c r="R171" i="42"/>
  <c r="Q171" i="42"/>
  <c r="N171" i="42"/>
  <c r="M171" i="42"/>
  <c r="AC170" i="42"/>
  <c r="AA170" i="42"/>
  <c r="Y170" i="42"/>
  <c r="X170" i="42"/>
  <c r="W170" i="42"/>
  <c r="U170" i="42"/>
  <c r="T170" i="42"/>
  <c r="AB170" i="42" s="1"/>
  <c r="R170" i="42"/>
  <c r="Q170" i="42"/>
  <c r="N170" i="42"/>
  <c r="M170" i="42"/>
  <c r="AC169" i="42"/>
  <c r="AA169" i="42"/>
  <c r="Y169" i="42"/>
  <c r="X169" i="42"/>
  <c r="W169" i="42"/>
  <c r="U169" i="42"/>
  <c r="T169" i="42"/>
  <c r="AB169" i="42" s="1"/>
  <c r="R169" i="42"/>
  <c r="Q169" i="42"/>
  <c r="N169" i="42"/>
  <c r="M169" i="42"/>
  <c r="AC168" i="42"/>
  <c r="AA168" i="42"/>
  <c r="Y168" i="42"/>
  <c r="X168" i="42"/>
  <c r="W168" i="42"/>
  <c r="U168" i="42"/>
  <c r="T168" i="42"/>
  <c r="AB168" i="42" s="1"/>
  <c r="R168" i="42"/>
  <c r="Q168" i="42"/>
  <c r="N168" i="42"/>
  <c r="M168" i="42"/>
  <c r="AC167" i="42"/>
  <c r="AA167" i="42"/>
  <c r="Y167" i="42"/>
  <c r="X167" i="42"/>
  <c r="W167" i="42"/>
  <c r="U167" i="42"/>
  <c r="T167" i="42"/>
  <c r="AB167" i="42" s="1"/>
  <c r="R167" i="42"/>
  <c r="Q167" i="42"/>
  <c r="N167" i="42"/>
  <c r="M167" i="42"/>
  <c r="AC166" i="42"/>
  <c r="AA166" i="42"/>
  <c r="Y166" i="42"/>
  <c r="X166" i="42"/>
  <c r="W166" i="42"/>
  <c r="U166" i="42"/>
  <c r="T166" i="42"/>
  <c r="AB166" i="42" s="1"/>
  <c r="R166" i="42"/>
  <c r="Q166" i="42"/>
  <c r="N166" i="42"/>
  <c r="M166" i="42"/>
  <c r="AC165" i="42"/>
  <c r="AA165" i="42"/>
  <c r="Y165" i="42"/>
  <c r="X165" i="42"/>
  <c r="W165" i="42"/>
  <c r="U165" i="42"/>
  <c r="T165" i="42"/>
  <c r="AB165" i="42" s="1"/>
  <c r="R165" i="42"/>
  <c r="Q165" i="42"/>
  <c r="N165" i="42"/>
  <c r="M165" i="42"/>
  <c r="AC164" i="42"/>
  <c r="AA164" i="42"/>
  <c r="Y164" i="42"/>
  <c r="X164" i="42"/>
  <c r="W164" i="42"/>
  <c r="U164" i="42"/>
  <c r="T164" i="42"/>
  <c r="AB164" i="42" s="1"/>
  <c r="R164" i="42"/>
  <c r="Q164" i="42"/>
  <c r="N164" i="42"/>
  <c r="M164" i="42"/>
  <c r="AC163" i="42"/>
  <c r="AA163" i="42"/>
  <c r="Y163" i="42"/>
  <c r="X163" i="42"/>
  <c r="W163" i="42"/>
  <c r="U163" i="42"/>
  <c r="T163" i="42"/>
  <c r="AB163" i="42" s="1"/>
  <c r="R163" i="42"/>
  <c r="Q163" i="42"/>
  <c r="N163" i="42"/>
  <c r="M163" i="42"/>
  <c r="AC162" i="42"/>
  <c r="AA162" i="42"/>
  <c r="Y162" i="42"/>
  <c r="X162" i="42"/>
  <c r="W162" i="42"/>
  <c r="U162" i="42"/>
  <c r="T162" i="42"/>
  <c r="AB162" i="42" s="1"/>
  <c r="R162" i="42"/>
  <c r="Q162" i="42"/>
  <c r="N162" i="42"/>
  <c r="M162" i="42"/>
  <c r="AC161" i="42"/>
  <c r="AA161" i="42"/>
  <c r="Y161" i="42"/>
  <c r="X161" i="42"/>
  <c r="W161" i="42"/>
  <c r="U161" i="42"/>
  <c r="T161" i="42"/>
  <c r="AB161" i="42" s="1"/>
  <c r="R161" i="42"/>
  <c r="Q161" i="42"/>
  <c r="N161" i="42"/>
  <c r="M161" i="42"/>
  <c r="AC160" i="42"/>
  <c r="AA160" i="42"/>
  <c r="Y160" i="42"/>
  <c r="X160" i="42"/>
  <c r="W160" i="42"/>
  <c r="U160" i="42"/>
  <c r="T160" i="42"/>
  <c r="AB160" i="42" s="1"/>
  <c r="R160" i="42"/>
  <c r="Q160" i="42"/>
  <c r="N160" i="42"/>
  <c r="M160" i="42"/>
  <c r="AC159" i="42"/>
  <c r="AA159" i="42"/>
  <c r="Y159" i="42"/>
  <c r="X159" i="42"/>
  <c r="W159" i="42"/>
  <c r="U159" i="42"/>
  <c r="T159" i="42"/>
  <c r="AB159" i="42" s="1"/>
  <c r="R159" i="42"/>
  <c r="Q159" i="42"/>
  <c r="N159" i="42"/>
  <c r="M159" i="42"/>
  <c r="AC158" i="42"/>
  <c r="AA158" i="42"/>
  <c r="Y158" i="42"/>
  <c r="X158" i="42"/>
  <c r="W158" i="42"/>
  <c r="U158" i="42"/>
  <c r="T158" i="42"/>
  <c r="AB158" i="42" s="1"/>
  <c r="R158" i="42"/>
  <c r="Q158" i="42"/>
  <c r="N158" i="42"/>
  <c r="M158" i="42"/>
  <c r="AC157" i="42"/>
  <c r="AA157" i="42"/>
  <c r="Y157" i="42"/>
  <c r="X157" i="42"/>
  <c r="W157" i="42"/>
  <c r="U157" i="42"/>
  <c r="T157" i="42"/>
  <c r="AB157" i="42" s="1"/>
  <c r="R157" i="42"/>
  <c r="Q157" i="42"/>
  <c r="N157" i="42"/>
  <c r="M157" i="42"/>
  <c r="AC156" i="42"/>
  <c r="AA156" i="42"/>
  <c r="Y156" i="42"/>
  <c r="X156" i="42"/>
  <c r="W156" i="42"/>
  <c r="U156" i="42"/>
  <c r="T156" i="42"/>
  <c r="AB156" i="42" s="1"/>
  <c r="R156" i="42"/>
  <c r="Q156" i="42"/>
  <c r="N156" i="42"/>
  <c r="M156" i="42"/>
  <c r="AC155" i="42"/>
  <c r="AA155" i="42"/>
  <c r="Y155" i="42"/>
  <c r="X155" i="42"/>
  <c r="W155" i="42"/>
  <c r="U155" i="42"/>
  <c r="T155" i="42"/>
  <c r="AB155" i="42" s="1"/>
  <c r="R155" i="42"/>
  <c r="Q155" i="42"/>
  <c r="N155" i="42"/>
  <c r="M155" i="42"/>
  <c r="AC154" i="42"/>
  <c r="AA154" i="42"/>
  <c r="Y154" i="42"/>
  <c r="X154" i="42"/>
  <c r="W154" i="42"/>
  <c r="U154" i="42"/>
  <c r="T154" i="42"/>
  <c r="AB154" i="42" s="1"/>
  <c r="R154" i="42"/>
  <c r="Q154" i="42"/>
  <c r="N154" i="42"/>
  <c r="M154" i="42"/>
  <c r="AC153" i="42"/>
  <c r="AA153" i="42"/>
  <c r="Y153" i="42"/>
  <c r="X153" i="42"/>
  <c r="W153" i="42"/>
  <c r="U153" i="42"/>
  <c r="T153" i="42"/>
  <c r="AB153" i="42" s="1"/>
  <c r="R153" i="42"/>
  <c r="Q153" i="42"/>
  <c r="N153" i="42"/>
  <c r="M153" i="42"/>
  <c r="AC152" i="42"/>
  <c r="AA152" i="42"/>
  <c r="Y152" i="42"/>
  <c r="X152" i="42"/>
  <c r="W152" i="42"/>
  <c r="U152" i="42"/>
  <c r="T152" i="42"/>
  <c r="AB152" i="42" s="1"/>
  <c r="R152" i="42"/>
  <c r="Q152" i="42"/>
  <c r="N152" i="42"/>
  <c r="M152" i="42"/>
  <c r="AC151" i="42"/>
  <c r="AA151" i="42"/>
  <c r="Y151" i="42"/>
  <c r="X151" i="42"/>
  <c r="W151" i="42"/>
  <c r="U151" i="42"/>
  <c r="T151" i="42"/>
  <c r="AB151" i="42" s="1"/>
  <c r="R151" i="42"/>
  <c r="Q151" i="42"/>
  <c r="N151" i="42"/>
  <c r="M151" i="42"/>
  <c r="AC150" i="42"/>
  <c r="AA150" i="42"/>
  <c r="Y150" i="42"/>
  <c r="X150" i="42"/>
  <c r="W150" i="42"/>
  <c r="U150" i="42"/>
  <c r="T150" i="42"/>
  <c r="AB150" i="42" s="1"/>
  <c r="R150" i="42"/>
  <c r="Q150" i="42"/>
  <c r="N150" i="42"/>
  <c r="M150" i="42"/>
  <c r="AC149" i="42"/>
  <c r="AA149" i="42"/>
  <c r="Y149" i="42"/>
  <c r="X149" i="42"/>
  <c r="W149" i="42"/>
  <c r="U149" i="42"/>
  <c r="T149" i="42"/>
  <c r="AB149" i="42" s="1"/>
  <c r="R149" i="42"/>
  <c r="Q149" i="42"/>
  <c r="N149" i="42"/>
  <c r="M149" i="42"/>
  <c r="AC148" i="42"/>
  <c r="AA148" i="42"/>
  <c r="Y148" i="42"/>
  <c r="X148" i="42"/>
  <c r="W148" i="42"/>
  <c r="U148" i="42"/>
  <c r="T148" i="42"/>
  <c r="AB148" i="42" s="1"/>
  <c r="R148" i="42"/>
  <c r="Q148" i="42"/>
  <c r="N148" i="42"/>
  <c r="M148" i="42"/>
  <c r="AC147" i="42"/>
  <c r="AA147" i="42"/>
  <c r="Y147" i="42"/>
  <c r="X147" i="42"/>
  <c r="W147" i="42"/>
  <c r="U147" i="42"/>
  <c r="T147" i="42"/>
  <c r="AB147" i="42" s="1"/>
  <c r="R147" i="42"/>
  <c r="Q147" i="42"/>
  <c r="N147" i="42"/>
  <c r="M147" i="42"/>
  <c r="AC146" i="42"/>
  <c r="AA146" i="42"/>
  <c r="Y146" i="42"/>
  <c r="X146" i="42"/>
  <c r="W146" i="42"/>
  <c r="U146" i="42"/>
  <c r="T146" i="42"/>
  <c r="AB146" i="42" s="1"/>
  <c r="R146" i="42"/>
  <c r="Q146" i="42"/>
  <c r="N146" i="42"/>
  <c r="M146" i="42"/>
  <c r="AC145" i="42"/>
  <c r="AA145" i="42"/>
  <c r="Y145" i="42"/>
  <c r="X145" i="42"/>
  <c r="W145" i="42"/>
  <c r="U145" i="42"/>
  <c r="T145" i="42"/>
  <c r="AB145" i="42" s="1"/>
  <c r="R145" i="42"/>
  <c r="Q145" i="42"/>
  <c r="N145" i="42"/>
  <c r="M145" i="42"/>
  <c r="AC144" i="42"/>
  <c r="AA144" i="42"/>
  <c r="Y144" i="42"/>
  <c r="X144" i="42"/>
  <c r="W144" i="42"/>
  <c r="U144" i="42"/>
  <c r="T144" i="42"/>
  <c r="AB144" i="42" s="1"/>
  <c r="R144" i="42"/>
  <c r="Q144" i="42"/>
  <c r="N144" i="42"/>
  <c r="M144" i="42"/>
  <c r="AC143" i="42"/>
  <c r="AA143" i="42"/>
  <c r="Y143" i="42"/>
  <c r="X143" i="42"/>
  <c r="W143" i="42"/>
  <c r="U143" i="42"/>
  <c r="T143" i="42"/>
  <c r="AB143" i="42" s="1"/>
  <c r="R143" i="42"/>
  <c r="Q143" i="42"/>
  <c r="N143" i="42"/>
  <c r="M143" i="42"/>
  <c r="AC142" i="42"/>
  <c r="AA142" i="42"/>
  <c r="Y142" i="42"/>
  <c r="X142" i="42"/>
  <c r="W142" i="42"/>
  <c r="U142" i="42"/>
  <c r="T142" i="42"/>
  <c r="AB142" i="42" s="1"/>
  <c r="R142" i="42"/>
  <c r="Q142" i="42"/>
  <c r="N142" i="42"/>
  <c r="M142" i="42"/>
  <c r="AC141" i="42"/>
  <c r="AA141" i="42"/>
  <c r="Y141" i="42"/>
  <c r="X141" i="42"/>
  <c r="W141" i="42"/>
  <c r="U141" i="42"/>
  <c r="T141" i="42"/>
  <c r="AB141" i="42" s="1"/>
  <c r="R141" i="42"/>
  <c r="Q141" i="42"/>
  <c r="N141" i="42"/>
  <c r="M141" i="42"/>
  <c r="AC140" i="42"/>
  <c r="AA140" i="42"/>
  <c r="Y140" i="42"/>
  <c r="X140" i="42"/>
  <c r="W140" i="42"/>
  <c r="U140" i="42"/>
  <c r="T140" i="42"/>
  <c r="AB140" i="42" s="1"/>
  <c r="R140" i="42"/>
  <c r="Q140" i="42"/>
  <c r="N140" i="42"/>
  <c r="M140" i="42"/>
  <c r="AC139" i="42"/>
  <c r="AA139" i="42"/>
  <c r="Y139" i="42"/>
  <c r="X139" i="42"/>
  <c r="W139" i="42"/>
  <c r="U139" i="42"/>
  <c r="T139" i="42"/>
  <c r="AB139" i="42" s="1"/>
  <c r="R139" i="42"/>
  <c r="Q139" i="42"/>
  <c r="N139" i="42"/>
  <c r="M139" i="42"/>
  <c r="AC138" i="42"/>
  <c r="AA138" i="42"/>
  <c r="Y138" i="42"/>
  <c r="X138" i="42"/>
  <c r="W138" i="42"/>
  <c r="U138" i="42"/>
  <c r="T138" i="42"/>
  <c r="AB138" i="42" s="1"/>
  <c r="R138" i="42"/>
  <c r="Q138" i="42"/>
  <c r="N138" i="42"/>
  <c r="M138" i="42"/>
  <c r="AC137" i="42"/>
  <c r="AA137" i="42"/>
  <c r="Y137" i="42"/>
  <c r="X137" i="42"/>
  <c r="W137" i="42"/>
  <c r="U137" i="42"/>
  <c r="T137" i="42"/>
  <c r="AB137" i="42" s="1"/>
  <c r="R137" i="42"/>
  <c r="Q137" i="42"/>
  <c r="N137" i="42"/>
  <c r="M137" i="42"/>
  <c r="AC136" i="42"/>
  <c r="AA136" i="42"/>
  <c r="Y136" i="42"/>
  <c r="X136" i="42"/>
  <c r="W136" i="42"/>
  <c r="U136" i="42"/>
  <c r="T136" i="42"/>
  <c r="AB136" i="42" s="1"/>
  <c r="R136" i="42"/>
  <c r="Q136" i="42"/>
  <c r="N136" i="42"/>
  <c r="M136" i="42"/>
  <c r="AC135" i="42"/>
  <c r="AA135" i="42"/>
  <c r="Y135" i="42"/>
  <c r="X135" i="42"/>
  <c r="W135" i="42"/>
  <c r="U135" i="42"/>
  <c r="T135" i="42"/>
  <c r="AB135" i="42" s="1"/>
  <c r="R135" i="42"/>
  <c r="Q135" i="42"/>
  <c r="N135" i="42"/>
  <c r="M135" i="42"/>
  <c r="AC134" i="42"/>
  <c r="AA134" i="42"/>
  <c r="Y134" i="42"/>
  <c r="X134" i="42"/>
  <c r="W134" i="42"/>
  <c r="U134" i="42"/>
  <c r="T134" i="42"/>
  <c r="AB134" i="42" s="1"/>
  <c r="R134" i="42"/>
  <c r="Q134" i="42"/>
  <c r="N134" i="42"/>
  <c r="M134" i="42"/>
  <c r="AC133" i="42"/>
  <c r="AA133" i="42"/>
  <c r="Y133" i="42"/>
  <c r="X133" i="42"/>
  <c r="W133" i="42"/>
  <c r="U133" i="42"/>
  <c r="T133" i="42"/>
  <c r="AB133" i="42" s="1"/>
  <c r="R133" i="42"/>
  <c r="Q133" i="42"/>
  <c r="N133" i="42"/>
  <c r="M133" i="42"/>
  <c r="AC132" i="42"/>
  <c r="AA132" i="42"/>
  <c r="Y132" i="42"/>
  <c r="X132" i="42"/>
  <c r="W132" i="42"/>
  <c r="U132" i="42"/>
  <c r="T132" i="42"/>
  <c r="AB132" i="42" s="1"/>
  <c r="R132" i="42"/>
  <c r="Q132" i="42"/>
  <c r="N132" i="42"/>
  <c r="M132" i="42"/>
  <c r="AC131" i="42"/>
  <c r="AA131" i="42"/>
  <c r="Y131" i="42"/>
  <c r="X131" i="42"/>
  <c r="W131" i="42"/>
  <c r="U131" i="42"/>
  <c r="T131" i="42"/>
  <c r="AB131" i="42" s="1"/>
  <c r="R131" i="42"/>
  <c r="Q131" i="42"/>
  <c r="N131" i="42"/>
  <c r="M131" i="42"/>
  <c r="AC130" i="42"/>
  <c r="AA130" i="42"/>
  <c r="Y130" i="42"/>
  <c r="X130" i="42"/>
  <c r="W130" i="42"/>
  <c r="U130" i="42"/>
  <c r="T130" i="42"/>
  <c r="AB130" i="42" s="1"/>
  <c r="R130" i="42"/>
  <c r="Q130" i="42"/>
  <c r="N130" i="42"/>
  <c r="M130" i="42"/>
  <c r="AC129" i="42"/>
  <c r="AA129" i="42"/>
  <c r="Y129" i="42"/>
  <c r="X129" i="42"/>
  <c r="W129" i="42"/>
  <c r="U129" i="42"/>
  <c r="T129" i="42"/>
  <c r="AB129" i="42" s="1"/>
  <c r="R129" i="42"/>
  <c r="Q129" i="42"/>
  <c r="N129" i="42"/>
  <c r="M129" i="42"/>
  <c r="AC128" i="42"/>
  <c r="AA128" i="42"/>
  <c r="Y128" i="42"/>
  <c r="X128" i="42"/>
  <c r="W128" i="42"/>
  <c r="U128" i="42"/>
  <c r="T128" i="42"/>
  <c r="AB128" i="42" s="1"/>
  <c r="R128" i="42"/>
  <c r="Q128" i="42"/>
  <c r="N128" i="42"/>
  <c r="M128" i="42"/>
  <c r="AC127" i="42"/>
  <c r="AA127" i="42"/>
  <c r="Y127" i="42"/>
  <c r="X127" i="42"/>
  <c r="W127" i="42"/>
  <c r="U127" i="42"/>
  <c r="T127" i="42"/>
  <c r="AB127" i="42" s="1"/>
  <c r="R127" i="42"/>
  <c r="Q127" i="42"/>
  <c r="N127" i="42"/>
  <c r="M127" i="42"/>
  <c r="AC126" i="42"/>
  <c r="AA126" i="42"/>
  <c r="Y126" i="42"/>
  <c r="X126" i="42"/>
  <c r="W126" i="42"/>
  <c r="U126" i="42"/>
  <c r="T126" i="42"/>
  <c r="AB126" i="42" s="1"/>
  <c r="R126" i="42"/>
  <c r="Q126" i="42"/>
  <c r="N126" i="42"/>
  <c r="M126" i="42"/>
  <c r="AC125" i="42"/>
  <c r="AA125" i="42"/>
  <c r="Y125" i="42"/>
  <c r="X125" i="42"/>
  <c r="W125" i="42"/>
  <c r="U125" i="42"/>
  <c r="T125" i="42"/>
  <c r="AB125" i="42" s="1"/>
  <c r="R125" i="42"/>
  <c r="Q125" i="42"/>
  <c r="N125" i="42"/>
  <c r="M125" i="42"/>
  <c r="AC124" i="42"/>
  <c r="AA124" i="42"/>
  <c r="Y124" i="42"/>
  <c r="X124" i="42"/>
  <c r="W124" i="42"/>
  <c r="U124" i="42"/>
  <c r="T124" i="42"/>
  <c r="AB124" i="42" s="1"/>
  <c r="R124" i="42"/>
  <c r="Q124" i="42"/>
  <c r="N124" i="42"/>
  <c r="M124" i="42"/>
  <c r="AC123" i="42"/>
  <c r="AA123" i="42"/>
  <c r="Y123" i="42"/>
  <c r="X123" i="42"/>
  <c r="W123" i="42"/>
  <c r="U123" i="42"/>
  <c r="T123" i="42"/>
  <c r="AB123" i="42" s="1"/>
  <c r="R123" i="42"/>
  <c r="Q123" i="42"/>
  <c r="N123" i="42"/>
  <c r="M123" i="42"/>
  <c r="AC122" i="42"/>
  <c r="AA122" i="42"/>
  <c r="Y122" i="42"/>
  <c r="X122" i="42"/>
  <c r="W122" i="42"/>
  <c r="U122" i="42"/>
  <c r="T122" i="42"/>
  <c r="AB122" i="42" s="1"/>
  <c r="R122" i="42"/>
  <c r="Q122" i="42"/>
  <c r="N122" i="42"/>
  <c r="M122" i="42"/>
  <c r="AC121" i="42"/>
  <c r="AA121" i="42"/>
  <c r="Y121" i="42"/>
  <c r="X121" i="42"/>
  <c r="W121" i="42"/>
  <c r="U121" i="42"/>
  <c r="T121" i="42"/>
  <c r="AB121" i="42" s="1"/>
  <c r="R121" i="42"/>
  <c r="Q121" i="42"/>
  <c r="N121" i="42"/>
  <c r="M121" i="42"/>
  <c r="AC120" i="42"/>
  <c r="AA120" i="42"/>
  <c r="Y120" i="42"/>
  <c r="X120" i="42"/>
  <c r="W120" i="42"/>
  <c r="U120" i="42"/>
  <c r="T120" i="42"/>
  <c r="AB120" i="42" s="1"/>
  <c r="R120" i="42"/>
  <c r="Q120" i="42"/>
  <c r="N120" i="42"/>
  <c r="M120" i="42"/>
  <c r="AC119" i="42"/>
  <c r="AA119" i="42"/>
  <c r="Y119" i="42"/>
  <c r="X119" i="42"/>
  <c r="W119" i="42"/>
  <c r="U119" i="42"/>
  <c r="T119" i="42"/>
  <c r="AB119" i="42" s="1"/>
  <c r="R119" i="42"/>
  <c r="Q119" i="42"/>
  <c r="N119" i="42"/>
  <c r="M119" i="42"/>
  <c r="AC118" i="42"/>
  <c r="AA118" i="42"/>
  <c r="Y118" i="42"/>
  <c r="X118" i="42"/>
  <c r="W118" i="42"/>
  <c r="U118" i="42"/>
  <c r="T118" i="42"/>
  <c r="AB118" i="42" s="1"/>
  <c r="R118" i="42"/>
  <c r="Q118" i="42"/>
  <c r="N118" i="42"/>
  <c r="M118" i="42"/>
  <c r="AC117" i="42"/>
  <c r="AA117" i="42"/>
  <c r="Y117" i="42"/>
  <c r="X117" i="42"/>
  <c r="W117" i="42"/>
  <c r="U117" i="42"/>
  <c r="T117" i="42"/>
  <c r="AB117" i="42" s="1"/>
  <c r="R117" i="42"/>
  <c r="Q117" i="42"/>
  <c r="N117" i="42"/>
  <c r="M117" i="42"/>
  <c r="AC116" i="42"/>
  <c r="AA116" i="42"/>
  <c r="Y116" i="42"/>
  <c r="X116" i="42"/>
  <c r="W116" i="42"/>
  <c r="U116" i="42"/>
  <c r="T116" i="42"/>
  <c r="AB116" i="42" s="1"/>
  <c r="R116" i="42"/>
  <c r="Q116" i="42"/>
  <c r="N116" i="42"/>
  <c r="M116" i="42"/>
  <c r="AC115" i="42"/>
  <c r="AA115" i="42"/>
  <c r="Y115" i="42"/>
  <c r="X115" i="42"/>
  <c r="W115" i="42"/>
  <c r="U115" i="42"/>
  <c r="T115" i="42"/>
  <c r="AB115" i="42" s="1"/>
  <c r="R115" i="42"/>
  <c r="Q115" i="42"/>
  <c r="N115" i="42"/>
  <c r="M115" i="42"/>
  <c r="AC114" i="42"/>
  <c r="AA114" i="42"/>
  <c r="Y114" i="42"/>
  <c r="X114" i="42"/>
  <c r="W114" i="42"/>
  <c r="U114" i="42"/>
  <c r="T114" i="42"/>
  <c r="AB114" i="42" s="1"/>
  <c r="R114" i="42"/>
  <c r="Q114" i="42"/>
  <c r="N114" i="42"/>
  <c r="M114" i="42"/>
  <c r="AC113" i="42"/>
  <c r="AA113" i="42"/>
  <c r="Y113" i="42"/>
  <c r="X113" i="42"/>
  <c r="W113" i="42"/>
  <c r="U113" i="42"/>
  <c r="T113" i="42"/>
  <c r="AB113" i="42" s="1"/>
  <c r="R113" i="42"/>
  <c r="Q113" i="42"/>
  <c r="N113" i="42"/>
  <c r="M113" i="42"/>
  <c r="AC112" i="42"/>
  <c r="AA112" i="42"/>
  <c r="Y112" i="42"/>
  <c r="X112" i="42"/>
  <c r="W112" i="42"/>
  <c r="U112" i="42"/>
  <c r="T112" i="42"/>
  <c r="AB112" i="42" s="1"/>
  <c r="R112" i="42"/>
  <c r="Q112" i="42"/>
  <c r="N112" i="42"/>
  <c r="M112" i="42"/>
  <c r="AC111" i="42"/>
  <c r="AA111" i="42"/>
  <c r="Y111" i="42"/>
  <c r="X111" i="42"/>
  <c r="W111" i="42"/>
  <c r="U111" i="42"/>
  <c r="T111" i="42"/>
  <c r="AB111" i="42" s="1"/>
  <c r="R111" i="42"/>
  <c r="Q111" i="42"/>
  <c r="N111" i="42"/>
  <c r="M111" i="42"/>
  <c r="AC110" i="42"/>
  <c r="AA110" i="42"/>
  <c r="Y110" i="42"/>
  <c r="X110" i="42"/>
  <c r="W110" i="42"/>
  <c r="U110" i="42"/>
  <c r="T110" i="42"/>
  <c r="AB110" i="42" s="1"/>
  <c r="R110" i="42"/>
  <c r="Q110" i="42"/>
  <c r="N110" i="42"/>
  <c r="M110" i="42"/>
  <c r="AC109" i="42"/>
  <c r="AA109" i="42"/>
  <c r="Y109" i="42"/>
  <c r="X109" i="42"/>
  <c r="W109" i="42"/>
  <c r="U109" i="42"/>
  <c r="T109" i="42"/>
  <c r="AB109" i="42" s="1"/>
  <c r="R109" i="42"/>
  <c r="Q109" i="42"/>
  <c r="N109" i="42"/>
  <c r="M109" i="42"/>
  <c r="AC108" i="42"/>
  <c r="AA108" i="42"/>
  <c r="Y108" i="42"/>
  <c r="X108" i="42"/>
  <c r="W108" i="42"/>
  <c r="U108" i="42"/>
  <c r="T108" i="42"/>
  <c r="AB108" i="42" s="1"/>
  <c r="R108" i="42"/>
  <c r="Q108" i="42"/>
  <c r="N108" i="42"/>
  <c r="M108" i="42"/>
  <c r="AC107" i="42"/>
  <c r="AA107" i="42"/>
  <c r="Y107" i="42"/>
  <c r="X107" i="42"/>
  <c r="W107" i="42"/>
  <c r="U107" i="42"/>
  <c r="T107" i="42"/>
  <c r="AB107" i="42" s="1"/>
  <c r="R107" i="42"/>
  <c r="Q107" i="42"/>
  <c r="N107" i="42"/>
  <c r="M107" i="42"/>
  <c r="AC106" i="42"/>
  <c r="AA106" i="42"/>
  <c r="Y106" i="42"/>
  <c r="X106" i="42"/>
  <c r="W106" i="42"/>
  <c r="U106" i="42"/>
  <c r="T106" i="42"/>
  <c r="AB106" i="42" s="1"/>
  <c r="R106" i="42"/>
  <c r="Q106" i="42"/>
  <c r="N106" i="42"/>
  <c r="M106" i="42"/>
  <c r="AC105" i="42"/>
  <c r="AA105" i="42"/>
  <c r="Y105" i="42"/>
  <c r="X105" i="42"/>
  <c r="W105" i="42"/>
  <c r="U105" i="42"/>
  <c r="T105" i="42"/>
  <c r="AB105" i="42" s="1"/>
  <c r="R105" i="42"/>
  <c r="Q105" i="42"/>
  <c r="N105" i="42"/>
  <c r="M105" i="42"/>
  <c r="AC104" i="42"/>
  <c r="AA104" i="42"/>
  <c r="Y104" i="42"/>
  <c r="X104" i="42"/>
  <c r="W104" i="42"/>
  <c r="U104" i="42"/>
  <c r="T104" i="42"/>
  <c r="AB104" i="42" s="1"/>
  <c r="R104" i="42"/>
  <c r="Q104" i="42"/>
  <c r="N104" i="42"/>
  <c r="M104" i="42"/>
  <c r="AC103" i="42"/>
  <c r="AA103" i="42"/>
  <c r="Y103" i="42"/>
  <c r="X103" i="42"/>
  <c r="W103" i="42"/>
  <c r="U103" i="42"/>
  <c r="T103" i="42"/>
  <c r="AB103" i="42" s="1"/>
  <c r="R103" i="42"/>
  <c r="Q103" i="42"/>
  <c r="N103" i="42"/>
  <c r="M103" i="42"/>
  <c r="AC102" i="42"/>
  <c r="AA102" i="42"/>
  <c r="Y102" i="42"/>
  <c r="X102" i="42"/>
  <c r="W102" i="42"/>
  <c r="U102" i="42"/>
  <c r="T102" i="42"/>
  <c r="AB102" i="42" s="1"/>
  <c r="R102" i="42"/>
  <c r="Q102" i="42"/>
  <c r="N102" i="42"/>
  <c r="M102" i="42"/>
  <c r="AC101" i="42"/>
  <c r="AA101" i="42"/>
  <c r="Y101" i="42"/>
  <c r="X101" i="42"/>
  <c r="W101" i="42"/>
  <c r="U101" i="42"/>
  <c r="T101" i="42"/>
  <c r="AB101" i="42" s="1"/>
  <c r="R101" i="42"/>
  <c r="Q101" i="42"/>
  <c r="N101" i="42"/>
  <c r="M101" i="42"/>
  <c r="AC100" i="42"/>
  <c r="AA100" i="42"/>
  <c r="Y100" i="42"/>
  <c r="X100" i="42"/>
  <c r="W100" i="42"/>
  <c r="U100" i="42"/>
  <c r="T100" i="42"/>
  <c r="AB100" i="42" s="1"/>
  <c r="R100" i="42"/>
  <c r="Q100" i="42"/>
  <c r="N100" i="42"/>
  <c r="M100" i="42"/>
  <c r="AC99" i="42"/>
  <c r="AA99" i="42"/>
  <c r="Y99" i="42"/>
  <c r="X99" i="42"/>
  <c r="W99" i="42"/>
  <c r="U99" i="42"/>
  <c r="T99" i="42"/>
  <c r="AB99" i="42" s="1"/>
  <c r="R99" i="42"/>
  <c r="Q99" i="42"/>
  <c r="N99" i="42"/>
  <c r="M99" i="42"/>
  <c r="AC98" i="42"/>
  <c r="AA98" i="42"/>
  <c r="Y98" i="42"/>
  <c r="X98" i="42"/>
  <c r="W98" i="42"/>
  <c r="U98" i="42"/>
  <c r="T98" i="42"/>
  <c r="AB98" i="42" s="1"/>
  <c r="R98" i="42"/>
  <c r="Q98" i="42"/>
  <c r="N98" i="42"/>
  <c r="M98" i="42"/>
  <c r="AC97" i="42"/>
  <c r="AA97" i="42"/>
  <c r="Y97" i="42"/>
  <c r="X97" i="42"/>
  <c r="W97" i="42"/>
  <c r="U97" i="42"/>
  <c r="T97" i="42"/>
  <c r="AB97" i="42" s="1"/>
  <c r="R97" i="42"/>
  <c r="Q97" i="42"/>
  <c r="N97" i="42"/>
  <c r="M97" i="42"/>
  <c r="AC96" i="42"/>
  <c r="AA96" i="42"/>
  <c r="Y96" i="42"/>
  <c r="X96" i="42"/>
  <c r="W96" i="42"/>
  <c r="U96" i="42"/>
  <c r="T96" i="42"/>
  <c r="AB96" i="42" s="1"/>
  <c r="R96" i="42"/>
  <c r="Q96" i="42"/>
  <c r="N96" i="42"/>
  <c r="M96" i="42"/>
  <c r="AC95" i="42"/>
  <c r="AA95" i="42"/>
  <c r="Y95" i="42"/>
  <c r="X95" i="42"/>
  <c r="W95" i="42"/>
  <c r="U95" i="42"/>
  <c r="T95" i="42"/>
  <c r="AB95" i="42" s="1"/>
  <c r="R95" i="42"/>
  <c r="Q95" i="42"/>
  <c r="N95" i="42"/>
  <c r="M95" i="42"/>
  <c r="AC94" i="42"/>
  <c r="AA94" i="42"/>
  <c r="Y94" i="42"/>
  <c r="X94" i="42"/>
  <c r="W94" i="42"/>
  <c r="U94" i="42"/>
  <c r="T94" i="42"/>
  <c r="AB94" i="42" s="1"/>
  <c r="R94" i="42"/>
  <c r="Q94" i="42"/>
  <c r="N94" i="42"/>
  <c r="M94" i="42"/>
  <c r="AC93" i="42"/>
  <c r="AA93" i="42"/>
  <c r="Y93" i="42"/>
  <c r="X93" i="42"/>
  <c r="W93" i="42"/>
  <c r="U93" i="42"/>
  <c r="T93" i="42"/>
  <c r="AB93" i="42" s="1"/>
  <c r="R93" i="42"/>
  <c r="Q93" i="42"/>
  <c r="N93" i="42"/>
  <c r="M93" i="42"/>
  <c r="AC92" i="42"/>
  <c r="AA92" i="42"/>
  <c r="Y92" i="42"/>
  <c r="X92" i="42"/>
  <c r="W92" i="42"/>
  <c r="U92" i="42"/>
  <c r="T92" i="42"/>
  <c r="AB92" i="42" s="1"/>
  <c r="R92" i="42"/>
  <c r="Q92" i="42"/>
  <c r="N92" i="42"/>
  <c r="M92" i="42"/>
  <c r="AC91" i="42"/>
  <c r="AA91" i="42"/>
  <c r="Y91" i="42"/>
  <c r="X91" i="42"/>
  <c r="W91" i="42"/>
  <c r="U91" i="42"/>
  <c r="T91" i="42"/>
  <c r="AB91" i="42" s="1"/>
  <c r="R91" i="42"/>
  <c r="Q91" i="42"/>
  <c r="N91" i="42"/>
  <c r="M91" i="42"/>
  <c r="AC90" i="42"/>
  <c r="AA90" i="42"/>
  <c r="Y90" i="42"/>
  <c r="X90" i="42"/>
  <c r="W90" i="42"/>
  <c r="U90" i="42"/>
  <c r="T90" i="42"/>
  <c r="AB90" i="42" s="1"/>
  <c r="R90" i="42"/>
  <c r="Q90" i="42"/>
  <c r="N90" i="42"/>
  <c r="M90" i="42"/>
  <c r="AC89" i="42"/>
  <c r="AA89" i="42"/>
  <c r="Y89" i="42"/>
  <c r="X89" i="42"/>
  <c r="W89" i="42"/>
  <c r="U89" i="42"/>
  <c r="T89" i="42"/>
  <c r="AB89" i="42" s="1"/>
  <c r="R89" i="42"/>
  <c r="Q89" i="42"/>
  <c r="N89" i="42"/>
  <c r="M89" i="42"/>
  <c r="AC88" i="42"/>
  <c r="AA88" i="42"/>
  <c r="Y88" i="42"/>
  <c r="X88" i="42"/>
  <c r="W88" i="42"/>
  <c r="U88" i="42"/>
  <c r="T88" i="42"/>
  <c r="AB88" i="42" s="1"/>
  <c r="R88" i="42"/>
  <c r="Q88" i="42"/>
  <c r="N88" i="42"/>
  <c r="M88" i="42"/>
  <c r="AC87" i="42"/>
  <c r="AA87" i="42"/>
  <c r="Y87" i="42"/>
  <c r="X87" i="42"/>
  <c r="W87" i="42"/>
  <c r="U87" i="42"/>
  <c r="T87" i="42"/>
  <c r="AB87" i="42" s="1"/>
  <c r="R87" i="42"/>
  <c r="Q87" i="42"/>
  <c r="N87" i="42"/>
  <c r="M87" i="42"/>
  <c r="AC86" i="42"/>
  <c r="AA86" i="42"/>
  <c r="Y86" i="42"/>
  <c r="X86" i="42"/>
  <c r="W86" i="42"/>
  <c r="U86" i="42"/>
  <c r="T86" i="42"/>
  <c r="AB86" i="42" s="1"/>
  <c r="R86" i="42"/>
  <c r="Q86" i="42"/>
  <c r="N86" i="42"/>
  <c r="M86" i="42"/>
  <c r="AC85" i="42"/>
  <c r="AA85" i="42"/>
  <c r="Y85" i="42"/>
  <c r="X85" i="42"/>
  <c r="W85" i="42"/>
  <c r="U85" i="42"/>
  <c r="T85" i="42"/>
  <c r="AB85" i="42" s="1"/>
  <c r="R85" i="42"/>
  <c r="Q85" i="42"/>
  <c r="N85" i="42"/>
  <c r="M85" i="42"/>
  <c r="AC84" i="42"/>
  <c r="AA84" i="42"/>
  <c r="Y84" i="42"/>
  <c r="X84" i="42"/>
  <c r="W84" i="42"/>
  <c r="U84" i="42"/>
  <c r="T84" i="42"/>
  <c r="AB84" i="42" s="1"/>
  <c r="R84" i="42"/>
  <c r="Q84" i="42"/>
  <c r="N84" i="42"/>
  <c r="M84" i="42"/>
  <c r="AC83" i="42"/>
  <c r="AA83" i="42"/>
  <c r="Y83" i="42"/>
  <c r="X83" i="42"/>
  <c r="W83" i="42"/>
  <c r="U83" i="42"/>
  <c r="T83" i="42"/>
  <c r="AB83" i="42" s="1"/>
  <c r="R83" i="42"/>
  <c r="Q83" i="42"/>
  <c r="N83" i="42"/>
  <c r="M83" i="42"/>
  <c r="AC82" i="42"/>
  <c r="AA82" i="42"/>
  <c r="Y82" i="42"/>
  <c r="X82" i="42"/>
  <c r="W82" i="42"/>
  <c r="U82" i="42"/>
  <c r="T82" i="42"/>
  <c r="AB82" i="42" s="1"/>
  <c r="R82" i="42"/>
  <c r="Q82" i="42"/>
  <c r="N82" i="42"/>
  <c r="M82" i="42"/>
  <c r="AC81" i="42"/>
  <c r="AA81" i="42"/>
  <c r="Y81" i="42"/>
  <c r="X81" i="42"/>
  <c r="W81" i="42"/>
  <c r="U81" i="42"/>
  <c r="T81" i="42"/>
  <c r="AB81" i="42" s="1"/>
  <c r="R81" i="42"/>
  <c r="Q81" i="42"/>
  <c r="N81" i="42"/>
  <c r="M81" i="42"/>
  <c r="AC80" i="42"/>
  <c r="AA80" i="42"/>
  <c r="Y80" i="42"/>
  <c r="X80" i="42"/>
  <c r="W80" i="42"/>
  <c r="U80" i="42"/>
  <c r="T80" i="42"/>
  <c r="AB80" i="42" s="1"/>
  <c r="R80" i="42"/>
  <c r="Q80" i="42"/>
  <c r="N80" i="42"/>
  <c r="M80" i="42"/>
  <c r="AC79" i="42"/>
  <c r="AA79" i="42"/>
  <c r="Y79" i="42"/>
  <c r="X79" i="42"/>
  <c r="W79" i="42"/>
  <c r="U79" i="42"/>
  <c r="T79" i="42"/>
  <c r="AB79" i="42" s="1"/>
  <c r="R79" i="42"/>
  <c r="Q79" i="42"/>
  <c r="N79" i="42"/>
  <c r="M79" i="42"/>
  <c r="AC78" i="42"/>
  <c r="AA78" i="42"/>
  <c r="Y78" i="42"/>
  <c r="X78" i="42"/>
  <c r="W78" i="42"/>
  <c r="U78" i="42"/>
  <c r="T78" i="42"/>
  <c r="AB78" i="42" s="1"/>
  <c r="R78" i="42"/>
  <c r="Q78" i="42"/>
  <c r="N78" i="42"/>
  <c r="M78" i="42"/>
  <c r="AC77" i="42"/>
  <c r="AA77" i="42"/>
  <c r="Y77" i="42"/>
  <c r="X77" i="42"/>
  <c r="W77" i="42"/>
  <c r="U77" i="42"/>
  <c r="T77" i="42"/>
  <c r="AB77" i="42" s="1"/>
  <c r="R77" i="42"/>
  <c r="Q77" i="42"/>
  <c r="N77" i="42"/>
  <c r="M77" i="42"/>
  <c r="AC76" i="42"/>
  <c r="AA76" i="42"/>
  <c r="Y76" i="42"/>
  <c r="X76" i="42"/>
  <c r="W76" i="42"/>
  <c r="U76" i="42"/>
  <c r="T76" i="42"/>
  <c r="AB76" i="42" s="1"/>
  <c r="R76" i="42"/>
  <c r="Q76" i="42"/>
  <c r="N76" i="42"/>
  <c r="M76" i="42"/>
  <c r="AC75" i="42"/>
  <c r="AA75" i="42"/>
  <c r="Y75" i="42"/>
  <c r="X75" i="42"/>
  <c r="W75" i="42"/>
  <c r="U75" i="42"/>
  <c r="T75" i="42"/>
  <c r="AB75" i="42" s="1"/>
  <c r="R75" i="42"/>
  <c r="Q75" i="42"/>
  <c r="N75" i="42"/>
  <c r="M75" i="42"/>
  <c r="AC74" i="42"/>
  <c r="AA74" i="42"/>
  <c r="Y74" i="42"/>
  <c r="X74" i="42"/>
  <c r="W74" i="42"/>
  <c r="U74" i="42"/>
  <c r="T74" i="42"/>
  <c r="AB74" i="42" s="1"/>
  <c r="R74" i="42"/>
  <c r="Q74" i="42"/>
  <c r="N74" i="42"/>
  <c r="M74" i="42"/>
  <c r="AC73" i="42"/>
  <c r="AA73" i="42"/>
  <c r="Y73" i="42"/>
  <c r="X73" i="42"/>
  <c r="W73" i="42"/>
  <c r="U73" i="42"/>
  <c r="T73" i="42"/>
  <c r="AB73" i="42" s="1"/>
  <c r="R73" i="42"/>
  <c r="Q73" i="42"/>
  <c r="N73" i="42"/>
  <c r="M73" i="42"/>
  <c r="AC72" i="42"/>
  <c r="AA72" i="42"/>
  <c r="Y72" i="42"/>
  <c r="X72" i="42"/>
  <c r="W72" i="42"/>
  <c r="U72" i="42"/>
  <c r="T72" i="42"/>
  <c r="AB72" i="42" s="1"/>
  <c r="R72" i="42"/>
  <c r="Q72" i="42"/>
  <c r="N72" i="42"/>
  <c r="M72" i="42"/>
  <c r="AC71" i="42"/>
  <c r="AA71" i="42"/>
  <c r="Y71" i="42"/>
  <c r="X71" i="42"/>
  <c r="W71" i="42"/>
  <c r="U71" i="42"/>
  <c r="T71" i="42"/>
  <c r="AB71" i="42" s="1"/>
  <c r="R71" i="42"/>
  <c r="Q71" i="42"/>
  <c r="N71" i="42"/>
  <c r="M71" i="42"/>
  <c r="AC70" i="42"/>
  <c r="AA70" i="42"/>
  <c r="Y70" i="42"/>
  <c r="X70" i="42"/>
  <c r="W70" i="42"/>
  <c r="U70" i="42"/>
  <c r="T70" i="42"/>
  <c r="AB70" i="42" s="1"/>
  <c r="R70" i="42"/>
  <c r="Q70" i="42"/>
  <c r="N70" i="42"/>
  <c r="M70" i="42"/>
  <c r="AC69" i="42"/>
  <c r="AA69" i="42"/>
  <c r="Y69" i="42"/>
  <c r="X69" i="42"/>
  <c r="W69" i="42"/>
  <c r="U69" i="42"/>
  <c r="T69" i="42"/>
  <c r="AB69" i="42" s="1"/>
  <c r="R69" i="42"/>
  <c r="Q69" i="42"/>
  <c r="N69" i="42"/>
  <c r="M69" i="42"/>
  <c r="AC68" i="42"/>
  <c r="AA68" i="42"/>
  <c r="Y68" i="42"/>
  <c r="X68" i="42"/>
  <c r="W68" i="42"/>
  <c r="U68" i="42"/>
  <c r="T68" i="42"/>
  <c r="AB68" i="42" s="1"/>
  <c r="R68" i="42"/>
  <c r="Q68" i="42"/>
  <c r="N68" i="42"/>
  <c r="M68" i="42"/>
  <c r="AC67" i="42"/>
  <c r="AA67" i="42"/>
  <c r="Y67" i="42"/>
  <c r="X67" i="42"/>
  <c r="W67" i="42"/>
  <c r="U67" i="42"/>
  <c r="T67" i="42"/>
  <c r="AB67" i="42" s="1"/>
  <c r="R67" i="42"/>
  <c r="Q67" i="42"/>
  <c r="N67" i="42"/>
  <c r="M67" i="42"/>
  <c r="AC66" i="42"/>
  <c r="AA66" i="42"/>
  <c r="Y66" i="42"/>
  <c r="X66" i="42"/>
  <c r="W66" i="42"/>
  <c r="U66" i="42"/>
  <c r="T66" i="42"/>
  <c r="AB66" i="42" s="1"/>
  <c r="R66" i="42"/>
  <c r="Q66" i="42"/>
  <c r="N66" i="42"/>
  <c r="M66" i="42"/>
  <c r="AC65" i="42"/>
  <c r="AA65" i="42"/>
  <c r="Y65" i="42"/>
  <c r="X65" i="42"/>
  <c r="W65" i="42"/>
  <c r="U65" i="42"/>
  <c r="T65" i="42"/>
  <c r="AB65" i="42" s="1"/>
  <c r="R65" i="42"/>
  <c r="Q65" i="42"/>
  <c r="N65" i="42"/>
  <c r="M65" i="42"/>
  <c r="AC64" i="42"/>
  <c r="AA64" i="42"/>
  <c r="Y64" i="42"/>
  <c r="X64" i="42"/>
  <c r="W64" i="42"/>
  <c r="U64" i="42"/>
  <c r="T64" i="42"/>
  <c r="AB64" i="42" s="1"/>
  <c r="R64" i="42"/>
  <c r="Q64" i="42"/>
  <c r="N64" i="42"/>
  <c r="M64" i="42"/>
  <c r="AC63" i="42"/>
  <c r="AA63" i="42"/>
  <c r="Y63" i="42"/>
  <c r="X63" i="42"/>
  <c r="W63" i="42"/>
  <c r="U63" i="42"/>
  <c r="T63" i="42"/>
  <c r="AB63" i="42" s="1"/>
  <c r="R63" i="42"/>
  <c r="Q63" i="42"/>
  <c r="N63" i="42"/>
  <c r="M63" i="42"/>
  <c r="AC62" i="42"/>
  <c r="AA62" i="42"/>
  <c r="Y62" i="42"/>
  <c r="X62" i="42"/>
  <c r="W62" i="42"/>
  <c r="U62" i="42"/>
  <c r="T62" i="42"/>
  <c r="AB62" i="42" s="1"/>
  <c r="R62" i="42"/>
  <c r="Q62" i="42"/>
  <c r="N62" i="42"/>
  <c r="M62" i="42"/>
  <c r="AC61" i="42"/>
  <c r="AA61" i="42"/>
  <c r="Y61" i="42"/>
  <c r="X61" i="42"/>
  <c r="W61" i="42"/>
  <c r="U61" i="42"/>
  <c r="T61" i="42"/>
  <c r="AB61" i="42" s="1"/>
  <c r="R61" i="42"/>
  <c r="Q61" i="42"/>
  <c r="N61" i="42"/>
  <c r="M61" i="42"/>
  <c r="AC60" i="42"/>
  <c r="AA60" i="42"/>
  <c r="Y60" i="42"/>
  <c r="X60" i="42"/>
  <c r="W60" i="42"/>
  <c r="U60" i="42"/>
  <c r="T60" i="42"/>
  <c r="AB60" i="42" s="1"/>
  <c r="R60" i="42"/>
  <c r="Q60" i="42"/>
  <c r="N60" i="42"/>
  <c r="M60" i="42"/>
  <c r="AC59" i="42"/>
  <c r="AA59" i="42"/>
  <c r="Y59" i="42"/>
  <c r="X59" i="42"/>
  <c r="W59" i="42"/>
  <c r="U59" i="42"/>
  <c r="T59" i="42"/>
  <c r="AB59" i="42" s="1"/>
  <c r="R59" i="42"/>
  <c r="Q59" i="42"/>
  <c r="N59" i="42"/>
  <c r="M59" i="42"/>
  <c r="AC58" i="42"/>
  <c r="AA58" i="42"/>
  <c r="Y58" i="42"/>
  <c r="X58" i="42"/>
  <c r="W58" i="42"/>
  <c r="U58" i="42"/>
  <c r="T58" i="42"/>
  <c r="AB58" i="42" s="1"/>
  <c r="R58" i="42"/>
  <c r="Q58" i="42"/>
  <c r="N58" i="42"/>
  <c r="M58" i="42"/>
  <c r="AC57" i="42"/>
  <c r="AA57" i="42"/>
  <c r="Y57" i="42"/>
  <c r="X57" i="42"/>
  <c r="W57" i="42"/>
  <c r="U57" i="42"/>
  <c r="T57" i="42"/>
  <c r="AB57" i="42" s="1"/>
  <c r="R57" i="42"/>
  <c r="Q57" i="42"/>
  <c r="N57" i="42"/>
  <c r="M57" i="42"/>
  <c r="AC56" i="42"/>
  <c r="AA56" i="42"/>
  <c r="Y56" i="42"/>
  <c r="X56" i="42"/>
  <c r="W56" i="42"/>
  <c r="U56" i="42"/>
  <c r="T56" i="42"/>
  <c r="AB56" i="42" s="1"/>
  <c r="R56" i="42"/>
  <c r="Q56" i="42"/>
  <c r="N56" i="42"/>
  <c r="M56" i="42"/>
  <c r="AC55" i="42"/>
  <c r="AA55" i="42"/>
  <c r="Y55" i="42"/>
  <c r="X55" i="42"/>
  <c r="W55" i="42"/>
  <c r="U55" i="42"/>
  <c r="T55" i="42"/>
  <c r="AB55" i="42" s="1"/>
  <c r="R55" i="42"/>
  <c r="Q55" i="42"/>
  <c r="N55" i="42"/>
  <c r="M55" i="42"/>
  <c r="AC54" i="42"/>
  <c r="AA54" i="42"/>
  <c r="Y54" i="42"/>
  <c r="X54" i="42"/>
  <c r="W54" i="42"/>
  <c r="U54" i="42"/>
  <c r="T54" i="42"/>
  <c r="AB54" i="42" s="1"/>
  <c r="R54" i="42"/>
  <c r="Q54" i="42"/>
  <c r="N54" i="42"/>
  <c r="M54" i="42"/>
  <c r="AC53" i="42"/>
  <c r="AA53" i="42"/>
  <c r="Y53" i="42"/>
  <c r="X53" i="42"/>
  <c r="W53" i="42"/>
  <c r="U53" i="42"/>
  <c r="T53" i="42"/>
  <c r="AB53" i="42" s="1"/>
  <c r="R53" i="42"/>
  <c r="Q53" i="42"/>
  <c r="N53" i="42"/>
  <c r="M53" i="42"/>
  <c r="AC52" i="42"/>
  <c r="AA52" i="42"/>
  <c r="Y52" i="42"/>
  <c r="X52" i="42"/>
  <c r="W52" i="42"/>
  <c r="U52" i="42"/>
  <c r="T52" i="42"/>
  <c r="AB52" i="42" s="1"/>
  <c r="R52" i="42"/>
  <c r="Q52" i="42"/>
  <c r="N52" i="42"/>
  <c r="M52" i="42"/>
  <c r="AC51" i="42"/>
  <c r="AA51" i="42"/>
  <c r="Y51" i="42"/>
  <c r="X51" i="42"/>
  <c r="W51" i="42"/>
  <c r="U51" i="42"/>
  <c r="T51" i="42"/>
  <c r="AB51" i="42" s="1"/>
  <c r="R51" i="42"/>
  <c r="Q51" i="42"/>
  <c r="N51" i="42"/>
  <c r="M51" i="42"/>
  <c r="AC50" i="42"/>
  <c r="AA50" i="42"/>
  <c r="Y50" i="42"/>
  <c r="X50" i="42"/>
  <c r="W50" i="42"/>
  <c r="U50" i="42"/>
  <c r="T50" i="42"/>
  <c r="AB50" i="42" s="1"/>
  <c r="R50" i="42"/>
  <c r="Q50" i="42"/>
  <c r="N50" i="42"/>
  <c r="M50" i="42"/>
  <c r="AC49" i="42"/>
  <c r="AA49" i="42"/>
  <c r="Y49" i="42"/>
  <c r="X49" i="42"/>
  <c r="W49" i="42"/>
  <c r="U49" i="42"/>
  <c r="T49" i="42"/>
  <c r="AB49" i="42" s="1"/>
  <c r="R49" i="42"/>
  <c r="Q49" i="42"/>
  <c r="N49" i="42"/>
  <c r="M49" i="42"/>
  <c r="AC48" i="42"/>
  <c r="AA48" i="42"/>
  <c r="Y48" i="42"/>
  <c r="X48" i="42"/>
  <c r="W48" i="42"/>
  <c r="U48" i="42"/>
  <c r="T48" i="42"/>
  <c r="AB48" i="42" s="1"/>
  <c r="R48" i="42"/>
  <c r="Q48" i="42"/>
  <c r="N48" i="42"/>
  <c r="M48" i="42"/>
  <c r="AC47" i="42"/>
  <c r="AA47" i="42"/>
  <c r="Y47" i="42"/>
  <c r="X47" i="42"/>
  <c r="W47" i="42"/>
  <c r="U47" i="42"/>
  <c r="T47" i="42"/>
  <c r="AB47" i="42" s="1"/>
  <c r="R47" i="42"/>
  <c r="Q47" i="42"/>
  <c r="N47" i="42"/>
  <c r="M47" i="42"/>
  <c r="AC46" i="42"/>
  <c r="AA46" i="42"/>
  <c r="Y46" i="42"/>
  <c r="X46" i="42"/>
  <c r="W46" i="42"/>
  <c r="U46" i="42"/>
  <c r="T46" i="42"/>
  <c r="AB46" i="42" s="1"/>
  <c r="R46" i="42"/>
  <c r="Q46" i="42"/>
  <c r="N46" i="42"/>
  <c r="M46" i="42"/>
  <c r="AC45" i="42"/>
  <c r="AA45" i="42"/>
  <c r="Y45" i="42"/>
  <c r="X45" i="42"/>
  <c r="W45" i="42"/>
  <c r="U45" i="42"/>
  <c r="T45" i="42"/>
  <c r="AB45" i="42" s="1"/>
  <c r="R45" i="42"/>
  <c r="Q45" i="42"/>
  <c r="N45" i="42"/>
  <c r="M45" i="42"/>
  <c r="AC44" i="42"/>
  <c r="AA44" i="42"/>
  <c r="Y44" i="42"/>
  <c r="X44" i="42"/>
  <c r="W44" i="42"/>
  <c r="U44" i="42"/>
  <c r="T44" i="42"/>
  <c r="AB44" i="42" s="1"/>
  <c r="R44" i="42"/>
  <c r="Q44" i="42"/>
  <c r="N44" i="42"/>
  <c r="M44" i="42"/>
  <c r="AC43" i="42"/>
  <c r="AA43" i="42"/>
  <c r="Y43" i="42"/>
  <c r="X43" i="42"/>
  <c r="W43" i="42"/>
  <c r="U43" i="42"/>
  <c r="T43" i="42"/>
  <c r="AB43" i="42" s="1"/>
  <c r="R43" i="42"/>
  <c r="Q43" i="42"/>
  <c r="N43" i="42"/>
  <c r="M43" i="42"/>
  <c r="AC42" i="42"/>
  <c r="AA42" i="42"/>
  <c r="Y42" i="42"/>
  <c r="X42" i="42"/>
  <c r="W42" i="42"/>
  <c r="U42" i="42"/>
  <c r="T42" i="42"/>
  <c r="AB42" i="42" s="1"/>
  <c r="R42" i="42"/>
  <c r="Q42" i="42"/>
  <c r="N42" i="42"/>
  <c r="M42" i="42"/>
  <c r="AC41" i="42"/>
  <c r="AA41" i="42"/>
  <c r="Y41" i="42"/>
  <c r="X41" i="42"/>
  <c r="W41" i="42"/>
  <c r="U41" i="42"/>
  <c r="T41" i="42"/>
  <c r="AB41" i="42" s="1"/>
  <c r="R41" i="42"/>
  <c r="Q41" i="42"/>
  <c r="N41" i="42"/>
  <c r="M41" i="42"/>
  <c r="B41" i="42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B202" i="42" s="1"/>
  <c r="B203" i="42" s="1"/>
  <c r="B204" i="42" s="1"/>
  <c r="B205" i="42" s="1"/>
  <c r="B206" i="42" s="1"/>
  <c r="B207" i="42" s="1"/>
  <c r="B208" i="42" s="1"/>
  <c r="B209" i="42" s="1"/>
  <c r="B210" i="42" s="1"/>
  <c r="B211" i="42" s="1"/>
  <c r="B212" i="42" s="1"/>
  <c r="B213" i="42" s="1"/>
  <c r="B214" i="42" s="1"/>
  <c r="B215" i="42" s="1"/>
  <c r="B216" i="42" s="1"/>
  <c r="B217" i="42" s="1"/>
  <c r="B218" i="42" s="1"/>
  <c r="B219" i="42" s="1"/>
  <c r="B220" i="42" s="1"/>
  <c r="B221" i="42" s="1"/>
  <c r="B222" i="42" s="1"/>
  <c r="B223" i="42" s="1"/>
  <c r="B224" i="42" s="1"/>
  <c r="B225" i="42" s="1"/>
  <c r="B226" i="42" s="1"/>
  <c r="B227" i="42" s="1"/>
  <c r="B228" i="42" s="1"/>
  <c r="B229" i="42" s="1"/>
  <c r="B230" i="42" s="1"/>
  <c r="B231" i="42" s="1"/>
  <c r="B232" i="42" s="1"/>
  <c r="B233" i="42" s="1"/>
  <c r="B234" i="42" s="1"/>
  <c r="B235" i="42" s="1"/>
  <c r="B236" i="42" s="1"/>
  <c r="B237" i="42" s="1"/>
  <c r="B238" i="42" s="1"/>
  <c r="B239" i="42" s="1"/>
  <c r="B240" i="42" s="1"/>
  <c r="B241" i="42" s="1"/>
  <c r="B242" i="42" s="1"/>
  <c r="B243" i="42" s="1"/>
  <c r="B244" i="42" s="1"/>
  <c r="B245" i="42" s="1"/>
  <c r="B246" i="42" s="1"/>
  <c r="B247" i="42" s="1"/>
  <c r="B248" i="42" s="1"/>
  <c r="B249" i="42" s="1"/>
  <c r="B250" i="42" s="1"/>
  <c r="B251" i="42" s="1"/>
  <c r="B252" i="42" s="1"/>
  <c r="B253" i="42" s="1"/>
  <c r="B254" i="42" s="1"/>
  <c r="B255" i="42" s="1"/>
  <c r="B256" i="42" s="1"/>
  <c r="B257" i="42" s="1"/>
  <c r="B258" i="42" s="1"/>
  <c r="B259" i="42" s="1"/>
  <c r="B260" i="42" s="1"/>
  <c r="B261" i="42" s="1"/>
  <c r="B262" i="42" s="1"/>
  <c r="B263" i="42" s="1"/>
  <c r="B264" i="42" s="1"/>
  <c r="B265" i="42" s="1"/>
  <c r="B266" i="42" s="1"/>
  <c r="B267" i="42" s="1"/>
  <c r="B268" i="42" s="1"/>
  <c r="B269" i="42" s="1"/>
  <c r="B270" i="42" s="1"/>
  <c r="B271" i="42" s="1"/>
  <c r="B272" i="42" s="1"/>
  <c r="B273" i="42" s="1"/>
  <c r="B274" i="42" s="1"/>
  <c r="B275" i="42" s="1"/>
  <c r="B276" i="42" s="1"/>
  <c r="B277" i="42" s="1"/>
  <c r="B278" i="42" s="1"/>
  <c r="B279" i="42" s="1"/>
  <c r="B280" i="42" s="1"/>
  <c r="B281" i="42" s="1"/>
  <c r="B282" i="42" s="1"/>
  <c r="B283" i="42" s="1"/>
  <c r="B284" i="42" s="1"/>
  <c r="B285" i="42" s="1"/>
  <c r="B286" i="42" s="1"/>
  <c r="B287" i="42" s="1"/>
  <c r="B288" i="42" s="1"/>
  <c r="B289" i="42" s="1"/>
  <c r="B290" i="42" s="1"/>
  <c r="B291" i="42" s="1"/>
  <c r="B292" i="42" s="1"/>
  <c r="B293" i="42" s="1"/>
  <c r="B294" i="42" s="1"/>
  <c r="B295" i="42" s="1"/>
  <c r="B296" i="42" s="1"/>
  <c r="B297" i="42" s="1"/>
  <c r="AC40" i="42"/>
  <c r="AA40" i="42"/>
  <c r="Y40" i="42"/>
  <c r="X40" i="42"/>
  <c r="W40" i="42"/>
  <c r="U40" i="42"/>
  <c r="T40" i="42"/>
  <c r="R40" i="42"/>
  <c r="Q40" i="42"/>
  <c r="N40" i="42"/>
  <c r="M40" i="42"/>
  <c r="V38" i="42"/>
  <c r="S38" i="42"/>
  <c r="AC37" i="42"/>
  <c r="AA37" i="42"/>
  <c r="Y37" i="42"/>
  <c r="X37" i="42"/>
  <c r="W37" i="42"/>
  <c r="U37" i="42"/>
  <c r="T37" i="42"/>
  <c r="AB37" i="42" s="1"/>
  <c r="R37" i="42"/>
  <c r="Q37" i="42"/>
  <c r="N37" i="42"/>
  <c r="M37" i="42"/>
  <c r="AC34" i="42"/>
  <c r="AA34" i="42"/>
  <c r="Y34" i="42"/>
  <c r="X34" i="42"/>
  <c r="W34" i="42"/>
  <c r="U34" i="42"/>
  <c r="T34" i="42"/>
  <c r="AB34" i="42" s="1"/>
  <c r="R34" i="42"/>
  <c r="Q34" i="42"/>
  <c r="N34" i="42"/>
  <c r="M34" i="42"/>
  <c r="AC33" i="42"/>
  <c r="AA33" i="42"/>
  <c r="Y33" i="42"/>
  <c r="X33" i="42"/>
  <c r="W33" i="42"/>
  <c r="U33" i="42"/>
  <c r="T33" i="42"/>
  <c r="AB33" i="42" s="1"/>
  <c r="R33" i="42"/>
  <c r="Q33" i="42"/>
  <c r="N33" i="42"/>
  <c r="M33" i="42"/>
  <c r="AC32" i="42"/>
  <c r="AA32" i="42"/>
  <c r="Y32" i="42"/>
  <c r="X32" i="42"/>
  <c r="W32" i="42"/>
  <c r="U32" i="42"/>
  <c r="T32" i="42"/>
  <c r="AB32" i="42" s="1"/>
  <c r="R32" i="42"/>
  <c r="Q32" i="42"/>
  <c r="N32" i="42"/>
  <c r="M32" i="42"/>
  <c r="AC31" i="42"/>
  <c r="AA31" i="42"/>
  <c r="Y31" i="42"/>
  <c r="X31" i="42"/>
  <c r="W31" i="42"/>
  <c r="U31" i="42"/>
  <c r="T31" i="42"/>
  <c r="AB31" i="42" s="1"/>
  <c r="R31" i="42"/>
  <c r="Q31" i="42"/>
  <c r="N31" i="42"/>
  <c r="M31" i="42"/>
  <c r="AC30" i="42"/>
  <c r="AA30" i="42"/>
  <c r="Y30" i="42"/>
  <c r="X30" i="42"/>
  <c r="W30" i="42"/>
  <c r="U30" i="42"/>
  <c r="T30" i="42"/>
  <c r="AB30" i="42" s="1"/>
  <c r="R30" i="42"/>
  <c r="Q30" i="42"/>
  <c r="N30" i="42"/>
  <c r="M30" i="42"/>
  <c r="AC29" i="42"/>
  <c r="AA29" i="42"/>
  <c r="Y29" i="42"/>
  <c r="X29" i="42"/>
  <c r="W29" i="42"/>
  <c r="U29" i="42"/>
  <c r="T29" i="42"/>
  <c r="AB29" i="42" s="1"/>
  <c r="R29" i="42"/>
  <c r="Q29" i="42"/>
  <c r="N29" i="42"/>
  <c r="M29" i="42"/>
  <c r="AC28" i="42"/>
  <c r="AA28" i="42"/>
  <c r="Y28" i="42"/>
  <c r="X28" i="42"/>
  <c r="W28" i="42"/>
  <c r="U28" i="42"/>
  <c r="T28" i="42"/>
  <c r="AB28" i="42" s="1"/>
  <c r="R28" i="42"/>
  <c r="Q28" i="42"/>
  <c r="N28" i="42"/>
  <c r="M28" i="42"/>
  <c r="AC27" i="42"/>
  <c r="AA27" i="42"/>
  <c r="Y27" i="42"/>
  <c r="X27" i="42"/>
  <c r="W27" i="42"/>
  <c r="U27" i="42"/>
  <c r="T27" i="42"/>
  <c r="AB27" i="42" s="1"/>
  <c r="R27" i="42"/>
  <c r="Q27" i="42"/>
  <c r="N27" i="42"/>
  <c r="M27" i="42"/>
  <c r="AC26" i="42"/>
  <c r="AA26" i="42"/>
  <c r="Y26" i="42"/>
  <c r="X26" i="42"/>
  <c r="W26" i="42"/>
  <c r="U26" i="42"/>
  <c r="T26" i="42"/>
  <c r="AB26" i="42" s="1"/>
  <c r="R26" i="42"/>
  <c r="Q26" i="42"/>
  <c r="N26" i="42"/>
  <c r="M26" i="42"/>
  <c r="AC25" i="42"/>
  <c r="AA25" i="42"/>
  <c r="Y25" i="42"/>
  <c r="X25" i="42"/>
  <c r="W25" i="42"/>
  <c r="U25" i="42"/>
  <c r="T25" i="42"/>
  <c r="AB25" i="42" s="1"/>
  <c r="R25" i="42"/>
  <c r="Q25" i="42"/>
  <c r="N25" i="42"/>
  <c r="M25" i="42"/>
  <c r="AC24" i="42"/>
  <c r="AA24" i="42"/>
  <c r="Y24" i="42"/>
  <c r="X24" i="42"/>
  <c r="W24" i="42"/>
  <c r="U24" i="42"/>
  <c r="T24" i="42"/>
  <c r="AB24" i="42" s="1"/>
  <c r="R24" i="42"/>
  <c r="Q24" i="42"/>
  <c r="N24" i="42"/>
  <c r="M24" i="42"/>
  <c r="AC23" i="42"/>
  <c r="AA23" i="42"/>
  <c r="Y23" i="42"/>
  <c r="X23" i="42"/>
  <c r="W23" i="42"/>
  <c r="U23" i="42"/>
  <c r="T23" i="42"/>
  <c r="AB23" i="42" s="1"/>
  <c r="R23" i="42"/>
  <c r="Q23" i="42"/>
  <c r="N23" i="42"/>
  <c r="M23" i="42"/>
  <c r="AC22" i="42"/>
  <c r="AA22" i="42"/>
  <c r="Y22" i="42"/>
  <c r="X22" i="42"/>
  <c r="W22" i="42"/>
  <c r="U22" i="42"/>
  <c r="T22" i="42"/>
  <c r="AB22" i="42" s="1"/>
  <c r="R22" i="42"/>
  <c r="Q22" i="42"/>
  <c r="N22" i="42"/>
  <c r="M22" i="42"/>
  <c r="AC21" i="42"/>
  <c r="AA21" i="42"/>
  <c r="Y21" i="42"/>
  <c r="X21" i="42"/>
  <c r="W21" i="42"/>
  <c r="U21" i="42"/>
  <c r="T21" i="42"/>
  <c r="AB21" i="42" s="1"/>
  <c r="R21" i="42"/>
  <c r="Q21" i="42"/>
  <c r="N21" i="42"/>
  <c r="M21" i="42"/>
  <c r="AC20" i="42"/>
  <c r="AA20" i="42"/>
  <c r="Y20" i="42"/>
  <c r="X20" i="42"/>
  <c r="W20" i="42"/>
  <c r="U20" i="42"/>
  <c r="T20" i="42"/>
  <c r="AB20" i="42" s="1"/>
  <c r="R20" i="42"/>
  <c r="Q20" i="42"/>
  <c r="N20" i="42"/>
  <c r="M20" i="42"/>
  <c r="AC19" i="42"/>
  <c r="AA19" i="42"/>
  <c r="Y19" i="42"/>
  <c r="X19" i="42"/>
  <c r="W19" i="42"/>
  <c r="U19" i="42"/>
  <c r="T19" i="42"/>
  <c r="AB19" i="42" s="1"/>
  <c r="R19" i="42"/>
  <c r="Q19" i="42"/>
  <c r="N19" i="42"/>
  <c r="M19" i="42"/>
  <c r="AC18" i="42"/>
  <c r="AA18" i="42"/>
  <c r="Y18" i="42"/>
  <c r="X18" i="42"/>
  <c r="W18" i="42"/>
  <c r="U18" i="42"/>
  <c r="T18" i="42"/>
  <c r="AB18" i="42" s="1"/>
  <c r="R18" i="42"/>
  <c r="Q18" i="42"/>
  <c r="N18" i="42"/>
  <c r="M18" i="42"/>
  <c r="AC17" i="42"/>
  <c r="AA17" i="42"/>
  <c r="Y17" i="42"/>
  <c r="X17" i="42"/>
  <c r="W17" i="42"/>
  <c r="U17" i="42"/>
  <c r="T17" i="42"/>
  <c r="AB17" i="42" s="1"/>
  <c r="R17" i="42"/>
  <c r="Q17" i="42"/>
  <c r="N17" i="42"/>
  <c r="M17" i="42"/>
  <c r="AC16" i="42"/>
  <c r="AA16" i="42"/>
  <c r="Y16" i="42"/>
  <c r="X16" i="42"/>
  <c r="W16" i="42"/>
  <c r="U16" i="42"/>
  <c r="T16" i="42"/>
  <c r="AB16" i="42" s="1"/>
  <c r="R16" i="42"/>
  <c r="Q16" i="42"/>
  <c r="N16" i="42"/>
  <c r="M16" i="42"/>
  <c r="AC15" i="42"/>
  <c r="AA15" i="42"/>
  <c r="Y15" i="42"/>
  <c r="X15" i="42"/>
  <c r="W15" i="42"/>
  <c r="U15" i="42"/>
  <c r="T15" i="42"/>
  <c r="AB15" i="42" s="1"/>
  <c r="R15" i="42"/>
  <c r="Q15" i="42"/>
  <c r="N15" i="42"/>
  <c r="M15" i="42"/>
  <c r="AC14" i="42"/>
  <c r="AA14" i="42"/>
  <c r="Y14" i="42"/>
  <c r="X14" i="42"/>
  <c r="W14" i="42"/>
  <c r="U14" i="42"/>
  <c r="T14" i="42"/>
  <c r="AB14" i="42" s="1"/>
  <c r="R14" i="42"/>
  <c r="Q14" i="42"/>
  <c r="N14" i="42"/>
  <c r="M14" i="42"/>
  <c r="B14" i="42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AC13" i="42"/>
  <c r="AC38" i="42" s="1"/>
  <c r="AA13" i="42"/>
  <c r="AA38" i="42" s="1"/>
  <c r="Y13" i="42"/>
  <c r="Y38" i="42" s="1"/>
  <c r="X13" i="42"/>
  <c r="X38" i="42" s="1"/>
  <c r="W13" i="42"/>
  <c r="W38" i="42" s="1"/>
  <c r="U13" i="42"/>
  <c r="U38" i="42" s="1"/>
  <c r="T13" i="42"/>
  <c r="T38" i="42" s="1"/>
  <c r="R13" i="42"/>
  <c r="R38" i="42" s="1"/>
  <c r="P38" i="42" s="1"/>
  <c r="Q13" i="42"/>
  <c r="N13" i="42"/>
  <c r="N38" i="42" s="1"/>
  <c r="M13" i="42"/>
  <c r="M38" i="42" s="1"/>
  <c r="H9" i="42"/>
  <c r="D1" i="42"/>
  <c r="A317" i="4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9" i="4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14" i="4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17" i="40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9" i="40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14" i="40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21" i="37"/>
  <c r="A322" i="37" s="1"/>
  <c r="A323" i="37" s="1"/>
  <c r="A324" i="37" s="1"/>
  <c r="A325" i="37" s="1"/>
  <c r="A326" i="37" s="1"/>
  <c r="A327" i="37" s="1"/>
  <c r="A328" i="37" s="1"/>
  <c r="A329" i="37" s="1"/>
  <c r="A330" i="37" s="1"/>
  <c r="A331" i="37" s="1"/>
  <c r="A332" i="37" s="1"/>
  <c r="A333" i="37" s="1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344" i="37" s="1"/>
  <c r="A345" i="37" s="1"/>
  <c r="A346" i="37" s="1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57" i="37" s="1"/>
  <c r="A358" i="37" s="1"/>
  <c r="A359" i="37" s="1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70" i="37" s="1"/>
  <c r="A371" i="37" s="1"/>
  <c r="A372" i="37" s="1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83" i="37" s="1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A396" i="37" s="1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A409" i="37" s="1"/>
  <c r="A52" i="37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149" i="37" s="1"/>
  <c r="A150" i="37" s="1"/>
  <c r="A151" i="37" s="1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62" i="37" s="1"/>
  <c r="A163" i="37" s="1"/>
  <c r="A164" i="37" s="1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75" i="37" s="1"/>
  <c r="A176" i="37" s="1"/>
  <c r="A177" i="37" s="1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88" i="37" s="1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A201" i="37" s="1"/>
  <c r="A202" i="37" s="1"/>
  <c r="A203" i="37" s="1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14" i="37" s="1"/>
  <c r="A215" i="37" s="1"/>
  <c r="A216" i="37" s="1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27" i="37" s="1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A240" i="37" s="1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A253" i="37" s="1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A266" i="37" s="1"/>
  <c r="A267" i="37" s="1"/>
  <c r="A268" i="37" s="1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79" i="37" s="1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A292" i="37" s="1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A305" i="37" s="1"/>
  <c r="A306" i="37" s="1"/>
  <c r="A307" i="37" s="1"/>
  <c r="A308" i="37" s="1"/>
  <c r="A14" i="37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19" i="36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52" i="36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14" i="36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B396" i="42" l="1"/>
  <c r="Y300" i="42"/>
  <c r="A150" i="44"/>
  <c r="A151" i="44" s="1"/>
  <c r="A152" i="44" s="1"/>
  <c r="A153" i="44" s="1"/>
  <c r="A154" i="44" s="1"/>
  <c r="A155" i="44" s="1"/>
  <c r="A156" i="44" s="1"/>
  <c r="A157" i="44" s="1"/>
  <c r="A158" i="44" s="1"/>
  <c r="A159" i="44" s="1"/>
  <c r="A160" i="44" s="1"/>
  <c r="A161" i="44" s="1"/>
  <c r="A162" i="44" s="1"/>
  <c r="A163" i="44" s="1"/>
  <c r="A164" i="44" s="1"/>
  <c r="A165" i="44" s="1"/>
  <c r="A166" i="44" s="1"/>
  <c r="A167" i="44" s="1"/>
  <c r="A168" i="44" s="1"/>
  <c r="A169" i="44" s="1"/>
  <c r="A170" i="44" s="1"/>
  <c r="A171" i="44" s="1"/>
  <c r="A172" i="44" s="1"/>
  <c r="A173" i="44" s="1"/>
  <c r="A174" i="44" s="1"/>
  <c r="A175" i="44" s="1"/>
  <c r="A176" i="44" s="1"/>
  <c r="A177" i="44" s="1"/>
  <c r="A178" i="44" s="1"/>
  <c r="A179" i="44" s="1"/>
  <c r="A180" i="44" s="1"/>
  <c r="A181" i="44" s="1"/>
  <c r="A182" i="44" s="1"/>
  <c r="A183" i="44" s="1"/>
  <c r="A184" i="44" s="1"/>
  <c r="A185" i="44" s="1"/>
  <c r="A186" i="44" s="1"/>
  <c r="A187" i="44" s="1"/>
  <c r="A188" i="44" s="1"/>
  <c r="A189" i="44" s="1"/>
  <c r="A190" i="44" s="1"/>
  <c r="A191" i="44" s="1"/>
  <c r="A192" i="44" s="1"/>
  <c r="A193" i="44" s="1"/>
  <c r="A194" i="44" s="1"/>
  <c r="A195" i="44" s="1"/>
  <c r="A196" i="44" s="1"/>
  <c r="A197" i="44" s="1"/>
  <c r="A198" i="44" s="1"/>
  <c r="A199" i="44" s="1"/>
  <c r="A200" i="44" s="1"/>
  <c r="A201" i="44" s="1"/>
  <c r="A202" i="44" s="1"/>
  <c r="A203" i="44" s="1"/>
  <c r="A204" i="44" s="1"/>
  <c r="A205" i="44" s="1"/>
  <c r="A206" i="44" s="1"/>
  <c r="A207" i="44" s="1"/>
  <c r="A208" i="44" s="1"/>
  <c r="A209" i="44" s="1"/>
  <c r="A210" i="44" s="1"/>
  <c r="A211" i="44" s="1"/>
  <c r="A212" i="44" s="1"/>
  <c r="A213" i="44" s="1"/>
  <c r="A214" i="44" s="1"/>
  <c r="A215" i="44" s="1"/>
  <c r="A216" i="44" s="1"/>
  <c r="A217" i="44" s="1"/>
  <c r="A218" i="44" s="1"/>
  <c r="A219" i="44" s="1"/>
  <c r="A220" i="44" s="1"/>
  <c r="A221" i="44" s="1"/>
  <c r="A222" i="44" s="1"/>
  <c r="A223" i="44" s="1"/>
  <c r="A224" i="44" s="1"/>
  <c r="A225" i="44" s="1"/>
  <c r="A226" i="44" s="1"/>
  <c r="A227" i="44" s="1"/>
  <c r="A228" i="44" s="1"/>
  <c r="A229" i="44" s="1"/>
  <c r="A230" i="44" s="1"/>
  <c r="A231" i="44" s="1"/>
  <c r="A232" i="44" s="1"/>
  <c r="A233" i="44" s="1"/>
  <c r="A234" i="44" s="1"/>
  <c r="A235" i="44" s="1"/>
  <c r="A236" i="44" s="1"/>
  <c r="A237" i="44" s="1"/>
  <c r="A238" i="44" s="1"/>
  <c r="A239" i="44" s="1"/>
  <c r="A240" i="44" s="1"/>
  <c r="A241" i="44" s="1"/>
  <c r="A242" i="44" s="1"/>
  <c r="A243" i="44" s="1"/>
  <c r="A244" i="44" s="1"/>
  <c r="A245" i="44" s="1"/>
  <c r="A246" i="44" s="1"/>
  <c r="A247" i="44" s="1"/>
  <c r="A248" i="44" s="1"/>
  <c r="A249" i="44" s="1"/>
  <c r="A250" i="44" s="1"/>
  <c r="A251" i="44" s="1"/>
  <c r="A252" i="44" s="1"/>
  <c r="A253" i="44" s="1"/>
  <c r="A254" i="44" s="1"/>
  <c r="A255" i="44" s="1"/>
  <c r="A256" i="44" s="1"/>
  <c r="A257" i="44" s="1"/>
  <c r="A258" i="44" s="1"/>
  <c r="A259" i="44" s="1"/>
  <c r="A260" i="44" s="1"/>
  <c r="A261" i="44" s="1"/>
  <c r="A262" i="44" s="1"/>
  <c r="A263" i="44" s="1"/>
  <c r="A264" i="44" s="1"/>
  <c r="A265" i="44" s="1"/>
  <c r="A266" i="44" s="1"/>
  <c r="A267" i="44" s="1"/>
  <c r="A268" i="44" s="1"/>
  <c r="A269" i="44" s="1"/>
  <c r="A270" i="44" s="1"/>
  <c r="A271" i="44" s="1"/>
  <c r="A272" i="44" s="1"/>
  <c r="A273" i="44" s="1"/>
  <c r="A274" i="44" s="1"/>
  <c r="A275" i="44" s="1"/>
  <c r="A276" i="44" s="1"/>
  <c r="A277" i="44" s="1"/>
  <c r="A278" i="44" s="1"/>
  <c r="A279" i="44" s="1"/>
  <c r="A280" i="44" s="1"/>
  <c r="A281" i="44" s="1"/>
  <c r="A282" i="44" s="1"/>
  <c r="A283" i="44" s="1"/>
  <c r="A284" i="44" s="1"/>
  <c r="A285" i="44" s="1"/>
  <c r="A286" i="44" s="1"/>
  <c r="A287" i="44" s="1"/>
  <c r="A288" i="44" s="1"/>
  <c r="A289" i="44" s="1"/>
  <c r="A290" i="44" s="1"/>
  <c r="A291" i="44" s="1"/>
  <c r="A292" i="44" s="1"/>
  <c r="A293" i="44" s="1"/>
  <c r="A294" i="44" s="1"/>
  <c r="A295" i="44" s="1"/>
  <c r="A296" i="44" s="1"/>
  <c r="A297" i="44" s="1"/>
  <c r="A298" i="44" s="1"/>
  <c r="A299" i="44" s="1"/>
  <c r="A300" i="44" s="1"/>
  <c r="A301" i="44" s="1"/>
  <c r="A302" i="44" s="1"/>
  <c r="M396" i="42"/>
  <c r="A34" i="44"/>
  <c r="A35" i="44" s="1"/>
  <c r="A36" i="44" s="1"/>
  <c r="A37" i="44" s="1"/>
  <c r="A38" i="44" s="1"/>
  <c r="A39" i="44" s="1"/>
  <c r="A40" i="44" s="1"/>
  <c r="A41" i="44" s="1"/>
  <c r="N396" i="42"/>
  <c r="AF306" i="44"/>
  <c r="AK42" i="44"/>
  <c r="S402" i="44"/>
  <c r="T396" i="42"/>
  <c r="W396" i="42"/>
  <c r="Y396" i="42"/>
  <c r="AC396" i="42"/>
  <c r="V396" i="42"/>
  <c r="AB13" i="42"/>
  <c r="AB38" i="42" s="1"/>
  <c r="AB40" i="42"/>
  <c r="R396" i="42"/>
  <c r="U396" i="42"/>
  <c r="X396" i="42"/>
  <c r="AA396" i="42"/>
  <c r="S396" i="42"/>
  <c r="U402" i="44"/>
  <c r="AB301" i="42"/>
  <c r="AB393" i="42" s="1"/>
  <c r="AI13" i="44"/>
  <c r="AI42" i="44" s="1"/>
  <c r="AI45" i="44"/>
  <c r="AI304" i="44" s="1"/>
  <c r="AK304" i="44"/>
  <c r="Z402" i="44"/>
  <c r="AB402" i="44"/>
  <c r="AE402" i="44"/>
  <c r="AH402" i="44"/>
  <c r="AC402" i="44"/>
  <c r="AA402" i="44"/>
  <c r="AD402" i="44"/>
  <c r="AF402" i="44"/>
  <c r="AI307" i="44"/>
  <c r="AI399" i="44" s="1"/>
  <c r="AK399" i="44"/>
  <c r="A402" i="44" l="1"/>
  <c r="X397" i="42"/>
  <c r="AI402" i="44"/>
  <c r="AE403" i="44"/>
  <c r="AB396" i="42"/>
  <c r="AK402" i="44"/>
  <c r="DR52" i="1" l="1"/>
  <c r="DP52" i="1"/>
  <c r="DO52" i="1"/>
  <c r="DN52" i="1"/>
  <c r="CI52" i="1"/>
  <c r="CA52" i="1"/>
  <c r="L48" i="42" s="1"/>
  <c r="BD52" i="1"/>
  <c r="AQ52" i="1"/>
  <c r="AO52" i="1"/>
  <c r="AC52" i="1"/>
  <c r="T52" i="1"/>
  <c r="Q52" i="1"/>
  <c r="DR247" i="1"/>
  <c r="DP247" i="1"/>
  <c r="DO247" i="1"/>
  <c r="DN247" i="1"/>
  <c r="CI247" i="1"/>
  <c r="CA247" i="1"/>
  <c r="L243" i="42" s="1"/>
  <c r="BD247" i="1"/>
  <c r="AQ247" i="1"/>
  <c r="AO247" i="1"/>
  <c r="AC247" i="1"/>
  <c r="T247" i="1"/>
  <c r="Q247" i="1"/>
  <c r="P220" i="52"/>
  <c r="P279" i="52" l="1"/>
  <c r="P76" i="52"/>
  <c r="V279" i="52"/>
  <c r="V76" i="52"/>
  <c r="T220" i="52"/>
  <c r="T279" i="52"/>
  <c r="T76" i="52"/>
  <c r="V220" i="52"/>
  <c r="CT247" i="1"/>
  <c r="CT52" i="1"/>
  <c r="AT52" i="1"/>
  <c r="CH52" i="1" s="1"/>
  <c r="X220" i="52"/>
  <c r="AT247" i="1"/>
  <c r="CH247" i="1" s="1"/>
  <c r="V52" i="1"/>
  <c r="V247" i="1"/>
  <c r="X279" i="52" l="1"/>
  <c r="X76" i="52"/>
  <c r="W52" i="1"/>
  <c r="W247" i="1"/>
  <c r="T335" i="52" l="1"/>
  <c r="V335" i="52"/>
  <c r="X335" i="52"/>
  <c r="Z229" i="1" l="1"/>
  <c r="H336" i="20"/>
  <c r="H404" i="20"/>
  <c r="Z264" i="1"/>
  <c r="DR197" i="1"/>
  <c r="DP197" i="1"/>
  <c r="DO197" i="1"/>
  <c r="DN197" i="1"/>
  <c r="CI197" i="1"/>
  <c r="CA197" i="1"/>
  <c r="L193" i="42" s="1"/>
  <c r="BF197" i="1"/>
  <c r="BD197" i="1"/>
  <c r="AQ197" i="1"/>
  <c r="AO197" i="1"/>
  <c r="AC197" i="1"/>
  <c r="T197" i="1"/>
  <c r="Q197" i="1"/>
  <c r="Y324" i="57" l="1"/>
  <c r="Y434" i="57" s="1"/>
  <c r="P225" i="52"/>
  <c r="BJ303" i="1"/>
  <c r="BJ400" i="1" s="1"/>
  <c r="J162" i="52"/>
  <c r="V225" i="52"/>
  <c r="T225" i="52"/>
  <c r="Z303" i="1"/>
  <c r="CT197" i="1"/>
  <c r="CP197" i="1"/>
  <c r="AT197" i="1"/>
  <c r="CH197" i="1" s="1"/>
  <c r="V197" i="1"/>
  <c r="Q250" i="1"/>
  <c r="T250" i="1"/>
  <c r="AC250" i="1"/>
  <c r="AO250" i="1"/>
  <c r="AQ250" i="1"/>
  <c r="P283" i="52" l="1"/>
  <c r="P282" i="52"/>
  <c r="E459" i="20"/>
  <c r="E390" i="55"/>
  <c r="X225" i="52"/>
  <c r="V282" i="52"/>
  <c r="V283" i="52"/>
  <c r="T283" i="52"/>
  <c r="T282" i="52"/>
  <c r="V250" i="1"/>
  <c r="W250" i="1" s="1"/>
  <c r="AT250" i="1"/>
  <c r="CH250" i="1" s="1"/>
  <c r="W197" i="1"/>
  <c r="BD250" i="1"/>
  <c r="BF250" i="1"/>
  <c r="CA250" i="1"/>
  <c r="L246" i="42" s="1"/>
  <c r="CI250" i="1"/>
  <c r="CP250" i="1"/>
  <c r="DN250" i="1"/>
  <c r="DO250" i="1"/>
  <c r="DP250" i="1"/>
  <c r="DR250" i="1"/>
  <c r="X282" i="52" l="1"/>
  <c r="X283" i="52"/>
  <c r="CT250" i="1"/>
  <c r="DR85" i="1"/>
  <c r="DP85" i="1"/>
  <c r="DO85" i="1"/>
  <c r="DN85" i="1"/>
  <c r="CI85" i="1"/>
  <c r="CA85" i="1"/>
  <c r="L81" i="42" s="1"/>
  <c r="BD85" i="1"/>
  <c r="AQ85" i="1"/>
  <c r="AO85" i="1"/>
  <c r="AC85" i="1"/>
  <c r="T85" i="1"/>
  <c r="Q85" i="1"/>
  <c r="H501" i="20"/>
  <c r="P108" i="52" l="1"/>
  <c r="V108" i="52"/>
  <c r="T108" i="52"/>
  <c r="CT85" i="1"/>
  <c r="AT85" i="1"/>
  <c r="CH85" i="1" s="1"/>
  <c r="V85" i="1"/>
  <c r="X108" i="52" l="1"/>
  <c r="W85" i="1"/>
  <c r="J33" i="1" l="1"/>
  <c r="J29" i="42" l="1"/>
  <c r="J46" i="57"/>
  <c r="K46" i="57" s="1"/>
  <c r="J42" i="1"/>
  <c r="J51" i="52"/>
  <c r="DO17" i="1"/>
  <c r="DR396" i="1" l="1"/>
  <c r="DP396" i="1"/>
  <c r="DO396" i="1"/>
  <c r="DN396" i="1"/>
  <c r="DR395" i="1"/>
  <c r="DP395" i="1"/>
  <c r="DO395" i="1"/>
  <c r="DN395" i="1"/>
  <c r="DR394" i="1"/>
  <c r="DP394" i="1"/>
  <c r="DO394" i="1"/>
  <c r="DN394" i="1"/>
  <c r="DR393" i="1"/>
  <c r="DP393" i="1"/>
  <c r="DO393" i="1"/>
  <c r="DN393" i="1"/>
  <c r="DR392" i="1"/>
  <c r="DP392" i="1"/>
  <c r="DO392" i="1"/>
  <c r="DN392" i="1"/>
  <c r="DR391" i="1"/>
  <c r="DP391" i="1"/>
  <c r="DO391" i="1"/>
  <c r="DN391" i="1"/>
  <c r="DR389" i="1"/>
  <c r="DP389" i="1"/>
  <c r="DO389" i="1"/>
  <c r="DN389" i="1"/>
  <c r="DR388" i="1"/>
  <c r="DP388" i="1"/>
  <c r="DO388" i="1"/>
  <c r="DN388" i="1"/>
  <c r="DR387" i="1"/>
  <c r="DP387" i="1"/>
  <c r="DO387" i="1"/>
  <c r="DN387" i="1"/>
  <c r="DR385" i="1"/>
  <c r="DP385" i="1"/>
  <c r="DO385" i="1"/>
  <c r="DN385" i="1"/>
  <c r="DR383" i="1"/>
  <c r="DP383" i="1"/>
  <c r="DO383" i="1"/>
  <c r="DN383" i="1"/>
  <c r="DR382" i="1"/>
  <c r="DP382" i="1"/>
  <c r="DO382" i="1"/>
  <c r="DN382" i="1"/>
  <c r="DR380" i="1"/>
  <c r="DP380" i="1"/>
  <c r="DO380" i="1"/>
  <c r="DN380" i="1"/>
  <c r="DR379" i="1"/>
  <c r="DP379" i="1"/>
  <c r="DO379" i="1"/>
  <c r="DN379" i="1"/>
  <c r="DR378" i="1"/>
  <c r="DP378" i="1"/>
  <c r="DO378" i="1"/>
  <c r="DN378" i="1"/>
  <c r="DR376" i="1"/>
  <c r="DP376" i="1"/>
  <c r="DO376" i="1"/>
  <c r="DN376" i="1"/>
  <c r="DR375" i="1"/>
  <c r="DP375" i="1"/>
  <c r="DO375" i="1"/>
  <c r="DN375" i="1"/>
  <c r="DR374" i="1"/>
  <c r="DP374" i="1"/>
  <c r="DO374" i="1"/>
  <c r="DN374" i="1"/>
  <c r="DR373" i="1"/>
  <c r="DP373" i="1"/>
  <c r="DO373" i="1"/>
  <c r="DN373" i="1"/>
  <c r="DR372" i="1"/>
  <c r="DP372" i="1"/>
  <c r="DO372" i="1"/>
  <c r="DN372" i="1"/>
  <c r="DR371" i="1"/>
  <c r="DP371" i="1"/>
  <c r="DO371" i="1"/>
  <c r="DN371" i="1"/>
  <c r="DR370" i="1"/>
  <c r="DP370" i="1"/>
  <c r="DO370" i="1"/>
  <c r="DN370" i="1"/>
  <c r="DR369" i="1"/>
  <c r="DP369" i="1"/>
  <c r="DO369" i="1"/>
  <c r="DN369" i="1"/>
  <c r="DR368" i="1"/>
  <c r="DP368" i="1"/>
  <c r="DO368" i="1"/>
  <c r="DN368" i="1"/>
  <c r="DR367" i="1"/>
  <c r="DP367" i="1"/>
  <c r="DO367" i="1"/>
  <c r="DN367" i="1"/>
  <c r="DR366" i="1"/>
  <c r="DP366" i="1"/>
  <c r="DO366" i="1"/>
  <c r="DN366" i="1"/>
  <c r="DR365" i="1"/>
  <c r="DP365" i="1"/>
  <c r="DO365" i="1"/>
  <c r="DN365" i="1"/>
  <c r="DR362" i="1"/>
  <c r="DP362" i="1"/>
  <c r="DO362" i="1"/>
  <c r="DN362" i="1"/>
  <c r="DR361" i="1"/>
  <c r="DP361" i="1"/>
  <c r="DO361" i="1"/>
  <c r="DN361" i="1"/>
  <c r="DR360" i="1"/>
  <c r="DP360" i="1"/>
  <c r="DO360" i="1"/>
  <c r="DN360" i="1"/>
  <c r="DR359" i="1"/>
  <c r="DP359" i="1"/>
  <c r="DO359" i="1"/>
  <c r="DN359" i="1"/>
  <c r="DR358" i="1"/>
  <c r="DP358" i="1"/>
  <c r="DO358" i="1"/>
  <c r="DN358" i="1"/>
  <c r="DR357" i="1"/>
  <c r="DP357" i="1"/>
  <c r="DO357" i="1"/>
  <c r="DN357" i="1"/>
  <c r="DR356" i="1"/>
  <c r="DP356" i="1"/>
  <c r="DO356" i="1"/>
  <c r="DN356" i="1"/>
  <c r="DR355" i="1"/>
  <c r="DP355" i="1"/>
  <c r="DO355" i="1"/>
  <c r="DN355" i="1"/>
  <c r="DR354" i="1"/>
  <c r="DP354" i="1"/>
  <c r="DO354" i="1"/>
  <c r="DN354" i="1"/>
  <c r="DR353" i="1"/>
  <c r="DP353" i="1"/>
  <c r="DO353" i="1"/>
  <c r="DN353" i="1"/>
  <c r="DR352" i="1"/>
  <c r="DP352" i="1"/>
  <c r="DO352" i="1"/>
  <c r="DN352" i="1"/>
  <c r="DR350" i="1"/>
  <c r="DP350" i="1"/>
  <c r="DO350" i="1"/>
  <c r="DN350" i="1"/>
  <c r="DR349" i="1"/>
  <c r="DP349" i="1"/>
  <c r="DO349" i="1"/>
  <c r="DN349" i="1"/>
  <c r="DR348" i="1"/>
  <c r="DP348" i="1"/>
  <c r="DO348" i="1"/>
  <c r="DN348" i="1"/>
  <c r="DR347" i="1"/>
  <c r="DP347" i="1"/>
  <c r="DO347" i="1"/>
  <c r="DN347" i="1"/>
  <c r="DR345" i="1"/>
  <c r="DP345" i="1"/>
  <c r="DO345" i="1"/>
  <c r="DN345" i="1"/>
  <c r="DR344" i="1"/>
  <c r="DP344" i="1"/>
  <c r="DO344" i="1"/>
  <c r="DN344" i="1"/>
  <c r="DR343" i="1"/>
  <c r="DP343" i="1"/>
  <c r="DO343" i="1"/>
  <c r="DN343" i="1"/>
  <c r="DR342" i="1"/>
  <c r="DP342" i="1"/>
  <c r="DO342" i="1"/>
  <c r="DN342" i="1"/>
  <c r="DR341" i="1"/>
  <c r="DP341" i="1"/>
  <c r="DO341" i="1"/>
  <c r="DN341" i="1"/>
  <c r="DR340" i="1"/>
  <c r="DP340" i="1"/>
  <c r="DO340" i="1"/>
  <c r="DN340" i="1"/>
  <c r="DR339" i="1"/>
  <c r="DP339" i="1"/>
  <c r="DO339" i="1"/>
  <c r="DN339" i="1"/>
  <c r="DR338" i="1"/>
  <c r="DP338" i="1"/>
  <c r="DO338" i="1"/>
  <c r="DN338" i="1"/>
  <c r="DR337" i="1"/>
  <c r="DP337" i="1"/>
  <c r="DO337" i="1"/>
  <c r="DN337" i="1"/>
  <c r="DR336" i="1"/>
  <c r="DP336" i="1"/>
  <c r="DO336" i="1"/>
  <c r="DN336" i="1"/>
  <c r="DR335" i="1"/>
  <c r="DP335" i="1"/>
  <c r="DO335" i="1"/>
  <c r="DN335" i="1"/>
  <c r="DR334" i="1"/>
  <c r="DP334" i="1"/>
  <c r="DO334" i="1"/>
  <c r="DN334" i="1"/>
  <c r="DR333" i="1"/>
  <c r="DP333" i="1"/>
  <c r="DO333" i="1"/>
  <c r="DN333" i="1"/>
  <c r="DR332" i="1"/>
  <c r="DP332" i="1"/>
  <c r="DO332" i="1"/>
  <c r="DN332" i="1"/>
  <c r="DR331" i="1"/>
  <c r="DP331" i="1"/>
  <c r="DO331" i="1"/>
  <c r="DN331" i="1"/>
  <c r="DR330" i="1"/>
  <c r="DP330" i="1"/>
  <c r="DO330" i="1"/>
  <c r="DN330" i="1"/>
  <c r="DR329" i="1"/>
  <c r="DP329" i="1"/>
  <c r="DO329" i="1"/>
  <c r="DN329" i="1"/>
  <c r="DR328" i="1"/>
  <c r="DP328" i="1"/>
  <c r="DO328" i="1"/>
  <c r="DN328" i="1"/>
  <c r="DR327" i="1"/>
  <c r="DP327" i="1"/>
  <c r="DO327" i="1"/>
  <c r="DN327" i="1"/>
  <c r="DR326" i="1"/>
  <c r="DP326" i="1"/>
  <c r="DO326" i="1"/>
  <c r="DN326" i="1"/>
  <c r="DR325" i="1"/>
  <c r="DP325" i="1"/>
  <c r="DO325" i="1"/>
  <c r="DN325" i="1"/>
  <c r="DR323" i="1"/>
  <c r="DP323" i="1"/>
  <c r="DO323" i="1"/>
  <c r="DN323" i="1"/>
  <c r="DR322" i="1"/>
  <c r="DP322" i="1"/>
  <c r="DO322" i="1"/>
  <c r="DN322" i="1"/>
  <c r="DR321" i="1"/>
  <c r="DP321" i="1"/>
  <c r="DO321" i="1"/>
  <c r="DN321" i="1"/>
  <c r="DR320" i="1"/>
  <c r="DP320" i="1"/>
  <c r="DO320" i="1"/>
  <c r="DN320" i="1"/>
  <c r="DR319" i="1"/>
  <c r="DP319" i="1"/>
  <c r="DO319" i="1"/>
  <c r="DN319" i="1"/>
  <c r="DR318" i="1"/>
  <c r="DP318" i="1"/>
  <c r="DO318" i="1"/>
  <c r="DN318" i="1"/>
  <c r="DR317" i="1"/>
  <c r="DP317" i="1"/>
  <c r="DO317" i="1"/>
  <c r="DN317" i="1"/>
  <c r="DR316" i="1"/>
  <c r="DP316" i="1"/>
  <c r="DO316" i="1"/>
  <c r="DN316" i="1"/>
  <c r="DR315" i="1"/>
  <c r="DP315" i="1"/>
  <c r="DO315" i="1"/>
  <c r="DN315" i="1"/>
  <c r="DR314" i="1"/>
  <c r="DP314" i="1"/>
  <c r="DO314" i="1"/>
  <c r="DN314" i="1"/>
  <c r="DR313" i="1"/>
  <c r="DP313" i="1"/>
  <c r="DO313" i="1"/>
  <c r="DN313" i="1"/>
  <c r="DR312" i="1"/>
  <c r="DP312" i="1"/>
  <c r="DO312" i="1"/>
  <c r="DN312" i="1"/>
  <c r="DR311" i="1"/>
  <c r="DP311" i="1"/>
  <c r="DO311" i="1"/>
  <c r="DN311" i="1"/>
  <c r="DR310" i="1"/>
  <c r="DP310" i="1"/>
  <c r="DO310" i="1"/>
  <c r="DN310" i="1"/>
  <c r="DR309" i="1"/>
  <c r="DP309" i="1"/>
  <c r="DO309" i="1"/>
  <c r="DN309" i="1"/>
  <c r="DR308" i="1"/>
  <c r="DP308" i="1"/>
  <c r="DO308" i="1"/>
  <c r="DN308" i="1"/>
  <c r="DR307" i="1"/>
  <c r="DP307" i="1"/>
  <c r="DO307" i="1"/>
  <c r="DN307" i="1"/>
  <c r="DR306" i="1"/>
  <c r="DP306" i="1"/>
  <c r="DO306" i="1"/>
  <c r="DN306" i="1"/>
  <c r="DR305" i="1"/>
  <c r="DP305" i="1"/>
  <c r="DO305" i="1"/>
  <c r="DN305" i="1"/>
  <c r="DR302" i="1"/>
  <c r="DP302" i="1"/>
  <c r="DO302" i="1"/>
  <c r="DN302" i="1"/>
  <c r="DR301" i="1"/>
  <c r="DP301" i="1"/>
  <c r="DO301" i="1"/>
  <c r="DN301" i="1"/>
  <c r="DR300" i="1"/>
  <c r="DP300" i="1"/>
  <c r="DO300" i="1"/>
  <c r="DN300" i="1"/>
  <c r="DR298" i="1"/>
  <c r="DP298" i="1"/>
  <c r="DO298" i="1"/>
  <c r="DN298" i="1"/>
  <c r="DR296" i="1"/>
  <c r="DP296" i="1"/>
  <c r="DO296" i="1"/>
  <c r="DN296" i="1"/>
  <c r="DR295" i="1"/>
  <c r="DP295" i="1"/>
  <c r="DO295" i="1"/>
  <c r="DN295" i="1"/>
  <c r="DR294" i="1"/>
  <c r="DP294" i="1"/>
  <c r="DO294" i="1"/>
  <c r="DN294" i="1"/>
  <c r="DR293" i="1"/>
  <c r="DP293" i="1"/>
  <c r="DO293" i="1"/>
  <c r="DN293" i="1"/>
  <c r="DR292" i="1"/>
  <c r="DP292" i="1"/>
  <c r="DO292" i="1"/>
  <c r="DN292" i="1"/>
  <c r="DR291" i="1"/>
  <c r="DP291" i="1"/>
  <c r="DO291" i="1"/>
  <c r="DN291" i="1"/>
  <c r="DR290" i="1"/>
  <c r="DP290" i="1"/>
  <c r="DO290" i="1"/>
  <c r="DN290" i="1"/>
  <c r="DR285" i="1"/>
  <c r="DP285" i="1"/>
  <c r="DO285" i="1"/>
  <c r="DN285" i="1"/>
  <c r="DR284" i="1"/>
  <c r="DP284" i="1"/>
  <c r="DO284" i="1"/>
  <c r="DN284" i="1"/>
  <c r="DR283" i="1"/>
  <c r="DP283" i="1"/>
  <c r="DO283" i="1"/>
  <c r="DN283" i="1"/>
  <c r="DR282" i="1"/>
  <c r="DP282" i="1"/>
  <c r="DO282" i="1"/>
  <c r="DN282" i="1"/>
  <c r="DR280" i="1"/>
  <c r="DP280" i="1"/>
  <c r="DO280" i="1"/>
  <c r="DN280" i="1"/>
  <c r="DR279" i="1"/>
  <c r="DP279" i="1"/>
  <c r="DO279" i="1"/>
  <c r="DN279" i="1"/>
  <c r="DR278" i="1"/>
  <c r="DP278" i="1"/>
  <c r="DO278" i="1"/>
  <c r="DN278" i="1"/>
  <c r="DR277" i="1"/>
  <c r="DP277" i="1"/>
  <c r="DO277" i="1"/>
  <c r="DN277" i="1"/>
  <c r="DR276" i="1"/>
  <c r="DP276" i="1"/>
  <c r="DO276" i="1"/>
  <c r="DN276" i="1"/>
  <c r="DR275" i="1"/>
  <c r="DP275" i="1"/>
  <c r="DO275" i="1"/>
  <c r="DN275" i="1"/>
  <c r="DR273" i="1"/>
  <c r="DP273" i="1"/>
  <c r="DO273" i="1"/>
  <c r="DN273" i="1"/>
  <c r="DR272" i="1"/>
  <c r="DP272" i="1"/>
  <c r="DO272" i="1"/>
  <c r="DN272" i="1"/>
  <c r="DR271" i="1"/>
  <c r="DP271" i="1"/>
  <c r="DO271" i="1"/>
  <c r="DN271" i="1"/>
  <c r="DR270" i="1"/>
  <c r="DP270" i="1"/>
  <c r="DO270" i="1"/>
  <c r="DN270" i="1"/>
  <c r="DR269" i="1"/>
  <c r="DP269" i="1"/>
  <c r="DO269" i="1"/>
  <c r="DN269" i="1"/>
  <c r="DR268" i="1"/>
  <c r="DP268" i="1"/>
  <c r="DO268" i="1"/>
  <c r="DN268" i="1"/>
  <c r="DR265" i="1"/>
  <c r="DP265" i="1"/>
  <c r="DO265" i="1"/>
  <c r="DN265" i="1"/>
  <c r="DR264" i="1"/>
  <c r="DP264" i="1"/>
  <c r="DO264" i="1"/>
  <c r="DN264" i="1"/>
  <c r="DR263" i="1"/>
  <c r="DP263" i="1"/>
  <c r="DO263" i="1"/>
  <c r="DN263" i="1"/>
  <c r="DR262" i="1"/>
  <c r="DP262" i="1"/>
  <c r="DO262" i="1"/>
  <c r="DN262" i="1"/>
  <c r="DR261" i="1"/>
  <c r="DP261" i="1"/>
  <c r="DO261" i="1"/>
  <c r="DN261" i="1"/>
  <c r="DR258" i="1"/>
  <c r="DP258" i="1"/>
  <c r="DO258" i="1"/>
  <c r="DN258" i="1"/>
  <c r="DR257" i="1"/>
  <c r="DP257" i="1"/>
  <c r="DO257" i="1"/>
  <c r="DN257" i="1"/>
  <c r="DR256" i="1"/>
  <c r="DP256" i="1"/>
  <c r="DO256" i="1"/>
  <c r="DN256" i="1"/>
  <c r="DR255" i="1"/>
  <c r="DP255" i="1"/>
  <c r="DO255" i="1"/>
  <c r="DN255" i="1"/>
  <c r="DR254" i="1"/>
  <c r="DP254" i="1"/>
  <c r="DO254" i="1"/>
  <c r="DN254" i="1"/>
  <c r="DR253" i="1"/>
  <c r="DP253" i="1"/>
  <c r="DO253" i="1"/>
  <c r="DN253" i="1"/>
  <c r="DR252" i="1"/>
  <c r="DP252" i="1"/>
  <c r="DO252" i="1"/>
  <c r="DN252" i="1"/>
  <c r="DR251" i="1"/>
  <c r="DP251" i="1"/>
  <c r="DO251" i="1"/>
  <c r="DN251" i="1"/>
  <c r="DR248" i="1"/>
  <c r="DP248" i="1"/>
  <c r="DO248" i="1"/>
  <c r="DN248" i="1"/>
  <c r="DR244" i="1"/>
  <c r="DP244" i="1"/>
  <c r="DO244" i="1"/>
  <c r="DN244" i="1"/>
  <c r="DR243" i="1"/>
  <c r="DP243" i="1"/>
  <c r="DO243" i="1"/>
  <c r="DN243" i="1"/>
  <c r="DR242" i="1"/>
  <c r="DP242" i="1"/>
  <c r="DO242" i="1"/>
  <c r="DN242" i="1"/>
  <c r="DR240" i="1"/>
  <c r="DP240" i="1"/>
  <c r="DO240" i="1"/>
  <c r="DN240" i="1"/>
  <c r="DR239" i="1"/>
  <c r="DP239" i="1"/>
  <c r="DO239" i="1"/>
  <c r="DN239" i="1"/>
  <c r="DR238" i="1"/>
  <c r="DP238" i="1"/>
  <c r="DO238" i="1"/>
  <c r="DN238" i="1"/>
  <c r="DR237" i="1"/>
  <c r="DP237" i="1"/>
  <c r="DO237" i="1"/>
  <c r="DN237" i="1"/>
  <c r="DR236" i="1"/>
  <c r="DP236" i="1"/>
  <c r="DO236" i="1"/>
  <c r="DN236" i="1"/>
  <c r="DR235" i="1"/>
  <c r="DP235" i="1"/>
  <c r="DO235" i="1"/>
  <c r="DN235" i="1"/>
  <c r="DR234" i="1"/>
  <c r="DP234" i="1"/>
  <c r="DO234" i="1"/>
  <c r="DN234" i="1"/>
  <c r="DR233" i="1"/>
  <c r="DP233" i="1"/>
  <c r="DO233" i="1"/>
  <c r="DN233" i="1"/>
  <c r="DR232" i="1"/>
  <c r="DP232" i="1"/>
  <c r="DO232" i="1"/>
  <c r="DN232" i="1"/>
  <c r="DR231" i="1"/>
  <c r="DP231" i="1"/>
  <c r="DO231" i="1"/>
  <c r="DN231" i="1"/>
  <c r="DR230" i="1"/>
  <c r="DP230" i="1"/>
  <c r="DO230" i="1"/>
  <c r="DN230" i="1"/>
  <c r="DR229" i="1"/>
  <c r="DP229" i="1"/>
  <c r="DO229" i="1"/>
  <c r="DN229" i="1"/>
  <c r="DR228" i="1"/>
  <c r="DP228" i="1"/>
  <c r="DO228" i="1"/>
  <c r="DN228" i="1"/>
  <c r="DR226" i="1"/>
  <c r="DP226" i="1"/>
  <c r="DO226" i="1"/>
  <c r="DN226" i="1"/>
  <c r="DR225" i="1"/>
  <c r="DP225" i="1"/>
  <c r="DO225" i="1"/>
  <c r="DN225" i="1"/>
  <c r="DR224" i="1"/>
  <c r="DP224" i="1"/>
  <c r="DO224" i="1"/>
  <c r="DN224" i="1"/>
  <c r="DR223" i="1"/>
  <c r="DP223" i="1"/>
  <c r="DO223" i="1"/>
  <c r="DN223" i="1"/>
  <c r="DR219" i="1"/>
  <c r="DP219" i="1"/>
  <c r="DO219" i="1"/>
  <c r="DN219" i="1"/>
  <c r="DR218" i="1"/>
  <c r="DP218" i="1"/>
  <c r="DO218" i="1"/>
  <c r="DN218" i="1"/>
  <c r="DR217" i="1"/>
  <c r="DP217" i="1"/>
  <c r="DO217" i="1"/>
  <c r="DN217" i="1"/>
  <c r="DR216" i="1"/>
  <c r="DP216" i="1"/>
  <c r="DO216" i="1"/>
  <c r="DN216" i="1"/>
  <c r="DR213" i="1"/>
  <c r="DP213" i="1"/>
  <c r="DO213" i="1"/>
  <c r="DN213" i="1"/>
  <c r="DR210" i="1"/>
  <c r="DP210" i="1"/>
  <c r="DO210" i="1"/>
  <c r="DN210" i="1"/>
  <c r="DR209" i="1"/>
  <c r="DP209" i="1"/>
  <c r="DO209" i="1"/>
  <c r="DN209" i="1"/>
  <c r="DR207" i="1"/>
  <c r="DP207" i="1"/>
  <c r="DO207" i="1"/>
  <c r="DN207" i="1"/>
  <c r="DR206" i="1"/>
  <c r="DP206" i="1"/>
  <c r="DO206" i="1"/>
  <c r="DN206" i="1"/>
  <c r="DR205" i="1"/>
  <c r="DP205" i="1"/>
  <c r="DO205" i="1"/>
  <c r="DN205" i="1"/>
  <c r="DR204" i="1"/>
  <c r="DP204" i="1"/>
  <c r="DO204" i="1"/>
  <c r="DN204" i="1"/>
  <c r="DR203" i="1"/>
  <c r="DP203" i="1"/>
  <c r="DO203" i="1"/>
  <c r="DN203" i="1"/>
  <c r="DR202" i="1"/>
  <c r="DP202" i="1"/>
  <c r="DO202" i="1"/>
  <c r="DN202" i="1"/>
  <c r="DR199" i="1"/>
  <c r="DP199" i="1"/>
  <c r="DO199" i="1"/>
  <c r="DN199" i="1"/>
  <c r="DR198" i="1"/>
  <c r="DP198" i="1"/>
  <c r="DO198" i="1"/>
  <c r="DN198" i="1"/>
  <c r="DR196" i="1"/>
  <c r="DP196" i="1"/>
  <c r="DO196" i="1"/>
  <c r="DN196" i="1"/>
  <c r="DR195" i="1"/>
  <c r="DP195" i="1"/>
  <c r="DO195" i="1"/>
  <c r="DN195" i="1"/>
  <c r="DR194" i="1"/>
  <c r="DP194" i="1"/>
  <c r="DO194" i="1"/>
  <c r="DN194" i="1"/>
  <c r="DR193" i="1"/>
  <c r="DP193" i="1"/>
  <c r="DO193" i="1"/>
  <c r="DN193" i="1"/>
  <c r="DR192" i="1"/>
  <c r="DP192" i="1"/>
  <c r="DO192" i="1"/>
  <c r="DN192" i="1"/>
  <c r="DR191" i="1"/>
  <c r="DP191" i="1"/>
  <c r="DO191" i="1"/>
  <c r="DN191" i="1"/>
  <c r="DR190" i="1"/>
  <c r="DP190" i="1"/>
  <c r="DO190" i="1"/>
  <c r="DN190" i="1"/>
  <c r="DR188" i="1"/>
  <c r="DP188" i="1"/>
  <c r="DO188" i="1"/>
  <c r="DN188" i="1"/>
  <c r="DR187" i="1"/>
  <c r="DP187" i="1"/>
  <c r="DO187" i="1"/>
  <c r="DN187" i="1"/>
  <c r="DR186" i="1"/>
  <c r="DP186" i="1"/>
  <c r="DO186" i="1"/>
  <c r="DN186" i="1"/>
  <c r="DR185" i="1"/>
  <c r="DP185" i="1"/>
  <c r="DO185" i="1"/>
  <c r="DN185" i="1"/>
  <c r="DR183" i="1"/>
  <c r="DP183" i="1"/>
  <c r="DO183" i="1"/>
  <c r="DN183" i="1"/>
  <c r="DR182" i="1"/>
  <c r="DP182" i="1"/>
  <c r="DO182" i="1"/>
  <c r="DN182" i="1"/>
  <c r="DR180" i="1"/>
  <c r="DP180" i="1"/>
  <c r="DO180" i="1"/>
  <c r="DN180" i="1"/>
  <c r="DR179" i="1"/>
  <c r="DP179" i="1"/>
  <c r="DO179" i="1"/>
  <c r="DN179" i="1"/>
  <c r="DR178" i="1"/>
  <c r="DP178" i="1"/>
  <c r="DO178" i="1"/>
  <c r="DN178" i="1"/>
  <c r="DR177" i="1"/>
  <c r="DP177" i="1"/>
  <c r="DO177" i="1"/>
  <c r="DN177" i="1"/>
  <c r="DR176" i="1"/>
  <c r="DP176" i="1"/>
  <c r="DO176" i="1"/>
  <c r="DN176" i="1"/>
  <c r="DR175" i="1"/>
  <c r="DP175" i="1"/>
  <c r="DO175" i="1"/>
  <c r="DN175" i="1"/>
  <c r="DR174" i="1"/>
  <c r="DP174" i="1"/>
  <c r="DO174" i="1"/>
  <c r="DN174" i="1"/>
  <c r="DR173" i="1"/>
  <c r="DP173" i="1"/>
  <c r="DO173" i="1"/>
  <c r="DN173" i="1"/>
  <c r="DR172" i="1"/>
  <c r="DP172" i="1"/>
  <c r="DO172" i="1"/>
  <c r="DN172" i="1"/>
  <c r="DR171" i="1"/>
  <c r="DP171" i="1"/>
  <c r="DO171" i="1"/>
  <c r="DN171" i="1"/>
  <c r="DR170" i="1"/>
  <c r="DP170" i="1"/>
  <c r="DO170" i="1"/>
  <c r="DN170" i="1"/>
  <c r="DR169" i="1"/>
  <c r="DP169" i="1"/>
  <c r="DO169" i="1"/>
  <c r="DN169" i="1"/>
  <c r="DR168" i="1"/>
  <c r="DP168" i="1"/>
  <c r="DO168" i="1"/>
  <c r="DN168" i="1"/>
  <c r="DR167" i="1"/>
  <c r="DP167" i="1"/>
  <c r="DO167" i="1"/>
  <c r="DN167" i="1"/>
  <c r="DR166" i="1"/>
  <c r="DP166" i="1"/>
  <c r="DO166" i="1"/>
  <c r="DN166" i="1"/>
  <c r="DR165" i="1"/>
  <c r="DP165" i="1"/>
  <c r="DO165" i="1"/>
  <c r="DN165" i="1"/>
  <c r="DR164" i="1"/>
  <c r="DP164" i="1"/>
  <c r="DO164" i="1"/>
  <c r="DN164" i="1"/>
  <c r="DR163" i="1"/>
  <c r="DP163" i="1"/>
  <c r="DO163" i="1"/>
  <c r="DN163" i="1"/>
  <c r="DR162" i="1"/>
  <c r="DP162" i="1"/>
  <c r="DO162" i="1"/>
  <c r="DN162" i="1"/>
  <c r="DR161" i="1"/>
  <c r="DP161" i="1"/>
  <c r="DO161" i="1"/>
  <c r="DN161" i="1"/>
  <c r="DR160" i="1"/>
  <c r="DP160" i="1"/>
  <c r="DO160" i="1"/>
  <c r="DN160" i="1"/>
  <c r="DR159" i="1"/>
  <c r="DP159" i="1"/>
  <c r="DO159" i="1"/>
  <c r="DN159" i="1"/>
  <c r="DR158" i="1"/>
  <c r="DP158" i="1"/>
  <c r="DO158" i="1"/>
  <c r="DN158" i="1"/>
  <c r="DR156" i="1"/>
  <c r="DP156" i="1"/>
  <c r="DO156" i="1"/>
  <c r="DN156" i="1"/>
  <c r="DR155" i="1"/>
  <c r="DP155" i="1"/>
  <c r="DO155" i="1"/>
  <c r="DN155" i="1"/>
  <c r="DR154" i="1"/>
  <c r="DP154" i="1"/>
  <c r="DO154" i="1"/>
  <c r="DN154" i="1"/>
  <c r="DR153" i="1"/>
  <c r="DP153" i="1"/>
  <c r="DO153" i="1"/>
  <c r="DN153" i="1"/>
  <c r="DR152" i="1"/>
  <c r="DP152" i="1"/>
  <c r="DO152" i="1"/>
  <c r="DN152" i="1"/>
  <c r="DR151" i="1"/>
  <c r="DP151" i="1"/>
  <c r="DO151" i="1"/>
  <c r="DN151" i="1"/>
  <c r="DR150" i="1"/>
  <c r="DP150" i="1"/>
  <c r="DO150" i="1"/>
  <c r="DN150" i="1"/>
  <c r="DR149" i="1"/>
  <c r="DP149" i="1"/>
  <c r="DO149" i="1"/>
  <c r="DN149" i="1"/>
  <c r="DR148" i="1"/>
  <c r="DP148" i="1"/>
  <c r="DO148" i="1"/>
  <c r="DN148" i="1"/>
  <c r="DR147" i="1"/>
  <c r="DP147" i="1"/>
  <c r="DO147" i="1"/>
  <c r="DN147" i="1"/>
  <c r="DR146" i="1"/>
  <c r="DP146" i="1"/>
  <c r="DO146" i="1"/>
  <c r="DN146" i="1"/>
  <c r="DR145" i="1"/>
  <c r="DP145" i="1"/>
  <c r="DO145" i="1"/>
  <c r="DN145" i="1"/>
  <c r="DR144" i="1"/>
  <c r="DP144" i="1"/>
  <c r="DO144" i="1"/>
  <c r="DN144" i="1"/>
  <c r="DR142" i="1"/>
  <c r="DP142" i="1"/>
  <c r="DO142" i="1"/>
  <c r="DN142" i="1"/>
  <c r="DR141" i="1"/>
  <c r="DP141" i="1"/>
  <c r="DO141" i="1"/>
  <c r="DN141" i="1"/>
  <c r="DR140" i="1"/>
  <c r="DP140" i="1"/>
  <c r="DO140" i="1"/>
  <c r="DN140" i="1"/>
  <c r="DR139" i="1"/>
  <c r="DP139" i="1"/>
  <c r="DO139" i="1"/>
  <c r="DN139" i="1"/>
  <c r="DR138" i="1"/>
  <c r="DP138" i="1"/>
  <c r="DO138" i="1"/>
  <c r="DN138" i="1"/>
  <c r="DR137" i="1"/>
  <c r="DP137" i="1"/>
  <c r="DO137" i="1"/>
  <c r="DN137" i="1"/>
  <c r="DR136" i="1"/>
  <c r="DP136" i="1"/>
  <c r="DO136" i="1"/>
  <c r="DN136" i="1"/>
  <c r="DR135" i="1"/>
  <c r="DP135" i="1"/>
  <c r="DO135" i="1"/>
  <c r="DN135" i="1"/>
  <c r="DR134" i="1"/>
  <c r="DP134" i="1"/>
  <c r="DO134" i="1"/>
  <c r="DN134" i="1"/>
  <c r="DR133" i="1"/>
  <c r="DP133" i="1"/>
  <c r="DO133" i="1"/>
  <c r="DN133" i="1"/>
  <c r="DR132" i="1"/>
  <c r="DP132" i="1"/>
  <c r="DO132" i="1"/>
  <c r="DN132" i="1"/>
  <c r="DR131" i="1"/>
  <c r="DP131" i="1"/>
  <c r="DO131" i="1"/>
  <c r="DN131" i="1"/>
  <c r="DR130" i="1"/>
  <c r="DP130" i="1"/>
  <c r="DO130" i="1"/>
  <c r="DN130" i="1"/>
  <c r="DR128" i="1"/>
  <c r="DP128" i="1"/>
  <c r="DO128" i="1"/>
  <c r="DN128" i="1"/>
  <c r="DR127" i="1"/>
  <c r="DP127" i="1"/>
  <c r="DO127" i="1"/>
  <c r="DN127" i="1"/>
  <c r="DR126" i="1"/>
  <c r="DP126" i="1"/>
  <c r="DO126" i="1"/>
  <c r="DN126" i="1"/>
  <c r="DR125" i="1"/>
  <c r="DP125" i="1"/>
  <c r="DO125" i="1"/>
  <c r="DN125" i="1"/>
  <c r="DR124" i="1"/>
  <c r="DP124" i="1"/>
  <c r="DO124" i="1"/>
  <c r="DN124" i="1"/>
  <c r="DR123" i="1"/>
  <c r="DP123" i="1"/>
  <c r="DO123" i="1"/>
  <c r="DN123" i="1"/>
  <c r="DR122" i="1"/>
  <c r="DP122" i="1"/>
  <c r="DO122" i="1"/>
  <c r="DN122" i="1"/>
  <c r="DR121" i="1"/>
  <c r="DP121" i="1"/>
  <c r="DO121" i="1"/>
  <c r="DN121" i="1"/>
  <c r="DR119" i="1"/>
  <c r="DP119" i="1"/>
  <c r="DO119" i="1"/>
  <c r="DN119" i="1"/>
  <c r="DR118" i="1"/>
  <c r="DP118" i="1"/>
  <c r="DO118" i="1"/>
  <c r="DN118" i="1"/>
  <c r="DR117" i="1"/>
  <c r="DP117" i="1"/>
  <c r="DO117" i="1"/>
  <c r="DN117" i="1"/>
  <c r="DR116" i="1"/>
  <c r="DP116" i="1"/>
  <c r="DO116" i="1"/>
  <c r="DN116" i="1"/>
  <c r="DR115" i="1"/>
  <c r="DP115" i="1"/>
  <c r="DO115" i="1"/>
  <c r="DN115" i="1"/>
  <c r="DR114" i="1"/>
  <c r="DP114" i="1"/>
  <c r="DO114" i="1"/>
  <c r="DN114" i="1"/>
  <c r="DR112" i="1"/>
  <c r="DP112" i="1"/>
  <c r="DO112" i="1"/>
  <c r="DN112" i="1"/>
  <c r="DR111" i="1"/>
  <c r="DP111" i="1"/>
  <c r="DO111" i="1"/>
  <c r="DN111" i="1"/>
  <c r="DR110" i="1"/>
  <c r="DP110" i="1"/>
  <c r="DO110" i="1"/>
  <c r="DN110" i="1"/>
  <c r="DR109" i="1"/>
  <c r="DP109" i="1"/>
  <c r="DO109" i="1"/>
  <c r="DN109" i="1"/>
  <c r="DR108" i="1"/>
  <c r="DP108" i="1"/>
  <c r="DO108" i="1"/>
  <c r="DN108" i="1"/>
  <c r="DR107" i="1"/>
  <c r="DP107" i="1"/>
  <c r="DO107" i="1"/>
  <c r="DN107" i="1"/>
  <c r="DR106" i="1"/>
  <c r="DP106" i="1"/>
  <c r="DO106" i="1"/>
  <c r="DN106" i="1"/>
  <c r="DR105" i="1"/>
  <c r="DP105" i="1"/>
  <c r="DO105" i="1"/>
  <c r="DN105" i="1"/>
  <c r="DR104" i="1"/>
  <c r="DP104" i="1"/>
  <c r="DO104" i="1"/>
  <c r="DN104" i="1"/>
  <c r="DR103" i="1"/>
  <c r="DP103" i="1"/>
  <c r="DO103" i="1"/>
  <c r="DN103" i="1"/>
  <c r="DR101" i="1"/>
  <c r="DP101" i="1"/>
  <c r="DO101" i="1"/>
  <c r="DN101" i="1"/>
  <c r="DR100" i="1"/>
  <c r="DP100" i="1"/>
  <c r="DO100" i="1"/>
  <c r="DN100" i="1"/>
  <c r="DR99" i="1"/>
  <c r="DP99" i="1"/>
  <c r="DO99" i="1"/>
  <c r="DN99" i="1"/>
  <c r="DR98" i="1"/>
  <c r="DP98" i="1"/>
  <c r="DO98" i="1"/>
  <c r="DN98" i="1"/>
  <c r="DR97" i="1"/>
  <c r="DP97" i="1"/>
  <c r="DO97" i="1"/>
  <c r="DN97" i="1"/>
  <c r="DR95" i="1"/>
  <c r="DP95" i="1"/>
  <c r="DO95" i="1"/>
  <c r="DN95" i="1"/>
  <c r="DR94" i="1"/>
  <c r="DP94" i="1"/>
  <c r="DO94" i="1"/>
  <c r="DN94" i="1"/>
  <c r="DR93" i="1"/>
  <c r="DP93" i="1"/>
  <c r="DO93" i="1"/>
  <c r="DN93" i="1"/>
  <c r="DR91" i="1"/>
  <c r="DP91" i="1"/>
  <c r="DO91" i="1"/>
  <c r="DN91" i="1"/>
  <c r="DR90" i="1"/>
  <c r="DP90" i="1"/>
  <c r="DO90" i="1"/>
  <c r="DN90" i="1"/>
  <c r="DR89" i="1"/>
  <c r="DP89" i="1"/>
  <c r="DO89" i="1"/>
  <c r="DN89" i="1"/>
  <c r="DR88" i="1"/>
  <c r="DP88" i="1"/>
  <c r="DO88" i="1"/>
  <c r="DN88" i="1"/>
  <c r="DR87" i="1"/>
  <c r="DP87" i="1"/>
  <c r="DO87" i="1"/>
  <c r="DN87" i="1"/>
  <c r="DR86" i="1"/>
  <c r="DP86" i="1"/>
  <c r="DO86" i="1"/>
  <c r="DN86" i="1"/>
  <c r="DR84" i="1"/>
  <c r="DP84" i="1"/>
  <c r="DO84" i="1"/>
  <c r="DN84" i="1"/>
  <c r="DR83" i="1"/>
  <c r="DP83" i="1"/>
  <c r="DO83" i="1"/>
  <c r="DN83" i="1"/>
  <c r="DR82" i="1"/>
  <c r="DP82" i="1"/>
  <c r="DO82" i="1"/>
  <c r="DN82" i="1"/>
  <c r="DR81" i="1"/>
  <c r="DP81" i="1"/>
  <c r="DO81" i="1"/>
  <c r="DN81" i="1"/>
  <c r="DR80" i="1"/>
  <c r="DP80" i="1"/>
  <c r="DO80" i="1"/>
  <c r="DN80" i="1"/>
  <c r="DR79" i="1"/>
  <c r="DP79" i="1"/>
  <c r="DO79" i="1"/>
  <c r="DN79" i="1"/>
  <c r="DR78" i="1"/>
  <c r="DP78" i="1"/>
  <c r="DO78" i="1"/>
  <c r="DN78" i="1"/>
  <c r="DR77" i="1"/>
  <c r="DP77" i="1"/>
  <c r="DO77" i="1"/>
  <c r="DN77" i="1"/>
  <c r="DR76" i="1"/>
  <c r="DP76" i="1"/>
  <c r="DO76" i="1"/>
  <c r="DN76" i="1"/>
  <c r="DR75" i="1"/>
  <c r="DP75" i="1"/>
  <c r="DO75" i="1"/>
  <c r="DN75" i="1"/>
  <c r="DR74" i="1"/>
  <c r="DP74" i="1"/>
  <c r="DO74" i="1"/>
  <c r="DN74" i="1"/>
  <c r="DR73" i="1"/>
  <c r="DP73" i="1"/>
  <c r="DO73" i="1"/>
  <c r="DN73" i="1"/>
  <c r="DR72" i="1"/>
  <c r="DP72" i="1"/>
  <c r="DO72" i="1"/>
  <c r="DN72" i="1"/>
  <c r="DR71" i="1"/>
  <c r="DP71" i="1"/>
  <c r="DO71" i="1"/>
  <c r="DN71" i="1"/>
  <c r="DR69" i="1"/>
  <c r="DP69" i="1"/>
  <c r="DO69" i="1"/>
  <c r="DN69" i="1"/>
  <c r="DR68" i="1"/>
  <c r="DP68" i="1"/>
  <c r="DO68" i="1"/>
  <c r="DN68" i="1"/>
  <c r="DR67" i="1"/>
  <c r="DP67" i="1"/>
  <c r="DO67" i="1"/>
  <c r="DN67" i="1"/>
  <c r="DR66" i="1"/>
  <c r="DP66" i="1"/>
  <c r="DO66" i="1"/>
  <c r="DN66" i="1"/>
  <c r="DR65" i="1"/>
  <c r="DP65" i="1"/>
  <c r="DO65" i="1"/>
  <c r="DN65" i="1"/>
  <c r="DR64" i="1"/>
  <c r="DP64" i="1"/>
  <c r="DO64" i="1"/>
  <c r="DN64" i="1"/>
  <c r="DR63" i="1"/>
  <c r="DP63" i="1"/>
  <c r="DO63" i="1"/>
  <c r="DN63" i="1"/>
  <c r="DR62" i="1"/>
  <c r="DP62" i="1"/>
  <c r="DO62" i="1"/>
  <c r="DN62" i="1"/>
  <c r="DR61" i="1"/>
  <c r="DP61" i="1"/>
  <c r="DO61" i="1"/>
  <c r="DN61" i="1"/>
  <c r="DR60" i="1"/>
  <c r="DP60" i="1"/>
  <c r="DO60" i="1"/>
  <c r="DN60" i="1"/>
  <c r="DR59" i="1"/>
  <c r="DP59" i="1"/>
  <c r="DO59" i="1"/>
  <c r="DN59" i="1"/>
  <c r="DR57" i="1"/>
  <c r="DP57" i="1"/>
  <c r="DO57" i="1"/>
  <c r="DN57" i="1"/>
  <c r="DR56" i="1"/>
  <c r="DP56" i="1"/>
  <c r="DO56" i="1"/>
  <c r="DN56" i="1"/>
  <c r="DR55" i="1"/>
  <c r="DP55" i="1"/>
  <c r="DO55" i="1"/>
  <c r="DN55" i="1"/>
  <c r="DR54" i="1"/>
  <c r="DP54" i="1"/>
  <c r="DO54" i="1"/>
  <c r="DN54" i="1"/>
  <c r="DR53" i="1"/>
  <c r="DP53" i="1"/>
  <c r="DO53" i="1"/>
  <c r="DN53" i="1"/>
  <c r="DR51" i="1"/>
  <c r="DP51" i="1"/>
  <c r="DO51" i="1"/>
  <c r="DN51" i="1"/>
  <c r="DR50" i="1"/>
  <c r="DP50" i="1"/>
  <c r="DO50" i="1"/>
  <c r="DN50" i="1"/>
  <c r="DR49" i="1"/>
  <c r="DP49" i="1"/>
  <c r="DO49" i="1"/>
  <c r="DN49" i="1"/>
  <c r="DR48" i="1"/>
  <c r="DP48" i="1"/>
  <c r="DO48" i="1"/>
  <c r="DN48" i="1"/>
  <c r="DR47" i="1"/>
  <c r="DP47" i="1"/>
  <c r="DO47" i="1"/>
  <c r="DN47" i="1"/>
  <c r="DR46" i="1"/>
  <c r="DP46" i="1"/>
  <c r="DO46" i="1"/>
  <c r="DN46" i="1"/>
  <c r="DR45" i="1"/>
  <c r="DP45" i="1"/>
  <c r="DO45" i="1"/>
  <c r="DN45" i="1"/>
  <c r="DR44" i="1"/>
  <c r="DP44" i="1"/>
  <c r="DO44" i="1"/>
  <c r="DN44" i="1"/>
  <c r="DR41" i="1"/>
  <c r="DP41" i="1"/>
  <c r="DO41" i="1"/>
  <c r="DN41" i="1"/>
  <c r="DR36" i="1"/>
  <c r="DP36" i="1"/>
  <c r="DO36" i="1"/>
  <c r="DN36" i="1"/>
  <c r="DR35" i="1"/>
  <c r="DP35" i="1"/>
  <c r="DO35" i="1"/>
  <c r="DN35" i="1"/>
  <c r="DR34" i="1"/>
  <c r="DP34" i="1"/>
  <c r="DO34" i="1"/>
  <c r="DN34" i="1"/>
  <c r="DR33" i="1"/>
  <c r="DP33" i="1"/>
  <c r="DO33" i="1"/>
  <c r="DN33" i="1"/>
  <c r="DR32" i="1"/>
  <c r="DP32" i="1"/>
  <c r="DO32" i="1"/>
  <c r="DN32" i="1"/>
  <c r="DR31" i="1"/>
  <c r="DP31" i="1"/>
  <c r="DO31" i="1"/>
  <c r="DN31" i="1"/>
  <c r="DR30" i="1"/>
  <c r="DP30" i="1"/>
  <c r="DO30" i="1"/>
  <c r="DN30" i="1"/>
  <c r="DR29" i="1"/>
  <c r="DP29" i="1"/>
  <c r="DO29" i="1"/>
  <c r="DN29" i="1"/>
  <c r="DR28" i="1"/>
  <c r="DP28" i="1"/>
  <c r="DO28" i="1"/>
  <c r="DN28" i="1"/>
  <c r="DR27" i="1"/>
  <c r="DP27" i="1"/>
  <c r="DO27" i="1"/>
  <c r="DN27" i="1"/>
  <c r="DR26" i="1"/>
  <c r="DP26" i="1"/>
  <c r="DO26" i="1"/>
  <c r="DN26" i="1"/>
  <c r="DR25" i="1"/>
  <c r="DP25" i="1"/>
  <c r="DO25" i="1"/>
  <c r="DN25" i="1"/>
  <c r="DR24" i="1"/>
  <c r="DP24" i="1"/>
  <c r="DO24" i="1"/>
  <c r="DN24" i="1"/>
  <c r="DR23" i="1"/>
  <c r="DP23" i="1"/>
  <c r="DO23" i="1"/>
  <c r="DN23" i="1"/>
  <c r="DR22" i="1"/>
  <c r="DP22" i="1"/>
  <c r="DO22" i="1"/>
  <c r="DN22" i="1"/>
  <c r="DR21" i="1"/>
  <c r="DP21" i="1"/>
  <c r="DO21" i="1"/>
  <c r="DN21" i="1"/>
  <c r="DR20" i="1"/>
  <c r="DP20" i="1"/>
  <c r="DO20" i="1"/>
  <c r="DN20" i="1"/>
  <c r="DR19" i="1"/>
  <c r="DP19" i="1"/>
  <c r="DO19" i="1"/>
  <c r="DN19" i="1"/>
  <c r="DR18" i="1"/>
  <c r="DP18" i="1"/>
  <c r="DO18" i="1"/>
  <c r="DN18" i="1"/>
  <c r="DO13" i="1"/>
  <c r="T265" i="1" l="1"/>
  <c r="P297" i="52" l="1"/>
  <c r="CI257" i="1"/>
  <c r="BD257" i="1"/>
  <c r="AQ257" i="1"/>
  <c r="AH257" i="1"/>
  <c r="V257" i="1"/>
  <c r="W257" i="1" s="1"/>
  <c r="Q257" i="1"/>
  <c r="CI84" i="1"/>
  <c r="BF84" i="1"/>
  <c r="BD84" i="1"/>
  <c r="AQ84" i="1"/>
  <c r="AH84" i="1"/>
  <c r="V84" i="1"/>
  <c r="W84" i="1" s="1"/>
  <c r="Q84" i="1"/>
  <c r="CI119" i="1"/>
  <c r="BF119" i="1"/>
  <c r="BD119" i="1"/>
  <c r="AQ119" i="1"/>
  <c r="AH119" i="1"/>
  <c r="V119" i="1"/>
  <c r="Q119" i="1"/>
  <c r="CI139" i="1"/>
  <c r="BD139" i="1"/>
  <c r="AQ139" i="1"/>
  <c r="V139" i="1"/>
  <c r="Q139" i="1"/>
  <c r="CI161" i="1"/>
  <c r="BD161" i="1"/>
  <c r="AQ161" i="1"/>
  <c r="AH161" i="1"/>
  <c r="V161" i="1"/>
  <c r="Q161" i="1"/>
  <c r="CI253" i="1"/>
  <c r="BD253" i="1"/>
  <c r="AQ253" i="1"/>
  <c r="AH253" i="1"/>
  <c r="V253" i="1"/>
  <c r="Q253" i="1"/>
  <c r="CI90" i="1"/>
  <c r="BF90" i="1"/>
  <c r="BD90" i="1"/>
  <c r="AQ90" i="1"/>
  <c r="Q90" i="1"/>
  <c r="CI104" i="1"/>
  <c r="BF104" i="1"/>
  <c r="BD104" i="1"/>
  <c r="AQ104" i="1"/>
  <c r="Q104" i="1"/>
  <c r="CI155" i="1"/>
  <c r="BD155" i="1"/>
  <c r="AQ155" i="1"/>
  <c r="V155" i="1"/>
  <c r="Q155" i="1"/>
  <c r="CI109" i="1"/>
  <c r="BF109" i="1"/>
  <c r="BD109" i="1"/>
  <c r="AQ109" i="1"/>
  <c r="V109" i="1"/>
  <c r="Q109" i="1"/>
  <c r="CI225" i="1"/>
  <c r="BD225" i="1"/>
  <c r="AQ225" i="1"/>
  <c r="Q225" i="1"/>
  <c r="CI121" i="1"/>
  <c r="BF121" i="1"/>
  <c r="BD121" i="1"/>
  <c r="AQ121" i="1"/>
  <c r="Q121" i="1"/>
  <c r="CI134" i="1"/>
  <c r="BD134" i="1"/>
  <c r="AQ134" i="1"/>
  <c r="Q134" i="1"/>
  <c r="CI133" i="1"/>
  <c r="BD133" i="1"/>
  <c r="AQ133" i="1"/>
  <c r="Q133" i="1"/>
  <c r="CI127" i="1"/>
  <c r="BD127" i="1"/>
  <c r="AQ127" i="1"/>
  <c r="AH127" i="1"/>
  <c r="V127" i="1"/>
  <c r="Q127" i="1"/>
  <c r="CI51" i="1"/>
  <c r="BF51" i="1"/>
  <c r="BD51" i="1"/>
  <c r="AQ51" i="1"/>
  <c r="AH51" i="1"/>
  <c r="V51" i="1"/>
  <c r="Q51" i="1"/>
  <c r="CI108" i="1"/>
  <c r="BF108" i="1"/>
  <c r="BD108" i="1"/>
  <c r="AQ108" i="1"/>
  <c r="AH108" i="1"/>
  <c r="V108" i="1"/>
  <c r="Q108" i="1"/>
  <c r="CI59" i="1"/>
  <c r="BF59" i="1"/>
  <c r="BD59" i="1"/>
  <c r="AQ59" i="1"/>
  <c r="AH59" i="1"/>
  <c r="V59" i="1"/>
  <c r="Q59" i="1"/>
  <c r="CI67" i="1"/>
  <c r="BF67" i="1"/>
  <c r="BD67" i="1"/>
  <c r="AQ67" i="1"/>
  <c r="AO67" i="1"/>
  <c r="AC67" i="1"/>
  <c r="AH67" i="1"/>
  <c r="V67" i="1"/>
  <c r="Q67" i="1"/>
  <c r="T91" i="52" l="1"/>
  <c r="V131" i="52"/>
  <c r="V132" i="52"/>
  <c r="V188" i="52"/>
  <c r="V143" i="52"/>
  <c r="V182" i="52"/>
  <c r="V127" i="52"/>
  <c r="V286" i="52"/>
  <c r="V166" i="52"/>
  <c r="V290" i="52"/>
  <c r="V83" i="52"/>
  <c r="V91" i="52"/>
  <c r="V151" i="52"/>
  <c r="V159" i="52"/>
  <c r="V160" i="52"/>
  <c r="V145" i="52"/>
  <c r="V75" i="52"/>
  <c r="V256" i="52"/>
  <c r="V113" i="52"/>
  <c r="V107" i="52"/>
  <c r="AI67" i="1"/>
  <c r="CP67" i="1"/>
  <c r="CP127" i="1"/>
  <c r="CP133" i="1"/>
  <c r="CP134" i="1"/>
  <c r="CP225" i="1"/>
  <c r="CP109" i="1"/>
  <c r="CP90" i="1"/>
  <c r="AI253" i="1"/>
  <c r="CP253" i="1"/>
  <c r="AI161" i="1"/>
  <c r="CP161" i="1"/>
  <c r="AI139" i="1"/>
  <c r="CP139" i="1"/>
  <c r="AI119" i="1"/>
  <c r="CP119" i="1"/>
  <c r="AI84" i="1"/>
  <c r="CP84" i="1"/>
  <c r="AT119" i="1"/>
  <c r="CH119" i="1" s="1"/>
  <c r="AT84" i="1"/>
  <c r="CH84" i="1" s="1"/>
  <c r="AT257" i="1"/>
  <c r="CH257" i="1" s="1"/>
  <c r="AI59" i="1"/>
  <c r="CP59" i="1"/>
  <c r="AI108" i="1"/>
  <c r="CP108" i="1"/>
  <c r="AI51" i="1"/>
  <c r="CP51" i="1"/>
  <c r="AI127" i="1"/>
  <c r="CP121" i="1"/>
  <c r="CP155" i="1"/>
  <c r="CP104" i="1"/>
  <c r="AI257" i="1"/>
  <c r="CP257" i="1"/>
  <c r="W119" i="1"/>
  <c r="AT127" i="1"/>
  <c r="CH127" i="1" s="1"/>
  <c r="AT104" i="1"/>
  <c r="CH104" i="1" s="1"/>
  <c r="AT90" i="1"/>
  <c r="CH90" i="1" s="1"/>
  <c r="AT59" i="1"/>
  <c r="CH59" i="1" s="1"/>
  <c r="AT108" i="1"/>
  <c r="CH108" i="1" s="1"/>
  <c r="AT51" i="1"/>
  <c r="CH51" i="1" s="1"/>
  <c r="AT133" i="1"/>
  <c r="CH133" i="1" s="1"/>
  <c r="AT134" i="1"/>
  <c r="CH134" i="1" s="1"/>
  <c r="AT121" i="1"/>
  <c r="CH121" i="1" s="1"/>
  <c r="AT225" i="1"/>
  <c r="CH225" i="1" s="1"/>
  <c r="V133" i="1"/>
  <c r="AH133" i="1"/>
  <c r="V134" i="1"/>
  <c r="V121" i="1"/>
  <c r="AH121" i="1"/>
  <c r="V225" i="1"/>
  <c r="AH225" i="1"/>
  <c r="W108" i="1"/>
  <c r="W51" i="1"/>
  <c r="W127" i="1"/>
  <c r="AT109" i="1"/>
  <c r="CH109" i="1" s="1"/>
  <c r="AT155" i="1"/>
  <c r="CH155" i="1" s="1"/>
  <c r="W109" i="1"/>
  <c r="W155" i="1"/>
  <c r="V104" i="1"/>
  <c r="AH104" i="1"/>
  <c r="V90" i="1"/>
  <c r="AH90" i="1"/>
  <c r="AT253" i="1"/>
  <c r="CH253" i="1" s="1"/>
  <c r="AT161" i="1"/>
  <c r="CH161" i="1" s="1"/>
  <c r="AT139" i="1"/>
  <c r="CH139" i="1" s="1"/>
  <c r="W253" i="1"/>
  <c r="W161" i="1"/>
  <c r="W139" i="1"/>
  <c r="W59" i="1"/>
  <c r="AT67" i="1"/>
  <c r="CH67" i="1" s="1"/>
  <c r="W67" i="1"/>
  <c r="H16" i="20"/>
  <c r="BI42" i="1"/>
  <c r="X91" i="52" l="1"/>
  <c r="X166" i="52"/>
  <c r="X188" i="52"/>
  <c r="X286" i="52"/>
  <c r="X182" i="52"/>
  <c r="X132" i="52"/>
  <c r="X256" i="52"/>
  <c r="X145" i="52"/>
  <c r="X160" i="52"/>
  <c r="X159" i="52"/>
  <c r="X75" i="52"/>
  <c r="X131" i="52"/>
  <c r="X83" i="52"/>
  <c r="X113" i="52"/>
  <c r="X127" i="52"/>
  <c r="X151" i="52"/>
  <c r="X290" i="52"/>
  <c r="X107" i="52"/>
  <c r="X143" i="52"/>
  <c r="BK15" i="1"/>
  <c r="AI225" i="1"/>
  <c r="AI121" i="1"/>
  <c r="AI133" i="1"/>
  <c r="AI90" i="1"/>
  <c r="AI104" i="1"/>
  <c r="W90" i="1"/>
  <c r="W104" i="1"/>
  <c r="W225" i="1"/>
  <c r="W121" i="1"/>
  <c r="W134" i="1"/>
  <c r="W133" i="1"/>
  <c r="H203" i="20" l="1"/>
  <c r="BI397" i="1" l="1"/>
  <c r="BI303" i="1"/>
  <c r="BI400" i="1" l="1"/>
  <c r="BK400" i="1" l="1"/>
  <c r="DR17" i="1"/>
  <c r="DR14" i="1"/>
  <c r="DR13" i="1"/>
  <c r="DP17" i="1" l="1"/>
  <c r="DP14" i="1"/>
  <c r="DP13" i="1"/>
  <c r="DO14" i="1" l="1"/>
  <c r="DN13" i="1"/>
  <c r="DN14" i="1"/>
  <c r="DN17" i="1"/>
  <c r="BF31" i="1" l="1"/>
  <c r="AZ17" i="1" l="1"/>
  <c r="CA18" i="1"/>
  <c r="L14" i="42" s="1"/>
  <c r="AD14" i="42" l="1"/>
  <c r="CT18" i="1"/>
  <c r="CA361" i="1"/>
  <c r="L357" i="42" s="1"/>
  <c r="CA362" i="1"/>
  <c r="L358" i="42" s="1"/>
  <c r="CA365" i="1"/>
  <c r="L361" i="42" s="1"/>
  <c r="CA366" i="1"/>
  <c r="L362" i="42" s="1"/>
  <c r="CA367" i="1"/>
  <c r="L363" i="42" s="1"/>
  <c r="CA368" i="1"/>
  <c r="L364" i="42" s="1"/>
  <c r="CA369" i="1"/>
  <c r="L365" i="42" s="1"/>
  <c r="CA370" i="1"/>
  <c r="L366" i="42" s="1"/>
  <c r="CA371" i="1"/>
  <c r="L367" i="42" s="1"/>
  <c r="CA372" i="1"/>
  <c r="L368" i="42" s="1"/>
  <c r="CA373" i="1"/>
  <c r="L369" i="42" s="1"/>
  <c r="CA374" i="1"/>
  <c r="L370" i="42" s="1"/>
  <c r="CA375" i="1"/>
  <c r="L371" i="42" s="1"/>
  <c r="CA376" i="1"/>
  <c r="L372" i="42" s="1"/>
  <c r="CA378" i="1"/>
  <c r="L374" i="42" s="1"/>
  <c r="CA379" i="1"/>
  <c r="L375" i="42" s="1"/>
  <c r="CA380" i="1"/>
  <c r="L376" i="42" s="1"/>
  <c r="CA382" i="1"/>
  <c r="L378" i="42" s="1"/>
  <c r="CA383" i="1"/>
  <c r="L379" i="42" s="1"/>
  <c r="CA385" i="1"/>
  <c r="L381" i="42" s="1"/>
  <c r="CA265" i="1"/>
  <c r="L261" i="42" s="1"/>
  <c r="CA387" i="1"/>
  <c r="L383" i="42" s="1"/>
  <c r="CA388" i="1"/>
  <c r="L384" i="42" s="1"/>
  <c r="CA389" i="1"/>
  <c r="L385" i="42" s="1"/>
  <c r="CA391" i="1"/>
  <c r="L387" i="42" s="1"/>
  <c r="CA392" i="1"/>
  <c r="L388" i="42" s="1"/>
  <c r="CA393" i="1"/>
  <c r="L389" i="42" s="1"/>
  <c r="CA394" i="1"/>
  <c r="L390" i="42" s="1"/>
  <c r="CA395" i="1"/>
  <c r="L391" i="42" s="1"/>
  <c r="CA396" i="1"/>
  <c r="L392" i="42" s="1"/>
  <c r="CA360" i="1"/>
  <c r="L356" i="42" s="1"/>
  <c r="CA306" i="1"/>
  <c r="L302" i="42" s="1"/>
  <c r="CA307" i="1"/>
  <c r="L303" i="42" s="1"/>
  <c r="CA308" i="1"/>
  <c r="L304" i="42" s="1"/>
  <c r="CA309" i="1"/>
  <c r="L305" i="42" s="1"/>
  <c r="CA310" i="1"/>
  <c r="L306" i="42" s="1"/>
  <c r="CA311" i="1"/>
  <c r="L307" i="42" s="1"/>
  <c r="CA312" i="1"/>
  <c r="L308" i="42" s="1"/>
  <c r="CA313" i="1"/>
  <c r="L309" i="42" s="1"/>
  <c r="CA314" i="1"/>
  <c r="L310" i="42" s="1"/>
  <c r="CA315" i="1"/>
  <c r="L311" i="42" s="1"/>
  <c r="CA316" i="1"/>
  <c r="L312" i="42" s="1"/>
  <c r="CA317" i="1"/>
  <c r="L313" i="42" s="1"/>
  <c r="CA318" i="1"/>
  <c r="L314" i="42" s="1"/>
  <c r="CA319" i="1"/>
  <c r="L315" i="42" s="1"/>
  <c r="CA320" i="1"/>
  <c r="L316" i="42" s="1"/>
  <c r="CA321" i="1"/>
  <c r="L317" i="42" s="1"/>
  <c r="CA322" i="1"/>
  <c r="L318" i="42" s="1"/>
  <c r="CA323" i="1"/>
  <c r="L319" i="42" s="1"/>
  <c r="CA325" i="1"/>
  <c r="L321" i="42" s="1"/>
  <c r="CA326" i="1"/>
  <c r="L322" i="42" s="1"/>
  <c r="CA327" i="1"/>
  <c r="L323" i="42" s="1"/>
  <c r="CA328" i="1"/>
  <c r="L324" i="42" s="1"/>
  <c r="CA329" i="1"/>
  <c r="L325" i="42" s="1"/>
  <c r="CA330" i="1"/>
  <c r="L326" i="42" s="1"/>
  <c r="CA331" i="1"/>
  <c r="L327" i="42" s="1"/>
  <c r="CA332" i="1"/>
  <c r="L328" i="42" s="1"/>
  <c r="CA333" i="1"/>
  <c r="L329" i="42" s="1"/>
  <c r="CA334" i="1"/>
  <c r="L330" i="42" s="1"/>
  <c r="CA335" i="1"/>
  <c r="L331" i="42" s="1"/>
  <c r="CA336" i="1"/>
  <c r="L332" i="42" s="1"/>
  <c r="CA337" i="1"/>
  <c r="L333" i="42" s="1"/>
  <c r="CA338" i="1"/>
  <c r="L334" i="42" s="1"/>
  <c r="CA339" i="1"/>
  <c r="L335" i="42" s="1"/>
  <c r="CA340" i="1"/>
  <c r="L336" i="42" s="1"/>
  <c r="CA341" i="1"/>
  <c r="L337" i="42" s="1"/>
  <c r="CA342" i="1"/>
  <c r="L338" i="42" s="1"/>
  <c r="CA343" i="1"/>
  <c r="L339" i="42" s="1"/>
  <c r="CA344" i="1"/>
  <c r="L340" i="42" s="1"/>
  <c r="CA345" i="1"/>
  <c r="L341" i="42" s="1"/>
  <c r="CA347" i="1"/>
  <c r="L343" i="42" s="1"/>
  <c r="CA348" i="1"/>
  <c r="L344" i="42" s="1"/>
  <c r="CA349" i="1"/>
  <c r="L345" i="42" s="1"/>
  <c r="CA350" i="1"/>
  <c r="L346" i="42" s="1"/>
  <c r="CA352" i="1"/>
  <c r="L348" i="42" s="1"/>
  <c r="CA353" i="1"/>
  <c r="L349" i="42" s="1"/>
  <c r="CA354" i="1"/>
  <c r="L350" i="42" s="1"/>
  <c r="CA355" i="1"/>
  <c r="L351" i="42" s="1"/>
  <c r="CA356" i="1"/>
  <c r="L352" i="42" s="1"/>
  <c r="CA357" i="1"/>
  <c r="L353" i="42" s="1"/>
  <c r="CA358" i="1"/>
  <c r="L354" i="42" s="1"/>
  <c r="CA305" i="1"/>
  <c r="L301" i="42" s="1"/>
  <c r="CA269" i="1"/>
  <c r="L265" i="42" s="1"/>
  <c r="CA270" i="1"/>
  <c r="L266" i="42" s="1"/>
  <c r="CA271" i="1"/>
  <c r="L267" i="42" s="1"/>
  <c r="CA272" i="1"/>
  <c r="L268" i="42" s="1"/>
  <c r="CA273" i="1"/>
  <c r="L269" i="42" s="1"/>
  <c r="CA275" i="1"/>
  <c r="L271" i="42" s="1"/>
  <c r="CA276" i="1"/>
  <c r="L272" i="42" s="1"/>
  <c r="CA277" i="1"/>
  <c r="L273" i="42" s="1"/>
  <c r="CA278" i="1"/>
  <c r="L274" i="42" s="1"/>
  <c r="CA279" i="1"/>
  <c r="L275" i="42" s="1"/>
  <c r="CA280" i="1"/>
  <c r="L276" i="42" s="1"/>
  <c r="CA282" i="1"/>
  <c r="L278" i="42" s="1"/>
  <c r="CA283" i="1"/>
  <c r="L279" i="42" s="1"/>
  <c r="CA284" i="1"/>
  <c r="L280" i="42" s="1"/>
  <c r="CA285" i="1"/>
  <c r="L281" i="42" s="1"/>
  <c r="CA290" i="1"/>
  <c r="L286" i="42" s="1"/>
  <c r="CA291" i="1"/>
  <c r="L287" i="42" s="1"/>
  <c r="CA292" i="1"/>
  <c r="L288" i="42" s="1"/>
  <c r="CA293" i="1"/>
  <c r="L289" i="42" s="1"/>
  <c r="CA295" i="1"/>
  <c r="L291" i="42" s="1"/>
  <c r="CA296" i="1"/>
  <c r="L292" i="42" s="1"/>
  <c r="CA298" i="1"/>
  <c r="L294" i="42" s="1"/>
  <c r="CA300" i="1"/>
  <c r="L296" i="42" s="1"/>
  <c r="CA301" i="1"/>
  <c r="L297" i="42" s="1"/>
  <c r="CA302" i="1"/>
  <c r="L298" i="42" s="1"/>
  <c r="CA263" i="1"/>
  <c r="L259" i="42" s="1"/>
  <c r="CA264" i="1"/>
  <c r="L260" i="42" s="1"/>
  <c r="CA262" i="1"/>
  <c r="L258" i="42" s="1"/>
  <c r="CA190" i="1"/>
  <c r="L186" i="42" s="1"/>
  <c r="CA191" i="1"/>
  <c r="L187" i="42" s="1"/>
  <c r="CA192" i="1"/>
  <c r="L188" i="42" s="1"/>
  <c r="CA193" i="1"/>
  <c r="L189" i="42" s="1"/>
  <c r="CA194" i="1"/>
  <c r="L190" i="42" s="1"/>
  <c r="CA195" i="1"/>
  <c r="L191" i="42" s="1"/>
  <c r="CA196" i="1"/>
  <c r="L192" i="42" s="1"/>
  <c r="CA198" i="1"/>
  <c r="L194" i="42" s="1"/>
  <c r="CA199" i="1"/>
  <c r="L195" i="42" s="1"/>
  <c r="CA202" i="1"/>
  <c r="L198" i="42" s="1"/>
  <c r="CA203" i="1"/>
  <c r="L199" i="42" s="1"/>
  <c r="CA204" i="1"/>
  <c r="L200" i="42" s="1"/>
  <c r="CA205" i="1"/>
  <c r="L201" i="42" s="1"/>
  <c r="CA206" i="1"/>
  <c r="L202" i="42" s="1"/>
  <c r="CA207" i="1"/>
  <c r="L203" i="42" s="1"/>
  <c r="CA209" i="1"/>
  <c r="L205" i="42" s="1"/>
  <c r="CA210" i="1"/>
  <c r="L206" i="42" s="1"/>
  <c r="CA213" i="1"/>
  <c r="L209" i="42" s="1"/>
  <c r="CA216" i="1"/>
  <c r="L212" i="42" s="1"/>
  <c r="CA217" i="1"/>
  <c r="L213" i="42" s="1"/>
  <c r="CA218" i="1"/>
  <c r="L214" i="42" s="1"/>
  <c r="CA219" i="1"/>
  <c r="L215" i="42" s="1"/>
  <c r="CA223" i="1"/>
  <c r="L219" i="42" s="1"/>
  <c r="CA224" i="1"/>
  <c r="L220" i="42" s="1"/>
  <c r="CA226" i="1"/>
  <c r="L222" i="42" s="1"/>
  <c r="CA228" i="1"/>
  <c r="L224" i="42" s="1"/>
  <c r="CA229" i="1"/>
  <c r="L225" i="42" s="1"/>
  <c r="CA230" i="1"/>
  <c r="L226" i="42" s="1"/>
  <c r="CA231" i="1"/>
  <c r="L227" i="42" s="1"/>
  <c r="CA232" i="1"/>
  <c r="L228" i="42" s="1"/>
  <c r="CA233" i="1"/>
  <c r="L229" i="42" s="1"/>
  <c r="CA234" i="1"/>
  <c r="L230" i="42" s="1"/>
  <c r="CA235" i="1"/>
  <c r="L231" i="42" s="1"/>
  <c r="CA236" i="1"/>
  <c r="L232" i="42" s="1"/>
  <c r="CA237" i="1"/>
  <c r="L233" i="42" s="1"/>
  <c r="CA238" i="1"/>
  <c r="L234" i="42" s="1"/>
  <c r="CA239" i="1"/>
  <c r="L235" i="42" s="1"/>
  <c r="CA240" i="1"/>
  <c r="L236" i="42" s="1"/>
  <c r="CA242" i="1"/>
  <c r="L238" i="42" s="1"/>
  <c r="CA243" i="1"/>
  <c r="L239" i="42" s="1"/>
  <c r="CA244" i="1"/>
  <c r="L240" i="42" s="1"/>
  <c r="CA248" i="1"/>
  <c r="L244" i="42" s="1"/>
  <c r="CA251" i="1"/>
  <c r="L247" i="42" s="1"/>
  <c r="CA252" i="1"/>
  <c r="L248" i="42" s="1"/>
  <c r="CA254" i="1"/>
  <c r="L250" i="42" s="1"/>
  <c r="CA255" i="1"/>
  <c r="L251" i="42" s="1"/>
  <c r="CA256" i="1"/>
  <c r="L252" i="42" s="1"/>
  <c r="CA258" i="1"/>
  <c r="L254" i="42" s="1"/>
  <c r="CA188" i="1"/>
  <c r="L184" i="42" s="1"/>
  <c r="CA151" i="1"/>
  <c r="L147" i="42" s="1"/>
  <c r="CA152" i="1"/>
  <c r="L148" i="42" s="1"/>
  <c r="CA153" i="1"/>
  <c r="L149" i="42" s="1"/>
  <c r="CA154" i="1"/>
  <c r="L150" i="42" s="1"/>
  <c r="CA156" i="1"/>
  <c r="L152" i="42" s="1"/>
  <c r="CA158" i="1"/>
  <c r="L154" i="42" s="1"/>
  <c r="CA159" i="1"/>
  <c r="L155" i="42" s="1"/>
  <c r="CA160" i="1"/>
  <c r="L156" i="42" s="1"/>
  <c r="CA162" i="1"/>
  <c r="L158" i="42" s="1"/>
  <c r="CA163" i="1"/>
  <c r="L159" i="42" s="1"/>
  <c r="CA164" i="1"/>
  <c r="L160" i="42" s="1"/>
  <c r="CA165" i="1"/>
  <c r="L161" i="42" s="1"/>
  <c r="CA166" i="1"/>
  <c r="L162" i="42" s="1"/>
  <c r="CA167" i="1"/>
  <c r="L163" i="42" s="1"/>
  <c r="CA168" i="1"/>
  <c r="L164" i="42" s="1"/>
  <c r="CA169" i="1"/>
  <c r="L165" i="42" s="1"/>
  <c r="CA171" i="1"/>
  <c r="L167" i="42" s="1"/>
  <c r="CA172" i="1"/>
  <c r="L168" i="42" s="1"/>
  <c r="CA173" i="1"/>
  <c r="L169" i="42" s="1"/>
  <c r="CA174" i="1"/>
  <c r="L170" i="42" s="1"/>
  <c r="CA175" i="1"/>
  <c r="L171" i="42" s="1"/>
  <c r="CA176" i="1"/>
  <c r="L172" i="42" s="1"/>
  <c r="CA177" i="1"/>
  <c r="L173" i="42" s="1"/>
  <c r="CA178" i="1"/>
  <c r="L174" i="42" s="1"/>
  <c r="CA179" i="1"/>
  <c r="L175" i="42" s="1"/>
  <c r="CA180" i="1"/>
  <c r="L176" i="42" s="1"/>
  <c r="CA182" i="1"/>
  <c r="L178" i="42" s="1"/>
  <c r="CA185" i="1"/>
  <c r="L181" i="42" s="1"/>
  <c r="CA186" i="1"/>
  <c r="L182" i="42" s="1"/>
  <c r="CA150" i="1"/>
  <c r="L146" i="42" s="1"/>
  <c r="CA105" i="1"/>
  <c r="L101" i="42" s="1"/>
  <c r="CA106" i="1"/>
  <c r="L102" i="42" s="1"/>
  <c r="CA107" i="1"/>
  <c r="L103" i="42" s="1"/>
  <c r="CA110" i="1"/>
  <c r="L106" i="42" s="1"/>
  <c r="CA111" i="1"/>
  <c r="L107" i="42" s="1"/>
  <c r="CA112" i="1"/>
  <c r="L108" i="42" s="1"/>
  <c r="CA114" i="1"/>
  <c r="L110" i="42" s="1"/>
  <c r="CA115" i="1"/>
  <c r="L111" i="42" s="1"/>
  <c r="CA116" i="1"/>
  <c r="L112" i="42" s="1"/>
  <c r="CA117" i="1"/>
  <c r="L113" i="42" s="1"/>
  <c r="CA118" i="1"/>
  <c r="L114" i="42" s="1"/>
  <c r="CA122" i="1"/>
  <c r="L118" i="42" s="1"/>
  <c r="CA123" i="1"/>
  <c r="L119" i="42" s="1"/>
  <c r="CA124" i="1"/>
  <c r="L120" i="42" s="1"/>
  <c r="CA125" i="1"/>
  <c r="L121" i="42" s="1"/>
  <c r="CA126" i="1"/>
  <c r="L122" i="42" s="1"/>
  <c r="CA128" i="1"/>
  <c r="L124" i="42" s="1"/>
  <c r="CA130" i="1"/>
  <c r="L126" i="42" s="1"/>
  <c r="CA131" i="1"/>
  <c r="L127" i="42" s="1"/>
  <c r="CA132" i="1"/>
  <c r="L128" i="42" s="1"/>
  <c r="CA135" i="1"/>
  <c r="L131" i="42" s="1"/>
  <c r="CA136" i="1"/>
  <c r="L132" i="42" s="1"/>
  <c r="CA137" i="1"/>
  <c r="L133" i="42" s="1"/>
  <c r="CA138" i="1"/>
  <c r="L134" i="42" s="1"/>
  <c r="CA140" i="1"/>
  <c r="L136" i="42" s="1"/>
  <c r="CA141" i="1"/>
  <c r="L137" i="42" s="1"/>
  <c r="CA142" i="1"/>
  <c r="L138" i="42" s="1"/>
  <c r="CA144" i="1"/>
  <c r="L140" i="42" s="1"/>
  <c r="CA145" i="1"/>
  <c r="L141" i="42" s="1"/>
  <c r="CA146" i="1"/>
  <c r="L142" i="42" s="1"/>
  <c r="CA147" i="1"/>
  <c r="L143" i="42" s="1"/>
  <c r="CA148" i="1"/>
  <c r="L144" i="42" s="1"/>
  <c r="CA149" i="1"/>
  <c r="L145" i="42" s="1"/>
  <c r="CA103" i="1"/>
  <c r="L99" i="42" s="1"/>
  <c r="CA72" i="1"/>
  <c r="L68" i="42" s="1"/>
  <c r="CA73" i="1"/>
  <c r="L69" i="42" s="1"/>
  <c r="CA74" i="1"/>
  <c r="L70" i="42" s="1"/>
  <c r="CA75" i="1"/>
  <c r="L71" i="42" s="1"/>
  <c r="CA76" i="1"/>
  <c r="L72" i="42" s="1"/>
  <c r="CA77" i="1"/>
  <c r="L73" i="42" s="1"/>
  <c r="CA78" i="1"/>
  <c r="L74" i="42" s="1"/>
  <c r="CA79" i="1"/>
  <c r="L75" i="42" s="1"/>
  <c r="CA80" i="1"/>
  <c r="L76" i="42" s="1"/>
  <c r="CA81" i="1"/>
  <c r="L77" i="42" s="1"/>
  <c r="CA82" i="1"/>
  <c r="L78" i="42" s="1"/>
  <c r="CA83" i="1"/>
  <c r="L79" i="42" s="1"/>
  <c r="CA86" i="1"/>
  <c r="L82" i="42" s="1"/>
  <c r="CA87" i="1"/>
  <c r="L83" i="42" s="1"/>
  <c r="CA88" i="1"/>
  <c r="L84" i="42" s="1"/>
  <c r="CA89" i="1"/>
  <c r="L85" i="42" s="1"/>
  <c r="AD79" i="42"/>
  <c r="CA91" i="1"/>
  <c r="L87" i="42" s="1"/>
  <c r="CA93" i="1"/>
  <c r="L89" i="42" s="1"/>
  <c r="CA94" i="1"/>
  <c r="L90" i="42" s="1"/>
  <c r="CA95" i="1"/>
  <c r="L91" i="42" s="1"/>
  <c r="CA97" i="1"/>
  <c r="L93" i="42" s="1"/>
  <c r="CA99" i="1"/>
  <c r="L95" i="42" s="1"/>
  <c r="CA100" i="1"/>
  <c r="L96" i="42" s="1"/>
  <c r="CA101" i="1"/>
  <c r="L97" i="42" s="1"/>
  <c r="CA56" i="1"/>
  <c r="L52" i="42" s="1"/>
  <c r="CA57" i="1"/>
  <c r="L53" i="42" s="1"/>
  <c r="CA60" i="1"/>
  <c r="L56" i="42" s="1"/>
  <c r="CA61" i="1"/>
  <c r="L57" i="42" s="1"/>
  <c r="CA62" i="1"/>
  <c r="L58" i="42" s="1"/>
  <c r="CA63" i="1"/>
  <c r="L59" i="42" s="1"/>
  <c r="CA64" i="1"/>
  <c r="L60" i="42" s="1"/>
  <c r="CA66" i="1"/>
  <c r="L62" i="42" s="1"/>
  <c r="CA68" i="1"/>
  <c r="L64" i="42" s="1"/>
  <c r="CA69" i="1"/>
  <c r="L65" i="42" s="1"/>
  <c r="CA71" i="1"/>
  <c r="L67" i="42" s="1"/>
  <c r="CA55" i="1"/>
  <c r="L51" i="42" s="1"/>
  <c r="CA45" i="1"/>
  <c r="L41" i="42" s="1"/>
  <c r="CA46" i="1"/>
  <c r="L42" i="42" s="1"/>
  <c r="CA47" i="1"/>
  <c r="L43" i="42" s="1"/>
  <c r="CA48" i="1"/>
  <c r="L44" i="42" s="1"/>
  <c r="CA49" i="1"/>
  <c r="L45" i="42" s="1"/>
  <c r="CA50" i="1"/>
  <c r="L46" i="42" s="1"/>
  <c r="CA53" i="1"/>
  <c r="L49" i="42" s="1"/>
  <c r="CA44" i="1"/>
  <c r="L40" i="42" s="1"/>
  <c r="CA30" i="1"/>
  <c r="L26" i="42" s="1"/>
  <c r="CA31" i="1"/>
  <c r="L27" i="42" s="1"/>
  <c r="CA32" i="1"/>
  <c r="L28" i="42" s="1"/>
  <c r="CA33" i="1"/>
  <c r="L29" i="42" s="1"/>
  <c r="CA34" i="1"/>
  <c r="L30" i="42" s="1"/>
  <c r="CA35" i="1"/>
  <c r="L31" i="42" s="1"/>
  <c r="CA36" i="1"/>
  <c r="L32" i="42" s="1"/>
  <c r="CA41" i="1"/>
  <c r="L37" i="42" s="1"/>
  <c r="CA20" i="1"/>
  <c r="L16" i="42" s="1"/>
  <c r="CA21" i="1"/>
  <c r="L17" i="42" s="1"/>
  <c r="CA22" i="1"/>
  <c r="L18" i="42" s="1"/>
  <c r="CA23" i="1"/>
  <c r="L19" i="42" s="1"/>
  <c r="CA24" i="1"/>
  <c r="L20" i="42" s="1"/>
  <c r="CA25" i="1"/>
  <c r="L21" i="42" s="1"/>
  <c r="CA26" i="1"/>
  <c r="L22" i="42" s="1"/>
  <c r="CA27" i="1"/>
  <c r="L23" i="42" s="1"/>
  <c r="CA28" i="1"/>
  <c r="L24" i="42" s="1"/>
  <c r="CA29" i="1"/>
  <c r="L25" i="42" s="1"/>
  <c r="CA19" i="1"/>
  <c r="L15" i="42" s="1"/>
  <c r="CA17" i="1"/>
  <c r="L13" i="42" s="1"/>
  <c r="L393" i="42" l="1"/>
  <c r="L299" i="42"/>
  <c r="CT357" i="1"/>
  <c r="CT356" i="1"/>
  <c r="AD354" i="42"/>
  <c r="CT354" i="1"/>
  <c r="CT352" i="1"/>
  <c r="AD350" i="42"/>
  <c r="CT350" i="1"/>
  <c r="AD347" i="42"/>
  <c r="CT349" i="1"/>
  <c r="CT347" i="1"/>
  <c r="AD343" i="42"/>
  <c r="CT345" i="1"/>
  <c r="AD341" i="42"/>
  <c r="CT343" i="1"/>
  <c r="AD339" i="42"/>
  <c r="CT341" i="1"/>
  <c r="AD337" i="42"/>
  <c r="CT339" i="1"/>
  <c r="AD335" i="42"/>
  <c r="CT337" i="1"/>
  <c r="AD333" i="42"/>
  <c r="CT335" i="1"/>
  <c r="AD331" i="42"/>
  <c r="CT333" i="1"/>
  <c r="AD329" i="42"/>
  <c r="CT331" i="1"/>
  <c r="CT329" i="1"/>
  <c r="AD325" i="42"/>
  <c r="CT327" i="1"/>
  <c r="AD321" i="42"/>
  <c r="CT323" i="1"/>
  <c r="CT321" i="1"/>
  <c r="AD317" i="42"/>
  <c r="CT319" i="1"/>
  <c r="CT317" i="1"/>
  <c r="AD313" i="42"/>
  <c r="CT315" i="1"/>
  <c r="CT313" i="1"/>
  <c r="CT311" i="1"/>
  <c r="CT309" i="1"/>
  <c r="AD305" i="42"/>
  <c r="CT307" i="1"/>
  <c r="CT360" i="1"/>
  <c r="AD359" i="42"/>
  <c r="CT392" i="1"/>
  <c r="CT387" i="1"/>
  <c r="AD382" i="42"/>
  <c r="CT375" i="1"/>
  <c r="CT373" i="1"/>
  <c r="AD371" i="42"/>
  <c r="CT371" i="1"/>
  <c r="CT369" i="1"/>
  <c r="AD367" i="42"/>
  <c r="CT367" i="1"/>
  <c r="CT365" i="1"/>
  <c r="AD362" i="42"/>
  <c r="CT361" i="1"/>
  <c r="CT358" i="1"/>
  <c r="AD357" i="42"/>
  <c r="CT355" i="1"/>
  <c r="AD353" i="42"/>
  <c r="CT353" i="1"/>
  <c r="AD351" i="42"/>
  <c r="CT348" i="1"/>
  <c r="AD344" i="42"/>
  <c r="CT344" i="1"/>
  <c r="CT342" i="1"/>
  <c r="CT340" i="1"/>
  <c r="AD336" i="42"/>
  <c r="CT338" i="1"/>
  <c r="CT336" i="1"/>
  <c r="AD332" i="42"/>
  <c r="CT334" i="1"/>
  <c r="CT332" i="1"/>
  <c r="CT330" i="1"/>
  <c r="AD326" i="42"/>
  <c r="CT328" i="1"/>
  <c r="AD324" i="42"/>
  <c r="CT326" i="1"/>
  <c r="CT325" i="1"/>
  <c r="AD320" i="42"/>
  <c r="CT322" i="1"/>
  <c r="CT320" i="1"/>
  <c r="AD316" i="42"/>
  <c r="CT318" i="1"/>
  <c r="CT316" i="1"/>
  <c r="AD312" i="42"/>
  <c r="CT314" i="1"/>
  <c r="CT312" i="1"/>
  <c r="CT310" i="1"/>
  <c r="AD306" i="42"/>
  <c r="CT308" i="1"/>
  <c r="AD304" i="42"/>
  <c r="CT306" i="1"/>
  <c r="AD302" i="42"/>
  <c r="CT388" i="1"/>
  <c r="CT376" i="1"/>
  <c r="AD374" i="42"/>
  <c r="CT374" i="1"/>
  <c r="CT372" i="1"/>
  <c r="AD370" i="42"/>
  <c r="CT370" i="1"/>
  <c r="AD368" i="42"/>
  <c r="CT368" i="1"/>
  <c r="AD366" i="42"/>
  <c r="CT366" i="1"/>
  <c r="AD363" i="42"/>
  <c r="CT362" i="1"/>
  <c r="AD361" i="42"/>
  <c r="AD26" i="42"/>
  <c r="CT28" i="1"/>
  <c r="AD24" i="42"/>
  <c r="CT27" i="1"/>
  <c r="AD20" i="42"/>
  <c r="CT24" i="1"/>
  <c r="AD16" i="42"/>
  <c r="CT20" i="1"/>
  <c r="AD34" i="42"/>
  <c r="CT35" i="1"/>
  <c r="AD30" i="42"/>
  <c r="CT31" i="1"/>
  <c r="AD49" i="42"/>
  <c r="CT53" i="1"/>
  <c r="CT47" i="1"/>
  <c r="AD64" i="42"/>
  <c r="CT71" i="1"/>
  <c r="CT65" i="1"/>
  <c r="AD55" i="42"/>
  <c r="CT61" i="1"/>
  <c r="CT56" i="1"/>
  <c r="CT98" i="1"/>
  <c r="CT86" i="1"/>
  <c r="AD77" i="42"/>
  <c r="CT83" i="1"/>
  <c r="CT79" i="1"/>
  <c r="CT76" i="1"/>
  <c r="CT72" i="1"/>
  <c r="AD153" i="42"/>
  <c r="CT148" i="1"/>
  <c r="AD147" i="42"/>
  <c r="CT146" i="1"/>
  <c r="CT142" i="1"/>
  <c r="CT140" i="1"/>
  <c r="AD130" i="42"/>
  <c r="CT126" i="1"/>
  <c r="CT124" i="1"/>
  <c r="CT118" i="1"/>
  <c r="AD113" i="42"/>
  <c r="CT114" i="1"/>
  <c r="CT110" i="1"/>
  <c r="AD103" i="42"/>
  <c r="CT106" i="1"/>
  <c r="CT105" i="1"/>
  <c r="AD191" i="42"/>
  <c r="CT183" i="1"/>
  <c r="CT178" i="1"/>
  <c r="AD183" i="42"/>
  <c r="CT174" i="1"/>
  <c r="CT170" i="1"/>
  <c r="AD174" i="42"/>
  <c r="CT165" i="1"/>
  <c r="AD167" i="42"/>
  <c r="CT160" i="1"/>
  <c r="CT158" i="1"/>
  <c r="AD161" i="42"/>
  <c r="CT156" i="1"/>
  <c r="CT152" i="1"/>
  <c r="AD195" i="42"/>
  <c r="CT188" i="1"/>
  <c r="CT256" i="1"/>
  <c r="CT254" i="1"/>
  <c r="CT243" i="1"/>
  <c r="CT238" i="1"/>
  <c r="AD237" i="42"/>
  <c r="CT234" i="1"/>
  <c r="CT231" i="1"/>
  <c r="AD231" i="42"/>
  <c r="CT229" i="1"/>
  <c r="AD222" i="42"/>
  <c r="CT218" i="1"/>
  <c r="AD215" i="42"/>
  <c r="AD27" i="42"/>
  <c r="CT29" i="1"/>
  <c r="AD25" i="42"/>
  <c r="AD23" i="42"/>
  <c r="CT26" i="1"/>
  <c r="AD21" i="42"/>
  <c r="AD19" i="42"/>
  <c r="CT23" i="1"/>
  <c r="AD17" i="42"/>
  <c r="CT21" i="1"/>
  <c r="AD37" i="42"/>
  <c r="CT36" i="1"/>
  <c r="AD33" i="42"/>
  <c r="CT34" i="1"/>
  <c r="AD31" i="42"/>
  <c r="CT32" i="1"/>
  <c r="AD29" i="42"/>
  <c r="CT50" i="1"/>
  <c r="AD44" i="42"/>
  <c r="CT48" i="1"/>
  <c r="CT46" i="1"/>
  <c r="CT55" i="1"/>
  <c r="CT69" i="1"/>
  <c r="AD60" i="42"/>
  <c r="CT66" i="1"/>
  <c r="CT64" i="1"/>
  <c r="AD56" i="42"/>
  <c r="CT62" i="1"/>
  <c r="CT60" i="1"/>
  <c r="AD51" i="42"/>
  <c r="CT57" i="1"/>
  <c r="CT101" i="1"/>
  <c r="CT99" i="1"/>
  <c r="CT97" i="1"/>
  <c r="AD90" i="42"/>
  <c r="CT95" i="1"/>
  <c r="CT93" i="1"/>
  <c r="AD86" i="42"/>
  <c r="CT89" i="1"/>
  <c r="AD82" i="42"/>
  <c r="CT87" i="1"/>
  <c r="AD76" i="42"/>
  <c r="CT82" i="1"/>
  <c r="CT80" i="1"/>
  <c r="AD72" i="42"/>
  <c r="CT77" i="1"/>
  <c r="AD68" i="42"/>
  <c r="CT75" i="1"/>
  <c r="CT73" i="1"/>
  <c r="AD99" i="42"/>
  <c r="CT103" i="1"/>
  <c r="AD150" i="42"/>
  <c r="CT149" i="1"/>
  <c r="CT147" i="1"/>
  <c r="AD146" i="42"/>
  <c r="CT145" i="1"/>
  <c r="CT141" i="1"/>
  <c r="AD140" i="42"/>
  <c r="CT137" i="1"/>
  <c r="AD135" i="42"/>
  <c r="CT136" i="1"/>
  <c r="CT132" i="1"/>
  <c r="AD129" i="42"/>
  <c r="CT131" i="1"/>
  <c r="CT128" i="1"/>
  <c r="CT125" i="1"/>
  <c r="CT123" i="1"/>
  <c r="AD120" i="42"/>
  <c r="CT117" i="1"/>
  <c r="AD114" i="42"/>
  <c r="CT115" i="1"/>
  <c r="CT112" i="1"/>
  <c r="AD110" i="42"/>
  <c r="CT111" i="1"/>
  <c r="CT107" i="1"/>
  <c r="AD154" i="42"/>
  <c r="CT150" i="1"/>
  <c r="CT185" i="1"/>
  <c r="AD190" i="42"/>
  <c r="CT182" i="1"/>
  <c r="CT179" i="1"/>
  <c r="CT177" i="1"/>
  <c r="CT175" i="1"/>
  <c r="CT173" i="1"/>
  <c r="CT171" i="1"/>
  <c r="AD178" i="42"/>
  <c r="CT169" i="1"/>
  <c r="CT167" i="1"/>
  <c r="AD173" i="42"/>
  <c r="CT166" i="1"/>
  <c r="CT164" i="1"/>
  <c r="CT162" i="1"/>
  <c r="CT159" i="1"/>
  <c r="AD164" i="42"/>
  <c r="AD159" i="42"/>
  <c r="CT153" i="1"/>
  <c r="CT151" i="1"/>
  <c r="CT252" i="1"/>
  <c r="CT248" i="1"/>
  <c r="CT244" i="1"/>
  <c r="CT242" i="1"/>
  <c r="CT239" i="1"/>
  <c r="AD240" i="42"/>
  <c r="CT237" i="1"/>
  <c r="CT235" i="1"/>
  <c r="CT233" i="1"/>
  <c r="CT232" i="1"/>
  <c r="AD232" i="42"/>
  <c r="CT230" i="1"/>
  <c r="CT228" i="1"/>
  <c r="AD228" i="42"/>
  <c r="CT226" i="1"/>
  <c r="CT224" i="1"/>
  <c r="AD223" i="42"/>
  <c r="CT219" i="1"/>
  <c r="CT217" i="1"/>
  <c r="CT213" i="1"/>
  <c r="CT209" i="1"/>
  <c r="AD214" i="42"/>
  <c r="CT206" i="1"/>
  <c r="AD210" i="42"/>
  <c r="CT204" i="1"/>
  <c r="CT202" i="1"/>
  <c r="CT198" i="1"/>
  <c r="CT195" i="1"/>
  <c r="CT193" i="1"/>
  <c r="CT191" i="1"/>
  <c r="CT262" i="1"/>
  <c r="CT263" i="1"/>
  <c r="CT302" i="1"/>
  <c r="CT298" i="1"/>
  <c r="CT295" i="1"/>
  <c r="CT293" i="1"/>
  <c r="CT291" i="1"/>
  <c r="CT285" i="1"/>
  <c r="CT283" i="1"/>
  <c r="CT280" i="1"/>
  <c r="CT279" i="1"/>
  <c r="CT277" i="1"/>
  <c r="CT276" i="1"/>
  <c r="CT273" i="1"/>
  <c r="CT271" i="1"/>
  <c r="CT269" i="1"/>
  <c r="AD349" i="42"/>
  <c r="AD392" i="42"/>
  <c r="CT396" i="1"/>
  <c r="CT394" i="1"/>
  <c r="CT393" i="1"/>
  <c r="CT391" i="1"/>
  <c r="CT265" i="1"/>
  <c r="AD380" i="42"/>
  <c r="CT383" i="1"/>
  <c r="AD378" i="42"/>
  <c r="CT380" i="1"/>
  <c r="AD376" i="42"/>
  <c r="CT378" i="1"/>
  <c r="AD15" i="42"/>
  <c r="CT19" i="1"/>
  <c r="AD22" i="42"/>
  <c r="CT25" i="1"/>
  <c r="AD18" i="42"/>
  <c r="CT22" i="1"/>
  <c r="CT41" i="1"/>
  <c r="AD32" i="42"/>
  <c r="CT33" i="1"/>
  <c r="AD28" i="42"/>
  <c r="CT30" i="1"/>
  <c r="AD45" i="42"/>
  <c r="CT49" i="1"/>
  <c r="AD41" i="42"/>
  <c r="CT45" i="1"/>
  <c r="AD62" i="42"/>
  <c r="CT68" i="1"/>
  <c r="CT63" i="1"/>
  <c r="AD52" i="42"/>
  <c r="AD96" i="42"/>
  <c r="CT100" i="1"/>
  <c r="AD89" i="42"/>
  <c r="CT94" i="1"/>
  <c r="CT91" i="1"/>
  <c r="AD83" i="42"/>
  <c r="CT88" i="1"/>
  <c r="CT81" i="1"/>
  <c r="AD71" i="42"/>
  <c r="CT78" i="1"/>
  <c r="CT74" i="1"/>
  <c r="AD151" i="42"/>
  <c r="CT144" i="1"/>
  <c r="AD138" i="42"/>
  <c r="CT138" i="1"/>
  <c r="CT135" i="1"/>
  <c r="AD128" i="42"/>
  <c r="CT130" i="1"/>
  <c r="CT122" i="1"/>
  <c r="CT116" i="1"/>
  <c r="AD107" i="42"/>
  <c r="CT186" i="1"/>
  <c r="AD189" i="42"/>
  <c r="CT180" i="1"/>
  <c r="CT176" i="1"/>
  <c r="AD181" i="42"/>
  <c r="CT172" i="1"/>
  <c r="CT168" i="1"/>
  <c r="CT163" i="1"/>
  <c r="CT154" i="1"/>
  <c r="CT258" i="1"/>
  <c r="CT255" i="1"/>
  <c r="CT251" i="1"/>
  <c r="CT240" i="1"/>
  <c r="CT236" i="1"/>
  <c r="AD229" i="42"/>
  <c r="AD224" i="42"/>
  <c r="CT223" i="1"/>
  <c r="CT216" i="1"/>
  <c r="AD217" i="42"/>
  <c r="CT210" i="1"/>
  <c r="CT207" i="1"/>
  <c r="AD211" i="42"/>
  <c r="CT205" i="1"/>
  <c r="AD209" i="42"/>
  <c r="CT203" i="1"/>
  <c r="AD207" i="42"/>
  <c r="CT199" i="1"/>
  <c r="AD204" i="42"/>
  <c r="CT196" i="1"/>
  <c r="AD201" i="42"/>
  <c r="CT194" i="1"/>
  <c r="AD198" i="42"/>
  <c r="CT192" i="1"/>
  <c r="AD196" i="42"/>
  <c r="CT190" i="1"/>
  <c r="CT264" i="1"/>
  <c r="CT301" i="1"/>
  <c r="CT300" i="1"/>
  <c r="CT296" i="1"/>
  <c r="CT294" i="1"/>
  <c r="CT292" i="1"/>
  <c r="CT290" i="1"/>
  <c r="CT284" i="1"/>
  <c r="CT282" i="1"/>
  <c r="CT278" i="1"/>
  <c r="CT275" i="1"/>
  <c r="CT272" i="1"/>
  <c r="CT270" i="1"/>
  <c r="CT395" i="1"/>
  <c r="CT389" i="1"/>
  <c r="AD381" i="42"/>
  <c r="CT385" i="1"/>
  <c r="AD379" i="42"/>
  <c r="CT382" i="1"/>
  <c r="AD377" i="42"/>
  <c r="CT379" i="1"/>
  <c r="AD375" i="42"/>
  <c r="AD47" i="42"/>
  <c r="AD43" i="42"/>
  <c r="AD59" i="42"/>
  <c r="AD53" i="42"/>
  <c r="AD57" i="42"/>
  <c r="AD50" i="42"/>
  <c r="AD95" i="42"/>
  <c r="AD93" i="42"/>
  <c r="AD85" i="42"/>
  <c r="AD87" i="42"/>
  <c r="AD81" i="42"/>
  <c r="AD75" i="42"/>
  <c r="AD149" i="42"/>
  <c r="AD132" i="42"/>
  <c r="AD144" i="42"/>
  <c r="AD126" i="42"/>
  <c r="AD142" i="42"/>
  <c r="AD118" i="42"/>
  <c r="AD131" i="42"/>
  <c r="AD124" i="42"/>
  <c r="AD122" i="42"/>
  <c r="AD116" i="42"/>
  <c r="AD104" i="42"/>
  <c r="AD112" i="42"/>
  <c r="AD108" i="42"/>
  <c r="AD106" i="42"/>
  <c r="AD102" i="42"/>
  <c r="AD100" i="42"/>
  <c r="AD194" i="42"/>
  <c r="AD168" i="42"/>
  <c r="AD184" i="42"/>
  <c r="AD180" i="42"/>
  <c r="AD160" i="42"/>
  <c r="AD169" i="42"/>
  <c r="AD166" i="42"/>
  <c r="AD162" i="42"/>
  <c r="AD157" i="42"/>
  <c r="AD155" i="42"/>
  <c r="AD238" i="42"/>
  <c r="AD236" i="42"/>
  <c r="AD234" i="42"/>
  <c r="AD230" i="42"/>
  <c r="AD206" i="42"/>
  <c r="AD227" i="42"/>
  <c r="AD225" i="42"/>
  <c r="AD200" i="42"/>
  <c r="AD221" i="42"/>
  <c r="AD219" i="42"/>
  <c r="AD192" i="42"/>
  <c r="AD188" i="42"/>
  <c r="AD186" i="42"/>
  <c r="AD298" i="42"/>
  <c r="AD364" i="42"/>
  <c r="AD345" i="42"/>
  <c r="AD322" i="42"/>
  <c r="AD318" i="42"/>
  <c r="AD314" i="42"/>
  <c r="AD310" i="42"/>
  <c r="AD372" i="42"/>
  <c r="AD46" i="42"/>
  <c r="AD42" i="42"/>
  <c r="AD48" i="42"/>
  <c r="AD58" i="42"/>
  <c r="AD54" i="42"/>
  <c r="AD94" i="42"/>
  <c r="AD92" i="42"/>
  <c r="AD88" i="42"/>
  <c r="AD80" i="42"/>
  <c r="AD84" i="42"/>
  <c r="AD73" i="42"/>
  <c r="AD78" i="42"/>
  <c r="AD69" i="42"/>
  <c r="AD74" i="42"/>
  <c r="AD67" i="42"/>
  <c r="AD65" i="42"/>
  <c r="AD70" i="42"/>
  <c r="AD63" i="42"/>
  <c r="AD61" i="42"/>
  <c r="AD66" i="42"/>
  <c r="AD91" i="42"/>
  <c r="AD98" i="42"/>
  <c r="AD137" i="42"/>
  <c r="AD152" i="42"/>
  <c r="AD133" i="42"/>
  <c r="AD148" i="42"/>
  <c r="AD127" i="42"/>
  <c r="AD141" i="42"/>
  <c r="AD136" i="42"/>
  <c r="AD134" i="42"/>
  <c r="AD117" i="42"/>
  <c r="AD125" i="42"/>
  <c r="AD123" i="42"/>
  <c r="AD121" i="42"/>
  <c r="AD119" i="42"/>
  <c r="AD105" i="42"/>
  <c r="AD115" i="42"/>
  <c r="AD111" i="42"/>
  <c r="AD109" i="42"/>
  <c r="AD97" i="42"/>
  <c r="AD101" i="42"/>
  <c r="AD139" i="42"/>
  <c r="AD175" i="42"/>
  <c r="AD193" i="42"/>
  <c r="AD171" i="42"/>
  <c r="AD187" i="42"/>
  <c r="AD185" i="42"/>
  <c r="AD179" i="42"/>
  <c r="AD176" i="42"/>
  <c r="AD172" i="42"/>
  <c r="AD170" i="42"/>
  <c r="AD165" i="42"/>
  <c r="AD163" i="42"/>
  <c r="AD145" i="42"/>
  <c r="AD143" i="42"/>
  <c r="AD158" i="42"/>
  <c r="AD156" i="42"/>
  <c r="AD177" i="42"/>
  <c r="AD239" i="42"/>
  <c r="AD213" i="42"/>
  <c r="AD235" i="42"/>
  <c r="AD233" i="42"/>
  <c r="AD226" i="42"/>
  <c r="AD203" i="42"/>
  <c r="AD220" i="42"/>
  <c r="AD218" i="42"/>
  <c r="AD216" i="42"/>
  <c r="AD212" i="42"/>
  <c r="AD208" i="42"/>
  <c r="AD205" i="42"/>
  <c r="AD182" i="42"/>
  <c r="AD202" i="42"/>
  <c r="AD199" i="42"/>
  <c r="AD197" i="42"/>
  <c r="AD301" i="42"/>
  <c r="AD356" i="42"/>
  <c r="AD352" i="42"/>
  <c r="AD358" i="42"/>
  <c r="AD348" i="42"/>
  <c r="AD355" i="42"/>
  <c r="AD346" i="42"/>
  <c r="AD342" i="42"/>
  <c r="AD340" i="42"/>
  <c r="AD338" i="42"/>
  <c r="AD334" i="42"/>
  <c r="AD330" i="42"/>
  <c r="AD327" i="42"/>
  <c r="AD323" i="42"/>
  <c r="AD319" i="42"/>
  <c r="AD315" i="42"/>
  <c r="AD311" i="42"/>
  <c r="AD309" i="42"/>
  <c r="AD307" i="42"/>
  <c r="AD303" i="42"/>
  <c r="AD373" i="42"/>
  <c r="AD369" i="42"/>
  <c r="AD365" i="42"/>
  <c r="AD360" i="42"/>
  <c r="AD13" i="42"/>
  <c r="AD40" i="42"/>
  <c r="AZ42" i="1"/>
  <c r="AZ303" i="1"/>
  <c r="AZ397" i="1"/>
  <c r="AD38" i="42" l="1"/>
  <c r="L38" i="42"/>
  <c r="CI18" i="1"/>
  <c r="BF18" i="1"/>
  <c r="BD18" i="1"/>
  <c r="AW18" i="1"/>
  <c r="AQ18" i="1"/>
  <c r="AO18" i="1"/>
  <c r="AC18" i="1"/>
  <c r="R31" i="57" s="1"/>
  <c r="T18" i="1"/>
  <c r="Q18" i="1"/>
  <c r="V34" i="52" l="1"/>
  <c r="T34" i="52"/>
  <c r="P34" i="52"/>
  <c r="CP18" i="1"/>
  <c r="AT18" i="1"/>
  <c r="CH18" i="1" s="1"/>
  <c r="V18" i="1"/>
  <c r="W18" i="1" s="1"/>
  <c r="O31" i="57" l="1"/>
  <c r="X34" i="52"/>
  <c r="CI31" i="1"/>
  <c r="BD31" i="1"/>
  <c r="AW31" i="1"/>
  <c r="AQ31" i="1"/>
  <c r="AO31" i="1"/>
  <c r="AC31" i="1"/>
  <c r="R44" i="57" s="1"/>
  <c r="T31" i="1"/>
  <c r="Q31" i="1"/>
  <c r="H448" i="20"/>
  <c r="CI232" i="1"/>
  <c r="BD232" i="1"/>
  <c r="AQ232" i="1"/>
  <c r="AO232" i="1"/>
  <c r="AC232" i="1"/>
  <c r="T232" i="1"/>
  <c r="P264" i="52" l="1"/>
  <c r="V264" i="52"/>
  <c r="V49" i="52"/>
  <c r="T264" i="52"/>
  <c r="T49" i="52"/>
  <c r="P49" i="52"/>
  <c r="CP31" i="1"/>
  <c r="AT31" i="1"/>
  <c r="CH31" i="1" s="1"/>
  <c r="V31" i="1"/>
  <c r="W31" i="1" s="1"/>
  <c r="AT232" i="1"/>
  <c r="CH232" i="1" s="1"/>
  <c r="V232" i="1"/>
  <c r="BE42" i="1"/>
  <c r="BE400" i="1" s="1"/>
  <c r="O44" i="57" l="1"/>
  <c r="X264" i="52"/>
  <c r="X49" i="52"/>
  <c r="W232" i="1"/>
  <c r="CI302" i="1"/>
  <c r="CI301" i="1"/>
  <c r="BF302" i="1"/>
  <c r="BD302" i="1"/>
  <c r="BD301" i="1"/>
  <c r="AQ302" i="1"/>
  <c r="AQ301" i="1"/>
  <c r="AO302" i="1"/>
  <c r="AO301" i="1"/>
  <c r="AC302" i="1"/>
  <c r="AC301" i="1"/>
  <c r="T302" i="1"/>
  <c r="T301" i="1"/>
  <c r="CI230" i="1"/>
  <c r="BD230" i="1"/>
  <c r="AQ230" i="1"/>
  <c r="AO230" i="1"/>
  <c r="AC230" i="1"/>
  <c r="T230" i="1"/>
  <c r="P262" i="52" l="1"/>
  <c r="P333" i="52"/>
  <c r="P334" i="52"/>
  <c r="V262" i="52"/>
  <c r="T333" i="52"/>
  <c r="V333" i="52"/>
  <c r="T262" i="52"/>
  <c r="T334" i="52"/>
  <c r="V334" i="52"/>
  <c r="V302" i="1"/>
  <c r="W302" i="1" s="1"/>
  <c r="V301" i="1"/>
  <c r="CP302" i="1"/>
  <c r="V230" i="1"/>
  <c r="AT301" i="1"/>
  <c r="CH301" i="1" s="1"/>
  <c r="AT302" i="1"/>
  <c r="CH302" i="1" s="1"/>
  <c r="AT230" i="1"/>
  <c r="CH230" i="1" s="1"/>
  <c r="H313" i="20"/>
  <c r="X262" i="52" l="1"/>
  <c r="X334" i="52"/>
  <c r="X333" i="52"/>
  <c r="W230" i="1"/>
  <c r="W301" i="1"/>
  <c r="BH397" i="1"/>
  <c r="H73" i="20" l="1"/>
  <c r="BH42" i="1" l="1"/>
  <c r="H288" i="20" l="1"/>
  <c r="BF163" i="1" l="1"/>
  <c r="H40" i="20" l="1"/>
  <c r="H35" i="20"/>
  <c r="H34" i="20"/>
  <c r="J101" i="52" l="1"/>
  <c r="J303" i="1"/>
  <c r="H379" i="20"/>
  <c r="H32" i="20"/>
  <c r="J335" i="52" l="1"/>
  <c r="K335" i="52" s="1"/>
  <c r="J352" i="52"/>
  <c r="K352" i="52" s="1"/>
  <c r="H18" i="20"/>
  <c r="D58" i="20" l="1"/>
  <c r="D12" i="20"/>
  <c r="CI293" i="1" l="1"/>
  <c r="BF293" i="1"/>
  <c r="BD293" i="1"/>
  <c r="AQ293" i="1"/>
  <c r="AO293" i="1"/>
  <c r="AC293" i="1"/>
  <c r="T293" i="1"/>
  <c r="Q293" i="1"/>
  <c r="P326" i="52" l="1"/>
  <c r="V326" i="52"/>
  <c r="T326" i="52"/>
  <c r="V293" i="1"/>
  <c r="W293" i="1" s="1"/>
  <c r="CP293" i="1"/>
  <c r="AT293" i="1"/>
  <c r="CH293" i="1" s="1"/>
  <c r="Q298" i="1"/>
  <c r="T298" i="1"/>
  <c r="AC298" i="1"/>
  <c r="AO298" i="1"/>
  <c r="AQ298" i="1"/>
  <c r="BD298" i="1"/>
  <c r="BF298" i="1"/>
  <c r="CI298" i="1"/>
  <c r="P330" i="52" l="1"/>
  <c r="X326" i="52"/>
  <c r="V330" i="52"/>
  <c r="T330" i="52"/>
  <c r="CP298" i="1"/>
  <c r="V298" i="1"/>
  <c r="W298" i="1" s="1"/>
  <c r="AT298" i="1"/>
  <c r="CH298" i="1" s="1"/>
  <c r="X330" i="52" l="1"/>
  <c r="Q292" i="1"/>
  <c r="CI292" i="1"/>
  <c r="BF292" i="1"/>
  <c r="BD292" i="1"/>
  <c r="AQ292" i="1"/>
  <c r="AO292" i="1"/>
  <c r="AC292" i="1"/>
  <c r="T292" i="1"/>
  <c r="P325" i="52" l="1"/>
  <c r="V325" i="52"/>
  <c r="T325" i="52"/>
  <c r="CP292" i="1"/>
  <c r="AT292" i="1"/>
  <c r="CH292" i="1" s="1"/>
  <c r="V292" i="1"/>
  <c r="W292" i="1" s="1"/>
  <c r="X325" i="52" l="1"/>
  <c r="CI396" i="1"/>
  <c r="CI395" i="1"/>
  <c r="CI394" i="1"/>
  <c r="CI393" i="1"/>
  <c r="CI392" i="1"/>
  <c r="CI391" i="1"/>
  <c r="CI389" i="1"/>
  <c r="CI388" i="1"/>
  <c r="CI387" i="1"/>
  <c r="CI265" i="1"/>
  <c r="CI385" i="1"/>
  <c r="CI383" i="1"/>
  <c r="CI382" i="1"/>
  <c r="CI380" i="1"/>
  <c r="CI379" i="1"/>
  <c r="CI378" i="1"/>
  <c r="CI376" i="1"/>
  <c r="CI375" i="1"/>
  <c r="CI374" i="1"/>
  <c r="CI373" i="1"/>
  <c r="CI372" i="1"/>
  <c r="CI371" i="1"/>
  <c r="CI370" i="1"/>
  <c r="CI369" i="1"/>
  <c r="CI368" i="1"/>
  <c r="CI367" i="1"/>
  <c r="CI366" i="1"/>
  <c r="CI365" i="1"/>
  <c r="CI362" i="1"/>
  <c r="CI361" i="1"/>
  <c r="CI360" i="1"/>
  <c r="CI359" i="1"/>
  <c r="CI358" i="1"/>
  <c r="CI357" i="1"/>
  <c r="CI356" i="1"/>
  <c r="CI355" i="1"/>
  <c r="CI354" i="1"/>
  <c r="CI353" i="1"/>
  <c r="CI352" i="1"/>
  <c r="CI350" i="1"/>
  <c r="CI349" i="1"/>
  <c r="CI348" i="1"/>
  <c r="CI347" i="1"/>
  <c r="CI345" i="1"/>
  <c r="CI344" i="1"/>
  <c r="CI343" i="1"/>
  <c r="CI342" i="1"/>
  <c r="CI341" i="1"/>
  <c r="CI340" i="1"/>
  <c r="CI339" i="1"/>
  <c r="CI338" i="1"/>
  <c r="CI337" i="1"/>
  <c r="CI336" i="1"/>
  <c r="CI335" i="1"/>
  <c r="CI334" i="1"/>
  <c r="CI333" i="1"/>
  <c r="CI332" i="1"/>
  <c r="CI331" i="1"/>
  <c r="CI330" i="1"/>
  <c r="CI329" i="1"/>
  <c r="CI328" i="1"/>
  <c r="CI327" i="1"/>
  <c r="CI326" i="1"/>
  <c r="CI325" i="1"/>
  <c r="CI323" i="1"/>
  <c r="CI322" i="1"/>
  <c r="CI321" i="1"/>
  <c r="CI320" i="1"/>
  <c r="CI319" i="1"/>
  <c r="CI318" i="1"/>
  <c r="CI317" i="1"/>
  <c r="CI316" i="1"/>
  <c r="CI315" i="1"/>
  <c r="CI314" i="1"/>
  <c r="CI313" i="1"/>
  <c r="CI312" i="1"/>
  <c r="CI311" i="1"/>
  <c r="CI310" i="1"/>
  <c r="CI309" i="1"/>
  <c r="CI308" i="1"/>
  <c r="CI307" i="1"/>
  <c r="CI306" i="1"/>
  <c r="CI305" i="1"/>
  <c r="CI300" i="1"/>
  <c r="CI296" i="1"/>
  <c r="CI295" i="1"/>
  <c r="CI294" i="1"/>
  <c r="CI291" i="1"/>
  <c r="CI290" i="1"/>
  <c r="CI285" i="1"/>
  <c r="CI284" i="1"/>
  <c r="CI283" i="1"/>
  <c r="CI282" i="1"/>
  <c r="CI280" i="1"/>
  <c r="CI279" i="1"/>
  <c r="CI278" i="1"/>
  <c r="CI277" i="1"/>
  <c r="CI276" i="1"/>
  <c r="CI275" i="1"/>
  <c r="CI273" i="1"/>
  <c r="CI272" i="1"/>
  <c r="CI271" i="1"/>
  <c r="CI270" i="1"/>
  <c r="CI269" i="1"/>
  <c r="CI268" i="1"/>
  <c r="CI264" i="1"/>
  <c r="CI263" i="1"/>
  <c r="CI262" i="1"/>
  <c r="CI261" i="1"/>
  <c r="CI258" i="1"/>
  <c r="CI256" i="1"/>
  <c r="CI255" i="1"/>
  <c r="CI254" i="1"/>
  <c r="CI252" i="1"/>
  <c r="CI251" i="1"/>
  <c r="CI248" i="1"/>
  <c r="CI244" i="1"/>
  <c r="CI243" i="1"/>
  <c r="CI242" i="1"/>
  <c r="CI240" i="1"/>
  <c r="CI239" i="1"/>
  <c r="CI238" i="1"/>
  <c r="CI237" i="1"/>
  <c r="CI236" i="1"/>
  <c r="CI235" i="1"/>
  <c r="CI234" i="1"/>
  <c r="CI233" i="1"/>
  <c r="CI231" i="1"/>
  <c r="CI229" i="1"/>
  <c r="CI228" i="1"/>
  <c r="CI226" i="1"/>
  <c r="CI224" i="1"/>
  <c r="CI223" i="1"/>
  <c r="CI219" i="1"/>
  <c r="CI218" i="1"/>
  <c r="CI217" i="1"/>
  <c r="CI216" i="1"/>
  <c r="CI213" i="1"/>
  <c r="CI210" i="1"/>
  <c r="CI209" i="1"/>
  <c r="CI207" i="1"/>
  <c r="CI206" i="1"/>
  <c r="CI205" i="1"/>
  <c r="CI204" i="1"/>
  <c r="CI203" i="1"/>
  <c r="CI202" i="1"/>
  <c r="CI199" i="1"/>
  <c r="CI198" i="1"/>
  <c r="CI196" i="1"/>
  <c r="CI195" i="1"/>
  <c r="CI194" i="1"/>
  <c r="CI193" i="1"/>
  <c r="CI192" i="1"/>
  <c r="CI191" i="1"/>
  <c r="CI190" i="1"/>
  <c r="CI188" i="1"/>
  <c r="CI187" i="1"/>
  <c r="CI186" i="1"/>
  <c r="CI185" i="1"/>
  <c r="CI183" i="1"/>
  <c r="CI182" i="1"/>
  <c r="CI180" i="1"/>
  <c r="CI179" i="1"/>
  <c r="CI178" i="1"/>
  <c r="CI177" i="1"/>
  <c r="CI176" i="1"/>
  <c r="CI175" i="1"/>
  <c r="CI174" i="1"/>
  <c r="CI173" i="1"/>
  <c r="CI172" i="1"/>
  <c r="CI171" i="1"/>
  <c r="CI170" i="1"/>
  <c r="CI169" i="1"/>
  <c r="CI168" i="1"/>
  <c r="CI167" i="1"/>
  <c r="CI166" i="1"/>
  <c r="CI165" i="1"/>
  <c r="CI164" i="1"/>
  <c r="CI160" i="1"/>
  <c r="CI162" i="1"/>
  <c r="CI159" i="1"/>
  <c r="CI158" i="1"/>
  <c r="CI156" i="1"/>
  <c r="CI154" i="1"/>
  <c r="CI153" i="1"/>
  <c r="CI152" i="1"/>
  <c r="CI151" i="1"/>
  <c r="CI150" i="1"/>
  <c r="CI149" i="1"/>
  <c r="CI148" i="1"/>
  <c r="CI147" i="1"/>
  <c r="CI146" i="1"/>
  <c r="CI145" i="1"/>
  <c r="CI144" i="1"/>
  <c r="CI142" i="1"/>
  <c r="CI141" i="1"/>
  <c r="CI140" i="1"/>
  <c r="CI138" i="1"/>
  <c r="CI137" i="1"/>
  <c r="CI136" i="1"/>
  <c r="CI135" i="1"/>
  <c r="CI132" i="1"/>
  <c r="CI131" i="1"/>
  <c r="CI130" i="1"/>
  <c r="CI128" i="1"/>
  <c r="CI126" i="1"/>
  <c r="CI125" i="1"/>
  <c r="CI124" i="1"/>
  <c r="CI123" i="1"/>
  <c r="CI122" i="1"/>
  <c r="CI118" i="1"/>
  <c r="CI117" i="1"/>
  <c r="CI116" i="1"/>
  <c r="CI115" i="1"/>
  <c r="CI114" i="1"/>
  <c r="CI112" i="1"/>
  <c r="CI111" i="1"/>
  <c r="CI110" i="1"/>
  <c r="CI107" i="1"/>
  <c r="CI106" i="1"/>
  <c r="CI105" i="1"/>
  <c r="CI103" i="1"/>
  <c r="CI101" i="1"/>
  <c r="CI100" i="1"/>
  <c r="CI99" i="1"/>
  <c r="CI98" i="1"/>
  <c r="CI97" i="1"/>
  <c r="CI95" i="1"/>
  <c r="CI94" i="1"/>
  <c r="CI93" i="1"/>
  <c r="CI91" i="1"/>
  <c r="CI89" i="1"/>
  <c r="CI88" i="1"/>
  <c r="CI87" i="1"/>
  <c r="CI86" i="1"/>
  <c r="CI83" i="1"/>
  <c r="CI82" i="1"/>
  <c r="CI81" i="1"/>
  <c r="CI80" i="1"/>
  <c r="CI79" i="1"/>
  <c r="CI78" i="1"/>
  <c r="CI77" i="1"/>
  <c r="CI76" i="1"/>
  <c r="CI75" i="1"/>
  <c r="CI74" i="1"/>
  <c r="CI73" i="1"/>
  <c r="CI72" i="1"/>
  <c r="CI71" i="1"/>
  <c r="CI69" i="1"/>
  <c r="CI68" i="1"/>
  <c r="CI66" i="1"/>
  <c r="CI65" i="1"/>
  <c r="CI64" i="1"/>
  <c r="CI63" i="1"/>
  <c r="CI62" i="1"/>
  <c r="CI61" i="1"/>
  <c r="CI60" i="1"/>
  <c r="CI57" i="1"/>
  <c r="CI56" i="1"/>
  <c r="CI55" i="1"/>
  <c r="CI54" i="1"/>
  <c r="CI53" i="1"/>
  <c r="CI50" i="1"/>
  <c r="CI49" i="1"/>
  <c r="CI48" i="1"/>
  <c r="CI47" i="1"/>
  <c r="CI46" i="1"/>
  <c r="CI45" i="1"/>
  <c r="CI44" i="1"/>
  <c r="CI41" i="1"/>
  <c r="CI36" i="1"/>
  <c r="CI35" i="1"/>
  <c r="CI34" i="1"/>
  <c r="CI33" i="1"/>
  <c r="CI32" i="1"/>
  <c r="CI30" i="1"/>
  <c r="CI29" i="1"/>
  <c r="CI28" i="1"/>
  <c r="CI27" i="1"/>
  <c r="CI163" i="1"/>
  <c r="CI26" i="1"/>
  <c r="CI25" i="1"/>
  <c r="CI24" i="1"/>
  <c r="CI23" i="1"/>
  <c r="CI22" i="1"/>
  <c r="CI21" i="1"/>
  <c r="CI20" i="1"/>
  <c r="CI19" i="1"/>
  <c r="CI17" i="1"/>
  <c r="J14" i="1"/>
  <c r="J15" i="1" l="1"/>
  <c r="J400" i="1" s="1"/>
  <c r="J14" i="57"/>
  <c r="K14" i="57" s="1"/>
  <c r="J14" i="52"/>
  <c r="CI397" i="1"/>
  <c r="CI303" i="1"/>
  <c r="BD206" i="1" l="1"/>
  <c r="AQ206" i="1"/>
  <c r="AO206" i="1"/>
  <c r="AC206" i="1"/>
  <c r="T206" i="1"/>
  <c r="Q206" i="1"/>
  <c r="P234" i="52" l="1"/>
  <c r="V234" i="52"/>
  <c r="T234" i="52"/>
  <c r="V206" i="1"/>
  <c r="W206" i="1" s="1"/>
  <c r="AT206" i="1"/>
  <c r="CH206" i="1" s="1"/>
  <c r="X234" i="52" l="1"/>
  <c r="H519" i="20"/>
  <c r="D577" i="20" l="1"/>
  <c r="D580" i="20" s="1"/>
  <c r="CP206" i="1" l="1"/>
  <c r="BF206" i="1"/>
  <c r="T57" i="52" l="1"/>
  <c r="V57" i="52"/>
  <c r="P57" i="52"/>
  <c r="X57" i="52" l="1"/>
  <c r="BD162" i="1"/>
  <c r="BD391" i="1" l="1"/>
  <c r="AQ391" i="1"/>
  <c r="AO391" i="1"/>
  <c r="AC391" i="1"/>
  <c r="R425" i="57" s="1"/>
  <c r="T391" i="1"/>
  <c r="V437" i="52" l="1"/>
  <c r="T437" i="52"/>
  <c r="P437" i="52"/>
  <c r="CP391" i="1"/>
  <c r="V391" i="1"/>
  <c r="W391" i="1" s="1"/>
  <c r="AT391" i="1"/>
  <c r="CH391" i="1" s="1"/>
  <c r="O425" i="57" l="1"/>
  <c r="X437" i="52"/>
  <c r="BF391" i="1"/>
  <c r="BD55" i="1" l="1"/>
  <c r="BF193" i="1" l="1"/>
  <c r="BD193" i="1"/>
  <c r="AQ193" i="1"/>
  <c r="AO193" i="1"/>
  <c r="AC193" i="1"/>
  <c r="T193" i="1"/>
  <c r="P221" i="52" l="1"/>
  <c r="V221" i="52"/>
  <c r="T221" i="52"/>
  <c r="AT193" i="1"/>
  <c r="CH193" i="1" s="1"/>
  <c r="V193" i="1"/>
  <c r="W193" i="1" s="1"/>
  <c r="CP193" i="1"/>
  <c r="X221" i="52" l="1"/>
  <c r="H223" i="20"/>
  <c r="H572" i="20"/>
  <c r="H514" i="20"/>
  <c r="H531" i="20"/>
  <c r="H567" i="20"/>
  <c r="H483" i="20"/>
  <c r="H486" i="20"/>
  <c r="H479" i="20"/>
  <c r="H564" i="20"/>
  <c r="H543" i="20"/>
  <c r="H518" i="20"/>
  <c r="H499" i="20"/>
  <c r="H497" i="20"/>
  <c r="H527" i="20"/>
  <c r="H525" i="20"/>
  <c r="H490" i="20"/>
  <c r="H503" i="20"/>
  <c r="H470" i="20"/>
  <c r="H493" i="20"/>
  <c r="H477" i="20"/>
  <c r="H540" i="20"/>
  <c r="H474" i="20"/>
  <c r="H510" i="20"/>
  <c r="H507" i="20"/>
  <c r="H522" i="20"/>
  <c r="H465" i="20"/>
  <c r="H556" i="20"/>
  <c r="H554" i="20"/>
  <c r="H552" i="20"/>
  <c r="H549" i="20"/>
  <c r="H538" i="20"/>
  <c r="H561" i="20"/>
  <c r="H515" i="20"/>
  <c r="H513" i="20"/>
  <c r="H530" i="20"/>
  <c r="H568" i="20"/>
  <c r="H566" i="20"/>
  <c r="H472" i="20"/>
  <c r="H485" i="20"/>
  <c r="H463" i="20"/>
  <c r="H563" i="20"/>
  <c r="H542" i="20"/>
  <c r="H517" i="20"/>
  <c r="H498" i="20"/>
  <c r="H528" i="20"/>
  <c r="H526" i="20"/>
  <c r="H524" i="20"/>
  <c r="H504" i="20"/>
  <c r="H467" i="20"/>
  <c r="H469" i="20"/>
  <c r="H492" i="20"/>
  <c r="H476" i="20"/>
  <c r="H481" i="20"/>
  <c r="H511" i="20"/>
  <c r="H508" i="20"/>
  <c r="H506" i="20"/>
  <c r="H521" i="20"/>
  <c r="H495" i="20"/>
  <c r="H555" i="20"/>
  <c r="H553" i="20"/>
  <c r="H550" i="20"/>
  <c r="H488" i="20"/>
  <c r="H537" i="20"/>
  <c r="H536" i="20"/>
  <c r="H71" i="20"/>
  <c r="H38" i="20"/>
  <c r="H83" i="20"/>
  <c r="H90" i="20"/>
  <c r="H115" i="20"/>
  <c r="H126" i="20"/>
  <c r="H132" i="20"/>
  <c r="H142" i="20"/>
  <c r="H152" i="20"/>
  <c r="H163" i="20"/>
  <c r="H175" i="20"/>
  <c r="H181" i="20"/>
  <c r="H186" i="20"/>
  <c r="H189" i="20"/>
  <c r="H47" i="20"/>
  <c r="H197" i="20"/>
  <c r="H217" i="20"/>
  <c r="H15" i="20"/>
  <c r="H23" i="20"/>
  <c r="H436" i="20"/>
  <c r="H423" i="20"/>
  <c r="H407" i="20"/>
  <c r="H395" i="20"/>
  <c r="H385" i="20"/>
  <c r="H370" i="20"/>
  <c r="H354" i="20"/>
  <c r="H344" i="20"/>
  <c r="H331" i="20"/>
  <c r="H306" i="20"/>
  <c r="H274" i="20"/>
  <c r="H259" i="20"/>
  <c r="H246" i="20"/>
  <c r="H228" i="20"/>
  <c r="H67" i="20"/>
  <c r="H77" i="20"/>
  <c r="H79" i="20"/>
  <c r="H86" i="20"/>
  <c r="H96" i="20"/>
  <c r="H100" i="20"/>
  <c r="H110" i="20"/>
  <c r="H118" i="20"/>
  <c r="H129" i="20"/>
  <c r="H139" i="20"/>
  <c r="H145" i="20"/>
  <c r="H149" i="20"/>
  <c r="H156" i="20"/>
  <c r="H169" i="20"/>
  <c r="H178" i="20"/>
  <c r="H184" i="20"/>
  <c r="H45" i="20"/>
  <c r="H193" i="20"/>
  <c r="H202" i="20"/>
  <c r="H209" i="20"/>
  <c r="H172" i="20"/>
  <c r="H42" i="20"/>
  <c r="H429" i="20"/>
  <c r="H416" i="20"/>
  <c r="H360" i="20"/>
  <c r="H339" i="20"/>
  <c r="H312" i="20"/>
  <c r="H299" i="20"/>
  <c r="H285" i="20"/>
  <c r="H265" i="20"/>
  <c r="H254" i="20"/>
  <c r="H236" i="20"/>
  <c r="H219" i="20"/>
  <c r="H222" i="20"/>
  <c r="H225" i="20"/>
  <c r="H227" i="20"/>
  <c r="H232" i="20"/>
  <c r="H238" i="20"/>
  <c r="H241" i="20"/>
  <c r="H250" i="20"/>
  <c r="H252" i="20"/>
  <c r="H255" i="20"/>
  <c r="H258" i="20"/>
  <c r="H261" i="20"/>
  <c r="H263" i="20"/>
  <c r="H266" i="20"/>
  <c r="H272" i="20"/>
  <c r="H275" i="20"/>
  <c r="H283" i="20"/>
  <c r="H286" i="20"/>
  <c r="H292" i="20"/>
  <c r="H294" i="20"/>
  <c r="H307" i="20"/>
  <c r="H310" i="20"/>
  <c r="H315" i="20"/>
  <c r="H328" i="20"/>
  <c r="H332" i="20"/>
  <c r="H338" i="20"/>
  <c r="H342" i="20"/>
  <c r="H345" i="20"/>
  <c r="H348" i="20"/>
  <c r="H350" i="20"/>
  <c r="H352" i="20"/>
  <c r="H355" i="20"/>
  <c r="H359" i="20"/>
  <c r="H362" i="20"/>
  <c r="H368" i="20"/>
  <c r="H371" i="20"/>
  <c r="H384" i="20"/>
  <c r="H390" i="20"/>
  <c r="H396" i="20"/>
  <c r="H400" i="20"/>
  <c r="H403" i="20"/>
  <c r="H412" i="20"/>
  <c r="H414" i="20"/>
  <c r="H417" i="20"/>
  <c r="H422" i="20"/>
  <c r="H424" i="20"/>
  <c r="H427" i="20"/>
  <c r="H430" i="20"/>
  <c r="H434" i="20"/>
  <c r="H55" i="20"/>
  <c r="H43" i="20"/>
  <c r="H22" i="20"/>
  <c r="H171" i="20"/>
  <c r="H25" i="20"/>
  <c r="H27" i="20"/>
  <c r="H20" i="20"/>
  <c r="H113" i="20"/>
  <c r="H216" i="20"/>
  <c r="H212" i="20"/>
  <c r="H211" i="20"/>
  <c r="H208" i="20"/>
  <c r="H206" i="20"/>
  <c r="H75" i="20"/>
  <c r="H201" i="20"/>
  <c r="H198" i="20"/>
  <c r="H196" i="20"/>
  <c r="H66" i="20"/>
  <c r="H69" i="20"/>
  <c r="H37" i="20"/>
  <c r="H81" i="20"/>
  <c r="H84" i="20"/>
  <c r="H88" i="20"/>
  <c r="H94" i="20"/>
  <c r="H97" i="20"/>
  <c r="H99" i="20"/>
  <c r="H102" i="20"/>
  <c r="H105" i="20"/>
  <c r="H111" i="20"/>
  <c r="H116" i="20"/>
  <c r="H119" i="20"/>
  <c r="H125" i="20"/>
  <c r="H128" i="20"/>
  <c r="H131" i="20"/>
  <c r="H137" i="20"/>
  <c r="H141" i="20"/>
  <c r="H144" i="20"/>
  <c r="H147" i="20"/>
  <c r="H150" i="20"/>
  <c r="H154" i="20"/>
  <c r="H157" i="20"/>
  <c r="H164" i="20"/>
  <c r="H168" i="20"/>
  <c r="H174" i="20"/>
  <c r="H176" i="20"/>
  <c r="H179" i="20"/>
  <c r="H182" i="20"/>
  <c r="H185" i="20"/>
  <c r="H188" i="20"/>
  <c r="H191" i="20"/>
  <c r="H46" i="20"/>
  <c r="H48" i="20"/>
  <c r="H194" i="20"/>
  <c r="H200" i="20"/>
  <c r="H205" i="20"/>
  <c r="H213" i="20"/>
  <c r="H215" i="20"/>
  <c r="H26" i="20"/>
  <c r="H29" i="20"/>
  <c r="H446" i="20"/>
  <c r="H432" i="20"/>
  <c r="H426" i="20"/>
  <c r="H421" i="20"/>
  <c r="H410" i="20"/>
  <c r="H401" i="20"/>
  <c r="H393" i="20"/>
  <c r="H378" i="20"/>
  <c r="H373" i="20"/>
  <c r="H367" i="20"/>
  <c r="H357" i="20"/>
  <c r="H351" i="20"/>
  <c r="H347" i="20"/>
  <c r="H341" i="20"/>
  <c r="H335" i="20"/>
  <c r="H327" i="20"/>
  <c r="H324" i="20"/>
  <c r="H308" i="20"/>
  <c r="H293" i="20"/>
  <c r="H282" i="20"/>
  <c r="H271" i="20"/>
  <c r="H262" i="20"/>
  <c r="H256" i="20"/>
  <c r="H251" i="20"/>
  <c r="H240" i="20"/>
  <c r="H226" i="20"/>
  <c r="H220" i="20"/>
  <c r="B306" i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45" i="1"/>
  <c r="B324" i="1" l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46" i="1"/>
  <c r="B47" i="1" s="1"/>
  <c r="B48" i="1" s="1"/>
  <c r="B49" i="1" s="1"/>
  <c r="B50" i="1" s="1"/>
  <c r="B346" i="1" l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D163" i="1"/>
  <c r="AQ163" i="1"/>
  <c r="AO163" i="1"/>
  <c r="AC163" i="1"/>
  <c r="T163" i="1"/>
  <c r="Q163" i="1"/>
  <c r="P190" i="52" l="1"/>
  <c r="B364" i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V190" i="52"/>
  <c r="T190" i="52"/>
  <c r="CP163" i="1"/>
  <c r="V163" i="1"/>
  <c r="W163" i="1" s="1"/>
  <c r="AT163" i="1"/>
  <c r="CH163" i="1" s="1"/>
  <c r="B384" i="1" l="1"/>
  <c r="B385" i="1" s="1"/>
  <c r="B386" i="1" s="1"/>
  <c r="X190" i="52"/>
  <c r="BF22" i="1"/>
  <c r="BD22" i="1"/>
  <c r="AW22" i="1"/>
  <c r="AQ22" i="1"/>
  <c r="AO22" i="1"/>
  <c r="AC22" i="1"/>
  <c r="R35" i="57" s="1"/>
  <c r="T22" i="1"/>
  <c r="Q22" i="1"/>
  <c r="BD254" i="1"/>
  <c r="AQ254" i="1"/>
  <c r="AO254" i="1"/>
  <c r="AC254" i="1"/>
  <c r="T254" i="1"/>
  <c r="Q254" i="1"/>
  <c r="P287" i="52" l="1"/>
  <c r="V38" i="52"/>
  <c r="T287" i="52"/>
  <c r="V287" i="52"/>
  <c r="T38" i="52"/>
  <c r="P38" i="52"/>
  <c r="CP22" i="1"/>
  <c r="AT22" i="1"/>
  <c r="CH22" i="1" s="1"/>
  <c r="V22" i="1"/>
  <c r="W22" i="1" s="1"/>
  <c r="AT254" i="1"/>
  <c r="CH254" i="1" s="1"/>
  <c r="V254" i="1"/>
  <c r="O35" i="57" l="1"/>
  <c r="X287" i="52"/>
  <c r="X38" i="52"/>
  <c r="W254" i="1"/>
  <c r="CO42" i="1"/>
  <c r="CI42" i="1"/>
  <c r="BG42" i="1"/>
  <c r="CI14" i="1"/>
  <c r="T268" i="1" l="1"/>
  <c r="P300" i="52" l="1"/>
  <c r="Q278" i="1"/>
  <c r="BD278" i="1"/>
  <c r="AQ278" i="1"/>
  <c r="AO278" i="1"/>
  <c r="AC278" i="1"/>
  <c r="T278" i="1"/>
  <c r="P311" i="52" l="1"/>
  <c r="V311" i="52"/>
  <c r="T311" i="52"/>
  <c r="AT278" i="1"/>
  <c r="CH278" i="1" s="1"/>
  <c r="V278" i="1"/>
  <c r="X311" i="52" l="1"/>
  <c r="W278" i="1"/>
  <c r="BF36" i="1"/>
  <c r="BD36" i="1"/>
  <c r="AW36" i="1"/>
  <c r="AQ36" i="1"/>
  <c r="AO36" i="1"/>
  <c r="AC36" i="1"/>
  <c r="R49" i="57" s="1"/>
  <c r="T36" i="1"/>
  <c r="Q36" i="1"/>
  <c r="T54" i="52" l="1"/>
  <c r="V54" i="52"/>
  <c r="P54" i="52"/>
  <c r="CP36" i="1"/>
  <c r="AT36" i="1"/>
  <c r="CH36" i="1" s="1"/>
  <c r="V36" i="1"/>
  <c r="W36" i="1" s="1"/>
  <c r="O49" i="57" l="1"/>
  <c r="X54" i="52"/>
  <c r="BD365" i="1"/>
  <c r="AQ365" i="1"/>
  <c r="AO365" i="1"/>
  <c r="AC365" i="1"/>
  <c r="R399" i="57" s="1"/>
  <c r="T365" i="1"/>
  <c r="CA42" i="1"/>
  <c r="BU42" i="1"/>
  <c r="BP42" i="1"/>
  <c r="BO42" i="1"/>
  <c r="BC42" i="1"/>
  <c r="AS42" i="1"/>
  <c r="AR42" i="1"/>
  <c r="AP42" i="1"/>
  <c r="AN42" i="1"/>
  <c r="Z42" i="1"/>
  <c r="U42" i="1"/>
  <c r="V440" i="52"/>
  <c r="T440" i="52"/>
  <c r="E58" i="20" l="1"/>
  <c r="E45" i="55"/>
  <c r="V413" i="52"/>
  <c r="T413" i="52"/>
  <c r="P440" i="52"/>
  <c r="P413" i="52"/>
  <c r="CP365" i="1"/>
  <c r="V365" i="1"/>
  <c r="W365" i="1" s="1"/>
  <c r="AT365" i="1"/>
  <c r="CH365" i="1" s="1"/>
  <c r="BD373" i="1"/>
  <c r="AQ373" i="1"/>
  <c r="AO373" i="1"/>
  <c r="AC373" i="1"/>
  <c r="R407" i="57" s="1"/>
  <c r="T373" i="1"/>
  <c r="O399" i="57" l="1"/>
  <c r="V421" i="52"/>
  <c r="T421" i="52"/>
  <c r="X440" i="52"/>
  <c r="X413" i="52"/>
  <c r="P421" i="52"/>
  <c r="CP373" i="1"/>
  <c r="V373" i="1"/>
  <c r="W373" i="1" s="1"/>
  <c r="AT373" i="1"/>
  <c r="CH373" i="1" s="1"/>
  <c r="O407" i="57" l="1"/>
  <c r="X421" i="52"/>
  <c r="BF307" i="1"/>
  <c r="BF311" i="1"/>
  <c r="BF312" i="1"/>
  <c r="BF313" i="1"/>
  <c r="BF314" i="1"/>
  <c r="BF315" i="1"/>
  <c r="BF316" i="1"/>
  <c r="BF319" i="1"/>
  <c r="BF320" i="1"/>
  <c r="BF321" i="1"/>
  <c r="BF322" i="1"/>
  <c r="BF328" i="1"/>
  <c r="BF329" i="1"/>
  <c r="BF332" i="1"/>
  <c r="BF334" i="1"/>
  <c r="BF337" i="1"/>
  <c r="BF338" i="1"/>
  <c r="BF339" i="1"/>
  <c r="BF342" i="1"/>
  <c r="BF349" i="1"/>
  <c r="BF350" i="1"/>
  <c r="BF352" i="1"/>
  <c r="BF355" i="1"/>
  <c r="BF356" i="1"/>
  <c r="BF358" i="1"/>
  <c r="BF359" i="1"/>
  <c r="BF361" i="1"/>
  <c r="BF368" i="1"/>
  <c r="BF372" i="1"/>
  <c r="BF379" i="1"/>
  <c r="BF382" i="1"/>
  <c r="BF265" i="1"/>
  <c r="BF387" i="1"/>
  <c r="BF394" i="1"/>
  <c r="BF89" i="1"/>
  <c r="BF91" i="1"/>
  <c r="BF93" i="1"/>
  <c r="BF98" i="1"/>
  <c r="BF100" i="1"/>
  <c r="BF103" i="1"/>
  <c r="BF105" i="1"/>
  <c r="BF106" i="1"/>
  <c r="BF107" i="1"/>
  <c r="BF110" i="1"/>
  <c r="BF112" i="1"/>
  <c r="BF114" i="1"/>
  <c r="BF115" i="1"/>
  <c r="BF116" i="1"/>
  <c r="BF117" i="1"/>
  <c r="BF118" i="1"/>
  <c r="BF122" i="1"/>
  <c r="BF123" i="1"/>
  <c r="BF124" i="1"/>
  <c r="BF125" i="1"/>
  <c r="BF128" i="1"/>
  <c r="BF130" i="1"/>
  <c r="BF131" i="1"/>
  <c r="BF136" i="1"/>
  <c r="BF138" i="1"/>
  <c r="BF140" i="1"/>
  <c r="BF141" i="1"/>
  <c r="BF142" i="1"/>
  <c r="BF144" i="1"/>
  <c r="BF145" i="1"/>
  <c r="BF146" i="1"/>
  <c r="BF147" i="1"/>
  <c r="BF148" i="1"/>
  <c r="BF149" i="1"/>
  <c r="BF151" i="1"/>
  <c r="BF153" i="1"/>
  <c r="BF158" i="1"/>
  <c r="BF159" i="1"/>
  <c r="BF160" i="1"/>
  <c r="BF165" i="1"/>
  <c r="BF168" i="1"/>
  <c r="BF169" i="1"/>
  <c r="BF170" i="1"/>
  <c r="BF171" i="1"/>
  <c r="BF174" i="1"/>
  <c r="BF178" i="1"/>
  <c r="BF182" i="1"/>
  <c r="BF183" i="1"/>
  <c r="BF186" i="1"/>
  <c r="BF187" i="1"/>
  <c r="BF192" i="1"/>
  <c r="BF198" i="1"/>
  <c r="BF199" i="1"/>
  <c r="BF202" i="1"/>
  <c r="BF205" i="1"/>
  <c r="BF207" i="1"/>
  <c r="BF209" i="1"/>
  <c r="BF213" i="1"/>
  <c r="BF217" i="1"/>
  <c r="BF218" i="1"/>
  <c r="BF223" i="1"/>
  <c r="BF224" i="1"/>
  <c r="BF226" i="1"/>
  <c r="BF228" i="1"/>
  <c r="BF229" i="1"/>
  <c r="BF233" i="1"/>
  <c r="BF234" i="1"/>
  <c r="BF235" i="1"/>
  <c r="BF236" i="1"/>
  <c r="BF237" i="1"/>
  <c r="BF242" i="1"/>
  <c r="BF252" i="1"/>
  <c r="BF255" i="1"/>
  <c r="BF256" i="1"/>
  <c r="BF261" i="1"/>
  <c r="BF262" i="1"/>
  <c r="BF263" i="1"/>
  <c r="BF264" i="1"/>
  <c r="BF268" i="1"/>
  <c r="BF272" i="1"/>
  <c r="BF275" i="1"/>
  <c r="BF277" i="1"/>
  <c r="BF279" i="1"/>
  <c r="BF280" i="1"/>
  <c r="BF283" i="1"/>
  <c r="BF285" i="1"/>
  <c r="BF290" i="1"/>
  <c r="BF291" i="1"/>
  <c r="BF294" i="1"/>
  <c r="BF295" i="1"/>
  <c r="BF300" i="1"/>
  <c r="BF82" i="1"/>
  <c r="BF83" i="1"/>
  <c r="BF86" i="1"/>
  <c r="BF87" i="1"/>
  <c r="BF74" i="1"/>
  <c r="BF75" i="1"/>
  <c r="BF77" i="1"/>
  <c r="BF78" i="1"/>
  <c r="BF60" i="1"/>
  <c r="BF61" i="1"/>
  <c r="BF62" i="1"/>
  <c r="BF63" i="1"/>
  <c r="BF64" i="1"/>
  <c r="BF65" i="1"/>
  <c r="BF66" i="1"/>
  <c r="BF68" i="1"/>
  <c r="BF69" i="1"/>
  <c r="BF71" i="1"/>
  <c r="BF72" i="1"/>
  <c r="BF45" i="1"/>
  <c r="BF46" i="1"/>
  <c r="BF47" i="1"/>
  <c r="BF48" i="1"/>
  <c r="BF49" i="1"/>
  <c r="BF54" i="1"/>
  <c r="BF56" i="1"/>
  <c r="BF57" i="1"/>
  <c r="BF44" i="1"/>
  <c r="BF14" i="1" l="1"/>
  <c r="BF17" i="1"/>
  <c r="BF19" i="1"/>
  <c r="BF20" i="1"/>
  <c r="BF21" i="1"/>
  <c r="BF23" i="1"/>
  <c r="BF24" i="1"/>
  <c r="BF25" i="1"/>
  <c r="BF26" i="1"/>
  <c r="BF27" i="1"/>
  <c r="BF28" i="1"/>
  <c r="BF29" i="1"/>
  <c r="BF30" i="1"/>
  <c r="BF32" i="1"/>
  <c r="BF33" i="1"/>
  <c r="BF34" i="1"/>
  <c r="BF35" i="1"/>
  <c r="BF41" i="1"/>
  <c r="BF13" i="1"/>
  <c r="CI13" i="1"/>
  <c r="CI15" i="1" s="1"/>
  <c r="CO397" i="1"/>
  <c r="CT305" i="1"/>
  <c r="CO303" i="1"/>
  <c r="CT44" i="1"/>
  <c r="CT14" i="1"/>
  <c r="CT17" i="1"/>
  <c r="CT42" i="1" s="1"/>
  <c r="CT13" i="1"/>
  <c r="CT15" i="1" l="1"/>
  <c r="BF15" i="1"/>
  <c r="CO400" i="1"/>
  <c r="CT397" i="1"/>
  <c r="CT303" i="1"/>
  <c r="CI400" i="1" l="1"/>
  <c r="CT400" i="1"/>
  <c r="AC14" i="1"/>
  <c r="AC13" i="1"/>
  <c r="R13" i="57" s="1"/>
  <c r="AB14" i="1"/>
  <c r="S14" i="52" s="1"/>
  <c r="AB13" i="1"/>
  <c r="R16" i="19"/>
  <c r="O16" i="19"/>
  <c r="M16" i="19"/>
  <c r="K16" i="19"/>
  <c r="I16" i="19"/>
  <c r="G16" i="19"/>
  <c r="E16" i="19"/>
  <c r="R15" i="19"/>
  <c r="O15" i="19"/>
  <c r="M15" i="19"/>
  <c r="K15" i="19"/>
  <c r="I15" i="19"/>
  <c r="G15" i="19"/>
  <c r="E14" i="19"/>
  <c r="R12" i="19"/>
  <c r="O12" i="19"/>
  <c r="M12" i="19"/>
  <c r="K12" i="19"/>
  <c r="I12" i="19"/>
  <c r="G12" i="19"/>
  <c r="E11" i="19"/>
  <c r="R9" i="19"/>
  <c r="O9" i="19"/>
  <c r="M9" i="19"/>
  <c r="K9" i="19"/>
  <c r="I9" i="19"/>
  <c r="G8" i="19"/>
  <c r="E7" i="19"/>
  <c r="T14" i="52" l="1"/>
  <c r="R14" i="57"/>
  <c r="R15" i="57" s="1"/>
  <c r="S13" i="52"/>
  <c r="S15" i="52" s="1"/>
  <c r="T13" i="52"/>
  <c r="AH14" i="1"/>
  <c r="Q14" i="57" s="1"/>
  <c r="AC15" i="1"/>
  <c r="AH13" i="1"/>
  <c r="Q13" i="57" s="1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8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1" i="18"/>
  <c r="I310" i="18"/>
  <c r="I309" i="18"/>
  <c r="I306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73" i="18"/>
  <c r="I272" i="18"/>
  <c r="I271" i="18"/>
  <c r="I270" i="18"/>
  <c r="I269" i="18"/>
  <c r="I268" i="18"/>
  <c r="I267" i="18"/>
  <c r="I266" i="18"/>
  <c r="I265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2" i="18"/>
  <c r="I221" i="18"/>
  <c r="I220" i="18"/>
  <c r="I219" i="18"/>
  <c r="I218" i="18"/>
  <c r="I217" i="18"/>
  <c r="I216" i="18"/>
  <c r="I215" i="18"/>
  <c r="I214" i="18"/>
  <c r="I213" i="18"/>
  <c r="I212" i="18"/>
  <c r="I211" i="18"/>
  <c r="I210" i="18"/>
  <c r="I209" i="18"/>
  <c r="I208" i="18"/>
  <c r="I207" i="18"/>
  <c r="I206" i="18"/>
  <c r="I205" i="18"/>
  <c r="I204" i="18"/>
  <c r="I203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64" i="18"/>
  <c r="I163" i="18"/>
  <c r="I162" i="18"/>
  <c r="I161" i="18"/>
  <c r="I160" i="18"/>
  <c r="I159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6" i="18"/>
  <c r="I145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8" i="18"/>
  <c r="I127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10" i="18"/>
  <c r="I109" i="18"/>
  <c r="I108" i="18"/>
  <c r="I107" i="18"/>
  <c r="I106" i="18"/>
  <c r="I105" i="18"/>
  <c r="I104" i="18"/>
  <c r="I103" i="18"/>
  <c r="I102" i="18"/>
  <c r="I101" i="18"/>
  <c r="I100" i="18"/>
  <c r="I99" i="18"/>
  <c r="I98" i="18"/>
  <c r="I97" i="18"/>
  <c r="I96" i="18"/>
  <c r="I95" i="18"/>
  <c r="I94" i="18"/>
  <c r="I93" i="18"/>
  <c r="I92" i="18"/>
  <c r="I91" i="18"/>
  <c r="I90" i="18"/>
  <c r="I89" i="18"/>
  <c r="I88" i="18"/>
  <c r="I87" i="18"/>
  <c r="I86" i="18"/>
  <c r="I85" i="18"/>
  <c r="I84" i="18"/>
  <c r="I83" i="18"/>
  <c r="I82" i="18"/>
  <c r="I81" i="18"/>
  <c r="I80" i="18"/>
  <c r="I79" i="18"/>
  <c r="I78" i="18"/>
  <c r="I77" i="18"/>
  <c r="I76" i="18"/>
  <c r="I75" i="18"/>
  <c r="I74" i="18"/>
  <c r="I73" i="18"/>
  <c r="I72" i="18"/>
  <c r="I71" i="18"/>
  <c r="I70" i="18"/>
  <c r="I69" i="18"/>
  <c r="I68" i="18"/>
  <c r="I67" i="18"/>
  <c r="I66" i="18"/>
  <c r="I65" i="18"/>
  <c r="I64" i="18"/>
  <c r="I63" i="18"/>
  <c r="I62" i="18"/>
  <c r="I61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I6" i="18"/>
  <c r="I5" i="18"/>
  <c r="I4" i="18"/>
  <c r="G400" i="18"/>
  <c r="G399" i="18"/>
  <c r="G398" i="18"/>
  <c r="G397" i="18"/>
  <c r="G396" i="18"/>
  <c r="G395" i="18"/>
  <c r="G394" i="18"/>
  <c r="G393" i="18"/>
  <c r="G392" i="18"/>
  <c r="G391" i="18"/>
  <c r="G390" i="18"/>
  <c r="G389" i="18"/>
  <c r="G388" i="18"/>
  <c r="G387" i="18"/>
  <c r="G386" i="18"/>
  <c r="G385" i="18"/>
  <c r="G384" i="18"/>
  <c r="G383" i="18"/>
  <c r="G382" i="18"/>
  <c r="G381" i="18"/>
  <c r="G380" i="18"/>
  <c r="G379" i="18"/>
  <c r="G378" i="18"/>
  <c r="G377" i="18"/>
  <c r="G376" i="18"/>
  <c r="G375" i="18"/>
  <c r="G374" i="18"/>
  <c r="G373" i="18"/>
  <c r="G372" i="18"/>
  <c r="G371" i="18"/>
  <c r="G370" i="18"/>
  <c r="G369" i="18"/>
  <c r="G368" i="18"/>
  <c r="G367" i="18"/>
  <c r="G366" i="18"/>
  <c r="G365" i="18"/>
  <c r="G364" i="18"/>
  <c r="G363" i="18"/>
  <c r="G362" i="18"/>
  <c r="G361" i="18"/>
  <c r="G360" i="18"/>
  <c r="G359" i="18"/>
  <c r="G358" i="18"/>
  <c r="G357" i="18"/>
  <c r="G356" i="18"/>
  <c r="G355" i="18"/>
  <c r="G354" i="18"/>
  <c r="G353" i="18"/>
  <c r="G352" i="18"/>
  <c r="G351" i="18"/>
  <c r="G350" i="18"/>
  <c r="G349" i="18"/>
  <c r="G348" i="18"/>
  <c r="G347" i="18"/>
  <c r="G346" i="18"/>
  <c r="G345" i="18"/>
  <c r="G344" i="18"/>
  <c r="G343" i="18"/>
  <c r="G342" i="18"/>
  <c r="G341" i="18"/>
  <c r="G340" i="18"/>
  <c r="G339" i="18"/>
  <c r="G338" i="18"/>
  <c r="G337" i="18"/>
  <c r="G336" i="18"/>
  <c r="G335" i="18"/>
  <c r="G334" i="18"/>
  <c r="G333" i="18"/>
  <c r="G332" i="18"/>
  <c r="G331" i="18"/>
  <c r="G330" i="18"/>
  <c r="G329" i="18"/>
  <c r="G328" i="18"/>
  <c r="G327" i="18"/>
  <c r="G326" i="18"/>
  <c r="G325" i="18"/>
  <c r="G324" i="18"/>
  <c r="G323" i="18"/>
  <c r="G322" i="18"/>
  <c r="G321" i="18"/>
  <c r="G320" i="18"/>
  <c r="G319" i="18"/>
  <c r="G318" i="18"/>
  <c r="G317" i="18"/>
  <c r="G316" i="18"/>
  <c r="G315" i="18"/>
  <c r="G314" i="18"/>
  <c r="G313" i="18"/>
  <c r="G312" i="18"/>
  <c r="G311" i="18"/>
  <c r="G310" i="18"/>
  <c r="G309" i="18"/>
  <c r="G306" i="18"/>
  <c r="G305" i="18"/>
  <c r="G304" i="18"/>
  <c r="G303" i="18"/>
  <c r="G302" i="18"/>
  <c r="G301" i="18"/>
  <c r="G300" i="18"/>
  <c r="G299" i="18"/>
  <c r="G298" i="18"/>
  <c r="G297" i="18"/>
  <c r="G296" i="18"/>
  <c r="G295" i="18"/>
  <c r="G294" i="18"/>
  <c r="G293" i="18"/>
  <c r="G292" i="18"/>
  <c r="G291" i="18"/>
  <c r="G290" i="18"/>
  <c r="G289" i="18"/>
  <c r="G288" i="18"/>
  <c r="G287" i="18"/>
  <c r="G286" i="18"/>
  <c r="G285" i="18"/>
  <c r="G284" i="18"/>
  <c r="G283" i="18"/>
  <c r="G282" i="18"/>
  <c r="G281" i="18"/>
  <c r="G280" i="18"/>
  <c r="G279" i="18"/>
  <c r="G278" i="18"/>
  <c r="G277" i="18"/>
  <c r="G276" i="18"/>
  <c r="G275" i="18"/>
  <c r="G274" i="18"/>
  <c r="G273" i="18"/>
  <c r="G272" i="18"/>
  <c r="G271" i="18"/>
  <c r="G270" i="18"/>
  <c r="G269" i="18"/>
  <c r="G268" i="18"/>
  <c r="G267" i="18"/>
  <c r="G266" i="18"/>
  <c r="G265" i="18"/>
  <c r="G264" i="18"/>
  <c r="G263" i="18"/>
  <c r="G262" i="18"/>
  <c r="G261" i="18"/>
  <c r="G260" i="18"/>
  <c r="G259" i="18"/>
  <c r="G258" i="18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T15" i="52" l="1"/>
  <c r="Q15" i="57"/>
  <c r="AI14" i="1"/>
  <c r="AI13" i="1"/>
  <c r="R13" i="58" s="1"/>
  <c r="A476" i="1"/>
  <c r="BD270" i="1"/>
  <c r="AQ270" i="1"/>
  <c r="AO270" i="1"/>
  <c r="AC270" i="1"/>
  <c r="T270" i="1"/>
  <c r="Q270" i="1"/>
  <c r="B422" i="1"/>
  <c r="B423" i="1" s="1"/>
  <c r="R15" i="58" l="1"/>
  <c r="P302" i="52"/>
  <c r="T302" i="52"/>
  <c r="V302" i="52"/>
  <c r="B424" i="1"/>
  <c r="B425" i="1" s="1"/>
  <c r="B426" i="1" s="1"/>
  <c r="B427" i="1" s="1"/>
  <c r="B428" i="1" s="1"/>
  <c r="AT270" i="1"/>
  <c r="CH270" i="1" s="1"/>
  <c r="V270" i="1"/>
  <c r="B429" i="1" l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X302" i="52"/>
  <c r="W270" i="1"/>
  <c r="AQ290" i="1" l="1"/>
  <c r="V323" i="52" l="1"/>
  <c r="Q46" i="1"/>
  <c r="Q77" i="1"/>
  <c r="Q82" i="1"/>
  <c r="Q87" i="1"/>
  <c r="Q100" i="1"/>
  <c r="BO397" i="1" l="1"/>
  <c r="BO303" i="1" l="1"/>
  <c r="BO400" i="1" l="1"/>
  <c r="BD396" i="1"/>
  <c r="AQ396" i="1"/>
  <c r="AO396" i="1"/>
  <c r="AC396" i="1"/>
  <c r="R430" i="57" s="1"/>
  <c r="T396" i="1"/>
  <c r="BD395" i="1"/>
  <c r="AQ395" i="1"/>
  <c r="AO395" i="1"/>
  <c r="AC395" i="1"/>
  <c r="R429" i="57" s="1"/>
  <c r="T395" i="1"/>
  <c r="T443" i="52" l="1"/>
  <c r="T442" i="52"/>
  <c r="V442" i="52"/>
  <c r="V443" i="52"/>
  <c r="P442" i="52"/>
  <c r="P443" i="52"/>
  <c r="CP395" i="1"/>
  <c r="CP396" i="1"/>
  <c r="V395" i="1"/>
  <c r="W395" i="1" s="1"/>
  <c r="AT396" i="1"/>
  <c r="CH396" i="1" s="1"/>
  <c r="AT395" i="1"/>
  <c r="CH395" i="1" s="1"/>
  <c r="V396" i="1"/>
  <c r="W396" i="1" s="1"/>
  <c r="AC309" i="1"/>
  <c r="R343" i="57" s="1"/>
  <c r="O429" i="57" l="1"/>
  <c r="O430" i="57"/>
  <c r="T356" i="52"/>
  <c r="X443" i="52"/>
  <c r="X442" i="52"/>
  <c r="U303" i="1"/>
  <c r="X303" i="1"/>
  <c r="Y303" i="1"/>
  <c r="AN303" i="1"/>
  <c r="AP303" i="1"/>
  <c r="AR303" i="1"/>
  <c r="AS303" i="1"/>
  <c r="BC303" i="1"/>
  <c r="BG303" i="1"/>
  <c r="BU303" i="1"/>
  <c r="CA303" i="1"/>
  <c r="H9" i="1"/>
  <c r="CP330" i="1"/>
  <c r="B339" i="58" l="1"/>
  <c r="B32" i="58"/>
  <c r="C9" i="58"/>
  <c r="B67" i="58"/>
  <c r="B12" i="58"/>
  <c r="B338" i="57"/>
  <c r="B64" i="57"/>
  <c r="B12" i="57"/>
  <c r="B29" i="57"/>
  <c r="C9" i="57"/>
  <c r="B39" i="42"/>
  <c r="C9" i="42"/>
  <c r="B300" i="42"/>
  <c r="B12" i="42"/>
  <c r="A16" i="44"/>
  <c r="AD308" i="42"/>
  <c r="AD393" i="42" s="1"/>
  <c r="AD396" i="42" s="1"/>
  <c r="A9" i="36"/>
  <c r="A9" i="40"/>
  <c r="A9" i="37"/>
  <c r="A9" i="41"/>
  <c r="A306" i="44"/>
  <c r="A44" i="44"/>
  <c r="B9" i="44"/>
  <c r="A12" i="44"/>
  <c r="CP394" i="1"/>
  <c r="CP392" i="1"/>
  <c r="CP385" i="1"/>
  <c r="CP372" i="1"/>
  <c r="CP368" i="1"/>
  <c r="CP361" i="1"/>
  <c r="CP357" i="1"/>
  <c r="CP348" i="1"/>
  <c r="CP344" i="1"/>
  <c r="CP338" i="1"/>
  <c r="CP334" i="1"/>
  <c r="CP305" i="1"/>
  <c r="CP393" i="1"/>
  <c r="CP389" i="1"/>
  <c r="CP265" i="1"/>
  <c r="CP382" i="1"/>
  <c r="CP378" i="1"/>
  <c r="CP376" i="1"/>
  <c r="CP374" i="1"/>
  <c r="CP371" i="1"/>
  <c r="CP369" i="1"/>
  <c r="CP367" i="1"/>
  <c r="CP362" i="1"/>
  <c r="CP360" i="1"/>
  <c r="CP358" i="1"/>
  <c r="CP355" i="1"/>
  <c r="CP347" i="1"/>
  <c r="CP345" i="1"/>
  <c r="CP343" i="1"/>
  <c r="CP339" i="1"/>
  <c r="CP337" i="1"/>
  <c r="CP335" i="1"/>
  <c r="CP333" i="1"/>
  <c r="CP328" i="1"/>
  <c r="CP326" i="1"/>
  <c r="CP323" i="1"/>
  <c r="CP321" i="1"/>
  <c r="CP319" i="1"/>
  <c r="CP317" i="1"/>
  <c r="CP315" i="1"/>
  <c r="CP313" i="1"/>
  <c r="CP311" i="1"/>
  <c r="CP308" i="1"/>
  <c r="CP306" i="1"/>
  <c r="CP388" i="1"/>
  <c r="CP375" i="1"/>
  <c r="CP370" i="1"/>
  <c r="CP366" i="1"/>
  <c r="CP359" i="1"/>
  <c r="CP356" i="1"/>
  <c r="CP340" i="1"/>
  <c r="CP336" i="1"/>
  <c r="CP331" i="1"/>
  <c r="CP329" i="1"/>
  <c r="CP327" i="1"/>
  <c r="CP322" i="1"/>
  <c r="CP320" i="1"/>
  <c r="CP318" i="1"/>
  <c r="CP316" i="1"/>
  <c r="CP314" i="1"/>
  <c r="CP312" i="1"/>
  <c r="CP309" i="1"/>
  <c r="CP307" i="1"/>
  <c r="CP118" i="1"/>
  <c r="AW44" i="1"/>
  <c r="X68" i="58" s="1"/>
  <c r="L396" i="42" l="1"/>
  <c r="CP300" i="1"/>
  <c r="CP290" i="1"/>
  <c r="CP295" i="1"/>
  <c r="CP291" i="1"/>
  <c r="CP285" i="1"/>
  <c r="CP280" i="1"/>
  <c r="CP277" i="1"/>
  <c r="CP264" i="1"/>
  <c r="CP262" i="1"/>
  <c r="CP256" i="1"/>
  <c r="CP255" i="1"/>
  <c r="CP251" i="1"/>
  <c r="CP243" i="1"/>
  <c r="CP237" i="1"/>
  <c r="CP235" i="1"/>
  <c r="CP233" i="1"/>
  <c r="CP228" i="1"/>
  <c r="CP226" i="1"/>
  <c r="CP224" i="1"/>
  <c r="CP218" i="1"/>
  <c r="CP213" i="1"/>
  <c r="CP205" i="1"/>
  <c r="CP202" i="1"/>
  <c r="CP198" i="1"/>
  <c r="CP187" i="1"/>
  <c r="CP183" i="1"/>
  <c r="CP178" i="1"/>
  <c r="CP171" i="1"/>
  <c r="CP169" i="1"/>
  <c r="CP165" i="1"/>
  <c r="CP153" i="1"/>
  <c r="CP151" i="1"/>
  <c r="CP149" i="1"/>
  <c r="CP147" i="1"/>
  <c r="CP145" i="1"/>
  <c r="CP142" i="1"/>
  <c r="CP140" i="1"/>
  <c r="CP135" i="1"/>
  <c r="CP130" i="1"/>
  <c r="CP125" i="1"/>
  <c r="CP123" i="1"/>
  <c r="CP116" i="1"/>
  <c r="CP114" i="1"/>
  <c r="CP111" i="1"/>
  <c r="CP106" i="1"/>
  <c r="CP103" i="1"/>
  <c r="CP101" i="1"/>
  <c r="CP98" i="1"/>
  <c r="CP91" i="1"/>
  <c r="CP87" i="1"/>
  <c r="CP83" i="1"/>
  <c r="CP77" i="1"/>
  <c r="CP75" i="1"/>
  <c r="CP72" i="1"/>
  <c r="CP69" i="1"/>
  <c r="CP66" i="1"/>
  <c r="CP64" i="1"/>
  <c r="CP62" i="1"/>
  <c r="CP60" i="1"/>
  <c r="CP56" i="1"/>
  <c r="CP50" i="1"/>
  <c r="CP48" i="1"/>
  <c r="CP46" i="1"/>
  <c r="CP44" i="1"/>
  <c r="CP294" i="1"/>
  <c r="CP283" i="1"/>
  <c r="CP279" i="1"/>
  <c r="CP275" i="1"/>
  <c r="CP268" i="1"/>
  <c r="CP263" i="1"/>
  <c r="CP261" i="1"/>
  <c r="CP252" i="1"/>
  <c r="CP242" i="1"/>
  <c r="CP236" i="1"/>
  <c r="CP234" i="1"/>
  <c r="CP229" i="1"/>
  <c r="CP223" i="1"/>
  <c r="CP217" i="1"/>
  <c r="CP209" i="1"/>
  <c r="CP207" i="1"/>
  <c r="CP203" i="1"/>
  <c r="CP199" i="1"/>
  <c r="CP192" i="1"/>
  <c r="CP186" i="1"/>
  <c r="CP182" i="1"/>
  <c r="CP176" i="1"/>
  <c r="CP174" i="1"/>
  <c r="CP170" i="1"/>
  <c r="CP168" i="1"/>
  <c r="CP159" i="1"/>
  <c r="CP158" i="1"/>
  <c r="CP152" i="1"/>
  <c r="CP148" i="1"/>
  <c r="CP146" i="1"/>
  <c r="CP144" i="1"/>
  <c r="CP141" i="1"/>
  <c r="CP138" i="1"/>
  <c r="CP136" i="1"/>
  <c r="CP131" i="1"/>
  <c r="CP128" i="1"/>
  <c r="CP124" i="1"/>
  <c r="CP122" i="1"/>
  <c r="CP117" i="1"/>
  <c r="CP115" i="1"/>
  <c r="CP112" i="1"/>
  <c r="CP110" i="1"/>
  <c r="CP107" i="1"/>
  <c r="CP105" i="1"/>
  <c r="CP100" i="1"/>
  <c r="CP93" i="1"/>
  <c r="CP89" i="1"/>
  <c r="CP86" i="1"/>
  <c r="CP82" i="1"/>
  <c r="CP78" i="1"/>
  <c r="CP74" i="1"/>
  <c r="CP71" i="1"/>
  <c r="CP68" i="1"/>
  <c r="CP65" i="1"/>
  <c r="CP63" i="1"/>
  <c r="CP61" i="1"/>
  <c r="CP57" i="1"/>
  <c r="CP54" i="1"/>
  <c r="CP49" i="1"/>
  <c r="CP47" i="1"/>
  <c r="CP45" i="1"/>
  <c r="BS13" i="1"/>
  <c r="O13" i="44" s="1"/>
  <c r="BR13" i="1"/>
  <c r="BM13" i="1"/>
  <c r="V13" i="57" s="1"/>
  <c r="BL13" i="1"/>
  <c r="U13" i="57" s="1"/>
  <c r="N13" i="44" l="1"/>
  <c r="K13" i="44"/>
  <c r="J13" i="44"/>
  <c r="C310" i="18"/>
  <c r="C37" i="18"/>
  <c r="C38" i="18" s="1"/>
  <c r="C39" i="18" s="1"/>
  <c r="C40" i="18" s="1"/>
  <c r="C41" i="18" s="1"/>
  <c r="C42" i="18" s="1"/>
  <c r="C43" i="18" s="1"/>
  <c r="C44" i="18" s="1"/>
  <c r="C45" i="18" s="1"/>
  <c r="C46" i="18" s="1"/>
  <c r="C47" i="18" s="1"/>
  <c r="C48" i="18" s="1"/>
  <c r="C49" i="18" s="1"/>
  <c r="C50" i="18" s="1"/>
  <c r="C51" i="18" s="1"/>
  <c r="C52" i="18" s="1"/>
  <c r="C53" i="18" s="1"/>
  <c r="C54" i="18" s="1"/>
  <c r="C55" i="18" s="1"/>
  <c r="C56" i="18" s="1"/>
  <c r="C57" i="18" s="1"/>
  <c r="C58" i="18" s="1"/>
  <c r="C59" i="18" s="1"/>
  <c r="C60" i="18" s="1"/>
  <c r="C61" i="18" s="1"/>
  <c r="C62" i="18" s="1"/>
  <c r="C63" i="18" s="1"/>
  <c r="C64" i="18" s="1"/>
  <c r="C65" i="18" s="1"/>
  <c r="C66" i="18" s="1"/>
  <c r="C67" i="18" s="1"/>
  <c r="C68" i="18" s="1"/>
  <c r="C69" i="18" s="1"/>
  <c r="C70" i="18" s="1"/>
  <c r="C71" i="18" s="1"/>
  <c r="C72" i="18" s="1"/>
  <c r="C73" i="18" s="1"/>
  <c r="C74" i="18" s="1"/>
  <c r="C75" i="18" s="1"/>
  <c r="C76" i="18" s="1"/>
  <c r="C77" i="18" s="1"/>
  <c r="C78" i="18" s="1"/>
  <c r="C79" i="18" s="1"/>
  <c r="C80" i="18" s="1"/>
  <c r="C81" i="18" s="1"/>
  <c r="C82" i="18" s="1"/>
  <c r="C83" i="18" s="1"/>
  <c r="C84" i="18" s="1"/>
  <c r="C85" i="18" s="1"/>
  <c r="C86" i="18" s="1"/>
  <c r="C87" i="18" s="1"/>
  <c r="C88" i="18" s="1"/>
  <c r="C89" i="18" s="1"/>
  <c r="C90" i="18" s="1"/>
  <c r="C91" i="18" s="1"/>
  <c r="C92" i="18" s="1"/>
  <c r="C93" i="18" s="1"/>
  <c r="C94" i="18" s="1"/>
  <c r="C95" i="18" s="1"/>
  <c r="C96" i="18" s="1"/>
  <c r="C97" i="18" s="1"/>
  <c r="C98" i="18" s="1"/>
  <c r="C99" i="18" s="1"/>
  <c r="C100" i="18" s="1"/>
  <c r="C101" i="18" s="1"/>
  <c r="C102" i="18" s="1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16" i="18" s="1"/>
  <c r="C117" i="18" s="1"/>
  <c r="C118" i="18" s="1"/>
  <c r="C119" i="18" s="1"/>
  <c r="C120" i="18" s="1"/>
  <c r="C121" i="18" s="1"/>
  <c r="C122" i="18" s="1"/>
  <c r="C123" i="18" s="1"/>
  <c r="C124" i="18" s="1"/>
  <c r="C125" i="18" s="1"/>
  <c r="C126" i="18" s="1"/>
  <c r="C127" i="18" s="1"/>
  <c r="C128" i="18" s="1"/>
  <c r="C129" i="18" s="1"/>
  <c r="C130" i="18" s="1"/>
  <c r="C131" i="18" s="1"/>
  <c r="C132" i="18" s="1"/>
  <c r="C133" i="18" s="1"/>
  <c r="C134" i="18" s="1"/>
  <c r="C135" i="18" s="1"/>
  <c r="C136" i="18" s="1"/>
  <c r="C137" i="18" s="1"/>
  <c r="C138" i="18" s="1"/>
  <c r="C139" i="18" s="1"/>
  <c r="C140" i="18" s="1"/>
  <c r="C141" i="18" s="1"/>
  <c r="C142" i="18" s="1"/>
  <c r="C143" i="18" s="1"/>
  <c r="C144" i="18" s="1"/>
  <c r="C145" i="18" s="1"/>
  <c r="C146" i="18" s="1"/>
  <c r="C147" i="18" s="1"/>
  <c r="C148" i="18" s="1"/>
  <c r="C149" i="18" s="1"/>
  <c r="C150" i="18" s="1"/>
  <c r="C151" i="18" s="1"/>
  <c r="C152" i="18" s="1"/>
  <c r="C153" i="18" s="1"/>
  <c r="C154" i="18" s="1"/>
  <c r="C155" i="18" s="1"/>
  <c r="C156" i="18" s="1"/>
  <c r="C157" i="18" s="1"/>
  <c r="C158" i="18" s="1"/>
  <c r="C159" i="18" s="1"/>
  <c r="C160" i="18" s="1"/>
  <c r="C161" i="18" s="1"/>
  <c r="C162" i="18" s="1"/>
  <c r="C163" i="18" s="1"/>
  <c r="C164" i="18" s="1"/>
  <c r="C165" i="18" s="1"/>
  <c r="C166" i="18" s="1"/>
  <c r="C167" i="18" s="1"/>
  <c r="C168" i="18" s="1"/>
  <c r="C169" i="18" s="1"/>
  <c r="C170" i="18" s="1"/>
  <c r="C171" i="18" s="1"/>
  <c r="C172" i="18" s="1"/>
  <c r="C173" i="18" s="1"/>
  <c r="C174" i="18" s="1"/>
  <c r="C175" i="18" s="1"/>
  <c r="C176" i="18" s="1"/>
  <c r="C177" i="18" s="1"/>
  <c r="C178" i="18" s="1"/>
  <c r="C179" i="18" s="1"/>
  <c r="C180" i="18" s="1"/>
  <c r="C181" i="18" s="1"/>
  <c r="C182" i="18" s="1"/>
  <c r="C183" i="18" s="1"/>
  <c r="C184" i="18" s="1"/>
  <c r="C185" i="18" s="1"/>
  <c r="C186" i="18" s="1"/>
  <c r="C187" i="18" s="1"/>
  <c r="C188" i="18" s="1"/>
  <c r="C189" i="18" s="1"/>
  <c r="C190" i="18" s="1"/>
  <c r="C191" i="18" s="1"/>
  <c r="C192" i="18" s="1"/>
  <c r="C193" i="18" s="1"/>
  <c r="C194" i="18" s="1"/>
  <c r="C195" i="18" s="1"/>
  <c r="C196" i="18" s="1"/>
  <c r="C197" i="18" s="1"/>
  <c r="C198" i="18" s="1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C233" i="18" s="1"/>
  <c r="C234" i="18" s="1"/>
  <c r="C235" i="18" s="1"/>
  <c r="C236" i="18" s="1"/>
  <c r="C237" i="18" s="1"/>
  <c r="C238" i="18" s="1"/>
  <c r="C239" i="18" s="1"/>
  <c r="C240" i="18" s="1"/>
  <c r="C241" i="18" s="1"/>
  <c r="C242" i="18" s="1"/>
  <c r="C243" i="18" s="1"/>
  <c r="C244" i="18" s="1"/>
  <c r="C245" i="18" s="1"/>
  <c r="C246" i="18" s="1"/>
  <c r="C247" i="18" s="1"/>
  <c r="C248" i="18" s="1"/>
  <c r="C249" i="18" s="1"/>
  <c r="C250" i="18" s="1"/>
  <c r="C251" i="18" s="1"/>
  <c r="C252" i="18" s="1"/>
  <c r="C253" i="18" s="1"/>
  <c r="C254" i="18" s="1"/>
  <c r="C255" i="18" s="1"/>
  <c r="C256" i="18" s="1"/>
  <c r="C257" i="18" s="1"/>
  <c r="C258" i="18" s="1"/>
  <c r="C259" i="18" s="1"/>
  <c r="C260" i="18" s="1"/>
  <c r="C261" i="18" s="1"/>
  <c r="C262" i="18" s="1"/>
  <c r="C263" i="18" s="1"/>
  <c r="C264" i="18" s="1"/>
  <c r="C265" i="18" s="1"/>
  <c r="C266" i="18" s="1"/>
  <c r="C267" i="18" s="1"/>
  <c r="C268" i="18" s="1"/>
  <c r="C269" i="18" s="1"/>
  <c r="C270" i="18" s="1"/>
  <c r="C271" i="18" s="1"/>
  <c r="C272" i="18" s="1"/>
  <c r="C273" i="18" s="1"/>
  <c r="C274" i="18" s="1"/>
  <c r="C275" i="18" s="1"/>
  <c r="C276" i="18" s="1"/>
  <c r="C277" i="18" s="1"/>
  <c r="C278" i="18" s="1"/>
  <c r="C279" i="18" s="1"/>
  <c r="C280" i="18" s="1"/>
  <c r="C281" i="18" s="1"/>
  <c r="C282" i="18" s="1"/>
  <c r="C283" i="18" s="1"/>
  <c r="C284" i="18" s="1"/>
  <c r="C285" i="18" s="1"/>
  <c r="C286" i="18" s="1"/>
  <c r="C287" i="18" s="1"/>
  <c r="C288" i="18" s="1"/>
  <c r="C289" i="18" s="1"/>
  <c r="C290" i="18" s="1"/>
  <c r="C291" i="18" s="1"/>
  <c r="C292" i="18" s="1"/>
  <c r="C293" i="18" s="1"/>
  <c r="C294" i="18" s="1"/>
  <c r="C295" i="18" s="1"/>
  <c r="C296" i="18" s="1"/>
  <c r="C297" i="18" s="1"/>
  <c r="C298" i="18" s="1"/>
  <c r="C299" i="18" s="1"/>
  <c r="C300" i="18" s="1"/>
  <c r="C301" i="18" s="1"/>
  <c r="C302" i="18" s="1"/>
  <c r="C303" i="18" s="1"/>
  <c r="C304" i="18" s="1"/>
  <c r="C305" i="18" s="1"/>
  <c r="C306" i="18" s="1"/>
  <c r="C307" i="18" s="1"/>
  <c r="C5" i="18"/>
  <c r="C6" i="18" l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C18" i="18" s="1"/>
  <c r="C19" i="18" s="1"/>
  <c r="C20" i="18" s="1"/>
  <c r="C21" i="18" s="1"/>
  <c r="C22" i="18" s="1"/>
  <c r="C23" i="18" s="1"/>
  <c r="C24" i="18" s="1"/>
  <c r="C25" i="18" s="1"/>
  <c r="C26" i="18" s="1"/>
  <c r="C27" i="18" s="1"/>
  <c r="C28" i="18" s="1"/>
  <c r="C29" i="18" s="1"/>
  <c r="C30" i="18" s="1"/>
  <c r="C31" i="18" s="1"/>
  <c r="C32" i="18" s="1"/>
  <c r="C33" i="18" s="1"/>
  <c r="C311" i="18"/>
  <c r="C312" i="18" s="1"/>
  <c r="C313" i="18" s="1"/>
  <c r="C314" i="18" s="1"/>
  <c r="C315" i="18" s="1"/>
  <c r="C316" i="18" s="1"/>
  <c r="C317" i="18" s="1"/>
  <c r="C318" i="18" s="1"/>
  <c r="C319" i="18" s="1"/>
  <c r="C320" i="18" s="1"/>
  <c r="C321" i="18" s="1"/>
  <c r="C322" i="18" s="1"/>
  <c r="C323" i="18" s="1"/>
  <c r="C324" i="18" s="1"/>
  <c r="C325" i="18" s="1"/>
  <c r="C326" i="18" s="1"/>
  <c r="C327" i="18" s="1"/>
  <c r="C328" i="18" s="1"/>
  <c r="C329" i="18" s="1"/>
  <c r="C330" i="18" s="1"/>
  <c r="C331" i="18" s="1"/>
  <c r="C332" i="18" s="1"/>
  <c r="C333" i="18" s="1"/>
  <c r="C334" i="18" s="1"/>
  <c r="C335" i="18" s="1"/>
  <c r="C336" i="18" s="1"/>
  <c r="C337" i="18" s="1"/>
  <c r="C338" i="18" s="1"/>
  <c r="C339" i="18" s="1"/>
  <c r="C340" i="18" s="1"/>
  <c r="C341" i="18" s="1"/>
  <c r="C342" i="18" s="1"/>
  <c r="C343" i="18" s="1"/>
  <c r="C344" i="18" s="1"/>
  <c r="C345" i="18" s="1"/>
  <c r="C346" i="18" s="1"/>
  <c r="C347" i="18" s="1"/>
  <c r="C348" i="18" s="1"/>
  <c r="C349" i="18" s="1"/>
  <c r="C350" i="18" s="1"/>
  <c r="C351" i="18" s="1"/>
  <c r="C352" i="18" s="1"/>
  <c r="C353" i="18" s="1"/>
  <c r="C354" i="18" s="1"/>
  <c r="C355" i="18" s="1"/>
  <c r="C356" i="18" s="1"/>
  <c r="C357" i="18" s="1"/>
  <c r="C358" i="18" s="1"/>
  <c r="C359" i="18" s="1"/>
  <c r="C360" i="18" s="1"/>
  <c r="C361" i="18" s="1"/>
  <c r="C362" i="18" s="1"/>
  <c r="C363" i="18" s="1"/>
  <c r="C364" i="18" s="1"/>
  <c r="C365" i="18" s="1"/>
  <c r="C366" i="18" s="1"/>
  <c r="C367" i="18" s="1"/>
  <c r="C368" i="18" s="1"/>
  <c r="C369" i="18" s="1"/>
  <c r="C370" i="18" s="1"/>
  <c r="C371" i="18" s="1"/>
  <c r="C372" i="18" s="1"/>
  <c r="C373" i="18" s="1"/>
  <c r="C374" i="18" s="1"/>
  <c r="C375" i="18" s="1"/>
  <c r="C376" i="18" s="1"/>
  <c r="C377" i="18" s="1"/>
  <c r="C378" i="18" s="1"/>
  <c r="C379" i="18" s="1"/>
  <c r="C380" i="18" s="1"/>
  <c r="C381" i="18" s="1"/>
  <c r="C382" i="18" s="1"/>
  <c r="C383" i="18" s="1"/>
  <c r="C384" i="18" s="1"/>
  <c r="C385" i="18" s="1"/>
  <c r="C386" i="18" s="1"/>
  <c r="C387" i="18" s="1"/>
  <c r="C388" i="18" s="1"/>
  <c r="C389" i="18" s="1"/>
  <c r="C390" i="18" s="1"/>
  <c r="C391" i="18" s="1"/>
  <c r="C392" i="18" s="1"/>
  <c r="C393" i="18" s="1"/>
  <c r="C394" i="18" s="1"/>
  <c r="C395" i="18" s="1"/>
  <c r="C396" i="18" s="1"/>
  <c r="C397" i="18" s="1"/>
  <c r="C398" i="18" s="1"/>
  <c r="C399" i="18" s="1"/>
  <c r="C400" i="18" s="1"/>
  <c r="C401" i="18" l="1"/>
  <c r="C34" i="18"/>
  <c r="C405" i="18" l="1"/>
  <c r="P332" i="52" l="1"/>
  <c r="BD300" i="1"/>
  <c r="T332" i="52" l="1"/>
  <c r="V332" i="52"/>
  <c r="AQ300" i="1"/>
  <c r="AO300" i="1"/>
  <c r="AC300" i="1"/>
  <c r="T300" i="1"/>
  <c r="Q300" i="1"/>
  <c r="P331" i="52" l="1"/>
  <c r="X332" i="52"/>
  <c r="V331" i="52"/>
  <c r="T331" i="52"/>
  <c r="AT300" i="1"/>
  <c r="CH300" i="1" s="1"/>
  <c r="V300" i="1"/>
  <c r="W300" i="1" s="1"/>
  <c r="BD296" i="1"/>
  <c r="X331" i="52" l="1"/>
  <c r="AQ296" i="1"/>
  <c r="AO296" i="1"/>
  <c r="AC296" i="1"/>
  <c r="T296" i="1"/>
  <c r="Q296" i="1"/>
  <c r="BD295" i="1"/>
  <c r="P329" i="52" l="1"/>
  <c r="T329" i="52"/>
  <c r="V329" i="52"/>
  <c r="AT296" i="1"/>
  <c r="CH296" i="1" s="1"/>
  <c r="V296" i="1"/>
  <c r="AQ295" i="1"/>
  <c r="AO295" i="1"/>
  <c r="AC295" i="1"/>
  <c r="T295" i="1"/>
  <c r="Q295" i="1"/>
  <c r="P328" i="52" l="1"/>
  <c r="X329" i="52"/>
  <c r="T328" i="52"/>
  <c r="V328" i="52"/>
  <c r="W296" i="1"/>
  <c r="AT295" i="1"/>
  <c r="CH295" i="1" s="1"/>
  <c r="V295" i="1"/>
  <c r="W295" i="1" s="1"/>
  <c r="BD294" i="1"/>
  <c r="X328" i="52" l="1"/>
  <c r="AQ294" i="1"/>
  <c r="AO294" i="1"/>
  <c r="AC294" i="1"/>
  <c r="P327" i="52"/>
  <c r="Q294" i="1"/>
  <c r="BD291" i="1"/>
  <c r="T327" i="52" l="1"/>
  <c r="V327" i="52"/>
  <c r="AT294" i="1"/>
  <c r="CH294" i="1" s="1"/>
  <c r="V294" i="1"/>
  <c r="W294" i="1" s="1"/>
  <c r="AQ291" i="1"/>
  <c r="AO291" i="1"/>
  <c r="AC291" i="1"/>
  <c r="T291" i="1"/>
  <c r="Q291" i="1"/>
  <c r="BD290" i="1"/>
  <c r="P324" i="52" l="1"/>
  <c r="X327" i="52"/>
  <c r="T324" i="52"/>
  <c r="V324" i="52"/>
  <c r="AT291" i="1"/>
  <c r="CH291" i="1" s="1"/>
  <c r="V291" i="1"/>
  <c r="W291" i="1" s="1"/>
  <c r="AO290" i="1"/>
  <c r="AC290" i="1"/>
  <c r="T290" i="1"/>
  <c r="Q290" i="1"/>
  <c r="P323" i="52" l="1"/>
  <c r="X324" i="52"/>
  <c r="T323" i="52"/>
  <c r="AT290" i="1"/>
  <c r="CH290" i="1" s="1"/>
  <c r="V290" i="1"/>
  <c r="W290" i="1" s="1"/>
  <c r="BD285" i="1"/>
  <c r="X323" i="52" l="1"/>
  <c r="AQ285" i="1"/>
  <c r="AO285" i="1"/>
  <c r="AC285" i="1"/>
  <c r="T285" i="1"/>
  <c r="Q285" i="1"/>
  <c r="BD284" i="1"/>
  <c r="P318" i="52" l="1"/>
  <c r="T318" i="52"/>
  <c r="V318" i="52"/>
  <c r="AT285" i="1"/>
  <c r="CH285" i="1" s="1"/>
  <c r="V285" i="1"/>
  <c r="W285" i="1" s="1"/>
  <c r="AQ284" i="1"/>
  <c r="AO284" i="1"/>
  <c r="AC284" i="1"/>
  <c r="T284" i="1"/>
  <c r="Q284" i="1"/>
  <c r="BD283" i="1"/>
  <c r="P317" i="52" l="1"/>
  <c r="X318" i="52"/>
  <c r="T317" i="52"/>
  <c r="V317" i="52"/>
  <c r="AT284" i="1"/>
  <c r="CH284" i="1" s="1"/>
  <c r="V284" i="1"/>
  <c r="AQ283" i="1"/>
  <c r="AO283" i="1"/>
  <c r="AC283" i="1"/>
  <c r="T283" i="1"/>
  <c r="Q283" i="1"/>
  <c r="BD282" i="1"/>
  <c r="P316" i="52" l="1"/>
  <c r="X317" i="52"/>
  <c r="T316" i="52"/>
  <c r="V316" i="52"/>
  <c r="W284" i="1"/>
  <c r="AT283" i="1"/>
  <c r="CH283" i="1" s="1"/>
  <c r="V283" i="1"/>
  <c r="W283" i="1" s="1"/>
  <c r="AQ282" i="1"/>
  <c r="AO282" i="1"/>
  <c r="AC282" i="1"/>
  <c r="T282" i="1"/>
  <c r="Q282" i="1"/>
  <c r="BD280" i="1"/>
  <c r="P315" i="52" l="1"/>
  <c r="X316" i="52"/>
  <c r="V315" i="52"/>
  <c r="T315" i="52"/>
  <c r="AT282" i="1"/>
  <c r="CH282" i="1" s="1"/>
  <c r="V282" i="1"/>
  <c r="AQ280" i="1"/>
  <c r="AO280" i="1"/>
  <c r="AC280" i="1"/>
  <c r="T280" i="1"/>
  <c r="Q280" i="1"/>
  <c r="BD279" i="1"/>
  <c r="P313" i="52" l="1"/>
  <c r="X315" i="52"/>
  <c r="V313" i="52"/>
  <c r="T313" i="52"/>
  <c r="W282" i="1"/>
  <c r="AT280" i="1"/>
  <c r="CH280" i="1" s="1"/>
  <c r="V280" i="1"/>
  <c r="W280" i="1" s="1"/>
  <c r="AQ279" i="1"/>
  <c r="AO279" i="1"/>
  <c r="AC279" i="1"/>
  <c r="T279" i="1"/>
  <c r="Q279" i="1"/>
  <c r="BD277" i="1"/>
  <c r="P312" i="52" l="1"/>
  <c r="X313" i="52"/>
  <c r="T312" i="52"/>
  <c r="V312" i="52"/>
  <c r="AT279" i="1"/>
  <c r="CH279" i="1" s="1"/>
  <c r="V279" i="1"/>
  <c r="W279" i="1" s="1"/>
  <c r="AQ277" i="1"/>
  <c r="AO277" i="1"/>
  <c r="AC277" i="1"/>
  <c r="T277" i="1"/>
  <c r="Q277" i="1"/>
  <c r="BD276" i="1"/>
  <c r="P310" i="52" l="1"/>
  <c r="X312" i="52"/>
  <c r="T310" i="52"/>
  <c r="V310" i="52"/>
  <c r="AT277" i="1"/>
  <c r="CH277" i="1" s="1"/>
  <c r="V277" i="1"/>
  <c r="W277" i="1" s="1"/>
  <c r="AQ276" i="1"/>
  <c r="AO276" i="1"/>
  <c r="AC276" i="1"/>
  <c r="T276" i="1"/>
  <c r="Q276" i="1"/>
  <c r="BD275" i="1"/>
  <c r="P309" i="52" l="1"/>
  <c r="X310" i="52"/>
  <c r="T309" i="52"/>
  <c r="V309" i="52"/>
  <c r="AT276" i="1"/>
  <c r="CH276" i="1" s="1"/>
  <c r="V276" i="1"/>
  <c r="AQ275" i="1"/>
  <c r="AO275" i="1"/>
  <c r="AC275" i="1"/>
  <c r="T275" i="1"/>
  <c r="Q275" i="1"/>
  <c r="BD273" i="1"/>
  <c r="P308" i="52" l="1"/>
  <c r="X309" i="52"/>
  <c r="V308" i="52"/>
  <c r="T308" i="52"/>
  <c r="W276" i="1"/>
  <c r="AT275" i="1"/>
  <c r="CH275" i="1" s="1"/>
  <c r="V275" i="1"/>
  <c r="W275" i="1" s="1"/>
  <c r="AQ273" i="1"/>
  <c r="AO273" i="1"/>
  <c r="AC273" i="1"/>
  <c r="T273" i="1"/>
  <c r="Q273" i="1"/>
  <c r="BD272" i="1"/>
  <c r="P306" i="52" l="1"/>
  <c r="X308" i="52"/>
  <c r="V306" i="52"/>
  <c r="T306" i="52"/>
  <c r="AT273" i="1"/>
  <c r="CH273" i="1" s="1"/>
  <c r="V273" i="1"/>
  <c r="AQ272" i="1"/>
  <c r="AO272" i="1"/>
  <c r="AC272" i="1"/>
  <c r="T272" i="1"/>
  <c r="Q272" i="1"/>
  <c r="BD271" i="1"/>
  <c r="P305" i="52" l="1"/>
  <c r="X306" i="52"/>
  <c r="V305" i="52"/>
  <c r="T305" i="52"/>
  <c r="W273" i="1"/>
  <c r="AT272" i="1"/>
  <c r="CH272" i="1" s="1"/>
  <c r="V272" i="1"/>
  <c r="AQ271" i="1"/>
  <c r="AO271" i="1"/>
  <c r="AC271" i="1"/>
  <c r="T271" i="1"/>
  <c r="Q271" i="1"/>
  <c r="BD269" i="1"/>
  <c r="P303" i="52" l="1"/>
  <c r="X305" i="52"/>
  <c r="T303" i="52"/>
  <c r="V303" i="52"/>
  <c r="W272" i="1"/>
  <c r="AT271" i="1"/>
  <c r="CH271" i="1" s="1"/>
  <c r="V271" i="1"/>
  <c r="AQ269" i="1"/>
  <c r="AO269" i="1"/>
  <c r="AC269" i="1"/>
  <c r="T269" i="1"/>
  <c r="Q269" i="1"/>
  <c r="P301" i="52" l="1"/>
  <c r="X303" i="52"/>
  <c r="V301" i="52"/>
  <c r="T301" i="52"/>
  <c r="W271" i="1"/>
  <c r="AT269" i="1"/>
  <c r="CH269" i="1" s="1"/>
  <c r="V269" i="1"/>
  <c r="BD268" i="1"/>
  <c r="X301" i="52" l="1"/>
  <c r="W269" i="1"/>
  <c r="AQ268" i="1"/>
  <c r="AO268" i="1"/>
  <c r="AC268" i="1"/>
  <c r="Q268" i="1"/>
  <c r="BD264" i="1"/>
  <c r="V300" i="52" l="1"/>
  <c r="T300" i="52"/>
  <c r="AT268" i="1"/>
  <c r="CH268" i="1" s="1"/>
  <c r="V268" i="1"/>
  <c r="W268" i="1" s="1"/>
  <c r="AQ264" i="1"/>
  <c r="AO264" i="1"/>
  <c r="AC264" i="1"/>
  <c r="T264" i="1"/>
  <c r="Q264" i="1"/>
  <c r="P295" i="52" l="1"/>
  <c r="X300" i="52"/>
  <c r="V295" i="52"/>
  <c r="T295" i="52"/>
  <c r="AT264" i="1"/>
  <c r="CH264" i="1" s="1"/>
  <c r="V264" i="1"/>
  <c r="W264" i="1" s="1"/>
  <c r="BD263" i="1"/>
  <c r="X295" i="52" l="1"/>
  <c r="AQ263" i="1"/>
  <c r="AO263" i="1"/>
  <c r="AC263" i="1"/>
  <c r="T263" i="1"/>
  <c r="Q263" i="1"/>
  <c r="BD262" i="1"/>
  <c r="P294" i="52" l="1"/>
  <c r="T294" i="52"/>
  <c r="V294" i="52"/>
  <c r="AT263" i="1"/>
  <c r="CH263" i="1" s="1"/>
  <c r="V263" i="1"/>
  <c r="W263" i="1" s="1"/>
  <c r="AQ262" i="1"/>
  <c r="AO262" i="1"/>
  <c r="AC262" i="1"/>
  <c r="T262" i="1"/>
  <c r="Q262" i="1"/>
  <c r="BD261" i="1"/>
  <c r="P293" i="52" l="1"/>
  <c r="X294" i="52"/>
  <c r="T293" i="52"/>
  <c r="V293" i="52"/>
  <c r="AT262" i="1"/>
  <c r="CH262" i="1" s="1"/>
  <c r="V262" i="1"/>
  <c r="W262" i="1" s="1"/>
  <c r="AQ261" i="1"/>
  <c r="AO261" i="1"/>
  <c r="AC261" i="1"/>
  <c r="T261" i="1"/>
  <c r="Q261" i="1"/>
  <c r="P292" i="52" l="1"/>
  <c r="X293" i="52"/>
  <c r="T292" i="52"/>
  <c r="V292" i="52"/>
  <c r="AT261" i="1"/>
  <c r="CH261" i="1" s="1"/>
  <c r="V261" i="1"/>
  <c r="W261" i="1" s="1"/>
  <c r="X292" i="52" l="1"/>
  <c r="BD258" i="1"/>
  <c r="AQ258" i="1" l="1"/>
  <c r="AO258" i="1"/>
  <c r="AC258" i="1"/>
  <c r="T258" i="1"/>
  <c r="Q258" i="1"/>
  <c r="P291" i="52" l="1"/>
  <c r="V291" i="52"/>
  <c r="T291" i="52"/>
  <c r="AT258" i="1"/>
  <c r="CH258" i="1" s="1"/>
  <c r="V258" i="1"/>
  <c r="X291" i="52" l="1"/>
  <c r="W258" i="1"/>
  <c r="BD256" i="1"/>
  <c r="AQ256" i="1" l="1"/>
  <c r="AO256" i="1"/>
  <c r="AC256" i="1"/>
  <c r="T256" i="1"/>
  <c r="Q256" i="1"/>
  <c r="P289" i="52" l="1"/>
  <c r="V289" i="52"/>
  <c r="T289" i="52"/>
  <c r="AT256" i="1"/>
  <c r="CH256" i="1" s="1"/>
  <c r="V256" i="1"/>
  <c r="W256" i="1" s="1"/>
  <c r="BD255" i="1"/>
  <c r="X289" i="52" l="1"/>
  <c r="AQ255" i="1"/>
  <c r="AO255" i="1"/>
  <c r="AC255" i="1"/>
  <c r="T255" i="1"/>
  <c r="Q255" i="1"/>
  <c r="P288" i="52" l="1"/>
  <c r="V288" i="52"/>
  <c r="T288" i="52"/>
  <c r="AT255" i="1"/>
  <c r="CH255" i="1" s="1"/>
  <c r="V255" i="1"/>
  <c r="W255" i="1" s="1"/>
  <c r="BD252" i="1"/>
  <c r="X288" i="52" l="1"/>
  <c r="AQ252" i="1"/>
  <c r="AO252" i="1"/>
  <c r="AC252" i="1"/>
  <c r="T252" i="1"/>
  <c r="Q252" i="1"/>
  <c r="BD251" i="1"/>
  <c r="P285" i="52" l="1"/>
  <c r="T285" i="52"/>
  <c r="V285" i="52"/>
  <c r="AT252" i="1"/>
  <c r="CH252" i="1" s="1"/>
  <c r="V252" i="1"/>
  <c r="W252" i="1" s="1"/>
  <c r="AQ251" i="1"/>
  <c r="AO251" i="1"/>
  <c r="AC251" i="1"/>
  <c r="T251" i="1"/>
  <c r="Q251" i="1"/>
  <c r="P284" i="52" l="1"/>
  <c r="X285" i="52"/>
  <c r="T284" i="52"/>
  <c r="V284" i="52"/>
  <c r="AT251" i="1"/>
  <c r="CH251" i="1" s="1"/>
  <c r="V251" i="1"/>
  <c r="X284" i="52" l="1"/>
  <c r="W251" i="1"/>
  <c r="BD248" i="1"/>
  <c r="AQ248" i="1" l="1"/>
  <c r="AO248" i="1"/>
  <c r="AC248" i="1"/>
  <c r="T248" i="1"/>
  <c r="Q248" i="1"/>
  <c r="P280" i="52" l="1"/>
  <c r="V280" i="52"/>
  <c r="T280" i="52"/>
  <c r="AT248" i="1"/>
  <c r="CH248" i="1" s="1"/>
  <c r="V248" i="1"/>
  <c r="X280" i="52" l="1"/>
  <c r="W248" i="1"/>
  <c r="BD244" i="1"/>
  <c r="AQ244" i="1" l="1"/>
  <c r="AO244" i="1"/>
  <c r="AC244" i="1"/>
  <c r="T244" i="1"/>
  <c r="Q244" i="1"/>
  <c r="BD243" i="1"/>
  <c r="P277" i="52" l="1"/>
  <c r="V277" i="52"/>
  <c r="T277" i="52"/>
  <c r="AT244" i="1"/>
  <c r="CH244" i="1" s="1"/>
  <c r="V244" i="1"/>
  <c r="AQ243" i="1"/>
  <c r="AO243" i="1"/>
  <c r="AC243" i="1"/>
  <c r="T243" i="1"/>
  <c r="Q243" i="1"/>
  <c r="BD242" i="1"/>
  <c r="P276" i="52" l="1"/>
  <c r="X277" i="52"/>
  <c r="T276" i="52"/>
  <c r="V276" i="52"/>
  <c r="W244" i="1"/>
  <c r="AT243" i="1"/>
  <c r="CH243" i="1" s="1"/>
  <c r="V243" i="1"/>
  <c r="W243" i="1" s="1"/>
  <c r="AQ242" i="1"/>
  <c r="AO242" i="1"/>
  <c r="AC242" i="1"/>
  <c r="T242" i="1"/>
  <c r="Q242" i="1"/>
  <c r="P275" i="52" l="1"/>
  <c r="X276" i="52"/>
  <c r="T275" i="52"/>
  <c r="V275" i="52"/>
  <c r="AT242" i="1"/>
  <c r="CH242" i="1" s="1"/>
  <c r="V242" i="1"/>
  <c r="W242" i="1" s="1"/>
  <c r="AQ240" i="1"/>
  <c r="AO240" i="1"/>
  <c r="AC240" i="1"/>
  <c r="T240" i="1"/>
  <c r="Q240" i="1"/>
  <c r="P273" i="52" l="1"/>
  <c r="X275" i="52"/>
  <c r="V273" i="52"/>
  <c r="T273" i="52"/>
  <c r="AT240" i="1"/>
  <c r="CH240" i="1" s="1"/>
  <c r="V240" i="1"/>
  <c r="BD239" i="1"/>
  <c r="X273" i="52" l="1"/>
  <c r="W240" i="1"/>
  <c r="AQ239" i="1"/>
  <c r="AO239" i="1"/>
  <c r="AC239" i="1"/>
  <c r="T239" i="1"/>
  <c r="Q239" i="1"/>
  <c r="BD238" i="1"/>
  <c r="P272" i="52" l="1"/>
  <c r="T272" i="52"/>
  <c r="V272" i="52"/>
  <c r="AT239" i="1"/>
  <c r="CH239" i="1" s="1"/>
  <c r="V239" i="1"/>
  <c r="AQ238" i="1"/>
  <c r="AO238" i="1"/>
  <c r="AC238" i="1"/>
  <c r="T238" i="1"/>
  <c r="Q238" i="1"/>
  <c r="BD237" i="1"/>
  <c r="P271" i="52" l="1"/>
  <c r="X272" i="52"/>
  <c r="T271" i="52"/>
  <c r="V271" i="52"/>
  <c r="W239" i="1"/>
  <c r="AT238" i="1"/>
  <c r="CH238" i="1" s="1"/>
  <c r="V238" i="1"/>
  <c r="AQ237" i="1"/>
  <c r="AO237" i="1"/>
  <c r="AC237" i="1"/>
  <c r="T237" i="1"/>
  <c r="Q237" i="1"/>
  <c r="BD236" i="1"/>
  <c r="P269" i="52" l="1"/>
  <c r="X271" i="52"/>
  <c r="V269" i="52"/>
  <c r="T269" i="52"/>
  <c r="W238" i="1"/>
  <c r="AT237" i="1"/>
  <c r="CH237" i="1" s="1"/>
  <c r="V237" i="1"/>
  <c r="W237" i="1" s="1"/>
  <c r="AQ236" i="1"/>
  <c r="AO236" i="1"/>
  <c r="AC236" i="1"/>
  <c r="T236" i="1"/>
  <c r="Q236" i="1"/>
  <c r="P268" i="52" l="1"/>
  <c r="X269" i="52"/>
  <c r="V268" i="52"/>
  <c r="T268" i="52"/>
  <c r="AT236" i="1"/>
  <c r="CH236" i="1" s="1"/>
  <c r="V236" i="1"/>
  <c r="W236" i="1" s="1"/>
  <c r="X268" i="52" l="1"/>
  <c r="BD235" i="1"/>
  <c r="AQ235" i="1" l="1"/>
  <c r="AO235" i="1"/>
  <c r="AC235" i="1"/>
  <c r="T235" i="1"/>
  <c r="Q235" i="1"/>
  <c r="BD234" i="1"/>
  <c r="P267" i="52" l="1"/>
  <c r="V267" i="52"/>
  <c r="T267" i="52"/>
  <c r="AT235" i="1"/>
  <c r="CH235" i="1" s="1"/>
  <c r="V235" i="1"/>
  <c r="W235" i="1" s="1"/>
  <c r="AQ234" i="1"/>
  <c r="AO234" i="1"/>
  <c r="AC234" i="1"/>
  <c r="T234" i="1"/>
  <c r="Q234" i="1"/>
  <c r="BD233" i="1"/>
  <c r="P266" i="52" l="1"/>
  <c r="X267" i="52"/>
  <c r="V266" i="52"/>
  <c r="T266" i="52"/>
  <c r="AT234" i="1"/>
  <c r="CH234" i="1" s="1"/>
  <c r="V234" i="1"/>
  <c r="W234" i="1" s="1"/>
  <c r="AQ233" i="1"/>
  <c r="AO233" i="1"/>
  <c r="AC233" i="1"/>
  <c r="T233" i="1"/>
  <c r="Q233" i="1"/>
  <c r="P265" i="52" l="1"/>
  <c r="X266" i="52"/>
  <c r="T265" i="52"/>
  <c r="V265" i="52"/>
  <c r="AT233" i="1"/>
  <c r="CH233" i="1" s="1"/>
  <c r="V233" i="1"/>
  <c r="W233" i="1" s="1"/>
  <c r="BD231" i="1"/>
  <c r="X265" i="52" l="1"/>
  <c r="AQ231" i="1"/>
  <c r="AO231" i="1"/>
  <c r="AC231" i="1"/>
  <c r="T231" i="1"/>
  <c r="Q231" i="1"/>
  <c r="BD229" i="1"/>
  <c r="P263" i="52" l="1"/>
  <c r="T263" i="52"/>
  <c r="V263" i="52"/>
  <c r="AT231" i="1"/>
  <c r="CH231" i="1" s="1"/>
  <c r="V231" i="1"/>
  <c r="AQ229" i="1"/>
  <c r="AO229" i="1"/>
  <c r="AC229" i="1"/>
  <c r="T229" i="1"/>
  <c r="Q229" i="1"/>
  <c r="BD228" i="1"/>
  <c r="P261" i="52" l="1"/>
  <c r="X263" i="52"/>
  <c r="T261" i="52"/>
  <c r="V261" i="52"/>
  <c r="W231" i="1"/>
  <c r="AT229" i="1"/>
  <c r="CH229" i="1" s="1"/>
  <c r="V229" i="1"/>
  <c r="W229" i="1" s="1"/>
  <c r="AQ228" i="1"/>
  <c r="AO228" i="1"/>
  <c r="AC228" i="1"/>
  <c r="T228" i="1"/>
  <c r="P260" i="52" l="1"/>
  <c r="X261" i="52"/>
  <c r="T260" i="52"/>
  <c r="V260" i="52"/>
  <c r="AT228" i="1"/>
  <c r="CH228" i="1" s="1"/>
  <c r="V228" i="1"/>
  <c r="W228" i="1" s="1"/>
  <c r="P258" i="52"/>
  <c r="BD226" i="1"/>
  <c r="X260" i="52" l="1"/>
  <c r="V258" i="52"/>
  <c r="T258" i="52"/>
  <c r="AQ226" i="1"/>
  <c r="AO226" i="1"/>
  <c r="AC226" i="1"/>
  <c r="T226" i="1"/>
  <c r="Q226" i="1"/>
  <c r="P257" i="52" l="1"/>
  <c r="X258" i="52"/>
  <c r="T257" i="52"/>
  <c r="V257" i="52"/>
  <c r="AT226" i="1"/>
  <c r="CH226" i="1" s="1"/>
  <c r="V226" i="1"/>
  <c r="W226" i="1" s="1"/>
  <c r="X257" i="52" l="1"/>
  <c r="V255" i="52"/>
  <c r="T255" i="52"/>
  <c r="P255" i="52"/>
  <c r="BD224" i="1"/>
  <c r="X255" i="52" l="1"/>
  <c r="AQ224" i="1"/>
  <c r="AO224" i="1"/>
  <c r="AC224" i="1"/>
  <c r="T224" i="1"/>
  <c r="Q224" i="1"/>
  <c r="BD223" i="1"/>
  <c r="P254" i="52" l="1"/>
  <c r="V254" i="52"/>
  <c r="T254" i="52"/>
  <c r="AT224" i="1"/>
  <c r="CH224" i="1" s="1"/>
  <c r="V224" i="1"/>
  <c r="W224" i="1" s="1"/>
  <c r="AQ223" i="1"/>
  <c r="AO223" i="1"/>
  <c r="AC223" i="1"/>
  <c r="T223" i="1"/>
  <c r="Q223" i="1"/>
  <c r="BD219" i="1"/>
  <c r="P253" i="52" l="1"/>
  <c r="X254" i="52"/>
  <c r="V253" i="52"/>
  <c r="T253" i="52"/>
  <c r="AT223" i="1"/>
  <c r="CH223" i="1" s="1"/>
  <c r="V223" i="1"/>
  <c r="W223" i="1" s="1"/>
  <c r="AQ219" i="1"/>
  <c r="AO219" i="1"/>
  <c r="AC219" i="1"/>
  <c r="T219" i="1"/>
  <c r="BD218" i="1"/>
  <c r="P249" i="52" l="1"/>
  <c r="X253" i="52"/>
  <c r="T249" i="52"/>
  <c r="V249" i="52"/>
  <c r="AT219" i="1"/>
  <c r="CH219" i="1" s="1"/>
  <c r="V219" i="1"/>
  <c r="AQ218" i="1"/>
  <c r="AO218" i="1"/>
  <c r="AC218" i="1"/>
  <c r="T218" i="1"/>
  <c r="Q218" i="1"/>
  <c r="BD217" i="1"/>
  <c r="P248" i="52" l="1"/>
  <c r="X249" i="52"/>
  <c r="T248" i="52"/>
  <c r="V248" i="52"/>
  <c r="W219" i="1"/>
  <c r="AT218" i="1"/>
  <c r="CH218" i="1" s="1"/>
  <c r="V218" i="1"/>
  <c r="W218" i="1" s="1"/>
  <c r="AQ217" i="1"/>
  <c r="AO217" i="1"/>
  <c r="AC217" i="1"/>
  <c r="T217" i="1"/>
  <c r="Q217" i="1"/>
  <c r="BD216" i="1"/>
  <c r="P247" i="52" l="1"/>
  <c r="X248" i="52"/>
  <c r="V247" i="52"/>
  <c r="T247" i="52"/>
  <c r="AT217" i="1"/>
  <c r="CH217" i="1" s="1"/>
  <c r="V217" i="1"/>
  <c r="W217" i="1" s="1"/>
  <c r="AQ216" i="1"/>
  <c r="AO216" i="1"/>
  <c r="AC216" i="1"/>
  <c r="T216" i="1"/>
  <c r="Q216" i="1"/>
  <c r="P246" i="52" l="1"/>
  <c r="X247" i="52"/>
  <c r="T246" i="52"/>
  <c r="V246" i="52"/>
  <c r="AT216" i="1"/>
  <c r="CH216" i="1" s="1"/>
  <c r="V216" i="1"/>
  <c r="BD213" i="1"/>
  <c r="X246" i="52" l="1"/>
  <c r="W216" i="1"/>
  <c r="AQ213" i="1"/>
  <c r="AO213" i="1"/>
  <c r="AC213" i="1"/>
  <c r="T213" i="1"/>
  <c r="Q213" i="1"/>
  <c r="P243" i="52" l="1"/>
  <c r="T243" i="52"/>
  <c r="V243" i="52"/>
  <c r="AT213" i="1"/>
  <c r="CH213" i="1" s="1"/>
  <c r="V213" i="1"/>
  <c r="W213" i="1" s="1"/>
  <c r="BD210" i="1"/>
  <c r="X243" i="52" l="1"/>
  <c r="AQ210" i="1"/>
  <c r="AO210" i="1"/>
  <c r="AC210" i="1"/>
  <c r="T210" i="1"/>
  <c r="Q210" i="1"/>
  <c r="BD209" i="1"/>
  <c r="P240" i="52" l="1"/>
  <c r="T240" i="52"/>
  <c r="V240" i="52"/>
  <c r="AT210" i="1"/>
  <c r="CH210" i="1" s="1"/>
  <c r="V210" i="1"/>
  <c r="AQ209" i="1"/>
  <c r="AO209" i="1"/>
  <c r="AC209" i="1"/>
  <c r="T209" i="1"/>
  <c r="Q209" i="1"/>
  <c r="P239" i="52" l="1"/>
  <c r="X240" i="52"/>
  <c r="T239" i="52"/>
  <c r="V239" i="52"/>
  <c r="W210" i="1"/>
  <c r="AT209" i="1"/>
  <c r="CH209" i="1" s="1"/>
  <c r="V209" i="1"/>
  <c r="W209" i="1" s="1"/>
  <c r="X239" i="52" l="1"/>
  <c r="P238" i="52"/>
  <c r="T238" i="52" l="1"/>
  <c r="V238" i="52"/>
  <c r="P237" i="52"/>
  <c r="BD207" i="1"/>
  <c r="X238" i="52" l="1"/>
  <c r="V237" i="52"/>
  <c r="T237" i="52"/>
  <c r="AQ207" i="1"/>
  <c r="AO207" i="1"/>
  <c r="AC207" i="1"/>
  <c r="T207" i="1"/>
  <c r="Q207" i="1"/>
  <c r="P235" i="52" l="1"/>
  <c r="X237" i="52"/>
  <c r="T235" i="52"/>
  <c r="V235" i="52"/>
  <c r="AT207" i="1"/>
  <c r="CH207" i="1" s="1"/>
  <c r="V207" i="1"/>
  <c r="W207" i="1" s="1"/>
  <c r="BD205" i="1"/>
  <c r="X235" i="52" l="1"/>
  <c r="AQ205" i="1"/>
  <c r="AO205" i="1"/>
  <c r="AC205" i="1"/>
  <c r="T205" i="1"/>
  <c r="Q205" i="1"/>
  <c r="BD204" i="1"/>
  <c r="P233" i="52" l="1"/>
  <c r="T233" i="52"/>
  <c r="V233" i="52"/>
  <c r="AT205" i="1"/>
  <c r="CH205" i="1" s="1"/>
  <c r="V205" i="1"/>
  <c r="W205" i="1" s="1"/>
  <c r="AQ204" i="1"/>
  <c r="AO204" i="1"/>
  <c r="AC204" i="1"/>
  <c r="T204" i="1"/>
  <c r="Q204" i="1"/>
  <c r="BD203" i="1"/>
  <c r="P232" i="52" l="1"/>
  <c r="X233" i="52"/>
  <c r="T232" i="52"/>
  <c r="V232" i="52"/>
  <c r="AT204" i="1"/>
  <c r="CH204" i="1" s="1"/>
  <c r="V204" i="1"/>
  <c r="AQ203" i="1"/>
  <c r="AO203" i="1"/>
  <c r="AC203" i="1"/>
  <c r="T203" i="1"/>
  <c r="BD202" i="1"/>
  <c r="P231" i="52" l="1"/>
  <c r="X232" i="52"/>
  <c r="T231" i="52"/>
  <c r="V231" i="52"/>
  <c r="W204" i="1"/>
  <c r="AT203" i="1"/>
  <c r="CH203" i="1" s="1"/>
  <c r="V203" i="1"/>
  <c r="W203" i="1" s="1"/>
  <c r="AQ202" i="1"/>
  <c r="AO202" i="1"/>
  <c r="AC202" i="1"/>
  <c r="T202" i="1"/>
  <c r="Q202" i="1"/>
  <c r="BD199" i="1"/>
  <c r="P230" i="52" l="1"/>
  <c r="X231" i="52"/>
  <c r="V230" i="52"/>
  <c r="T230" i="52"/>
  <c r="AT202" i="1"/>
  <c r="CH202" i="1" s="1"/>
  <c r="V202" i="1"/>
  <c r="W202" i="1" s="1"/>
  <c r="AQ199" i="1"/>
  <c r="AO199" i="1"/>
  <c r="AC199" i="1"/>
  <c r="T199" i="1"/>
  <c r="Q199" i="1"/>
  <c r="BD198" i="1"/>
  <c r="P227" i="52" l="1"/>
  <c r="X230" i="52"/>
  <c r="T227" i="52"/>
  <c r="V227" i="52"/>
  <c r="AT199" i="1"/>
  <c r="CH199" i="1" s="1"/>
  <c r="V199" i="1"/>
  <c r="W199" i="1" s="1"/>
  <c r="AQ198" i="1"/>
  <c r="AO198" i="1"/>
  <c r="AC198" i="1"/>
  <c r="T198" i="1"/>
  <c r="Q198" i="1"/>
  <c r="BD196" i="1"/>
  <c r="P226" i="52" l="1"/>
  <c r="X227" i="52"/>
  <c r="T226" i="52"/>
  <c r="V226" i="52"/>
  <c r="AT198" i="1"/>
  <c r="CH198" i="1" s="1"/>
  <c r="V198" i="1"/>
  <c r="W198" i="1" s="1"/>
  <c r="AQ196" i="1"/>
  <c r="AO196" i="1"/>
  <c r="AC196" i="1"/>
  <c r="T196" i="1"/>
  <c r="Q196" i="1"/>
  <c r="BD195" i="1"/>
  <c r="P224" i="52" l="1"/>
  <c r="X226" i="52"/>
  <c r="V224" i="52"/>
  <c r="T224" i="52"/>
  <c r="AT196" i="1"/>
  <c r="CH196" i="1" s="1"/>
  <c r="V196" i="1"/>
  <c r="AQ195" i="1"/>
  <c r="AO195" i="1"/>
  <c r="AC195" i="1"/>
  <c r="T195" i="1"/>
  <c r="Q195" i="1"/>
  <c r="BD194" i="1"/>
  <c r="P223" i="52" l="1"/>
  <c r="X224" i="52"/>
  <c r="V223" i="52"/>
  <c r="T223" i="52"/>
  <c r="W196" i="1"/>
  <c r="AT195" i="1"/>
  <c r="CH195" i="1" s="1"/>
  <c r="V195" i="1"/>
  <c r="AQ194" i="1"/>
  <c r="AO194" i="1"/>
  <c r="AC194" i="1"/>
  <c r="T194" i="1"/>
  <c r="Q194" i="1"/>
  <c r="BD192" i="1"/>
  <c r="P222" i="52" l="1"/>
  <c r="X223" i="52"/>
  <c r="V222" i="52"/>
  <c r="T222" i="52"/>
  <c r="W195" i="1"/>
  <c r="AT194" i="1"/>
  <c r="CH194" i="1" s="1"/>
  <c r="V194" i="1"/>
  <c r="AQ192" i="1"/>
  <c r="AO192" i="1"/>
  <c r="AC192" i="1"/>
  <c r="T192" i="1"/>
  <c r="Q192" i="1"/>
  <c r="BD191" i="1"/>
  <c r="P219" i="52" l="1"/>
  <c r="X222" i="52"/>
  <c r="T219" i="52"/>
  <c r="V219" i="52"/>
  <c r="W194" i="1"/>
  <c r="AT192" i="1"/>
  <c r="CH192" i="1" s="1"/>
  <c r="V192" i="1"/>
  <c r="W192" i="1" s="1"/>
  <c r="AQ191" i="1"/>
  <c r="AO191" i="1"/>
  <c r="AC191" i="1"/>
  <c r="T191" i="1"/>
  <c r="Q191" i="1"/>
  <c r="BD190" i="1"/>
  <c r="P218" i="52" l="1"/>
  <c r="X219" i="52"/>
  <c r="T218" i="52"/>
  <c r="V218" i="52"/>
  <c r="AT191" i="1"/>
  <c r="CH191" i="1" s="1"/>
  <c r="V191" i="1"/>
  <c r="AQ190" i="1"/>
  <c r="AO190" i="1"/>
  <c r="AC190" i="1"/>
  <c r="T190" i="1"/>
  <c r="Q190" i="1"/>
  <c r="BD188" i="1"/>
  <c r="P217" i="52" l="1"/>
  <c r="X218" i="52"/>
  <c r="T217" i="52"/>
  <c r="V217" i="52"/>
  <c r="W191" i="1"/>
  <c r="AT190" i="1"/>
  <c r="CH190" i="1" s="1"/>
  <c r="V190" i="1"/>
  <c r="AQ188" i="1"/>
  <c r="AO188" i="1"/>
  <c r="AC188" i="1"/>
  <c r="T188" i="1"/>
  <c r="Q188" i="1"/>
  <c r="BD187" i="1"/>
  <c r="P216" i="52" l="1"/>
  <c r="X217" i="52"/>
  <c r="T216" i="52"/>
  <c r="V216" i="52"/>
  <c r="W190" i="1"/>
  <c r="AT188" i="1"/>
  <c r="CH188" i="1" s="1"/>
  <c r="V188" i="1"/>
  <c r="AQ187" i="1"/>
  <c r="AO187" i="1"/>
  <c r="AC187" i="1"/>
  <c r="T187" i="1"/>
  <c r="Q187" i="1"/>
  <c r="BD186" i="1"/>
  <c r="P215" i="52" l="1"/>
  <c r="X216" i="52"/>
  <c r="V215" i="52"/>
  <c r="T215" i="52"/>
  <c r="W188" i="1"/>
  <c r="AT187" i="1"/>
  <c r="CH187" i="1" s="1"/>
  <c r="V187" i="1"/>
  <c r="W187" i="1" s="1"/>
  <c r="AQ186" i="1"/>
  <c r="AO186" i="1"/>
  <c r="AC186" i="1"/>
  <c r="T186" i="1"/>
  <c r="Q186" i="1"/>
  <c r="BD185" i="1"/>
  <c r="P214" i="52" l="1"/>
  <c r="X215" i="52"/>
  <c r="V214" i="52"/>
  <c r="T214" i="52"/>
  <c r="AT186" i="1"/>
  <c r="CH186" i="1" s="1"/>
  <c r="V186" i="1"/>
  <c r="W186" i="1" s="1"/>
  <c r="AQ185" i="1"/>
  <c r="AO185" i="1"/>
  <c r="AC185" i="1"/>
  <c r="T185" i="1"/>
  <c r="Q185" i="1"/>
  <c r="BD183" i="1"/>
  <c r="P213" i="52" l="1"/>
  <c r="X214" i="52"/>
  <c r="T213" i="52"/>
  <c r="V213" i="52"/>
  <c r="AT185" i="1"/>
  <c r="CH185" i="1" s="1"/>
  <c r="V185" i="1"/>
  <c r="AQ183" i="1"/>
  <c r="AO183" i="1"/>
  <c r="AC183" i="1"/>
  <c r="Q183" i="1"/>
  <c r="BD182" i="1"/>
  <c r="X213" i="52" l="1"/>
  <c r="T211" i="52"/>
  <c r="V211" i="52"/>
  <c r="W185" i="1"/>
  <c r="AT183" i="1"/>
  <c r="CH183" i="1" s="1"/>
  <c r="V183" i="1"/>
  <c r="W183" i="1" s="1"/>
  <c r="AQ182" i="1"/>
  <c r="AO182" i="1"/>
  <c r="AC182" i="1"/>
  <c r="T182" i="1"/>
  <c r="Q182" i="1"/>
  <c r="BD180" i="1"/>
  <c r="P210" i="52" l="1"/>
  <c r="X211" i="52"/>
  <c r="V210" i="52"/>
  <c r="T210" i="52"/>
  <c r="AT182" i="1"/>
  <c r="CH182" i="1" s="1"/>
  <c r="V182" i="1"/>
  <c r="W182" i="1" s="1"/>
  <c r="AQ180" i="1"/>
  <c r="AO180" i="1"/>
  <c r="AC180" i="1"/>
  <c r="T180" i="1"/>
  <c r="Q180" i="1"/>
  <c r="BD179" i="1"/>
  <c r="P208" i="52" l="1"/>
  <c r="X210" i="52"/>
  <c r="V208" i="52"/>
  <c r="T208" i="52"/>
  <c r="AT180" i="1"/>
  <c r="CH180" i="1" s="1"/>
  <c r="V180" i="1"/>
  <c r="AQ179" i="1"/>
  <c r="AO179" i="1"/>
  <c r="AC179" i="1"/>
  <c r="T179" i="1"/>
  <c r="Q179" i="1"/>
  <c r="BD178" i="1"/>
  <c r="P207" i="52" l="1"/>
  <c r="X208" i="52"/>
  <c r="T207" i="52"/>
  <c r="V207" i="52"/>
  <c r="W180" i="1"/>
  <c r="AT179" i="1"/>
  <c r="CH179" i="1" s="1"/>
  <c r="V179" i="1"/>
  <c r="AQ178" i="1"/>
  <c r="AO178" i="1"/>
  <c r="AC178" i="1"/>
  <c r="T178" i="1"/>
  <c r="Q178" i="1"/>
  <c r="BD177" i="1"/>
  <c r="P206" i="52" l="1"/>
  <c r="X207" i="52"/>
  <c r="V206" i="52"/>
  <c r="T206" i="52"/>
  <c r="W179" i="1"/>
  <c r="AT178" i="1"/>
  <c r="CH178" i="1" s="1"/>
  <c r="V178" i="1"/>
  <c r="W178" i="1" s="1"/>
  <c r="AQ177" i="1"/>
  <c r="AO177" i="1"/>
  <c r="AC177" i="1"/>
  <c r="T177" i="1"/>
  <c r="Q177" i="1"/>
  <c r="BD176" i="1"/>
  <c r="P205" i="52" l="1"/>
  <c r="X206" i="52"/>
  <c r="V205" i="52"/>
  <c r="T205" i="52"/>
  <c r="AT177" i="1"/>
  <c r="CH177" i="1" s="1"/>
  <c r="V177" i="1"/>
  <c r="AQ176" i="1"/>
  <c r="AO176" i="1"/>
  <c r="AC176" i="1"/>
  <c r="T176" i="1"/>
  <c r="BD175" i="1"/>
  <c r="P203" i="52" l="1"/>
  <c r="X205" i="52"/>
  <c r="T203" i="52"/>
  <c r="V203" i="52"/>
  <c r="W177" i="1"/>
  <c r="AT176" i="1"/>
  <c r="CH176" i="1" s="1"/>
  <c r="V176" i="1"/>
  <c r="W176" i="1" s="1"/>
  <c r="AQ175" i="1"/>
  <c r="AO175" i="1"/>
  <c r="AC175" i="1"/>
  <c r="T175" i="1"/>
  <c r="Q175" i="1"/>
  <c r="P202" i="52" l="1"/>
  <c r="X203" i="52"/>
  <c r="T202" i="52"/>
  <c r="V202" i="52"/>
  <c r="AT175" i="1"/>
  <c r="CH175" i="1" s="1"/>
  <c r="V175" i="1"/>
  <c r="BD174" i="1"/>
  <c r="X202" i="52" l="1"/>
  <c r="W175" i="1"/>
  <c r="AQ174" i="1"/>
  <c r="AO174" i="1"/>
  <c r="AC174" i="1"/>
  <c r="T174" i="1"/>
  <c r="Q174" i="1"/>
  <c r="BD173" i="1"/>
  <c r="P201" i="52" l="1"/>
  <c r="V201" i="52"/>
  <c r="T201" i="52"/>
  <c r="AT174" i="1"/>
  <c r="CH174" i="1" s="1"/>
  <c r="V174" i="1"/>
  <c r="W174" i="1" s="1"/>
  <c r="AQ173" i="1"/>
  <c r="AO173" i="1"/>
  <c r="AC173" i="1"/>
  <c r="T173" i="1"/>
  <c r="Q173" i="1"/>
  <c r="BD172" i="1"/>
  <c r="P200" i="52" l="1"/>
  <c r="X201" i="52"/>
  <c r="T200" i="52"/>
  <c r="V200" i="52"/>
  <c r="AT173" i="1"/>
  <c r="CH173" i="1" s="1"/>
  <c r="V173" i="1"/>
  <c r="AQ172" i="1"/>
  <c r="AO172" i="1"/>
  <c r="AC172" i="1"/>
  <c r="T172" i="1"/>
  <c r="Q172" i="1"/>
  <c r="BD171" i="1"/>
  <c r="P199" i="52" l="1"/>
  <c r="X200" i="52"/>
  <c r="T199" i="52"/>
  <c r="V199" i="52"/>
  <c r="W173" i="1"/>
  <c r="AT172" i="1"/>
  <c r="CH172" i="1" s="1"/>
  <c r="V172" i="1"/>
  <c r="AQ171" i="1"/>
  <c r="AO171" i="1"/>
  <c r="AC171" i="1"/>
  <c r="T171" i="1"/>
  <c r="Q171" i="1"/>
  <c r="BD170" i="1"/>
  <c r="P198" i="52" l="1"/>
  <c r="X199" i="52"/>
  <c r="V198" i="52"/>
  <c r="T198" i="52"/>
  <c r="W172" i="1"/>
  <c r="AT171" i="1"/>
  <c r="CH171" i="1" s="1"/>
  <c r="V171" i="1"/>
  <c r="W171" i="1" s="1"/>
  <c r="AQ170" i="1"/>
  <c r="AO170" i="1"/>
  <c r="AC170" i="1"/>
  <c r="P197" i="52"/>
  <c r="Q170" i="1"/>
  <c r="BD169" i="1"/>
  <c r="X198" i="52" l="1"/>
  <c r="V197" i="52"/>
  <c r="T197" i="52"/>
  <c r="AT170" i="1"/>
  <c r="CH170" i="1" s="1"/>
  <c r="V170" i="1"/>
  <c r="AQ169" i="1"/>
  <c r="AO169" i="1"/>
  <c r="AC169" i="1"/>
  <c r="T169" i="1"/>
  <c r="Q169" i="1"/>
  <c r="BD168" i="1"/>
  <c r="P196" i="52" l="1"/>
  <c r="W170" i="1"/>
  <c r="X197" i="52"/>
  <c r="T196" i="52"/>
  <c r="V196" i="52"/>
  <c r="AT169" i="1"/>
  <c r="CH169" i="1" s="1"/>
  <c r="V169" i="1"/>
  <c r="W169" i="1" s="1"/>
  <c r="AQ168" i="1"/>
  <c r="AO168" i="1"/>
  <c r="AC168" i="1"/>
  <c r="T168" i="1"/>
  <c r="Q168" i="1"/>
  <c r="BD167" i="1"/>
  <c r="P195" i="52" l="1"/>
  <c r="X196" i="52"/>
  <c r="T195" i="52"/>
  <c r="V195" i="52"/>
  <c r="AT168" i="1"/>
  <c r="CH168" i="1" s="1"/>
  <c r="V168" i="1"/>
  <c r="W168" i="1" s="1"/>
  <c r="AQ167" i="1"/>
  <c r="AO167" i="1"/>
  <c r="AC167" i="1"/>
  <c r="T167" i="1"/>
  <c r="Q167" i="1"/>
  <c r="P194" i="52" l="1"/>
  <c r="X195" i="52"/>
  <c r="V194" i="52"/>
  <c r="T194" i="52"/>
  <c r="AT167" i="1"/>
  <c r="CH167" i="1" s="1"/>
  <c r="V167" i="1"/>
  <c r="BD166" i="1"/>
  <c r="X194" i="52" l="1"/>
  <c r="W167" i="1"/>
  <c r="AQ166" i="1"/>
  <c r="AO166" i="1"/>
  <c r="AC166" i="1"/>
  <c r="T166" i="1"/>
  <c r="Q166" i="1"/>
  <c r="BD165" i="1"/>
  <c r="P193" i="52" l="1"/>
  <c r="T193" i="52"/>
  <c r="V193" i="52"/>
  <c r="AT166" i="1"/>
  <c r="CH166" i="1" s="1"/>
  <c r="V166" i="1"/>
  <c r="AQ165" i="1"/>
  <c r="AO165" i="1"/>
  <c r="AC165" i="1"/>
  <c r="T165" i="1"/>
  <c r="Q165" i="1"/>
  <c r="P192" i="52" l="1"/>
  <c r="X193" i="52"/>
  <c r="T192" i="52"/>
  <c r="V192" i="52"/>
  <c r="W166" i="1"/>
  <c r="AT165" i="1"/>
  <c r="CH165" i="1" s="1"/>
  <c r="V165" i="1"/>
  <c r="W165" i="1" s="1"/>
  <c r="BD164" i="1"/>
  <c r="X192" i="52" l="1"/>
  <c r="AQ164" i="1"/>
  <c r="AO164" i="1"/>
  <c r="AC164" i="1"/>
  <c r="T164" i="1"/>
  <c r="Q164" i="1"/>
  <c r="BD160" i="1"/>
  <c r="P191" i="52" l="1"/>
  <c r="T191" i="52"/>
  <c r="V191" i="52"/>
  <c r="AT164" i="1"/>
  <c r="CH164" i="1" s="1"/>
  <c r="V164" i="1"/>
  <c r="AQ160" i="1"/>
  <c r="AO160" i="1"/>
  <c r="AC160" i="1"/>
  <c r="T160" i="1"/>
  <c r="Q160" i="1"/>
  <c r="P187" i="52" l="1"/>
  <c r="X191" i="52"/>
  <c r="V187" i="52"/>
  <c r="T187" i="52"/>
  <c r="W164" i="1"/>
  <c r="AT160" i="1"/>
  <c r="CH160" i="1" s="1"/>
  <c r="V160" i="1"/>
  <c r="W160" i="1" s="1"/>
  <c r="X187" i="52" l="1"/>
  <c r="AQ162" i="1"/>
  <c r="AO162" i="1"/>
  <c r="AC162" i="1"/>
  <c r="T162" i="1"/>
  <c r="Q162" i="1"/>
  <c r="BD159" i="1"/>
  <c r="P189" i="52" l="1"/>
  <c r="T189" i="52"/>
  <c r="V189" i="52"/>
  <c r="AT162" i="1"/>
  <c r="CH162" i="1" s="1"/>
  <c r="V162" i="1"/>
  <c r="AQ159" i="1"/>
  <c r="AO159" i="1"/>
  <c r="AC159" i="1"/>
  <c r="T159" i="1"/>
  <c r="Q159" i="1"/>
  <c r="P186" i="52" l="1"/>
  <c r="X189" i="52"/>
  <c r="V186" i="52"/>
  <c r="T186" i="52"/>
  <c r="W162" i="1"/>
  <c r="AT159" i="1"/>
  <c r="CH159" i="1" s="1"/>
  <c r="V159" i="1"/>
  <c r="W159" i="1" s="1"/>
  <c r="X186" i="52" l="1"/>
  <c r="BD158" i="1"/>
  <c r="AQ158" i="1" l="1"/>
  <c r="AO158" i="1"/>
  <c r="AC158" i="1"/>
  <c r="T158" i="1"/>
  <c r="Q158" i="1"/>
  <c r="P185" i="52" l="1"/>
  <c r="T185" i="52"/>
  <c r="V185" i="52"/>
  <c r="AT158" i="1"/>
  <c r="CH158" i="1" s="1"/>
  <c r="V158" i="1"/>
  <c r="W158" i="1" s="1"/>
  <c r="X185" i="52" l="1"/>
  <c r="BD156" i="1"/>
  <c r="AQ156" i="1" l="1"/>
  <c r="AO156" i="1"/>
  <c r="AC156" i="1"/>
  <c r="T156" i="1"/>
  <c r="Q156" i="1"/>
  <c r="P183" i="52" l="1"/>
  <c r="V183" i="52"/>
  <c r="T183" i="52"/>
  <c r="AT156" i="1"/>
  <c r="CH156" i="1" s="1"/>
  <c r="V156" i="1"/>
  <c r="BD154" i="1"/>
  <c r="X183" i="52" l="1"/>
  <c r="W156" i="1"/>
  <c r="AQ154" i="1"/>
  <c r="AO154" i="1"/>
  <c r="AC154" i="1"/>
  <c r="T154" i="1"/>
  <c r="Q154" i="1"/>
  <c r="BD153" i="1"/>
  <c r="P181" i="52" l="1"/>
  <c r="V181" i="52"/>
  <c r="T181" i="52"/>
  <c r="AT154" i="1"/>
  <c r="CH154" i="1" s="1"/>
  <c r="V154" i="1"/>
  <c r="AQ153" i="1"/>
  <c r="AO153" i="1"/>
  <c r="AC153" i="1"/>
  <c r="T153" i="1"/>
  <c r="Q153" i="1"/>
  <c r="BD152" i="1"/>
  <c r="P180" i="52" l="1"/>
  <c r="X181" i="52"/>
  <c r="T180" i="52"/>
  <c r="V180" i="52"/>
  <c r="W154" i="1"/>
  <c r="AT153" i="1"/>
  <c r="CH153" i="1" s="1"/>
  <c r="V153" i="1"/>
  <c r="W153" i="1" s="1"/>
  <c r="AQ152" i="1"/>
  <c r="AO152" i="1"/>
  <c r="AC152" i="1"/>
  <c r="T152" i="1"/>
  <c r="Q152" i="1"/>
  <c r="BD151" i="1"/>
  <c r="P179" i="52" l="1"/>
  <c r="X180" i="52"/>
  <c r="V179" i="52"/>
  <c r="T179" i="52"/>
  <c r="AT152" i="1"/>
  <c r="CH152" i="1" s="1"/>
  <c r="V152" i="1"/>
  <c r="AQ151" i="1"/>
  <c r="AO151" i="1"/>
  <c r="AC151" i="1"/>
  <c r="T151" i="1"/>
  <c r="Q151" i="1"/>
  <c r="BD150" i="1"/>
  <c r="W152" i="1" l="1"/>
  <c r="P178" i="52"/>
  <c r="X179" i="52"/>
  <c r="T178" i="52"/>
  <c r="V178" i="52"/>
  <c r="AT151" i="1"/>
  <c r="CH151" i="1" s="1"/>
  <c r="V151" i="1"/>
  <c r="W151" i="1" s="1"/>
  <c r="AQ150" i="1"/>
  <c r="AO150" i="1"/>
  <c r="AC150" i="1"/>
  <c r="T150" i="1"/>
  <c r="Q150" i="1"/>
  <c r="P177" i="52" l="1"/>
  <c r="X178" i="52"/>
  <c r="T177" i="52"/>
  <c r="V177" i="52"/>
  <c r="AT150" i="1"/>
  <c r="CH150" i="1" s="1"/>
  <c r="V150" i="1"/>
  <c r="X177" i="52" l="1"/>
  <c r="W150" i="1"/>
  <c r="V176" i="52" l="1"/>
  <c r="T176" i="52"/>
  <c r="P176" i="52"/>
  <c r="BD149" i="1"/>
  <c r="X176" i="52" l="1"/>
  <c r="AQ149" i="1"/>
  <c r="AO149" i="1"/>
  <c r="AC149" i="1"/>
  <c r="T149" i="1"/>
  <c r="Q149" i="1"/>
  <c r="BD148" i="1"/>
  <c r="P175" i="52" l="1"/>
  <c r="V175" i="52"/>
  <c r="T175" i="52"/>
  <c r="AT149" i="1"/>
  <c r="CH149" i="1" s="1"/>
  <c r="V149" i="1"/>
  <c r="W149" i="1" s="1"/>
  <c r="AQ148" i="1"/>
  <c r="AO148" i="1"/>
  <c r="AC148" i="1"/>
  <c r="T148" i="1"/>
  <c r="Q148" i="1"/>
  <c r="BD147" i="1"/>
  <c r="P174" i="52" l="1"/>
  <c r="X175" i="52"/>
  <c r="V174" i="52"/>
  <c r="T174" i="52"/>
  <c r="AT148" i="1"/>
  <c r="CH148" i="1" s="1"/>
  <c r="V148" i="1"/>
  <c r="W148" i="1" s="1"/>
  <c r="AQ147" i="1"/>
  <c r="AO147" i="1"/>
  <c r="AC147" i="1"/>
  <c r="T147" i="1"/>
  <c r="Q147" i="1"/>
  <c r="BD146" i="1"/>
  <c r="P173" i="52" l="1"/>
  <c r="X174" i="52"/>
  <c r="T173" i="52"/>
  <c r="V173" i="52"/>
  <c r="AT147" i="1"/>
  <c r="CH147" i="1" s="1"/>
  <c r="V147" i="1"/>
  <c r="W147" i="1" s="1"/>
  <c r="AQ146" i="1"/>
  <c r="AO146" i="1"/>
  <c r="AC146" i="1"/>
  <c r="T146" i="1"/>
  <c r="Q146" i="1"/>
  <c r="P172" i="52" l="1"/>
  <c r="X173" i="52"/>
  <c r="V172" i="52"/>
  <c r="T172" i="52"/>
  <c r="AT146" i="1"/>
  <c r="CH146" i="1" s="1"/>
  <c r="V146" i="1"/>
  <c r="W146" i="1" s="1"/>
  <c r="BD145" i="1"/>
  <c r="X172" i="52" l="1"/>
  <c r="AQ145" i="1"/>
  <c r="AO145" i="1"/>
  <c r="AC145" i="1"/>
  <c r="T145" i="1"/>
  <c r="Q145" i="1"/>
  <c r="BD144" i="1"/>
  <c r="P171" i="52" l="1"/>
  <c r="T171" i="52"/>
  <c r="V171" i="52"/>
  <c r="AT145" i="1"/>
  <c r="CH145" i="1" s="1"/>
  <c r="V145" i="1"/>
  <c r="W145" i="1" s="1"/>
  <c r="AQ144" i="1"/>
  <c r="AO144" i="1"/>
  <c r="AC144" i="1"/>
  <c r="T144" i="1"/>
  <c r="Q144" i="1"/>
  <c r="BD142" i="1"/>
  <c r="P170" i="52" l="1"/>
  <c r="X171" i="52"/>
  <c r="T170" i="52"/>
  <c r="V170" i="52"/>
  <c r="AT144" i="1"/>
  <c r="CH144" i="1" s="1"/>
  <c r="V144" i="1"/>
  <c r="W144" i="1" s="1"/>
  <c r="AQ142" i="1"/>
  <c r="AO142" i="1"/>
  <c r="AC142" i="1"/>
  <c r="T142" i="1"/>
  <c r="Q142" i="1"/>
  <c r="BD141" i="1"/>
  <c r="P169" i="52" l="1"/>
  <c r="X170" i="52"/>
  <c r="T169" i="52"/>
  <c r="V169" i="52"/>
  <c r="AT142" i="1"/>
  <c r="CH142" i="1" s="1"/>
  <c r="V142" i="1"/>
  <c r="W142" i="1" s="1"/>
  <c r="AQ141" i="1"/>
  <c r="AO141" i="1"/>
  <c r="AC141" i="1"/>
  <c r="T141" i="1"/>
  <c r="Q141" i="1"/>
  <c r="BD140" i="1"/>
  <c r="P168" i="52" l="1"/>
  <c r="X169" i="52"/>
  <c r="V168" i="52"/>
  <c r="T168" i="52"/>
  <c r="AT141" i="1"/>
  <c r="CH141" i="1" s="1"/>
  <c r="V141" i="1"/>
  <c r="W141" i="1" s="1"/>
  <c r="AQ140" i="1"/>
  <c r="AO140" i="1"/>
  <c r="AC140" i="1"/>
  <c r="T140" i="1"/>
  <c r="Q140" i="1"/>
  <c r="P167" i="52" l="1"/>
  <c r="X168" i="52"/>
  <c r="V167" i="52"/>
  <c r="T167" i="52"/>
  <c r="AT140" i="1"/>
  <c r="CH140" i="1" s="1"/>
  <c r="V140" i="1"/>
  <c r="W140" i="1" s="1"/>
  <c r="BD138" i="1"/>
  <c r="X167" i="52" l="1"/>
  <c r="AQ138" i="1"/>
  <c r="AO138" i="1"/>
  <c r="AC138" i="1"/>
  <c r="T138" i="1"/>
  <c r="Q138" i="1"/>
  <c r="BD137" i="1"/>
  <c r="P165" i="52" l="1"/>
  <c r="T165" i="52"/>
  <c r="V165" i="52"/>
  <c r="AT138" i="1"/>
  <c r="CH138" i="1" s="1"/>
  <c r="V138" i="1"/>
  <c r="W138" i="1" s="1"/>
  <c r="AQ137" i="1"/>
  <c r="AO137" i="1"/>
  <c r="AC137" i="1"/>
  <c r="T137" i="1"/>
  <c r="Q137" i="1"/>
  <c r="P164" i="52" l="1"/>
  <c r="X165" i="52"/>
  <c r="T164" i="52"/>
  <c r="V164" i="52"/>
  <c r="AT137" i="1"/>
  <c r="CH137" i="1" s="1"/>
  <c r="V137" i="1"/>
  <c r="P163" i="52"/>
  <c r="X164" i="52" l="1"/>
  <c r="T163" i="52"/>
  <c r="V163" i="52"/>
  <c r="W137" i="1"/>
  <c r="BD136" i="1"/>
  <c r="X163" i="52" l="1"/>
  <c r="AQ136" i="1"/>
  <c r="AO136" i="1"/>
  <c r="AC136" i="1"/>
  <c r="T136" i="1"/>
  <c r="Q136" i="1"/>
  <c r="BD135" i="1"/>
  <c r="P162" i="52" l="1"/>
  <c r="T162" i="52"/>
  <c r="V162" i="52"/>
  <c r="AT136" i="1"/>
  <c r="CH136" i="1" s="1"/>
  <c r="V136" i="1"/>
  <c r="W136" i="1" s="1"/>
  <c r="AQ135" i="1"/>
  <c r="AO135" i="1"/>
  <c r="AC135" i="1"/>
  <c r="T135" i="1"/>
  <c r="Q135" i="1"/>
  <c r="BD132" i="1"/>
  <c r="P161" i="52" l="1"/>
  <c r="X162" i="52"/>
  <c r="V161" i="52"/>
  <c r="T161" i="52"/>
  <c r="AT135" i="1"/>
  <c r="CH135" i="1" s="1"/>
  <c r="V135" i="1"/>
  <c r="W135" i="1" s="1"/>
  <c r="AQ132" i="1"/>
  <c r="AO132" i="1"/>
  <c r="AC132" i="1"/>
  <c r="T132" i="1"/>
  <c r="Q132" i="1"/>
  <c r="P158" i="52" l="1"/>
  <c r="X161" i="52"/>
  <c r="T158" i="52"/>
  <c r="V158" i="52"/>
  <c r="AT132" i="1"/>
  <c r="CH132" i="1" s="1"/>
  <c r="V132" i="1"/>
  <c r="BD131" i="1"/>
  <c r="P157" i="52" l="1"/>
  <c r="X158" i="52"/>
  <c r="V157" i="52"/>
  <c r="T157" i="52"/>
  <c r="W132" i="1"/>
  <c r="AQ131" i="1"/>
  <c r="AO131" i="1"/>
  <c r="AC131" i="1"/>
  <c r="T131" i="1"/>
  <c r="Q131" i="1"/>
  <c r="BD130" i="1"/>
  <c r="P156" i="52" l="1"/>
  <c r="X157" i="52"/>
  <c r="T156" i="52"/>
  <c r="V156" i="52"/>
  <c r="AT131" i="1"/>
  <c r="CH131" i="1" s="1"/>
  <c r="V131" i="1"/>
  <c r="W131" i="1" s="1"/>
  <c r="AQ130" i="1"/>
  <c r="AO130" i="1"/>
  <c r="AC130" i="1"/>
  <c r="T130" i="1"/>
  <c r="Q130" i="1"/>
  <c r="BD128" i="1"/>
  <c r="P155" i="52" l="1"/>
  <c r="X156" i="52"/>
  <c r="V155" i="52"/>
  <c r="T155" i="52"/>
  <c r="AT130" i="1"/>
  <c r="CH130" i="1" s="1"/>
  <c r="V130" i="1"/>
  <c r="W130" i="1" s="1"/>
  <c r="AQ128" i="1"/>
  <c r="AO128" i="1"/>
  <c r="AC128" i="1"/>
  <c r="T128" i="1"/>
  <c r="Q128" i="1"/>
  <c r="BD126" i="1"/>
  <c r="P152" i="52" l="1"/>
  <c r="X155" i="52"/>
  <c r="T152" i="52"/>
  <c r="V152" i="52"/>
  <c r="AT128" i="1"/>
  <c r="CH128" i="1" s="1"/>
  <c r="V128" i="1"/>
  <c r="W128" i="1" s="1"/>
  <c r="AQ126" i="1"/>
  <c r="AO126" i="1"/>
  <c r="AC126" i="1"/>
  <c r="T126" i="1"/>
  <c r="Q126" i="1"/>
  <c r="BD125" i="1"/>
  <c r="P150" i="52" l="1"/>
  <c r="X152" i="52"/>
  <c r="V150" i="52"/>
  <c r="T150" i="52"/>
  <c r="AT126" i="1"/>
  <c r="CH126" i="1" s="1"/>
  <c r="V126" i="1"/>
  <c r="AQ125" i="1"/>
  <c r="AO125" i="1"/>
  <c r="AC125" i="1"/>
  <c r="T125" i="1"/>
  <c r="Q125" i="1"/>
  <c r="BD124" i="1"/>
  <c r="P149" i="52" l="1"/>
  <c r="X150" i="52"/>
  <c r="T149" i="52"/>
  <c r="V149" i="52"/>
  <c r="W126" i="1"/>
  <c r="AT125" i="1"/>
  <c r="CH125" i="1" s="1"/>
  <c r="V125" i="1"/>
  <c r="W125" i="1" s="1"/>
  <c r="AQ124" i="1"/>
  <c r="AO124" i="1"/>
  <c r="AC124" i="1"/>
  <c r="T124" i="1"/>
  <c r="Q124" i="1"/>
  <c r="P148" i="52" l="1"/>
  <c r="X149" i="52"/>
  <c r="T148" i="52"/>
  <c r="V148" i="52"/>
  <c r="AT124" i="1"/>
  <c r="CH124" i="1" s="1"/>
  <c r="V124" i="1"/>
  <c r="W124" i="1" s="1"/>
  <c r="BD123" i="1"/>
  <c r="X148" i="52" l="1"/>
  <c r="AQ123" i="1"/>
  <c r="AO123" i="1"/>
  <c r="AC123" i="1"/>
  <c r="T123" i="1"/>
  <c r="Q123" i="1"/>
  <c r="BD122" i="1"/>
  <c r="P147" i="52" l="1"/>
  <c r="V147" i="52"/>
  <c r="T147" i="52"/>
  <c r="AT123" i="1"/>
  <c r="CH123" i="1" s="1"/>
  <c r="V123" i="1"/>
  <c r="W123" i="1" s="1"/>
  <c r="AQ122" i="1"/>
  <c r="AO122" i="1"/>
  <c r="AC122" i="1"/>
  <c r="T122" i="1"/>
  <c r="Q122" i="1"/>
  <c r="P146" i="52" l="1"/>
  <c r="X147" i="52"/>
  <c r="T146" i="52"/>
  <c r="V146" i="52"/>
  <c r="AT122" i="1"/>
  <c r="CH122" i="1" s="1"/>
  <c r="V122" i="1"/>
  <c r="W122" i="1" s="1"/>
  <c r="X146" i="52" l="1"/>
  <c r="BD118" i="1"/>
  <c r="AQ118" i="1" l="1"/>
  <c r="AO118" i="1"/>
  <c r="AC118" i="1"/>
  <c r="T118" i="1"/>
  <c r="Q118" i="1"/>
  <c r="BD117" i="1"/>
  <c r="P142" i="52" l="1"/>
  <c r="V142" i="52"/>
  <c r="T142" i="52"/>
  <c r="AT118" i="1"/>
  <c r="CH118" i="1" s="1"/>
  <c r="V118" i="1"/>
  <c r="W118" i="1" s="1"/>
  <c r="AQ117" i="1"/>
  <c r="AO117" i="1"/>
  <c r="AC117" i="1"/>
  <c r="T117" i="1"/>
  <c r="Q117" i="1"/>
  <c r="BD116" i="1"/>
  <c r="P141" i="52" l="1"/>
  <c r="X142" i="52"/>
  <c r="V141" i="52"/>
  <c r="T141" i="52"/>
  <c r="AT117" i="1"/>
  <c r="CH117" i="1" s="1"/>
  <c r="V117" i="1"/>
  <c r="W117" i="1" s="1"/>
  <c r="AQ116" i="1"/>
  <c r="AO116" i="1"/>
  <c r="AC116" i="1"/>
  <c r="T116" i="1"/>
  <c r="Q116" i="1"/>
  <c r="BD115" i="1"/>
  <c r="P140" i="52" l="1"/>
  <c r="X141" i="52"/>
  <c r="T140" i="52"/>
  <c r="V140" i="52"/>
  <c r="AT116" i="1"/>
  <c r="CH116" i="1" s="1"/>
  <c r="V116" i="1"/>
  <c r="W116" i="1" s="1"/>
  <c r="AQ115" i="1"/>
  <c r="AO115" i="1"/>
  <c r="AC115" i="1"/>
  <c r="T115" i="1"/>
  <c r="Q115" i="1"/>
  <c r="BD114" i="1"/>
  <c r="P139" i="52" l="1"/>
  <c r="X140" i="52"/>
  <c r="T139" i="52"/>
  <c r="V139" i="52"/>
  <c r="AT115" i="1"/>
  <c r="CH115" i="1" s="1"/>
  <c r="V115" i="1"/>
  <c r="W115" i="1" s="1"/>
  <c r="AQ114" i="1"/>
  <c r="AO114" i="1"/>
  <c r="AC114" i="1"/>
  <c r="T114" i="1"/>
  <c r="Q114" i="1"/>
  <c r="BD112" i="1"/>
  <c r="P138" i="52" l="1"/>
  <c r="X139" i="52"/>
  <c r="T138" i="52"/>
  <c r="V138" i="52"/>
  <c r="AT114" i="1"/>
  <c r="CH114" i="1" s="1"/>
  <c r="V114" i="1"/>
  <c r="W114" i="1" s="1"/>
  <c r="AQ112" i="1"/>
  <c r="AO112" i="1"/>
  <c r="AC112" i="1"/>
  <c r="T112" i="1"/>
  <c r="Q112" i="1"/>
  <c r="P136" i="52" l="1"/>
  <c r="X138" i="52"/>
  <c r="V136" i="52"/>
  <c r="T136" i="52"/>
  <c r="AT112" i="1"/>
  <c r="CH112" i="1" s="1"/>
  <c r="V112" i="1"/>
  <c r="W112" i="1" s="1"/>
  <c r="BD111" i="1"/>
  <c r="X136" i="52" l="1"/>
  <c r="AQ111" i="1"/>
  <c r="AO111" i="1"/>
  <c r="AC111" i="1"/>
  <c r="T111" i="1"/>
  <c r="Q111" i="1"/>
  <c r="BD110" i="1"/>
  <c r="P135" i="52" l="1"/>
  <c r="T135" i="52"/>
  <c r="V135" i="52"/>
  <c r="AT111" i="1"/>
  <c r="CH111" i="1" s="1"/>
  <c r="V111" i="1"/>
  <c r="W111" i="1" s="1"/>
  <c r="AQ110" i="1"/>
  <c r="AO110" i="1"/>
  <c r="AC110" i="1"/>
  <c r="T110" i="1"/>
  <c r="Q110" i="1"/>
  <c r="P134" i="52" l="1"/>
  <c r="X135" i="52"/>
  <c r="T134" i="52"/>
  <c r="V134" i="52"/>
  <c r="AT110" i="1"/>
  <c r="CH110" i="1" s="1"/>
  <c r="V110" i="1"/>
  <c r="W110" i="1" s="1"/>
  <c r="BD107" i="1"/>
  <c r="X134" i="52" l="1"/>
  <c r="AQ107" i="1"/>
  <c r="AO107" i="1"/>
  <c r="AC107" i="1"/>
  <c r="T107" i="1"/>
  <c r="Q107" i="1"/>
  <c r="BD106" i="1"/>
  <c r="P130" i="52" l="1"/>
  <c r="T130" i="52"/>
  <c r="V130" i="52"/>
  <c r="AT107" i="1"/>
  <c r="CH107" i="1" s="1"/>
  <c r="V107" i="1"/>
  <c r="W107" i="1" s="1"/>
  <c r="AQ106" i="1"/>
  <c r="AO106" i="1"/>
  <c r="AC106" i="1"/>
  <c r="T106" i="1"/>
  <c r="Q106" i="1"/>
  <c r="P129" i="52" l="1"/>
  <c r="X130" i="52"/>
  <c r="T129" i="52"/>
  <c r="V129" i="52"/>
  <c r="AT106" i="1"/>
  <c r="CH106" i="1" s="1"/>
  <c r="V106" i="1"/>
  <c r="W106" i="1" s="1"/>
  <c r="BD105" i="1"/>
  <c r="X129" i="52" l="1"/>
  <c r="AQ105" i="1"/>
  <c r="AO105" i="1"/>
  <c r="AC105" i="1"/>
  <c r="T105" i="1"/>
  <c r="Q105" i="1"/>
  <c r="P128" i="52" l="1"/>
  <c r="V128" i="52"/>
  <c r="T128" i="52"/>
  <c r="AT105" i="1"/>
  <c r="CH105" i="1" s="1"/>
  <c r="V105" i="1"/>
  <c r="W105" i="1" s="1"/>
  <c r="BD103" i="1"/>
  <c r="X128" i="52" l="1"/>
  <c r="AQ103" i="1"/>
  <c r="AO103" i="1"/>
  <c r="AC103" i="1"/>
  <c r="T103" i="1"/>
  <c r="Q103" i="1"/>
  <c r="P126" i="52" l="1"/>
  <c r="T126" i="52"/>
  <c r="V126" i="52"/>
  <c r="AT103" i="1"/>
  <c r="CH103" i="1" s="1"/>
  <c r="V103" i="1"/>
  <c r="W103" i="1" s="1"/>
  <c r="BD101" i="1"/>
  <c r="X126" i="52" l="1"/>
  <c r="AQ101" i="1"/>
  <c r="AO101" i="1"/>
  <c r="AC101" i="1"/>
  <c r="T101" i="1"/>
  <c r="Q101" i="1"/>
  <c r="BD100" i="1"/>
  <c r="P124" i="52" l="1"/>
  <c r="T124" i="52"/>
  <c r="V124" i="52"/>
  <c r="AT101" i="1"/>
  <c r="CH101" i="1" s="1"/>
  <c r="V101" i="1"/>
  <c r="W101" i="1" s="1"/>
  <c r="AQ100" i="1"/>
  <c r="AO100" i="1"/>
  <c r="AC100" i="1"/>
  <c r="T100" i="1"/>
  <c r="BD99" i="1"/>
  <c r="P123" i="52" l="1"/>
  <c r="X124" i="52"/>
  <c r="T123" i="52"/>
  <c r="V123" i="52"/>
  <c r="AT100" i="1"/>
  <c r="CH100" i="1" s="1"/>
  <c r="V100" i="1"/>
  <c r="W100" i="1" s="1"/>
  <c r="AQ99" i="1"/>
  <c r="AO99" i="1"/>
  <c r="AC99" i="1"/>
  <c r="T99" i="1"/>
  <c r="Q99" i="1"/>
  <c r="BD98" i="1"/>
  <c r="P122" i="52" l="1"/>
  <c r="X123" i="52"/>
  <c r="T122" i="52"/>
  <c r="V122" i="52"/>
  <c r="AT99" i="1"/>
  <c r="CH99" i="1" s="1"/>
  <c r="V99" i="1"/>
  <c r="AQ98" i="1"/>
  <c r="AO98" i="1"/>
  <c r="AC98" i="1"/>
  <c r="T98" i="1"/>
  <c r="Q98" i="1"/>
  <c r="BD97" i="1"/>
  <c r="P121" i="52" l="1"/>
  <c r="X122" i="52"/>
  <c r="T121" i="52"/>
  <c r="V121" i="52"/>
  <c r="W99" i="1"/>
  <c r="AT98" i="1"/>
  <c r="CH98" i="1" s="1"/>
  <c r="V98" i="1"/>
  <c r="W98" i="1" s="1"/>
  <c r="AQ97" i="1"/>
  <c r="AO97" i="1"/>
  <c r="AC97" i="1"/>
  <c r="T97" i="1"/>
  <c r="Q97" i="1"/>
  <c r="P120" i="52" l="1"/>
  <c r="X121" i="52"/>
  <c r="V120" i="52"/>
  <c r="T120" i="52"/>
  <c r="AT97" i="1"/>
  <c r="CH97" i="1" s="1"/>
  <c r="V97" i="1"/>
  <c r="X120" i="52" l="1"/>
  <c r="W97" i="1"/>
  <c r="BD95" i="1" l="1"/>
  <c r="AQ95" i="1" l="1"/>
  <c r="AO95" i="1"/>
  <c r="AC95" i="1"/>
  <c r="T95" i="1"/>
  <c r="Q95" i="1"/>
  <c r="BD94" i="1"/>
  <c r="P118" i="52" l="1"/>
  <c r="V118" i="52"/>
  <c r="T118" i="52"/>
  <c r="AT95" i="1"/>
  <c r="CH95" i="1" s="1"/>
  <c r="V95" i="1"/>
  <c r="AQ94" i="1"/>
  <c r="AO94" i="1"/>
  <c r="AC94" i="1"/>
  <c r="T94" i="1"/>
  <c r="Q94" i="1"/>
  <c r="BD93" i="1"/>
  <c r="P117" i="52" l="1"/>
  <c r="X118" i="52"/>
  <c r="V117" i="52"/>
  <c r="T117" i="52"/>
  <c r="W95" i="1"/>
  <c r="AT94" i="1"/>
  <c r="CH94" i="1" s="1"/>
  <c r="V94" i="1"/>
  <c r="AQ93" i="1"/>
  <c r="AO93" i="1"/>
  <c r="AC93" i="1"/>
  <c r="T93" i="1"/>
  <c r="Q93" i="1"/>
  <c r="BD91" i="1"/>
  <c r="P116" i="52" l="1"/>
  <c r="X117" i="52"/>
  <c r="T116" i="52"/>
  <c r="V116" i="52"/>
  <c r="W94" i="1"/>
  <c r="AT93" i="1"/>
  <c r="CH93" i="1" s="1"/>
  <c r="V93" i="1"/>
  <c r="W93" i="1" s="1"/>
  <c r="AQ91" i="1"/>
  <c r="AO91" i="1"/>
  <c r="AC91" i="1"/>
  <c r="T91" i="1"/>
  <c r="Q91" i="1"/>
  <c r="P114" i="52" l="1"/>
  <c r="X116" i="52"/>
  <c r="V114" i="52"/>
  <c r="T114" i="52"/>
  <c r="AT91" i="1"/>
  <c r="CH91" i="1" s="1"/>
  <c r="V91" i="1"/>
  <c r="W91" i="1" s="1"/>
  <c r="BD89" i="1"/>
  <c r="X114" i="52" l="1"/>
  <c r="AQ89" i="1"/>
  <c r="AO89" i="1"/>
  <c r="AC89" i="1"/>
  <c r="T89" i="1"/>
  <c r="Q89" i="1"/>
  <c r="BD88" i="1"/>
  <c r="P112" i="52" l="1"/>
  <c r="V112" i="52"/>
  <c r="T112" i="52"/>
  <c r="AT89" i="1"/>
  <c r="CH89" i="1" s="1"/>
  <c r="V89" i="1"/>
  <c r="W89" i="1" s="1"/>
  <c r="AQ88" i="1"/>
  <c r="AO88" i="1"/>
  <c r="AC88" i="1"/>
  <c r="T88" i="1"/>
  <c r="Q88" i="1"/>
  <c r="BD87" i="1"/>
  <c r="P111" i="52" l="1"/>
  <c r="X112" i="52"/>
  <c r="T111" i="52"/>
  <c r="V111" i="52"/>
  <c r="AT88" i="1"/>
  <c r="CH88" i="1" s="1"/>
  <c r="V88" i="1"/>
  <c r="AQ87" i="1"/>
  <c r="AO87" i="1"/>
  <c r="AC87" i="1"/>
  <c r="T87" i="1"/>
  <c r="BD86" i="1"/>
  <c r="P110" i="52" l="1"/>
  <c r="X111" i="52"/>
  <c r="T110" i="52"/>
  <c r="V110" i="52"/>
  <c r="W88" i="1"/>
  <c r="AT87" i="1"/>
  <c r="CH87" i="1" s="1"/>
  <c r="V87" i="1"/>
  <c r="W87" i="1" s="1"/>
  <c r="AQ86" i="1"/>
  <c r="AO86" i="1"/>
  <c r="AC86" i="1"/>
  <c r="T86" i="1"/>
  <c r="Q86" i="1"/>
  <c r="P109" i="52" l="1"/>
  <c r="X110" i="52"/>
  <c r="V109" i="52"/>
  <c r="T109" i="52"/>
  <c r="AT86" i="1"/>
  <c r="CH86" i="1" s="1"/>
  <c r="V86" i="1"/>
  <c r="W86" i="1" s="1"/>
  <c r="BD83" i="1"/>
  <c r="X109" i="52" l="1"/>
  <c r="AQ83" i="1"/>
  <c r="AO83" i="1"/>
  <c r="AC83" i="1"/>
  <c r="T83" i="1"/>
  <c r="Q83" i="1"/>
  <c r="P106" i="52" l="1"/>
  <c r="V106" i="52"/>
  <c r="T106" i="52"/>
  <c r="AT83" i="1"/>
  <c r="CH83" i="1" s="1"/>
  <c r="V83" i="1"/>
  <c r="W83" i="1" s="1"/>
  <c r="BD82" i="1"/>
  <c r="X106" i="52" l="1"/>
  <c r="AQ82" i="1"/>
  <c r="AO82" i="1"/>
  <c r="AC82" i="1"/>
  <c r="T82" i="1"/>
  <c r="BD81" i="1"/>
  <c r="P105" i="52" l="1"/>
  <c r="V105" i="52"/>
  <c r="T105" i="52"/>
  <c r="AT82" i="1"/>
  <c r="CH82" i="1" s="1"/>
  <c r="V82" i="1"/>
  <c r="W82" i="1" s="1"/>
  <c r="AQ81" i="1"/>
  <c r="AO81" i="1"/>
  <c r="AC81" i="1"/>
  <c r="T81" i="1"/>
  <c r="Q81" i="1"/>
  <c r="BD80" i="1"/>
  <c r="P104" i="52" l="1"/>
  <c r="X105" i="52"/>
  <c r="T104" i="52"/>
  <c r="V104" i="52"/>
  <c r="AT81" i="1"/>
  <c r="CH81" i="1" s="1"/>
  <c r="V81" i="1"/>
  <c r="AQ80" i="1"/>
  <c r="AO80" i="1"/>
  <c r="AC80" i="1"/>
  <c r="T80" i="1"/>
  <c r="Q80" i="1"/>
  <c r="BD79" i="1"/>
  <c r="P103" i="52" l="1"/>
  <c r="X104" i="52"/>
  <c r="T103" i="52"/>
  <c r="V103" i="52"/>
  <c r="W81" i="1"/>
  <c r="AT80" i="1"/>
  <c r="CH80" i="1" s="1"/>
  <c r="V80" i="1"/>
  <c r="AQ79" i="1"/>
  <c r="AO79" i="1"/>
  <c r="AC79" i="1"/>
  <c r="T79" i="1"/>
  <c r="Q79" i="1"/>
  <c r="P102" i="52" l="1"/>
  <c r="X103" i="52"/>
  <c r="V102" i="52"/>
  <c r="T102" i="52"/>
  <c r="W80" i="1"/>
  <c r="AT79" i="1"/>
  <c r="CH79" i="1" s="1"/>
  <c r="V79" i="1"/>
  <c r="BD78" i="1"/>
  <c r="X102" i="52" l="1"/>
  <c r="W79" i="1"/>
  <c r="AQ78" i="1"/>
  <c r="AO78" i="1"/>
  <c r="AC78" i="1"/>
  <c r="T78" i="1"/>
  <c r="Q78" i="1"/>
  <c r="BD77" i="1"/>
  <c r="P101" i="52" l="1"/>
  <c r="V101" i="52"/>
  <c r="T101" i="52"/>
  <c r="AT78" i="1"/>
  <c r="CH78" i="1" s="1"/>
  <c r="V78" i="1"/>
  <c r="W78" i="1" s="1"/>
  <c r="AQ77" i="1"/>
  <c r="AO77" i="1"/>
  <c r="AC77" i="1"/>
  <c r="T77" i="1"/>
  <c r="BD76" i="1"/>
  <c r="P100" i="52" l="1"/>
  <c r="X101" i="52"/>
  <c r="T100" i="52"/>
  <c r="V100" i="52"/>
  <c r="AT77" i="1"/>
  <c r="CH77" i="1" s="1"/>
  <c r="V77" i="1"/>
  <c r="W77" i="1" s="1"/>
  <c r="AQ76" i="1"/>
  <c r="AO76" i="1"/>
  <c r="AC76" i="1"/>
  <c r="T76" i="1"/>
  <c r="Q76" i="1"/>
  <c r="BD75" i="1"/>
  <c r="P99" i="52" l="1"/>
  <c r="X100" i="52"/>
  <c r="V99" i="52"/>
  <c r="T99" i="52"/>
  <c r="AT76" i="1"/>
  <c r="CH76" i="1" s="1"/>
  <c r="V76" i="1"/>
  <c r="AQ75" i="1"/>
  <c r="AO75" i="1"/>
  <c r="AC75" i="1"/>
  <c r="T75" i="1"/>
  <c r="Q75" i="1"/>
  <c r="BD74" i="1"/>
  <c r="P98" i="52" l="1"/>
  <c r="X99" i="52"/>
  <c r="V98" i="52"/>
  <c r="T98" i="52"/>
  <c r="W76" i="1"/>
  <c r="AT75" i="1"/>
  <c r="CH75" i="1" s="1"/>
  <c r="V75" i="1"/>
  <c r="W75" i="1" s="1"/>
  <c r="AQ74" i="1"/>
  <c r="AO74" i="1"/>
  <c r="AC74" i="1"/>
  <c r="T74" i="1"/>
  <c r="Q74" i="1"/>
  <c r="BD73" i="1"/>
  <c r="P97" i="52" l="1"/>
  <c r="X98" i="52"/>
  <c r="V97" i="52"/>
  <c r="T97" i="52"/>
  <c r="AT74" i="1"/>
  <c r="CH74" i="1" s="1"/>
  <c r="V74" i="1"/>
  <c r="W74" i="1" s="1"/>
  <c r="AQ73" i="1"/>
  <c r="AO73" i="1"/>
  <c r="AC73" i="1"/>
  <c r="T73" i="1"/>
  <c r="Q73" i="1"/>
  <c r="BD72" i="1"/>
  <c r="P96" i="52" l="1"/>
  <c r="X97" i="52"/>
  <c r="V96" i="52"/>
  <c r="T96" i="52"/>
  <c r="AT73" i="1"/>
  <c r="CH73" i="1" s="1"/>
  <c r="V73" i="1"/>
  <c r="AQ72" i="1"/>
  <c r="AO72" i="1"/>
  <c r="AC72" i="1"/>
  <c r="T72" i="1"/>
  <c r="Q72" i="1"/>
  <c r="BD71" i="1"/>
  <c r="P95" i="52" l="1"/>
  <c r="X96" i="52"/>
  <c r="T95" i="52"/>
  <c r="V95" i="52"/>
  <c r="W73" i="1"/>
  <c r="AT72" i="1"/>
  <c r="CH72" i="1" s="1"/>
  <c r="V72" i="1"/>
  <c r="W72" i="1" s="1"/>
  <c r="AQ71" i="1"/>
  <c r="AO71" i="1"/>
  <c r="AC71" i="1"/>
  <c r="T71" i="1"/>
  <c r="Q71" i="1"/>
  <c r="BD69" i="1"/>
  <c r="P94" i="52" l="1"/>
  <c r="X95" i="52"/>
  <c r="V94" i="52"/>
  <c r="T94" i="52"/>
  <c r="AT71" i="1"/>
  <c r="CH71" i="1" s="1"/>
  <c r="V71" i="1"/>
  <c r="W71" i="1" s="1"/>
  <c r="AQ69" i="1"/>
  <c r="AO69" i="1"/>
  <c r="AC69" i="1"/>
  <c r="T69" i="1"/>
  <c r="Q69" i="1"/>
  <c r="BD68" i="1"/>
  <c r="P93" i="52" l="1"/>
  <c r="X94" i="52"/>
  <c r="T93" i="52"/>
  <c r="V93" i="52"/>
  <c r="AT69" i="1"/>
  <c r="CH69" i="1" s="1"/>
  <c r="V69" i="1"/>
  <c r="W69" i="1" s="1"/>
  <c r="AQ68" i="1"/>
  <c r="AO68" i="1"/>
  <c r="AC68" i="1"/>
  <c r="T68" i="1"/>
  <c r="Q68" i="1"/>
  <c r="BD66" i="1"/>
  <c r="P92" i="52" l="1"/>
  <c r="X93" i="52"/>
  <c r="T92" i="52"/>
  <c r="V92" i="52"/>
  <c r="AT68" i="1"/>
  <c r="CH68" i="1" s="1"/>
  <c r="V68" i="1"/>
  <c r="W68" i="1" s="1"/>
  <c r="AQ66" i="1"/>
  <c r="AO66" i="1"/>
  <c r="AC66" i="1"/>
  <c r="T66" i="1"/>
  <c r="Q66" i="1"/>
  <c r="BD65" i="1"/>
  <c r="P90" i="52" l="1"/>
  <c r="X92" i="52"/>
  <c r="T90" i="52"/>
  <c r="V90" i="52"/>
  <c r="AT66" i="1"/>
  <c r="CH66" i="1" s="1"/>
  <c r="V66" i="1"/>
  <c r="W66" i="1" s="1"/>
  <c r="AQ65" i="1"/>
  <c r="AO65" i="1"/>
  <c r="AC65" i="1"/>
  <c r="T65" i="1"/>
  <c r="Q65" i="1"/>
  <c r="BD64" i="1"/>
  <c r="P89" i="52" l="1"/>
  <c r="X90" i="52"/>
  <c r="T89" i="52"/>
  <c r="V89" i="52"/>
  <c r="AT65" i="1"/>
  <c r="CH65" i="1" s="1"/>
  <c r="V65" i="1"/>
  <c r="W65" i="1" s="1"/>
  <c r="AQ64" i="1"/>
  <c r="AO64" i="1"/>
  <c r="AC64" i="1"/>
  <c r="T64" i="1"/>
  <c r="Q64" i="1"/>
  <c r="BD63" i="1"/>
  <c r="P88" i="52" l="1"/>
  <c r="X89" i="52"/>
  <c r="V88" i="52"/>
  <c r="T88" i="52"/>
  <c r="AT64" i="1"/>
  <c r="CH64" i="1" s="1"/>
  <c r="V64" i="1"/>
  <c r="W64" i="1" s="1"/>
  <c r="AQ63" i="1"/>
  <c r="AO63" i="1"/>
  <c r="AC63" i="1"/>
  <c r="T63" i="1"/>
  <c r="Q63" i="1"/>
  <c r="BD62" i="1"/>
  <c r="P87" i="52" l="1"/>
  <c r="X88" i="52"/>
  <c r="T87" i="52"/>
  <c r="V87" i="52"/>
  <c r="AT63" i="1"/>
  <c r="CH63" i="1" s="1"/>
  <c r="V63" i="1"/>
  <c r="W63" i="1" s="1"/>
  <c r="AQ62" i="1"/>
  <c r="AO62" i="1"/>
  <c r="AC62" i="1"/>
  <c r="T62" i="1"/>
  <c r="Q62" i="1"/>
  <c r="BD61" i="1"/>
  <c r="P86" i="52" l="1"/>
  <c r="X87" i="52"/>
  <c r="V86" i="52"/>
  <c r="T86" i="52"/>
  <c r="AT62" i="1"/>
  <c r="CH62" i="1" s="1"/>
  <c r="V62" i="1"/>
  <c r="W62" i="1" s="1"/>
  <c r="AQ61" i="1"/>
  <c r="AO61" i="1"/>
  <c r="AC61" i="1"/>
  <c r="T61" i="1"/>
  <c r="Q61" i="1"/>
  <c r="BD60" i="1"/>
  <c r="P85" i="52" l="1"/>
  <c r="X86" i="52"/>
  <c r="V85" i="52"/>
  <c r="T85" i="52"/>
  <c r="AT61" i="1"/>
  <c r="CH61" i="1" s="1"/>
  <c r="V61" i="1"/>
  <c r="W61" i="1" s="1"/>
  <c r="AQ60" i="1"/>
  <c r="AO60" i="1"/>
  <c r="AC60" i="1"/>
  <c r="T60" i="1"/>
  <c r="Q60" i="1"/>
  <c r="P84" i="52" l="1"/>
  <c r="X85" i="52"/>
  <c r="V84" i="52"/>
  <c r="T84" i="52"/>
  <c r="AT60" i="1"/>
  <c r="CH60" i="1" s="1"/>
  <c r="V60" i="1"/>
  <c r="W60" i="1" s="1"/>
  <c r="BD57" i="1"/>
  <c r="X84" i="52" l="1"/>
  <c r="AQ57" i="1"/>
  <c r="AO57" i="1"/>
  <c r="AC57" i="1"/>
  <c r="T57" i="1"/>
  <c r="Q57" i="1"/>
  <c r="BD56" i="1"/>
  <c r="P81" i="52" l="1"/>
  <c r="T81" i="52"/>
  <c r="V81" i="52"/>
  <c r="AT57" i="1"/>
  <c r="CH57" i="1" s="1"/>
  <c r="V57" i="1"/>
  <c r="W57" i="1" s="1"/>
  <c r="AQ56" i="1"/>
  <c r="AO56" i="1"/>
  <c r="AC56" i="1"/>
  <c r="T56" i="1"/>
  <c r="Q56" i="1"/>
  <c r="P80" i="52" l="1"/>
  <c r="X81" i="52"/>
  <c r="T80" i="52"/>
  <c r="V80" i="52"/>
  <c r="AT56" i="1"/>
  <c r="CH56" i="1" s="1"/>
  <c r="V56" i="1"/>
  <c r="W56" i="1" s="1"/>
  <c r="AQ55" i="1"/>
  <c r="AO55" i="1"/>
  <c r="AC55" i="1"/>
  <c r="T55" i="1"/>
  <c r="Q55" i="1"/>
  <c r="BD54" i="1"/>
  <c r="P79" i="52" l="1"/>
  <c r="X80" i="52"/>
  <c r="T79" i="52"/>
  <c r="V79" i="52"/>
  <c r="AT55" i="1"/>
  <c r="CH55" i="1" s="1"/>
  <c r="V55" i="1"/>
  <c r="AQ54" i="1"/>
  <c r="AO54" i="1"/>
  <c r="AC54" i="1"/>
  <c r="T54" i="1"/>
  <c r="Q54" i="1"/>
  <c r="BD53" i="1"/>
  <c r="P78" i="52" l="1"/>
  <c r="X79" i="52"/>
  <c r="T78" i="52"/>
  <c r="V78" i="52"/>
  <c r="W55" i="1"/>
  <c r="AT54" i="1"/>
  <c r="CH54" i="1" s="1"/>
  <c r="V54" i="1"/>
  <c r="W54" i="1" s="1"/>
  <c r="AQ53" i="1"/>
  <c r="AO53" i="1"/>
  <c r="AC53" i="1"/>
  <c r="T53" i="1"/>
  <c r="Q53" i="1"/>
  <c r="BD50" i="1"/>
  <c r="P77" i="52" l="1"/>
  <c r="X78" i="52"/>
  <c r="V77" i="52"/>
  <c r="T77" i="52"/>
  <c r="AT53" i="1"/>
  <c r="CH53" i="1" s="1"/>
  <c r="V53" i="1"/>
  <c r="AQ50" i="1"/>
  <c r="AO50" i="1"/>
  <c r="AC50" i="1"/>
  <c r="T50" i="1"/>
  <c r="Q50" i="1"/>
  <c r="BD49" i="1"/>
  <c r="P74" i="52" l="1"/>
  <c r="X77" i="52"/>
  <c r="T74" i="52"/>
  <c r="V74" i="52"/>
  <c r="W53" i="1"/>
  <c r="AT50" i="1"/>
  <c r="CH50" i="1" s="1"/>
  <c r="V50" i="1"/>
  <c r="W50" i="1" s="1"/>
  <c r="AQ49" i="1"/>
  <c r="AO49" i="1"/>
  <c r="AC49" i="1"/>
  <c r="T49" i="1"/>
  <c r="Q49" i="1"/>
  <c r="BD48" i="1"/>
  <c r="P73" i="52" l="1"/>
  <c r="X74" i="52"/>
  <c r="T73" i="52"/>
  <c r="V73" i="52"/>
  <c r="AT49" i="1"/>
  <c r="CH49" i="1" s="1"/>
  <c r="V49" i="1"/>
  <c r="W49" i="1" s="1"/>
  <c r="AQ48" i="1"/>
  <c r="AO48" i="1"/>
  <c r="AC48" i="1"/>
  <c r="T48" i="1"/>
  <c r="Q48" i="1"/>
  <c r="P72" i="52" l="1"/>
  <c r="X73" i="52"/>
  <c r="V72" i="52"/>
  <c r="T72" i="52"/>
  <c r="AT48" i="1"/>
  <c r="CH48" i="1" s="1"/>
  <c r="V48" i="1"/>
  <c r="W48" i="1" s="1"/>
  <c r="BD47" i="1"/>
  <c r="X72" i="52" l="1"/>
  <c r="AQ47" i="1"/>
  <c r="AO47" i="1"/>
  <c r="AC47" i="1"/>
  <c r="T47" i="1"/>
  <c r="Q47" i="1"/>
  <c r="P71" i="52" l="1"/>
  <c r="T71" i="52"/>
  <c r="V71" i="52"/>
  <c r="AT47" i="1"/>
  <c r="CH47" i="1" s="1"/>
  <c r="V47" i="1"/>
  <c r="W47" i="1" s="1"/>
  <c r="X71" i="52" l="1"/>
  <c r="BD41" i="1"/>
  <c r="AW41" i="1" l="1"/>
  <c r="AQ41" i="1"/>
  <c r="AO41" i="1"/>
  <c r="AC41" i="1"/>
  <c r="R54" i="57" s="1"/>
  <c r="T41" i="1"/>
  <c r="Q41" i="1"/>
  <c r="BD35" i="1"/>
  <c r="V56" i="52" l="1"/>
  <c r="T56" i="52"/>
  <c r="P56" i="52"/>
  <c r="CP41" i="1"/>
  <c r="AT41" i="1"/>
  <c r="CH41" i="1" s="1"/>
  <c r="V41" i="1"/>
  <c r="W41" i="1" s="1"/>
  <c r="AW35" i="1"/>
  <c r="AQ35" i="1"/>
  <c r="AO35" i="1"/>
  <c r="AC35" i="1"/>
  <c r="R48" i="57" s="1"/>
  <c r="T35" i="1"/>
  <c r="Q35" i="1"/>
  <c r="BD34" i="1"/>
  <c r="O54" i="57" l="1"/>
  <c r="T53" i="52"/>
  <c r="V53" i="52"/>
  <c r="X56" i="52"/>
  <c r="P53" i="52"/>
  <c r="CP35" i="1"/>
  <c r="AT35" i="1"/>
  <c r="CH35" i="1" s="1"/>
  <c r="V35" i="1"/>
  <c r="W35" i="1" s="1"/>
  <c r="AW34" i="1"/>
  <c r="AQ34" i="1"/>
  <c r="AO34" i="1"/>
  <c r="AC34" i="1"/>
  <c r="R47" i="57" s="1"/>
  <c r="T34" i="1"/>
  <c r="Q34" i="1"/>
  <c r="BD33" i="1"/>
  <c r="O48" i="57" l="1"/>
  <c r="T52" i="52"/>
  <c r="V52" i="52"/>
  <c r="X53" i="52"/>
  <c r="P52" i="52"/>
  <c r="CP34" i="1"/>
  <c r="AT34" i="1"/>
  <c r="CH34" i="1" s="1"/>
  <c r="V34" i="1"/>
  <c r="W34" i="1" s="1"/>
  <c r="AW33" i="1"/>
  <c r="AQ33" i="1"/>
  <c r="AO33" i="1"/>
  <c r="AC33" i="1"/>
  <c r="R46" i="57" s="1"/>
  <c r="T33" i="1"/>
  <c r="Q33" i="1"/>
  <c r="BD32" i="1"/>
  <c r="O47" i="57" l="1"/>
  <c r="V51" i="52"/>
  <c r="T51" i="52"/>
  <c r="X52" i="52"/>
  <c r="P51" i="52"/>
  <c r="CP33" i="1"/>
  <c r="AT33" i="1"/>
  <c r="CH33" i="1" s="1"/>
  <c r="V33" i="1"/>
  <c r="W33" i="1" s="1"/>
  <c r="AW32" i="1"/>
  <c r="AQ32" i="1"/>
  <c r="AO32" i="1"/>
  <c r="AC32" i="1"/>
  <c r="R45" i="57" s="1"/>
  <c r="T32" i="1"/>
  <c r="Q32" i="1"/>
  <c r="O46" i="57" l="1"/>
  <c r="V50" i="52"/>
  <c r="T50" i="52"/>
  <c r="X51" i="52"/>
  <c r="P50" i="52"/>
  <c r="CP32" i="1"/>
  <c r="AT32" i="1"/>
  <c r="CH32" i="1" s="1"/>
  <c r="V32" i="1"/>
  <c r="W32" i="1" s="1"/>
  <c r="BD30" i="1"/>
  <c r="O45" i="57" l="1"/>
  <c r="X50" i="52"/>
  <c r="AW30" i="1"/>
  <c r="AQ30" i="1"/>
  <c r="AO30" i="1"/>
  <c r="AC30" i="1"/>
  <c r="R43" i="57" s="1"/>
  <c r="T30" i="1"/>
  <c r="Q30" i="1"/>
  <c r="BD29" i="1"/>
  <c r="T48" i="52" l="1"/>
  <c r="V48" i="52"/>
  <c r="P48" i="52"/>
  <c r="CP30" i="1"/>
  <c r="AT30" i="1"/>
  <c r="CH30" i="1" s="1"/>
  <c r="V30" i="1"/>
  <c r="W30" i="1" s="1"/>
  <c r="AW29" i="1"/>
  <c r="AQ29" i="1"/>
  <c r="AO29" i="1"/>
  <c r="AC29" i="1"/>
  <c r="R42" i="57" s="1"/>
  <c r="T29" i="1"/>
  <c r="Q29" i="1"/>
  <c r="BD28" i="1"/>
  <c r="O43" i="57" l="1"/>
  <c r="T47" i="52"/>
  <c r="V47" i="52"/>
  <c r="X48" i="52"/>
  <c r="P47" i="52"/>
  <c r="CP29" i="1"/>
  <c r="AT29" i="1"/>
  <c r="CH29" i="1" s="1"/>
  <c r="V29" i="1"/>
  <c r="W29" i="1" s="1"/>
  <c r="AW28" i="1"/>
  <c r="AQ28" i="1"/>
  <c r="AO28" i="1"/>
  <c r="AC28" i="1"/>
  <c r="R41" i="57" s="1"/>
  <c r="T28" i="1"/>
  <c r="Q28" i="1"/>
  <c r="O42" i="57" l="1"/>
  <c r="T46" i="52"/>
  <c r="V46" i="52"/>
  <c r="X47" i="52"/>
  <c r="P46" i="52"/>
  <c r="CP28" i="1"/>
  <c r="AT28" i="1"/>
  <c r="CH28" i="1" s="1"/>
  <c r="V28" i="1"/>
  <c r="W28" i="1" s="1"/>
  <c r="BD27" i="1"/>
  <c r="O41" i="57" l="1"/>
  <c r="X46" i="52"/>
  <c r="AW27" i="1"/>
  <c r="AQ27" i="1"/>
  <c r="AO27" i="1"/>
  <c r="AC27" i="1"/>
  <c r="R40" i="57" s="1"/>
  <c r="T27" i="1"/>
  <c r="Q27" i="1"/>
  <c r="T45" i="52" l="1"/>
  <c r="V45" i="52"/>
  <c r="P45" i="52"/>
  <c r="CP27" i="1"/>
  <c r="AT27" i="1"/>
  <c r="CH27" i="1" s="1"/>
  <c r="V27" i="1"/>
  <c r="W27" i="1" s="1"/>
  <c r="BD26" i="1"/>
  <c r="O40" i="57" l="1"/>
  <c r="X45" i="52"/>
  <c r="AW26" i="1"/>
  <c r="AQ26" i="1"/>
  <c r="AO26" i="1"/>
  <c r="AC26" i="1"/>
  <c r="R39" i="57" s="1"/>
  <c r="T26" i="1"/>
  <c r="Q26" i="1"/>
  <c r="BD25" i="1"/>
  <c r="T44" i="52" l="1"/>
  <c r="V44" i="52"/>
  <c r="P44" i="52"/>
  <c r="CP26" i="1"/>
  <c r="AT26" i="1"/>
  <c r="CH26" i="1" s="1"/>
  <c r="V26" i="1"/>
  <c r="W26" i="1" s="1"/>
  <c r="AW25" i="1"/>
  <c r="AQ25" i="1"/>
  <c r="AO25" i="1"/>
  <c r="AC25" i="1"/>
  <c r="R38" i="57" s="1"/>
  <c r="T25" i="1"/>
  <c r="Q25" i="1"/>
  <c r="O39" i="57" l="1"/>
  <c r="V43" i="52"/>
  <c r="T43" i="52"/>
  <c r="X44" i="52"/>
  <c r="P43" i="52"/>
  <c r="CP25" i="1"/>
  <c r="AT25" i="1"/>
  <c r="CH25" i="1" s="1"/>
  <c r="V25" i="1"/>
  <c r="W25" i="1" s="1"/>
  <c r="BD24" i="1"/>
  <c r="O38" i="57" l="1"/>
  <c r="X43" i="52"/>
  <c r="AW24" i="1"/>
  <c r="AQ24" i="1"/>
  <c r="AO24" i="1"/>
  <c r="AC24" i="1"/>
  <c r="R37" i="57" s="1"/>
  <c r="T24" i="1"/>
  <c r="Q24" i="1"/>
  <c r="BD23" i="1"/>
  <c r="T40" i="52" l="1"/>
  <c r="V40" i="52"/>
  <c r="P40" i="52"/>
  <c r="CP24" i="1"/>
  <c r="AT24" i="1"/>
  <c r="CH24" i="1" s="1"/>
  <c r="V24" i="1"/>
  <c r="W24" i="1" s="1"/>
  <c r="AW23" i="1"/>
  <c r="AQ23" i="1"/>
  <c r="AO23" i="1"/>
  <c r="AC23" i="1"/>
  <c r="R36" i="57" s="1"/>
  <c r="T23" i="1"/>
  <c r="Q23" i="1"/>
  <c r="BD21" i="1"/>
  <c r="O37" i="57" l="1"/>
  <c r="V39" i="52"/>
  <c r="T39" i="52"/>
  <c r="X40" i="52"/>
  <c r="P39" i="52"/>
  <c r="CP23" i="1"/>
  <c r="AT23" i="1"/>
  <c r="CH23" i="1" s="1"/>
  <c r="V23" i="1"/>
  <c r="W23" i="1" s="1"/>
  <c r="AW21" i="1"/>
  <c r="AQ21" i="1"/>
  <c r="AO21" i="1"/>
  <c r="AC21" i="1"/>
  <c r="R34" i="57" s="1"/>
  <c r="T21" i="1"/>
  <c r="Q21" i="1"/>
  <c r="BD20" i="1"/>
  <c r="O36" i="57" l="1"/>
  <c r="T37" i="52"/>
  <c r="V37" i="52"/>
  <c r="X39" i="52"/>
  <c r="P37" i="52"/>
  <c r="CP21" i="1"/>
  <c r="AT21" i="1"/>
  <c r="CH21" i="1" s="1"/>
  <c r="V21" i="1"/>
  <c r="W21" i="1" s="1"/>
  <c r="AW20" i="1"/>
  <c r="AQ20" i="1"/>
  <c r="AO20" i="1"/>
  <c r="AC20" i="1"/>
  <c r="R33" i="57" s="1"/>
  <c r="T20" i="1"/>
  <c r="Q20" i="1"/>
  <c r="BD19" i="1"/>
  <c r="O34" i="57" l="1"/>
  <c r="V36" i="52"/>
  <c r="T36" i="52"/>
  <c r="X37" i="52"/>
  <c r="P36" i="52"/>
  <c r="CP20" i="1"/>
  <c r="AT20" i="1"/>
  <c r="CH20" i="1" s="1"/>
  <c r="V20" i="1"/>
  <c r="W20" i="1" s="1"/>
  <c r="AW19" i="1"/>
  <c r="AQ19" i="1"/>
  <c r="AO19" i="1"/>
  <c r="AC19" i="1"/>
  <c r="R32" i="57" s="1"/>
  <c r="T19" i="1"/>
  <c r="Q19" i="1"/>
  <c r="BD17" i="1"/>
  <c r="O33" i="57" l="1"/>
  <c r="V35" i="52"/>
  <c r="T35" i="52"/>
  <c r="X36" i="52"/>
  <c r="P35" i="52"/>
  <c r="CP19" i="1"/>
  <c r="AT19" i="1"/>
  <c r="CH19" i="1" s="1"/>
  <c r="V19" i="1"/>
  <c r="W19" i="1" s="1"/>
  <c r="AW17" i="1"/>
  <c r="X33" i="58" s="1"/>
  <c r="X58" i="58" s="1"/>
  <c r="AQ17" i="1"/>
  <c r="U33" i="58" s="1"/>
  <c r="U58" i="58" s="1"/>
  <c r="AO17" i="1"/>
  <c r="T33" i="58" s="1"/>
  <c r="T58" i="58" s="1"/>
  <c r="AC17" i="1"/>
  <c r="T17" i="1"/>
  <c r="Q17" i="1"/>
  <c r="BD42" i="1"/>
  <c r="O32" i="57" l="1"/>
  <c r="T33" i="52"/>
  <c r="R30" i="57"/>
  <c r="R55" i="57" s="1"/>
  <c r="V33" i="52"/>
  <c r="V58" i="52" s="1"/>
  <c r="T58" i="52"/>
  <c r="X35" i="52"/>
  <c r="P33" i="52"/>
  <c r="P58" i="52" s="1"/>
  <c r="CP17" i="1"/>
  <c r="AT17" i="1"/>
  <c r="CH17" i="1" s="1"/>
  <c r="V17" i="1"/>
  <c r="W17" i="1" s="1"/>
  <c r="AC42" i="1"/>
  <c r="T42" i="1"/>
  <c r="P33" i="58" l="1"/>
  <c r="P58" i="58" s="1"/>
  <c r="O30" i="57"/>
  <c r="X33" i="52"/>
  <c r="X58" i="52" s="1"/>
  <c r="CH42" i="1"/>
  <c r="AQ42" i="1"/>
  <c r="AO42" i="1"/>
  <c r="CP42" i="1"/>
  <c r="AW42" i="1"/>
  <c r="AT42" i="1"/>
  <c r="V42" i="1"/>
  <c r="O55" i="57" l="1"/>
  <c r="W42" i="1"/>
  <c r="CA397" i="1" l="1"/>
  <c r="BG400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7" i="1"/>
  <c r="BD348" i="1"/>
  <c r="BD349" i="1"/>
  <c r="BD350" i="1"/>
  <c r="BD352" i="1"/>
  <c r="BD353" i="1"/>
  <c r="BD354" i="1"/>
  <c r="BD355" i="1"/>
  <c r="BD356" i="1"/>
  <c r="BD357" i="1"/>
  <c r="BD358" i="1"/>
  <c r="BD359" i="1"/>
  <c r="BD360" i="1"/>
  <c r="BD361" i="1"/>
  <c r="BD362" i="1"/>
  <c r="BD366" i="1"/>
  <c r="BD367" i="1"/>
  <c r="BD368" i="1"/>
  <c r="BD369" i="1"/>
  <c r="BD370" i="1"/>
  <c r="BD371" i="1"/>
  <c r="BD372" i="1"/>
  <c r="BD374" i="1"/>
  <c r="BD375" i="1"/>
  <c r="BD376" i="1"/>
  <c r="BD378" i="1"/>
  <c r="BD379" i="1"/>
  <c r="BD380" i="1"/>
  <c r="BD382" i="1"/>
  <c r="BD383" i="1"/>
  <c r="BD385" i="1"/>
  <c r="BD265" i="1"/>
  <c r="BD387" i="1"/>
  <c r="BD388" i="1"/>
  <c r="BD389" i="1"/>
  <c r="BD392" i="1"/>
  <c r="BD393" i="1"/>
  <c r="BD394" i="1"/>
  <c r="BD45" i="1"/>
  <c r="BD46" i="1"/>
  <c r="BD44" i="1"/>
  <c r="BD305" i="1"/>
  <c r="BD14" i="1"/>
  <c r="BC397" i="1"/>
  <c r="BC400" i="1" s="1"/>
  <c r="CA400" i="1" l="1"/>
  <c r="BD397" i="1"/>
  <c r="AW14" i="1" l="1"/>
  <c r="CP14" i="1" l="1"/>
  <c r="AR397" i="1"/>
  <c r="AR400" i="1" s="1"/>
  <c r="AS397" i="1"/>
  <c r="AS400" i="1" s="1"/>
  <c r="BP397" i="1"/>
  <c r="AP397" i="1"/>
  <c r="AP400" i="1" s="1"/>
  <c r="U397" i="1"/>
  <c r="U400" i="1" s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7" i="1"/>
  <c r="AQ348" i="1"/>
  <c r="AQ349" i="1"/>
  <c r="AQ350" i="1"/>
  <c r="AQ352" i="1"/>
  <c r="AQ353" i="1"/>
  <c r="AQ354" i="1"/>
  <c r="AQ355" i="1"/>
  <c r="AQ356" i="1"/>
  <c r="AQ357" i="1"/>
  <c r="AQ358" i="1"/>
  <c r="AQ359" i="1"/>
  <c r="AQ360" i="1"/>
  <c r="AQ361" i="1"/>
  <c r="AQ362" i="1"/>
  <c r="AQ366" i="1"/>
  <c r="AQ367" i="1"/>
  <c r="AQ368" i="1"/>
  <c r="AQ369" i="1"/>
  <c r="AQ370" i="1"/>
  <c r="AQ371" i="1"/>
  <c r="AQ372" i="1"/>
  <c r="AQ374" i="1"/>
  <c r="AQ375" i="1"/>
  <c r="AQ376" i="1"/>
  <c r="AQ378" i="1"/>
  <c r="AQ379" i="1"/>
  <c r="AQ380" i="1"/>
  <c r="AQ382" i="1"/>
  <c r="AQ383" i="1"/>
  <c r="AQ385" i="1"/>
  <c r="AQ265" i="1"/>
  <c r="AQ387" i="1"/>
  <c r="AQ388" i="1"/>
  <c r="AQ389" i="1"/>
  <c r="AQ392" i="1"/>
  <c r="AQ393" i="1"/>
  <c r="AQ394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7" i="1"/>
  <c r="AO348" i="1"/>
  <c r="AO349" i="1"/>
  <c r="AO350" i="1"/>
  <c r="AO352" i="1"/>
  <c r="AO353" i="1"/>
  <c r="AO354" i="1"/>
  <c r="AO355" i="1"/>
  <c r="AO356" i="1"/>
  <c r="AO357" i="1"/>
  <c r="AO358" i="1"/>
  <c r="AO359" i="1"/>
  <c r="AO360" i="1"/>
  <c r="AO361" i="1"/>
  <c r="AO362" i="1"/>
  <c r="AO366" i="1"/>
  <c r="AO367" i="1"/>
  <c r="AO368" i="1"/>
  <c r="AO369" i="1"/>
  <c r="AO370" i="1"/>
  <c r="AO371" i="1"/>
  <c r="AO372" i="1"/>
  <c r="AO374" i="1"/>
  <c r="AO375" i="1"/>
  <c r="AO376" i="1"/>
  <c r="AO378" i="1"/>
  <c r="AO379" i="1"/>
  <c r="AO380" i="1"/>
  <c r="AO382" i="1"/>
  <c r="AO383" i="1"/>
  <c r="AO385" i="1"/>
  <c r="AO265" i="1"/>
  <c r="AO387" i="1"/>
  <c r="AO388" i="1"/>
  <c r="AO389" i="1"/>
  <c r="AO392" i="1"/>
  <c r="AO393" i="1"/>
  <c r="AO394" i="1"/>
  <c r="AC306" i="1"/>
  <c r="R340" i="57" s="1"/>
  <c r="AC307" i="1"/>
  <c r="R341" i="57" s="1"/>
  <c r="AC308" i="1"/>
  <c r="R342" i="57" s="1"/>
  <c r="AC310" i="1"/>
  <c r="R344" i="57" s="1"/>
  <c r="AC311" i="1"/>
  <c r="R345" i="57" s="1"/>
  <c r="AC312" i="1"/>
  <c r="R346" i="57" s="1"/>
  <c r="AC313" i="1"/>
  <c r="R347" i="57" s="1"/>
  <c r="AC314" i="1"/>
  <c r="R348" i="57" s="1"/>
  <c r="AC315" i="1"/>
  <c r="R349" i="57" s="1"/>
  <c r="AC316" i="1"/>
  <c r="R350" i="57" s="1"/>
  <c r="AC317" i="1"/>
  <c r="R351" i="57" s="1"/>
  <c r="AC318" i="1"/>
  <c r="R352" i="57" s="1"/>
  <c r="AC319" i="1"/>
  <c r="R353" i="57" s="1"/>
  <c r="AC320" i="1"/>
  <c r="R354" i="57" s="1"/>
  <c r="AC321" i="1"/>
  <c r="R355" i="57" s="1"/>
  <c r="AC322" i="1"/>
  <c r="R356" i="57" s="1"/>
  <c r="AC323" i="1"/>
  <c r="R357" i="57" s="1"/>
  <c r="AC325" i="1"/>
  <c r="R359" i="57" s="1"/>
  <c r="AC326" i="1"/>
  <c r="R360" i="57" s="1"/>
  <c r="AC327" i="1"/>
  <c r="R361" i="57" s="1"/>
  <c r="AC328" i="1"/>
  <c r="R362" i="57" s="1"/>
  <c r="AC329" i="1"/>
  <c r="R363" i="57" s="1"/>
  <c r="AC330" i="1"/>
  <c r="R364" i="57" s="1"/>
  <c r="AC331" i="1"/>
  <c r="R365" i="57" s="1"/>
  <c r="AC332" i="1"/>
  <c r="R366" i="57" s="1"/>
  <c r="AC333" i="1"/>
  <c r="R367" i="57" s="1"/>
  <c r="AC334" i="1"/>
  <c r="R368" i="57" s="1"/>
  <c r="AC335" i="1"/>
  <c r="R369" i="57" s="1"/>
  <c r="AC336" i="1"/>
  <c r="R370" i="57" s="1"/>
  <c r="AC337" i="1"/>
  <c r="R371" i="57" s="1"/>
  <c r="AC338" i="1"/>
  <c r="R372" i="57" s="1"/>
  <c r="AC339" i="1"/>
  <c r="R373" i="57" s="1"/>
  <c r="AC340" i="1"/>
  <c r="R374" i="57" s="1"/>
  <c r="AC341" i="1"/>
  <c r="R375" i="57" s="1"/>
  <c r="AC342" i="1"/>
  <c r="R376" i="57" s="1"/>
  <c r="AC343" i="1"/>
  <c r="R377" i="57" s="1"/>
  <c r="AC344" i="1"/>
  <c r="R378" i="57" s="1"/>
  <c r="AC345" i="1"/>
  <c r="R379" i="57" s="1"/>
  <c r="AC347" i="1"/>
  <c r="R381" i="57" s="1"/>
  <c r="AC348" i="1"/>
  <c r="R382" i="57" s="1"/>
  <c r="AC349" i="1"/>
  <c r="R383" i="57" s="1"/>
  <c r="AC350" i="1"/>
  <c r="R384" i="57" s="1"/>
  <c r="AC352" i="1"/>
  <c r="R386" i="57" s="1"/>
  <c r="AC353" i="1"/>
  <c r="R387" i="57" s="1"/>
  <c r="AC354" i="1"/>
  <c r="R388" i="57" s="1"/>
  <c r="AC355" i="1"/>
  <c r="R389" i="57" s="1"/>
  <c r="AC356" i="1"/>
  <c r="R390" i="57" s="1"/>
  <c r="AC357" i="1"/>
  <c r="R391" i="57" s="1"/>
  <c r="AC358" i="1"/>
  <c r="R392" i="57" s="1"/>
  <c r="AC359" i="1"/>
  <c r="R393" i="57" s="1"/>
  <c r="AC360" i="1"/>
  <c r="R394" i="57" s="1"/>
  <c r="AC361" i="1"/>
  <c r="R395" i="57" s="1"/>
  <c r="AC362" i="1"/>
  <c r="R396" i="57" s="1"/>
  <c r="AC366" i="1"/>
  <c r="R400" i="57" s="1"/>
  <c r="AC367" i="1"/>
  <c r="R401" i="57" s="1"/>
  <c r="AC368" i="1"/>
  <c r="R402" i="57" s="1"/>
  <c r="AC369" i="1"/>
  <c r="R403" i="57" s="1"/>
  <c r="AC370" i="1"/>
  <c r="R404" i="57" s="1"/>
  <c r="AC371" i="1"/>
  <c r="R405" i="57" s="1"/>
  <c r="AC372" i="1"/>
  <c r="R406" i="57" s="1"/>
  <c r="AC374" i="1"/>
  <c r="R408" i="57" s="1"/>
  <c r="AC375" i="1"/>
  <c r="R409" i="57" s="1"/>
  <c r="AC376" i="1"/>
  <c r="R410" i="57" s="1"/>
  <c r="AC378" i="1"/>
  <c r="R412" i="57" s="1"/>
  <c r="AC379" i="1"/>
  <c r="R413" i="57" s="1"/>
  <c r="AC380" i="1"/>
  <c r="R414" i="57" s="1"/>
  <c r="AC382" i="1"/>
  <c r="R416" i="57" s="1"/>
  <c r="AC383" i="1"/>
  <c r="R417" i="57" s="1"/>
  <c r="AC385" i="1"/>
  <c r="R419" i="57" s="1"/>
  <c r="AC265" i="1"/>
  <c r="AC387" i="1"/>
  <c r="R421" i="57" s="1"/>
  <c r="AC388" i="1"/>
  <c r="R422" i="57" s="1"/>
  <c r="AC389" i="1"/>
  <c r="R423" i="57" s="1"/>
  <c r="AC392" i="1"/>
  <c r="R426" i="57" s="1"/>
  <c r="AC393" i="1"/>
  <c r="R427" i="57" s="1"/>
  <c r="AC394" i="1"/>
  <c r="R428" i="57" s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7" i="1"/>
  <c r="T348" i="1"/>
  <c r="T349" i="1"/>
  <c r="T350" i="1"/>
  <c r="T352" i="1"/>
  <c r="T353" i="1"/>
  <c r="T354" i="1"/>
  <c r="T355" i="1"/>
  <c r="T356" i="1"/>
  <c r="T357" i="1"/>
  <c r="T358" i="1"/>
  <c r="T359" i="1"/>
  <c r="T360" i="1"/>
  <c r="T361" i="1"/>
  <c r="T362" i="1"/>
  <c r="T366" i="1"/>
  <c r="T367" i="1"/>
  <c r="T368" i="1"/>
  <c r="T369" i="1"/>
  <c r="T370" i="1"/>
  <c r="T371" i="1"/>
  <c r="T372" i="1"/>
  <c r="T374" i="1"/>
  <c r="T375" i="1"/>
  <c r="T376" i="1"/>
  <c r="T378" i="1"/>
  <c r="T379" i="1"/>
  <c r="T380" i="1"/>
  <c r="T382" i="1"/>
  <c r="T383" i="1"/>
  <c r="T385" i="1"/>
  <c r="T387" i="1"/>
  <c r="T388" i="1"/>
  <c r="T389" i="1"/>
  <c r="T392" i="1"/>
  <c r="T393" i="1"/>
  <c r="T394" i="1"/>
  <c r="T306" i="1"/>
  <c r="T307" i="1"/>
  <c r="T308" i="1"/>
  <c r="Q45" i="1"/>
  <c r="AN397" i="1"/>
  <c r="AN400" i="1" s="1"/>
  <c r="Z397" i="1"/>
  <c r="E478" i="55" s="1"/>
  <c r="T433" i="52" l="1"/>
  <c r="T429" i="52"/>
  <c r="T419" i="52"/>
  <c r="T409" i="52"/>
  <c r="T401" i="52"/>
  <c r="T396" i="52"/>
  <c r="T388" i="52"/>
  <c r="T380" i="52"/>
  <c r="T376" i="52"/>
  <c r="T367" i="52"/>
  <c r="T363" i="52"/>
  <c r="T354" i="52"/>
  <c r="V297" i="52"/>
  <c r="V423" i="52"/>
  <c r="V418" i="52"/>
  <c r="V408" i="52"/>
  <c r="V395" i="52"/>
  <c r="V391" i="52"/>
  <c r="V383" i="52"/>
  <c r="V379" i="52"/>
  <c r="V370" i="52"/>
  <c r="V362" i="52"/>
  <c r="T438" i="52"/>
  <c r="T297" i="52"/>
  <c r="T428" i="52"/>
  <c r="T423" i="52"/>
  <c r="T418" i="52"/>
  <c r="T414" i="52"/>
  <c r="T408" i="52"/>
  <c r="T404" i="52"/>
  <c r="T400" i="52"/>
  <c r="T395" i="52"/>
  <c r="T391" i="52"/>
  <c r="T387" i="52"/>
  <c r="T383" i="52"/>
  <c r="T379" i="52"/>
  <c r="T375" i="52"/>
  <c r="T370" i="52"/>
  <c r="T366" i="52"/>
  <c r="T362" i="52"/>
  <c r="T358" i="52"/>
  <c r="T353" i="52"/>
  <c r="V435" i="52"/>
  <c r="V431" i="52"/>
  <c r="V427" i="52"/>
  <c r="V422" i="52"/>
  <c r="V417" i="52"/>
  <c r="V411" i="52"/>
  <c r="V407" i="52"/>
  <c r="V403" i="52"/>
  <c r="V399" i="52"/>
  <c r="V394" i="52"/>
  <c r="V390" i="52"/>
  <c r="V386" i="52"/>
  <c r="V382" i="52"/>
  <c r="V378" i="52"/>
  <c r="V374" i="52"/>
  <c r="V369" i="52"/>
  <c r="V365" i="52"/>
  <c r="V361" i="52"/>
  <c r="V357" i="52"/>
  <c r="V353" i="52"/>
  <c r="T439" i="52"/>
  <c r="T424" i="52"/>
  <c r="T415" i="52"/>
  <c r="T405" i="52"/>
  <c r="T392" i="52"/>
  <c r="T384" i="52"/>
  <c r="T372" i="52"/>
  <c r="T359" i="52"/>
  <c r="V438" i="52"/>
  <c r="V428" i="52"/>
  <c r="V414" i="52"/>
  <c r="V404" i="52"/>
  <c r="V400" i="52"/>
  <c r="V387" i="52"/>
  <c r="V375" i="52"/>
  <c r="V366" i="52"/>
  <c r="V358" i="52"/>
  <c r="V354" i="52"/>
  <c r="T435" i="52"/>
  <c r="T431" i="52"/>
  <c r="T427" i="52"/>
  <c r="T422" i="52"/>
  <c r="T417" i="52"/>
  <c r="T411" i="52"/>
  <c r="T407" i="52"/>
  <c r="T403" i="52"/>
  <c r="T399" i="52"/>
  <c r="T394" i="52"/>
  <c r="T390" i="52"/>
  <c r="T386" i="52"/>
  <c r="T382" i="52"/>
  <c r="T378" i="52"/>
  <c r="T374" i="52"/>
  <c r="T369" i="52"/>
  <c r="T365" i="52"/>
  <c r="T361" i="52"/>
  <c r="T357" i="52"/>
  <c r="V441" i="52"/>
  <c r="V434" i="52"/>
  <c r="V430" i="52"/>
  <c r="V426" i="52"/>
  <c r="V420" i="52"/>
  <c r="V416" i="52"/>
  <c r="V410" i="52"/>
  <c r="V406" i="52"/>
  <c r="V402" i="52"/>
  <c r="V397" i="52"/>
  <c r="V393" i="52"/>
  <c r="V389" i="52"/>
  <c r="V385" i="52"/>
  <c r="V381" i="52"/>
  <c r="V377" i="52"/>
  <c r="V373" i="52"/>
  <c r="V368" i="52"/>
  <c r="V364" i="52"/>
  <c r="V360" i="52"/>
  <c r="V356" i="52"/>
  <c r="T441" i="52"/>
  <c r="T434" i="52"/>
  <c r="T430" i="52"/>
  <c r="T426" i="52"/>
  <c r="T420" i="52"/>
  <c r="T416" i="52"/>
  <c r="T410" i="52"/>
  <c r="T406" i="52"/>
  <c r="T402" i="52"/>
  <c r="T397" i="52"/>
  <c r="T393" i="52"/>
  <c r="T389" i="52"/>
  <c r="T385" i="52"/>
  <c r="T381" i="52"/>
  <c r="T377" i="52"/>
  <c r="T373" i="52"/>
  <c r="T368" i="52"/>
  <c r="T364" i="52"/>
  <c r="T360" i="52"/>
  <c r="T355" i="52"/>
  <c r="V439" i="52"/>
  <c r="V433" i="52"/>
  <c r="V429" i="52"/>
  <c r="V424" i="52"/>
  <c r="V419" i="52"/>
  <c r="V415" i="52"/>
  <c r="V409" i="52"/>
  <c r="V405" i="52"/>
  <c r="V401" i="52"/>
  <c r="V396" i="52"/>
  <c r="V392" i="52"/>
  <c r="V388" i="52"/>
  <c r="V384" i="52"/>
  <c r="V380" i="52"/>
  <c r="V376" i="52"/>
  <c r="V372" i="52"/>
  <c r="V367" i="52"/>
  <c r="V363" i="52"/>
  <c r="V359" i="52"/>
  <c r="V355" i="52"/>
  <c r="Z400" i="1"/>
  <c r="E481" i="55" s="1"/>
  <c r="E577" i="20"/>
  <c r="P354" i="52"/>
  <c r="P441" i="52"/>
  <c r="P438" i="52"/>
  <c r="P434" i="52"/>
  <c r="P431" i="52"/>
  <c r="P429" i="52"/>
  <c r="P427" i="52"/>
  <c r="P424" i="52"/>
  <c r="P422" i="52"/>
  <c r="P419" i="52"/>
  <c r="P417" i="52"/>
  <c r="P415" i="52"/>
  <c r="P411" i="52"/>
  <c r="P409" i="52"/>
  <c r="P407" i="52"/>
  <c r="P405" i="52"/>
  <c r="P403" i="52"/>
  <c r="P401" i="52"/>
  <c r="P399" i="52"/>
  <c r="P396" i="52"/>
  <c r="P394" i="52"/>
  <c r="P392" i="52"/>
  <c r="P390" i="52"/>
  <c r="P388" i="52"/>
  <c r="P386" i="52"/>
  <c r="P384" i="52"/>
  <c r="P382" i="52"/>
  <c r="P380" i="52"/>
  <c r="P378" i="52"/>
  <c r="P376" i="52"/>
  <c r="P374" i="52"/>
  <c r="P372" i="52"/>
  <c r="P369" i="52"/>
  <c r="P367" i="52"/>
  <c r="P365" i="52"/>
  <c r="P363" i="52"/>
  <c r="P361" i="52"/>
  <c r="P359" i="52"/>
  <c r="P357" i="52"/>
  <c r="P355" i="52"/>
  <c r="P353" i="52"/>
  <c r="P439" i="52"/>
  <c r="P435" i="52"/>
  <c r="P433" i="52"/>
  <c r="P430" i="52"/>
  <c r="P428" i="52"/>
  <c r="P426" i="52"/>
  <c r="P423" i="52"/>
  <c r="P420" i="52"/>
  <c r="P418" i="52"/>
  <c r="P416" i="52"/>
  <c r="P414" i="52"/>
  <c r="P410" i="52"/>
  <c r="P408" i="52"/>
  <c r="P406" i="52"/>
  <c r="P404" i="52"/>
  <c r="P402" i="52"/>
  <c r="P400" i="52"/>
  <c r="P397" i="52"/>
  <c r="P395" i="52"/>
  <c r="P393" i="52"/>
  <c r="P391" i="52"/>
  <c r="P389" i="52"/>
  <c r="P387" i="52"/>
  <c r="P385" i="52"/>
  <c r="P383" i="52"/>
  <c r="P381" i="52"/>
  <c r="P379" i="52"/>
  <c r="P377" i="52"/>
  <c r="P375" i="52"/>
  <c r="P373" i="52"/>
  <c r="P370" i="52"/>
  <c r="P368" i="52"/>
  <c r="P366" i="52"/>
  <c r="P364" i="52"/>
  <c r="P362" i="52"/>
  <c r="P360" i="52"/>
  <c r="P358" i="52"/>
  <c r="P356" i="52"/>
  <c r="BP400" i="1"/>
  <c r="AT394" i="1"/>
  <c r="CH394" i="1" s="1"/>
  <c r="AT392" i="1"/>
  <c r="CH392" i="1" s="1"/>
  <c r="AT388" i="1"/>
  <c r="CH388" i="1" s="1"/>
  <c r="AT265" i="1"/>
  <c r="CH265" i="1" s="1"/>
  <c r="AT382" i="1"/>
  <c r="CH382" i="1" s="1"/>
  <c r="AT380" i="1"/>
  <c r="CH380" i="1" s="1"/>
  <c r="AT378" i="1"/>
  <c r="CH378" i="1" s="1"/>
  <c r="AT376" i="1"/>
  <c r="CH376" i="1" s="1"/>
  <c r="AT374" i="1"/>
  <c r="CH374" i="1" s="1"/>
  <c r="AT371" i="1"/>
  <c r="CH371" i="1" s="1"/>
  <c r="AT369" i="1"/>
  <c r="CH369" i="1" s="1"/>
  <c r="AT367" i="1"/>
  <c r="CH367" i="1" s="1"/>
  <c r="AT362" i="1"/>
  <c r="CH362" i="1" s="1"/>
  <c r="AT360" i="1"/>
  <c r="CH360" i="1" s="1"/>
  <c r="AT358" i="1"/>
  <c r="CH358" i="1" s="1"/>
  <c r="AT355" i="1"/>
  <c r="CH355" i="1" s="1"/>
  <c r="AT353" i="1"/>
  <c r="CH353" i="1" s="1"/>
  <c r="AT348" i="1"/>
  <c r="CH348" i="1" s="1"/>
  <c r="AT344" i="1"/>
  <c r="CH344" i="1" s="1"/>
  <c r="AT342" i="1"/>
  <c r="CH342" i="1" s="1"/>
  <c r="AT340" i="1"/>
  <c r="CH340" i="1" s="1"/>
  <c r="AT338" i="1"/>
  <c r="CH338" i="1" s="1"/>
  <c r="AT336" i="1"/>
  <c r="CH336" i="1" s="1"/>
  <c r="AT334" i="1"/>
  <c r="CH334" i="1" s="1"/>
  <c r="AT332" i="1"/>
  <c r="CH332" i="1" s="1"/>
  <c r="AT330" i="1"/>
  <c r="CH330" i="1" s="1"/>
  <c r="AT328" i="1"/>
  <c r="CH328" i="1" s="1"/>
  <c r="AT326" i="1"/>
  <c r="CH326" i="1" s="1"/>
  <c r="AT325" i="1"/>
  <c r="CH325" i="1" s="1"/>
  <c r="AT322" i="1"/>
  <c r="CH322" i="1" s="1"/>
  <c r="AT320" i="1"/>
  <c r="CH320" i="1" s="1"/>
  <c r="AT318" i="1"/>
  <c r="CH318" i="1" s="1"/>
  <c r="AT316" i="1"/>
  <c r="CH316" i="1" s="1"/>
  <c r="AT314" i="1"/>
  <c r="CH314" i="1" s="1"/>
  <c r="AT312" i="1"/>
  <c r="CH312" i="1" s="1"/>
  <c r="AT309" i="1"/>
  <c r="CH309" i="1" s="1"/>
  <c r="AT307" i="1"/>
  <c r="CH307" i="1" s="1"/>
  <c r="AT393" i="1"/>
  <c r="CH393" i="1" s="1"/>
  <c r="AT389" i="1"/>
  <c r="CH389" i="1" s="1"/>
  <c r="AT387" i="1"/>
  <c r="CH387" i="1" s="1"/>
  <c r="AT385" i="1"/>
  <c r="CH385" i="1" s="1"/>
  <c r="AT383" i="1"/>
  <c r="CH383" i="1" s="1"/>
  <c r="AT379" i="1"/>
  <c r="CH379" i="1" s="1"/>
  <c r="AT375" i="1"/>
  <c r="CH375" i="1" s="1"/>
  <c r="AT372" i="1"/>
  <c r="CH372" i="1" s="1"/>
  <c r="AT370" i="1"/>
  <c r="CH370" i="1" s="1"/>
  <c r="AT368" i="1"/>
  <c r="CH368" i="1" s="1"/>
  <c r="AT366" i="1"/>
  <c r="CH366" i="1" s="1"/>
  <c r="AT361" i="1"/>
  <c r="CH361" i="1" s="1"/>
  <c r="AT359" i="1"/>
  <c r="CH359" i="1" s="1"/>
  <c r="AT357" i="1"/>
  <c r="CH357" i="1" s="1"/>
  <c r="AT356" i="1"/>
  <c r="CH356" i="1" s="1"/>
  <c r="AT354" i="1"/>
  <c r="CH354" i="1" s="1"/>
  <c r="AT352" i="1"/>
  <c r="CH352" i="1" s="1"/>
  <c r="AT350" i="1"/>
  <c r="CH350" i="1" s="1"/>
  <c r="AT349" i="1"/>
  <c r="CH349" i="1" s="1"/>
  <c r="AT347" i="1"/>
  <c r="CH347" i="1" s="1"/>
  <c r="AT345" i="1"/>
  <c r="CH345" i="1" s="1"/>
  <c r="AT343" i="1"/>
  <c r="CH343" i="1" s="1"/>
  <c r="AT341" i="1"/>
  <c r="CH341" i="1" s="1"/>
  <c r="AT339" i="1"/>
  <c r="CH339" i="1" s="1"/>
  <c r="AT337" i="1"/>
  <c r="CH337" i="1" s="1"/>
  <c r="AT335" i="1"/>
  <c r="CH335" i="1" s="1"/>
  <c r="AT333" i="1"/>
  <c r="CH333" i="1" s="1"/>
  <c r="AT331" i="1"/>
  <c r="CH331" i="1" s="1"/>
  <c r="AT329" i="1"/>
  <c r="CH329" i="1" s="1"/>
  <c r="AT327" i="1"/>
  <c r="CH327" i="1" s="1"/>
  <c r="AT323" i="1"/>
  <c r="CH323" i="1" s="1"/>
  <c r="AT321" i="1"/>
  <c r="CH321" i="1" s="1"/>
  <c r="AT319" i="1"/>
  <c r="CH319" i="1" s="1"/>
  <c r="AT317" i="1"/>
  <c r="CH317" i="1" s="1"/>
  <c r="AT315" i="1"/>
  <c r="CH315" i="1" s="1"/>
  <c r="AT313" i="1"/>
  <c r="CH313" i="1" s="1"/>
  <c r="AT311" i="1"/>
  <c r="CH311" i="1" s="1"/>
  <c r="AT310" i="1"/>
  <c r="CH310" i="1" s="1"/>
  <c r="AT308" i="1"/>
  <c r="CH308" i="1" s="1"/>
  <c r="AT306" i="1"/>
  <c r="CH306" i="1" s="1"/>
  <c r="V308" i="1"/>
  <c r="W308" i="1" s="1"/>
  <c r="V307" i="1"/>
  <c r="W307" i="1" s="1"/>
  <c r="V306" i="1"/>
  <c r="W306" i="1" s="1"/>
  <c r="V394" i="1"/>
  <c r="W394" i="1" s="1"/>
  <c r="V393" i="1"/>
  <c r="W393" i="1" s="1"/>
  <c r="V392" i="1"/>
  <c r="W392" i="1" s="1"/>
  <c r="V389" i="1"/>
  <c r="W389" i="1" s="1"/>
  <c r="V388" i="1"/>
  <c r="W388" i="1" s="1"/>
  <c r="V387" i="1"/>
  <c r="V265" i="1"/>
  <c r="W265" i="1" s="1"/>
  <c r="V385" i="1"/>
  <c r="W385" i="1" s="1"/>
  <c r="V383" i="1"/>
  <c r="V382" i="1"/>
  <c r="W382" i="1" s="1"/>
  <c r="V380" i="1"/>
  <c r="W380" i="1" s="1"/>
  <c r="V379" i="1"/>
  <c r="V378" i="1"/>
  <c r="W378" i="1" s="1"/>
  <c r="V376" i="1"/>
  <c r="W376" i="1" s="1"/>
  <c r="V375" i="1"/>
  <c r="W375" i="1" s="1"/>
  <c r="V374" i="1"/>
  <c r="W374" i="1" s="1"/>
  <c r="V372" i="1"/>
  <c r="W372" i="1" s="1"/>
  <c r="V371" i="1"/>
  <c r="W371" i="1" s="1"/>
  <c r="V370" i="1"/>
  <c r="W370" i="1" s="1"/>
  <c r="V369" i="1"/>
  <c r="W369" i="1" s="1"/>
  <c r="V368" i="1"/>
  <c r="W368" i="1" s="1"/>
  <c r="V367" i="1"/>
  <c r="W367" i="1" s="1"/>
  <c r="V366" i="1"/>
  <c r="W366" i="1" s="1"/>
  <c r="V362" i="1"/>
  <c r="W362" i="1" s="1"/>
  <c r="V361" i="1"/>
  <c r="W361" i="1" s="1"/>
  <c r="V360" i="1"/>
  <c r="W360" i="1" s="1"/>
  <c r="V359" i="1"/>
  <c r="W359" i="1" s="1"/>
  <c r="V358" i="1"/>
  <c r="W358" i="1" s="1"/>
  <c r="V357" i="1"/>
  <c r="W357" i="1" s="1"/>
  <c r="V356" i="1"/>
  <c r="W356" i="1" s="1"/>
  <c r="V355" i="1"/>
  <c r="W355" i="1" s="1"/>
  <c r="V354" i="1"/>
  <c r="V353" i="1"/>
  <c r="V352" i="1"/>
  <c r="V350" i="1"/>
  <c r="V349" i="1"/>
  <c r="W349" i="1" s="1"/>
  <c r="V348" i="1"/>
  <c r="W348" i="1" s="1"/>
  <c r="V347" i="1"/>
  <c r="W347" i="1" s="1"/>
  <c r="V345" i="1"/>
  <c r="W345" i="1" s="1"/>
  <c r="V344" i="1"/>
  <c r="W344" i="1" s="1"/>
  <c r="V343" i="1"/>
  <c r="W343" i="1" s="1"/>
  <c r="V342" i="1"/>
  <c r="V341" i="1"/>
  <c r="W341" i="1" s="1"/>
  <c r="V340" i="1"/>
  <c r="W340" i="1" s="1"/>
  <c r="V339" i="1"/>
  <c r="W339" i="1" s="1"/>
  <c r="V338" i="1"/>
  <c r="W338" i="1" s="1"/>
  <c r="V337" i="1"/>
  <c r="W337" i="1" s="1"/>
  <c r="V336" i="1"/>
  <c r="V335" i="1"/>
  <c r="W335" i="1" s="1"/>
  <c r="V334" i="1"/>
  <c r="W334" i="1" s="1"/>
  <c r="V333" i="1"/>
  <c r="W333" i="1" s="1"/>
  <c r="V332" i="1"/>
  <c r="V331" i="1"/>
  <c r="W331" i="1" s="1"/>
  <c r="V330" i="1"/>
  <c r="W330" i="1" s="1"/>
  <c r="V329" i="1"/>
  <c r="W329" i="1" s="1"/>
  <c r="V328" i="1"/>
  <c r="W328" i="1" s="1"/>
  <c r="V327" i="1"/>
  <c r="W327" i="1" s="1"/>
  <c r="V326" i="1"/>
  <c r="W326" i="1" s="1"/>
  <c r="V325" i="1"/>
  <c r="V323" i="1"/>
  <c r="W323" i="1" s="1"/>
  <c r="V322" i="1"/>
  <c r="W322" i="1" s="1"/>
  <c r="V321" i="1"/>
  <c r="W321" i="1" s="1"/>
  <c r="V320" i="1"/>
  <c r="W320" i="1" s="1"/>
  <c r="V319" i="1"/>
  <c r="W319" i="1" s="1"/>
  <c r="V318" i="1"/>
  <c r="W318" i="1" s="1"/>
  <c r="V317" i="1"/>
  <c r="W317" i="1" s="1"/>
  <c r="V316" i="1"/>
  <c r="W316" i="1" s="1"/>
  <c r="V315" i="1"/>
  <c r="W315" i="1" s="1"/>
  <c r="V314" i="1"/>
  <c r="W314" i="1" s="1"/>
  <c r="V313" i="1"/>
  <c r="W313" i="1" s="1"/>
  <c r="V312" i="1"/>
  <c r="W312" i="1" s="1"/>
  <c r="V311" i="1"/>
  <c r="W311" i="1" s="1"/>
  <c r="V310" i="1"/>
  <c r="V309" i="1"/>
  <c r="W309" i="1" s="1"/>
  <c r="O346" i="57" l="1"/>
  <c r="O350" i="57"/>
  <c r="O352" i="57"/>
  <c r="O356" i="57"/>
  <c r="O363" i="57"/>
  <c r="O365" i="57"/>
  <c r="O367" i="57"/>
  <c r="O369" i="57"/>
  <c r="O371" i="57"/>
  <c r="O373" i="57"/>
  <c r="O375" i="57"/>
  <c r="O377" i="57"/>
  <c r="O379" i="57"/>
  <c r="O382" i="57"/>
  <c r="O389" i="57"/>
  <c r="O391" i="57"/>
  <c r="O393" i="57"/>
  <c r="O395" i="57"/>
  <c r="O400" i="57"/>
  <c r="O402" i="57"/>
  <c r="O404" i="57"/>
  <c r="O406" i="57"/>
  <c r="O409" i="57"/>
  <c r="O412" i="57"/>
  <c r="O414" i="57"/>
  <c r="O422" i="57"/>
  <c r="O426" i="57"/>
  <c r="O428" i="57"/>
  <c r="O341" i="57"/>
  <c r="O348" i="57"/>
  <c r="O354" i="57"/>
  <c r="O361" i="57"/>
  <c r="O343" i="57"/>
  <c r="O345" i="57"/>
  <c r="O347" i="57"/>
  <c r="O349" i="57"/>
  <c r="O351" i="57"/>
  <c r="O353" i="57"/>
  <c r="O355" i="57"/>
  <c r="O357" i="57"/>
  <c r="O360" i="57"/>
  <c r="O362" i="57"/>
  <c r="O364" i="57"/>
  <c r="O368" i="57"/>
  <c r="O372" i="57"/>
  <c r="O374" i="57"/>
  <c r="O378" i="57"/>
  <c r="O381" i="57"/>
  <c r="O383" i="57"/>
  <c r="O390" i="57"/>
  <c r="O392" i="57"/>
  <c r="O394" i="57"/>
  <c r="O396" i="57"/>
  <c r="O401" i="57"/>
  <c r="O403" i="57"/>
  <c r="O405" i="57"/>
  <c r="O408" i="57"/>
  <c r="O410" i="57"/>
  <c r="O416" i="57"/>
  <c r="O419" i="57"/>
  <c r="O423" i="57"/>
  <c r="O427" i="57"/>
  <c r="O340" i="57"/>
  <c r="O342" i="57"/>
  <c r="W336" i="1"/>
  <c r="X297" i="52"/>
  <c r="E580" i="20"/>
  <c r="X353" i="52"/>
  <c r="X360" i="52"/>
  <c r="X364" i="52"/>
  <c r="X374" i="52"/>
  <c r="X382" i="52"/>
  <c r="X390" i="52"/>
  <c r="X397" i="52"/>
  <c r="X406" i="52"/>
  <c r="X410" i="52"/>
  <c r="X420" i="52"/>
  <c r="X431" i="52"/>
  <c r="X359" i="52"/>
  <c r="X355" i="52"/>
  <c r="X358" i="52"/>
  <c r="X362" i="52"/>
  <c r="X366" i="52"/>
  <c r="X370" i="52"/>
  <c r="X376" i="52"/>
  <c r="X380" i="52"/>
  <c r="X384" i="52"/>
  <c r="X388" i="52"/>
  <c r="X392" i="52"/>
  <c r="X395" i="52"/>
  <c r="X400" i="52"/>
  <c r="X404" i="52"/>
  <c r="X408" i="52"/>
  <c r="X414" i="52"/>
  <c r="X418" i="52"/>
  <c r="X423" i="52"/>
  <c r="X430" i="52"/>
  <c r="X433" i="52"/>
  <c r="X439" i="52"/>
  <c r="X356" i="52"/>
  <c r="X361" i="52"/>
  <c r="X365" i="52"/>
  <c r="X369" i="52"/>
  <c r="X373" i="52"/>
  <c r="X377" i="52"/>
  <c r="X381" i="52"/>
  <c r="X385" i="52"/>
  <c r="X389" i="52"/>
  <c r="X394" i="52"/>
  <c r="X399" i="52"/>
  <c r="X403" i="52"/>
  <c r="X407" i="52"/>
  <c r="X411" i="52"/>
  <c r="X417" i="52"/>
  <c r="X422" i="52"/>
  <c r="X426" i="52"/>
  <c r="X429" i="52"/>
  <c r="X434" i="52"/>
  <c r="X441" i="52"/>
  <c r="X357" i="52"/>
  <c r="X368" i="52"/>
  <c r="X378" i="52"/>
  <c r="X386" i="52"/>
  <c r="X393" i="52"/>
  <c r="X402" i="52"/>
  <c r="X416" i="52"/>
  <c r="X427" i="52"/>
  <c r="X435" i="52"/>
  <c r="X354" i="52"/>
  <c r="X363" i="52"/>
  <c r="X367" i="52"/>
  <c r="X372" i="52"/>
  <c r="X375" i="52"/>
  <c r="X379" i="52"/>
  <c r="X383" i="52"/>
  <c r="X387" i="52"/>
  <c r="X391" i="52"/>
  <c r="X396" i="52"/>
  <c r="X401" i="52"/>
  <c r="X405" i="52"/>
  <c r="X409" i="52"/>
  <c r="X415" i="52"/>
  <c r="X419" i="52"/>
  <c r="X424" i="52"/>
  <c r="X428" i="52"/>
  <c r="X438" i="52"/>
  <c r="W310" i="1"/>
  <c r="W325" i="1"/>
  <c r="W332" i="1"/>
  <c r="W342" i="1"/>
  <c r="W353" i="1"/>
  <c r="W383" i="1"/>
  <c r="W350" i="1"/>
  <c r="W352" i="1"/>
  <c r="W354" i="1"/>
  <c r="W379" i="1"/>
  <c r="W387" i="1"/>
  <c r="AC305" i="1"/>
  <c r="AC45" i="1"/>
  <c r="AC46" i="1"/>
  <c r="AC44" i="1"/>
  <c r="AQ305" i="1"/>
  <c r="U340" i="58" s="1"/>
  <c r="U432" i="58" s="1"/>
  <c r="AQ45" i="1"/>
  <c r="AQ46" i="1"/>
  <c r="AQ44" i="1"/>
  <c r="U68" i="58" s="1"/>
  <c r="AQ14" i="1"/>
  <c r="AQ13" i="1"/>
  <c r="U13" i="58" s="1"/>
  <c r="AO305" i="1"/>
  <c r="T340" i="58" s="1"/>
  <c r="T432" i="58" s="1"/>
  <c r="AO45" i="1"/>
  <c r="AO46" i="1"/>
  <c r="AO44" i="1"/>
  <c r="T68" i="58" s="1"/>
  <c r="AO14" i="1"/>
  <c r="AO13" i="1"/>
  <c r="T13" i="58" s="1"/>
  <c r="C31" i="15"/>
  <c r="C30" i="15"/>
  <c r="Q13" i="1"/>
  <c r="T327" i="58" l="1"/>
  <c r="U15" i="58"/>
  <c r="U327" i="58"/>
  <c r="T15" i="58"/>
  <c r="V68" i="52"/>
  <c r="T68" i="52"/>
  <c r="R65" i="57"/>
  <c r="R324" i="57" s="1"/>
  <c r="O421" i="57"/>
  <c r="O388" i="57"/>
  <c r="O384" i="57"/>
  <c r="O387" i="57"/>
  <c r="O366" i="57"/>
  <c r="O344" i="57"/>
  <c r="V14" i="52"/>
  <c r="V352" i="52"/>
  <c r="V444" i="52" s="1"/>
  <c r="T352" i="52"/>
  <c r="T444" i="52" s="1"/>
  <c r="R339" i="57"/>
  <c r="R431" i="57" s="1"/>
  <c r="O413" i="57"/>
  <c r="O386" i="57"/>
  <c r="O417" i="57"/>
  <c r="O376" i="57"/>
  <c r="O359" i="57"/>
  <c r="O370" i="57"/>
  <c r="V70" i="52"/>
  <c r="T70" i="52"/>
  <c r="V69" i="52"/>
  <c r="T69" i="52"/>
  <c r="V13" i="52"/>
  <c r="V15" i="52" s="1"/>
  <c r="AO15" i="1"/>
  <c r="AQ15" i="1"/>
  <c r="BH303" i="1"/>
  <c r="AC397" i="1"/>
  <c r="AQ397" i="1"/>
  <c r="AT14" i="1"/>
  <c r="CH14" i="1" s="1"/>
  <c r="AT44" i="1"/>
  <c r="CH44" i="1" s="1"/>
  <c r="AT45" i="1"/>
  <c r="CH45" i="1" s="1"/>
  <c r="AT13" i="1"/>
  <c r="CH13" i="1" s="1"/>
  <c r="AT46" i="1"/>
  <c r="CH46" i="1" s="1"/>
  <c r="AO397" i="1"/>
  <c r="AT305" i="1"/>
  <c r="CH305" i="1" s="1"/>
  <c r="AO303" i="1"/>
  <c r="AC303" i="1"/>
  <c r="AQ303" i="1"/>
  <c r="I258" i="52"/>
  <c r="K258" i="52" s="1"/>
  <c r="U435" i="58" l="1"/>
  <c r="T435" i="58"/>
  <c r="R434" i="57"/>
  <c r="V336" i="52"/>
  <c r="V447" i="52" s="1"/>
  <c r="T336" i="52"/>
  <c r="T447" i="52" s="1"/>
  <c r="X70" i="52"/>
  <c r="X69" i="52"/>
  <c r="CH303" i="1"/>
  <c r="X14" i="52"/>
  <c r="CH15" i="1"/>
  <c r="X68" i="52"/>
  <c r="X13" i="52"/>
  <c r="X352" i="52"/>
  <c r="X444" i="52" s="1"/>
  <c r="CH397" i="1"/>
  <c r="AA227" i="1"/>
  <c r="R259" i="52" s="1"/>
  <c r="K227" i="1"/>
  <c r="I227" i="52"/>
  <c r="K227" i="52" s="1"/>
  <c r="I153" i="52"/>
  <c r="K153" i="52" s="1"/>
  <c r="I251" i="52"/>
  <c r="K251" i="52" s="1"/>
  <c r="I183" i="52"/>
  <c r="K183" i="52" s="1"/>
  <c r="I235" i="52"/>
  <c r="K235" i="52" s="1"/>
  <c r="I208" i="52"/>
  <c r="K208" i="52" s="1"/>
  <c r="I320" i="52"/>
  <c r="K320" i="52" s="1"/>
  <c r="I319" i="52"/>
  <c r="K319" i="52" s="1"/>
  <c r="I152" i="52"/>
  <c r="K152" i="52" s="1"/>
  <c r="I203" i="52"/>
  <c r="K203" i="52" s="1"/>
  <c r="I313" i="52"/>
  <c r="K313" i="52" s="1"/>
  <c r="I297" i="52"/>
  <c r="K297" i="52" s="1"/>
  <c r="AT15" i="1"/>
  <c r="I118" i="52"/>
  <c r="K118" i="52" s="1"/>
  <c r="I75" i="52"/>
  <c r="K75" i="52" s="1"/>
  <c r="I278" i="52"/>
  <c r="K278" i="52" s="1"/>
  <c r="I219" i="52"/>
  <c r="K219" i="52" s="1"/>
  <c r="I224" i="52"/>
  <c r="K224" i="52" s="1"/>
  <c r="I334" i="52"/>
  <c r="K334" i="52" s="1"/>
  <c r="I107" i="52"/>
  <c r="K107" i="52" s="1"/>
  <c r="I282" i="52"/>
  <c r="K282" i="52" s="1"/>
  <c r="I281" i="52"/>
  <c r="K281" i="52" s="1"/>
  <c r="I289" i="52"/>
  <c r="K289" i="52" s="1"/>
  <c r="I142" i="52"/>
  <c r="K142" i="52" s="1"/>
  <c r="I106" i="52"/>
  <c r="K106" i="52" s="1"/>
  <c r="I165" i="52"/>
  <c r="K165" i="52" s="1"/>
  <c r="I187" i="52"/>
  <c r="K187" i="52" s="1"/>
  <c r="I285" i="52"/>
  <c r="K285" i="52" s="1"/>
  <c r="I112" i="52"/>
  <c r="K112" i="52" s="1"/>
  <c r="I126" i="52"/>
  <c r="K126" i="52" s="1"/>
  <c r="I181" i="52"/>
  <c r="K181" i="52" s="1"/>
  <c r="I131" i="52"/>
  <c r="K131" i="52" s="1"/>
  <c r="I255" i="52"/>
  <c r="K255" i="52" s="1"/>
  <c r="I144" i="52"/>
  <c r="K144" i="52" s="1"/>
  <c r="I159" i="52"/>
  <c r="K159" i="52" s="1"/>
  <c r="I158" i="52"/>
  <c r="K158" i="52" s="1"/>
  <c r="I74" i="52"/>
  <c r="K74" i="52" s="1"/>
  <c r="I130" i="52"/>
  <c r="K130" i="52" s="1"/>
  <c r="I150" i="52"/>
  <c r="K150" i="52" s="1"/>
  <c r="I90" i="52"/>
  <c r="K90" i="52" s="1"/>
  <c r="I82" i="52"/>
  <c r="K82" i="52" s="1"/>
  <c r="I296" i="52"/>
  <c r="K296" i="52" s="1"/>
  <c r="I354" i="52"/>
  <c r="K354" i="52" s="1"/>
  <c r="I333" i="52"/>
  <c r="K333" i="52" s="1"/>
  <c r="I331" i="52"/>
  <c r="K331" i="52" s="1"/>
  <c r="I329" i="52"/>
  <c r="K329" i="52" s="1"/>
  <c r="I327" i="52"/>
  <c r="K327" i="52" s="1"/>
  <c r="I325" i="52"/>
  <c r="K325" i="52" s="1"/>
  <c r="I323" i="52"/>
  <c r="K323" i="52" s="1"/>
  <c r="I316" i="52"/>
  <c r="K316" i="52" s="1"/>
  <c r="I314" i="52"/>
  <c r="K314" i="52" s="1"/>
  <c r="I310" i="52"/>
  <c r="K310" i="52" s="1"/>
  <c r="I307" i="52"/>
  <c r="K307" i="52" s="1"/>
  <c r="I304" i="52"/>
  <c r="K304" i="52" s="1"/>
  <c r="I301" i="52"/>
  <c r="K301" i="52" s="1"/>
  <c r="I294" i="52"/>
  <c r="K294" i="52" s="1"/>
  <c r="I292" i="52"/>
  <c r="K292" i="52" s="1"/>
  <c r="I284" i="52"/>
  <c r="K284" i="52" s="1"/>
  <c r="I275" i="52"/>
  <c r="K275" i="52" s="1"/>
  <c r="I272" i="52"/>
  <c r="K272" i="52" s="1"/>
  <c r="I270" i="52"/>
  <c r="K270" i="52" s="1"/>
  <c r="I267" i="52"/>
  <c r="K267" i="52" s="1"/>
  <c r="I265" i="52"/>
  <c r="K265" i="52" s="1"/>
  <c r="I262" i="52"/>
  <c r="K262" i="52" s="1"/>
  <c r="I260" i="52"/>
  <c r="K260" i="52" s="1"/>
  <c r="I257" i="52"/>
  <c r="K257" i="52" s="1"/>
  <c r="I254" i="52"/>
  <c r="K254" i="52" s="1"/>
  <c r="I252" i="52"/>
  <c r="K252" i="52" s="1"/>
  <c r="I247" i="52"/>
  <c r="K247" i="52" s="1"/>
  <c r="I330" i="52"/>
  <c r="K330" i="52" s="1"/>
  <c r="I326" i="52"/>
  <c r="K326" i="52" s="1"/>
  <c r="I322" i="52"/>
  <c r="K322" i="52" s="1"/>
  <c r="I315" i="52"/>
  <c r="K315" i="52" s="1"/>
  <c r="I311" i="52"/>
  <c r="K311" i="52" s="1"/>
  <c r="I308" i="52"/>
  <c r="K308" i="52" s="1"/>
  <c r="I302" i="52"/>
  <c r="K302" i="52" s="1"/>
  <c r="I299" i="52"/>
  <c r="K299" i="52" s="1"/>
  <c r="I291" i="52"/>
  <c r="K291" i="52" s="1"/>
  <c r="I288" i="52"/>
  <c r="K288" i="52" s="1"/>
  <c r="I286" i="52"/>
  <c r="K286" i="52" s="1"/>
  <c r="I279" i="52"/>
  <c r="K279" i="52" s="1"/>
  <c r="I276" i="52"/>
  <c r="K276" i="52" s="1"/>
  <c r="I271" i="52"/>
  <c r="K271" i="52" s="1"/>
  <c r="I266" i="52"/>
  <c r="K266" i="52" s="1"/>
  <c r="I263" i="52"/>
  <c r="K263" i="52" s="1"/>
  <c r="I259" i="52"/>
  <c r="K259" i="52" s="1"/>
  <c r="I253" i="52"/>
  <c r="K253" i="52" s="1"/>
  <c r="I246" i="52"/>
  <c r="K246" i="52" s="1"/>
  <c r="I242" i="52"/>
  <c r="K242" i="52" s="1"/>
  <c r="I238" i="52"/>
  <c r="K238" i="52" s="1"/>
  <c r="I236" i="52"/>
  <c r="K236" i="52" s="1"/>
  <c r="I233" i="52"/>
  <c r="K233" i="52" s="1"/>
  <c r="I231" i="52"/>
  <c r="K231" i="52" s="1"/>
  <c r="I229" i="52"/>
  <c r="K229" i="52" s="1"/>
  <c r="I225" i="52"/>
  <c r="K225" i="52" s="1"/>
  <c r="I222" i="52"/>
  <c r="K222" i="52" s="1"/>
  <c r="I220" i="52"/>
  <c r="K220" i="52" s="1"/>
  <c r="I217" i="52"/>
  <c r="K217" i="52" s="1"/>
  <c r="I215" i="52"/>
  <c r="K215" i="52" s="1"/>
  <c r="I213" i="52"/>
  <c r="K213" i="52" s="1"/>
  <c r="I210" i="52"/>
  <c r="K210" i="52" s="1"/>
  <c r="I207" i="52"/>
  <c r="K207" i="52" s="1"/>
  <c r="I205" i="52"/>
  <c r="K205" i="52" s="1"/>
  <c r="I202" i="52"/>
  <c r="K202" i="52" s="1"/>
  <c r="I199" i="52"/>
  <c r="K199" i="52" s="1"/>
  <c r="I197" i="52"/>
  <c r="K197" i="52" s="1"/>
  <c r="I195" i="52"/>
  <c r="K195" i="52" s="1"/>
  <c r="I193" i="52"/>
  <c r="K193" i="52" s="1"/>
  <c r="I192" i="52"/>
  <c r="K192" i="52" s="1"/>
  <c r="I190" i="52"/>
  <c r="K190" i="52" s="1"/>
  <c r="I188" i="52"/>
  <c r="K188" i="52" s="1"/>
  <c r="I185" i="52"/>
  <c r="K185" i="52" s="1"/>
  <c r="I179" i="52"/>
  <c r="K179" i="52" s="1"/>
  <c r="I177" i="52"/>
  <c r="K177" i="52" s="1"/>
  <c r="I174" i="52"/>
  <c r="K174" i="52" s="1"/>
  <c r="I172" i="52"/>
  <c r="K172" i="52" s="1"/>
  <c r="I169" i="52"/>
  <c r="K169" i="52" s="1"/>
  <c r="I168" i="52"/>
  <c r="K168" i="52" s="1"/>
  <c r="I166" i="52"/>
  <c r="K166" i="52" s="1"/>
  <c r="I164" i="52"/>
  <c r="K164" i="52" s="1"/>
  <c r="I162" i="52"/>
  <c r="K162" i="52" s="1"/>
  <c r="I160" i="52"/>
  <c r="K160" i="52" s="1"/>
  <c r="I156" i="52"/>
  <c r="K156" i="52" s="1"/>
  <c r="I154" i="52"/>
  <c r="K154" i="52" s="1"/>
  <c r="I149" i="52"/>
  <c r="K149" i="52" s="1"/>
  <c r="I147" i="52"/>
  <c r="K147" i="52" s="1"/>
  <c r="I146" i="52"/>
  <c r="K146" i="52" s="1"/>
  <c r="I140" i="52"/>
  <c r="K140" i="52" s="1"/>
  <c r="I138" i="52"/>
  <c r="K138" i="52" s="1"/>
  <c r="I135" i="52"/>
  <c r="K135" i="52" s="1"/>
  <c r="I134" i="52"/>
  <c r="K134" i="52" s="1"/>
  <c r="I129" i="52"/>
  <c r="K129" i="52" s="1"/>
  <c r="I125" i="52"/>
  <c r="K125" i="52" s="1"/>
  <c r="I123" i="52"/>
  <c r="K123" i="52" s="1"/>
  <c r="I121" i="52"/>
  <c r="K121" i="52" s="1"/>
  <c r="I119" i="52"/>
  <c r="K119" i="52" s="1"/>
  <c r="I117" i="52"/>
  <c r="K117" i="52" s="1"/>
  <c r="I115" i="52"/>
  <c r="K115" i="52" s="1"/>
  <c r="I111" i="52"/>
  <c r="K111" i="52" s="1"/>
  <c r="I109" i="52"/>
  <c r="K109" i="52" s="1"/>
  <c r="I104" i="52"/>
  <c r="K104" i="52" s="1"/>
  <c r="I102" i="52"/>
  <c r="K102" i="52" s="1"/>
  <c r="I99" i="52"/>
  <c r="K99" i="52" s="1"/>
  <c r="I97" i="52"/>
  <c r="K97" i="52" s="1"/>
  <c r="I95" i="52"/>
  <c r="K95" i="52" s="1"/>
  <c r="I93" i="52"/>
  <c r="K93" i="52" s="1"/>
  <c r="I91" i="52"/>
  <c r="K91" i="52" s="1"/>
  <c r="I88" i="52"/>
  <c r="K88" i="52" s="1"/>
  <c r="I86" i="52"/>
  <c r="K86" i="52" s="1"/>
  <c r="I84" i="52"/>
  <c r="K84" i="52" s="1"/>
  <c r="I79" i="52"/>
  <c r="K79" i="52" s="1"/>
  <c r="I77" i="52"/>
  <c r="K77" i="52" s="1"/>
  <c r="I73" i="52"/>
  <c r="K73" i="52" s="1"/>
  <c r="I71" i="52"/>
  <c r="K71" i="52" s="1"/>
  <c r="I69" i="52"/>
  <c r="K69" i="52" s="1"/>
  <c r="I209" i="52"/>
  <c r="K209" i="52" s="1"/>
  <c r="I206" i="52"/>
  <c r="K206" i="52" s="1"/>
  <c r="I204" i="52"/>
  <c r="K204" i="52" s="1"/>
  <c r="I201" i="52"/>
  <c r="K201" i="52" s="1"/>
  <c r="I200" i="52"/>
  <c r="K200" i="52" s="1"/>
  <c r="I198" i="52"/>
  <c r="K198" i="52" s="1"/>
  <c r="I196" i="52"/>
  <c r="K196" i="52" s="1"/>
  <c r="I194" i="52"/>
  <c r="K194" i="52" s="1"/>
  <c r="I191" i="52"/>
  <c r="K191" i="52" s="1"/>
  <c r="I189" i="52"/>
  <c r="K189" i="52" s="1"/>
  <c r="I186" i="52"/>
  <c r="K186" i="52" s="1"/>
  <c r="I184" i="52"/>
  <c r="K184" i="52" s="1"/>
  <c r="I182" i="52"/>
  <c r="K182" i="52" s="1"/>
  <c r="I180" i="52"/>
  <c r="K180" i="52" s="1"/>
  <c r="I178" i="52"/>
  <c r="K178" i="52" s="1"/>
  <c r="I176" i="52"/>
  <c r="K176" i="52" s="1"/>
  <c r="I175" i="52"/>
  <c r="K175" i="52" s="1"/>
  <c r="I173" i="52"/>
  <c r="K173" i="52" s="1"/>
  <c r="I171" i="52"/>
  <c r="K171" i="52" s="1"/>
  <c r="I170" i="52"/>
  <c r="K170" i="52" s="1"/>
  <c r="I167" i="52"/>
  <c r="K167" i="52" s="1"/>
  <c r="I163" i="52"/>
  <c r="K163" i="52" s="1"/>
  <c r="I161" i="52"/>
  <c r="K161" i="52" s="1"/>
  <c r="I157" i="52"/>
  <c r="K157" i="52" s="1"/>
  <c r="I155" i="52"/>
  <c r="K155" i="52" s="1"/>
  <c r="I151" i="52"/>
  <c r="K151" i="52" s="1"/>
  <c r="I148" i="52"/>
  <c r="K148" i="52" s="1"/>
  <c r="I332" i="52"/>
  <c r="K332" i="52" s="1"/>
  <c r="I328" i="52"/>
  <c r="K328" i="52" s="1"/>
  <c r="I324" i="52"/>
  <c r="K324" i="52" s="1"/>
  <c r="I317" i="52"/>
  <c r="K317" i="52" s="1"/>
  <c r="I312" i="52"/>
  <c r="K312" i="52" s="1"/>
  <c r="I309" i="52"/>
  <c r="K309" i="52" s="1"/>
  <c r="I305" i="52"/>
  <c r="K305" i="52" s="1"/>
  <c r="I300" i="52"/>
  <c r="K300" i="52" s="1"/>
  <c r="I293" i="52"/>
  <c r="K293" i="52" s="1"/>
  <c r="I290" i="52"/>
  <c r="K290" i="52" s="1"/>
  <c r="I287" i="52"/>
  <c r="K287" i="52" s="1"/>
  <c r="I283" i="52"/>
  <c r="K283" i="52" s="1"/>
  <c r="I274" i="52"/>
  <c r="K274" i="52" s="1"/>
  <c r="I268" i="52"/>
  <c r="K268" i="52" s="1"/>
  <c r="I264" i="52"/>
  <c r="K264" i="52" s="1"/>
  <c r="I261" i="52"/>
  <c r="K261" i="52" s="1"/>
  <c r="I256" i="52"/>
  <c r="K256" i="52" s="1"/>
  <c r="I248" i="52"/>
  <c r="K248" i="52" s="1"/>
  <c r="I245" i="52"/>
  <c r="K245" i="52" s="1"/>
  <c r="I239" i="52"/>
  <c r="K239" i="52" s="1"/>
  <c r="I237" i="52"/>
  <c r="K237" i="52" s="1"/>
  <c r="I234" i="52"/>
  <c r="K234" i="52" s="1"/>
  <c r="I232" i="52"/>
  <c r="K232" i="52" s="1"/>
  <c r="I230" i="52"/>
  <c r="K230" i="52" s="1"/>
  <c r="I226" i="52"/>
  <c r="K226" i="52" s="1"/>
  <c r="I223" i="52"/>
  <c r="K223" i="52" s="1"/>
  <c r="I221" i="52"/>
  <c r="K221" i="52" s="1"/>
  <c r="I218" i="52"/>
  <c r="K218" i="52" s="1"/>
  <c r="I216" i="52"/>
  <c r="K216" i="52" s="1"/>
  <c r="I214" i="52"/>
  <c r="K214" i="52" s="1"/>
  <c r="I212" i="52"/>
  <c r="K212" i="52" s="1"/>
  <c r="I145" i="52"/>
  <c r="K145" i="52" s="1"/>
  <c r="I139" i="52"/>
  <c r="K139" i="52" s="1"/>
  <c r="I127" i="52"/>
  <c r="K127" i="52" s="1"/>
  <c r="I122" i="52"/>
  <c r="K122" i="52" s="1"/>
  <c r="I113" i="52"/>
  <c r="K113" i="52" s="1"/>
  <c r="I110" i="52"/>
  <c r="K110" i="52" s="1"/>
  <c r="I105" i="52"/>
  <c r="K105" i="52" s="1"/>
  <c r="I101" i="52"/>
  <c r="K101" i="52" s="1"/>
  <c r="I98" i="52"/>
  <c r="K98" i="52" s="1"/>
  <c r="I94" i="52"/>
  <c r="K94" i="52" s="1"/>
  <c r="I89" i="52"/>
  <c r="K89" i="52" s="1"/>
  <c r="I85" i="52"/>
  <c r="K85" i="52" s="1"/>
  <c r="I80" i="52"/>
  <c r="K80" i="52" s="1"/>
  <c r="I76" i="52"/>
  <c r="K76" i="52" s="1"/>
  <c r="I70" i="52"/>
  <c r="K70" i="52" s="1"/>
  <c r="I141" i="52"/>
  <c r="K141" i="52" s="1"/>
  <c r="I137" i="52"/>
  <c r="K137" i="52" s="1"/>
  <c r="I133" i="52"/>
  <c r="K133" i="52" s="1"/>
  <c r="I128" i="52"/>
  <c r="K128" i="52" s="1"/>
  <c r="I120" i="52"/>
  <c r="K120" i="52" s="1"/>
  <c r="I116" i="52"/>
  <c r="K116" i="52" s="1"/>
  <c r="I108" i="52"/>
  <c r="K108" i="52" s="1"/>
  <c r="I103" i="52"/>
  <c r="K103" i="52" s="1"/>
  <c r="I100" i="52"/>
  <c r="K100" i="52" s="1"/>
  <c r="I96" i="52"/>
  <c r="K96" i="52" s="1"/>
  <c r="I92" i="52"/>
  <c r="K92" i="52" s="1"/>
  <c r="I87" i="52"/>
  <c r="K87" i="52" s="1"/>
  <c r="I83" i="52"/>
  <c r="K83" i="52" s="1"/>
  <c r="I78" i="52"/>
  <c r="K78" i="52" s="1"/>
  <c r="I72" i="52"/>
  <c r="K72" i="52" s="1"/>
  <c r="I68" i="52"/>
  <c r="K68" i="52" s="1"/>
  <c r="AC400" i="1"/>
  <c r="BH400" i="1"/>
  <c r="AQ400" i="1"/>
  <c r="AO400" i="1"/>
  <c r="AW13" i="1"/>
  <c r="X13" i="58" s="1"/>
  <c r="X15" i="58" s="1"/>
  <c r="X336" i="52" l="1"/>
  <c r="X15" i="52"/>
  <c r="I38" i="52"/>
  <c r="K38" i="52" s="1"/>
  <c r="I14" i="52"/>
  <c r="K14" i="52" s="1"/>
  <c r="I40" i="52"/>
  <c r="K40" i="52" s="1"/>
  <c r="I48" i="52"/>
  <c r="K48" i="52" s="1"/>
  <c r="I54" i="52"/>
  <c r="K54" i="52" s="1"/>
  <c r="I43" i="52"/>
  <c r="K43" i="52" s="1"/>
  <c r="I57" i="52"/>
  <c r="K57" i="52" s="1"/>
  <c r="I359" i="52"/>
  <c r="K359" i="52" s="1"/>
  <c r="I367" i="52"/>
  <c r="K367" i="52" s="1"/>
  <c r="I375" i="52"/>
  <c r="K375" i="52" s="1"/>
  <c r="I383" i="52"/>
  <c r="K383" i="52" s="1"/>
  <c r="I391" i="52"/>
  <c r="K391" i="52" s="1"/>
  <c r="I403" i="52"/>
  <c r="K403" i="52" s="1"/>
  <c r="I411" i="52"/>
  <c r="K411" i="52" s="1"/>
  <c r="I420" i="52"/>
  <c r="K420" i="52" s="1"/>
  <c r="I428" i="52"/>
  <c r="K428" i="52" s="1"/>
  <c r="I435" i="52"/>
  <c r="K435" i="52" s="1"/>
  <c r="I33" i="52"/>
  <c r="K33" i="52" s="1"/>
  <c r="I37" i="52"/>
  <c r="K37" i="52" s="1"/>
  <c r="I44" i="52"/>
  <c r="K44" i="52" s="1"/>
  <c r="I49" i="52"/>
  <c r="K49" i="52" s="1"/>
  <c r="I53" i="52"/>
  <c r="K53" i="52" s="1"/>
  <c r="I357" i="52"/>
  <c r="K357" i="52" s="1"/>
  <c r="I365" i="52"/>
  <c r="K365" i="52" s="1"/>
  <c r="I374" i="52"/>
  <c r="K374" i="52" s="1"/>
  <c r="I381" i="52"/>
  <c r="K381" i="52" s="1"/>
  <c r="I389" i="52"/>
  <c r="K389" i="52" s="1"/>
  <c r="I396" i="52"/>
  <c r="K396" i="52" s="1"/>
  <c r="I405" i="52"/>
  <c r="K405" i="52" s="1"/>
  <c r="I413" i="52"/>
  <c r="K413" i="52" s="1"/>
  <c r="I422" i="52"/>
  <c r="K422" i="52" s="1"/>
  <c r="I430" i="52"/>
  <c r="K430" i="52" s="1"/>
  <c r="I437" i="52"/>
  <c r="K437" i="52" s="1"/>
  <c r="I356" i="52"/>
  <c r="K356" i="52" s="1"/>
  <c r="I360" i="52"/>
  <c r="K360" i="52" s="1"/>
  <c r="I364" i="52"/>
  <c r="K364" i="52" s="1"/>
  <c r="I368" i="52"/>
  <c r="K368" i="52" s="1"/>
  <c r="I372" i="52"/>
  <c r="K372" i="52" s="1"/>
  <c r="I378" i="52"/>
  <c r="K378" i="52" s="1"/>
  <c r="I382" i="52"/>
  <c r="K382" i="52" s="1"/>
  <c r="I386" i="52"/>
  <c r="K386" i="52" s="1"/>
  <c r="I390" i="52"/>
  <c r="K390" i="52" s="1"/>
  <c r="I394" i="52"/>
  <c r="K394" i="52" s="1"/>
  <c r="I397" i="52"/>
  <c r="K397" i="52" s="1"/>
  <c r="I402" i="52"/>
  <c r="K402" i="52" s="1"/>
  <c r="I406" i="52"/>
  <c r="K406" i="52" s="1"/>
  <c r="I410" i="52"/>
  <c r="K410" i="52" s="1"/>
  <c r="I415" i="52"/>
  <c r="K415" i="52" s="1"/>
  <c r="I419" i="52"/>
  <c r="K419" i="52" s="1"/>
  <c r="I423" i="52"/>
  <c r="K423" i="52" s="1"/>
  <c r="I429" i="52"/>
  <c r="K429" i="52" s="1"/>
  <c r="I439" i="52"/>
  <c r="K439" i="52" s="1"/>
  <c r="I443" i="52"/>
  <c r="K443" i="52" s="1"/>
  <c r="I42" i="52"/>
  <c r="K42" i="52" s="1"/>
  <c r="I400" i="52"/>
  <c r="K400" i="52" s="1"/>
  <c r="I46" i="52"/>
  <c r="K46" i="52" s="1"/>
  <c r="I36" i="52"/>
  <c r="K36" i="52" s="1"/>
  <c r="I45" i="52"/>
  <c r="K45" i="52" s="1"/>
  <c r="I50" i="52"/>
  <c r="K50" i="52" s="1"/>
  <c r="I34" i="52"/>
  <c r="K34" i="52" s="1"/>
  <c r="I52" i="52"/>
  <c r="K52" i="52" s="1"/>
  <c r="I355" i="52"/>
  <c r="K355" i="52" s="1"/>
  <c r="I363" i="52"/>
  <c r="K363" i="52" s="1"/>
  <c r="I371" i="52"/>
  <c r="K371" i="52" s="1"/>
  <c r="I379" i="52"/>
  <c r="K379" i="52" s="1"/>
  <c r="I387" i="52"/>
  <c r="K387" i="52" s="1"/>
  <c r="I398" i="52"/>
  <c r="K398" i="52" s="1"/>
  <c r="I407" i="52"/>
  <c r="K407" i="52" s="1"/>
  <c r="I416" i="52"/>
  <c r="K416" i="52" s="1"/>
  <c r="I424" i="52"/>
  <c r="K424" i="52" s="1"/>
  <c r="I431" i="52"/>
  <c r="K431" i="52" s="1"/>
  <c r="I440" i="52"/>
  <c r="K440" i="52" s="1"/>
  <c r="I13" i="52"/>
  <c r="K13" i="52" s="1"/>
  <c r="I35" i="52"/>
  <c r="K35" i="52" s="1"/>
  <c r="I39" i="52"/>
  <c r="K39" i="52" s="1"/>
  <c r="I47" i="52"/>
  <c r="K47" i="52" s="1"/>
  <c r="I51" i="52"/>
  <c r="K51" i="52" s="1"/>
  <c r="I56" i="52"/>
  <c r="K56" i="52" s="1"/>
  <c r="I361" i="52"/>
  <c r="K361" i="52" s="1"/>
  <c r="I369" i="52"/>
  <c r="K369" i="52" s="1"/>
  <c r="I377" i="52"/>
  <c r="K377" i="52" s="1"/>
  <c r="I385" i="52"/>
  <c r="K385" i="52" s="1"/>
  <c r="I393" i="52"/>
  <c r="K393" i="52" s="1"/>
  <c r="I401" i="52"/>
  <c r="K401" i="52" s="1"/>
  <c r="I409" i="52"/>
  <c r="K409" i="52" s="1"/>
  <c r="I418" i="52"/>
  <c r="K418" i="52" s="1"/>
  <c r="I426" i="52"/>
  <c r="K426" i="52" s="1"/>
  <c r="I433" i="52"/>
  <c r="K433" i="52" s="1"/>
  <c r="I442" i="52"/>
  <c r="K442" i="52" s="1"/>
  <c r="I358" i="52"/>
  <c r="K358" i="52" s="1"/>
  <c r="I362" i="52"/>
  <c r="K362" i="52" s="1"/>
  <c r="I366" i="52"/>
  <c r="K366" i="52" s="1"/>
  <c r="I370" i="52"/>
  <c r="K370" i="52" s="1"/>
  <c r="I376" i="52"/>
  <c r="K376" i="52" s="1"/>
  <c r="I380" i="52"/>
  <c r="K380" i="52" s="1"/>
  <c r="I384" i="52"/>
  <c r="K384" i="52" s="1"/>
  <c r="I388" i="52"/>
  <c r="K388" i="52" s="1"/>
  <c r="I392" i="52"/>
  <c r="K392" i="52" s="1"/>
  <c r="I395" i="52"/>
  <c r="K395" i="52" s="1"/>
  <c r="I399" i="52"/>
  <c r="K399" i="52" s="1"/>
  <c r="I404" i="52"/>
  <c r="K404" i="52" s="1"/>
  <c r="I408" i="52"/>
  <c r="K408" i="52" s="1"/>
  <c r="I412" i="52"/>
  <c r="K412" i="52" s="1"/>
  <c r="I417" i="52"/>
  <c r="K417" i="52" s="1"/>
  <c r="I421" i="52"/>
  <c r="K421" i="52" s="1"/>
  <c r="I425" i="52"/>
  <c r="K425" i="52" s="1"/>
  <c r="I432" i="52"/>
  <c r="K432" i="52" s="1"/>
  <c r="I436" i="52"/>
  <c r="K436" i="52" s="1"/>
  <c r="I441" i="52"/>
  <c r="K441" i="52" s="1"/>
  <c r="I301" i="42"/>
  <c r="K288" i="1"/>
  <c r="AA208" i="1"/>
  <c r="R236" i="52" s="1"/>
  <c r="AA200" i="1"/>
  <c r="R228" i="52" s="1"/>
  <c r="AA288" i="1"/>
  <c r="R321" i="52" s="1"/>
  <c r="AA157" i="1"/>
  <c r="R184" i="52" s="1"/>
  <c r="K208" i="1"/>
  <c r="K200" i="1"/>
  <c r="AF227" i="1"/>
  <c r="AA351" i="1"/>
  <c r="K351" i="1"/>
  <c r="K347" i="42" s="1"/>
  <c r="R154" i="52"/>
  <c r="AA222" i="1"/>
  <c r="R252" i="52" s="1"/>
  <c r="K222" i="1"/>
  <c r="K157" i="1"/>
  <c r="AA181" i="1"/>
  <c r="R209" i="52" s="1"/>
  <c r="K181" i="1"/>
  <c r="R42" i="52"/>
  <c r="K287" i="1"/>
  <c r="AA287" i="1"/>
  <c r="R320" i="52" s="1"/>
  <c r="K197" i="1"/>
  <c r="AA119" i="1"/>
  <c r="R143" i="52" s="1"/>
  <c r="AA257" i="1"/>
  <c r="R290" i="52" s="1"/>
  <c r="AA129" i="1"/>
  <c r="R153" i="52" s="1"/>
  <c r="AA281" i="1"/>
  <c r="R314" i="52" s="1"/>
  <c r="K129" i="1"/>
  <c r="K281" i="1"/>
  <c r="R204" i="52"/>
  <c r="K266" i="1"/>
  <c r="AA266" i="1"/>
  <c r="R298" i="52" s="1"/>
  <c r="K67" i="1"/>
  <c r="AA96" i="1"/>
  <c r="R119" i="52" s="1"/>
  <c r="AW15" i="1"/>
  <c r="K96" i="1"/>
  <c r="AA197" i="1"/>
  <c r="R225" i="52" s="1"/>
  <c r="I13" i="42"/>
  <c r="AA376" i="1"/>
  <c r="AA59" i="1"/>
  <c r="R83" i="52" s="1"/>
  <c r="AA127" i="1"/>
  <c r="R151" i="52" s="1"/>
  <c r="AA51" i="1"/>
  <c r="R75" i="52" s="1"/>
  <c r="AA134" i="1"/>
  <c r="R160" i="52" s="1"/>
  <c r="AA225" i="1"/>
  <c r="R256" i="52" s="1"/>
  <c r="AA155" i="1"/>
  <c r="R182" i="52" s="1"/>
  <c r="AA90" i="1"/>
  <c r="R113" i="52" s="1"/>
  <c r="AA161" i="1"/>
  <c r="R188" i="52" s="1"/>
  <c r="K119" i="1"/>
  <c r="K85" i="1"/>
  <c r="I40" i="42"/>
  <c r="AA67" i="1"/>
  <c r="R91" i="52" s="1"/>
  <c r="AA108" i="1"/>
  <c r="R131" i="52" s="1"/>
  <c r="AA133" i="1"/>
  <c r="R159" i="52" s="1"/>
  <c r="AA121" i="1"/>
  <c r="R145" i="52" s="1"/>
  <c r="AA109" i="1"/>
  <c r="R132" i="52" s="1"/>
  <c r="AA104" i="1"/>
  <c r="R127" i="52" s="1"/>
  <c r="AA253" i="1"/>
  <c r="R286" i="52" s="1"/>
  <c r="AA139" i="1"/>
  <c r="K257" i="1"/>
  <c r="AA52" i="1"/>
  <c r="R76" i="52" s="1"/>
  <c r="K52" i="1"/>
  <c r="K247" i="1"/>
  <c r="AA247" i="1"/>
  <c r="R279" i="52" s="1"/>
  <c r="R220" i="52"/>
  <c r="R335" i="52"/>
  <c r="AA85" i="1"/>
  <c r="R108" i="52" s="1"/>
  <c r="R282" i="52"/>
  <c r="AA250" i="1"/>
  <c r="R283" i="52" s="1"/>
  <c r="K250" i="1"/>
  <c r="AA84" i="1"/>
  <c r="R107" i="52" s="1"/>
  <c r="K84" i="1"/>
  <c r="K108" i="1"/>
  <c r="K51" i="1"/>
  <c r="K134" i="1"/>
  <c r="K225" i="1"/>
  <c r="K155" i="1"/>
  <c r="K104" i="1"/>
  <c r="K253" i="1"/>
  <c r="K127" i="1"/>
  <c r="K133" i="1"/>
  <c r="K121" i="1"/>
  <c r="K109" i="1"/>
  <c r="K90" i="1"/>
  <c r="K161" i="1"/>
  <c r="K139" i="1"/>
  <c r="K59" i="1"/>
  <c r="CH400" i="1"/>
  <c r="AA393" i="1"/>
  <c r="AA389" i="1"/>
  <c r="AA387" i="1"/>
  <c r="AA385" i="1"/>
  <c r="AA382" i="1"/>
  <c r="AA380" i="1"/>
  <c r="AA378" i="1"/>
  <c r="AA374" i="1"/>
  <c r="AA371" i="1"/>
  <c r="AA369" i="1"/>
  <c r="AA367" i="1"/>
  <c r="AA362" i="1"/>
  <c r="AA360" i="1"/>
  <c r="AA358" i="1"/>
  <c r="AA355" i="1"/>
  <c r="AA353" i="1"/>
  <c r="AA348" i="1"/>
  <c r="AA344" i="1"/>
  <c r="AA342" i="1"/>
  <c r="AA340" i="1"/>
  <c r="AA338" i="1"/>
  <c r="AA336" i="1"/>
  <c r="AA334" i="1"/>
  <c r="AA332" i="1"/>
  <c r="AA330" i="1"/>
  <c r="AA328" i="1"/>
  <c r="AA326" i="1"/>
  <c r="AA325" i="1"/>
  <c r="AA322" i="1"/>
  <c r="AA320" i="1"/>
  <c r="AA318" i="1"/>
  <c r="AA316" i="1"/>
  <c r="AA314" i="1"/>
  <c r="AA312" i="1"/>
  <c r="AA310" i="1"/>
  <c r="AA308" i="1"/>
  <c r="AA306" i="1"/>
  <c r="AA19" i="1"/>
  <c r="AA21" i="1"/>
  <c r="AA24" i="1"/>
  <c r="AA25" i="1"/>
  <c r="AA27" i="1"/>
  <c r="AA28" i="1"/>
  <c r="AA30" i="1"/>
  <c r="AA32" i="1"/>
  <c r="AA34" i="1"/>
  <c r="AA41" i="1"/>
  <c r="AA48" i="1"/>
  <c r="R72" i="52" s="1"/>
  <c r="AA50" i="1"/>
  <c r="R74" i="52" s="1"/>
  <c r="AA54" i="1"/>
  <c r="R78" i="52" s="1"/>
  <c r="AA56" i="1"/>
  <c r="R80" i="52" s="1"/>
  <c r="AA61" i="1"/>
  <c r="R85" i="52" s="1"/>
  <c r="AA63" i="1"/>
  <c r="R87" i="52" s="1"/>
  <c r="AA65" i="1"/>
  <c r="R89" i="52" s="1"/>
  <c r="AA68" i="1"/>
  <c r="R92" i="52" s="1"/>
  <c r="AA71" i="1"/>
  <c r="R94" i="52" s="1"/>
  <c r="AA73" i="1"/>
  <c r="R96" i="52" s="1"/>
  <c r="AA75" i="1"/>
  <c r="R98" i="52" s="1"/>
  <c r="AA77" i="1"/>
  <c r="R100" i="52" s="1"/>
  <c r="AA80" i="1"/>
  <c r="R103" i="52" s="1"/>
  <c r="AA82" i="1"/>
  <c r="R105" i="52" s="1"/>
  <c r="AA86" i="1"/>
  <c r="R109" i="52" s="1"/>
  <c r="AA88" i="1"/>
  <c r="R111" i="52" s="1"/>
  <c r="AA93" i="1"/>
  <c r="R116" i="52" s="1"/>
  <c r="AA95" i="1"/>
  <c r="R118" i="52" s="1"/>
  <c r="AA97" i="1"/>
  <c r="R120" i="52" s="1"/>
  <c r="AA99" i="1"/>
  <c r="R122" i="52" s="1"/>
  <c r="AA101" i="1"/>
  <c r="R124" i="52" s="1"/>
  <c r="AA103" i="1"/>
  <c r="R126" i="52" s="1"/>
  <c r="AA107" i="1"/>
  <c r="R130" i="52" s="1"/>
  <c r="AA110" i="1"/>
  <c r="R134" i="52" s="1"/>
  <c r="AA114" i="1"/>
  <c r="R138" i="52" s="1"/>
  <c r="AA116" i="1"/>
  <c r="R140" i="52" s="1"/>
  <c r="AA118" i="1"/>
  <c r="R142" i="52" s="1"/>
  <c r="AA122" i="1"/>
  <c r="R146" i="52" s="1"/>
  <c r="AA125" i="1"/>
  <c r="R149" i="52" s="1"/>
  <c r="AA128" i="1"/>
  <c r="R152" i="52" s="1"/>
  <c r="AA131" i="1"/>
  <c r="R156" i="52" s="1"/>
  <c r="AA132" i="1"/>
  <c r="R158" i="52" s="1"/>
  <c r="AA136" i="1"/>
  <c r="R162" i="52" s="1"/>
  <c r="AA137" i="1"/>
  <c r="R164" i="52" s="1"/>
  <c r="AA141" i="1"/>
  <c r="R168" i="52" s="1"/>
  <c r="AA144" i="1"/>
  <c r="R170" i="52" s="1"/>
  <c r="AA147" i="1"/>
  <c r="R173" i="52" s="1"/>
  <c r="AA149" i="1"/>
  <c r="R175" i="52" s="1"/>
  <c r="AA151" i="1"/>
  <c r="R178" i="52" s="1"/>
  <c r="AA153" i="1"/>
  <c r="R180" i="52" s="1"/>
  <c r="AA156" i="1"/>
  <c r="R183" i="52" s="1"/>
  <c r="AA158" i="1"/>
  <c r="R185" i="52" s="1"/>
  <c r="AA162" i="1"/>
  <c r="R189" i="52" s="1"/>
  <c r="AA164" i="1"/>
  <c r="R191" i="52" s="1"/>
  <c r="AA166" i="1"/>
  <c r="R193" i="52" s="1"/>
  <c r="AA168" i="1"/>
  <c r="R195" i="52" s="1"/>
  <c r="AA170" i="1"/>
  <c r="AA172" i="1"/>
  <c r="R199" i="52" s="1"/>
  <c r="AA174" i="1"/>
  <c r="R201" i="52" s="1"/>
  <c r="AA175" i="1"/>
  <c r="R202" i="52" s="1"/>
  <c r="AA177" i="1"/>
  <c r="R205" i="52" s="1"/>
  <c r="AA179" i="1"/>
  <c r="R207" i="52" s="1"/>
  <c r="AA182" i="1"/>
  <c r="R210" i="52" s="1"/>
  <c r="AA185" i="1"/>
  <c r="R213" i="52" s="1"/>
  <c r="AA187" i="1"/>
  <c r="R215" i="52" s="1"/>
  <c r="AA190" i="1"/>
  <c r="R217" i="52" s="1"/>
  <c r="AA192" i="1"/>
  <c r="R219" i="52" s="1"/>
  <c r="AA195" i="1"/>
  <c r="R223" i="52" s="1"/>
  <c r="AA198" i="1"/>
  <c r="R226" i="52" s="1"/>
  <c r="AA202" i="1"/>
  <c r="R230" i="52" s="1"/>
  <c r="AA204" i="1"/>
  <c r="R232" i="52" s="1"/>
  <c r="AA207" i="1"/>
  <c r="R235" i="52" s="1"/>
  <c r="R238" i="52"/>
  <c r="AA210" i="1"/>
  <c r="R240" i="52" s="1"/>
  <c r="AA217" i="1"/>
  <c r="R247" i="52" s="1"/>
  <c r="AA219" i="1"/>
  <c r="R249" i="52" s="1"/>
  <c r="AA224" i="1"/>
  <c r="R254" i="52" s="1"/>
  <c r="AA226" i="1"/>
  <c r="R257" i="52" s="1"/>
  <c r="AA228" i="1"/>
  <c r="R260" i="52" s="1"/>
  <c r="AA231" i="1"/>
  <c r="R263" i="52" s="1"/>
  <c r="AA233" i="1"/>
  <c r="R265" i="52" s="1"/>
  <c r="AA235" i="1"/>
  <c r="R267" i="52" s="1"/>
  <c r="AA237" i="1"/>
  <c r="R269" i="52" s="1"/>
  <c r="AA239" i="1"/>
  <c r="R272" i="52" s="1"/>
  <c r="AA242" i="1"/>
  <c r="R275" i="52" s="1"/>
  <c r="AA244" i="1"/>
  <c r="R277" i="52" s="1"/>
  <c r="AA252" i="1"/>
  <c r="R285" i="52" s="1"/>
  <c r="AA255" i="1"/>
  <c r="R288" i="52" s="1"/>
  <c r="AA256" i="1"/>
  <c r="R289" i="52" s="1"/>
  <c r="AA258" i="1"/>
  <c r="R291" i="52" s="1"/>
  <c r="AA261" i="1"/>
  <c r="R292" i="52" s="1"/>
  <c r="AA263" i="1"/>
  <c r="R294" i="52" s="1"/>
  <c r="AA268" i="1"/>
  <c r="R300" i="52" s="1"/>
  <c r="AA272" i="1"/>
  <c r="R305" i="52" s="1"/>
  <c r="AA275" i="1"/>
  <c r="R308" i="52" s="1"/>
  <c r="AA277" i="1"/>
  <c r="R310" i="52" s="1"/>
  <c r="AA280" i="1"/>
  <c r="R313" i="52" s="1"/>
  <c r="AA283" i="1"/>
  <c r="R316" i="52" s="1"/>
  <c r="AA285" i="1"/>
  <c r="R318" i="52" s="1"/>
  <c r="AA291" i="1"/>
  <c r="R324" i="52" s="1"/>
  <c r="AA295" i="1"/>
  <c r="R328" i="52" s="1"/>
  <c r="AA300" i="1"/>
  <c r="R331" i="52" s="1"/>
  <c r="K373" i="1"/>
  <c r="K369" i="42" s="1"/>
  <c r="AA365" i="1"/>
  <c r="AA36" i="1"/>
  <c r="AA278" i="1"/>
  <c r="R311" i="52" s="1"/>
  <c r="K298" i="1"/>
  <c r="AA232" i="1"/>
  <c r="R264" i="52" s="1"/>
  <c r="AA394" i="1"/>
  <c r="AA392" i="1"/>
  <c r="AA388" i="1"/>
  <c r="AA265" i="1"/>
  <c r="R297" i="52" s="1"/>
  <c r="AA383" i="1"/>
  <c r="AA379" i="1"/>
  <c r="AA375" i="1"/>
  <c r="AA372" i="1"/>
  <c r="AA370" i="1"/>
  <c r="AA368" i="1"/>
  <c r="AA366" i="1"/>
  <c r="AA361" i="1"/>
  <c r="AA359" i="1"/>
  <c r="AA357" i="1"/>
  <c r="AA356" i="1"/>
  <c r="AA354" i="1"/>
  <c r="AA352" i="1"/>
  <c r="AA350" i="1"/>
  <c r="AA349" i="1"/>
  <c r="AA347" i="1"/>
  <c r="AA345" i="1"/>
  <c r="AA343" i="1"/>
  <c r="AA341" i="1"/>
  <c r="AA339" i="1"/>
  <c r="AA337" i="1"/>
  <c r="AA335" i="1"/>
  <c r="AA333" i="1"/>
  <c r="AA331" i="1"/>
  <c r="AA329" i="1"/>
  <c r="AA327" i="1"/>
  <c r="AA323" i="1"/>
  <c r="AA321" i="1"/>
  <c r="AA319" i="1"/>
  <c r="AA317" i="1"/>
  <c r="AA315" i="1"/>
  <c r="AA313" i="1"/>
  <c r="AA311" i="1"/>
  <c r="AA309" i="1"/>
  <c r="AA307" i="1"/>
  <c r="AA17" i="1"/>
  <c r="R33" i="52" s="1"/>
  <c r="AA20" i="1"/>
  <c r="AA23" i="1"/>
  <c r="AA26" i="1"/>
  <c r="AA29" i="1"/>
  <c r="AA33" i="1"/>
  <c r="AA35" i="1"/>
  <c r="AA47" i="1"/>
  <c r="R71" i="52" s="1"/>
  <c r="AA49" i="1"/>
  <c r="R73" i="52" s="1"/>
  <c r="AA53" i="1"/>
  <c r="R77" i="52" s="1"/>
  <c r="AA55" i="1"/>
  <c r="R79" i="52" s="1"/>
  <c r="AA57" i="1"/>
  <c r="R81" i="52" s="1"/>
  <c r="AA60" i="1"/>
  <c r="R84" i="52" s="1"/>
  <c r="AA62" i="1"/>
  <c r="R86" i="52" s="1"/>
  <c r="AA64" i="1"/>
  <c r="R88" i="52" s="1"/>
  <c r="AA66" i="1"/>
  <c r="R90" i="52" s="1"/>
  <c r="AA69" i="1"/>
  <c r="R93" i="52" s="1"/>
  <c r="AA72" i="1"/>
  <c r="R95" i="52" s="1"/>
  <c r="AA74" i="1"/>
  <c r="R97" i="52" s="1"/>
  <c r="AA76" i="1"/>
  <c r="R99" i="52" s="1"/>
  <c r="AA78" i="1"/>
  <c r="R101" i="52" s="1"/>
  <c r="AA79" i="1"/>
  <c r="R102" i="52" s="1"/>
  <c r="AA81" i="1"/>
  <c r="R104" i="52" s="1"/>
  <c r="AA83" i="1"/>
  <c r="R106" i="52" s="1"/>
  <c r="AA87" i="1"/>
  <c r="R110" i="52" s="1"/>
  <c r="AA89" i="1"/>
  <c r="R112" i="52" s="1"/>
  <c r="AA91" i="1"/>
  <c r="R114" i="52" s="1"/>
  <c r="AA94" i="1"/>
  <c r="R117" i="52" s="1"/>
  <c r="AA98" i="1"/>
  <c r="R121" i="52" s="1"/>
  <c r="AA100" i="1"/>
  <c r="R123" i="52" s="1"/>
  <c r="AA105" i="1"/>
  <c r="R128" i="52" s="1"/>
  <c r="AA106" i="1"/>
  <c r="R129" i="52" s="1"/>
  <c r="AA111" i="1"/>
  <c r="R135" i="52" s="1"/>
  <c r="AA112" i="1"/>
  <c r="R136" i="52" s="1"/>
  <c r="AA115" i="1"/>
  <c r="R139" i="52" s="1"/>
  <c r="AA117" i="1"/>
  <c r="R141" i="52" s="1"/>
  <c r="AA123" i="1"/>
  <c r="R147" i="52" s="1"/>
  <c r="AA124" i="1"/>
  <c r="R148" i="52" s="1"/>
  <c r="AA126" i="1"/>
  <c r="R150" i="52" s="1"/>
  <c r="AA130" i="1"/>
  <c r="R155" i="52" s="1"/>
  <c r="R157" i="52"/>
  <c r="AA135" i="1"/>
  <c r="R161" i="52" s="1"/>
  <c r="R163" i="52"/>
  <c r="AA138" i="1"/>
  <c r="R165" i="52" s="1"/>
  <c r="AA140" i="1"/>
  <c r="R167" i="52" s="1"/>
  <c r="AA142" i="1"/>
  <c r="R169" i="52" s="1"/>
  <c r="AA145" i="1"/>
  <c r="R171" i="52" s="1"/>
  <c r="AA146" i="1"/>
  <c r="R172" i="52" s="1"/>
  <c r="AA148" i="1"/>
  <c r="R174" i="52" s="1"/>
  <c r="R176" i="52"/>
  <c r="AA150" i="1"/>
  <c r="R177" i="52" s="1"/>
  <c r="AA152" i="1"/>
  <c r="AA154" i="1"/>
  <c r="R181" i="52" s="1"/>
  <c r="AA159" i="1"/>
  <c r="R186" i="52" s="1"/>
  <c r="AA165" i="1"/>
  <c r="R192" i="52" s="1"/>
  <c r="AA167" i="1"/>
  <c r="R194" i="52" s="1"/>
  <c r="AA169" i="1"/>
  <c r="R196" i="52" s="1"/>
  <c r="AA171" i="1"/>
  <c r="R198" i="52" s="1"/>
  <c r="AA173" i="1"/>
  <c r="R200" i="52" s="1"/>
  <c r="AA176" i="1"/>
  <c r="R203" i="52" s="1"/>
  <c r="AA178" i="1"/>
  <c r="R206" i="52" s="1"/>
  <c r="AA180" i="1"/>
  <c r="R208" i="52" s="1"/>
  <c r="AA183" i="1"/>
  <c r="R211" i="52" s="1"/>
  <c r="AA186" i="1"/>
  <c r="R214" i="52" s="1"/>
  <c r="AA188" i="1"/>
  <c r="R216" i="52" s="1"/>
  <c r="AA191" i="1"/>
  <c r="R218" i="52" s="1"/>
  <c r="AA194" i="1"/>
  <c r="R222" i="52" s="1"/>
  <c r="AA196" i="1"/>
  <c r="R224" i="52" s="1"/>
  <c r="AA199" i="1"/>
  <c r="R227" i="52" s="1"/>
  <c r="AA203" i="1"/>
  <c r="R231" i="52" s="1"/>
  <c r="AA205" i="1"/>
  <c r="R233" i="52" s="1"/>
  <c r="R237" i="52"/>
  <c r="AA209" i="1"/>
  <c r="R239" i="52" s="1"/>
  <c r="AA213" i="1"/>
  <c r="R243" i="52" s="1"/>
  <c r="AA216" i="1"/>
  <c r="R246" i="52" s="1"/>
  <c r="AA218" i="1"/>
  <c r="R248" i="52" s="1"/>
  <c r="AA223" i="1"/>
  <c r="R253" i="52" s="1"/>
  <c r="R255" i="52"/>
  <c r="R258" i="52"/>
  <c r="AA229" i="1"/>
  <c r="R261" i="52" s="1"/>
  <c r="AA234" i="1"/>
  <c r="R266" i="52" s="1"/>
  <c r="AA236" i="1"/>
  <c r="R268" i="52" s="1"/>
  <c r="AA238" i="1"/>
  <c r="R271" i="52" s="1"/>
  <c r="AA240" i="1"/>
  <c r="R273" i="52" s="1"/>
  <c r="AA243" i="1"/>
  <c r="R276" i="52" s="1"/>
  <c r="AA248" i="1"/>
  <c r="R280" i="52" s="1"/>
  <c r="AA251" i="1"/>
  <c r="R284" i="52" s="1"/>
  <c r="AA262" i="1"/>
  <c r="R293" i="52" s="1"/>
  <c r="AA264" i="1"/>
  <c r="R295" i="52" s="1"/>
  <c r="AA271" i="1"/>
  <c r="R303" i="52" s="1"/>
  <c r="AA273" i="1"/>
  <c r="R306" i="52" s="1"/>
  <c r="AA276" i="1"/>
  <c r="R309" i="52" s="1"/>
  <c r="AA279" i="1"/>
  <c r="R312" i="52" s="1"/>
  <c r="AA282" i="1"/>
  <c r="R315" i="52" s="1"/>
  <c r="AA284" i="1"/>
  <c r="R317" i="52" s="1"/>
  <c r="AA290" i="1"/>
  <c r="R323" i="52" s="1"/>
  <c r="AA294" i="1"/>
  <c r="R327" i="52" s="1"/>
  <c r="AA296" i="1"/>
  <c r="R329" i="52" s="1"/>
  <c r="R332" i="52"/>
  <c r="AA22" i="1"/>
  <c r="K292" i="1"/>
  <c r="AA293" i="1"/>
  <c r="R326" i="52" s="1"/>
  <c r="AA160" i="1"/>
  <c r="R187" i="52" s="1"/>
  <c r="K18" i="1"/>
  <c r="K14" i="42" s="1"/>
  <c r="AA18" i="1"/>
  <c r="K232" i="1"/>
  <c r="K31" i="1"/>
  <c r="K27" i="42" s="1"/>
  <c r="AA31" i="1"/>
  <c r="K301" i="1"/>
  <c r="AA301" i="1"/>
  <c r="R333" i="52" s="1"/>
  <c r="AA302" i="1"/>
  <c r="R334" i="52" s="1"/>
  <c r="K302" i="1"/>
  <c r="AA230" i="1"/>
  <c r="R262" i="52" s="1"/>
  <c r="K230" i="1"/>
  <c r="K293" i="1"/>
  <c r="K278" i="1"/>
  <c r="AA292" i="1"/>
  <c r="R325" i="52" s="1"/>
  <c r="AA298" i="1"/>
  <c r="R330" i="52" s="1"/>
  <c r="K206" i="1"/>
  <c r="AA206" i="1"/>
  <c r="R234" i="52" s="1"/>
  <c r="AA269" i="1"/>
  <c r="R301" i="52" s="1"/>
  <c r="K365" i="1"/>
  <c r="K361" i="42" s="1"/>
  <c r="AA163" i="1"/>
  <c r="R190" i="52" s="1"/>
  <c r="K391" i="1"/>
  <c r="K387" i="42" s="1"/>
  <c r="AA391" i="1"/>
  <c r="R437" i="52" s="1"/>
  <c r="K36" i="1"/>
  <c r="K32" i="42" s="1"/>
  <c r="K163" i="1"/>
  <c r="K193" i="1"/>
  <c r="AA193" i="1"/>
  <c r="R221" i="52" s="1"/>
  <c r="K22" i="1"/>
  <c r="K18" i="42" s="1"/>
  <c r="K254" i="1"/>
  <c r="AA254" i="1"/>
  <c r="R287" i="52" s="1"/>
  <c r="AA373" i="1"/>
  <c r="CP13" i="1"/>
  <c r="CP15" i="1" s="1"/>
  <c r="K270" i="1"/>
  <c r="AA270" i="1"/>
  <c r="R302" i="52" s="1"/>
  <c r="K395" i="1"/>
  <c r="K391" i="42" s="1"/>
  <c r="AA395" i="1"/>
  <c r="K396" i="1"/>
  <c r="K392" i="42" s="1"/>
  <c r="AA396" i="1"/>
  <c r="K13" i="1"/>
  <c r="K97" i="1"/>
  <c r="K98" i="1"/>
  <c r="K99" i="1"/>
  <c r="K100" i="1"/>
  <c r="K101" i="1"/>
  <c r="K103" i="1"/>
  <c r="K105" i="1"/>
  <c r="K106" i="1"/>
  <c r="K107" i="1"/>
  <c r="K110" i="1"/>
  <c r="K111" i="1"/>
  <c r="K112" i="1"/>
  <c r="K114" i="1"/>
  <c r="K115" i="1"/>
  <c r="K116" i="1"/>
  <c r="K117" i="1"/>
  <c r="K118" i="1"/>
  <c r="K122" i="1"/>
  <c r="K123" i="1"/>
  <c r="K124" i="1"/>
  <c r="K125" i="1"/>
  <c r="K126" i="1"/>
  <c r="K128" i="1"/>
  <c r="K130" i="1"/>
  <c r="K131" i="1"/>
  <c r="K132" i="1"/>
  <c r="K135" i="1"/>
  <c r="K136" i="1"/>
  <c r="K137" i="1"/>
  <c r="K138" i="1"/>
  <c r="K140" i="1"/>
  <c r="K141" i="1"/>
  <c r="K142" i="1"/>
  <c r="K144" i="1"/>
  <c r="K145" i="1"/>
  <c r="K146" i="1"/>
  <c r="K147" i="1"/>
  <c r="K148" i="1"/>
  <c r="K149" i="1"/>
  <c r="K150" i="1"/>
  <c r="K151" i="1"/>
  <c r="K152" i="1"/>
  <c r="K153" i="1"/>
  <c r="K154" i="1"/>
  <c r="K156" i="1"/>
  <c r="K158" i="1"/>
  <c r="K159" i="1"/>
  <c r="K162" i="1"/>
  <c r="K160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2" i="1"/>
  <c r="K183" i="1"/>
  <c r="K185" i="1"/>
  <c r="K186" i="1"/>
  <c r="K187" i="1"/>
  <c r="K188" i="1"/>
  <c r="K190" i="1"/>
  <c r="K191" i="1"/>
  <c r="K192" i="1"/>
  <c r="K194" i="1"/>
  <c r="K195" i="1"/>
  <c r="K196" i="1"/>
  <c r="K198" i="1"/>
  <c r="K199" i="1"/>
  <c r="K202" i="1"/>
  <c r="K203" i="1"/>
  <c r="K204" i="1"/>
  <c r="K205" i="1"/>
  <c r="K207" i="1"/>
  <c r="K209" i="1"/>
  <c r="K210" i="1"/>
  <c r="K213" i="1"/>
  <c r="K216" i="1"/>
  <c r="K217" i="1"/>
  <c r="K218" i="1"/>
  <c r="K219" i="1"/>
  <c r="K223" i="1"/>
  <c r="K224" i="1"/>
  <c r="K226" i="1"/>
  <c r="K228" i="1"/>
  <c r="K229" i="1"/>
  <c r="K231" i="1"/>
  <c r="K233" i="1"/>
  <c r="K234" i="1"/>
  <c r="K235" i="1"/>
  <c r="K236" i="1"/>
  <c r="K237" i="1"/>
  <c r="K238" i="1"/>
  <c r="K239" i="1"/>
  <c r="K240" i="1"/>
  <c r="K242" i="1"/>
  <c r="K243" i="1"/>
  <c r="K244" i="1"/>
  <c r="K248" i="1"/>
  <c r="K251" i="1"/>
  <c r="K252" i="1"/>
  <c r="K255" i="1"/>
  <c r="K256" i="1"/>
  <c r="K258" i="1"/>
  <c r="K261" i="1"/>
  <c r="K262" i="1"/>
  <c r="K263" i="1"/>
  <c r="K264" i="1"/>
  <c r="K268" i="1"/>
  <c r="K269" i="1"/>
  <c r="K271" i="1"/>
  <c r="K272" i="1"/>
  <c r="K273" i="1"/>
  <c r="K275" i="1"/>
  <c r="K276" i="1"/>
  <c r="K277" i="1"/>
  <c r="K279" i="1"/>
  <c r="K280" i="1"/>
  <c r="K282" i="1"/>
  <c r="K283" i="1"/>
  <c r="K284" i="1"/>
  <c r="K285" i="1"/>
  <c r="K290" i="1"/>
  <c r="K291" i="1"/>
  <c r="K294" i="1"/>
  <c r="K295" i="1"/>
  <c r="K296" i="1"/>
  <c r="K300" i="1"/>
  <c r="K47" i="1"/>
  <c r="K48" i="1"/>
  <c r="K49" i="1"/>
  <c r="K50" i="1"/>
  <c r="K53" i="1"/>
  <c r="K54" i="1"/>
  <c r="K55" i="1"/>
  <c r="K56" i="1"/>
  <c r="K57" i="1"/>
  <c r="K60" i="1"/>
  <c r="K61" i="1"/>
  <c r="K62" i="1"/>
  <c r="K63" i="1"/>
  <c r="K64" i="1"/>
  <c r="K65" i="1"/>
  <c r="K66" i="1"/>
  <c r="K68" i="1"/>
  <c r="K69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6" i="1"/>
  <c r="K87" i="1"/>
  <c r="K88" i="1"/>
  <c r="K89" i="1"/>
  <c r="K91" i="1"/>
  <c r="K93" i="1"/>
  <c r="K94" i="1"/>
  <c r="K95" i="1"/>
  <c r="K17" i="1"/>
  <c r="K19" i="1"/>
  <c r="K15" i="42" s="1"/>
  <c r="K20" i="1"/>
  <c r="K16" i="42" s="1"/>
  <c r="K21" i="1"/>
  <c r="K17" i="42" s="1"/>
  <c r="K23" i="1"/>
  <c r="K19" i="42" s="1"/>
  <c r="K24" i="1"/>
  <c r="K20" i="42" s="1"/>
  <c r="K25" i="1"/>
  <c r="K21" i="42" s="1"/>
  <c r="K26" i="1"/>
  <c r="K22" i="42" s="1"/>
  <c r="K27" i="1"/>
  <c r="K23" i="42" s="1"/>
  <c r="K28" i="1"/>
  <c r="K24" i="42" s="1"/>
  <c r="K29" i="1"/>
  <c r="K25" i="42" s="1"/>
  <c r="K30" i="1"/>
  <c r="K26" i="42" s="1"/>
  <c r="K32" i="1"/>
  <c r="K28" i="42" s="1"/>
  <c r="K33" i="1"/>
  <c r="K29" i="42" s="1"/>
  <c r="K34" i="1"/>
  <c r="K30" i="42" s="1"/>
  <c r="K35" i="1"/>
  <c r="K31" i="42" s="1"/>
  <c r="K41" i="1"/>
  <c r="K37" i="42" s="1"/>
  <c r="K382" i="1"/>
  <c r="K378" i="42" s="1"/>
  <c r="K362" i="1"/>
  <c r="K358" i="42" s="1"/>
  <c r="K348" i="1"/>
  <c r="K344" i="42" s="1"/>
  <c r="K332" i="1"/>
  <c r="K328" i="42" s="1"/>
  <c r="K316" i="1"/>
  <c r="K312" i="42" s="1"/>
  <c r="K378" i="1"/>
  <c r="K374" i="42" s="1"/>
  <c r="K358" i="1"/>
  <c r="K354" i="42" s="1"/>
  <c r="K344" i="1"/>
  <c r="K340" i="42" s="1"/>
  <c r="K328" i="1"/>
  <c r="K324" i="42" s="1"/>
  <c r="K312" i="1"/>
  <c r="K308" i="42" s="1"/>
  <c r="K388" i="1"/>
  <c r="K384" i="42" s="1"/>
  <c r="K380" i="1"/>
  <c r="K376" i="42" s="1"/>
  <c r="K371" i="1"/>
  <c r="K367" i="42" s="1"/>
  <c r="K360" i="1"/>
  <c r="K356" i="42" s="1"/>
  <c r="K353" i="1"/>
  <c r="K349" i="42" s="1"/>
  <c r="K338" i="1"/>
  <c r="K334" i="42" s="1"/>
  <c r="K330" i="1"/>
  <c r="K326" i="42" s="1"/>
  <c r="K322" i="1"/>
  <c r="K318" i="42" s="1"/>
  <c r="K314" i="1"/>
  <c r="K310" i="42" s="1"/>
  <c r="K307" i="1"/>
  <c r="K303" i="42" s="1"/>
  <c r="K393" i="1"/>
  <c r="K389" i="42" s="1"/>
  <c r="K387" i="1"/>
  <c r="K383" i="42" s="1"/>
  <c r="K383" i="1"/>
  <c r="K379" i="42" s="1"/>
  <c r="K379" i="1"/>
  <c r="K375" i="42" s="1"/>
  <c r="K375" i="1"/>
  <c r="K371" i="42" s="1"/>
  <c r="K370" i="1"/>
  <c r="K366" i="42" s="1"/>
  <c r="K366" i="1"/>
  <c r="K362" i="42" s="1"/>
  <c r="K359" i="1"/>
  <c r="K355" i="42" s="1"/>
  <c r="K356" i="1"/>
  <c r="K352" i="42" s="1"/>
  <c r="K352" i="1"/>
  <c r="K348" i="42" s="1"/>
  <c r="K349" i="1"/>
  <c r="K345" i="42" s="1"/>
  <c r="K345" i="1"/>
  <c r="K341" i="42" s="1"/>
  <c r="K341" i="1"/>
  <c r="K337" i="42" s="1"/>
  <c r="K337" i="1"/>
  <c r="K333" i="42" s="1"/>
  <c r="K333" i="1"/>
  <c r="K329" i="42" s="1"/>
  <c r="K329" i="1"/>
  <c r="K325" i="42" s="1"/>
  <c r="K321" i="1"/>
  <c r="K317" i="42" s="1"/>
  <c r="K317" i="1"/>
  <c r="K313" i="42" s="1"/>
  <c r="K313" i="1"/>
  <c r="K309" i="42" s="1"/>
  <c r="K310" i="1"/>
  <c r="K306" i="42" s="1"/>
  <c r="K306" i="1"/>
  <c r="K302" i="42" s="1"/>
  <c r="K392" i="1"/>
  <c r="K388" i="42" s="1"/>
  <c r="K374" i="1"/>
  <c r="K370" i="42" s="1"/>
  <c r="K355" i="1"/>
  <c r="K351" i="42" s="1"/>
  <c r="K340" i="1"/>
  <c r="K336" i="42" s="1"/>
  <c r="K325" i="1"/>
  <c r="K321" i="42" s="1"/>
  <c r="K309" i="1"/>
  <c r="K305" i="42" s="1"/>
  <c r="K265" i="1"/>
  <c r="K369" i="1"/>
  <c r="K365" i="42" s="1"/>
  <c r="K336" i="1"/>
  <c r="K332" i="42" s="1"/>
  <c r="K320" i="1"/>
  <c r="K316" i="42" s="1"/>
  <c r="K394" i="1"/>
  <c r="K390" i="42" s="1"/>
  <c r="K376" i="1"/>
  <c r="K372" i="42" s="1"/>
  <c r="K367" i="1"/>
  <c r="K363" i="42" s="1"/>
  <c r="K342" i="1"/>
  <c r="K338" i="42" s="1"/>
  <c r="K334" i="1"/>
  <c r="K330" i="42" s="1"/>
  <c r="K326" i="1"/>
  <c r="K322" i="42" s="1"/>
  <c r="K318" i="1"/>
  <c r="K314" i="42" s="1"/>
  <c r="K389" i="1"/>
  <c r="K385" i="42" s="1"/>
  <c r="K385" i="1"/>
  <c r="K381" i="42" s="1"/>
  <c r="K372" i="1"/>
  <c r="K368" i="42" s="1"/>
  <c r="K368" i="1"/>
  <c r="K364" i="42" s="1"/>
  <c r="K361" i="1"/>
  <c r="K357" i="42" s="1"/>
  <c r="K357" i="1"/>
  <c r="K353" i="42" s="1"/>
  <c r="K354" i="1"/>
  <c r="K350" i="42" s="1"/>
  <c r="K350" i="1"/>
  <c r="K346" i="42" s="1"/>
  <c r="K347" i="1"/>
  <c r="K343" i="42" s="1"/>
  <c r="K343" i="1"/>
  <c r="K339" i="42" s="1"/>
  <c r="K339" i="1"/>
  <c r="K335" i="42" s="1"/>
  <c r="K335" i="1"/>
  <c r="K331" i="42" s="1"/>
  <c r="K331" i="1"/>
  <c r="K327" i="42" s="1"/>
  <c r="K327" i="1"/>
  <c r="K323" i="42" s="1"/>
  <c r="K323" i="1"/>
  <c r="K319" i="42" s="1"/>
  <c r="K319" i="1"/>
  <c r="K315" i="42" s="1"/>
  <c r="K315" i="1"/>
  <c r="K311" i="42" s="1"/>
  <c r="K311" i="1"/>
  <c r="K307" i="42" s="1"/>
  <c r="K308" i="1"/>
  <c r="K304" i="42" s="1"/>
  <c r="T305" i="1"/>
  <c r="BS8" i="1"/>
  <c r="AT397" i="1"/>
  <c r="X447" i="52" l="1"/>
  <c r="BL299" i="1"/>
  <c r="BR299" i="1"/>
  <c r="BS299" i="1"/>
  <c r="BM299" i="1"/>
  <c r="R166" i="52"/>
  <c r="R179" i="52"/>
  <c r="R197" i="52"/>
  <c r="AF200" i="1"/>
  <c r="K13" i="42"/>
  <c r="K42" i="1"/>
  <c r="R443" i="52"/>
  <c r="R442" i="52"/>
  <c r="R34" i="52"/>
  <c r="R51" i="52"/>
  <c r="R44" i="52"/>
  <c r="R36" i="52"/>
  <c r="R354" i="52"/>
  <c r="R358" i="52"/>
  <c r="R362" i="52"/>
  <c r="R366" i="52"/>
  <c r="R370" i="52"/>
  <c r="R376" i="52"/>
  <c r="R380" i="52"/>
  <c r="R384" i="52"/>
  <c r="R388" i="52"/>
  <c r="R392" i="52"/>
  <c r="R395" i="52"/>
  <c r="R400" i="52"/>
  <c r="R404" i="52"/>
  <c r="R408" i="52"/>
  <c r="R414" i="52"/>
  <c r="R418" i="52"/>
  <c r="R423" i="52"/>
  <c r="R430" i="52"/>
  <c r="R434" i="52"/>
  <c r="R441" i="52"/>
  <c r="R413" i="52"/>
  <c r="R56" i="52"/>
  <c r="R50" i="52"/>
  <c r="R46" i="52"/>
  <c r="R43" i="52"/>
  <c r="R37" i="52"/>
  <c r="R353" i="52"/>
  <c r="R357" i="52"/>
  <c r="R361" i="52"/>
  <c r="R365" i="52"/>
  <c r="R369" i="52"/>
  <c r="R373" i="52"/>
  <c r="R377" i="52"/>
  <c r="R381" i="52"/>
  <c r="R385" i="52"/>
  <c r="R389" i="52"/>
  <c r="R394" i="52"/>
  <c r="R399" i="52"/>
  <c r="R403" i="52"/>
  <c r="R407" i="52"/>
  <c r="R411" i="52"/>
  <c r="R417" i="52"/>
  <c r="R422" i="52"/>
  <c r="R428" i="52"/>
  <c r="R431" i="52"/>
  <c r="R435" i="52"/>
  <c r="R398" i="52"/>
  <c r="P352" i="52"/>
  <c r="P444" i="52" s="1"/>
  <c r="R440" i="52"/>
  <c r="R421" i="52"/>
  <c r="R49" i="52"/>
  <c r="R38" i="52"/>
  <c r="R53" i="52"/>
  <c r="R47" i="52"/>
  <c r="R39" i="52"/>
  <c r="R356" i="52"/>
  <c r="R360" i="52"/>
  <c r="R364" i="52"/>
  <c r="R368" i="52"/>
  <c r="R374" i="52"/>
  <c r="R378" i="52"/>
  <c r="R382" i="52"/>
  <c r="R386" i="52"/>
  <c r="R390" i="52"/>
  <c r="R393" i="52"/>
  <c r="R397" i="52"/>
  <c r="R402" i="52"/>
  <c r="R406" i="52"/>
  <c r="R410" i="52"/>
  <c r="R416" i="52"/>
  <c r="R420" i="52"/>
  <c r="R427" i="52"/>
  <c r="R438" i="52"/>
  <c r="R57" i="52"/>
  <c r="R54" i="52"/>
  <c r="R52" i="52"/>
  <c r="R48" i="52"/>
  <c r="R45" i="52"/>
  <c r="R40" i="52"/>
  <c r="R35" i="52"/>
  <c r="R355" i="52"/>
  <c r="R359" i="52"/>
  <c r="R363" i="52"/>
  <c r="R367" i="52"/>
  <c r="R372" i="52"/>
  <c r="R375" i="52"/>
  <c r="R379" i="52"/>
  <c r="R383" i="52"/>
  <c r="R387" i="52"/>
  <c r="R391" i="52"/>
  <c r="R396" i="52"/>
  <c r="R401" i="52"/>
  <c r="R405" i="52"/>
  <c r="R409" i="52"/>
  <c r="R415" i="52"/>
  <c r="R419" i="52"/>
  <c r="R426" i="52"/>
  <c r="R429" i="52"/>
  <c r="R433" i="52"/>
  <c r="R439" i="52"/>
  <c r="R424" i="52"/>
  <c r="AD139" i="1"/>
  <c r="U166" i="52" s="1"/>
  <c r="AD104" i="1"/>
  <c r="U127" i="52" s="1"/>
  <c r="AD121" i="1"/>
  <c r="U145" i="52" s="1"/>
  <c r="AD108" i="1"/>
  <c r="U131" i="52" s="1"/>
  <c r="AD90" i="1"/>
  <c r="U113" i="52" s="1"/>
  <c r="AD225" i="1"/>
  <c r="U256" i="52" s="1"/>
  <c r="AD51" i="1"/>
  <c r="U75" i="52" s="1"/>
  <c r="AD59" i="1"/>
  <c r="U83" i="52" s="1"/>
  <c r="AF129" i="1"/>
  <c r="AF119" i="1"/>
  <c r="AF391" i="1"/>
  <c r="P425" i="57" s="1"/>
  <c r="AF17" i="1"/>
  <c r="P30" i="57" s="1"/>
  <c r="AD253" i="1"/>
  <c r="U286" i="52" s="1"/>
  <c r="AD133" i="1"/>
  <c r="U159" i="52" s="1"/>
  <c r="AF67" i="1"/>
  <c r="AD161" i="1"/>
  <c r="U188" i="52" s="1"/>
  <c r="AD127" i="1"/>
  <c r="U151" i="52" s="1"/>
  <c r="AF197" i="1"/>
  <c r="AF281" i="1"/>
  <c r="AF257" i="1"/>
  <c r="AF157" i="1"/>
  <c r="AF288" i="1"/>
  <c r="AF96" i="1"/>
  <c r="AF208" i="1"/>
  <c r="AG227" i="1"/>
  <c r="AF351" i="1"/>
  <c r="P385" i="57" s="1"/>
  <c r="AG200" i="1"/>
  <c r="AF222" i="1"/>
  <c r="AF181" i="1"/>
  <c r="AD257" i="1"/>
  <c r="U290" i="52" s="1"/>
  <c r="AD119" i="1"/>
  <c r="U143" i="52" s="1"/>
  <c r="AF287" i="1"/>
  <c r="AF266" i="1"/>
  <c r="AD67" i="1"/>
  <c r="U91" i="52" s="1"/>
  <c r="AF85" i="1"/>
  <c r="AF247" i="1"/>
  <c r="AF52" i="1"/>
  <c r="AF250" i="1"/>
  <c r="AF84" i="1"/>
  <c r="AD84" i="1"/>
  <c r="U107" i="52" s="1"/>
  <c r="AF139" i="1"/>
  <c r="AF121" i="1"/>
  <c r="AF127" i="1"/>
  <c r="AF253" i="1"/>
  <c r="AF104" i="1"/>
  <c r="AF225" i="1"/>
  <c r="AF108" i="1"/>
  <c r="AF161" i="1"/>
  <c r="AF90" i="1"/>
  <c r="AF109" i="1"/>
  <c r="AF133" i="1"/>
  <c r="AF155" i="1"/>
  <c r="AF134" i="1"/>
  <c r="AF51" i="1"/>
  <c r="AF59" i="1"/>
  <c r="AF396" i="1"/>
  <c r="P430" i="57" s="1"/>
  <c r="AF395" i="1"/>
  <c r="P429" i="57" s="1"/>
  <c r="AF270" i="1"/>
  <c r="AF163" i="1"/>
  <c r="AF269" i="1"/>
  <c r="AF298" i="1"/>
  <c r="AF18" i="1"/>
  <c r="P31" i="57" s="1"/>
  <c r="AF160" i="1"/>
  <c r="AF293" i="1"/>
  <c r="AF296" i="1"/>
  <c r="AF294" i="1"/>
  <c r="AF290" i="1"/>
  <c r="AF284" i="1"/>
  <c r="AF282" i="1"/>
  <c r="AF279" i="1"/>
  <c r="AF276" i="1"/>
  <c r="AF273" i="1"/>
  <c r="AF271" i="1"/>
  <c r="AF264" i="1"/>
  <c r="AF262" i="1"/>
  <c r="AF251" i="1"/>
  <c r="AF248" i="1"/>
  <c r="AF243" i="1"/>
  <c r="AF240" i="1"/>
  <c r="AF238" i="1"/>
  <c r="AF236" i="1"/>
  <c r="AF234" i="1"/>
  <c r="AF229" i="1"/>
  <c r="AF223" i="1"/>
  <c r="AF218" i="1"/>
  <c r="AF216" i="1"/>
  <c r="AF213" i="1"/>
  <c r="AF209" i="1"/>
  <c r="AF205" i="1"/>
  <c r="AF203" i="1"/>
  <c r="AF199" i="1"/>
  <c r="AF196" i="1"/>
  <c r="AF194" i="1"/>
  <c r="AF191" i="1"/>
  <c r="AF188" i="1"/>
  <c r="AF186" i="1"/>
  <c r="AF183" i="1"/>
  <c r="AF180" i="1"/>
  <c r="AF178" i="1"/>
  <c r="AF176" i="1"/>
  <c r="AF173" i="1"/>
  <c r="AF171" i="1"/>
  <c r="AF169" i="1"/>
  <c r="AF167" i="1"/>
  <c r="AF165" i="1"/>
  <c r="AF307" i="1"/>
  <c r="P341" i="57" s="1"/>
  <c r="AF311" i="1"/>
  <c r="P345" i="57" s="1"/>
  <c r="AF315" i="1"/>
  <c r="P349" i="57" s="1"/>
  <c r="AF319" i="1"/>
  <c r="P353" i="57" s="1"/>
  <c r="AF323" i="1"/>
  <c r="P357" i="57" s="1"/>
  <c r="AF327" i="1"/>
  <c r="P361" i="57" s="1"/>
  <c r="AF331" i="1"/>
  <c r="P365" i="57" s="1"/>
  <c r="AF335" i="1"/>
  <c r="P369" i="57" s="1"/>
  <c r="AF339" i="1"/>
  <c r="P373" i="57" s="1"/>
  <c r="AF343" i="1"/>
  <c r="P377" i="57" s="1"/>
  <c r="AF347" i="1"/>
  <c r="P381" i="57" s="1"/>
  <c r="AF350" i="1"/>
  <c r="P384" i="57" s="1"/>
  <c r="AF354" i="1"/>
  <c r="P388" i="57" s="1"/>
  <c r="AF357" i="1"/>
  <c r="P391" i="57" s="1"/>
  <c r="AF361" i="1"/>
  <c r="P395" i="57" s="1"/>
  <c r="AF368" i="1"/>
  <c r="P402" i="57" s="1"/>
  <c r="AF372" i="1"/>
  <c r="P406" i="57" s="1"/>
  <c r="AF265" i="1"/>
  <c r="AF392" i="1"/>
  <c r="P426" i="57" s="1"/>
  <c r="AF278" i="1"/>
  <c r="AF36" i="1"/>
  <c r="P49" i="57" s="1"/>
  <c r="AF300" i="1"/>
  <c r="AF295" i="1"/>
  <c r="AF291" i="1"/>
  <c r="AF285" i="1"/>
  <c r="AF283" i="1"/>
  <c r="AF280" i="1"/>
  <c r="AF277" i="1"/>
  <c r="AF275" i="1"/>
  <c r="AF272" i="1"/>
  <c r="AF306" i="1"/>
  <c r="P340" i="57" s="1"/>
  <c r="AF310" i="1"/>
  <c r="P344" i="57" s="1"/>
  <c r="AF314" i="1"/>
  <c r="P348" i="57" s="1"/>
  <c r="AF318" i="1"/>
  <c r="P352" i="57" s="1"/>
  <c r="AF322" i="1"/>
  <c r="P356" i="57" s="1"/>
  <c r="AF326" i="1"/>
  <c r="P360" i="57" s="1"/>
  <c r="AF330" i="1"/>
  <c r="P364" i="57" s="1"/>
  <c r="AF334" i="1"/>
  <c r="P368" i="57" s="1"/>
  <c r="AF338" i="1"/>
  <c r="P372" i="57" s="1"/>
  <c r="AF342" i="1"/>
  <c r="P376" i="57" s="1"/>
  <c r="AF353" i="1"/>
  <c r="P387" i="57" s="1"/>
  <c r="AF360" i="1"/>
  <c r="P394" i="57" s="1"/>
  <c r="AF367" i="1"/>
  <c r="P401" i="57" s="1"/>
  <c r="AF371" i="1"/>
  <c r="P405" i="57" s="1"/>
  <c r="AF376" i="1"/>
  <c r="P410" i="57" s="1"/>
  <c r="AF380" i="1"/>
  <c r="P414" i="57" s="1"/>
  <c r="AF385" i="1"/>
  <c r="P419" i="57" s="1"/>
  <c r="AF389" i="1"/>
  <c r="P423" i="57" s="1"/>
  <c r="AF373" i="1"/>
  <c r="P407" i="57" s="1"/>
  <c r="AF254" i="1"/>
  <c r="AF193" i="1"/>
  <c r="AF206" i="1"/>
  <c r="AF292" i="1"/>
  <c r="AF230" i="1"/>
  <c r="AF302" i="1"/>
  <c r="AF301" i="1"/>
  <c r="AF31" i="1"/>
  <c r="P44" i="57" s="1"/>
  <c r="AF22" i="1"/>
  <c r="P35" i="57" s="1"/>
  <c r="AF159" i="1"/>
  <c r="AF154" i="1"/>
  <c r="AF152" i="1"/>
  <c r="AF150" i="1"/>
  <c r="AF148" i="1"/>
  <c r="AF146" i="1"/>
  <c r="AF145" i="1"/>
  <c r="AF142" i="1"/>
  <c r="AF140" i="1"/>
  <c r="AF138" i="1"/>
  <c r="AF135" i="1"/>
  <c r="AF130" i="1"/>
  <c r="AF126" i="1"/>
  <c r="AF124" i="1"/>
  <c r="AF123" i="1"/>
  <c r="AF117" i="1"/>
  <c r="AF115" i="1"/>
  <c r="AF112" i="1"/>
  <c r="AF111" i="1"/>
  <c r="AF106" i="1"/>
  <c r="AF105" i="1"/>
  <c r="AF100" i="1"/>
  <c r="AF98" i="1"/>
  <c r="AF94" i="1"/>
  <c r="AF91" i="1"/>
  <c r="AF89" i="1"/>
  <c r="AF87" i="1"/>
  <c r="AF83" i="1"/>
  <c r="AF81" i="1"/>
  <c r="AF79" i="1"/>
  <c r="AF78" i="1"/>
  <c r="AF76" i="1"/>
  <c r="AF74" i="1"/>
  <c r="AF72" i="1"/>
  <c r="AF69" i="1"/>
  <c r="AF66" i="1"/>
  <c r="AF64" i="1"/>
  <c r="AF62" i="1"/>
  <c r="AF60" i="1"/>
  <c r="AF57" i="1"/>
  <c r="AF55" i="1"/>
  <c r="AF53" i="1"/>
  <c r="AF49" i="1"/>
  <c r="AF47" i="1"/>
  <c r="AF35" i="1"/>
  <c r="P48" i="57" s="1"/>
  <c r="AF33" i="1"/>
  <c r="P46" i="57" s="1"/>
  <c r="AF29" i="1"/>
  <c r="P42" i="57" s="1"/>
  <c r="AF26" i="1"/>
  <c r="P39" i="57" s="1"/>
  <c r="AF23" i="1"/>
  <c r="P36" i="57" s="1"/>
  <c r="AF20" i="1"/>
  <c r="P33" i="57" s="1"/>
  <c r="AF309" i="1"/>
  <c r="P343" i="57" s="1"/>
  <c r="AF313" i="1"/>
  <c r="P347" i="57" s="1"/>
  <c r="AF317" i="1"/>
  <c r="P351" i="57" s="1"/>
  <c r="AF321" i="1"/>
  <c r="P355" i="57" s="1"/>
  <c r="AF329" i="1"/>
  <c r="P363" i="57" s="1"/>
  <c r="AF333" i="1"/>
  <c r="P367" i="57" s="1"/>
  <c r="AF337" i="1"/>
  <c r="P371" i="57" s="1"/>
  <c r="AF341" i="1"/>
  <c r="P375" i="57" s="1"/>
  <c r="AF345" i="1"/>
  <c r="P379" i="57" s="1"/>
  <c r="AF349" i="1"/>
  <c r="P383" i="57" s="1"/>
  <c r="AF352" i="1"/>
  <c r="P386" i="57" s="1"/>
  <c r="AF356" i="1"/>
  <c r="P390" i="57" s="1"/>
  <c r="AF359" i="1"/>
  <c r="P393" i="57" s="1"/>
  <c r="AF366" i="1"/>
  <c r="P400" i="57" s="1"/>
  <c r="AF370" i="1"/>
  <c r="P404" i="57" s="1"/>
  <c r="AF375" i="1"/>
  <c r="P409" i="57" s="1"/>
  <c r="AF379" i="1"/>
  <c r="P413" i="57" s="1"/>
  <c r="AF383" i="1"/>
  <c r="P417" i="57" s="1"/>
  <c r="AF388" i="1"/>
  <c r="P422" i="57" s="1"/>
  <c r="AF394" i="1"/>
  <c r="P428" i="57" s="1"/>
  <c r="AF232" i="1"/>
  <c r="AF365" i="1"/>
  <c r="P399" i="57" s="1"/>
  <c r="AF268" i="1"/>
  <c r="AF263" i="1"/>
  <c r="AF261" i="1"/>
  <c r="AF258" i="1"/>
  <c r="AF256" i="1"/>
  <c r="AF255" i="1"/>
  <c r="AF252" i="1"/>
  <c r="AF244" i="1"/>
  <c r="AF242" i="1"/>
  <c r="AF239" i="1"/>
  <c r="AF237" i="1"/>
  <c r="AF235" i="1"/>
  <c r="AF233" i="1"/>
  <c r="AF231" i="1"/>
  <c r="AF228" i="1"/>
  <c r="AF226" i="1"/>
  <c r="AF224" i="1"/>
  <c r="AF219" i="1"/>
  <c r="AF217" i="1"/>
  <c r="AF210" i="1"/>
  <c r="AF207" i="1"/>
  <c r="AF204" i="1"/>
  <c r="AF202" i="1"/>
  <c r="AF198" i="1"/>
  <c r="AF195" i="1"/>
  <c r="AF192" i="1"/>
  <c r="AF190" i="1"/>
  <c r="AF187" i="1"/>
  <c r="AF185" i="1"/>
  <c r="AF182" i="1"/>
  <c r="AF179" i="1"/>
  <c r="AF177" i="1"/>
  <c r="AF175" i="1"/>
  <c r="AF174" i="1"/>
  <c r="AF172" i="1"/>
  <c r="AF170" i="1"/>
  <c r="AF168" i="1"/>
  <c r="AF166" i="1"/>
  <c r="AF164" i="1"/>
  <c r="AF162" i="1"/>
  <c r="AF158" i="1"/>
  <c r="AF156" i="1"/>
  <c r="AF153" i="1"/>
  <c r="AF151" i="1"/>
  <c r="AF149" i="1"/>
  <c r="AF147" i="1"/>
  <c r="AF144" i="1"/>
  <c r="AF141" i="1"/>
  <c r="AF137" i="1"/>
  <c r="AF136" i="1"/>
  <c r="AF132" i="1"/>
  <c r="AF131" i="1"/>
  <c r="AF128" i="1"/>
  <c r="AF125" i="1"/>
  <c r="AF122" i="1"/>
  <c r="AF118" i="1"/>
  <c r="AF116" i="1"/>
  <c r="AF114" i="1"/>
  <c r="AF110" i="1"/>
  <c r="AF107" i="1"/>
  <c r="AF103" i="1"/>
  <c r="AF101" i="1"/>
  <c r="AF99" i="1"/>
  <c r="AF97" i="1"/>
  <c r="AF95" i="1"/>
  <c r="AF93" i="1"/>
  <c r="AF88" i="1"/>
  <c r="AF86" i="1"/>
  <c r="AF82" i="1"/>
  <c r="AF80" i="1"/>
  <c r="AF77" i="1"/>
  <c r="AF75" i="1"/>
  <c r="AF73" i="1"/>
  <c r="AF71" i="1"/>
  <c r="AF68" i="1"/>
  <c r="AF65" i="1"/>
  <c r="AF63" i="1"/>
  <c r="AF61" i="1"/>
  <c r="AF56" i="1"/>
  <c r="AF54" i="1"/>
  <c r="AF50" i="1"/>
  <c r="AF48" i="1"/>
  <c r="AF41" i="1"/>
  <c r="P54" i="57" s="1"/>
  <c r="AF34" i="1"/>
  <c r="P47" i="57" s="1"/>
  <c r="AF32" i="1"/>
  <c r="P45" i="57" s="1"/>
  <c r="AF30" i="1"/>
  <c r="P43" i="57" s="1"/>
  <c r="AF28" i="1"/>
  <c r="P41" i="57" s="1"/>
  <c r="AF27" i="1"/>
  <c r="P40" i="57" s="1"/>
  <c r="AF25" i="1"/>
  <c r="P38" i="57" s="1"/>
  <c r="AF24" i="1"/>
  <c r="P37" i="57" s="1"/>
  <c r="AF21" i="1"/>
  <c r="P34" i="57" s="1"/>
  <c r="AF19" i="1"/>
  <c r="P32" i="57" s="1"/>
  <c r="AF308" i="1"/>
  <c r="P342" i="57" s="1"/>
  <c r="AF312" i="1"/>
  <c r="P346" i="57" s="1"/>
  <c r="AF316" i="1"/>
  <c r="P350" i="57" s="1"/>
  <c r="AF320" i="1"/>
  <c r="P354" i="57" s="1"/>
  <c r="AF325" i="1"/>
  <c r="P359" i="57" s="1"/>
  <c r="AF328" i="1"/>
  <c r="P362" i="57" s="1"/>
  <c r="AF332" i="1"/>
  <c r="P366" i="57" s="1"/>
  <c r="AF336" i="1"/>
  <c r="P370" i="57" s="1"/>
  <c r="AF340" i="1"/>
  <c r="P374" i="57" s="1"/>
  <c r="AF344" i="1"/>
  <c r="P378" i="57" s="1"/>
  <c r="AF348" i="1"/>
  <c r="P382" i="57" s="1"/>
  <c r="AF355" i="1"/>
  <c r="P389" i="57" s="1"/>
  <c r="AF358" i="1"/>
  <c r="P392" i="57" s="1"/>
  <c r="AF362" i="1"/>
  <c r="P396" i="57" s="1"/>
  <c r="AF369" i="1"/>
  <c r="P403" i="57" s="1"/>
  <c r="AF374" i="1"/>
  <c r="P408" i="57" s="1"/>
  <c r="AF378" i="1"/>
  <c r="P412" i="57" s="1"/>
  <c r="AF382" i="1"/>
  <c r="P416" i="57" s="1"/>
  <c r="AF387" i="1"/>
  <c r="P421" i="57" s="1"/>
  <c r="AF393" i="1"/>
  <c r="P427" i="57" s="1"/>
  <c r="AA42" i="1"/>
  <c r="T397" i="1"/>
  <c r="AT303" i="1"/>
  <c r="AT400" i="1" s="1"/>
  <c r="BV299" i="1" l="1"/>
  <c r="BQ299" i="1"/>
  <c r="BF139" i="1"/>
  <c r="AE108" i="1"/>
  <c r="AU108" i="1" s="1"/>
  <c r="BN108" i="1" s="1"/>
  <c r="P55" i="57"/>
  <c r="Y131" i="52"/>
  <c r="AG17" i="1"/>
  <c r="Q33" i="58" s="1"/>
  <c r="AG391" i="1"/>
  <c r="R58" i="52"/>
  <c r="AG67" i="1"/>
  <c r="AE51" i="1"/>
  <c r="AU51" i="1" s="1"/>
  <c r="AG129" i="1"/>
  <c r="AG288" i="1"/>
  <c r="AG257" i="1"/>
  <c r="AE59" i="1"/>
  <c r="AU59" i="1" s="1"/>
  <c r="AJ59" i="1"/>
  <c r="AE127" i="1"/>
  <c r="AU127" i="1" s="1"/>
  <c r="AG119" i="1"/>
  <c r="AG197" i="1"/>
  <c r="AG208" i="1"/>
  <c r="AE119" i="1"/>
  <c r="AU119" i="1" s="1"/>
  <c r="BB108" i="1"/>
  <c r="AJ67" i="1"/>
  <c r="AJ257" i="1"/>
  <c r="AG281" i="1"/>
  <c r="AG157" i="1"/>
  <c r="AG96" i="1"/>
  <c r="AE257" i="1"/>
  <c r="AU257" i="1" s="1"/>
  <c r="AJ119" i="1"/>
  <c r="AG287" i="1"/>
  <c r="AG351" i="1"/>
  <c r="AG222" i="1"/>
  <c r="AG181" i="1"/>
  <c r="AG266" i="1"/>
  <c r="AG59" i="1"/>
  <c r="AE67" i="1"/>
  <c r="AU67" i="1" s="1"/>
  <c r="AG85" i="1"/>
  <c r="AG336" i="1"/>
  <c r="AG320" i="1"/>
  <c r="AG312" i="1"/>
  <c r="AG68" i="1"/>
  <c r="AG77" i="1"/>
  <c r="AG86" i="1"/>
  <c r="AG95" i="1"/>
  <c r="AG103" i="1"/>
  <c r="AG122" i="1"/>
  <c r="AG131" i="1"/>
  <c r="AG147" i="1"/>
  <c r="AG151" i="1"/>
  <c r="AG164" i="1"/>
  <c r="AG172" i="1"/>
  <c r="AG179" i="1"/>
  <c r="AG190" i="1"/>
  <c r="AG202" i="1"/>
  <c r="AG210" i="1"/>
  <c r="AG224" i="1"/>
  <c r="AG237" i="1"/>
  <c r="AG252" i="1"/>
  <c r="AG261" i="1"/>
  <c r="AG268" i="1"/>
  <c r="AG341" i="1"/>
  <c r="AG55" i="1"/>
  <c r="AG69" i="1"/>
  <c r="AG78" i="1"/>
  <c r="AG87" i="1"/>
  <c r="AG105" i="1"/>
  <c r="AG112" i="1"/>
  <c r="AG126" i="1"/>
  <c r="AG145" i="1"/>
  <c r="AG254" i="1"/>
  <c r="AG338" i="1"/>
  <c r="AG330" i="1"/>
  <c r="AG322" i="1"/>
  <c r="AG314" i="1"/>
  <c r="AG306" i="1"/>
  <c r="AG335" i="1"/>
  <c r="AG327" i="1"/>
  <c r="AG319" i="1"/>
  <c r="AG311" i="1"/>
  <c r="AG165" i="1"/>
  <c r="AG169" i="1"/>
  <c r="AG173" i="1"/>
  <c r="AG176" i="1"/>
  <c r="AG180" i="1"/>
  <c r="AG186" i="1"/>
  <c r="AG191" i="1"/>
  <c r="AG196" i="1"/>
  <c r="AG203" i="1"/>
  <c r="AG213" i="1"/>
  <c r="AG218" i="1"/>
  <c r="AG229" i="1"/>
  <c r="AG234" i="1"/>
  <c r="AG238" i="1"/>
  <c r="AG243" i="1"/>
  <c r="AG248" i="1"/>
  <c r="AG262" i="1"/>
  <c r="AG160" i="1"/>
  <c r="AG269" i="1"/>
  <c r="AG155" i="1"/>
  <c r="AG109" i="1"/>
  <c r="AG161" i="1"/>
  <c r="AG250" i="1"/>
  <c r="AG328" i="1"/>
  <c r="AG48" i="1"/>
  <c r="AG54" i="1"/>
  <c r="AG63" i="1"/>
  <c r="AG73" i="1"/>
  <c r="AG80" i="1"/>
  <c r="AG99" i="1"/>
  <c r="AG107" i="1"/>
  <c r="AG116" i="1"/>
  <c r="AG125" i="1"/>
  <c r="AG136" i="1"/>
  <c r="AG144" i="1"/>
  <c r="AG156" i="1"/>
  <c r="AG168" i="1"/>
  <c r="AG175" i="1"/>
  <c r="AG185" i="1"/>
  <c r="AG195" i="1"/>
  <c r="AG207" i="1"/>
  <c r="AG217" i="1"/>
  <c r="AG228" i="1"/>
  <c r="AG233" i="1"/>
  <c r="AG242" i="1"/>
  <c r="AG256" i="1"/>
  <c r="AG333" i="1"/>
  <c r="AG317" i="1"/>
  <c r="AG309" i="1"/>
  <c r="AG49" i="1"/>
  <c r="AG60" i="1"/>
  <c r="AG64" i="1"/>
  <c r="AG74" i="1"/>
  <c r="AG81" i="1"/>
  <c r="AG91" i="1"/>
  <c r="AG100" i="1"/>
  <c r="AG117" i="1"/>
  <c r="AG123" i="1"/>
  <c r="AG140" i="1"/>
  <c r="AG148" i="1"/>
  <c r="AG152" i="1"/>
  <c r="AG159" i="1"/>
  <c r="AG206" i="1"/>
  <c r="AG340" i="1"/>
  <c r="AG332" i="1"/>
  <c r="AG325" i="1"/>
  <c r="AG316" i="1"/>
  <c r="AG308" i="1"/>
  <c r="AG50" i="1"/>
  <c r="AG56" i="1"/>
  <c r="AG61" i="1"/>
  <c r="AG65" i="1"/>
  <c r="AG71" i="1"/>
  <c r="AG75" i="1"/>
  <c r="AG82" i="1"/>
  <c r="AG88" i="1"/>
  <c r="AG93" i="1"/>
  <c r="AG97" i="1"/>
  <c r="AG101" i="1"/>
  <c r="AG110" i="1"/>
  <c r="AG114" i="1"/>
  <c r="AG118" i="1"/>
  <c r="AG128" i="1"/>
  <c r="AG132" i="1"/>
  <c r="AG137" i="1"/>
  <c r="AG141" i="1"/>
  <c r="AG149" i="1"/>
  <c r="AG153" i="1"/>
  <c r="AG158" i="1"/>
  <c r="AG162" i="1"/>
  <c r="AG166" i="1"/>
  <c r="AG170" i="1"/>
  <c r="AG174" i="1"/>
  <c r="AG177" i="1"/>
  <c r="AG182" i="1"/>
  <c r="AG187" i="1"/>
  <c r="AG192" i="1"/>
  <c r="AG198" i="1"/>
  <c r="AG204" i="1"/>
  <c r="AG219" i="1"/>
  <c r="AG226" i="1"/>
  <c r="AG231" i="1"/>
  <c r="AG235" i="1"/>
  <c r="AG239" i="1"/>
  <c r="AG244" i="1"/>
  <c r="AG255" i="1"/>
  <c r="AG258" i="1"/>
  <c r="AG263" i="1"/>
  <c r="AG232" i="1"/>
  <c r="AG337" i="1"/>
  <c r="AG329" i="1"/>
  <c r="AG321" i="1"/>
  <c r="AG313" i="1"/>
  <c r="AG47" i="1"/>
  <c r="AG53" i="1"/>
  <c r="AG57" i="1"/>
  <c r="AG62" i="1"/>
  <c r="AG66" i="1"/>
  <c r="AG72" i="1"/>
  <c r="AG76" i="1"/>
  <c r="AG79" i="1"/>
  <c r="AG83" i="1"/>
  <c r="AG89" i="1"/>
  <c r="AG94" i="1"/>
  <c r="AG98" i="1"/>
  <c r="AG106" i="1"/>
  <c r="AG111" i="1"/>
  <c r="AG115" i="1"/>
  <c r="AG124" i="1"/>
  <c r="AG130" i="1"/>
  <c r="AG135" i="1"/>
  <c r="AG138" i="1"/>
  <c r="AG142" i="1"/>
  <c r="AG146" i="1"/>
  <c r="AG150" i="1"/>
  <c r="AG154" i="1"/>
  <c r="AG230" i="1"/>
  <c r="AG193" i="1"/>
  <c r="AG334" i="1"/>
  <c r="AG326" i="1"/>
  <c r="AG318" i="1"/>
  <c r="AG310" i="1"/>
  <c r="AG339" i="1"/>
  <c r="AG331" i="1"/>
  <c r="AG323" i="1"/>
  <c r="AG315" i="1"/>
  <c r="AG307" i="1"/>
  <c r="AG167" i="1"/>
  <c r="AG171" i="1"/>
  <c r="AG178" i="1"/>
  <c r="AG183" i="1"/>
  <c r="AG188" i="1"/>
  <c r="AG194" i="1"/>
  <c r="AG199" i="1"/>
  <c r="AG205" i="1"/>
  <c r="AG209" i="1"/>
  <c r="AG216" i="1"/>
  <c r="AG223" i="1"/>
  <c r="AG236" i="1"/>
  <c r="AG240" i="1"/>
  <c r="AG251" i="1"/>
  <c r="AG264" i="1"/>
  <c r="AG271" i="1"/>
  <c r="AG163" i="1"/>
  <c r="AG270" i="1"/>
  <c r="AG253" i="1"/>
  <c r="AG139" i="1"/>
  <c r="AG52" i="1"/>
  <c r="AG247" i="1"/>
  <c r="AG84" i="1"/>
  <c r="AJ84" i="1"/>
  <c r="AE84" i="1"/>
  <c r="AU84" i="1" s="1"/>
  <c r="AG134" i="1"/>
  <c r="AG133" i="1"/>
  <c r="AG90" i="1"/>
  <c r="BR108" i="1"/>
  <c r="BL108" i="1"/>
  <c r="BM108" i="1"/>
  <c r="AG225" i="1"/>
  <c r="AG104" i="1"/>
  <c r="AG121" i="1"/>
  <c r="AJ51" i="1"/>
  <c r="AG51" i="1"/>
  <c r="AJ133" i="1"/>
  <c r="AE133" i="1"/>
  <c r="AU133" i="1" s="1"/>
  <c r="AJ90" i="1"/>
  <c r="AE90" i="1"/>
  <c r="AU90" i="1" s="1"/>
  <c r="AJ161" i="1"/>
  <c r="AE161" i="1"/>
  <c r="AU161" i="1" s="1"/>
  <c r="AJ108" i="1"/>
  <c r="AG108" i="1"/>
  <c r="AJ225" i="1"/>
  <c r="AE225" i="1"/>
  <c r="AU225" i="1" s="1"/>
  <c r="AJ104" i="1"/>
  <c r="AE104" i="1"/>
  <c r="AU104" i="1" s="1"/>
  <c r="AJ253" i="1"/>
  <c r="AE253" i="1"/>
  <c r="AU253" i="1" s="1"/>
  <c r="AJ127" i="1"/>
  <c r="AG127" i="1"/>
  <c r="AJ121" i="1"/>
  <c r="AE121" i="1"/>
  <c r="AU121" i="1" s="1"/>
  <c r="AJ139" i="1"/>
  <c r="AE139" i="1"/>
  <c r="AU139" i="1" s="1"/>
  <c r="AG19" i="1"/>
  <c r="AG21" i="1"/>
  <c r="AG24" i="1"/>
  <c r="AG25" i="1"/>
  <c r="AG27" i="1"/>
  <c r="AG28" i="1"/>
  <c r="AG30" i="1"/>
  <c r="AG32" i="1"/>
  <c r="AG34" i="1"/>
  <c r="AG41" i="1"/>
  <c r="AG394" i="1"/>
  <c r="AG388" i="1"/>
  <c r="AG383" i="1"/>
  <c r="AG379" i="1"/>
  <c r="AG375" i="1"/>
  <c r="AG370" i="1"/>
  <c r="AG366" i="1"/>
  <c r="AG359" i="1"/>
  <c r="AG356" i="1"/>
  <c r="AG352" i="1"/>
  <c r="AG349" i="1"/>
  <c r="AG345" i="1"/>
  <c r="AG20" i="1"/>
  <c r="AG23" i="1"/>
  <c r="AG26" i="1"/>
  <c r="AG29" i="1"/>
  <c r="AG33" i="1"/>
  <c r="AG35" i="1"/>
  <c r="AG22" i="1"/>
  <c r="AG31" i="1"/>
  <c r="AG301" i="1"/>
  <c r="AG302" i="1"/>
  <c r="AG272" i="1"/>
  <c r="AG275" i="1"/>
  <c r="AG277" i="1"/>
  <c r="AG280" i="1"/>
  <c r="AG283" i="1"/>
  <c r="AG285" i="1"/>
  <c r="AG291" i="1"/>
  <c r="AG295" i="1"/>
  <c r="AG300" i="1"/>
  <c r="AG36" i="1"/>
  <c r="AG278" i="1"/>
  <c r="AG392" i="1"/>
  <c r="AG265" i="1"/>
  <c r="AG372" i="1"/>
  <c r="AG368" i="1"/>
  <c r="AG361" i="1"/>
  <c r="AG357" i="1"/>
  <c r="AG354" i="1"/>
  <c r="AG350" i="1"/>
  <c r="AG347" i="1"/>
  <c r="AG343" i="1"/>
  <c r="AG395" i="1"/>
  <c r="AG396" i="1"/>
  <c r="AG393" i="1"/>
  <c r="AG387" i="1"/>
  <c r="AG382" i="1"/>
  <c r="AG378" i="1"/>
  <c r="AG374" i="1"/>
  <c r="AG369" i="1"/>
  <c r="AG362" i="1"/>
  <c r="AG358" i="1"/>
  <c r="AG355" i="1"/>
  <c r="AG348" i="1"/>
  <c r="AG344" i="1"/>
  <c r="AG365" i="1"/>
  <c r="AF42" i="1"/>
  <c r="AG292" i="1"/>
  <c r="AG373" i="1"/>
  <c r="AG389" i="1"/>
  <c r="AG385" i="1"/>
  <c r="AG380" i="1"/>
  <c r="AG376" i="1"/>
  <c r="AG371" i="1"/>
  <c r="AG367" i="1"/>
  <c r="AG360" i="1"/>
  <c r="AG353" i="1"/>
  <c r="AG342" i="1"/>
  <c r="AG273" i="1"/>
  <c r="AG276" i="1"/>
  <c r="AG279" i="1"/>
  <c r="AG282" i="1"/>
  <c r="AG284" i="1"/>
  <c r="AG290" i="1"/>
  <c r="AG294" i="1"/>
  <c r="AG296" i="1"/>
  <c r="AG293" i="1"/>
  <c r="AG18" i="1"/>
  <c r="AG298" i="1"/>
  <c r="C16" i="15"/>
  <c r="C10" i="15"/>
  <c r="C4" i="15"/>
  <c r="DQ257" i="1"/>
  <c r="DQ67" i="1"/>
  <c r="DQ84" i="1"/>
  <c r="DQ104" i="1"/>
  <c r="DQ119" i="1"/>
  <c r="AX121" i="1"/>
  <c r="DQ51" i="1"/>
  <c r="AX161" i="1"/>
  <c r="DQ127" i="1"/>
  <c r="DQ139" i="1"/>
  <c r="AX253" i="1"/>
  <c r="AX108" i="1"/>
  <c r="AX51" i="1"/>
  <c r="AX133" i="1"/>
  <c r="DQ133" i="1"/>
  <c r="DQ225" i="1"/>
  <c r="AX84" i="1"/>
  <c r="AX119" i="1"/>
  <c r="DQ253" i="1"/>
  <c r="AX139" i="1"/>
  <c r="AX225" i="1"/>
  <c r="AX59" i="1"/>
  <c r="AX104" i="1"/>
  <c r="DQ90" i="1"/>
  <c r="AX67" i="1"/>
  <c r="DQ59" i="1"/>
  <c r="AX127" i="1"/>
  <c r="DQ121" i="1"/>
  <c r="AX90" i="1"/>
  <c r="AX257" i="1"/>
  <c r="DQ161" i="1"/>
  <c r="Y281" i="58" l="1"/>
  <c r="AD281" i="58" s="1"/>
  <c r="Y114" i="58"/>
  <c r="AD114" i="58" s="1"/>
  <c r="Y151" i="58"/>
  <c r="AD151" i="58" s="1"/>
  <c r="Y91" i="58"/>
  <c r="AD91" i="58" s="1"/>
  <c r="Y128" i="58"/>
  <c r="AD128" i="58" s="1"/>
  <c r="Y83" i="58"/>
  <c r="AD83" i="58" s="1"/>
  <c r="Y249" i="58"/>
  <c r="AD249" i="58" s="1"/>
  <c r="Y163" i="58"/>
  <c r="AD163" i="58" s="1"/>
  <c r="Y143" i="58"/>
  <c r="AD143" i="58" s="1"/>
  <c r="Y108" i="58"/>
  <c r="AD108" i="58" s="1"/>
  <c r="Y157" i="58"/>
  <c r="AD157" i="58" s="1"/>
  <c r="Y75" i="58"/>
  <c r="AD75" i="58" s="1"/>
  <c r="Y132" i="58"/>
  <c r="AD132" i="58" s="1"/>
  <c r="Y277" i="58"/>
  <c r="AD277" i="58" s="1"/>
  <c r="Y185" i="58"/>
  <c r="AD185" i="58" s="1"/>
  <c r="Y145" i="58"/>
  <c r="AD145" i="58" s="1"/>
  <c r="CC161" i="1"/>
  <c r="CC104" i="1"/>
  <c r="CC59" i="1"/>
  <c r="CC133" i="1"/>
  <c r="CC121" i="1"/>
  <c r="CC257" i="1"/>
  <c r="CC225" i="1"/>
  <c r="CC51" i="1"/>
  <c r="CC90" i="1"/>
  <c r="CC139" i="1"/>
  <c r="CC108" i="1"/>
  <c r="CC253" i="1"/>
  <c r="CC127" i="1"/>
  <c r="CC119" i="1"/>
  <c r="CC84" i="1"/>
  <c r="CC67" i="1"/>
  <c r="BW299" i="1"/>
  <c r="CS299" i="1"/>
  <c r="CG299" i="1"/>
  <c r="BA108" i="1"/>
  <c r="BX108" i="1" s="1"/>
  <c r="Z131" i="52" s="1"/>
  <c r="AB131" i="52" s="1"/>
  <c r="BS108" i="1"/>
  <c r="CQ108" i="1"/>
  <c r="Q58" i="58"/>
  <c r="Y166" i="52"/>
  <c r="Y145" i="52"/>
  <c r="Y286" i="52"/>
  <c r="Y127" i="52"/>
  <c r="Y256" i="52"/>
  <c r="Y188" i="52"/>
  <c r="Y113" i="52"/>
  <c r="Y159" i="52"/>
  <c r="Y107" i="52"/>
  <c r="Y91" i="52"/>
  <c r="Y290" i="52"/>
  <c r="Y143" i="52"/>
  <c r="Y151" i="52"/>
  <c r="Y83" i="52"/>
  <c r="BB51" i="1"/>
  <c r="AB220" i="1"/>
  <c r="AB143" i="1"/>
  <c r="AB70" i="1"/>
  <c r="AB40" i="1"/>
  <c r="AB39" i="1"/>
  <c r="AB189" i="1"/>
  <c r="AB294" i="1"/>
  <c r="S327" i="52" s="1"/>
  <c r="AB170" i="1"/>
  <c r="S197" i="52" s="1"/>
  <c r="AB346" i="1"/>
  <c r="AB364" i="1"/>
  <c r="AB384" i="1"/>
  <c r="AB259" i="1"/>
  <c r="AB260" i="1"/>
  <c r="AB286" i="1"/>
  <c r="AB246" i="1"/>
  <c r="AB38" i="1"/>
  <c r="AB381" i="1"/>
  <c r="AB297" i="1"/>
  <c r="BL119" i="1"/>
  <c r="BS51" i="1"/>
  <c r="BR59" i="1"/>
  <c r="BM127" i="1"/>
  <c r="BA51" i="1"/>
  <c r="BX51" i="1" s="1"/>
  <c r="Z75" i="52" s="1"/>
  <c r="AB75" i="52" s="1"/>
  <c r="BN51" i="1"/>
  <c r="BB59" i="1"/>
  <c r="CQ51" i="1"/>
  <c r="Y75" i="52"/>
  <c r="BM51" i="1"/>
  <c r="BL51" i="1"/>
  <c r="BR51" i="1"/>
  <c r="S319" i="52"/>
  <c r="AB267" i="1"/>
  <c r="S299" i="52" s="1"/>
  <c r="AB221" i="1"/>
  <c r="S251" i="52" s="1"/>
  <c r="BB119" i="1"/>
  <c r="AB245" i="1"/>
  <c r="S278" i="52" s="1"/>
  <c r="AB289" i="1"/>
  <c r="BN59" i="1"/>
  <c r="BS59" i="1"/>
  <c r="BS127" i="1"/>
  <c r="BS119" i="1"/>
  <c r="BB127" i="1"/>
  <c r="BM59" i="1"/>
  <c r="BA59" i="1"/>
  <c r="BX59" i="1" s="1"/>
  <c r="Z83" i="52" s="1"/>
  <c r="AB83" i="52" s="1"/>
  <c r="BL59" i="1"/>
  <c r="BL127" i="1"/>
  <c r="BA127" i="1"/>
  <c r="BX127" i="1" s="1"/>
  <c r="Z151" i="52" s="1"/>
  <c r="AB151" i="52" s="1"/>
  <c r="BR127" i="1"/>
  <c r="BN127" i="1"/>
  <c r="BN119" i="1"/>
  <c r="BR119" i="1"/>
  <c r="CN108" i="1"/>
  <c r="AK59" i="1"/>
  <c r="CQ127" i="1"/>
  <c r="CQ59" i="1"/>
  <c r="AL59" i="1"/>
  <c r="AK257" i="1"/>
  <c r="AL257" i="1"/>
  <c r="AK67" i="1"/>
  <c r="AL67" i="1"/>
  <c r="BM119" i="1"/>
  <c r="BA119" i="1"/>
  <c r="BX119" i="1" s="1"/>
  <c r="Z143" i="52" s="1"/>
  <c r="AB143" i="52" s="1"/>
  <c r="CN51" i="1"/>
  <c r="CQ119" i="1"/>
  <c r="BZ108" i="1"/>
  <c r="BB139" i="1"/>
  <c r="BB121" i="1"/>
  <c r="BB253" i="1"/>
  <c r="BB104" i="1"/>
  <c r="BB225" i="1"/>
  <c r="BB161" i="1"/>
  <c r="BB90" i="1"/>
  <c r="BB133" i="1"/>
  <c r="BB84" i="1"/>
  <c r="BB67" i="1"/>
  <c r="S250" i="52"/>
  <c r="AB58" i="1"/>
  <c r="S82" i="52" s="1"/>
  <c r="AB324" i="1"/>
  <c r="S371" i="52" s="1"/>
  <c r="AB386" i="1"/>
  <c r="AB390" i="1"/>
  <c r="AB120" i="1"/>
  <c r="S144" i="52" s="1"/>
  <c r="S296" i="52"/>
  <c r="AB212" i="1"/>
  <c r="S242" i="52" s="1"/>
  <c r="AB92" i="1"/>
  <c r="S115" i="52" s="1"/>
  <c r="AB363" i="1"/>
  <c r="BR257" i="1"/>
  <c r="BB257" i="1"/>
  <c r="AB183" i="1"/>
  <c r="S211" i="52" s="1"/>
  <c r="AB214" i="1"/>
  <c r="S244" i="52" s="1"/>
  <c r="AB37" i="1"/>
  <c r="AB249" i="1"/>
  <c r="S281" i="52" s="1"/>
  <c r="AB377" i="1"/>
  <c r="AB155" i="1"/>
  <c r="S182" i="52" s="1"/>
  <c r="S133" i="52"/>
  <c r="AB201" i="1"/>
  <c r="S229" i="52" s="1"/>
  <c r="S304" i="52"/>
  <c r="AB134" i="1"/>
  <c r="S160" i="52" s="1"/>
  <c r="AB274" i="1"/>
  <c r="S307" i="52" s="1"/>
  <c r="AB215" i="1"/>
  <c r="S245" i="52" s="1"/>
  <c r="BM257" i="1"/>
  <c r="BN257" i="1"/>
  <c r="BA257" i="1"/>
  <c r="BX257" i="1" s="1"/>
  <c r="Z290" i="52" s="1"/>
  <c r="AB290" i="52" s="1"/>
  <c r="BS257" i="1"/>
  <c r="BL257" i="1"/>
  <c r="CQ257" i="1"/>
  <c r="AK119" i="1"/>
  <c r="AL119" i="1"/>
  <c r="S335" i="52"/>
  <c r="BT108" i="1"/>
  <c r="AB113" i="1"/>
  <c r="S137" i="52" s="1"/>
  <c r="AB211" i="1"/>
  <c r="S241" i="52" s="1"/>
  <c r="AB184" i="1"/>
  <c r="S212" i="52" s="1"/>
  <c r="AB241" i="1"/>
  <c r="S274" i="52" s="1"/>
  <c r="AB102" i="1"/>
  <c r="S125" i="52" s="1"/>
  <c r="AB351" i="1"/>
  <c r="AB222" i="1"/>
  <c r="S252" i="52" s="1"/>
  <c r="S154" i="52"/>
  <c r="AB227" i="1"/>
  <c r="S259" i="52" s="1"/>
  <c r="AB200" i="1"/>
  <c r="S228" i="52" s="1"/>
  <c r="AW351" i="1"/>
  <c r="AB157" i="1"/>
  <c r="S184" i="52" s="1"/>
  <c r="AB181" i="1"/>
  <c r="S209" i="52" s="1"/>
  <c r="AB208" i="1"/>
  <c r="S236" i="52" s="1"/>
  <c r="AB287" i="1"/>
  <c r="S320" i="52" s="1"/>
  <c r="AB288" i="1"/>
  <c r="S321" i="52" s="1"/>
  <c r="S204" i="52"/>
  <c r="AB129" i="1"/>
  <c r="S153" i="52" s="1"/>
  <c r="CQ253" i="1"/>
  <c r="CQ139" i="1"/>
  <c r="CQ90" i="1"/>
  <c r="CQ133" i="1"/>
  <c r="CQ84" i="1"/>
  <c r="CQ104" i="1"/>
  <c r="CQ121" i="1"/>
  <c r="CQ225" i="1"/>
  <c r="CQ67" i="1"/>
  <c r="CQ161" i="1"/>
  <c r="AB281" i="1"/>
  <c r="S314" i="52" s="1"/>
  <c r="AB266" i="1"/>
  <c r="S298" i="52" s="1"/>
  <c r="AB96" i="1"/>
  <c r="S119" i="52" s="1"/>
  <c r="BA67" i="1"/>
  <c r="BX67" i="1" s="1"/>
  <c r="Z91" i="52" s="1"/>
  <c r="AB91" i="52" s="1"/>
  <c r="BM67" i="1"/>
  <c r="BL67" i="1"/>
  <c r="BN67" i="1"/>
  <c r="BS67" i="1"/>
  <c r="BR67" i="1"/>
  <c r="AK121" i="1"/>
  <c r="AL127" i="1"/>
  <c r="AK225" i="1"/>
  <c r="AL161" i="1"/>
  <c r="AL51" i="1"/>
  <c r="AL84" i="1"/>
  <c r="AL139" i="1"/>
  <c r="AL253" i="1"/>
  <c r="AK104" i="1"/>
  <c r="AL108" i="1"/>
  <c r="AL90" i="1"/>
  <c r="AL133" i="1"/>
  <c r="AB247" i="1"/>
  <c r="S279" i="52" s="1"/>
  <c r="S220" i="52"/>
  <c r="AB52" i="1"/>
  <c r="S76" i="52" s="1"/>
  <c r="AB197" i="1"/>
  <c r="S225" i="52" s="1"/>
  <c r="S282" i="52"/>
  <c r="AB250" i="1"/>
  <c r="S283" i="52" s="1"/>
  <c r="AB85" i="1"/>
  <c r="S108" i="52" s="1"/>
  <c r="AK84" i="1"/>
  <c r="BR84" i="1"/>
  <c r="BN84" i="1"/>
  <c r="BL84" i="1"/>
  <c r="BS84" i="1"/>
  <c r="BM84" i="1"/>
  <c r="BA84" i="1"/>
  <c r="BX84" i="1" s="1"/>
  <c r="Z107" i="52" s="1"/>
  <c r="AB107" i="52" s="1"/>
  <c r="AK253" i="1"/>
  <c r="AK90" i="1"/>
  <c r="AK139" i="1"/>
  <c r="AK108" i="1"/>
  <c r="AK133" i="1"/>
  <c r="AK51" i="1"/>
  <c r="BR161" i="1"/>
  <c r="BN161" i="1"/>
  <c r="BL161" i="1"/>
  <c r="BS161" i="1"/>
  <c r="BM161" i="1"/>
  <c r="BA161" i="1"/>
  <c r="BX161" i="1" s="1"/>
  <c r="Z188" i="52" s="1"/>
  <c r="AB188" i="52" s="1"/>
  <c r="BR90" i="1"/>
  <c r="BN90" i="1"/>
  <c r="BL90" i="1"/>
  <c r="BS90" i="1"/>
  <c r="BM90" i="1"/>
  <c r="BA90" i="1"/>
  <c r="BX90" i="1" s="1"/>
  <c r="Z113" i="52" s="1"/>
  <c r="AB113" i="52" s="1"/>
  <c r="BS133" i="1"/>
  <c r="BM133" i="1"/>
  <c r="BA133" i="1"/>
  <c r="BX133" i="1" s="1"/>
  <c r="Z159" i="52" s="1"/>
  <c r="AB159" i="52" s="1"/>
  <c r="BN133" i="1"/>
  <c r="BR133" i="1"/>
  <c r="BL133" i="1"/>
  <c r="AL121" i="1"/>
  <c r="AL104" i="1"/>
  <c r="AL225" i="1"/>
  <c r="BR139" i="1"/>
  <c r="BN139" i="1"/>
  <c r="BL139" i="1"/>
  <c r="BS139" i="1"/>
  <c r="BM139" i="1"/>
  <c r="BA139" i="1"/>
  <c r="BX139" i="1" s="1"/>
  <c r="Z166" i="52" s="1"/>
  <c r="AB166" i="52" s="1"/>
  <c r="BS121" i="1"/>
  <c r="BM121" i="1"/>
  <c r="BA121" i="1"/>
  <c r="BX121" i="1" s="1"/>
  <c r="Z145" i="52" s="1"/>
  <c r="AB145" i="52" s="1"/>
  <c r="BN121" i="1"/>
  <c r="BR121" i="1"/>
  <c r="BL121" i="1"/>
  <c r="AK127" i="1"/>
  <c r="BR253" i="1"/>
  <c r="BN253" i="1"/>
  <c r="BL253" i="1"/>
  <c r="BS253" i="1"/>
  <c r="BM253" i="1"/>
  <c r="BA253" i="1"/>
  <c r="BX253" i="1" s="1"/>
  <c r="Z286" i="52" s="1"/>
  <c r="AB286" i="52" s="1"/>
  <c r="BS104" i="1"/>
  <c r="BM104" i="1"/>
  <c r="BA104" i="1"/>
  <c r="BX104" i="1" s="1"/>
  <c r="Z127" i="52" s="1"/>
  <c r="AB127" i="52" s="1"/>
  <c r="BN104" i="1"/>
  <c r="BR104" i="1"/>
  <c r="BL104" i="1"/>
  <c r="BR225" i="1"/>
  <c r="BN225" i="1"/>
  <c r="BL225" i="1"/>
  <c r="BS225" i="1"/>
  <c r="BM225" i="1"/>
  <c r="BA225" i="1"/>
  <c r="BX225" i="1" s="1"/>
  <c r="Z256" i="52" s="1"/>
  <c r="AB256" i="52" s="1"/>
  <c r="AK161" i="1"/>
  <c r="BQ108" i="1"/>
  <c r="AG42" i="1"/>
  <c r="AB18" i="1"/>
  <c r="AB232" i="1"/>
  <c r="S264" i="52" s="1"/>
  <c r="AB31" i="1"/>
  <c r="AB302" i="1"/>
  <c r="S334" i="52" s="1"/>
  <c r="AB301" i="1"/>
  <c r="S333" i="52" s="1"/>
  <c r="AB230" i="1"/>
  <c r="S262" i="52" s="1"/>
  <c r="BF42" i="1"/>
  <c r="AB293" i="1"/>
  <c r="S326" i="52" s="1"/>
  <c r="AB298" i="1"/>
  <c r="S330" i="52" s="1"/>
  <c r="AB292" i="1"/>
  <c r="S325" i="52" s="1"/>
  <c r="AB206" i="1"/>
  <c r="S234" i="52" s="1"/>
  <c r="AB391" i="1"/>
  <c r="S437" i="52" s="1"/>
  <c r="AB193" i="1"/>
  <c r="S221" i="52" s="1"/>
  <c r="AB163" i="1"/>
  <c r="S190" i="52" s="1"/>
  <c r="AB22" i="1"/>
  <c r="AB254" i="1"/>
  <c r="S287" i="52" s="1"/>
  <c r="AB278" i="1"/>
  <c r="S311" i="52" s="1"/>
  <c r="AB36" i="1"/>
  <c r="AB365" i="1"/>
  <c r="AB373" i="1"/>
  <c r="AB270" i="1"/>
  <c r="S302" i="52" s="1"/>
  <c r="AB268" i="1"/>
  <c r="S300" i="52" s="1"/>
  <c r="AB396" i="1"/>
  <c r="AB395" i="1"/>
  <c r="S332" i="52"/>
  <c r="AB300" i="1"/>
  <c r="S331" i="52" s="1"/>
  <c r="AB296" i="1"/>
  <c r="S329" i="52" s="1"/>
  <c r="AB295" i="1"/>
  <c r="S328" i="52" s="1"/>
  <c r="AB291" i="1"/>
  <c r="S324" i="52" s="1"/>
  <c r="AB290" i="1"/>
  <c r="S323" i="52" s="1"/>
  <c r="AB285" i="1"/>
  <c r="S318" i="52" s="1"/>
  <c r="AB284" i="1"/>
  <c r="S317" i="52" s="1"/>
  <c r="AB283" i="1"/>
  <c r="S316" i="52" s="1"/>
  <c r="AB282" i="1"/>
  <c r="S315" i="52" s="1"/>
  <c r="AB280" i="1"/>
  <c r="S313" i="52" s="1"/>
  <c r="AB279" i="1"/>
  <c r="S312" i="52" s="1"/>
  <c r="AB277" i="1"/>
  <c r="S310" i="52" s="1"/>
  <c r="AB276" i="1"/>
  <c r="S309" i="52" s="1"/>
  <c r="AB275" i="1"/>
  <c r="S308" i="52" s="1"/>
  <c r="AB273" i="1"/>
  <c r="S306" i="52" s="1"/>
  <c r="AB272" i="1"/>
  <c r="S305" i="52" s="1"/>
  <c r="AB271" i="1"/>
  <c r="S303" i="52" s="1"/>
  <c r="AB269" i="1"/>
  <c r="S301" i="52" s="1"/>
  <c r="AB264" i="1"/>
  <c r="S295" i="52" s="1"/>
  <c r="AB263" i="1"/>
  <c r="S294" i="52" s="1"/>
  <c r="AB262" i="1"/>
  <c r="S293" i="52" s="1"/>
  <c r="AB261" i="1"/>
  <c r="S292" i="52" s="1"/>
  <c r="AB258" i="1"/>
  <c r="S291" i="52" s="1"/>
  <c r="AB256" i="1"/>
  <c r="S289" i="52" s="1"/>
  <c r="AB255" i="1"/>
  <c r="S288" i="52" s="1"/>
  <c r="AB252" i="1"/>
  <c r="S285" i="52" s="1"/>
  <c r="AB251" i="1"/>
  <c r="S284" i="52" s="1"/>
  <c r="AB248" i="1"/>
  <c r="S280" i="52" s="1"/>
  <c r="AB244" i="1"/>
  <c r="S277" i="52" s="1"/>
  <c r="AB243" i="1"/>
  <c r="S276" i="52" s="1"/>
  <c r="AB242" i="1"/>
  <c r="S275" i="52" s="1"/>
  <c r="AB240" i="1"/>
  <c r="S273" i="52" s="1"/>
  <c r="AB239" i="1"/>
  <c r="S272" i="52" s="1"/>
  <c r="AB238" i="1"/>
  <c r="S271" i="52" s="1"/>
  <c r="AB237" i="1"/>
  <c r="S269" i="52" s="1"/>
  <c r="AB236" i="1"/>
  <c r="S268" i="52" s="1"/>
  <c r="AB235" i="1"/>
  <c r="S267" i="52" s="1"/>
  <c r="AB234" i="1"/>
  <c r="S266" i="52" s="1"/>
  <c r="AB233" i="1"/>
  <c r="S265" i="52" s="1"/>
  <c r="AB231" i="1"/>
  <c r="S263" i="52" s="1"/>
  <c r="AB229" i="1"/>
  <c r="S261" i="52" s="1"/>
  <c r="AB228" i="1"/>
  <c r="S260" i="52" s="1"/>
  <c r="S258" i="52"/>
  <c r="AB226" i="1"/>
  <c r="S257" i="52" s="1"/>
  <c r="S255" i="52"/>
  <c r="AB224" i="1"/>
  <c r="S254" i="52" s="1"/>
  <c r="AB223" i="1"/>
  <c r="S253" i="52" s="1"/>
  <c r="AB219" i="1"/>
  <c r="S249" i="52" s="1"/>
  <c r="AB218" i="1"/>
  <c r="S248" i="52" s="1"/>
  <c r="AB217" i="1"/>
  <c r="S247" i="52" s="1"/>
  <c r="AB216" i="1"/>
  <c r="S246" i="52" s="1"/>
  <c r="AB213" i="1"/>
  <c r="S243" i="52" s="1"/>
  <c r="AB210" i="1"/>
  <c r="S240" i="52" s="1"/>
  <c r="AB209" i="1"/>
  <c r="S239" i="52" s="1"/>
  <c r="S238" i="52"/>
  <c r="S237" i="52"/>
  <c r="AB207" i="1"/>
  <c r="S235" i="52" s="1"/>
  <c r="AB205" i="1"/>
  <c r="S233" i="52" s="1"/>
  <c r="AB204" i="1"/>
  <c r="S232" i="52" s="1"/>
  <c r="AB203" i="1"/>
  <c r="S231" i="52" s="1"/>
  <c r="AB202" i="1"/>
  <c r="S230" i="52" s="1"/>
  <c r="AB199" i="1"/>
  <c r="S227" i="52" s="1"/>
  <c r="AB198" i="1"/>
  <c r="S226" i="52" s="1"/>
  <c r="AB196" i="1"/>
  <c r="S224" i="52" s="1"/>
  <c r="AB195" i="1"/>
  <c r="S223" i="52" s="1"/>
  <c r="AB194" i="1"/>
  <c r="S222" i="52" s="1"/>
  <c r="AB192" i="1"/>
  <c r="S219" i="52" s="1"/>
  <c r="AB191" i="1"/>
  <c r="S218" i="52" s="1"/>
  <c r="AB190" i="1"/>
  <c r="S217" i="52" s="1"/>
  <c r="AB188" i="1"/>
  <c r="S216" i="52" s="1"/>
  <c r="AB187" i="1"/>
  <c r="S215" i="52" s="1"/>
  <c r="AB186" i="1"/>
  <c r="S214" i="52" s="1"/>
  <c r="AB185" i="1"/>
  <c r="S213" i="52" s="1"/>
  <c r="AB182" i="1"/>
  <c r="S210" i="52" s="1"/>
  <c r="AB180" i="1"/>
  <c r="S208" i="52" s="1"/>
  <c r="AB179" i="1"/>
  <c r="S207" i="52" s="1"/>
  <c r="AB178" i="1"/>
  <c r="S206" i="52" s="1"/>
  <c r="AB177" i="1"/>
  <c r="S205" i="52" s="1"/>
  <c r="AB176" i="1"/>
  <c r="S203" i="52" s="1"/>
  <c r="AB175" i="1"/>
  <c r="S202" i="52" s="1"/>
  <c r="AB174" i="1"/>
  <c r="S201" i="52" s="1"/>
  <c r="AB173" i="1"/>
  <c r="S200" i="52" s="1"/>
  <c r="AB172" i="1"/>
  <c r="S199" i="52" s="1"/>
  <c r="AB171" i="1"/>
  <c r="S198" i="52" s="1"/>
  <c r="AB169" i="1"/>
  <c r="S196" i="52" s="1"/>
  <c r="AB168" i="1"/>
  <c r="S195" i="52" s="1"/>
  <c r="AB167" i="1"/>
  <c r="S194" i="52" s="1"/>
  <c r="AB166" i="1"/>
  <c r="S193" i="52" s="1"/>
  <c r="AB165" i="1"/>
  <c r="S192" i="52" s="1"/>
  <c r="AB164" i="1"/>
  <c r="S191" i="52" s="1"/>
  <c r="AB160" i="1"/>
  <c r="S187" i="52" s="1"/>
  <c r="AB162" i="1"/>
  <c r="S189" i="52" s="1"/>
  <c r="AB159" i="1"/>
  <c r="S186" i="52" s="1"/>
  <c r="AB158" i="1"/>
  <c r="S185" i="52" s="1"/>
  <c r="AB156" i="1"/>
  <c r="S183" i="52" s="1"/>
  <c r="AB154" i="1"/>
  <c r="S181" i="52" s="1"/>
  <c r="AB153" i="1"/>
  <c r="S180" i="52" s="1"/>
  <c r="AB152" i="1"/>
  <c r="AB151" i="1"/>
  <c r="S178" i="52" s="1"/>
  <c r="AB150" i="1"/>
  <c r="S177" i="52" s="1"/>
  <c r="S176" i="52"/>
  <c r="AB149" i="1"/>
  <c r="S175" i="52" s="1"/>
  <c r="AB148" i="1"/>
  <c r="S174" i="52" s="1"/>
  <c r="AB147" i="1"/>
  <c r="S173" i="52" s="1"/>
  <c r="AB146" i="1"/>
  <c r="S172" i="52" s="1"/>
  <c r="AB145" i="1"/>
  <c r="S171" i="52" s="1"/>
  <c r="AB144" i="1"/>
  <c r="S170" i="52" s="1"/>
  <c r="AB142" i="1"/>
  <c r="S169" i="52" s="1"/>
  <c r="AB141" i="1"/>
  <c r="S168" i="52" s="1"/>
  <c r="AB140" i="1"/>
  <c r="S167" i="52" s="1"/>
  <c r="AB138" i="1"/>
  <c r="S165" i="52" s="1"/>
  <c r="AB137" i="1"/>
  <c r="S164" i="52" s="1"/>
  <c r="S163" i="52"/>
  <c r="AB136" i="1"/>
  <c r="S162" i="52" s="1"/>
  <c r="AB135" i="1"/>
  <c r="S161" i="52" s="1"/>
  <c r="AB132" i="1"/>
  <c r="S158" i="52" s="1"/>
  <c r="S157" i="52"/>
  <c r="AB131" i="1"/>
  <c r="S156" i="52" s="1"/>
  <c r="AB130" i="1"/>
  <c r="S155" i="52" s="1"/>
  <c r="AB128" i="1"/>
  <c r="S152" i="52" s="1"/>
  <c r="AB126" i="1"/>
  <c r="S150" i="52" s="1"/>
  <c r="AB125" i="1"/>
  <c r="S149" i="52" s="1"/>
  <c r="AB124" i="1"/>
  <c r="S148" i="52" s="1"/>
  <c r="AB123" i="1"/>
  <c r="S147" i="52" s="1"/>
  <c r="AB122" i="1"/>
  <c r="S146" i="52" s="1"/>
  <c r="AB118" i="1"/>
  <c r="S142" i="52" s="1"/>
  <c r="AB117" i="1"/>
  <c r="S141" i="52" s="1"/>
  <c r="AB116" i="1"/>
  <c r="S140" i="52" s="1"/>
  <c r="AB115" i="1"/>
  <c r="S139" i="52" s="1"/>
  <c r="AB114" i="1"/>
  <c r="S138" i="52" s="1"/>
  <c r="AB112" i="1"/>
  <c r="S136" i="52" s="1"/>
  <c r="AB111" i="1"/>
  <c r="S135" i="52" s="1"/>
  <c r="AB110" i="1"/>
  <c r="S134" i="52" s="1"/>
  <c r="AB107" i="1"/>
  <c r="S130" i="52" s="1"/>
  <c r="AB106" i="1"/>
  <c r="S129" i="52" s="1"/>
  <c r="AB105" i="1"/>
  <c r="S128" i="52" s="1"/>
  <c r="AB103" i="1"/>
  <c r="S126" i="52" s="1"/>
  <c r="AB101" i="1"/>
  <c r="S124" i="52" s="1"/>
  <c r="AB100" i="1"/>
  <c r="S123" i="52" s="1"/>
  <c r="AB99" i="1"/>
  <c r="S122" i="52" s="1"/>
  <c r="AB98" i="1"/>
  <c r="S121" i="52" s="1"/>
  <c r="AB97" i="1"/>
  <c r="S120" i="52" s="1"/>
  <c r="AB95" i="1"/>
  <c r="S118" i="52" s="1"/>
  <c r="AB94" i="1"/>
  <c r="S117" i="52" s="1"/>
  <c r="AB93" i="1"/>
  <c r="S116" i="52" s="1"/>
  <c r="AB91" i="1"/>
  <c r="S114" i="52" s="1"/>
  <c r="AB89" i="1"/>
  <c r="S112" i="52" s="1"/>
  <c r="AB88" i="1"/>
  <c r="S111" i="52" s="1"/>
  <c r="AB87" i="1"/>
  <c r="S110" i="52" s="1"/>
  <c r="AB86" i="1"/>
  <c r="S109" i="52" s="1"/>
  <c r="AB83" i="1"/>
  <c r="S106" i="52" s="1"/>
  <c r="AB82" i="1"/>
  <c r="S105" i="52" s="1"/>
  <c r="AB81" i="1"/>
  <c r="S104" i="52" s="1"/>
  <c r="AB80" i="1"/>
  <c r="S103" i="52" s="1"/>
  <c r="AB79" i="1"/>
  <c r="S102" i="52" s="1"/>
  <c r="AB78" i="1"/>
  <c r="S101" i="52" s="1"/>
  <c r="AB77" i="1"/>
  <c r="S100" i="52" s="1"/>
  <c r="AB76" i="1"/>
  <c r="S99" i="52" s="1"/>
  <c r="AB75" i="1"/>
  <c r="S98" i="52" s="1"/>
  <c r="AB74" i="1"/>
  <c r="S97" i="52" s="1"/>
  <c r="AB73" i="1"/>
  <c r="S96" i="52" s="1"/>
  <c r="AB72" i="1"/>
  <c r="S95" i="52" s="1"/>
  <c r="AB71" i="1"/>
  <c r="S94" i="52" s="1"/>
  <c r="AB69" i="1"/>
  <c r="S93" i="52" s="1"/>
  <c r="AB68" i="1"/>
  <c r="S92" i="52" s="1"/>
  <c r="AB66" i="1"/>
  <c r="S90" i="52" s="1"/>
  <c r="AB65" i="1"/>
  <c r="S89" i="52" s="1"/>
  <c r="AB64" i="1"/>
  <c r="S88" i="52" s="1"/>
  <c r="AB63" i="1"/>
  <c r="S87" i="52" s="1"/>
  <c r="AB62" i="1"/>
  <c r="S86" i="52" s="1"/>
  <c r="AB61" i="1"/>
  <c r="S85" i="52" s="1"/>
  <c r="AB60" i="1"/>
  <c r="S84" i="52" s="1"/>
  <c r="AB57" i="1"/>
  <c r="S81" i="52" s="1"/>
  <c r="AB56" i="1"/>
  <c r="S80" i="52" s="1"/>
  <c r="AB55" i="1"/>
  <c r="S79" i="52" s="1"/>
  <c r="AB54" i="1"/>
  <c r="S78" i="52" s="1"/>
  <c r="AB53" i="1"/>
  <c r="S77" i="52" s="1"/>
  <c r="AB50" i="1"/>
  <c r="S74" i="52" s="1"/>
  <c r="AB49" i="1"/>
  <c r="S73" i="52" s="1"/>
  <c r="AB48" i="1"/>
  <c r="S72" i="52" s="1"/>
  <c r="AB47" i="1"/>
  <c r="S71" i="52" s="1"/>
  <c r="AB307" i="1"/>
  <c r="AB309" i="1"/>
  <c r="AB312" i="1"/>
  <c r="AB314" i="1"/>
  <c r="AB316" i="1"/>
  <c r="AB318" i="1"/>
  <c r="AB320" i="1"/>
  <c r="AB322" i="1"/>
  <c r="AB325" i="1"/>
  <c r="AB326" i="1"/>
  <c r="AB328" i="1"/>
  <c r="AB330" i="1"/>
  <c r="AB332" i="1"/>
  <c r="AB334" i="1"/>
  <c r="AB336" i="1"/>
  <c r="AB338" i="1"/>
  <c r="AB340" i="1"/>
  <c r="AB342" i="1"/>
  <c r="AB344" i="1"/>
  <c r="AB348" i="1"/>
  <c r="AB353" i="1"/>
  <c r="AB355" i="1"/>
  <c r="AB358" i="1"/>
  <c r="AB360" i="1"/>
  <c r="AB362" i="1"/>
  <c r="AB367" i="1"/>
  <c r="AB369" i="1"/>
  <c r="AB371" i="1"/>
  <c r="AB374" i="1"/>
  <c r="AB376" i="1"/>
  <c r="AB378" i="1"/>
  <c r="AB380" i="1"/>
  <c r="AB382" i="1"/>
  <c r="AB385" i="1"/>
  <c r="AB387" i="1"/>
  <c r="AB389" i="1"/>
  <c r="AB393" i="1"/>
  <c r="AB306" i="1"/>
  <c r="AB308" i="1"/>
  <c r="AB310" i="1"/>
  <c r="AB311" i="1"/>
  <c r="AB313" i="1"/>
  <c r="AB315" i="1"/>
  <c r="AB317" i="1"/>
  <c r="AB319" i="1"/>
  <c r="AB321" i="1"/>
  <c r="AB323" i="1"/>
  <c r="AB327" i="1"/>
  <c r="AB329" i="1"/>
  <c r="AB331" i="1"/>
  <c r="AB333" i="1"/>
  <c r="AB335" i="1"/>
  <c r="AB337" i="1"/>
  <c r="AB339" i="1"/>
  <c r="AB341" i="1"/>
  <c r="AB343" i="1"/>
  <c r="AB345" i="1"/>
  <c r="AB347" i="1"/>
  <c r="AB349" i="1"/>
  <c r="AB350" i="1"/>
  <c r="AB352" i="1"/>
  <c r="AB354" i="1"/>
  <c r="AB356" i="1"/>
  <c r="AB357" i="1"/>
  <c r="AB359" i="1"/>
  <c r="AB361" i="1"/>
  <c r="AB366" i="1"/>
  <c r="AB368" i="1"/>
  <c r="AB370" i="1"/>
  <c r="AB372" i="1"/>
  <c r="AB375" i="1"/>
  <c r="AB379" i="1"/>
  <c r="AB383" i="1"/>
  <c r="AB265" i="1"/>
  <c r="S297" i="52" s="1"/>
  <c r="AB388" i="1"/>
  <c r="AB392" i="1"/>
  <c r="AB394" i="1"/>
  <c r="AB45" i="1"/>
  <c r="S69" i="52" s="1"/>
  <c r="AB46" i="1"/>
  <c r="S70" i="52" s="1"/>
  <c r="AB41" i="1"/>
  <c r="AB35" i="1"/>
  <c r="AB34" i="1"/>
  <c r="AB33" i="1"/>
  <c r="AB32" i="1"/>
  <c r="AB30" i="1"/>
  <c r="AB29" i="1"/>
  <c r="AB28" i="1"/>
  <c r="AB27" i="1"/>
  <c r="AB26" i="1"/>
  <c r="AB25" i="1"/>
  <c r="AB24" i="1"/>
  <c r="AB23" i="1"/>
  <c r="AB21" i="1"/>
  <c r="AB20" i="1"/>
  <c r="AB19" i="1"/>
  <c r="AB17" i="1"/>
  <c r="S33" i="52" s="1"/>
  <c r="AB44" i="1"/>
  <c r="AB305" i="1"/>
  <c r="Q14" i="1"/>
  <c r="DQ108" i="1"/>
  <c r="S179" i="52" l="1"/>
  <c r="AH143" i="1"/>
  <c r="AD143" i="1"/>
  <c r="AJ143" i="1" s="1"/>
  <c r="AH220" i="1"/>
  <c r="AD220" i="1"/>
  <c r="AH170" i="1"/>
  <c r="AD170" i="1"/>
  <c r="AE170" i="1" s="1"/>
  <c r="AH189" i="1"/>
  <c r="AD189" i="1"/>
  <c r="AH40" i="1"/>
  <c r="Q53" i="57" s="1"/>
  <c r="AD40" i="1"/>
  <c r="AJ40" i="1" s="1"/>
  <c r="S53" i="57" s="1"/>
  <c r="AH39" i="1"/>
  <c r="Q52" i="57" s="1"/>
  <c r="AD39" i="1"/>
  <c r="AJ39" i="1" s="1"/>
  <c r="S52" i="57" s="1"/>
  <c r="AH70" i="1"/>
  <c r="AD70" i="1"/>
  <c r="AJ70" i="1" s="1"/>
  <c r="AH364" i="1"/>
  <c r="Q398" i="57" s="1"/>
  <c r="AD364" i="1"/>
  <c r="AJ364" i="1" s="1"/>
  <c r="AH384" i="1"/>
  <c r="Q418" i="57" s="1"/>
  <c r="AD384" i="1"/>
  <c r="AJ384" i="1" s="1"/>
  <c r="AH346" i="1"/>
  <c r="AD346" i="1"/>
  <c r="BF346" i="1" s="1"/>
  <c r="AH259" i="1"/>
  <c r="AD259" i="1"/>
  <c r="AE259" i="1" s="1"/>
  <c r="AH260" i="1"/>
  <c r="AD260" i="1"/>
  <c r="AJ260" i="1" s="1"/>
  <c r="AH246" i="1"/>
  <c r="AD246" i="1"/>
  <c r="AJ246" i="1" s="1"/>
  <c r="AH38" i="1"/>
  <c r="Q51" i="57" s="1"/>
  <c r="AD38" i="1"/>
  <c r="AE38" i="1" s="1"/>
  <c r="AU38" i="1" s="1"/>
  <c r="AH286" i="1"/>
  <c r="AD286" i="1"/>
  <c r="AJ286" i="1" s="1"/>
  <c r="CG108" i="1"/>
  <c r="AH155" i="1"/>
  <c r="AH381" i="1"/>
  <c r="Q415" i="57" s="1"/>
  <c r="AD381" i="1"/>
  <c r="AJ381" i="1" s="1"/>
  <c r="S415" i="57" s="1"/>
  <c r="S322" i="52"/>
  <c r="S270" i="52"/>
  <c r="AH297" i="1"/>
  <c r="AD297" i="1"/>
  <c r="AJ297" i="1" s="1"/>
  <c r="BZ51" i="1"/>
  <c r="CN59" i="1"/>
  <c r="BT51" i="1"/>
  <c r="CN119" i="1"/>
  <c r="BQ51" i="1"/>
  <c r="AD245" i="1"/>
  <c r="U278" i="52" s="1"/>
  <c r="BQ59" i="1"/>
  <c r="AH221" i="1"/>
  <c r="AD221" i="1"/>
  <c r="AH267" i="1"/>
  <c r="AD267" i="1"/>
  <c r="S35" i="52"/>
  <c r="S352" i="52"/>
  <c r="S36" i="52"/>
  <c r="S39" i="52"/>
  <c r="S43" i="52"/>
  <c r="S45" i="52"/>
  <c r="S47" i="52"/>
  <c r="S50" i="52"/>
  <c r="S52" i="52"/>
  <c r="S56" i="52"/>
  <c r="S438" i="52"/>
  <c r="S427" i="52"/>
  <c r="S420" i="52"/>
  <c r="S416" i="52"/>
  <c r="S410" i="52"/>
  <c r="S406" i="52"/>
  <c r="S402" i="52"/>
  <c r="S397" i="52"/>
  <c r="S393" i="52"/>
  <c r="S390" i="52"/>
  <c r="S386" i="52"/>
  <c r="S382" i="52"/>
  <c r="S378" i="52"/>
  <c r="S374" i="52"/>
  <c r="S368" i="52"/>
  <c r="S364" i="52"/>
  <c r="S360" i="52"/>
  <c r="S357" i="52"/>
  <c r="S353" i="52"/>
  <c r="S435" i="52"/>
  <c r="S431" i="52"/>
  <c r="S428" i="52"/>
  <c r="S424" i="52"/>
  <c r="S419" i="52"/>
  <c r="S415" i="52"/>
  <c r="S409" i="52"/>
  <c r="S405" i="52"/>
  <c r="S401" i="52"/>
  <c r="S396" i="52"/>
  <c r="S391" i="52"/>
  <c r="S387" i="52"/>
  <c r="S383" i="52"/>
  <c r="S379" i="52"/>
  <c r="S375" i="52"/>
  <c r="S372" i="52"/>
  <c r="S367" i="52"/>
  <c r="S363" i="52"/>
  <c r="S359" i="52"/>
  <c r="S354" i="52"/>
  <c r="S442" i="52"/>
  <c r="S421" i="52"/>
  <c r="S413" i="52"/>
  <c r="S38" i="52"/>
  <c r="S57" i="52"/>
  <c r="S49" i="52"/>
  <c r="S34" i="52"/>
  <c r="S42" i="52"/>
  <c r="S398" i="52"/>
  <c r="S425" i="52"/>
  <c r="S55" i="52"/>
  <c r="S412" i="52"/>
  <c r="S432" i="52"/>
  <c r="S68" i="52"/>
  <c r="S37" i="52"/>
  <c r="S40" i="52"/>
  <c r="S44" i="52"/>
  <c r="S46" i="52"/>
  <c r="S48" i="52"/>
  <c r="S51" i="52"/>
  <c r="S53" i="52"/>
  <c r="S441" i="52"/>
  <c r="S434" i="52"/>
  <c r="S430" i="52"/>
  <c r="S423" i="52"/>
  <c r="S418" i="52"/>
  <c r="S414" i="52"/>
  <c r="S408" i="52"/>
  <c r="S404" i="52"/>
  <c r="S400" i="52"/>
  <c r="S395" i="52"/>
  <c r="S392" i="52"/>
  <c r="S388" i="52"/>
  <c r="S384" i="52"/>
  <c r="S380" i="52"/>
  <c r="S376" i="52"/>
  <c r="S370" i="52"/>
  <c r="S366" i="52"/>
  <c r="S362" i="52"/>
  <c r="S358" i="52"/>
  <c r="S355" i="52"/>
  <c r="S439" i="52"/>
  <c r="S433" i="52"/>
  <c r="S429" i="52"/>
  <c r="S426" i="52"/>
  <c r="S422" i="52"/>
  <c r="S417" i="52"/>
  <c r="S411" i="52"/>
  <c r="S407" i="52"/>
  <c r="S403" i="52"/>
  <c r="S399" i="52"/>
  <c r="S394" i="52"/>
  <c r="S389" i="52"/>
  <c r="S385" i="52"/>
  <c r="S381" i="52"/>
  <c r="S377" i="52"/>
  <c r="S373" i="52"/>
  <c r="S369" i="52"/>
  <c r="S365" i="52"/>
  <c r="S361" i="52"/>
  <c r="S356" i="52"/>
  <c r="S443" i="52"/>
  <c r="S440" i="52"/>
  <c r="S54" i="52"/>
  <c r="S41" i="52"/>
  <c r="S436" i="52"/>
  <c r="AH245" i="1"/>
  <c r="CN139" i="1"/>
  <c r="BT59" i="1"/>
  <c r="AM59" i="1"/>
  <c r="AM67" i="1"/>
  <c r="AM257" i="1"/>
  <c r="BZ127" i="1"/>
  <c r="BT127" i="1"/>
  <c r="CN225" i="1"/>
  <c r="AH289" i="1"/>
  <c r="AD289" i="1"/>
  <c r="U322" i="52" s="1"/>
  <c r="CN90" i="1"/>
  <c r="CN253" i="1"/>
  <c r="CN127" i="1"/>
  <c r="BZ59" i="1"/>
  <c r="BQ127" i="1"/>
  <c r="BQ119" i="1"/>
  <c r="BT119" i="1"/>
  <c r="BZ119" i="1"/>
  <c r="CN67" i="1"/>
  <c r="CN84" i="1"/>
  <c r="CN133" i="1"/>
  <c r="CN161" i="1"/>
  <c r="CN104" i="1"/>
  <c r="CN121" i="1"/>
  <c r="AH17" i="1"/>
  <c r="Q30" i="57" s="1"/>
  <c r="AD281" i="1"/>
  <c r="AH391" i="1"/>
  <c r="Q425" i="57" s="1"/>
  <c r="AD155" i="1"/>
  <c r="U182" i="52" s="1"/>
  <c r="AH214" i="1"/>
  <c r="BZ225" i="1"/>
  <c r="BZ253" i="1"/>
  <c r="BZ121" i="1"/>
  <c r="BZ90" i="1"/>
  <c r="BZ161" i="1"/>
  <c r="BZ84" i="1"/>
  <c r="BZ67" i="1"/>
  <c r="BZ257" i="1"/>
  <c r="BZ104" i="1"/>
  <c r="BZ139" i="1"/>
  <c r="BZ133" i="1"/>
  <c r="CN257" i="1"/>
  <c r="BT257" i="1"/>
  <c r="U296" i="52"/>
  <c r="AH390" i="1"/>
  <c r="Q424" i="57" s="1"/>
  <c r="AD390" i="1"/>
  <c r="AH324" i="1"/>
  <c r="Q358" i="57" s="1"/>
  <c r="AD324" i="1"/>
  <c r="U250" i="52"/>
  <c r="AH212" i="1"/>
  <c r="AD212" i="1"/>
  <c r="U242" i="52" s="1"/>
  <c r="AH120" i="1"/>
  <c r="AD120" i="1"/>
  <c r="U144" i="52" s="1"/>
  <c r="AH386" i="1"/>
  <c r="Q420" i="57" s="1"/>
  <c r="AD386" i="1"/>
  <c r="AH58" i="1"/>
  <c r="AD58" i="1"/>
  <c r="U82" i="52" s="1"/>
  <c r="AH363" i="1"/>
  <c r="Q397" i="57" s="1"/>
  <c r="AD363" i="1"/>
  <c r="U412" i="52" s="1"/>
  <c r="AH92" i="1"/>
  <c r="AD92" i="1"/>
  <c r="U115" i="52" s="1"/>
  <c r="AH249" i="1"/>
  <c r="AD249" i="1"/>
  <c r="U281" i="52" s="1"/>
  <c r="AH37" i="1"/>
  <c r="Q50" i="57" s="1"/>
  <c r="AD37" i="1"/>
  <c r="U55" i="52" s="1"/>
  <c r="AH377" i="1"/>
  <c r="Q411" i="57" s="1"/>
  <c r="AD377" i="1"/>
  <c r="U425" i="52" s="1"/>
  <c r="U133" i="52"/>
  <c r="BV108" i="1"/>
  <c r="CS108" i="1" s="1"/>
  <c r="AH274" i="1"/>
  <c r="AD274" i="1"/>
  <c r="U307" i="52" s="1"/>
  <c r="U304" i="52"/>
  <c r="AD214" i="1"/>
  <c r="U244" i="52" s="1"/>
  <c r="AH215" i="1"/>
  <c r="AD215" i="1"/>
  <c r="U245" i="52" s="1"/>
  <c r="AH134" i="1"/>
  <c r="AD134" i="1"/>
  <c r="U160" i="52" s="1"/>
  <c r="AH201" i="1"/>
  <c r="AD201" i="1"/>
  <c r="U229" i="52" s="1"/>
  <c r="BQ257" i="1"/>
  <c r="AM119" i="1"/>
  <c r="BT225" i="1"/>
  <c r="BT253" i="1"/>
  <c r="BT121" i="1"/>
  <c r="BT90" i="1"/>
  <c r="BT104" i="1"/>
  <c r="BT139" i="1"/>
  <c r="BT133" i="1"/>
  <c r="BT161" i="1"/>
  <c r="BT84" i="1"/>
  <c r="BT67" i="1"/>
  <c r="AH184" i="1"/>
  <c r="AD184" i="1"/>
  <c r="U212" i="52" s="1"/>
  <c r="AH102" i="1"/>
  <c r="AD102" i="1"/>
  <c r="U125" i="52" s="1"/>
  <c r="AH211" i="1"/>
  <c r="AD211" i="1"/>
  <c r="U241" i="52" s="1"/>
  <c r="AH241" i="1"/>
  <c r="AD241" i="1"/>
  <c r="U274" i="52" s="1"/>
  <c r="AH113" i="1"/>
  <c r="AD113" i="1"/>
  <c r="U137" i="52" s="1"/>
  <c r="U204" i="52"/>
  <c r="AH227" i="1"/>
  <c r="AD227" i="1"/>
  <c r="U259" i="52" s="1"/>
  <c r="U154" i="52"/>
  <c r="AH351" i="1"/>
  <c r="Q385" i="57" s="1"/>
  <c r="AD351" i="1"/>
  <c r="AH200" i="1"/>
  <c r="AD200" i="1"/>
  <c r="U228" i="52" s="1"/>
  <c r="AH222" i="1"/>
  <c r="AD222" i="1"/>
  <c r="U252" i="52" s="1"/>
  <c r="U41" i="52"/>
  <c r="CP351" i="1"/>
  <c r="AH181" i="1"/>
  <c r="AD181" i="1"/>
  <c r="U209" i="52" s="1"/>
  <c r="AH157" i="1"/>
  <c r="AD157" i="1"/>
  <c r="U184" i="52" s="1"/>
  <c r="U42" i="52"/>
  <c r="AH288" i="1"/>
  <c r="AD288" i="1"/>
  <c r="U321" i="52" s="1"/>
  <c r="AH208" i="1"/>
  <c r="AD208" i="1"/>
  <c r="U236" i="52" s="1"/>
  <c r="AH287" i="1"/>
  <c r="AD287" i="1"/>
  <c r="U320" i="52" s="1"/>
  <c r="AM84" i="1"/>
  <c r="AH281" i="1"/>
  <c r="AH129" i="1"/>
  <c r="AD129" i="1"/>
  <c r="U153" i="52" s="1"/>
  <c r="AH266" i="1"/>
  <c r="AD266" i="1"/>
  <c r="U298" i="52" s="1"/>
  <c r="AH96" i="1"/>
  <c r="AD96" i="1"/>
  <c r="U119" i="52" s="1"/>
  <c r="AH109" i="1"/>
  <c r="AD109" i="1"/>
  <c r="U132" i="52" s="1"/>
  <c r="AB15" i="1"/>
  <c r="BQ67" i="1"/>
  <c r="AM225" i="1"/>
  <c r="AM121" i="1"/>
  <c r="AM104" i="1"/>
  <c r="AM127" i="1"/>
  <c r="AM139" i="1"/>
  <c r="AM90" i="1"/>
  <c r="AM161" i="1"/>
  <c r="AM51" i="1"/>
  <c r="AM133" i="1"/>
  <c r="AM108" i="1"/>
  <c r="AM253" i="1"/>
  <c r="U282" i="52"/>
  <c r="AH52" i="1"/>
  <c r="AD52" i="1"/>
  <c r="U76" i="52" s="1"/>
  <c r="U220" i="52"/>
  <c r="AH247" i="1"/>
  <c r="AD247" i="1"/>
  <c r="U279" i="52" s="1"/>
  <c r="AH85" i="1"/>
  <c r="AD85" i="1"/>
  <c r="U108" i="52" s="1"/>
  <c r="AH250" i="1"/>
  <c r="AD250" i="1"/>
  <c r="U283" i="52" s="1"/>
  <c r="AH197" i="1"/>
  <c r="AD197" i="1"/>
  <c r="U225" i="52" s="1"/>
  <c r="U335" i="52"/>
  <c r="BQ84" i="1"/>
  <c r="BQ253" i="1"/>
  <c r="BQ121" i="1"/>
  <c r="BQ139" i="1"/>
  <c r="BQ90" i="1"/>
  <c r="BQ161" i="1"/>
  <c r="BQ225" i="1"/>
  <c r="BQ104" i="1"/>
  <c r="BQ133" i="1"/>
  <c r="AH44" i="1"/>
  <c r="Q65" i="57" s="1"/>
  <c r="AH19" i="1"/>
  <c r="Q32" i="57" s="1"/>
  <c r="AH21" i="1"/>
  <c r="Q34" i="57" s="1"/>
  <c r="AH24" i="1"/>
  <c r="Q37" i="57" s="1"/>
  <c r="AH25" i="1"/>
  <c r="Q38" i="57" s="1"/>
  <c r="AH27" i="1"/>
  <c r="Q40" i="57" s="1"/>
  <c r="AH28" i="1"/>
  <c r="Q41" i="57" s="1"/>
  <c r="AH30" i="1"/>
  <c r="Q43" i="57" s="1"/>
  <c r="AH32" i="1"/>
  <c r="Q45" i="57" s="1"/>
  <c r="AH34" i="1"/>
  <c r="Q47" i="57" s="1"/>
  <c r="AH41" i="1"/>
  <c r="Q54" i="57" s="1"/>
  <c r="AH45" i="1"/>
  <c r="AH392" i="1"/>
  <c r="Q426" i="57" s="1"/>
  <c r="AH265" i="1"/>
  <c r="AH372" i="1"/>
  <c r="Q406" i="57" s="1"/>
  <c r="AH368" i="1"/>
  <c r="Q402" i="57" s="1"/>
  <c r="AH361" i="1"/>
  <c r="Q395" i="57" s="1"/>
  <c r="AH357" i="1"/>
  <c r="Q391" i="57" s="1"/>
  <c r="AH354" i="1"/>
  <c r="Q388" i="57" s="1"/>
  <c r="AH350" i="1"/>
  <c r="Q384" i="57" s="1"/>
  <c r="AH347" i="1"/>
  <c r="Q381" i="57" s="1"/>
  <c r="AH343" i="1"/>
  <c r="Q377" i="57" s="1"/>
  <c r="AH339" i="1"/>
  <c r="Q373" i="57" s="1"/>
  <c r="AH335" i="1"/>
  <c r="Q369" i="57" s="1"/>
  <c r="AH331" i="1"/>
  <c r="Q365" i="57" s="1"/>
  <c r="AH327" i="1"/>
  <c r="Q361" i="57" s="1"/>
  <c r="AH323" i="1"/>
  <c r="Q357" i="57" s="1"/>
  <c r="AH319" i="1"/>
  <c r="Q353" i="57" s="1"/>
  <c r="AH315" i="1"/>
  <c r="Q349" i="57" s="1"/>
  <c r="AH311" i="1"/>
  <c r="Q345" i="57" s="1"/>
  <c r="AH308" i="1"/>
  <c r="Q342" i="57" s="1"/>
  <c r="AH393" i="1"/>
  <c r="Q427" i="57" s="1"/>
  <c r="AH387" i="1"/>
  <c r="Q421" i="57" s="1"/>
  <c r="AH382" i="1"/>
  <c r="Q416" i="57" s="1"/>
  <c r="AH378" i="1"/>
  <c r="Q412" i="57" s="1"/>
  <c r="AH374" i="1"/>
  <c r="Q408" i="57" s="1"/>
  <c r="AH369" i="1"/>
  <c r="Q403" i="57" s="1"/>
  <c r="AH362" i="1"/>
  <c r="Q396" i="57" s="1"/>
  <c r="AH358" i="1"/>
  <c r="Q392" i="57" s="1"/>
  <c r="AH355" i="1"/>
  <c r="Q389" i="57" s="1"/>
  <c r="AH348" i="1"/>
  <c r="Q382" i="57" s="1"/>
  <c r="AH344" i="1"/>
  <c r="Q378" i="57" s="1"/>
  <c r="AH340" i="1"/>
  <c r="Q374" i="57" s="1"/>
  <c r="AH336" i="1"/>
  <c r="Q370" i="57" s="1"/>
  <c r="AH332" i="1"/>
  <c r="Q366" i="57" s="1"/>
  <c r="AH328" i="1"/>
  <c r="Q362" i="57" s="1"/>
  <c r="AH325" i="1"/>
  <c r="Q359" i="57" s="1"/>
  <c r="AH320" i="1"/>
  <c r="Q354" i="57" s="1"/>
  <c r="AH316" i="1"/>
  <c r="Q350" i="57" s="1"/>
  <c r="AH312" i="1"/>
  <c r="Q346" i="57" s="1"/>
  <c r="AH307" i="1"/>
  <c r="Q341" i="57" s="1"/>
  <c r="AH48" i="1"/>
  <c r="AH50" i="1"/>
  <c r="AH54" i="1"/>
  <c r="AH56" i="1"/>
  <c r="AH61" i="1"/>
  <c r="AH63" i="1"/>
  <c r="AH65" i="1"/>
  <c r="AH68" i="1"/>
  <c r="AH71" i="1"/>
  <c r="AH73" i="1"/>
  <c r="AH75" i="1"/>
  <c r="AH77" i="1"/>
  <c r="AH80" i="1"/>
  <c r="AH82" i="1"/>
  <c r="AH86" i="1"/>
  <c r="AH88" i="1"/>
  <c r="AH93" i="1"/>
  <c r="AH95" i="1"/>
  <c r="AH97" i="1"/>
  <c r="AH99" i="1"/>
  <c r="AH101" i="1"/>
  <c r="AH103" i="1"/>
  <c r="AH107" i="1"/>
  <c r="AH110" i="1"/>
  <c r="AH114" i="1"/>
  <c r="AH116" i="1"/>
  <c r="AH118" i="1"/>
  <c r="AH122" i="1"/>
  <c r="AH125" i="1"/>
  <c r="AH128" i="1"/>
  <c r="AH131" i="1"/>
  <c r="AH132" i="1"/>
  <c r="AH136" i="1"/>
  <c r="AH137" i="1"/>
  <c r="AH141" i="1"/>
  <c r="AH144" i="1"/>
  <c r="AH147" i="1"/>
  <c r="AH149" i="1"/>
  <c r="AH150" i="1"/>
  <c r="AH152" i="1"/>
  <c r="AH154" i="1"/>
  <c r="AH159" i="1"/>
  <c r="AH160" i="1"/>
  <c r="AH165" i="1"/>
  <c r="AH167" i="1"/>
  <c r="AH169" i="1"/>
  <c r="AH171" i="1"/>
  <c r="AH173" i="1"/>
  <c r="AH176" i="1"/>
  <c r="AH178" i="1"/>
  <c r="AH180" i="1"/>
  <c r="AH183" i="1"/>
  <c r="AH186" i="1"/>
  <c r="AH188" i="1"/>
  <c r="AH191" i="1"/>
  <c r="AH194" i="1"/>
  <c r="AH196" i="1"/>
  <c r="AH199" i="1"/>
  <c r="AH203" i="1"/>
  <c r="AH205" i="1"/>
  <c r="AH209" i="1"/>
  <c r="AH213" i="1"/>
  <c r="AH216" i="1"/>
  <c r="AH218" i="1"/>
  <c r="AH223" i="1"/>
  <c r="AH229" i="1"/>
  <c r="AH234" i="1"/>
  <c r="AH236" i="1"/>
  <c r="AH238" i="1"/>
  <c r="AH240" i="1"/>
  <c r="AH243" i="1"/>
  <c r="AH248" i="1"/>
  <c r="AH251" i="1"/>
  <c r="AH262" i="1"/>
  <c r="AH264" i="1"/>
  <c r="AH269" i="1"/>
  <c r="AH272" i="1"/>
  <c r="AH275" i="1"/>
  <c r="AH277" i="1"/>
  <c r="AH280" i="1"/>
  <c r="AH283" i="1"/>
  <c r="AH285" i="1"/>
  <c r="AH291" i="1"/>
  <c r="AH295" i="1"/>
  <c r="AH300" i="1"/>
  <c r="AH396" i="1"/>
  <c r="Q430" i="57" s="1"/>
  <c r="AH373" i="1"/>
  <c r="Q407" i="57" s="1"/>
  <c r="AH365" i="1"/>
  <c r="Q399" i="57" s="1"/>
  <c r="AH36" i="1"/>
  <c r="Q49" i="57" s="1"/>
  <c r="AH278" i="1"/>
  <c r="AH22" i="1"/>
  <c r="Q35" i="57" s="1"/>
  <c r="AH193" i="1"/>
  <c r="AH292" i="1"/>
  <c r="AH293" i="1"/>
  <c r="AH301" i="1"/>
  <c r="AH31" i="1"/>
  <c r="Q44" i="57" s="1"/>
  <c r="AH305" i="1"/>
  <c r="Q339" i="57" s="1"/>
  <c r="AH20" i="1"/>
  <c r="Q33" i="57" s="1"/>
  <c r="AH23" i="1"/>
  <c r="Q36" i="57" s="1"/>
  <c r="AH26" i="1"/>
  <c r="Q39" i="57" s="1"/>
  <c r="AH29" i="1"/>
  <c r="Q42" i="57" s="1"/>
  <c r="AH33" i="1"/>
  <c r="Q46" i="57" s="1"/>
  <c r="AH35" i="1"/>
  <c r="Q48" i="57" s="1"/>
  <c r="AH46" i="1"/>
  <c r="AH394" i="1"/>
  <c r="Q428" i="57" s="1"/>
  <c r="AH388" i="1"/>
  <c r="Q422" i="57" s="1"/>
  <c r="AH383" i="1"/>
  <c r="Q417" i="57" s="1"/>
  <c r="AH379" i="1"/>
  <c r="Q413" i="57" s="1"/>
  <c r="AH375" i="1"/>
  <c r="Q409" i="57" s="1"/>
  <c r="AH370" i="1"/>
  <c r="Q404" i="57" s="1"/>
  <c r="AH366" i="1"/>
  <c r="Q400" i="57" s="1"/>
  <c r="AH359" i="1"/>
  <c r="Q393" i="57" s="1"/>
  <c r="AH356" i="1"/>
  <c r="Q390" i="57" s="1"/>
  <c r="AH352" i="1"/>
  <c r="Q386" i="57" s="1"/>
  <c r="AH349" i="1"/>
  <c r="Q383" i="57" s="1"/>
  <c r="AH345" i="1"/>
  <c r="Q379" i="57" s="1"/>
  <c r="AH341" i="1"/>
  <c r="Q375" i="57" s="1"/>
  <c r="AH337" i="1"/>
  <c r="Q371" i="57" s="1"/>
  <c r="AH333" i="1"/>
  <c r="Q367" i="57" s="1"/>
  <c r="AH329" i="1"/>
  <c r="Q363" i="57" s="1"/>
  <c r="AH321" i="1"/>
  <c r="Q355" i="57" s="1"/>
  <c r="AH317" i="1"/>
  <c r="Q351" i="57" s="1"/>
  <c r="AH313" i="1"/>
  <c r="Q347" i="57" s="1"/>
  <c r="AH310" i="1"/>
  <c r="Q344" i="57" s="1"/>
  <c r="AH306" i="1"/>
  <c r="Q340" i="57" s="1"/>
  <c r="AH389" i="1"/>
  <c r="Q423" i="57" s="1"/>
  <c r="AH385" i="1"/>
  <c r="Q419" i="57" s="1"/>
  <c r="AH380" i="1"/>
  <c r="Q414" i="57" s="1"/>
  <c r="AH376" i="1"/>
  <c r="Q410" i="57" s="1"/>
  <c r="AH371" i="1"/>
  <c r="Q405" i="57" s="1"/>
  <c r="AH367" i="1"/>
  <c r="Q401" i="57" s="1"/>
  <c r="AH360" i="1"/>
  <c r="Q394" i="57" s="1"/>
  <c r="AH353" i="1"/>
  <c r="Q387" i="57" s="1"/>
  <c r="AH342" i="1"/>
  <c r="Q376" i="57" s="1"/>
  <c r="AH338" i="1"/>
  <c r="Q372" i="57" s="1"/>
  <c r="AH334" i="1"/>
  <c r="Q368" i="57" s="1"/>
  <c r="AH330" i="1"/>
  <c r="Q364" i="57" s="1"/>
  <c r="AH326" i="1"/>
  <c r="Q360" i="57" s="1"/>
  <c r="AH322" i="1"/>
  <c r="Q356" i="57" s="1"/>
  <c r="AH318" i="1"/>
  <c r="Q352" i="57" s="1"/>
  <c r="AH314" i="1"/>
  <c r="Q348" i="57" s="1"/>
  <c r="AH309" i="1"/>
  <c r="Q343" i="57" s="1"/>
  <c r="AH47" i="1"/>
  <c r="AH49" i="1"/>
  <c r="AH53" i="1"/>
  <c r="AH55" i="1"/>
  <c r="AH57" i="1"/>
  <c r="AH60" i="1"/>
  <c r="AH62" i="1"/>
  <c r="AH64" i="1"/>
  <c r="AH66" i="1"/>
  <c r="AH69" i="1"/>
  <c r="AH72" i="1"/>
  <c r="AH74" i="1"/>
  <c r="AH76" i="1"/>
  <c r="AH78" i="1"/>
  <c r="AH79" i="1"/>
  <c r="AH81" i="1"/>
  <c r="AH83" i="1"/>
  <c r="AH87" i="1"/>
  <c r="AH89" i="1"/>
  <c r="AH91" i="1"/>
  <c r="AH94" i="1"/>
  <c r="AH98" i="1"/>
  <c r="AH100" i="1"/>
  <c r="AH105" i="1"/>
  <c r="AH106" i="1"/>
  <c r="AH111" i="1"/>
  <c r="AH112" i="1"/>
  <c r="AH115" i="1"/>
  <c r="AH117" i="1"/>
  <c r="AH123" i="1"/>
  <c r="AH124" i="1"/>
  <c r="AH126" i="1"/>
  <c r="AH130" i="1"/>
  <c r="AH135" i="1"/>
  <c r="AH138" i="1"/>
  <c r="AH140" i="1"/>
  <c r="AH142" i="1"/>
  <c r="AH145" i="1"/>
  <c r="AH146" i="1"/>
  <c r="AH148" i="1"/>
  <c r="AH151" i="1"/>
  <c r="AH153" i="1"/>
  <c r="AH156" i="1"/>
  <c r="AH158" i="1"/>
  <c r="AH162" i="1"/>
  <c r="AH164" i="1"/>
  <c r="AH166" i="1"/>
  <c r="AH168" i="1"/>
  <c r="AH172" i="1"/>
  <c r="AH174" i="1"/>
  <c r="AH175" i="1"/>
  <c r="AH177" i="1"/>
  <c r="AH179" i="1"/>
  <c r="AH182" i="1"/>
  <c r="AH185" i="1"/>
  <c r="AH187" i="1"/>
  <c r="AH190" i="1"/>
  <c r="AH192" i="1"/>
  <c r="AH195" i="1"/>
  <c r="AH198" i="1"/>
  <c r="AH202" i="1"/>
  <c r="AH204" i="1"/>
  <c r="AH207" i="1"/>
  <c r="AH210" i="1"/>
  <c r="AH217" i="1"/>
  <c r="AH219" i="1"/>
  <c r="AH224" i="1"/>
  <c r="AH226" i="1"/>
  <c r="AH228" i="1"/>
  <c r="AH231" i="1"/>
  <c r="AH233" i="1"/>
  <c r="AH235" i="1"/>
  <c r="AH237" i="1"/>
  <c r="AH239" i="1"/>
  <c r="AH242" i="1"/>
  <c r="AH244" i="1"/>
  <c r="AH252" i="1"/>
  <c r="AH255" i="1"/>
  <c r="AH256" i="1"/>
  <c r="AH258" i="1"/>
  <c r="AH261" i="1"/>
  <c r="AH263" i="1"/>
  <c r="AH271" i="1"/>
  <c r="AH273" i="1"/>
  <c r="AH276" i="1"/>
  <c r="AH279" i="1"/>
  <c r="AH282" i="1"/>
  <c r="AH284" i="1"/>
  <c r="AH290" i="1"/>
  <c r="AH294" i="1"/>
  <c r="AH296" i="1"/>
  <c r="AH395" i="1"/>
  <c r="Q429" i="57" s="1"/>
  <c r="AH268" i="1"/>
  <c r="AH270" i="1"/>
  <c r="AH254" i="1"/>
  <c r="AH163" i="1"/>
  <c r="AH206" i="1"/>
  <c r="AH298" i="1"/>
  <c r="AH230" i="1"/>
  <c r="AH302" i="1"/>
  <c r="AH232" i="1"/>
  <c r="AH18" i="1"/>
  <c r="Q31" i="57" s="1"/>
  <c r="CP380" i="1"/>
  <c r="CP341" i="1"/>
  <c r="U157" i="52"/>
  <c r="CP349" i="1"/>
  <c r="AD301" i="1"/>
  <c r="U333" i="52" s="1"/>
  <c r="AD31" i="1"/>
  <c r="AD230" i="1"/>
  <c r="U262" i="52" s="1"/>
  <c r="AD302" i="1"/>
  <c r="U334" i="52" s="1"/>
  <c r="AD232" i="1"/>
  <c r="U264" i="52" s="1"/>
  <c r="AD18" i="1"/>
  <c r="AD298" i="1"/>
  <c r="U330" i="52" s="1"/>
  <c r="AD391" i="1"/>
  <c r="U437" i="52" s="1"/>
  <c r="AD206" i="1"/>
  <c r="U234" i="52" s="1"/>
  <c r="AD292" i="1"/>
  <c r="U325" i="52" s="1"/>
  <c r="AD293" i="1"/>
  <c r="U326" i="52" s="1"/>
  <c r="AD193" i="1"/>
  <c r="U221" i="52" s="1"/>
  <c r="AD22" i="1"/>
  <c r="AD254" i="1"/>
  <c r="U287" i="52" s="1"/>
  <c r="AD163" i="1"/>
  <c r="U190" i="52" s="1"/>
  <c r="AD373" i="1"/>
  <c r="AD365" i="1"/>
  <c r="AD36" i="1"/>
  <c r="AD278" i="1"/>
  <c r="U311" i="52" s="1"/>
  <c r="AB42" i="1"/>
  <c r="AB303" i="1"/>
  <c r="AD394" i="1"/>
  <c r="AD388" i="1"/>
  <c r="AD383" i="1"/>
  <c r="AD379" i="1"/>
  <c r="AD375" i="1"/>
  <c r="AD370" i="1"/>
  <c r="AD366" i="1"/>
  <c r="AD359" i="1"/>
  <c r="AD356" i="1"/>
  <c r="AD352" i="1"/>
  <c r="AD349" i="1"/>
  <c r="AD345" i="1"/>
  <c r="AD341" i="1"/>
  <c r="AD337" i="1"/>
  <c r="AD333" i="1"/>
  <c r="AD329" i="1"/>
  <c r="AD321" i="1"/>
  <c r="AD317" i="1"/>
  <c r="AD313" i="1"/>
  <c r="AD310" i="1"/>
  <c r="AD306" i="1"/>
  <c r="AD389" i="1"/>
  <c r="AD385" i="1"/>
  <c r="AD380" i="1"/>
  <c r="AD376" i="1"/>
  <c r="AD371" i="1"/>
  <c r="AD367" i="1"/>
  <c r="AD360" i="1"/>
  <c r="AD353" i="1"/>
  <c r="AD342" i="1"/>
  <c r="AD338" i="1"/>
  <c r="AD334" i="1"/>
  <c r="AD330" i="1"/>
  <c r="AD326" i="1"/>
  <c r="AD322" i="1"/>
  <c r="AD318" i="1"/>
  <c r="AD314" i="1"/>
  <c r="AD307" i="1"/>
  <c r="AD49" i="1"/>
  <c r="U73" i="52" s="1"/>
  <c r="AD53" i="1"/>
  <c r="U77" i="52" s="1"/>
  <c r="AD55" i="1"/>
  <c r="U79" i="52" s="1"/>
  <c r="AD57" i="1"/>
  <c r="U81" i="52" s="1"/>
  <c r="AD60" i="1"/>
  <c r="U84" i="52" s="1"/>
  <c r="AD62" i="1"/>
  <c r="U86" i="52" s="1"/>
  <c r="AD64" i="1"/>
  <c r="U88" i="52" s="1"/>
  <c r="AD66" i="1"/>
  <c r="U90" i="52" s="1"/>
  <c r="AD69" i="1"/>
  <c r="U93" i="52" s="1"/>
  <c r="AD72" i="1"/>
  <c r="U95" i="52" s="1"/>
  <c r="AD74" i="1"/>
  <c r="U97" i="52" s="1"/>
  <c r="AD76" i="1"/>
  <c r="U99" i="52" s="1"/>
  <c r="AD78" i="1"/>
  <c r="U101" i="52" s="1"/>
  <c r="AD79" i="1"/>
  <c r="U102" i="52" s="1"/>
  <c r="AD81" i="1"/>
  <c r="U104" i="52" s="1"/>
  <c r="AD87" i="1"/>
  <c r="U110" i="52" s="1"/>
  <c r="AD89" i="1"/>
  <c r="U112" i="52" s="1"/>
  <c r="AD91" i="1"/>
  <c r="U114" i="52" s="1"/>
  <c r="AD94" i="1"/>
  <c r="U117" i="52" s="1"/>
  <c r="AD98" i="1"/>
  <c r="U121" i="52" s="1"/>
  <c r="AD100" i="1"/>
  <c r="U123" i="52" s="1"/>
  <c r="AD107" i="1"/>
  <c r="U130" i="52" s="1"/>
  <c r="AD110" i="1"/>
  <c r="U134" i="52" s="1"/>
  <c r="AD114" i="1"/>
  <c r="U138" i="52" s="1"/>
  <c r="AD116" i="1"/>
  <c r="U140" i="52" s="1"/>
  <c r="AD118" i="1"/>
  <c r="U142" i="52" s="1"/>
  <c r="AD123" i="1"/>
  <c r="U147" i="52" s="1"/>
  <c r="AD124" i="1"/>
  <c r="U148" i="52" s="1"/>
  <c r="AD126" i="1"/>
  <c r="U150" i="52" s="1"/>
  <c r="AD130" i="1"/>
  <c r="U155" i="52" s="1"/>
  <c r="AD135" i="1"/>
  <c r="U161" i="52" s="1"/>
  <c r="AD137" i="1"/>
  <c r="U164" i="52" s="1"/>
  <c r="AD141" i="1"/>
  <c r="U168" i="52" s="1"/>
  <c r="AD144" i="1"/>
  <c r="U170" i="52" s="1"/>
  <c r="AD147" i="1"/>
  <c r="U173" i="52" s="1"/>
  <c r="AD149" i="1"/>
  <c r="U175" i="52" s="1"/>
  <c r="AD151" i="1"/>
  <c r="U178" i="52" s="1"/>
  <c r="AD153" i="1"/>
  <c r="U180" i="52" s="1"/>
  <c r="AD156" i="1"/>
  <c r="U183" i="52" s="1"/>
  <c r="AD159" i="1"/>
  <c r="U186" i="52" s="1"/>
  <c r="AD164" i="1"/>
  <c r="U191" i="52" s="1"/>
  <c r="AD165" i="1"/>
  <c r="U192" i="52" s="1"/>
  <c r="AD168" i="1"/>
  <c r="U195" i="52" s="1"/>
  <c r="AD172" i="1"/>
  <c r="U199" i="52" s="1"/>
  <c r="AD174" i="1"/>
  <c r="U201" i="52" s="1"/>
  <c r="AD175" i="1"/>
  <c r="U202" i="52" s="1"/>
  <c r="AD177" i="1"/>
  <c r="U205" i="52" s="1"/>
  <c r="AD179" i="1"/>
  <c r="U207" i="52" s="1"/>
  <c r="AD182" i="1"/>
  <c r="U210" i="52" s="1"/>
  <c r="AD185" i="1"/>
  <c r="U213" i="52" s="1"/>
  <c r="AD187" i="1"/>
  <c r="U215" i="52" s="1"/>
  <c r="AD190" i="1"/>
  <c r="U217" i="52" s="1"/>
  <c r="AD192" i="1"/>
  <c r="U219" i="52" s="1"/>
  <c r="AD195" i="1"/>
  <c r="U223" i="52" s="1"/>
  <c r="AD198" i="1"/>
  <c r="U226" i="52" s="1"/>
  <c r="AD202" i="1"/>
  <c r="U230" i="52" s="1"/>
  <c r="AD204" i="1"/>
  <c r="U232" i="52" s="1"/>
  <c r="U237" i="52"/>
  <c r="AD210" i="1"/>
  <c r="U240" i="52" s="1"/>
  <c r="AD213" i="1"/>
  <c r="U243" i="52" s="1"/>
  <c r="AD216" i="1"/>
  <c r="U246" i="52" s="1"/>
  <c r="AD218" i="1"/>
  <c r="U248" i="52" s="1"/>
  <c r="AD223" i="1"/>
  <c r="U253" i="52" s="1"/>
  <c r="U255" i="52"/>
  <c r="AD226" i="1"/>
  <c r="U257" i="52" s="1"/>
  <c r="AD228" i="1"/>
  <c r="U260" i="52" s="1"/>
  <c r="AD231" i="1"/>
  <c r="U263" i="52" s="1"/>
  <c r="AD233" i="1"/>
  <c r="U265" i="52" s="1"/>
  <c r="AD235" i="1"/>
  <c r="U267" i="52" s="1"/>
  <c r="AD237" i="1"/>
  <c r="U269" i="52" s="1"/>
  <c r="AD239" i="1"/>
  <c r="U272" i="52" s="1"/>
  <c r="AD240" i="1"/>
  <c r="U273" i="52" s="1"/>
  <c r="AD243" i="1"/>
  <c r="U276" i="52" s="1"/>
  <c r="AD248" i="1"/>
  <c r="U280" i="52" s="1"/>
  <c r="AD252" i="1"/>
  <c r="U285" i="52" s="1"/>
  <c r="AD255" i="1"/>
  <c r="U288" i="52" s="1"/>
  <c r="AD256" i="1"/>
  <c r="U289" i="52" s="1"/>
  <c r="AD261" i="1"/>
  <c r="U292" i="52" s="1"/>
  <c r="AD263" i="1"/>
  <c r="U294" i="52" s="1"/>
  <c r="AD264" i="1"/>
  <c r="U295" i="52" s="1"/>
  <c r="AD269" i="1"/>
  <c r="U301" i="52" s="1"/>
  <c r="AD272" i="1"/>
  <c r="U305" i="52" s="1"/>
  <c r="AD275" i="1"/>
  <c r="U308" i="52" s="1"/>
  <c r="AD277" i="1"/>
  <c r="U310" i="52" s="1"/>
  <c r="AD280" i="1"/>
  <c r="U313" i="52" s="1"/>
  <c r="AD283" i="1"/>
  <c r="U316" i="52" s="1"/>
  <c r="AD285" i="1"/>
  <c r="U318" i="52" s="1"/>
  <c r="AD290" i="1"/>
  <c r="U323" i="52" s="1"/>
  <c r="AD294" i="1"/>
  <c r="U327" i="52" s="1"/>
  <c r="AD295" i="1"/>
  <c r="U328" i="52" s="1"/>
  <c r="U332" i="52"/>
  <c r="AD395" i="1"/>
  <c r="AD392" i="1"/>
  <c r="AD265" i="1"/>
  <c r="U297" i="52" s="1"/>
  <c r="AD372" i="1"/>
  <c r="AD368" i="1"/>
  <c r="AD361" i="1"/>
  <c r="AD357" i="1"/>
  <c r="AD354" i="1"/>
  <c r="AD350" i="1"/>
  <c r="AD347" i="1"/>
  <c r="AD343" i="1"/>
  <c r="AD339" i="1"/>
  <c r="AD335" i="1"/>
  <c r="AD331" i="1"/>
  <c r="AD327" i="1"/>
  <c r="AD323" i="1"/>
  <c r="AD319" i="1"/>
  <c r="AD315" i="1"/>
  <c r="AD311" i="1"/>
  <c r="AD308" i="1"/>
  <c r="AD393" i="1"/>
  <c r="AD387" i="1"/>
  <c r="AD382" i="1"/>
  <c r="AD378" i="1"/>
  <c r="AD374" i="1"/>
  <c r="AD369" i="1"/>
  <c r="AD362" i="1"/>
  <c r="AD358" i="1"/>
  <c r="AD355" i="1"/>
  <c r="AD348" i="1"/>
  <c r="AD344" i="1"/>
  <c r="AD340" i="1"/>
  <c r="AD336" i="1"/>
  <c r="BF336" i="1" s="1"/>
  <c r="AD332" i="1"/>
  <c r="AD328" i="1"/>
  <c r="AD325" i="1"/>
  <c r="AD320" i="1"/>
  <c r="AD316" i="1"/>
  <c r="AD312" i="1"/>
  <c r="AD309" i="1"/>
  <c r="AD47" i="1"/>
  <c r="U71" i="52" s="1"/>
  <c r="AD48" i="1"/>
  <c r="U72" i="52" s="1"/>
  <c r="AD50" i="1"/>
  <c r="U74" i="52" s="1"/>
  <c r="AD54" i="1"/>
  <c r="U78" i="52" s="1"/>
  <c r="AD56" i="1"/>
  <c r="U80" i="52" s="1"/>
  <c r="AD61" i="1"/>
  <c r="U85" i="52" s="1"/>
  <c r="AD63" i="1"/>
  <c r="U87" i="52" s="1"/>
  <c r="AD65" i="1"/>
  <c r="U89" i="52" s="1"/>
  <c r="AD68" i="1"/>
  <c r="U92" i="52" s="1"/>
  <c r="AD71" i="1"/>
  <c r="U94" i="52" s="1"/>
  <c r="AD73" i="1"/>
  <c r="U96" i="52" s="1"/>
  <c r="AD75" i="1"/>
  <c r="U98" i="52" s="1"/>
  <c r="AD77" i="1"/>
  <c r="U100" i="52" s="1"/>
  <c r="AD80" i="1"/>
  <c r="U103" i="52" s="1"/>
  <c r="AD82" i="1"/>
  <c r="U105" i="52" s="1"/>
  <c r="AD83" i="1"/>
  <c r="U106" i="52" s="1"/>
  <c r="AD86" i="1"/>
  <c r="U109" i="52" s="1"/>
  <c r="AD88" i="1"/>
  <c r="U111" i="52" s="1"/>
  <c r="AD93" i="1"/>
  <c r="U116" i="52" s="1"/>
  <c r="AD95" i="1"/>
  <c r="U118" i="52" s="1"/>
  <c r="AD97" i="1"/>
  <c r="U120" i="52" s="1"/>
  <c r="AD99" i="1"/>
  <c r="U122" i="52" s="1"/>
  <c r="AD101" i="1"/>
  <c r="U124" i="52" s="1"/>
  <c r="AD103" i="1"/>
  <c r="U126" i="52" s="1"/>
  <c r="AD105" i="1"/>
  <c r="U128" i="52" s="1"/>
  <c r="AD106" i="1"/>
  <c r="U129" i="52" s="1"/>
  <c r="AD111" i="1"/>
  <c r="U135" i="52" s="1"/>
  <c r="AD112" i="1"/>
  <c r="U136" i="52" s="1"/>
  <c r="AD115" i="1"/>
  <c r="U139" i="52" s="1"/>
  <c r="AD117" i="1"/>
  <c r="U141" i="52" s="1"/>
  <c r="AD122" i="1"/>
  <c r="U146" i="52" s="1"/>
  <c r="AD125" i="1"/>
  <c r="U149" i="52" s="1"/>
  <c r="AD128" i="1"/>
  <c r="U152" i="52" s="1"/>
  <c r="AD131" i="1"/>
  <c r="U156" i="52" s="1"/>
  <c r="AD132" i="1"/>
  <c r="U158" i="52" s="1"/>
  <c r="AD136" i="1"/>
  <c r="U162" i="52" s="1"/>
  <c r="U163" i="52"/>
  <c r="AD138" i="1"/>
  <c r="U165" i="52" s="1"/>
  <c r="AD140" i="1"/>
  <c r="U167" i="52" s="1"/>
  <c r="AD142" i="1"/>
  <c r="U169" i="52" s="1"/>
  <c r="AD145" i="1"/>
  <c r="U171" i="52" s="1"/>
  <c r="AD146" i="1"/>
  <c r="U172" i="52" s="1"/>
  <c r="AD148" i="1"/>
  <c r="U174" i="52" s="1"/>
  <c r="U176" i="52"/>
  <c r="AD150" i="1"/>
  <c r="U177" i="52" s="1"/>
  <c r="AD152" i="1"/>
  <c r="U179" i="52" s="1"/>
  <c r="AD154" i="1"/>
  <c r="U181" i="52" s="1"/>
  <c r="AD158" i="1"/>
  <c r="U185" i="52" s="1"/>
  <c r="AD162" i="1"/>
  <c r="U189" i="52" s="1"/>
  <c r="AD160" i="1"/>
  <c r="U187" i="52" s="1"/>
  <c r="AD166" i="1"/>
  <c r="U193" i="52" s="1"/>
  <c r="AD167" i="1"/>
  <c r="U194" i="52" s="1"/>
  <c r="AD169" i="1"/>
  <c r="U196" i="52" s="1"/>
  <c r="AD171" i="1"/>
  <c r="U198" i="52" s="1"/>
  <c r="AD173" i="1"/>
  <c r="U200" i="52" s="1"/>
  <c r="AD176" i="1"/>
  <c r="U203" i="52" s="1"/>
  <c r="AD178" i="1"/>
  <c r="U206" i="52" s="1"/>
  <c r="AD180" i="1"/>
  <c r="U208" i="52" s="1"/>
  <c r="AD183" i="1"/>
  <c r="U211" i="52" s="1"/>
  <c r="AD186" i="1"/>
  <c r="U214" i="52" s="1"/>
  <c r="AD188" i="1"/>
  <c r="U216" i="52" s="1"/>
  <c r="AD191" i="1"/>
  <c r="U218" i="52" s="1"/>
  <c r="AD194" i="1"/>
  <c r="U222" i="52" s="1"/>
  <c r="AD196" i="1"/>
  <c r="U224" i="52" s="1"/>
  <c r="AD199" i="1"/>
  <c r="U227" i="52" s="1"/>
  <c r="AD203" i="1"/>
  <c r="U231" i="52" s="1"/>
  <c r="AD205" i="1"/>
  <c r="U233" i="52" s="1"/>
  <c r="AD207" i="1"/>
  <c r="U235" i="52" s="1"/>
  <c r="U238" i="52"/>
  <c r="AD209" i="1"/>
  <c r="U239" i="52" s="1"/>
  <c r="AD217" i="1"/>
  <c r="U247" i="52" s="1"/>
  <c r="AD219" i="1"/>
  <c r="U249" i="52" s="1"/>
  <c r="AD224" i="1"/>
  <c r="U254" i="52" s="1"/>
  <c r="U258" i="52"/>
  <c r="AD229" i="1"/>
  <c r="U261" i="52" s="1"/>
  <c r="AD234" i="1"/>
  <c r="U266" i="52" s="1"/>
  <c r="AD236" i="1"/>
  <c r="U268" i="52" s="1"/>
  <c r="AD238" i="1"/>
  <c r="U271" i="52" s="1"/>
  <c r="AD242" i="1"/>
  <c r="U275" i="52" s="1"/>
  <c r="AD244" i="1"/>
  <c r="U277" i="52" s="1"/>
  <c r="AD251" i="1"/>
  <c r="U284" i="52" s="1"/>
  <c r="AD258" i="1"/>
  <c r="U291" i="52" s="1"/>
  <c r="AD262" i="1"/>
  <c r="U293" i="52" s="1"/>
  <c r="AD271" i="1"/>
  <c r="U303" i="52" s="1"/>
  <c r="AD273" i="1"/>
  <c r="U306" i="52" s="1"/>
  <c r="AD276" i="1"/>
  <c r="U309" i="52" s="1"/>
  <c r="AD279" i="1"/>
  <c r="U312" i="52" s="1"/>
  <c r="AD282" i="1"/>
  <c r="U315" i="52" s="1"/>
  <c r="AD284" i="1"/>
  <c r="U317" i="52" s="1"/>
  <c r="AD291" i="1"/>
  <c r="U324" i="52" s="1"/>
  <c r="AD296" i="1"/>
  <c r="U329" i="52" s="1"/>
  <c r="AD300" i="1"/>
  <c r="U331" i="52" s="1"/>
  <c r="AD396" i="1"/>
  <c r="AD268" i="1"/>
  <c r="U300" i="52" s="1"/>
  <c r="AD270" i="1"/>
  <c r="U302" i="52" s="1"/>
  <c r="AD19" i="1"/>
  <c r="AD21" i="1"/>
  <c r="AD24" i="1"/>
  <c r="AD25" i="1"/>
  <c r="AD29" i="1"/>
  <c r="AD33" i="1"/>
  <c r="AD35" i="1"/>
  <c r="AD17" i="1"/>
  <c r="U33" i="52" s="1"/>
  <c r="AD20" i="1"/>
  <c r="AD23" i="1"/>
  <c r="AD26" i="1"/>
  <c r="AD27" i="1"/>
  <c r="AD28" i="1"/>
  <c r="AD30" i="1"/>
  <c r="AD32" i="1"/>
  <c r="AD34" i="1"/>
  <c r="AD41" i="1"/>
  <c r="AB397" i="1"/>
  <c r="DQ38" i="1"/>
  <c r="AX38" i="1"/>
  <c r="Y54" i="58" l="1"/>
  <c r="AD54" i="58" s="1"/>
  <c r="CC38" i="1"/>
  <c r="U197" i="52"/>
  <c r="Q55" i="57"/>
  <c r="AI346" i="1"/>
  <c r="Q380" i="57"/>
  <c r="AI189" i="1"/>
  <c r="AK143" i="1"/>
  <c r="AK384" i="1"/>
  <c r="S418" i="57"/>
  <c r="AK364" i="1"/>
  <c r="S398" i="57"/>
  <c r="AK70" i="1"/>
  <c r="AK39" i="1"/>
  <c r="AK40" i="1"/>
  <c r="BF152" i="1"/>
  <c r="AI220" i="1"/>
  <c r="AE220" i="1"/>
  <c r="AJ220" i="1"/>
  <c r="AE143" i="1"/>
  <c r="AU143" i="1" s="1"/>
  <c r="AI143" i="1"/>
  <c r="AL143" i="1"/>
  <c r="AE40" i="1"/>
  <c r="AU40" i="1" s="1"/>
  <c r="AL70" i="1"/>
  <c r="BS40" i="1"/>
  <c r="AI40" i="1"/>
  <c r="AL40" i="1"/>
  <c r="AJ189" i="1"/>
  <c r="AE70" i="1"/>
  <c r="AI70" i="1"/>
  <c r="AE39" i="1"/>
  <c r="AU39" i="1" s="1"/>
  <c r="AI39" i="1"/>
  <c r="AL39" i="1"/>
  <c r="AE189" i="1"/>
  <c r="BF364" i="1"/>
  <c r="AE346" i="1"/>
  <c r="AU346" i="1" s="1"/>
  <c r="AJ346" i="1"/>
  <c r="AE384" i="1"/>
  <c r="AU384" i="1" s="1"/>
  <c r="AI384" i="1"/>
  <c r="AL384" i="1"/>
  <c r="AE364" i="1"/>
  <c r="AU364" i="1" s="1"/>
  <c r="AI364" i="1"/>
  <c r="AL364" i="1"/>
  <c r="AW259" i="1"/>
  <c r="AI286" i="1"/>
  <c r="AI38" i="1"/>
  <c r="AI246" i="1"/>
  <c r="AK260" i="1"/>
  <c r="AI259" i="1"/>
  <c r="BV51" i="1"/>
  <c r="BW51" i="1" s="1"/>
  <c r="AK286" i="1"/>
  <c r="AK246" i="1"/>
  <c r="AE260" i="1"/>
  <c r="AI260" i="1"/>
  <c r="AL260" i="1"/>
  <c r="AJ259" i="1"/>
  <c r="CQ38" i="1"/>
  <c r="BN38" i="1"/>
  <c r="BB38" i="1"/>
  <c r="BA38" i="1"/>
  <c r="BX38" i="1" s="1"/>
  <c r="BZ38" i="1" s="1"/>
  <c r="BR38" i="1"/>
  <c r="BM38" i="1"/>
  <c r="BS38" i="1"/>
  <c r="BL38" i="1"/>
  <c r="AE286" i="1"/>
  <c r="AU286" i="1" s="1"/>
  <c r="AE246" i="1"/>
  <c r="AU246" i="1" s="1"/>
  <c r="AL286" i="1"/>
  <c r="AJ38" i="1"/>
  <c r="S51" i="57" s="1"/>
  <c r="AL246" i="1"/>
  <c r="CK253" i="1"/>
  <c r="CK133" i="1"/>
  <c r="CK161" i="1"/>
  <c r="CK139" i="1"/>
  <c r="CK104" i="1"/>
  <c r="CK225" i="1"/>
  <c r="CK84" i="1"/>
  <c r="CK119" i="1"/>
  <c r="CK67" i="1"/>
  <c r="CK108" i="1"/>
  <c r="CK51" i="1"/>
  <c r="CK90" i="1"/>
  <c r="CK127" i="1"/>
  <c r="CK121" i="1"/>
  <c r="CK257" i="1"/>
  <c r="CK59" i="1"/>
  <c r="CG59" i="1"/>
  <c r="CG257" i="1"/>
  <c r="CG67" i="1"/>
  <c r="CG127" i="1"/>
  <c r="CG161" i="1"/>
  <c r="CG84" i="1"/>
  <c r="CG253" i="1"/>
  <c r="CG133" i="1"/>
  <c r="CG104" i="1"/>
  <c r="CG119" i="1"/>
  <c r="CG51" i="1"/>
  <c r="CG139" i="1"/>
  <c r="CG90" i="1"/>
  <c r="CG121" i="1"/>
  <c r="CG225" i="1"/>
  <c r="AJ245" i="1"/>
  <c r="AI155" i="1"/>
  <c r="AK297" i="1"/>
  <c r="AK381" i="1"/>
  <c r="AI289" i="1"/>
  <c r="AI267" i="1"/>
  <c r="AI221" i="1"/>
  <c r="BV257" i="1"/>
  <c r="BW257" i="1" s="1"/>
  <c r="AE381" i="1"/>
  <c r="AI381" i="1"/>
  <c r="AL381" i="1"/>
  <c r="U299" i="52"/>
  <c r="AL297" i="1"/>
  <c r="AE297" i="1"/>
  <c r="AU297" i="1" s="1"/>
  <c r="AI297" i="1"/>
  <c r="BV59" i="1"/>
  <c r="BW59" i="1" s="1"/>
  <c r="AJ155" i="1"/>
  <c r="AI17" i="1"/>
  <c r="R33" i="58" s="1"/>
  <c r="AE245" i="1"/>
  <c r="AW245" i="1" s="1"/>
  <c r="BV127" i="1"/>
  <c r="BW127" i="1" s="1"/>
  <c r="AJ281" i="1"/>
  <c r="U314" i="52"/>
  <c r="U319" i="52"/>
  <c r="U270" i="52"/>
  <c r="AE221" i="1"/>
  <c r="AW221" i="1" s="1"/>
  <c r="U251" i="52"/>
  <c r="AE267" i="1"/>
  <c r="AW267" i="1" s="1"/>
  <c r="AJ267" i="1"/>
  <c r="AI391" i="1"/>
  <c r="AI245" i="1"/>
  <c r="AJ221" i="1"/>
  <c r="S58" i="52"/>
  <c r="U52" i="52"/>
  <c r="U48" i="52"/>
  <c r="U45" i="52"/>
  <c r="U39" i="52"/>
  <c r="U51" i="52"/>
  <c r="U43" i="52"/>
  <c r="U37" i="52"/>
  <c r="U443" i="52"/>
  <c r="U356" i="52"/>
  <c r="U363" i="52"/>
  <c r="U372" i="52"/>
  <c r="U379" i="52"/>
  <c r="U387" i="52"/>
  <c r="U394" i="52"/>
  <c r="U403" i="52"/>
  <c r="U411" i="52"/>
  <c r="U422" i="52"/>
  <c r="U429" i="52"/>
  <c r="U439" i="52"/>
  <c r="U358" i="52"/>
  <c r="U366" i="52"/>
  <c r="U374" i="52"/>
  <c r="U382" i="52"/>
  <c r="U390" i="52"/>
  <c r="U397" i="52"/>
  <c r="U406" i="52"/>
  <c r="U416" i="52"/>
  <c r="U442" i="52"/>
  <c r="U361" i="52"/>
  <c r="U369" i="52"/>
  <c r="U377" i="52"/>
  <c r="U385" i="52"/>
  <c r="U396" i="52"/>
  <c r="U405" i="52"/>
  <c r="U415" i="52"/>
  <c r="U424" i="52"/>
  <c r="U431" i="52"/>
  <c r="U353" i="52"/>
  <c r="U360" i="52"/>
  <c r="U368" i="52"/>
  <c r="U380" i="52"/>
  <c r="U388" i="52"/>
  <c r="U395" i="52"/>
  <c r="U404" i="52"/>
  <c r="U414" i="52"/>
  <c r="U423" i="52"/>
  <c r="U430" i="52"/>
  <c r="U441" i="52"/>
  <c r="U413" i="52"/>
  <c r="U38" i="52"/>
  <c r="U57" i="52"/>
  <c r="U398" i="52"/>
  <c r="BF386" i="1"/>
  <c r="U432" i="52"/>
  <c r="BF324" i="1"/>
  <c r="U371" i="52"/>
  <c r="U436" i="52"/>
  <c r="S336" i="52"/>
  <c r="U56" i="52"/>
  <c r="U50" i="52"/>
  <c r="U46" i="52"/>
  <c r="U44" i="52"/>
  <c r="U36" i="52"/>
  <c r="U53" i="52"/>
  <c r="U47" i="52"/>
  <c r="U40" i="52"/>
  <c r="U35" i="52"/>
  <c r="U359" i="52"/>
  <c r="U367" i="52"/>
  <c r="U375" i="52"/>
  <c r="U383" i="52"/>
  <c r="U391" i="52"/>
  <c r="U399" i="52"/>
  <c r="U407" i="52"/>
  <c r="U417" i="52"/>
  <c r="U426" i="52"/>
  <c r="U433" i="52"/>
  <c r="U355" i="52"/>
  <c r="U362" i="52"/>
  <c r="U370" i="52"/>
  <c r="U378" i="52"/>
  <c r="U386" i="52"/>
  <c r="U393" i="52"/>
  <c r="U402" i="52"/>
  <c r="U410" i="52"/>
  <c r="U420" i="52"/>
  <c r="U438" i="52"/>
  <c r="U354" i="52"/>
  <c r="U365" i="52"/>
  <c r="U373" i="52"/>
  <c r="U381" i="52"/>
  <c r="U389" i="52"/>
  <c r="U401" i="52"/>
  <c r="U409" i="52"/>
  <c r="U419" i="52"/>
  <c r="U428" i="52"/>
  <c r="U435" i="52"/>
  <c r="U357" i="52"/>
  <c r="U364" i="52"/>
  <c r="U376" i="52"/>
  <c r="U384" i="52"/>
  <c r="U392" i="52"/>
  <c r="U400" i="52"/>
  <c r="U408" i="52"/>
  <c r="U418" i="52"/>
  <c r="U427" i="52"/>
  <c r="U434" i="52"/>
  <c r="U440" i="52"/>
  <c r="U54" i="52"/>
  <c r="U421" i="52"/>
  <c r="U34" i="52"/>
  <c r="U49" i="52"/>
  <c r="S444" i="52"/>
  <c r="BV119" i="1"/>
  <c r="CS119" i="1" s="1"/>
  <c r="AJ289" i="1"/>
  <c r="AE289" i="1"/>
  <c r="AE281" i="1"/>
  <c r="AU281" i="1" s="1"/>
  <c r="AE155" i="1"/>
  <c r="AU155" i="1" s="1"/>
  <c r="AJ17" i="1"/>
  <c r="S30" i="57" s="1"/>
  <c r="T43" i="57" s="1"/>
  <c r="BF251" i="1"/>
  <c r="AJ283" i="1"/>
  <c r="BD240" i="1"/>
  <c r="BD303" i="1" s="1"/>
  <c r="AJ197" i="1"/>
  <c r="AJ85" i="1"/>
  <c r="AE247" i="1"/>
  <c r="AW247" i="1" s="1"/>
  <c r="AJ52" i="1"/>
  <c r="AE129" i="1"/>
  <c r="AU129" i="1" s="1"/>
  <c r="AE287" i="1"/>
  <c r="AW287" i="1" s="1"/>
  <c r="AJ241" i="1"/>
  <c r="AE102" i="1"/>
  <c r="AU102" i="1" s="1"/>
  <c r="Y304" i="52"/>
  <c r="AJ274" i="1"/>
  <c r="AJ391" i="1"/>
  <c r="S425" i="57" s="1"/>
  <c r="AJ266" i="1"/>
  <c r="AE208" i="1"/>
  <c r="AW208" i="1" s="1"/>
  <c r="AE288" i="1"/>
  <c r="AW288" i="1" s="1"/>
  <c r="AE157" i="1"/>
  <c r="AU157" i="1" s="1"/>
  <c r="AE222" i="1"/>
  <c r="AW222" i="1" s="1"/>
  <c r="AE200" i="1"/>
  <c r="AW200" i="1" s="1"/>
  <c r="AE227" i="1"/>
  <c r="AW227" i="1" s="1"/>
  <c r="AJ201" i="1"/>
  <c r="AJ215" i="1"/>
  <c r="AJ214" i="1"/>
  <c r="AJ377" i="1"/>
  <c r="S411" i="57" s="1"/>
  <c r="AJ37" i="1"/>
  <c r="S50" i="57" s="1"/>
  <c r="AJ249" i="1"/>
  <c r="AJ92" i="1"/>
  <c r="BF363" i="1"/>
  <c r="AJ58" i="1"/>
  <c r="AJ386" i="1"/>
  <c r="S420" i="57" s="1"/>
  <c r="AJ120" i="1"/>
  <c r="AJ324" i="1"/>
  <c r="S358" i="57" s="1"/>
  <c r="AI363" i="1"/>
  <c r="AE386" i="1"/>
  <c r="AU386" i="1" s="1"/>
  <c r="AI58" i="1"/>
  <c r="AI120" i="1"/>
  <c r="AI212" i="1"/>
  <c r="AI324" i="1"/>
  <c r="AI390" i="1"/>
  <c r="AE58" i="1"/>
  <c r="AU58" i="1" s="1"/>
  <c r="AE120" i="1"/>
  <c r="AU120" i="1" s="1"/>
  <c r="AE324" i="1"/>
  <c r="AU324" i="1" s="1"/>
  <c r="AI386" i="1"/>
  <c r="AE212" i="1"/>
  <c r="AJ212" i="1"/>
  <c r="AE390" i="1"/>
  <c r="AU390" i="1" s="1"/>
  <c r="AJ390" i="1"/>
  <c r="S424" i="57" s="1"/>
  <c r="AE363" i="1"/>
  <c r="AU363" i="1" s="1"/>
  <c r="AJ363" i="1"/>
  <c r="S397" i="57" s="1"/>
  <c r="AE92" i="1"/>
  <c r="AI92" i="1"/>
  <c r="BW108" i="1"/>
  <c r="AE377" i="1"/>
  <c r="AW377" i="1" s="1"/>
  <c r="AE37" i="1"/>
  <c r="AU37" i="1" s="1"/>
  <c r="AI377" i="1"/>
  <c r="AI37" i="1"/>
  <c r="AE249" i="1"/>
  <c r="AI249" i="1"/>
  <c r="Y133" i="52"/>
  <c r="BV67" i="1"/>
  <c r="BW67" i="1" s="1"/>
  <c r="BV161" i="1"/>
  <c r="BW161" i="1" s="1"/>
  <c r="BV139" i="1"/>
  <c r="CS139" i="1" s="1"/>
  <c r="BV90" i="1"/>
  <c r="BW90" i="1" s="1"/>
  <c r="BV253" i="1"/>
  <c r="CS253" i="1" s="1"/>
  <c r="BV84" i="1"/>
  <c r="CS84" i="1" s="1"/>
  <c r="BV133" i="1"/>
  <c r="BW133" i="1" s="1"/>
  <c r="BV104" i="1"/>
  <c r="CS104" i="1" s="1"/>
  <c r="BV121" i="1"/>
  <c r="BW121" i="1" s="1"/>
  <c r="BV225" i="1"/>
  <c r="CS225" i="1" s="1"/>
  <c r="AE201" i="1"/>
  <c r="AW201" i="1" s="1"/>
  <c r="AI201" i="1"/>
  <c r="AJ134" i="1"/>
  <c r="AE134" i="1"/>
  <c r="AU134" i="1" s="1"/>
  <c r="AI134" i="1"/>
  <c r="AE215" i="1"/>
  <c r="AW215" i="1" s="1"/>
  <c r="AI215" i="1"/>
  <c r="AE214" i="1"/>
  <c r="AU214" i="1" s="1"/>
  <c r="AI214" i="1"/>
  <c r="AE274" i="1"/>
  <c r="AI274" i="1"/>
  <c r="AE351" i="1"/>
  <c r="AU351" i="1" s="1"/>
  <c r="BF351" i="1"/>
  <c r="AI351" i="1"/>
  <c r="AJ211" i="1"/>
  <c r="AI222" i="1"/>
  <c r="AI200" i="1"/>
  <c r="AI227" i="1"/>
  <c r="AI113" i="1"/>
  <c r="AI102" i="1"/>
  <c r="AE241" i="1"/>
  <c r="AU241" i="1" s="1"/>
  <c r="AJ113" i="1"/>
  <c r="AJ102" i="1"/>
  <c r="AE184" i="1"/>
  <c r="AU184" i="1" s="1"/>
  <c r="AJ184" i="1"/>
  <c r="AI241" i="1"/>
  <c r="AE211" i="1"/>
  <c r="AI184" i="1"/>
  <c r="AE113" i="1"/>
  <c r="AI211" i="1"/>
  <c r="AJ222" i="1"/>
  <c r="AJ200" i="1"/>
  <c r="AJ351" i="1"/>
  <c r="S385" i="57" s="1"/>
  <c r="AJ227" i="1"/>
  <c r="AI287" i="1"/>
  <c r="AI157" i="1"/>
  <c r="AI181" i="1"/>
  <c r="AI208" i="1"/>
  <c r="AJ181" i="1"/>
  <c r="AJ157" i="1"/>
  <c r="AE181" i="1"/>
  <c r="AJ287" i="1"/>
  <c r="AJ208" i="1"/>
  <c r="AI288" i="1"/>
  <c r="AJ288" i="1"/>
  <c r="AI281" i="1"/>
  <c r="AI129" i="1"/>
  <c r="AJ129" i="1"/>
  <c r="AE96" i="1"/>
  <c r="AW96" i="1" s="1"/>
  <c r="AE266" i="1"/>
  <c r="AU266" i="1" s="1"/>
  <c r="AI266" i="1"/>
  <c r="AJ96" i="1"/>
  <c r="AH15" i="1"/>
  <c r="AI96" i="1"/>
  <c r="AJ109" i="1"/>
  <c r="AE109" i="1"/>
  <c r="AU109" i="1" s="1"/>
  <c r="AI109" i="1"/>
  <c r="AI268" i="1"/>
  <c r="AI256" i="1"/>
  <c r="AI242" i="1"/>
  <c r="AI233" i="1"/>
  <c r="AI224" i="1"/>
  <c r="AI210" i="1"/>
  <c r="AI202" i="1"/>
  <c r="AI190" i="1"/>
  <c r="AI179" i="1"/>
  <c r="AI172" i="1"/>
  <c r="AI164" i="1"/>
  <c r="AI156" i="1"/>
  <c r="AI142" i="1"/>
  <c r="AI135" i="1"/>
  <c r="AI124" i="1"/>
  <c r="AI111" i="1"/>
  <c r="AI94" i="1"/>
  <c r="AI83" i="1"/>
  <c r="AI76" i="1"/>
  <c r="AI66" i="1"/>
  <c r="AI57" i="1"/>
  <c r="AI47" i="1"/>
  <c r="AI322" i="1"/>
  <c r="AI310" i="1"/>
  <c r="AI264" i="1"/>
  <c r="AI236" i="1"/>
  <c r="AI223" i="1"/>
  <c r="AI209" i="1"/>
  <c r="AI194" i="1"/>
  <c r="AI183" i="1"/>
  <c r="AI167" i="1"/>
  <c r="AI150" i="1"/>
  <c r="AI132" i="1"/>
  <c r="AI114" i="1"/>
  <c r="AI97" i="1"/>
  <c r="AI88" i="1"/>
  <c r="AI71" i="1"/>
  <c r="AI61" i="1"/>
  <c r="AI50" i="1"/>
  <c r="AI325" i="1"/>
  <c r="AI311" i="1"/>
  <c r="AI327" i="1"/>
  <c r="AI44" i="1"/>
  <c r="R68" i="58" s="1"/>
  <c r="AI163" i="1"/>
  <c r="AI261" i="1"/>
  <c r="AI252" i="1"/>
  <c r="AI237" i="1"/>
  <c r="AI228" i="1"/>
  <c r="AI217" i="1"/>
  <c r="AI207" i="1"/>
  <c r="AI195" i="1"/>
  <c r="AI185" i="1"/>
  <c r="AI175" i="1"/>
  <c r="AI168" i="1"/>
  <c r="AI151" i="1"/>
  <c r="AI146" i="1"/>
  <c r="AI138" i="1"/>
  <c r="AI130" i="1"/>
  <c r="AI115" i="1"/>
  <c r="AI106" i="1"/>
  <c r="AI98" i="1"/>
  <c r="AI89" i="1"/>
  <c r="AI79" i="1"/>
  <c r="AI72" i="1"/>
  <c r="AI62" i="1"/>
  <c r="AI53" i="1"/>
  <c r="AI314" i="1"/>
  <c r="AI330" i="1"/>
  <c r="AI338" i="1"/>
  <c r="AI317" i="1"/>
  <c r="AI333" i="1"/>
  <c r="AI305" i="1"/>
  <c r="R340" i="58" s="1"/>
  <c r="AI251" i="1"/>
  <c r="AI240" i="1"/>
  <c r="AI216" i="1"/>
  <c r="AI205" i="1"/>
  <c r="AI199" i="1"/>
  <c r="AI188" i="1"/>
  <c r="AI178" i="1"/>
  <c r="AI171" i="1"/>
  <c r="AI160" i="1"/>
  <c r="AI154" i="1"/>
  <c r="AI149" i="1"/>
  <c r="AI141" i="1"/>
  <c r="AI137" i="1"/>
  <c r="AI128" i="1"/>
  <c r="AI118" i="1"/>
  <c r="AI110" i="1"/>
  <c r="AI101" i="1"/>
  <c r="AI93" i="1"/>
  <c r="AI82" i="1"/>
  <c r="AI75" i="1"/>
  <c r="AI65" i="1"/>
  <c r="AI56" i="1"/>
  <c r="AI307" i="1"/>
  <c r="AI316" i="1"/>
  <c r="AI332" i="1"/>
  <c r="AI340" i="1"/>
  <c r="AI319" i="1"/>
  <c r="AI335" i="1"/>
  <c r="AI232" i="1"/>
  <c r="AI230" i="1"/>
  <c r="AI206" i="1"/>
  <c r="AI254" i="1"/>
  <c r="AI270" i="1"/>
  <c r="AI271" i="1"/>
  <c r="AI263" i="1"/>
  <c r="AI258" i="1"/>
  <c r="AI255" i="1"/>
  <c r="AI244" i="1"/>
  <c r="AI239" i="1"/>
  <c r="AI235" i="1"/>
  <c r="AI231" i="1"/>
  <c r="AI226" i="1"/>
  <c r="AI219" i="1"/>
  <c r="AI204" i="1"/>
  <c r="AI198" i="1"/>
  <c r="AI192" i="1"/>
  <c r="AI187" i="1"/>
  <c r="AI182" i="1"/>
  <c r="AI177" i="1"/>
  <c r="AI174" i="1"/>
  <c r="AI170" i="1"/>
  <c r="AI166" i="1"/>
  <c r="AI162" i="1"/>
  <c r="AI158" i="1"/>
  <c r="AI153" i="1"/>
  <c r="AI148" i="1"/>
  <c r="AI145" i="1"/>
  <c r="AI140" i="1"/>
  <c r="AI126" i="1"/>
  <c r="AI123" i="1"/>
  <c r="AI117" i="1"/>
  <c r="AI112" i="1"/>
  <c r="AI105" i="1"/>
  <c r="AI100" i="1"/>
  <c r="AI91" i="1"/>
  <c r="AI87" i="1"/>
  <c r="AI81" i="1"/>
  <c r="AI78" i="1"/>
  <c r="AI74" i="1"/>
  <c r="AI69" i="1"/>
  <c r="AI64" i="1"/>
  <c r="AI60" i="1"/>
  <c r="AI55" i="1"/>
  <c r="AI49" i="1"/>
  <c r="AI309" i="1"/>
  <c r="AI318" i="1"/>
  <c r="AI326" i="1"/>
  <c r="AI334" i="1"/>
  <c r="AI306" i="1"/>
  <c r="AI313" i="1"/>
  <c r="AI321" i="1"/>
  <c r="AI329" i="1"/>
  <c r="AI337" i="1"/>
  <c r="AI46" i="1"/>
  <c r="AI193" i="1"/>
  <c r="AI269" i="1"/>
  <c r="AI262" i="1"/>
  <c r="AI248" i="1"/>
  <c r="AI243" i="1"/>
  <c r="AI238" i="1"/>
  <c r="AI234" i="1"/>
  <c r="AI229" i="1"/>
  <c r="AI218" i="1"/>
  <c r="AI213" i="1"/>
  <c r="AI203" i="1"/>
  <c r="AI196" i="1"/>
  <c r="AI191" i="1"/>
  <c r="AI186" i="1"/>
  <c r="AI180" i="1"/>
  <c r="AI176" i="1"/>
  <c r="AI173" i="1"/>
  <c r="AI169" i="1"/>
  <c r="AI165" i="1"/>
  <c r="AI159" i="1"/>
  <c r="AI152" i="1"/>
  <c r="AI147" i="1"/>
  <c r="AI144" i="1"/>
  <c r="AI136" i="1"/>
  <c r="AI131" i="1"/>
  <c r="AI125" i="1"/>
  <c r="AI122" i="1"/>
  <c r="AI116" i="1"/>
  <c r="AI107" i="1"/>
  <c r="AI103" i="1"/>
  <c r="AI99" i="1"/>
  <c r="AI95" i="1"/>
  <c r="AI86" i="1"/>
  <c r="AI80" i="1"/>
  <c r="AI77" i="1"/>
  <c r="AI73" i="1"/>
  <c r="AI68" i="1"/>
  <c r="AI63" i="1"/>
  <c r="AI54" i="1"/>
  <c r="AI48" i="1"/>
  <c r="AI312" i="1"/>
  <c r="AI320" i="1"/>
  <c r="AI328" i="1"/>
  <c r="AI336" i="1"/>
  <c r="AI308" i="1"/>
  <c r="AI315" i="1"/>
  <c r="AI323" i="1"/>
  <c r="AI331" i="1"/>
  <c r="AI339" i="1"/>
  <c r="AI45" i="1"/>
  <c r="Y335" i="52"/>
  <c r="AI250" i="1"/>
  <c r="AE52" i="1"/>
  <c r="AE250" i="1"/>
  <c r="AU250" i="1" s="1"/>
  <c r="AJ250" i="1"/>
  <c r="AI247" i="1"/>
  <c r="AI52" i="1"/>
  <c r="AE197" i="1"/>
  <c r="AU197" i="1" s="1"/>
  <c r="AI197" i="1"/>
  <c r="AE85" i="1"/>
  <c r="AI85" i="1"/>
  <c r="AJ247" i="1"/>
  <c r="Y220" i="52"/>
  <c r="AJ32" i="1"/>
  <c r="S45" i="57" s="1"/>
  <c r="AJ28" i="1"/>
  <c r="S41" i="57" s="1"/>
  <c r="AJ23" i="1"/>
  <c r="S36" i="57" s="1"/>
  <c r="T49" i="57" s="1"/>
  <c r="AJ33" i="1"/>
  <c r="S46" i="57" s="1"/>
  <c r="AJ25" i="1"/>
  <c r="S38" i="57" s="1"/>
  <c r="AJ268" i="1"/>
  <c r="AJ296" i="1"/>
  <c r="AJ279" i="1"/>
  <c r="AJ238" i="1"/>
  <c r="AJ229" i="1"/>
  <c r="AJ217" i="1"/>
  <c r="AJ207" i="1"/>
  <c r="AJ196" i="1"/>
  <c r="AJ186" i="1"/>
  <c r="AJ180" i="1"/>
  <c r="AJ173" i="1"/>
  <c r="AJ166" i="1"/>
  <c r="AJ158" i="1"/>
  <c r="AJ150" i="1"/>
  <c r="AJ146" i="1"/>
  <c r="AJ34" i="1"/>
  <c r="S47" i="57" s="1"/>
  <c r="AJ30" i="1"/>
  <c r="S43" i="57" s="1"/>
  <c r="AJ27" i="1"/>
  <c r="S40" i="57" s="1"/>
  <c r="AJ20" i="1"/>
  <c r="S33" i="57" s="1"/>
  <c r="AJ35" i="1"/>
  <c r="S48" i="57" s="1"/>
  <c r="AJ24" i="1"/>
  <c r="S37" i="57" s="1"/>
  <c r="AJ19" i="1"/>
  <c r="S32" i="57" s="1"/>
  <c r="AJ270" i="1"/>
  <c r="AJ396" i="1"/>
  <c r="S430" i="57" s="1"/>
  <c r="AJ300" i="1"/>
  <c r="AJ291" i="1"/>
  <c r="AJ282" i="1"/>
  <c r="AJ276" i="1"/>
  <c r="AJ271" i="1"/>
  <c r="AJ262" i="1"/>
  <c r="AJ251" i="1"/>
  <c r="AJ242" i="1"/>
  <c r="AJ236" i="1"/>
  <c r="AJ219" i="1"/>
  <c r="AJ205" i="1"/>
  <c r="AJ199" i="1"/>
  <c r="AJ194" i="1"/>
  <c r="AJ188" i="1"/>
  <c r="AJ183" i="1"/>
  <c r="AJ178" i="1"/>
  <c r="AJ171" i="1"/>
  <c r="AJ167" i="1"/>
  <c r="AJ160" i="1"/>
  <c r="AJ152" i="1"/>
  <c r="AJ148" i="1"/>
  <c r="AJ145" i="1"/>
  <c r="AJ140" i="1"/>
  <c r="AJ132" i="1"/>
  <c r="AJ128" i="1"/>
  <c r="AJ115" i="1"/>
  <c r="AJ111" i="1"/>
  <c r="AJ106" i="1"/>
  <c r="AJ103" i="1"/>
  <c r="AJ99" i="1"/>
  <c r="AJ95" i="1"/>
  <c r="AJ86" i="1"/>
  <c r="AJ82" i="1"/>
  <c r="AJ75" i="1"/>
  <c r="AJ71" i="1"/>
  <c r="AJ65" i="1"/>
  <c r="AJ61" i="1"/>
  <c r="AJ56" i="1"/>
  <c r="AJ50" i="1"/>
  <c r="AJ47" i="1"/>
  <c r="AJ312" i="1"/>
  <c r="S346" i="57" s="1"/>
  <c r="AJ320" i="1"/>
  <c r="S354" i="57" s="1"/>
  <c r="AJ328" i="1"/>
  <c r="S362" i="57" s="1"/>
  <c r="AJ336" i="1"/>
  <c r="S370" i="57" s="1"/>
  <c r="AJ344" i="1"/>
  <c r="S378" i="57" s="1"/>
  <c r="AJ358" i="1"/>
  <c r="S392" i="57" s="1"/>
  <c r="AJ369" i="1"/>
  <c r="S403" i="57" s="1"/>
  <c r="AJ378" i="1"/>
  <c r="S412" i="57" s="1"/>
  <c r="AJ387" i="1"/>
  <c r="S421" i="57" s="1"/>
  <c r="AJ308" i="1"/>
  <c r="S342" i="57" s="1"/>
  <c r="AJ315" i="1"/>
  <c r="S349" i="57" s="1"/>
  <c r="AJ323" i="1"/>
  <c r="S357" i="57" s="1"/>
  <c r="AJ331" i="1"/>
  <c r="S365" i="57" s="1"/>
  <c r="AJ339" i="1"/>
  <c r="S373" i="57" s="1"/>
  <c r="AJ347" i="1"/>
  <c r="S381" i="57" s="1"/>
  <c r="AJ354" i="1"/>
  <c r="S388" i="57" s="1"/>
  <c r="AJ361" i="1"/>
  <c r="S395" i="57" s="1"/>
  <c r="AJ372" i="1"/>
  <c r="S406" i="57" s="1"/>
  <c r="AJ392" i="1"/>
  <c r="S426" i="57" s="1"/>
  <c r="AJ395" i="1"/>
  <c r="S429" i="57" s="1"/>
  <c r="AJ295" i="1"/>
  <c r="AJ290" i="1"/>
  <c r="AJ277" i="1"/>
  <c r="AJ272" i="1"/>
  <c r="AJ264" i="1"/>
  <c r="AJ261" i="1"/>
  <c r="AJ255" i="1"/>
  <c r="AJ248" i="1"/>
  <c r="AJ243" i="1"/>
  <c r="AJ239" i="1"/>
  <c r="AJ235" i="1"/>
  <c r="AJ231" i="1"/>
  <c r="AJ226" i="1"/>
  <c r="AJ223" i="1"/>
  <c r="AJ216" i="1"/>
  <c r="AJ210" i="1"/>
  <c r="AJ204" i="1"/>
  <c r="AJ198" i="1"/>
  <c r="AJ192" i="1"/>
  <c r="AJ187" i="1"/>
  <c r="AJ182" i="1"/>
  <c r="AJ177" i="1"/>
  <c r="AJ174" i="1"/>
  <c r="AJ170" i="1"/>
  <c r="AJ165" i="1"/>
  <c r="AJ159" i="1"/>
  <c r="AJ156" i="1"/>
  <c r="AJ151" i="1"/>
  <c r="AJ149" i="1"/>
  <c r="AJ141" i="1"/>
  <c r="AJ137" i="1"/>
  <c r="AJ130" i="1"/>
  <c r="AJ124" i="1"/>
  <c r="AJ118" i="1"/>
  <c r="AJ114" i="1"/>
  <c r="AJ110" i="1"/>
  <c r="AJ100" i="1"/>
  <c r="AJ91" i="1"/>
  <c r="AJ87" i="1"/>
  <c r="AJ79" i="1"/>
  <c r="AJ76" i="1"/>
  <c r="AJ72" i="1"/>
  <c r="AJ66" i="1"/>
  <c r="AJ62" i="1"/>
  <c r="AJ57" i="1"/>
  <c r="AJ53" i="1"/>
  <c r="AJ307" i="1"/>
  <c r="S341" i="57" s="1"/>
  <c r="AJ318" i="1"/>
  <c r="S352" i="57" s="1"/>
  <c r="AJ326" i="1"/>
  <c r="S360" i="57" s="1"/>
  <c r="AJ334" i="1"/>
  <c r="S368" i="57" s="1"/>
  <c r="AJ342" i="1"/>
  <c r="S376" i="57" s="1"/>
  <c r="AJ367" i="1"/>
  <c r="S401" i="57" s="1"/>
  <c r="AJ376" i="1"/>
  <c r="S410" i="57" s="1"/>
  <c r="AJ385" i="1"/>
  <c r="S419" i="57" s="1"/>
  <c r="AJ306" i="1"/>
  <c r="S340" i="57" s="1"/>
  <c r="AJ313" i="1"/>
  <c r="S347" i="57" s="1"/>
  <c r="AJ321" i="1"/>
  <c r="S355" i="57" s="1"/>
  <c r="AJ329" i="1"/>
  <c r="S363" i="57" s="1"/>
  <c r="AJ337" i="1"/>
  <c r="S371" i="57" s="1"/>
  <c r="AJ345" i="1"/>
  <c r="S379" i="57" s="1"/>
  <c r="AJ352" i="1"/>
  <c r="S386" i="57" s="1"/>
  <c r="AJ359" i="1"/>
  <c r="S393" i="57" s="1"/>
  <c r="AJ370" i="1"/>
  <c r="S404" i="57" s="1"/>
  <c r="AJ379" i="1"/>
  <c r="S413" i="57" s="1"/>
  <c r="AJ388" i="1"/>
  <c r="S422" i="57" s="1"/>
  <c r="AJ278" i="1"/>
  <c r="AJ373" i="1"/>
  <c r="S407" i="57" s="1"/>
  <c r="AJ163" i="1"/>
  <c r="AJ22" i="1"/>
  <c r="S35" i="57" s="1"/>
  <c r="T48" i="57" s="1"/>
  <c r="AJ193" i="1"/>
  <c r="AJ292" i="1"/>
  <c r="AJ298" i="1"/>
  <c r="AJ232" i="1"/>
  <c r="AJ230" i="1"/>
  <c r="AJ31" i="1"/>
  <c r="S44" i="57" s="1"/>
  <c r="AI18" i="1"/>
  <c r="AI341" i="1"/>
  <c r="AI345" i="1"/>
  <c r="AI349" i="1"/>
  <c r="AI352" i="1"/>
  <c r="AI356" i="1"/>
  <c r="AI359" i="1"/>
  <c r="AI366" i="1"/>
  <c r="AI370" i="1"/>
  <c r="AI375" i="1"/>
  <c r="AI379" i="1"/>
  <c r="AI383" i="1"/>
  <c r="AI388" i="1"/>
  <c r="AI394" i="1"/>
  <c r="AH42" i="1"/>
  <c r="AI293" i="1"/>
  <c r="AI292" i="1"/>
  <c r="AI22" i="1"/>
  <c r="AI396" i="1"/>
  <c r="AI300" i="1"/>
  <c r="AI295" i="1"/>
  <c r="AI291" i="1"/>
  <c r="AI285" i="1"/>
  <c r="AI283" i="1"/>
  <c r="AI280" i="1"/>
  <c r="AI277" i="1"/>
  <c r="AI275" i="1"/>
  <c r="AI272" i="1"/>
  <c r="AI344" i="1"/>
  <c r="AI348" i="1"/>
  <c r="AI355" i="1"/>
  <c r="AI358" i="1"/>
  <c r="AI362" i="1"/>
  <c r="AI369" i="1"/>
  <c r="AI374" i="1"/>
  <c r="AI378" i="1"/>
  <c r="AI382" i="1"/>
  <c r="AI387" i="1"/>
  <c r="AI393" i="1"/>
  <c r="AI41" i="1"/>
  <c r="AI34" i="1"/>
  <c r="AI32" i="1"/>
  <c r="AI30" i="1"/>
  <c r="AI28" i="1"/>
  <c r="AI27" i="1"/>
  <c r="AI25" i="1"/>
  <c r="AI24" i="1"/>
  <c r="AI21" i="1"/>
  <c r="AI19" i="1"/>
  <c r="AJ41" i="1"/>
  <c r="S54" i="57" s="1"/>
  <c r="AJ26" i="1"/>
  <c r="S39" i="57" s="1"/>
  <c r="AJ29" i="1"/>
  <c r="S42" i="57" s="1"/>
  <c r="AJ21" i="1"/>
  <c r="S34" i="57" s="1"/>
  <c r="AJ284" i="1"/>
  <c r="AJ273" i="1"/>
  <c r="AJ258" i="1"/>
  <c r="AJ244" i="1"/>
  <c r="AJ234" i="1"/>
  <c r="AJ224" i="1"/>
  <c r="AJ209" i="1"/>
  <c r="AJ203" i="1"/>
  <c r="AJ191" i="1"/>
  <c r="AJ176" i="1"/>
  <c r="AJ169" i="1"/>
  <c r="AJ162" i="1"/>
  <c r="AJ154" i="1"/>
  <c r="AJ142" i="1"/>
  <c r="AJ138" i="1"/>
  <c r="AJ136" i="1"/>
  <c r="AJ131" i="1"/>
  <c r="AJ125" i="1"/>
  <c r="AJ122" i="1"/>
  <c r="AJ117" i="1"/>
  <c r="AJ112" i="1"/>
  <c r="AJ105" i="1"/>
  <c r="AJ101" i="1"/>
  <c r="AJ97" i="1"/>
  <c r="AJ93" i="1"/>
  <c r="AJ88" i="1"/>
  <c r="AJ83" i="1"/>
  <c r="AJ80" i="1"/>
  <c r="AJ77" i="1"/>
  <c r="AJ73" i="1"/>
  <c r="AJ68" i="1"/>
  <c r="AJ63" i="1"/>
  <c r="AJ54" i="1"/>
  <c r="AJ48" i="1"/>
  <c r="AJ309" i="1"/>
  <c r="S343" i="57" s="1"/>
  <c r="AJ316" i="1"/>
  <c r="S350" i="57" s="1"/>
  <c r="AJ325" i="1"/>
  <c r="S359" i="57" s="1"/>
  <c r="AJ332" i="1"/>
  <c r="S366" i="57" s="1"/>
  <c r="AJ340" i="1"/>
  <c r="S374" i="57" s="1"/>
  <c r="AJ348" i="1"/>
  <c r="S382" i="57" s="1"/>
  <c r="AJ355" i="1"/>
  <c r="S389" i="57" s="1"/>
  <c r="AJ362" i="1"/>
  <c r="S396" i="57" s="1"/>
  <c r="AJ374" i="1"/>
  <c r="S408" i="57" s="1"/>
  <c r="AJ382" i="1"/>
  <c r="S416" i="57" s="1"/>
  <c r="AJ393" i="1"/>
  <c r="S427" i="57" s="1"/>
  <c r="AJ311" i="1"/>
  <c r="S345" i="57" s="1"/>
  <c r="AJ319" i="1"/>
  <c r="S353" i="57" s="1"/>
  <c r="AJ327" i="1"/>
  <c r="S361" i="57" s="1"/>
  <c r="AJ335" i="1"/>
  <c r="S369" i="57" s="1"/>
  <c r="AJ343" i="1"/>
  <c r="S377" i="57" s="1"/>
  <c r="AJ350" i="1"/>
  <c r="S384" i="57" s="1"/>
  <c r="AJ357" i="1"/>
  <c r="S391" i="57" s="1"/>
  <c r="AJ368" i="1"/>
  <c r="S402" i="57" s="1"/>
  <c r="AJ265" i="1"/>
  <c r="AJ294" i="1"/>
  <c r="AJ285" i="1"/>
  <c r="AJ280" i="1"/>
  <c r="AJ275" i="1"/>
  <c r="AJ269" i="1"/>
  <c r="AJ263" i="1"/>
  <c r="AJ256" i="1"/>
  <c r="AJ252" i="1"/>
  <c r="AJ240" i="1"/>
  <c r="AJ237" i="1"/>
  <c r="AJ233" i="1"/>
  <c r="AJ228" i="1"/>
  <c r="AJ218" i="1"/>
  <c r="AJ213" i="1"/>
  <c r="AJ202" i="1"/>
  <c r="AJ195" i="1"/>
  <c r="AJ190" i="1"/>
  <c r="AJ185" i="1"/>
  <c r="AJ179" i="1"/>
  <c r="AJ175" i="1"/>
  <c r="AJ172" i="1"/>
  <c r="AJ168" i="1"/>
  <c r="AJ164" i="1"/>
  <c r="AJ153" i="1"/>
  <c r="AJ147" i="1"/>
  <c r="AJ144" i="1"/>
  <c r="AJ135" i="1"/>
  <c r="AJ126" i="1"/>
  <c r="AJ123" i="1"/>
  <c r="AJ116" i="1"/>
  <c r="AJ107" i="1"/>
  <c r="AJ98" i="1"/>
  <c r="AJ94" i="1"/>
  <c r="AJ89" i="1"/>
  <c r="AJ81" i="1"/>
  <c r="AJ78" i="1"/>
  <c r="AJ74" i="1"/>
  <c r="AJ69" i="1"/>
  <c r="AJ64" i="1"/>
  <c r="AJ60" i="1"/>
  <c r="AJ55" i="1"/>
  <c r="AJ49" i="1"/>
  <c r="AJ314" i="1"/>
  <c r="S348" i="57" s="1"/>
  <c r="AJ322" i="1"/>
  <c r="S356" i="57" s="1"/>
  <c r="AJ330" i="1"/>
  <c r="S364" i="57" s="1"/>
  <c r="AJ338" i="1"/>
  <c r="S372" i="57" s="1"/>
  <c r="AJ353" i="1"/>
  <c r="S387" i="57" s="1"/>
  <c r="AJ360" i="1"/>
  <c r="S394" i="57" s="1"/>
  <c r="AJ371" i="1"/>
  <c r="S405" i="57" s="1"/>
  <c r="AJ380" i="1"/>
  <c r="S414" i="57" s="1"/>
  <c r="AJ389" i="1"/>
  <c r="S423" i="57" s="1"/>
  <c r="AJ310" i="1"/>
  <c r="S344" i="57" s="1"/>
  <c r="AJ317" i="1"/>
  <c r="S351" i="57" s="1"/>
  <c r="AJ333" i="1"/>
  <c r="S367" i="57" s="1"/>
  <c r="AJ341" i="1"/>
  <c r="S375" i="57" s="1"/>
  <c r="AJ349" i="1"/>
  <c r="S383" i="57" s="1"/>
  <c r="AJ356" i="1"/>
  <c r="S390" i="57" s="1"/>
  <c r="AJ366" i="1"/>
  <c r="S400" i="57" s="1"/>
  <c r="AJ375" i="1"/>
  <c r="S409" i="57" s="1"/>
  <c r="AJ383" i="1"/>
  <c r="S417" i="57" s="1"/>
  <c r="AJ394" i="1"/>
  <c r="S428" i="57" s="1"/>
  <c r="AJ36" i="1"/>
  <c r="S49" i="57" s="1"/>
  <c r="AJ365" i="1"/>
  <c r="S399" i="57" s="1"/>
  <c r="AJ254" i="1"/>
  <c r="AJ293" i="1"/>
  <c r="AJ206" i="1"/>
  <c r="AJ18" i="1"/>
  <c r="S31" i="57" s="1"/>
  <c r="T44" i="57" s="1"/>
  <c r="AJ302" i="1"/>
  <c r="AJ301" i="1"/>
  <c r="AI302" i="1"/>
  <c r="AI298" i="1"/>
  <c r="AI395" i="1"/>
  <c r="AI296" i="1"/>
  <c r="AI294" i="1"/>
  <c r="AI290" i="1"/>
  <c r="AI284" i="1"/>
  <c r="AI282" i="1"/>
  <c r="AI279" i="1"/>
  <c r="AI276" i="1"/>
  <c r="AI273" i="1"/>
  <c r="AI342" i="1"/>
  <c r="AI353" i="1"/>
  <c r="AI360" i="1"/>
  <c r="AI367" i="1"/>
  <c r="AI371" i="1"/>
  <c r="AI376" i="1"/>
  <c r="AI380" i="1"/>
  <c r="AI385" i="1"/>
  <c r="AI389" i="1"/>
  <c r="AI35" i="1"/>
  <c r="AI33" i="1"/>
  <c r="AI29" i="1"/>
  <c r="AI26" i="1"/>
  <c r="AI23" i="1"/>
  <c r="AI20" i="1"/>
  <c r="AH397" i="1"/>
  <c r="AI31" i="1"/>
  <c r="AI301" i="1"/>
  <c r="AI278" i="1"/>
  <c r="AI36" i="1"/>
  <c r="AI365" i="1"/>
  <c r="AI373" i="1"/>
  <c r="AI343" i="1"/>
  <c r="AI347" i="1"/>
  <c r="AI350" i="1"/>
  <c r="AI354" i="1"/>
  <c r="AI357" i="1"/>
  <c r="AI361" i="1"/>
  <c r="AI368" i="1"/>
  <c r="AI372" i="1"/>
  <c r="AI265" i="1"/>
  <c r="AI392" i="1"/>
  <c r="AH303" i="1"/>
  <c r="BF203" i="1"/>
  <c r="BF176" i="1"/>
  <c r="BF101" i="1"/>
  <c r="BF362" i="1"/>
  <c r="BF374" i="1"/>
  <c r="BF393" i="1"/>
  <c r="BF111" i="1"/>
  <c r="BF50" i="1"/>
  <c r="BF344" i="1"/>
  <c r="BF369" i="1"/>
  <c r="BF378" i="1"/>
  <c r="BF308" i="1"/>
  <c r="BF327" i="1"/>
  <c r="BF335" i="1"/>
  <c r="BF343" i="1"/>
  <c r="BF357" i="1"/>
  <c r="AE265" i="1"/>
  <c r="AU265" i="1" s="1"/>
  <c r="BF135" i="1"/>
  <c r="BF389" i="1"/>
  <c r="BF317" i="1"/>
  <c r="AE254" i="1"/>
  <c r="BF323" i="1"/>
  <c r="BF331" i="1"/>
  <c r="BF347" i="1"/>
  <c r="BF395" i="1"/>
  <c r="BF243" i="1"/>
  <c r="AE230" i="1"/>
  <c r="AE18" i="1"/>
  <c r="AU18" i="1" s="1"/>
  <c r="AE302" i="1"/>
  <c r="AU302" i="1" s="1"/>
  <c r="AE31" i="1"/>
  <c r="AU31" i="1" s="1"/>
  <c r="AE301" i="1"/>
  <c r="AE232" i="1"/>
  <c r="AW232" i="1" s="1"/>
  <c r="BF385" i="1"/>
  <c r="AE33" i="1"/>
  <c r="AU33" i="1" s="1"/>
  <c r="AE29" i="1"/>
  <c r="AU29" i="1" s="1"/>
  <c r="AE25" i="1"/>
  <c r="AU25" i="1" s="1"/>
  <c r="AE21" i="1"/>
  <c r="AU21" i="1" s="1"/>
  <c r="AE35" i="1"/>
  <c r="AU35" i="1" s="1"/>
  <c r="AE24" i="1"/>
  <c r="AU24" i="1" s="1"/>
  <c r="AE19" i="1"/>
  <c r="AU19" i="1" s="1"/>
  <c r="AE22" i="1"/>
  <c r="AU22" i="1" s="1"/>
  <c r="BF340" i="1"/>
  <c r="AE293" i="1"/>
  <c r="AU293" i="1" s="1"/>
  <c r="AE292" i="1"/>
  <c r="AU292" i="1" s="1"/>
  <c r="AE206" i="1"/>
  <c r="AU206" i="1" s="1"/>
  <c r="AE391" i="1"/>
  <c r="AU391" i="1" s="1"/>
  <c r="AE298" i="1"/>
  <c r="AU298" i="1" s="1"/>
  <c r="BF392" i="1"/>
  <c r="BF330" i="1"/>
  <c r="AE193" i="1"/>
  <c r="AU193" i="1" s="1"/>
  <c r="AE163" i="1"/>
  <c r="AU163" i="1" s="1"/>
  <c r="BF373" i="1"/>
  <c r="BF318" i="1"/>
  <c r="AE36" i="1"/>
  <c r="AU36" i="1" s="1"/>
  <c r="BF365" i="1"/>
  <c r="AE365" i="1"/>
  <c r="AU365" i="1" s="1"/>
  <c r="AE373" i="1"/>
  <c r="AU373" i="1" s="1"/>
  <c r="AE278" i="1"/>
  <c r="BF326" i="1"/>
  <c r="BF341" i="1"/>
  <c r="AB400" i="1"/>
  <c r="AD42" i="1"/>
  <c r="BF367" i="1"/>
  <c r="BF376" i="1"/>
  <c r="BF345" i="1"/>
  <c r="BF370" i="1"/>
  <c r="BF396" i="1"/>
  <c r="BF309" i="1"/>
  <c r="BF348" i="1"/>
  <c r="BF360" i="1"/>
  <c r="BF371" i="1"/>
  <c r="BF380" i="1"/>
  <c r="BF306" i="1"/>
  <c r="BF333" i="1"/>
  <c r="BF366" i="1"/>
  <c r="BF375" i="1"/>
  <c r="BF388" i="1"/>
  <c r="AE300" i="1"/>
  <c r="AU300" i="1" s="1"/>
  <c r="AE282" i="1"/>
  <c r="AE244" i="1"/>
  <c r="AE229" i="1"/>
  <c r="AU229" i="1" s="1"/>
  <c r="AE203" i="1"/>
  <c r="AU203" i="1" s="1"/>
  <c r="AE160" i="1"/>
  <c r="AE152" i="1"/>
  <c r="AU152" i="1" s="1"/>
  <c r="AE145" i="1"/>
  <c r="AU145" i="1" s="1"/>
  <c r="AE140" i="1"/>
  <c r="AU140" i="1" s="1"/>
  <c r="Y163" i="52"/>
  <c r="AE56" i="1"/>
  <c r="AU56" i="1" s="1"/>
  <c r="AE50" i="1"/>
  <c r="AU50" i="1" s="1"/>
  <c r="AE47" i="1"/>
  <c r="AU47" i="1" s="1"/>
  <c r="AE237" i="1"/>
  <c r="AU237" i="1" s="1"/>
  <c r="AE251" i="1"/>
  <c r="AU251" i="1" s="1"/>
  <c r="AE242" i="1"/>
  <c r="AU242" i="1" s="1"/>
  <c r="Y258" i="52"/>
  <c r="AE217" i="1"/>
  <c r="AU217" i="1" s="1"/>
  <c r="AE205" i="1"/>
  <c r="AU205" i="1" s="1"/>
  <c r="AE199" i="1"/>
  <c r="AU199" i="1" s="1"/>
  <c r="AE188" i="1"/>
  <c r="AE167" i="1"/>
  <c r="AE158" i="1"/>
  <c r="AU158" i="1" s="1"/>
  <c r="AE142" i="1"/>
  <c r="AU142" i="1" s="1"/>
  <c r="AE136" i="1"/>
  <c r="AU136" i="1" s="1"/>
  <c r="AE125" i="1"/>
  <c r="AU125" i="1" s="1"/>
  <c r="AE101" i="1"/>
  <c r="AU101" i="1" s="1"/>
  <c r="AE48" i="1"/>
  <c r="AU48" i="1" s="1"/>
  <c r="AE239" i="1"/>
  <c r="AE231" i="1"/>
  <c r="AE223" i="1"/>
  <c r="AE187" i="1"/>
  <c r="AE182" i="1"/>
  <c r="AE164" i="1"/>
  <c r="AE159" i="1"/>
  <c r="AE116" i="1"/>
  <c r="AE87" i="1"/>
  <c r="AE72" i="1"/>
  <c r="AE66" i="1"/>
  <c r="AE62" i="1"/>
  <c r="AE185" i="1"/>
  <c r="AW185" i="1" s="1"/>
  <c r="AE179" i="1"/>
  <c r="AW179" i="1" s="1"/>
  <c r="AE168" i="1"/>
  <c r="AE165" i="1"/>
  <c r="AE123" i="1"/>
  <c r="AE118" i="1"/>
  <c r="AE114" i="1"/>
  <c r="AE94" i="1"/>
  <c r="AE69" i="1"/>
  <c r="AE64" i="1"/>
  <c r="AE60" i="1"/>
  <c r="AE81" i="1"/>
  <c r="AE240" i="1"/>
  <c r="AW240" i="1" s="1"/>
  <c r="AE166" i="1"/>
  <c r="AE162" i="1"/>
  <c r="AW162" i="1" s="1"/>
  <c r="AE154" i="1"/>
  <c r="AW154" i="1" s="1"/>
  <c r="AE180" i="1"/>
  <c r="AW180" i="1" s="1"/>
  <c r="AE173" i="1"/>
  <c r="AW173" i="1" s="1"/>
  <c r="AE73" i="1"/>
  <c r="AW73" i="1" s="1"/>
  <c r="AE325" i="1"/>
  <c r="AW325" i="1" s="1"/>
  <c r="AE328" i="1"/>
  <c r="AU328" i="1" s="1"/>
  <c r="AE332" i="1"/>
  <c r="AW332" i="1" s="1"/>
  <c r="AE340" i="1"/>
  <c r="AU340" i="1" s="1"/>
  <c r="AE344" i="1"/>
  <c r="AU344" i="1" s="1"/>
  <c r="AE91" i="1"/>
  <c r="AE89" i="1"/>
  <c r="AE396" i="1"/>
  <c r="AU396" i="1" s="1"/>
  <c r="AE219" i="1"/>
  <c r="AW219" i="1" s="1"/>
  <c r="AE196" i="1"/>
  <c r="AW196" i="1" s="1"/>
  <c r="AE191" i="1"/>
  <c r="AW191" i="1" s="1"/>
  <c r="AE355" i="1"/>
  <c r="AU355" i="1" s="1"/>
  <c r="AE358" i="1"/>
  <c r="AU358" i="1" s="1"/>
  <c r="AE362" i="1"/>
  <c r="AU362" i="1" s="1"/>
  <c r="AE378" i="1"/>
  <c r="AU378" i="1" s="1"/>
  <c r="AE382" i="1"/>
  <c r="AU382" i="1" s="1"/>
  <c r="AE308" i="1"/>
  <c r="AU308" i="1" s="1"/>
  <c r="AE335" i="1"/>
  <c r="AU335" i="1" s="1"/>
  <c r="AE339" i="1"/>
  <c r="AU339" i="1" s="1"/>
  <c r="AE343" i="1"/>
  <c r="AU343" i="1" s="1"/>
  <c r="AE347" i="1"/>
  <c r="AU347" i="1" s="1"/>
  <c r="AE357" i="1"/>
  <c r="AU357" i="1" s="1"/>
  <c r="AE361" i="1"/>
  <c r="AU361" i="1" s="1"/>
  <c r="AE368" i="1"/>
  <c r="AU368" i="1" s="1"/>
  <c r="AE372" i="1"/>
  <c r="AU372" i="1" s="1"/>
  <c r="AE268" i="1"/>
  <c r="AE71" i="1"/>
  <c r="AE68" i="1"/>
  <c r="AE65" i="1"/>
  <c r="AE63" i="1"/>
  <c r="AE61" i="1"/>
  <c r="AE54" i="1"/>
  <c r="AE309" i="1"/>
  <c r="AU309" i="1" s="1"/>
  <c r="AE312" i="1"/>
  <c r="AU312" i="1" s="1"/>
  <c r="AE316" i="1"/>
  <c r="AU316" i="1" s="1"/>
  <c r="AE320" i="1"/>
  <c r="AU320" i="1" s="1"/>
  <c r="AE336" i="1"/>
  <c r="AU336" i="1" s="1"/>
  <c r="AE348" i="1"/>
  <c r="AU348" i="1" s="1"/>
  <c r="AE369" i="1"/>
  <c r="AU369" i="1" s="1"/>
  <c r="AE374" i="1"/>
  <c r="AU374" i="1" s="1"/>
  <c r="AE387" i="1"/>
  <c r="AE393" i="1"/>
  <c r="AU393" i="1" s="1"/>
  <c r="AE311" i="1"/>
  <c r="AU311" i="1" s="1"/>
  <c r="AE315" i="1"/>
  <c r="AU315" i="1" s="1"/>
  <c r="AE319" i="1"/>
  <c r="AU319" i="1" s="1"/>
  <c r="AE323" i="1"/>
  <c r="AU323" i="1" s="1"/>
  <c r="AE327" i="1"/>
  <c r="AU327" i="1" s="1"/>
  <c r="AE331" i="1"/>
  <c r="AU331" i="1" s="1"/>
  <c r="AE350" i="1"/>
  <c r="AE354" i="1"/>
  <c r="AW354" i="1" s="1"/>
  <c r="AE172" i="1"/>
  <c r="AW172" i="1" s="1"/>
  <c r="AE228" i="1"/>
  <c r="AE226" i="1"/>
  <c r="AE218" i="1"/>
  <c r="AE190" i="1"/>
  <c r="AE88" i="1"/>
  <c r="AW88" i="1" s="1"/>
  <c r="AE80" i="1"/>
  <c r="AW80" i="1" s="1"/>
  <c r="AE77" i="1"/>
  <c r="AE213" i="1"/>
  <c r="AE202" i="1"/>
  <c r="AE195" i="1"/>
  <c r="AW195" i="1" s="1"/>
  <c r="AE149" i="1"/>
  <c r="AE135" i="1"/>
  <c r="AE130" i="1"/>
  <c r="AE284" i="1"/>
  <c r="AW284" i="1" s="1"/>
  <c r="AE279" i="1"/>
  <c r="AE276" i="1"/>
  <c r="AW276" i="1" s="1"/>
  <c r="AE271" i="1"/>
  <c r="AW271" i="1" s="1"/>
  <c r="AE258" i="1"/>
  <c r="AW258" i="1" s="1"/>
  <c r="AE122" i="1"/>
  <c r="AE117" i="1"/>
  <c r="AE115" i="1"/>
  <c r="AE112" i="1"/>
  <c r="AE111" i="1"/>
  <c r="AE106" i="1"/>
  <c r="AE105" i="1"/>
  <c r="AE103" i="1"/>
  <c r="AE99" i="1"/>
  <c r="AW99" i="1" s="1"/>
  <c r="AE97" i="1"/>
  <c r="AW97" i="1" s="1"/>
  <c r="AE95" i="1"/>
  <c r="AW95" i="1" s="1"/>
  <c r="AE93" i="1"/>
  <c r="AE82" i="1"/>
  <c r="AE75" i="1"/>
  <c r="AE294" i="1"/>
  <c r="AE285" i="1"/>
  <c r="AE269" i="1"/>
  <c r="AW269" i="1" s="1"/>
  <c r="AE263" i="1"/>
  <c r="AE256" i="1"/>
  <c r="AE248" i="1"/>
  <c r="AW248" i="1" s="1"/>
  <c r="AE243" i="1"/>
  <c r="AE216" i="1"/>
  <c r="AW216" i="1" s="1"/>
  <c r="AE204" i="1"/>
  <c r="AE198" i="1"/>
  <c r="AE192" i="1"/>
  <c r="AE392" i="1"/>
  <c r="AU392" i="1" s="1"/>
  <c r="AE295" i="1"/>
  <c r="AE290" i="1"/>
  <c r="AE283" i="1"/>
  <c r="AE272" i="1"/>
  <c r="AE261" i="1"/>
  <c r="AE255" i="1"/>
  <c r="AE235" i="1"/>
  <c r="AE233" i="1"/>
  <c r="AE210" i="1"/>
  <c r="AW210" i="1" s="1"/>
  <c r="AE177" i="1"/>
  <c r="AE175" i="1"/>
  <c r="AW175" i="1" s="1"/>
  <c r="AE174" i="1"/>
  <c r="AE156" i="1"/>
  <c r="AE147" i="1"/>
  <c r="AE126" i="1"/>
  <c r="AW126" i="1" s="1"/>
  <c r="AE55" i="1"/>
  <c r="AW55" i="1" s="1"/>
  <c r="AE53" i="1"/>
  <c r="AW53" i="1" s="1"/>
  <c r="AE307" i="1"/>
  <c r="AU307" i="1" s="1"/>
  <c r="AE338" i="1"/>
  <c r="AU338" i="1" s="1"/>
  <c r="AE342" i="1"/>
  <c r="AE353" i="1"/>
  <c r="AW353" i="1" s="1"/>
  <c r="AE360" i="1"/>
  <c r="AU360" i="1" s="1"/>
  <c r="AE367" i="1"/>
  <c r="AU367" i="1" s="1"/>
  <c r="AE376" i="1"/>
  <c r="AU376" i="1" s="1"/>
  <c r="AE385" i="1"/>
  <c r="AU385" i="1" s="1"/>
  <c r="AE389" i="1"/>
  <c r="AU389" i="1" s="1"/>
  <c r="AE313" i="1"/>
  <c r="AU313" i="1" s="1"/>
  <c r="AE321" i="1"/>
  <c r="AU321" i="1" s="1"/>
  <c r="AE333" i="1"/>
  <c r="AU333" i="1" s="1"/>
  <c r="AE345" i="1"/>
  <c r="AU345" i="1" s="1"/>
  <c r="AE352" i="1"/>
  <c r="AW352" i="1" s="1"/>
  <c r="AE356" i="1"/>
  <c r="AU356" i="1" s="1"/>
  <c r="AE366" i="1"/>
  <c r="AU366" i="1" s="1"/>
  <c r="AE379" i="1"/>
  <c r="AE270" i="1"/>
  <c r="AW270" i="1" s="1"/>
  <c r="AE296" i="1"/>
  <c r="AW296" i="1" s="1"/>
  <c r="AE291" i="1"/>
  <c r="AE273" i="1"/>
  <c r="AW273" i="1" s="1"/>
  <c r="AE262" i="1"/>
  <c r="AE238" i="1"/>
  <c r="AW238" i="1" s="1"/>
  <c r="AE236" i="1"/>
  <c r="AE234" i="1"/>
  <c r="AE224" i="1"/>
  <c r="AE209" i="1"/>
  <c r="AE207" i="1"/>
  <c r="AE194" i="1"/>
  <c r="AW194" i="1" s="1"/>
  <c r="AE186" i="1"/>
  <c r="AE183" i="1"/>
  <c r="AE178" i="1"/>
  <c r="AE176" i="1"/>
  <c r="AE171" i="1"/>
  <c r="AE169" i="1"/>
  <c r="AE150" i="1"/>
  <c r="AE148" i="1"/>
  <c r="AE146" i="1"/>
  <c r="AE138" i="1"/>
  <c r="AE132" i="1"/>
  <c r="AW132" i="1" s="1"/>
  <c r="AE131" i="1"/>
  <c r="AE128" i="1"/>
  <c r="AE86" i="1"/>
  <c r="AE83" i="1"/>
  <c r="AE395" i="1"/>
  <c r="AU395" i="1" s="1"/>
  <c r="AE280" i="1"/>
  <c r="AE277" i="1"/>
  <c r="AE275" i="1"/>
  <c r="AE264" i="1"/>
  <c r="AE252" i="1"/>
  <c r="AE153" i="1"/>
  <c r="AE151" i="1"/>
  <c r="AE144" i="1"/>
  <c r="AE141" i="1"/>
  <c r="AE137" i="1"/>
  <c r="AW137" i="1" s="1"/>
  <c r="AE124" i="1"/>
  <c r="AE110" i="1"/>
  <c r="AE107" i="1"/>
  <c r="AE100" i="1"/>
  <c r="AE98" i="1"/>
  <c r="AE79" i="1"/>
  <c r="AW79" i="1" s="1"/>
  <c r="AE78" i="1"/>
  <c r="AE76" i="1"/>
  <c r="AW76" i="1" s="1"/>
  <c r="AE74" i="1"/>
  <c r="AE57" i="1"/>
  <c r="AE49" i="1"/>
  <c r="AE314" i="1"/>
  <c r="AU314" i="1" s="1"/>
  <c r="AE318" i="1"/>
  <c r="AU318" i="1" s="1"/>
  <c r="AE322" i="1"/>
  <c r="AU322" i="1" s="1"/>
  <c r="AE326" i="1"/>
  <c r="AU326" i="1" s="1"/>
  <c r="AE330" i="1"/>
  <c r="AU330" i="1" s="1"/>
  <c r="AE334" i="1"/>
  <c r="AU334" i="1" s="1"/>
  <c r="AE371" i="1"/>
  <c r="AU371" i="1" s="1"/>
  <c r="AE380" i="1"/>
  <c r="AU380" i="1" s="1"/>
  <c r="AE306" i="1"/>
  <c r="AU306" i="1" s="1"/>
  <c r="AE310" i="1"/>
  <c r="AW310" i="1" s="1"/>
  <c r="AE317" i="1"/>
  <c r="AU317" i="1" s="1"/>
  <c r="AE329" i="1"/>
  <c r="AU329" i="1" s="1"/>
  <c r="AE337" i="1"/>
  <c r="AU337" i="1" s="1"/>
  <c r="AE341" i="1"/>
  <c r="AU341" i="1" s="1"/>
  <c r="AE349" i="1"/>
  <c r="AU349" i="1" s="1"/>
  <c r="AE359" i="1"/>
  <c r="AU359" i="1" s="1"/>
  <c r="AE370" i="1"/>
  <c r="AU370" i="1" s="1"/>
  <c r="AE375" i="1"/>
  <c r="AU375" i="1" s="1"/>
  <c r="AE383" i="1"/>
  <c r="AW383" i="1" s="1"/>
  <c r="AE388" i="1"/>
  <c r="AU388" i="1" s="1"/>
  <c r="AE394" i="1"/>
  <c r="AU394" i="1" s="1"/>
  <c r="AE41" i="1"/>
  <c r="AU41" i="1" s="1"/>
  <c r="AE34" i="1"/>
  <c r="AU34" i="1" s="1"/>
  <c r="AE32" i="1"/>
  <c r="AU32" i="1" s="1"/>
  <c r="AE30" i="1"/>
  <c r="AU30" i="1" s="1"/>
  <c r="AE28" i="1"/>
  <c r="AU28" i="1" s="1"/>
  <c r="AE27" i="1"/>
  <c r="AU27" i="1" s="1"/>
  <c r="AE26" i="1"/>
  <c r="AU26" i="1" s="1"/>
  <c r="AE23" i="1"/>
  <c r="AU23" i="1" s="1"/>
  <c r="AE20" i="1"/>
  <c r="AU20" i="1" s="1"/>
  <c r="AE17" i="1"/>
  <c r="AU17" i="1" s="1"/>
  <c r="G34" i="37" l="1"/>
  <c r="O38" i="44"/>
  <c r="F34" i="37"/>
  <c r="N38" i="44"/>
  <c r="G36" i="37"/>
  <c r="O40" i="44"/>
  <c r="T47" i="57"/>
  <c r="T51" i="57"/>
  <c r="T54" i="57"/>
  <c r="T46" i="57"/>
  <c r="T52" i="57"/>
  <c r="T45" i="57"/>
  <c r="T50" i="57"/>
  <c r="T53" i="57"/>
  <c r="F34" i="41"/>
  <c r="U51" i="57"/>
  <c r="J38" i="44"/>
  <c r="G34" i="41"/>
  <c r="K38" i="44"/>
  <c r="V51" i="57"/>
  <c r="F34" i="40"/>
  <c r="W51" i="57"/>
  <c r="L38" i="44"/>
  <c r="T353" i="57"/>
  <c r="Y52" i="44"/>
  <c r="AK155" i="1"/>
  <c r="T342" i="57"/>
  <c r="Q324" i="57"/>
  <c r="Q431" i="57"/>
  <c r="Q434" i="57" s="1"/>
  <c r="CL257" i="1"/>
  <c r="CM257" i="1" s="1"/>
  <c r="CR257" i="1" s="1"/>
  <c r="CL127" i="1"/>
  <c r="CM127" i="1" s="1"/>
  <c r="CR127" i="1" s="1"/>
  <c r="CL51" i="1"/>
  <c r="CM51" i="1" s="1"/>
  <c r="CR51" i="1" s="1"/>
  <c r="CL67" i="1"/>
  <c r="CM67" i="1" s="1"/>
  <c r="CR67" i="1" s="1"/>
  <c r="CL84" i="1"/>
  <c r="CM84" i="1" s="1"/>
  <c r="CR84" i="1" s="1"/>
  <c r="CL104" i="1"/>
  <c r="CM104" i="1" s="1"/>
  <c r="CR104" i="1" s="1"/>
  <c r="CL161" i="1"/>
  <c r="CM161" i="1" s="1"/>
  <c r="CR161" i="1" s="1"/>
  <c r="CL253" i="1"/>
  <c r="CM253" i="1" s="1"/>
  <c r="CR253" i="1" s="1"/>
  <c r="CL59" i="1"/>
  <c r="CM59" i="1" s="1"/>
  <c r="CL121" i="1"/>
  <c r="CM121" i="1" s="1"/>
  <c r="CL90" i="1"/>
  <c r="CM90" i="1" s="1"/>
  <c r="CL108" i="1"/>
  <c r="CM108" i="1" s="1"/>
  <c r="CL119" i="1"/>
  <c r="CM119" i="1" s="1"/>
  <c r="CL225" i="1"/>
  <c r="CM225" i="1" s="1"/>
  <c r="CL139" i="1"/>
  <c r="CM139" i="1" s="1"/>
  <c r="CL133" i="1"/>
  <c r="CM133" i="1" s="1"/>
  <c r="AM143" i="1"/>
  <c r="AU259" i="1"/>
  <c r="BB259" i="1" s="1"/>
  <c r="AM364" i="1"/>
  <c r="R432" i="58"/>
  <c r="AM39" i="1"/>
  <c r="AM70" i="1"/>
  <c r="R327" i="58"/>
  <c r="AM40" i="1"/>
  <c r="T356" i="57"/>
  <c r="T349" i="57"/>
  <c r="T424" i="57"/>
  <c r="T409" i="57"/>
  <c r="T385" i="57"/>
  <c r="T421" i="57"/>
  <c r="T398" i="57"/>
  <c r="T382" i="57"/>
  <c r="T350" i="57"/>
  <c r="T418" i="57"/>
  <c r="T403" i="57"/>
  <c r="T387" i="57"/>
  <c r="T423" i="57"/>
  <c r="T408" i="57"/>
  <c r="T393" i="57"/>
  <c r="T377" i="57"/>
  <c r="T340" i="57"/>
  <c r="T354" i="57"/>
  <c r="T427" i="57"/>
  <c r="T413" i="57"/>
  <c r="T397" i="57"/>
  <c r="T381" i="57"/>
  <c r="T402" i="57"/>
  <c r="T386" i="57"/>
  <c r="T346" i="57"/>
  <c r="T422" i="57"/>
  <c r="T407" i="57"/>
  <c r="T391" i="57"/>
  <c r="T376" i="57"/>
  <c r="T426" i="57"/>
  <c r="T404" i="57"/>
  <c r="T388" i="57"/>
  <c r="T347" i="57"/>
  <c r="T352" i="57"/>
  <c r="T343" i="57"/>
  <c r="T339" i="57"/>
  <c r="S55" i="57"/>
  <c r="T345" i="57"/>
  <c r="AL189" i="1"/>
  <c r="T357" i="57"/>
  <c r="T417" i="57"/>
  <c r="T401" i="57"/>
  <c r="T378" i="57"/>
  <c r="T428" i="57"/>
  <c r="T406" i="57"/>
  <c r="T390" i="57"/>
  <c r="T341" i="57"/>
  <c r="T425" i="57"/>
  <c r="T411" i="57"/>
  <c r="T395" i="57"/>
  <c r="T379" i="57"/>
  <c r="T430" i="57"/>
  <c r="T416" i="57"/>
  <c r="T400" i="57"/>
  <c r="T384" i="57"/>
  <c r="T348" i="57"/>
  <c r="T420" i="57"/>
  <c r="T405" i="57"/>
  <c r="T389" i="57"/>
  <c r="T374" i="57"/>
  <c r="T410" i="57"/>
  <c r="T394" i="57"/>
  <c r="T375" i="57"/>
  <c r="T351" i="57"/>
  <c r="T429" i="57"/>
  <c r="T415" i="57"/>
  <c r="T399" i="57"/>
  <c r="T383" i="57"/>
  <c r="T412" i="57"/>
  <c r="T396" i="57"/>
  <c r="T380" i="57"/>
  <c r="T355" i="57"/>
  <c r="T65" i="57"/>
  <c r="T344" i="57"/>
  <c r="T419" i="57"/>
  <c r="T392" i="57"/>
  <c r="AK259" i="1"/>
  <c r="AM384" i="1"/>
  <c r="AL346" i="1"/>
  <c r="S380" i="57"/>
  <c r="AK220" i="1"/>
  <c r="Y149" i="52"/>
  <c r="Y227" i="52"/>
  <c r="Y275" i="52"/>
  <c r="Y74" i="52"/>
  <c r="Y261" i="52"/>
  <c r="Y190" i="52"/>
  <c r="Y234" i="52"/>
  <c r="Y326" i="52"/>
  <c r="Y334" i="52"/>
  <c r="Y297" i="52"/>
  <c r="Y283" i="52"/>
  <c r="Y132" i="52"/>
  <c r="Y298" i="52"/>
  <c r="Y274" i="52"/>
  <c r="Y144" i="52"/>
  <c r="Y125" i="52"/>
  <c r="Y314" i="52"/>
  <c r="Y72" i="52"/>
  <c r="Y169" i="52"/>
  <c r="Y247" i="52"/>
  <c r="Y269" i="52"/>
  <c r="Y171" i="52"/>
  <c r="Y330" i="52"/>
  <c r="Y124" i="52"/>
  <c r="Y162" i="52"/>
  <c r="Y185" i="52"/>
  <c r="Y233" i="52"/>
  <c r="Y284" i="52"/>
  <c r="Y71" i="52"/>
  <c r="Y80" i="52"/>
  <c r="Y167" i="52"/>
  <c r="Y179" i="52"/>
  <c r="Y231" i="52"/>
  <c r="Y331" i="52"/>
  <c r="Y221" i="52"/>
  <c r="Y325" i="52"/>
  <c r="Y43" i="52"/>
  <c r="Y49" i="52"/>
  <c r="Y34" i="52"/>
  <c r="Y212" i="52"/>
  <c r="Y244" i="52"/>
  <c r="Y160" i="52"/>
  <c r="Y55" i="52"/>
  <c r="Y296" i="52"/>
  <c r="Y82" i="52"/>
  <c r="Y184" i="52"/>
  <c r="Y153" i="52"/>
  <c r="Y182" i="52"/>
  <c r="BB40" i="1"/>
  <c r="CS51" i="1"/>
  <c r="BR40" i="1"/>
  <c r="BA40" i="1"/>
  <c r="BX40" i="1" s="1"/>
  <c r="BZ40" i="1" s="1"/>
  <c r="BN40" i="1"/>
  <c r="CK143" i="1"/>
  <c r="AL220" i="1"/>
  <c r="BN143" i="1"/>
  <c r="BA143" i="1"/>
  <c r="BX143" i="1" s="1"/>
  <c r="BZ143" i="1" s="1"/>
  <c r="BB143" i="1"/>
  <c r="BR143" i="1"/>
  <c r="BM143" i="1"/>
  <c r="BS143" i="1"/>
  <c r="BL143" i="1"/>
  <c r="AW220" i="1"/>
  <c r="AM220" i="1"/>
  <c r="Y225" i="52"/>
  <c r="BB197" i="1"/>
  <c r="BL40" i="1"/>
  <c r="BM40" i="1"/>
  <c r="BB39" i="1"/>
  <c r="BA39" i="1"/>
  <c r="BX39" i="1" s="1"/>
  <c r="BZ39" i="1" s="1"/>
  <c r="BN39" i="1"/>
  <c r="BM39" i="1"/>
  <c r="BR39" i="1"/>
  <c r="BL39" i="1"/>
  <c r="BS39" i="1"/>
  <c r="AW70" i="1"/>
  <c r="AW189" i="1"/>
  <c r="AK189" i="1"/>
  <c r="AK346" i="1"/>
  <c r="BN384" i="1"/>
  <c r="BB384" i="1"/>
  <c r="BA384" i="1"/>
  <c r="BX384" i="1" s="1"/>
  <c r="BZ384" i="1" s="1"/>
  <c r="BR384" i="1"/>
  <c r="BM384" i="1"/>
  <c r="G395" i="41" s="1"/>
  <c r="BL384" i="1"/>
  <c r="F395" i="41" s="1"/>
  <c r="BS384" i="1"/>
  <c r="BN364" i="1"/>
  <c r="BB364" i="1"/>
  <c r="BA364" i="1"/>
  <c r="BX364" i="1" s="1"/>
  <c r="BZ364" i="1" s="1"/>
  <c r="BR364" i="1"/>
  <c r="BM364" i="1"/>
  <c r="G375" i="41" s="1"/>
  <c r="BL364" i="1"/>
  <c r="F375" i="41" s="1"/>
  <c r="BS364" i="1"/>
  <c r="BN346" i="1"/>
  <c r="BA346" i="1"/>
  <c r="BX346" i="1" s="1"/>
  <c r="BZ346" i="1" s="1"/>
  <c r="BB346" i="1"/>
  <c r="BR346" i="1"/>
  <c r="BM346" i="1"/>
  <c r="G357" i="41" s="1"/>
  <c r="BS346" i="1"/>
  <c r="BL346" i="1"/>
  <c r="AM246" i="1"/>
  <c r="CF59" i="1"/>
  <c r="CF257" i="1"/>
  <c r="CF121" i="1"/>
  <c r="CF127" i="1"/>
  <c r="CF90" i="1"/>
  <c r="CF51" i="1"/>
  <c r="CF108" i="1"/>
  <c r="CF67" i="1"/>
  <c r="CF119" i="1"/>
  <c r="CF84" i="1"/>
  <c r="CF225" i="1"/>
  <c r="CF104" i="1"/>
  <c r="CF139" i="1"/>
  <c r="CF161" i="1"/>
  <c r="CF133" i="1"/>
  <c r="CF253" i="1"/>
  <c r="AM286" i="1"/>
  <c r="BA259" i="1"/>
  <c r="BX259" i="1" s="1"/>
  <c r="BZ259" i="1" s="1"/>
  <c r="BL259" i="1"/>
  <c r="AL38" i="1"/>
  <c r="CN38" i="1"/>
  <c r="AW260" i="1"/>
  <c r="AK245" i="1"/>
  <c r="BT38" i="1"/>
  <c r="AL259" i="1"/>
  <c r="AM260" i="1"/>
  <c r="CP259" i="1"/>
  <c r="BF259" i="1"/>
  <c r="BQ38" i="1"/>
  <c r="AL281" i="1"/>
  <c r="AK281" i="1"/>
  <c r="AL155" i="1"/>
  <c r="AK38" i="1"/>
  <c r="BA286" i="1"/>
  <c r="BX286" i="1" s="1"/>
  <c r="BZ286" i="1" s="1"/>
  <c r="BN286" i="1"/>
  <c r="BB286" i="1"/>
  <c r="BS286" i="1"/>
  <c r="BM286" i="1"/>
  <c r="BL286" i="1"/>
  <c r="BR286" i="1"/>
  <c r="BA246" i="1"/>
  <c r="BX246" i="1" s="1"/>
  <c r="BZ246" i="1" s="1"/>
  <c r="BN246" i="1"/>
  <c r="BB246" i="1"/>
  <c r="BS246" i="1"/>
  <c r="BM246" i="1"/>
  <c r="BR246" i="1"/>
  <c r="BL246" i="1"/>
  <c r="CS257" i="1"/>
  <c r="AL245" i="1"/>
  <c r="AJ52" i="44"/>
  <c r="CP267" i="1"/>
  <c r="AK386" i="1"/>
  <c r="AL289" i="1"/>
  <c r="AL221" i="1"/>
  <c r="BF245" i="1"/>
  <c r="AM297" i="1"/>
  <c r="AM381" i="1"/>
  <c r="T52" i="44"/>
  <c r="CS59" i="1"/>
  <c r="CP221" i="1"/>
  <c r="AK324" i="1"/>
  <c r="AL283" i="1"/>
  <c r="AK267" i="1"/>
  <c r="AW381" i="1"/>
  <c r="BF267" i="1"/>
  <c r="BF221" i="1"/>
  <c r="BB297" i="1"/>
  <c r="BA297" i="1"/>
  <c r="BX297" i="1" s="1"/>
  <c r="BN297" i="1"/>
  <c r="BR297" i="1"/>
  <c r="BM297" i="1"/>
  <c r="BS297" i="1"/>
  <c r="BL297" i="1"/>
  <c r="BW119" i="1"/>
  <c r="BM155" i="1"/>
  <c r="CS127" i="1"/>
  <c r="AL267" i="1"/>
  <c r="AL391" i="1"/>
  <c r="AK17" i="1"/>
  <c r="AU245" i="1"/>
  <c r="CP245" i="1"/>
  <c r="BN102" i="1"/>
  <c r="AL274" i="1"/>
  <c r="AU221" i="1"/>
  <c r="AK221" i="1"/>
  <c r="AU267" i="1"/>
  <c r="U58" i="52"/>
  <c r="S447" i="52"/>
  <c r="Y39" i="52"/>
  <c r="Y48" i="52"/>
  <c r="Y395" i="52"/>
  <c r="Y364" i="52"/>
  <c r="Y419" i="52"/>
  <c r="Y377" i="52"/>
  <c r="Y361" i="52"/>
  <c r="Y36" i="52"/>
  <c r="Y44" i="52"/>
  <c r="Y46" i="52"/>
  <c r="Y50" i="52"/>
  <c r="Y56" i="52"/>
  <c r="Y434" i="52"/>
  <c r="Y423" i="52"/>
  <c r="Y408" i="52"/>
  <c r="Y388" i="52"/>
  <c r="Y376" i="52"/>
  <c r="Y428" i="52"/>
  <c r="Y381" i="52"/>
  <c r="Y373" i="52"/>
  <c r="Y365" i="52"/>
  <c r="Y442" i="52"/>
  <c r="Y404" i="52"/>
  <c r="Y392" i="52"/>
  <c r="Y368" i="52"/>
  <c r="Y435" i="52"/>
  <c r="Y424" i="52"/>
  <c r="Y409" i="52"/>
  <c r="Y354" i="52"/>
  <c r="Y374" i="52"/>
  <c r="Y366" i="52"/>
  <c r="Y358" i="52"/>
  <c r="Y417" i="52"/>
  <c r="Y394" i="52"/>
  <c r="Y367" i="52"/>
  <c r="Y359" i="52"/>
  <c r="Y416" i="52"/>
  <c r="Y406" i="52"/>
  <c r="Y390" i="52"/>
  <c r="Y382" i="52"/>
  <c r="Y429" i="52"/>
  <c r="Y411" i="52"/>
  <c r="Y403" i="52"/>
  <c r="Y391" i="52"/>
  <c r="Y413" i="52"/>
  <c r="Y440" i="52"/>
  <c r="Y437" i="52"/>
  <c r="Y35" i="52"/>
  <c r="Y53" i="52"/>
  <c r="Y51" i="52"/>
  <c r="Y412" i="52"/>
  <c r="Y436" i="52"/>
  <c r="BB155" i="1"/>
  <c r="Y33" i="52"/>
  <c r="Y45" i="52"/>
  <c r="Y52" i="52"/>
  <c r="Y441" i="52"/>
  <c r="Y418" i="52"/>
  <c r="Y384" i="52"/>
  <c r="Y353" i="52"/>
  <c r="Y369" i="52"/>
  <c r="Y414" i="52"/>
  <c r="Y380" i="52"/>
  <c r="Y360" i="52"/>
  <c r="Y431" i="52"/>
  <c r="Y415" i="52"/>
  <c r="Y405" i="52"/>
  <c r="Y385" i="52"/>
  <c r="Y438" i="52"/>
  <c r="Y378" i="52"/>
  <c r="Y370" i="52"/>
  <c r="Y362" i="52"/>
  <c r="Y439" i="52"/>
  <c r="Y422" i="52"/>
  <c r="Y399" i="52"/>
  <c r="Y383" i="52"/>
  <c r="Y363" i="52"/>
  <c r="Y356" i="52"/>
  <c r="Y420" i="52"/>
  <c r="Y410" i="52"/>
  <c r="Y393" i="52"/>
  <c r="Y386" i="52"/>
  <c r="Y355" i="52"/>
  <c r="Y426" i="52"/>
  <c r="Y407" i="52"/>
  <c r="Y443" i="52"/>
  <c r="Y387" i="52"/>
  <c r="Y375" i="52"/>
  <c r="Y421" i="52"/>
  <c r="Y54" i="52"/>
  <c r="Y57" i="52"/>
  <c r="Y38" i="52"/>
  <c r="Y40" i="52"/>
  <c r="Y37" i="52"/>
  <c r="Y47" i="52"/>
  <c r="Y398" i="52"/>
  <c r="Y371" i="52"/>
  <c r="BN386" i="1"/>
  <c r="F397" i="40" s="1"/>
  <c r="Y432" i="52"/>
  <c r="Z41" i="52"/>
  <c r="AB41" i="52" s="1"/>
  <c r="Y41" i="52"/>
  <c r="BR157" i="1"/>
  <c r="Y42" i="52"/>
  <c r="BA102" i="1"/>
  <c r="BX102" i="1" s="1"/>
  <c r="Z125" i="52" s="1"/>
  <c r="AB125" i="52" s="1"/>
  <c r="BS129" i="1"/>
  <c r="AU287" i="1"/>
  <c r="BM157" i="1"/>
  <c r="AK289" i="1"/>
  <c r="AL85" i="1"/>
  <c r="AK391" i="1"/>
  <c r="BL129" i="1"/>
  <c r="BM102" i="1"/>
  <c r="Z304" i="52"/>
  <c r="AB304" i="52" s="1"/>
  <c r="BA155" i="1"/>
  <c r="BX155" i="1" s="1"/>
  <c r="Z182" i="52" s="1"/>
  <c r="AB182" i="52" s="1"/>
  <c r="AW289" i="1"/>
  <c r="BL157" i="1"/>
  <c r="BL155" i="1"/>
  <c r="BA281" i="1"/>
  <c r="BX281" i="1" s="1"/>
  <c r="Z314" i="52" s="1"/>
  <c r="AB314" i="52" s="1"/>
  <c r="BM281" i="1"/>
  <c r="BR281" i="1"/>
  <c r="BB281" i="1"/>
  <c r="AL17" i="1"/>
  <c r="AL52" i="1"/>
  <c r="AK85" i="1"/>
  <c r="BN281" i="1"/>
  <c r="BL281" i="1"/>
  <c r="BS281" i="1"/>
  <c r="BA129" i="1"/>
  <c r="BX129" i="1" s="1"/>
  <c r="Z153" i="52" s="1"/>
  <c r="AB153" i="52" s="1"/>
  <c r="BN129" i="1"/>
  <c r="AK266" i="1"/>
  <c r="BN157" i="1"/>
  <c r="AL241" i="1"/>
  <c r="BR102" i="1"/>
  <c r="BS155" i="1"/>
  <c r="BR155" i="1"/>
  <c r="BN155" i="1"/>
  <c r="AL214" i="1"/>
  <c r="BR386" i="1"/>
  <c r="AL37" i="1"/>
  <c r="AL377" i="1"/>
  <c r="AK37" i="1"/>
  <c r="BA386" i="1"/>
  <c r="BX386" i="1" s="1"/>
  <c r="AK214" i="1"/>
  <c r="AM155" i="1"/>
  <c r="AK120" i="1"/>
  <c r="AK58" i="1"/>
  <c r="AK92" i="1"/>
  <c r="AK249" i="1"/>
  <c r="AL197" i="1"/>
  <c r="AK283" i="1"/>
  <c r="AK52" i="1"/>
  <c r="AK197" i="1"/>
  <c r="AL266" i="1"/>
  <c r="BR129" i="1"/>
  <c r="BM129" i="1"/>
  <c r="BA157" i="1"/>
  <c r="BX157" i="1" s="1"/>
  <c r="Z184" i="52" s="1"/>
  <c r="AB184" i="52" s="1"/>
  <c r="BS157" i="1"/>
  <c r="CP287" i="1"/>
  <c r="BF287" i="1"/>
  <c r="BL102" i="1"/>
  <c r="BS102" i="1"/>
  <c r="AK241" i="1"/>
  <c r="AK274" i="1"/>
  <c r="AK201" i="1"/>
  <c r="AL92" i="1"/>
  <c r="AL386" i="1"/>
  <c r="BL386" i="1"/>
  <c r="F397" i="41" s="1"/>
  <c r="AL324" i="1"/>
  <c r="AL215" i="1"/>
  <c r="AL201" i="1"/>
  <c r="AK215" i="1"/>
  <c r="AL249" i="1"/>
  <c r="AK377" i="1"/>
  <c r="AL120" i="1"/>
  <c r="AL58" i="1"/>
  <c r="BB25" i="1"/>
  <c r="BB31" i="1"/>
  <c r="BB18" i="1"/>
  <c r="BB250" i="1"/>
  <c r="BB184" i="1"/>
  <c r="BB214" i="1"/>
  <c r="BB134" i="1"/>
  <c r="BB157" i="1"/>
  <c r="BB102" i="1"/>
  <c r="BB129" i="1"/>
  <c r="BB109" i="1"/>
  <c r="BB266" i="1"/>
  <c r="BN37" i="1"/>
  <c r="BB386" i="1"/>
  <c r="BS386" i="1"/>
  <c r="BM386" i="1"/>
  <c r="G397" i="41" s="1"/>
  <c r="BF76" i="1"/>
  <c r="AL363" i="1"/>
  <c r="AK212" i="1"/>
  <c r="BF132" i="1"/>
  <c r="BF377" i="1"/>
  <c r="AK390" i="1"/>
  <c r="BA120" i="1"/>
  <c r="BX120" i="1" s="1"/>
  <c r="Z144" i="52" s="1"/>
  <c r="AB144" i="52" s="1"/>
  <c r="BB120" i="1"/>
  <c r="BN120" i="1"/>
  <c r="BM120" i="1"/>
  <c r="BR120" i="1"/>
  <c r="BS120" i="1"/>
  <c r="BL120" i="1"/>
  <c r="AL390" i="1"/>
  <c r="AL212" i="1"/>
  <c r="Z296" i="52"/>
  <c r="AB296" i="52" s="1"/>
  <c r="BB390" i="1"/>
  <c r="BN390" i="1"/>
  <c r="F401" i="40" s="1"/>
  <c r="BA390" i="1"/>
  <c r="BX390" i="1" s="1"/>
  <c r="Z436" i="52" s="1"/>
  <c r="AB436" i="52" s="1"/>
  <c r="BS390" i="1"/>
  <c r="BL390" i="1"/>
  <c r="F401" i="41" s="1"/>
  <c r="BR390" i="1"/>
  <c r="BM390" i="1"/>
  <c r="G401" i="41" s="1"/>
  <c r="AW212" i="1"/>
  <c r="BB324" i="1"/>
  <c r="BN324" i="1"/>
  <c r="F335" i="40" s="1"/>
  <c r="BA324" i="1"/>
  <c r="BX324" i="1" s="1"/>
  <c r="Z371" i="52" s="1"/>
  <c r="AB371" i="52" s="1"/>
  <c r="BS324" i="1"/>
  <c r="BL324" i="1"/>
  <c r="F335" i="41" s="1"/>
  <c r="BR324" i="1"/>
  <c r="BM324" i="1"/>
  <c r="G335" i="41" s="1"/>
  <c r="BA58" i="1"/>
  <c r="BX58" i="1" s="1"/>
  <c r="Z82" i="52" s="1"/>
  <c r="AB82" i="52" s="1"/>
  <c r="BB58" i="1"/>
  <c r="BN58" i="1"/>
  <c r="BM58" i="1"/>
  <c r="BR58" i="1"/>
  <c r="BS58" i="1"/>
  <c r="BL58" i="1"/>
  <c r="CS133" i="1"/>
  <c r="AW92" i="1"/>
  <c r="AK363" i="1"/>
  <c r="BB363" i="1"/>
  <c r="BN363" i="1"/>
  <c r="F374" i="40" s="1"/>
  <c r="BA363" i="1"/>
  <c r="BX363" i="1" s="1"/>
  <c r="Z412" i="52" s="1"/>
  <c r="AB412" i="52" s="1"/>
  <c r="BS363" i="1"/>
  <c r="BM363" i="1"/>
  <c r="G374" i="41" s="1"/>
  <c r="BL363" i="1"/>
  <c r="F374" i="41" s="1"/>
  <c r="BR363" i="1"/>
  <c r="BF208" i="1"/>
  <c r="BF96" i="1"/>
  <c r="BF200" i="1"/>
  <c r="CP76" i="1"/>
  <c r="CP132" i="1"/>
  <c r="BA17" i="1"/>
  <c r="BX17" i="1" s="1"/>
  <c r="Z33" i="52" s="1"/>
  <c r="BB17" i="1"/>
  <c r="BA27" i="1"/>
  <c r="BX27" i="1" s="1"/>
  <c r="Z45" i="52" s="1"/>
  <c r="AB45" i="52" s="1"/>
  <c r="BB27" i="1"/>
  <c r="BA34" i="1"/>
  <c r="BX34" i="1" s="1"/>
  <c r="Z52" i="52" s="1"/>
  <c r="AB52" i="52" s="1"/>
  <c r="BB34" i="1"/>
  <c r="BA394" i="1"/>
  <c r="BX394" i="1" s="1"/>
  <c r="Z441" i="52" s="1"/>
  <c r="AB441" i="52" s="1"/>
  <c r="BB394" i="1"/>
  <c r="BA349" i="1"/>
  <c r="BX349" i="1" s="1"/>
  <c r="Z395" i="52" s="1"/>
  <c r="AB395" i="52" s="1"/>
  <c r="BB349" i="1"/>
  <c r="BA317" i="1"/>
  <c r="BX317" i="1" s="1"/>
  <c r="Z364" i="52" s="1"/>
  <c r="AB364" i="52" s="1"/>
  <c r="BB317" i="1"/>
  <c r="BA371" i="1"/>
  <c r="BX371" i="1" s="1"/>
  <c r="Z419" i="52" s="1"/>
  <c r="AB419" i="52" s="1"/>
  <c r="BB371" i="1"/>
  <c r="BA330" i="1"/>
  <c r="BX330" i="1" s="1"/>
  <c r="Z377" i="52" s="1"/>
  <c r="AB377" i="52" s="1"/>
  <c r="BB330" i="1"/>
  <c r="BA322" i="1"/>
  <c r="BX322" i="1" s="1"/>
  <c r="Z369" i="52" s="1"/>
  <c r="AB369" i="52" s="1"/>
  <c r="BB322" i="1"/>
  <c r="BA314" i="1"/>
  <c r="BX314" i="1" s="1"/>
  <c r="Z361" i="52" s="1"/>
  <c r="AB361" i="52" s="1"/>
  <c r="BB314" i="1"/>
  <c r="BA366" i="1"/>
  <c r="BX366" i="1" s="1"/>
  <c r="Z414" i="52" s="1"/>
  <c r="AB414" i="52" s="1"/>
  <c r="BB366" i="1"/>
  <c r="BA333" i="1"/>
  <c r="BX333" i="1" s="1"/>
  <c r="Z380" i="52" s="1"/>
  <c r="AB380" i="52" s="1"/>
  <c r="BB333" i="1"/>
  <c r="BA313" i="1"/>
  <c r="BX313" i="1" s="1"/>
  <c r="Z360" i="52" s="1"/>
  <c r="AB360" i="52" s="1"/>
  <c r="BB313" i="1"/>
  <c r="BA385" i="1"/>
  <c r="BX385" i="1" s="1"/>
  <c r="Z431" i="52" s="1"/>
  <c r="AB431" i="52" s="1"/>
  <c r="BB385" i="1"/>
  <c r="BA367" i="1"/>
  <c r="BX367" i="1" s="1"/>
  <c r="Z415" i="52" s="1"/>
  <c r="AB415" i="52" s="1"/>
  <c r="BB367" i="1"/>
  <c r="Z405" i="52"/>
  <c r="AB405" i="52" s="1"/>
  <c r="BA338" i="1"/>
  <c r="BX338" i="1" s="1"/>
  <c r="Z385" i="52" s="1"/>
  <c r="AB385" i="52" s="1"/>
  <c r="BB338" i="1"/>
  <c r="BA392" i="1"/>
  <c r="BX392" i="1" s="1"/>
  <c r="Z438" i="52" s="1"/>
  <c r="AB438" i="52" s="1"/>
  <c r="BB392" i="1"/>
  <c r="BA327" i="1"/>
  <c r="BX327" i="1" s="1"/>
  <c r="Z374" i="52" s="1"/>
  <c r="AB374" i="52" s="1"/>
  <c r="BB327" i="1"/>
  <c r="BA319" i="1"/>
  <c r="BX319" i="1" s="1"/>
  <c r="Z366" i="52" s="1"/>
  <c r="AB366" i="52" s="1"/>
  <c r="BB319" i="1"/>
  <c r="BA311" i="1"/>
  <c r="BX311" i="1" s="1"/>
  <c r="Z358" i="52" s="1"/>
  <c r="AB358" i="52" s="1"/>
  <c r="BB311" i="1"/>
  <c r="BA369" i="1"/>
  <c r="BX369" i="1" s="1"/>
  <c r="Z417" i="52" s="1"/>
  <c r="AB417" i="52" s="1"/>
  <c r="BB369" i="1"/>
  <c r="BA348" i="1"/>
  <c r="BX348" i="1" s="1"/>
  <c r="Z394" i="52" s="1"/>
  <c r="AB394" i="52" s="1"/>
  <c r="BB348" i="1"/>
  <c r="BA320" i="1"/>
  <c r="BX320" i="1" s="1"/>
  <c r="Z367" i="52" s="1"/>
  <c r="AB367" i="52" s="1"/>
  <c r="BB320" i="1"/>
  <c r="BA312" i="1"/>
  <c r="BX312" i="1" s="1"/>
  <c r="Z359" i="52" s="1"/>
  <c r="AB359" i="52" s="1"/>
  <c r="BB312" i="1"/>
  <c r="BA368" i="1"/>
  <c r="BX368" i="1" s="1"/>
  <c r="Z416" i="52" s="1"/>
  <c r="AB416" i="52" s="1"/>
  <c r="BB368" i="1"/>
  <c r="BA357" i="1"/>
  <c r="BX357" i="1" s="1"/>
  <c r="Z406" i="52" s="1"/>
  <c r="AB406" i="52" s="1"/>
  <c r="BB357" i="1"/>
  <c r="BA343" i="1"/>
  <c r="BX343" i="1" s="1"/>
  <c r="Z390" i="52" s="1"/>
  <c r="AB390" i="52" s="1"/>
  <c r="BB343" i="1"/>
  <c r="BA335" i="1"/>
  <c r="BX335" i="1" s="1"/>
  <c r="Z382" i="52" s="1"/>
  <c r="AB382" i="52" s="1"/>
  <c r="BB335" i="1"/>
  <c r="BA382" i="1"/>
  <c r="BX382" i="1" s="1"/>
  <c r="Z429" i="52" s="1"/>
  <c r="AB429" i="52" s="1"/>
  <c r="BB382" i="1"/>
  <c r="BA362" i="1"/>
  <c r="BX362" i="1" s="1"/>
  <c r="Z411" i="52" s="1"/>
  <c r="AB411" i="52" s="1"/>
  <c r="BB362" i="1"/>
  <c r="BA355" i="1"/>
  <c r="BX355" i="1" s="1"/>
  <c r="Z403" i="52" s="1"/>
  <c r="AB403" i="52" s="1"/>
  <c r="BB355" i="1"/>
  <c r="BA344" i="1"/>
  <c r="BX344" i="1" s="1"/>
  <c r="Z391" i="52" s="1"/>
  <c r="AB391" i="52" s="1"/>
  <c r="BB344" i="1"/>
  <c r="BA48" i="1"/>
  <c r="BX48" i="1" s="1"/>
  <c r="Z72" i="52" s="1"/>
  <c r="AB72" i="52" s="1"/>
  <c r="BB48" i="1"/>
  <c r="BA125" i="1"/>
  <c r="BX125" i="1" s="1"/>
  <c r="Z149" i="52" s="1"/>
  <c r="AB149" i="52" s="1"/>
  <c r="BB125" i="1"/>
  <c r="BA142" i="1"/>
  <c r="BX142" i="1" s="1"/>
  <c r="Z169" i="52" s="1"/>
  <c r="AB169" i="52" s="1"/>
  <c r="BB142" i="1"/>
  <c r="BA199" i="1"/>
  <c r="BX199" i="1" s="1"/>
  <c r="Z227" i="52" s="1"/>
  <c r="AB227" i="52" s="1"/>
  <c r="BB199" i="1"/>
  <c r="BA217" i="1"/>
  <c r="BX217" i="1" s="1"/>
  <c r="Z247" i="52" s="1"/>
  <c r="AB247" i="52" s="1"/>
  <c r="BB217" i="1"/>
  <c r="BA242" i="1"/>
  <c r="BX242" i="1" s="1"/>
  <c r="Z275" i="52" s="1"/>
  <c r="AB275" i="52" s="1"/>
  <c r="BB242" i="1"/>
  <c r="BA237" i="1"/>
  <c r="BX237" i="1" s="1"/>
  <c r="Z269" i="52" s="1"/>
  <c r="AB269" i="52" s="1"/>
  <c r="BB237" i="1"/>
  <c r="BA50" i="1"/>
  <c r="BX50" i="1" s="1"/>
  <c r="Z74" i="52" s="1"/>
  <c r="AB74" i="52" s="1"/>
  <c r="BB50" i="1"/>
  <c r="BA140" i="1"/>
  <c r="BX140" i="1" s="1"/>
  <c r="Z167" i="52" s="1"/>
  <c r="AB167" i="52" s="1"/>
  <c r="BB140" i="1"/>
  <c r="BA152" i="1"/>
  <c r="BX152" i="1" s="1"/>
  <c r="Z179" i="52" s="1"/>
  <c r="AB179" i="52" s="1"/>
  <c r="BB152" i="1"/>
  <c r="BA203" i="1"/>
  <c r="BX203" i="1" s="1"/>
  <c r="Z231" i="52" s="1"/>
  <c r="AB231" i="52" s="1"/>
  <c r="BB203" i="1"/>
  <c r="BA300" i="1"/>
  <c r="BX300" i="1" s="1"/>
  <c r="Z331" i="52" s="1"/>
  <c r="AB331" i="52" s="1"/>
  <c r="BB300" i="1"/>
  <c r="BA373" i="1"/>
  <c r="BX373" i="1" s="1"/>
  <c r="Z421" i="52" s="1"/>
  <c r="AB421" i="52" s="1"/>
  <c r="BB373" i="1"/>
  <c r="BA36" i="1"/>
  <c r="BX36" i="1" s="1"/>
  <c r="Z54" i="52" s="1"/>
  <c r="AB54" i="52" s="1"/>
  <c r="BB36" i="1"/>
  <c r="BA163" i="1"/>
  <c r="BX163" i="1" s="1"/>
  <c r="Z190" i="52" s="1"/>
  <c r="AB190" i="52" s="1"/>
  <c r="BB163" i="1"/>
  <c r="BA298" i="1"/>
  <c r="BX298" i="1" s="1"/>
  <c r="Z330" i="52" s="1"/>
  <c r="AB330" i="52" s="1"/>
  <c r="BB298" i="1"/>
  <c r="BA206" i="1"/>
  <c r="BX206" i="1" s="1"/>
  <c r="Z234" i="52" s="1"/>
  <c r="AB234" i="52" s="1"/>
  <c r="BB206" i="1"/>
  <c r="Z57" i="52"/>
  <c r="AB57" i="52" s="1"/>
  <c r="BA22" i="1"/>
  <c r="BX22" i="1" s="1"/>
  <c r="Z38" i="52" s="1"/>
  <c r="AB38" i="52" s="1"/>
  <c r="BB22" i="1"/>
  <c r="BA24" i="1"/>
  <c r="BX24" i="1" s="1"/>
  <c r="Z40" i="52" s="1"/>
  <c r="AB40" i="52" s="1"/>
  <c r="BB24" i="1"/>
  <c r="BA21" i="1"/>
  <c r="BX21" i="1" s="1"/>
  <c r="Z37" i="52" s="1"/>
  <c r="AB37" i="52" s="1"/>
  <c r="BB21" i="1"/>
  <c r="BA29" i="1"/>
  <c r="BX29" i="1" s="1"/>
  <c r="Z47" i="52" s="1"/>
  <c r="AB47" i="52" s="1"/>
  <c r="BB29" i="1"/>
  <c r="BB37" i="1"/>
  <c r="BA23" i="1"/>
  <c r="BX23" i="1" s="1"/>
  <c r="Z39" i="52" s="1"/>
  <c r="AB39" i="52" s="1"/>
  <c r="BB23" i="1"/>
  <c r="BA30" i="1"/>
  <c r="BX30" i="1" s="1"/>
  <c r="Z48" i="52" s="1"/>
  <c r="AB48" i="52" s="1"/>
  <c r="BB30" i="1"/>
  <c r="BA370" i="1"/>
  <c r="BX370" i="1" s="1"/>
  <c r="Z418" i="52" s="1"/>
  <c r="AB418" i="52" s="1"/>
  <c r="BB370" i="1"/>
  <c r="BA337" i="1"/>
  <c r="BX337" i="1" s="1"/>
  <c r="Z384" i="52" s="1"/>
  <c r="AB384" i="52" s="1"/>
  <c r="BB337" i="1"/>
  <c r="BA306" i="1"/>
  <c r="BX306" i="1" s="1"/>
  <c r="Z353" i="52" s="1"/>
  <c r="AB353" i="52" s="1"/>
  <c r="BB306" i="1"/>
  <c r="BA20" i="1"/>
  <c r="BX20" i="1" s="1"/>
  <c r="Z36" i="52" s="1"/>
  <c r="AB36" i="52" s="1"/>
  <c r="BB20" i="1"/>
  <c r="BA26" i="1"/>
  <c r="BX26" i="1" s="1"/>
  <c r="Z44" i="52" s="1"/>
  <c r="AB44" i="52" s="1"/>
  <c r="BB26" i="1"/>
  <c r="BA28" i="1"/>
  <c r="BX28" i="1" s="1"/>
  <c r="Z46" i="52" s="1"/>
  <c r="AB46" i="52" s="1"/>
  <c r="BB28" i="1"/>
  <c r="BA32" i="1"/>
  <c r="BX32" i="1" s="1"/>
  <c r="Z50" i="52" s="1"/>
  <c r="AB50" i="52" s="1"/>
  <c r="BB32" i="1"/>
  <c r="BA41" i="1"/>
  <c r="BX41" i="1" s="1"/>
  <c r="Z56" i="52" s="1"/>
  <c r="AB56" i="52" s="1"/>
  <c r="BB41" i="1"/>
  <c r="BA388" i="1"/>
  <c r="BX388" i="1" s="1"/>
  <c r="Z434" i="52" s="1"/>
  <c r="AB434" i="52" s="1"/>
  <c r="BB388" i="1"/>
  <c r="BA375" i="1"/>
  <c r="BX375" i="1" s="1"/>
  <c r="Z423" i="52" s="1"/>
  <c r="AB423" i="52" s="1"/>
  <c r="BB375" i="1"/>
  <c r="BA359" i="1"/>
  <c r="BX359" i="1" s="1"/>
  <c r="Z408" i="52" s="1"/>
  <c r="AB408" i="52" s="1"/>
  <c r="BB359" i="1"/>
  <c r="BA341" i="1"/>
  <c r="BX341" i="1" s="1"/>
  <c r="Z388" i="52" s="1"/>
  <c r="AB388" i="52" s="1"/>
  <c r="BB341" i="1"/>
  <c r="BA329" i="1"/>
  <c r="BX329" i="1" s="1"/>
  <c r="Z376" i="52" s="1"/>
  <c r="AB376" i="52" s="1"/>
  <c r="BB329" i="1"/>
  <c r="BA380" i="1"/>
  <c r="BX380" i="1" s="1"/>
  <c r="Z428" i="52" s="1"/>
  <c r="AB428" i="52" s="1"/>
  <c r="BB380" i="1"/>
  <c r="BA334" i="1"/>
  <c r="BX334" i="1" s="1"/>
  <c r="Z381" i="52" s="1"/>
  <c r="AB381" i="52" s="1"/>
  <c r="BB334" i="1"/>
  <c r="BA326" i="1"/>
  <c r="BX326" i="1" s="1"/>
  <c r="Z373" i="52" s="1"/>
  <c r="AB373" i="52" s="1"/>
  <c r="BB326" i="1"/>
  <c r="BA318" i="1"/>
  <c r="BX318" i="1" s="1"/>
  <c r="Z365" i="52" s="1"/>
  <c r="AB365" i="52" s="1"/>
  <c r="BB318" i="1"/>
  <c r="BA395" i="1"/>
  <c r="BX395" i="1" s="1"/>
  <c r="Z442" i="52" s="1"/>
  <c r="AB442" i="52" s="1"/>
  <c r="BB395" i="1"/>
  <c r="BA356" i="1"/>
  <c r="BX356" i="1" s="1"/>
  <c r="Z404" i="52" s="1"/>
  <c r="AB404" i="52" s="1"/>
  <c r="BB356" i="1"/>
  <c r="BA345" i="1"/>
  <c r="BX345" i="1" s="1"/>
  <c r="Z392" i="52" s="1"/>
  <c r="AB392" i="52" s="1"/>
  <c r="BB345" i="1"/>
  <c r="BA321" i="1"/>
  <c r="BX321" i="1" s="1"/>
  <c r="Z368" i="52" s="1"/>
  <c r="AB368" i="52" s="1"/>
  <c r="BB321" i="1"/>
  <c r="BA389" i="1"/>
  <c r="BX389" i="1" s="1"/>
  <c r="Z435" i="52" s="1"/>
  <c r="AB435" i="52" s="1"/>
  <c r="BB389" i="1"/>
  <c r="BA376" i="1"/>
  <c r="BX376" i="1" s="1"/>
  <c r="Z424" i="52" s="1"/>
  <c r="AB424" i="52" s="1"/>
  <c r="BB376" i="1"/>
  <c r="BA360" i="1"/>
  <c r="BX360" i="1" s="1"/>
  <c r="Z409" i="52" s="1"/>
  <c r="AB409" i="52" s="1"/>
  <c r="BB360" i="1"/>
  <c r="BA307" i="1"/>
  <c r="BX307" i="1" s="1"/>
  <c r="Z354" i="52" s="1"/>
  <c r="AB354" i="52" s="1"/>
  <c r="BB307" i="1"/>
  <c r="BA331" i="1"/>
  <c r="BX331" i="1" s="1"/>
  <c r="Z378" i="52" s="1"/>
  <c r="AB378" i="52" s="1"/>
  <c r="BB331" i="1"/>
  <c r="BA323" i="1"/>
  <c r="BX323" i="1" s="1"/>
  <c r="Z370" i="52" s="1"/>
  <c r="AB370" i="52" s="1"/>
  <c r="BB323" i="1"/>
  <c r="BA315" i="1"/>
  <c r="BX315" i="1" s="1"/>
  <c r="Z362" i="52" s="1"/>
  <c r="AB362" i="52" s="1"/>
  <c r="BB315" i="1"/>
  <c r="BA393" i="1"/>
  <c r="BX393" i="1" s="1"/>
  <c r="Z439" i="52" s="1"/>
  <c r="AB439" i="52" s="1"/>
  <c r="BB393" i="1"/>
  <c r="BA374" i="1"/>
  <c r="BX374" i="1" s="1"/>
  <c r="Z422" i="52" s="1"/>
  <c r="AB422" i="52" s="1"/>
  <c r="BB374" i="1"/>
  <c r="Z399" i="52"/>
  <c r="AB399" i="52" s="1"/>
  <c r="BA336" i="1"/>
  <c r="BX336" i="1" s="1"/>
  <c r="Z383" i="52" s="1"/>
  <c r="AB383" i="52" s="1"/>
  <c r="BB336" i="1"/>
  <c r="BA316" i="1"/>
  <c r="BX316" i="1" s="1"/>
  <c r="Z363" i="52" s="1"/>
  <c r="AB363" i="52" s="1"/>
  <c r="BB316" i="1"/>
  <c r="BA309" i="1"/>
  <c r="BX309" i="1" s="1"/>
  <c r="Z356" i="52" s="1"/>
  <c r="AB356" i="52" s="1"/>
  <c r="BB309" i="1"/>
  <c r="BA372" i="1"/>
  <c r="BX372" i="1" s="1"/>
  <c r="Z420" i="52" s="1"/>
  <c r="AB420" i="52" s="1"/>
  <c r="BB372" i="1"/>
  <c r="BA361" i="1"/>
  <c r="BX361" i="1" s="1"/>
  <c r="Z410" i="52" s="1"/>
  <c r="AB410" i="52" s="1"/>
  <c r="BB361" i="1"/>
  <c r="BA347" i="1"/>
  <c r="BX347" i="1" s="1"/>
  <c r="Z393" i="52" s="1"/>
  <c r="AB393" i="52" s="1"/>
  <c r="BB347" i="1"/>
  <c r="BA339" i="1"/>
  <c r="BX339" i="1" s="1"/>
  <c r="Z386" i="52" s="1"/>
  <c r="AB386" i="52" s="1"/>
  <c r="BB339" i="1"/>
  <c r="BA308" i="1"/>
  <c r="BX308" i="1" s="1"/>
  <c r="Z355" i="52" s="1"/>
  <c r="AB355" i="52" s="1"/>
  <c r="BB308" i="1"/>
  <c r="BA378" i="1"/>
  <c r="BX378" i="1" s="1"/>
  <c r="Z426" i="52" s="1"/>
  <c r="AB426" i="52" s="1"/>
  <c r="BB378" i="1"/>
  <c r="BA358" i="1"/>
  <c r="BX358" i="1" s="1"/>
  <c r="Z407" i="52" s="1"/>
  <c r="AB407" i="52" s="1"/>
  <c r="BB358" i="1"/>
  <c r="BA396" i="1"/>
  <c r="BX396" i="1" s="1"/>
  <c r="Z443" i="52" s="1"/>
  <c r="AB443" i="52" s="1"/>
  <c r="BB396" i="1"/>
  <c r="BA340" i="1"/>
  <c r="BX340" i="1" s="1"/>
  <c r="Z387" i="52" s="1"/>
  <c r="AB387" i="52" s="1"/>
  <c r="BB340" i="1"/>
  <c r="BA328" i="1"/>
  <c r="BX328" i="1" s="1"/>
  <c r="Z375" i="52" s="1"/>
  <c r="AB375" i="52" s="1"/>
  <c r="BB328" i="1"/>
  <c r="BA101" i="1"/>
  <c r="BX101" i="1" s="1"/>
  <c r="Z124" i="52" s="1"/>
  <c r="AB124" i="52" s="1"/>
  <c r="BB101" i="1"/>
  <c r="BA136" i="1"/>
  <c r="BX136" i="1" s="1"/>
  <c r="Z162" i="52" s="1"/>
  <c r="AB162" i="52" s="1"/>
  <c r="BB136" i="1"/>
  <c r="BA158" i="1"/>
  <c r="BX158" i="1" s="1"/>
  <c r="Z185" i="52" s="1"/>
  <c r="AB185" i="52" s="1"/>
  <c r="BB158" i="1"/>
  <c r="BA205" i="1"/>
  <c r="BX205" i="1" s="1"/>
  <c r="Z233" i="52" s="1"/>
  <c r="AB233" i="52" s="1"/>
  <c r="BB205" i="1"/>
  <c r="Z258" i="52"/>
  <c r="AB258" i="52" s="1"/>
  <c r="BA251" i="1"/>
  <c r="BX251" i="1" s="1"/>
  <c r="Z284" i="52" s="1"/>
  <c r="AB284" i="52" s="1"/>
  <c r="BB251" i="1"/>
  <c r="BA47" i="1"/>
  <c r="BX47" i="1" s="1"/>
  <c r="Z71" i="52" s="1"/>
  <c r="AB71" i="52" s="1"/>
  <c r="BB47" i="1"/>
  <c r="BA56" i="1"/>
  <c r="BX56" i="1" s="1"/>
  <c r="Z80" i="52" s="1"/>
  <c r="AB80" i="52" s="1"/>
  <c r="BB56" i="1"/>
  <c r="Z163" i="52"/>
  <c r="AB163" i="52" s="1"/>
  <c r="BA145" i="1"/>
  <c r="BX145" i="1" s="1"/>
  <c r="Z171" i="52" s="1"/>
  <c r="AB171" i="52" s="1"/>
  <c r="BB145" i="1"/>
  <c r="BA229" i="1"/>
  <c r="BX229" i="1" s="1"/>
  <c r="Z261" i="52" s="1"/>
  <c r="AB261" i="52" s="1"/>
  <c r="BB229" i="1"/>
  <c r="BA365" i="1"/>
  <c r="BX365" i="1" s="1"/>
  <c r="Z413" i="52" s="1"/>
  <c r="AB413" i="52" s="1"/>
  <c r="BB365" i="1"/>
  <c r="Z440" i="52"/>
  <c r="AB440" i="52" s="1"/>
  <c r="BA193" i="1"/>
  <c r="BX193" i="1" s="1"/>
  <c r="Z221" i="52" s="1"/>
  <c r="AB221" i="52" s="1"/>
  <c r="BB193" i="1"/>
  <c r="BA391" i="1"/>
  <c r="BX391" i="1" s="1"/>
  <c r="Z437" i="52" s="1"/>
  <c r="AB437" i="52" s="1"/>
  <c r="BB391" i="1"/>
  <c r="BA292" i="1"/>
  <c r="BX292" i="1" s="1"/>
  <c r="Z325" i="52" s="1"/>
  <c r="AB325" i="52" s="1"/>
  <c r="BB292" i="1"/>
  <c r="BA293" i="1"/>
  <c r="BX293" i="1" s="1"/>
  <c r="Z326" i="52" s="1"/>
  <c r="AB326" i="52" s="1"/>
  <c r="BB293" i="1"/>
  <c r="BA19" i="1"/>
  <c r="BX19" i="1" s="1"/>
  <c r="Z35" i="52" s="1"/>
  <c r="AB35" i="52" s="1"/>
  <c r="BB19" i="1"/>
  <c r="BA35" i="1"/>
  <c r="BX35" i="1" s="1"/>
  <c r="Z53" i="52" s="1"/>
  <c r="AB53" i="52" s="1"/>
  <c r="BB35" i="1"/>
  <c r="BA33" i="1"/>
  <c r="BX33" i="1" s="1"/>
  <c r="Z51" i="52" s="1"/>
  <c r="AB51" i="52" s="1"/>
  <c r="BB33" i="1"/>
  <c r="BA302" i="1"/>
  <c r="BX302" i="1" s="1"/>
  <c r="Z334" i="52" s="1"/>
  <c r="AB334" i="52" s="1"/>
  <c r="BB302" i="1"/>
  <c r="BM265" i="1"/>
  <c r="BB265" i="1"/>
  <c r="BA241" i="1"/>
  <c r="BX241" i="1" s="1"/>
  <c r="Z274" i="52" s="1"/>
  <c r="AB274" i="52" s="1"/>
  <c r="BB241" i="1"/>
  <c r="BR351" i="1"/>
  <c r="BB351" i="1"/>
  <c r="BW225" i="1"/>
  <c r="CS161" i="1"/>
  <c r="BL37" i="1"/>
  <c r="BS37" i="1"/>
  <c r="BA37" i="1"/>
  <c r="BX37" i="1" s="1"/>
  <c r="Z55" i="52" s="1"/>
  <c r="AB55" i="52" s="1"/>
  <c r="BM37" i="1"/>
  <c r="BR37" i="1"/>
  <c r="CP377" i="1"/>
  <c r="AU377" i="1"/>
  <c r="AW249" i="1"/>
  <c r="Z133" i="52"/>
  <c r="AB133" i="52" s="1"/>
  <c r="BF215" i="1"/>
  <c r="BW139" i="1"/>
  <c r="BW84" i="1"/>
  <c r="CS67" i="1"/>
  <c r="BW104" i="1"/>
  <c r="BW253" i="1"/>
  <c r="CS90" i="1"/>
  <c r="AU201" i="1"/>
  <c r="CS121" i="1"/>
  <c r="AK211" i="1"/>
  <c r="AW274" i="1"/>
  <c r="AL134" i="1"/>
  <c r="AK134" i="1"/>
  <c r="BA214" i="1"/>
  <c r="BX214" i="1" s="1"/>
  <c r="Z244" i="52" s="1"/>
  <c r="AB244" i="52" s="1"/>
  <c r="BN214" i="1"/>
  <c r="BS214" i="1"/>
  <c r="BL214" i="1"/>
  <c r="BR214" i="1"/>
  <c r="BM214" i="1"/>
  <c r="AU215" i="1"/>
  <c r="CP215" i="1"/>
  <c r="BM134" i="1"/>
  <c r="BN134" i="1"/>
  <c r="BL134" i="1"/>
  <c r="BS134" i="1"/>
  <c r="BA134" i="1"/>
  <c r="BX134" i="1" s="1"/>
  <c r="Z160" i="52" s="1"/>
  <c r="AB160" i="52" s="1"/>
  <c r="BR134" i="1"/>
  <c r="CP201" i="1"/>
  <c r="BF201" i="1"/>
  <c r="AL211" i="1"/>
  <c r="BA351" i="1"/>
  <c r="BX351" i="1" s="1"/>
  <c r="Z398" i="52" s="1"/>
  <c r="AB398" i="52" s="1"/>
  <c r="BS351" i="1"/>
  <c r="BN351" i="1"/>
  <c r="F362" i="40" s="1"/>
  <c r="BM351" i="1"/>
  <c r="G362" i="41" s="1"/>
  <c r="BL351" i="1"/>
  <c r="F362" i="41" s="1"/>
  <c r="Y204" i="52"/>
  <c r="BS241" i="1"/>
  <c r="BR241" i="1"/>
  <c r="BN241" i="1"/>
  <c r="AL184" i="1"/>
  <c r="BM241" i="1"/>
  <c r="BL241" i="1"/>
  <c r="BF288" i="1"/>
  <c r="AU227" i="1"/>
  <c r="AU200" i="1"/>
  <c r="Y154" i="52"/>
  <c r="AU222" i="1"/>
  <c r="AK184" i="1"/>
  <c r="AL102" i="1"/>
  <c r="AL113" i="1"/>
  <c r="AK113" i="1"/>
  <c r="AW113" i="1"/>
  <c r="AK102" i="1"/>
  <c r="BN184" i="1"/>
  <c r="BA184" i="1"/>
  <c r="BX184" i="1" s="1"/>
  <c r="Z212" i="52" s="1"/>
  <c r="AB212" i="52" s="1"/>
  <c r="BS184" i="1"/>
  <c r="BL184" i="1"/>
  <c r="BM184" i="1"/>
  <c r="BR184" i="1"/>
  <c r="AW211" i="1"/>
  <c r="BF227" i="1"/>
  <c r="BF222" i="1"/>
  <c r="AL227" i="1"/>
  <c r="AK227" i="1"/>
  <c r="AL351" i="1"/>
  <c r="AK351" i="1"/>
  <c r="AL200" i="1"/>
  <c r="AK200" i="1"/>
  <c r="AL222" i="1"/>
  <c r="AK222" i="1"/>
  <c r="CP227" i="1"/>
  <c r="CP200" i="1"/>
  <c r="CP222" i="1"/>
  <c r="CP208" i="1"/>
  <c r="AL157" i="1"/>
  <c r="AK288" i="1"/>
  <c r="AL208" i="1"/>
  <c r="AL287" i="1"/>
  <c r="CP288" i="1"/>
  <c r="AL181" i="1"/>
  <c r="AK157" i="1"/>
  <c r="AK181" i="1"/>
  <c r="AW181" i="1"/>
  <c r="AU288" i="1"/>
  <c r="AK208" i="1"/>
  <c r="AU208" i="1"/>
  <c r="AK287" i="1"/>
  <c r="AL288" i="1"/>
  <c r="AL302" i="1"/>
  <c r="AL96" i="1"/>
  <c r="AL129" i="1"/>
  <c r="AK129" i="1"/>
  <c r="BR266" i="1"/>
  <c r="BL266" i="1"/>
  <c r="BS266" i="1"/>
  <c r="BA266" i="1"/>
  <c r="BX266" i="1" s="1"/>
  <c r="Z298" i="52" s="1"/>
  <c r="AB298" i="52" s="1"/>
  <c r="BN266" i="1"/>
  <c r="BM266" i="1"/>
  <c r="AK96" i="1"/>
  <c r="BF310" i="1"/>
  <c r="CP96" i="1"/>
  <c r="AL109" i="1"/>
  <c r="AK109" i="1"/>
  <c r="BN109" i="1"/>
  <c r="BM109" i="1"/>
  <c r="BR109" i="1"/>
  <c r="BL109" i="1"/>
  <c r="BS109" i="1"/>
  <c r="BA109" i="1"/>
  <c r="BX109" i="1" s="1"/>
  <c r="Z132" i="52" s="1"/>
  <c r="AB132" i="52" s="1"/>
  <c r="AI15" i="1"/>
  <c r="AU96" i="1"/>
  <c r="AK394" i="1"/>
  <c r="AK396" i="1"/>
  <c r="AK389" i="1"/>
  <c r="AK393" i="1"/>
  <c r="AK395" i="1"/>
  <c r="AW379" i="1"/>
  <c r="AW342" i="1"/>
  <c r="AW156" i="1"/>
  <c r="AW272" i="1"/>
  <c r="AW190" i="1"/>
  <c r="AW350" i="1"/>
  <c r="AW387" i="1"/>
  <c r="AW94" i="1"/>
  <c r="AW164" i="1"/>
  <c r="AW239" i="1"/>
  <c r="AW167" i="1"/>
  <c r="AW188" i="1"/>
  <c r="AW282" i="1"/>
  <c r="AW278" i="1"/>
  <c r="AW230" i="1"/>
  <c r="AW254" i="1"/>
  <c r="AW150" i="1"/>
  <c r="AW177" i="1"/>
  <c r="AW204" i="1"/>
  <c r="AW166" i="1"/>
  <c r="AW81" i="1"/>
  <c r="AW231" i="1"/>
  <c r="AW244" i="1"/>
  <c r="AW301" i="1"/>
  <c r="AW85" i="1"/>
  <c r="AW52" i="1"/>
  <c r="Z335" i="52"/>
  <c r="AB335" i="52" s="1"/>
  <c r="AK301" i="1"/>
  <c r="AK18" i="1"/>
  <c r="AK206" i="1"/>
  <c r="AK365" i="1"/>
  <c r="AK383" i="1"/>
  <c r="AK366" i="1"/>
  <c r="AK349" i="1"/>
  <c r="AL333" i="1"/>
  <c r="AL317" i="1"/>
  <c r="AK371" i="1"/>
  <c r="AK353" i="1"/>
  <c r="AK338" i="1"/>
  <c r="AL322" i="1"/>
  <c r="AL60" i="1"/>
  <c r="AL69" i="1"/>
  <c r="AL78" i="1"/>
  <c r="AK89" i="1"/>
  <c r="AK116" i="1"/>
  <c r="AK126" i="1"/>
  <c r="AL147" i="1"/>
  <c r="AL164" i="1"/>
  <c r="AL172" i="1"/>
  <c r="AL179" i="1"/>
  <c r="AL190" i="1"/>
  <c r="AL202" i="1"/>
  <c r="AL213" i="1"/>
  <c r="AL233" i="1"/>
  <c r="AK240" i="1"/>
  <c r="AL252" i="1"/>
  <c r="AL269" i="1"/>
  <c r="AK280" i="1"/>
  <c r="AK294" i="1"/>
  <c r="AK327" i="1"/>
  <c r="AK311" i="1"/>
  <c r="AK382" i="1"/>
  <c r="AK362" i="1"/>
  <c r="AK348" i="1"/>
  <c r="AK316" i="1"/>
  <c r="AK68" i="1"/>
  <c r="AL93" i="1"/>
  <c r="AL101" i="1"/>
  <c r="AL117" i="1"/>
  <c r="AL125" i="1"/>
  <c r="AK136" i="1"/>
  <c r="AL142" i="1"/>
  <c r="AK154" i="1"/>
  <c r="AL169" i="1"/>
  <c r="AK191" i="1"/>
  <c r="AK209" i="1"/>
  <c r="AL234" i="1"/>
  <c r="AK21" i="1"/>
  <c r="AK41" i="1"/>
  <c r="AK31" i="1"/>
  <c r="AK379" i="1"/>
  <c r="AK359" i="1"/>
  <c r="AK345" i="1"/>
  <c r="AK53" i="1"/>
  <c r="AK62" i="1"/>
  <c r="AK72" i="1"/>
  <c r="AK79" i="1"/>
  <c r="AK91" i="1"/>
  <c r="AK100" i="1"/>
  <c r="AK110" i="1"/>
  <c r="AK118" i="1"/>
  <c r="AK130" i="1"/>
  <c r="AK141" i="1"/>
  <c r="AK149" i="1"/>
  <c r="AK156" i="1"/>
  <c r="AK165" i="1"/>
  <c r="AK174" i="1"/>
  <c r="AK192" i="1"/>
  <c r="AK235" i="1"/>
  <c r="AK243" i="1"/>
  <c r="AK261" i="1"/>
  <c r="AK272" i="1"/>
  <c r="AK290" i="1"/>
  <c r="AK323" i="1"/>
  <c r="AK308" i="1"/>
  <c r="AK378" i="1"/>
  <c r="AK344" i="1"/>
  <c r="AK328" i="1"/>
  <c r="AK50" i="1"/>
  <c r="AK71" i="1"/>
  <c r="AK95" i="1"/>
  <c r="AK128" i="1"/>
  <c r="AK145" i="1"/>
  <c r="AK188" i="1"/>
  <c r="AK199" i="1"/>
  <c r="AK219" i="1"/>
  <c r="AK271" i="1"/>
  <c r="AK282" i="1"/>
  <c r="AK300" i="1"/>
  <c r="AK270" i="1"/>
  <c r="AK24" i="1"/>
  <c r="AK20" i="1"/>
  <c r="AK27" i="1"/>
  <c r="AK34" i="1"/>
  <c r="AK150" i="1"/>
  <c r="AK166" i="1"/>
  <c r="AK180" i="1"/>
  <c r="AK196" i="1"/>
  <c r="AK217" i="1"/>
  <c r="AK238" i="1"/>
  <c r="AK279" i="1"/>
  <c r="AK33" i="1"/>
  <c r="AK28" i="1"/>
  <c r="AK247" i="1"/>
  <c r="AL250" i="1"/>
  <c r="AK302" i="1"/>
  <c r="AK293" i="1"/>
  <c r="AL254" i="1"/>
  <c r="AK36" i="1"/>
  <c r="AK375" i="1"/>
  <c r="AK356" i="1"/>
  <c r="AK341" i="1"/>
  <c r="AL310" i="1"/>
  <c r="AK380" i="1"/>
  <c r="AK360" i="1"/>
  <c r="AL330" i="1"/>
  <c r="AL314" i="1"/>
  <c r="AL55" i="1"/>
  <c r="AL64" i="1"/>
  <c r="AL74" i="1"/>
  <c r="AL81" i="1"/>
  <c r="AK94" i="1"/>
  <c r="AL123" i="1"/>
  <c r="AL135" i="1"/>
  <c r="AL144" i="1"/>
  <c r="AL168" i="1"/>
  <c r="AL175" i="1"/>
  <c r="AL185" i="1"/>
  <c r="AL218" i="1"/>
  <c r="AL228" i="1"/>
  <c r="AL237" i="1"/>
  <c r="AL256" i="1"/>
  <c r="AK263" i="1"/>
  <c r="AK275" i="1"/>
  <c r="AK285" i="1"/>
  <c r="AL335" i="1"/>
  <c r="AK374" i="1"/>
  <c r="AK355" i="1"/>
  <c r="AL340" i="1"/>
  <c r="AK309" i="1"/>
  <c r="AK54" i="1"/>
  <c r="AK80" i="1"/>
  <c r="AL88" i="1"/>
  <c r="AL97" i="1"/>
  <c r="AL105" i="1"/>
  <c r="AL112" i="1"/>
  <c r="AK122" i="1"/>
  <c r="AL131" i="1"/>
  <c r="AL138" i="1"/>
  <c r="AK162" i="1"/>
  <c r="AL176" i="1"/>
  <c r="AL203" i="1"/>
  <c r="AL224" i="1"/>
  <c r="AK258" i="1"/>
  <c r="AK29" i="1"/>
  <c r="AK26" i="1"/>
  <c r="AK232" i="1"/>
  <c r="AK321" i="1"/>
  <c r="AK306" i="1"/>
  <c r="AK376" i="1"/>
  <c r="AK342" i="1"/>
  <c r="AK326" i="1"/>
  <c r="AK307" i="1"/>
  <c r="AK66" i="1"/>
  <c r="AK76" i="1"/>
  <c r="AK87" i="1"/>
  <c r="AK114" i="1"/>
  <c r="AK124" i="1"/>
  <c r="AK137" i="1"/>
  <c r="AK151" i="1"/>
  <c r="AK159" i="1"/>
  <c r="AK170" i="1"/>
  <c r="AK210" i="1"/>
  <c r="AK264" i="1"/>
  <c r="AK277" i="1"/>
  <c r="AK295" i="1"/>
  <c r="AK361" i="1"/>
  <c r="AK347" i="1"/>
  <c r="AK315" i="1"/>
  <c r="AK387" i="1"/>
  <c r="AK369" i="1"/>
  <c r="AK320" i="1"/>
  <c r="AK56" i="1"/>
  <c r="AK65" i="1"/>
  <c r="AK75" i="1"/>
  <c r="AK82" i="1"/>
  <c r="AK152" i="1"/>
  <c r="AK167" i="1"/>
  <c r="AK183" i="1"/>
  <c r="AK236" i="1"/>
  <c r="AK251" i="1"/>
  <c r="AK262" i="1"/>
  <c r="AK291" i="1"/>
  <c r="AK19" i="1"/>
  <c r="AK35" i="1"/>
  <c r="AK30" i="1"/>
  <c r="AK146" i="1"/>
  <c r="AK158" i="1"/>
  <c r="AK173" i="1"/>
  <c r="AK186" i="1"/>
  <c r="AK296" i="1"/>
  <c r="AK25" i="1"/>
  <c r="AK23" i="1"/>
  <c r="AK32" i="1"/>
  <c r="CP247" i="1"/>
  <c r="Z220" i="52"/>
  <c r="AB220" i="52" s="1"/>
  <c r="BA197" i="1"/>
  <c r="BX197" i="1" s="1"/>
  <c r="Z225" i="52" s="1"/>
  <c r="AB225" i="52" s="1"/>
  <c r="BL197" i="1"/>
  <c r="BS197" i="1"/>
  <c r="BR197" i="1"/>
  <c r="BM197" i="1"/>
  <c r="BN197" i="1"/>
  <c r="BF247" i="1"/>
  <c r="AL247" i="1"/>
  <c r="AU247" i="1"/>
  <c r="AK250" i="1"/>
  <c r="BM250" i="1"/>
  <c r="BN250" i="1"/>
  <c r="BA250" i="1"/>
  <c r="BX250" i="1" s="1"/>
  <c r="Z283" i="52" s="1"/>
  <c r="AB283" i="52" s="1"/>
  <c r="BS250" i="1"/>
  <c r="BL250" i="1"/>
  <c r="BR250" i="1"/>
  <c r="AL209" i="1"/>
  <c r="AL162" i="1"/>
  <c r="AL154" i="1"/>
  <c r="AL29" i="1"/>
  <c r="AL258" i="1"/>
  <c r="AL361" i="1"/>
  <c r="AL128" i="1"/>
  <c r="AL188" i="1"/>
  <c r="AL236" i="1"/>
  <c r="AL219" i="1"/>
  <c r="AL271" i="1"/>
  <c r="AL173" i="1"/>
  <c r="AL141" i="1"/>
  <c r="AL23" i="1"/>
  <c r="AL33" i="1"/>
  <c r="AL35" i="1"/>
  <c r="AL76" i="1"/>
  <c r="AL145" i="1"/>
  <c r="AL170" i="1"/>
  <c r="AL279" i="1"/>
  <c r="AL296" i="1"/>
  <c r="AL238" i="1"/>
  <c r="AL300" i="1"/>
  <c r="AL100" i="1"/>
  <c r="AL149" i="1"/>
  <c r="AL321" i="1"/>
  <c r="AL376" i="1"/>
  <c r="AL66" i="1"/>
  <c r="AL192" i="1"/>
  <c r="AL186" i="1"/>
  <c r="AL217" i="1"/>
  <c r="AL309" i="1"/>
  <c r="AL118" i="1"/>
  <c r="AL347" i="1"/>
  <c r="AL95" i="1"/>
  <c r="AL122" i="1"/>
  <c r="AL137" i="1"/>
  <c r="AL150" i="1"/>
  <c r="AL167" i="1"/>
  <c r="AL183" i="1"/>
  <c r="AL199" i="1"/>
  <c r="AL240" i="1"/>
  <c r="AL251" i="1"/>
  <c r="AL264" i="1"/>
  <c r="AL20" i="1"/>
  <c r="AL53" i="1"/>
  <c r="AL72" i="1"/>
  <c r="AL79" i="1"/>
  <c r="AL124" i="1"/>
  <c r="AL158" i="1"/>
  <c r="AL166" i="1"/>
  <c r="AL174" i="1"/>
  <c r="AL263" i="1"/>
  <c r="AL290" i="1"/>
  <c r="AL294" i="1"/>
  <c r="AL395" i="1"/>
  <c r="AL270" i="1"/>
  <c r="AL24" i="1"/>
  <c r="AL25" i="1"/>
  <c r="AL27" i="1"/>
  <c r="AL28" i="1"/>
  <c r="AL30" i="1"/>
  <c r="AL32" i="1"/>
  <c r="AL34" i="1"/>
  <c r="AL165" i="1"/>
  <c r="AL180" i="1"/>
  <c r="AL196" i="1"/>
  <c r="AL262" i="1"/>
  <c r="AL291" i="1"/>
  <c r="AL146" i="1"/>
  <c r="AL110" i="1"/>
  <c r="AL114" i="1"/>
  <c r="AL159" i="1"/>
  <c r="AL91" i="1"/>
  <c r="AL130" i="1"/>
  <c r="AL156" i="1"/>
  <c r="AL71" i="1"/>
  <c r="AL26" i="1"/>
  <c r="AL235" i="1"/>
  <c r="AL315" i="1"/>
  <c r="AL378" i="1"/>
  <c r="AL50" i="1"/>
  <c r="AL152" i="1"/>
  <c r="AK182" i="1"/>
  <c r="AL182" i="1"/>
  <c r="AK204" i="1"/>
  <c r="AL204" i="1"/>
  <c r="AK216" i="1"/>
  <c r="AL216" i="1"/>
  <c r="AK226" i="1"/>
  <c r="AL226" i="1"/>
  <c r="AK392" i="1"/>
  <c r="AL392" i="1"/>
  <c r="AK372" i="1"/>
  <c r="AL372" i="1"/>
  <c r="AK354" i="1"/>
  <c r="AL354" i="1"/>
  <c r="AK339" i="1"/>
  <c r="AL339" i="1"/>
  <c r="AK331" i="1"/>
  <c r="AL331" i="1"/>
  <c r="AK358" i="1"/>
  <c r="AL358" i="1"/>
  <c r="AK336" i="1"/>
  <c r="AL336" i="1"/>
  <c r="AK312" i="1"/>
  <c r="AL312" i="1"/>
  <c r="AK47" i="1"/>
  <c r="AL47" i="1"/>
  <c r="AK61" i="1"/>
  <c r="AL61" i="1"/>
  <c r="AK86" i="1"/>
  <c r="AL86" i="1"/>
  <c r="AK103" i="1"/>
  <c r="AL103" i="1"/>
  <c r="AK111" i="1"/>
  <c r="AL111" i="1"/>
  <c r="AK160" i="1"/>
  <c r="AL160" i="1"/>
  <c r="AK171" i="1"/>
  <c r="AL171" i="1"/>
  <c r="AK178" i="1"/>
  <c r="AL178" i="1"/>
  <c r="AK194" i="1"/>
  <c r="AL194" i="1"/>
  <c r="AK205" i="1"/>
  <c r="AL205" i="1"/>
  <c r="AK242" i="1"/>
  <c r="AL242" i="1"/>
  <c r="AL344" i="1"/>
  <c r="AL328" i="1"/>
  <c r="AL277" i="1"/>
  <c r="AL295" i="1"/>
  <c r="AK207" i="1"/>
  <c r="AL207" i="1"/>
  <c r="AK229" i="1"/>
  <c r="AL229" i="1"/>
  <c r="AK268" i="1"/>
  <c r="AL268" i="1"/>
  <c r="AL338" i="1"/>
  <c r="AL89" i="1"/>
  <c r="AK105" i="1"/>
  <c r="AL311" i="1"/>
  <c r="AL316" i="1"/>
  <c r="AL68" i="1"/>
  <c r="AL80" i="1"/>
  <c r="AL342" i="1"/>
  <c r="AL379" i="1"/>
  <c r="BR19" i="1"/>
  <c r="AL327" i="1"/>
  <c r="AL54" i="1"/>
  <c r="AL31" i="1"/>
  <c r="AL326" i="1"/>
  <c r="AL62" i="1"/>
  <c r="AL323" i="1"/>
  <c r="AL308" i="1"/>
  <c r="AL387" i="1"/>
  <c r="AL369" i="1"/>
  <c r="AL320" i="1"/>
  <c r="AL307" i="1"/>
  <c r="AL56" i="1"/>
  <c r="AL65" i="1"/>
  <c r="AL75" i="1"/>
  <c r="AL82" i="1"/>
  <c r="AL243" i="1"/>
  <c r="AL272" i="1"/>
  <c r="AL345" i="1"/>
  <c r="AL210" i="1"/>
  <c r="AL359" i="1"/>
  <c r="AL306" i="1"/>
  <c r="AL195" i="1"/>
  <c r="AK195" i="1"/>
  <c r="AK276" i="1"/>
  <c r="AL276" i="1"/>
  <c r="AL49" i="1"/>
  <c r="AK49" i="1"/>
  <c r="AK98" i="1"/>
  <c r="AL98" i="1"/>
  <c r="AK107" i="1"/>
  <c r="AL107" i="1"/>
  <c r="AK153" i="1"/>
  <c r="AL153" i="1"/>
  <c r="AL126" i="1"/>
  <c r="AK265" i="1"/>
  <c r="AL265" i="1"/>
  <c r="AK368" i="1"/>
  <c r="AL368" i="1"/>
  <c r="AK357" i="1"/>
  <c r="AL357" i="1"/>
  <c r="AK350" i="1"/>
  <c r="AL350" i="1"/>
  <c r="AK343" i="1"/>
  <c r="AL343" i="1"/>
  <c r="AK319" i="1"/>
  <c r="AL319" i="1"/>
  <c r="AK332" i="1"/>
  <c r="AL332" i="1"/>
  <c r="AK325" i="1"/>
  <c r="AL325" i="1"/>
  <c r="AK48" i="1"/>
  <c r="AL48" i="1"/>
  <c r="AK63" i="1"/>
  <c r="AL63" i="1"/>
  <c r="AK73" i="1"/>
  <c r="AL73" i="1"/>
  <c r="AK77" i="1"/>
  <c r="AL77" i="1"/>
  <c r="AK83" i="1"/>
  <c r="AL83" i="1"/>
  <c r="AK244" i="1"/>
  <c r="AL244" i="1"/>
  <c r="AK273" i="1"/>
  <c r="AL273" i="1"/>
  <c r="AK284" i="1"/>
  <c r="AL284" i="1"/>
  <c r="AK230" i="1"/>
  <c r="AL230" i="1"/>
  <c r="AK298" i="1"/>
  <c r="AL298" i="1"/>
  <c r="AK292" i="1"/>
  <c r="AL292" i="1"/>
  <c r="AK193" i="1"/>
  <c r="AL193" i="1"/>
  <c r="AK22" i="1"/>
  <c r="AL22" i="1"/>
  <c r="AK163" i="1"/>
  <c r="AL163" i="1"/>
  <c r="AK373" i="1"/>
  <c r="AL373" i="1"/>
  <c r="AK278" i="1"/>
  <c r="AL278" i="1"/>
  <c r="AK388" i="1"/>
  <c r="AL388" i="1"/>
  <c r="AK370" i="1"/>
  <c r="AL370" i="1"/>
  <c r="AK352" i="1"/>
  <c r="AL352" i="1"/>
  <c r="AK337" i="1"/>
  <c r="AL337" i="1"/>
  <c r="AK329" i="1"/>
  <c r="AL329" i="1"/>
  <c r="AK313" i="1"/>
  <c r="AL313" i="1"/>
  <c r="AK385" i="1"/>
  <c r="AL385" i="1"/>
  <c r="AK367" i="1"/>
  <c r="AL367" i="1"/>
  <c r="AK334" i="1"/>
  <c r="AL334" i="1"/>
  <c r="AK318" i="1"/>
  <c r="AL318" i="1"/>
  <c r="AK57" i="1"/>
  <c r="AL57" i="1"/>
  <c r="AK177" i="1"/>
  <c r="AL177" i="1"/>
  <c r="AK187" i="1"/>
  <c r="AL187" i="1"/>
  <c r="AK198" i="1"/>
  <c r="AL198" i="1"/>
  <c r="AK223" i="1"/>
  <c r="AL223" i="1"/>
  <c r="AK231" i="1"/>
  <c r="AL231" i="1"/>
  <c r="AK239" i="1"/>
  <c r="AL239" i="1"/>
  <c r="AK248" i="1"/>
  <c r="AL248" i="1"/>
  <c r="AK255" i="1"/>
  <c r="AL255" i="1"/>
  <c r="AK99" i="1"/>
  <c r="AL99" i="1"/>
  <c r="AK106" i="1"/>
  <c r="AL106" i="1"/>
  <c r="AK115" i="1"/>
  <c r="AL115" i="1"/>
  <c r="AK132" i="1"/>
  <c r="AL132" i="1"/>
  <c r="AK140" i="1"/>
  <c r="AL140" i="1"/>
  <c r="AK148" i="1"/>
  <c r="AL148" i="1"/>
  <c r="AL282" i="1"/>
  <c r="AL19" i="1"/>
  <c r="AL396" i="1"/>
  <c r="AK237" i="1"/>
  <c r="AK142" i="1"/>
  <c r="AK314" i="1"/>
  <c r="AK335" i="1"/>
  <c r="AL116" i="1"/>
  <c r="AK69" i="1"/>
  <c r="AK144" i="1"/>
  <c r="AK175" i="1"/>
  <c r="AK218" i="1"/>
  <c r="AK256" i="1"/>
  <c r="AK88" i="1"/>
  <c r="AK125" i="1"/>
  <c r="AK169" i="1"/>
  <c r="AL87" i="1"/>
  <c r="AL151" i="1"/>
  <c r="AL261" i="1"/>
  <c r="AL232" i="1"/>
  <c r="AL136" i="1"/>
  <c r="AL191" i="1"/>
  <c r="AK310" i="1"/>
  <c r="AK330" i="1"/>
  <c r="AK60" i="1"/>
  <c r="AK78" i="1"/>
  <c r="AK135" i="1"/>
  <c r="AK168" i="1"/>
  <c r="AK185" i="1"/>
  <c r="AK228" i="1"/>
  <c r="AK340" i="1"/>
  <c r="AK97" i="1"/>
  <c r="AK112" i="1"/>
  <c r="AK234" i="1"/>
  <c r="AL365" i="1"/>
  <c r="AL36" i="1"/>
  <c r="AL301" i="1"/>
  <c r="AL389" i="1"/>
  <c r="AL380" i="1"/>
  <c r="AL371" i="1"/>
  <c r="AL360" i="1"/>
  <c r="AL353" i="1"/>
  <c r="AL94" i="1"/>
  <c r="AL206" i="1"/>
  <c r="AK254" i="1"/>
  <c r="AK333" i="1"/>
  <c r="AK317" i="1"/>
  <c r="AK322" i="1"/>
  <c r="AK55" i="1"/>
  <c r="AK64" i="1"/>
  <c r="AK74" i="1"/>
  <c r="AK81" i="1"/>
  <c r="AK123" i="1"/>
  <c r="AK147" i="1"/>
  <c r="AK164" i="1"/>
  <c r="AK172" i="1"/>
  <c r="AK179" i="1"/>
  <c r="AK190" i="1"/>
  <c r="AK202" i="1"/>
  <c r="AK213" i="1"/>
  <c r="AK233" i="1"/>
  <c r="AK252" i="1"/>
  <c r="AK269" i="1"/>
  <c r="AK93" i="1"/>
  <c r="AK101" i="1"/>
  <c r="AK117" i="1"/>
  <c r="AK131" i="1"/>
  <c r="AK138" i="1"/>
  <c r="AK176" i="1"/>
  <c r="AK203" i="1"/>
  <c r="AK224" i="1"/>
  <c r="AJ42" i="1"/>
  <c r="AL21" i="1"/>
  <c r="AL41" i="1"/>
  <c r="AL293" i="1"/>
  <c r="AL18" i="1"/>
  <c r="AI397" i="1"/>
  <c r="AH400" i="1"/>
  <c r="AI42" i="1"/>
  <c r="AL393" i="1"/>
  <c r="AL382" i="1"/>
  <c r="AL374" i="1"/>
  <c r="AL362" i="1"/>
  <c r="AL355" i="1"/>
  <c r="AL348" i="1"/>
  <c r="AL275" i="1"/>
  <c r="AL280" i="1"/>
  <c r="AL285" i="1"/>
  <c r="AL394" i="1"/>
  <c r="AL383" i="1"/>
  <c r="AL375" i="1"/>
  <c r="AL366" i="1"/>
  <c r="AL356" i="1"/>
  <c r="AL349" i="1"/>
  <c r="AL341" i="1"/>
  <c r="AI303" i="1"/>
  <c r="BL265" i="1"/>
  <c r="BA265" i="1"/>
  <c r="BX265" i="1" s="1"/>
  <c r="Z297" i="52" s="1"/>
  <c r="AB297" i="52" s="1"/>
  <c r="BS265" i="1"/>
  <c r="BR265" i="1"/>
  <c r="BN265" i="1"/>
  <c r="CP160" i="1"/>
  <c r="BS25" i="1"/>
  <c r="BA25" i="1"/>
  <c r="BX25" i="1" s="1"/>
  <c r="Z43" i="52" s="1"/>
  <c r="AB43" i="52" s="1"/>
  <c r="BL31" i="1"/>
  <c r="BA31" i="1"/>
  <c r="BX31" i="1" s="1"/>
  <c r="Z49" i="52" s="1"/>
  <c r="AB49" i="52" s="1"/>
  <c r="BA18" i="1"/>
  <c r="BX18" i="1" s="1"/>
  <c r="Z34" i="52" s="1"/>
  <c r="AB34" i="52" s="1"/>
  <c r="BN31" i="1"/>
  <c r="BS31" i="1"/>
  <c r="BN18" i="1"/>
  <c r="BL18" i="1"/>
  <c r="BM345" i="1"/>
  <c r="G356" i="41" s="1"/>
  <c r="BS321" i="1"/>
  <c r="BM313" i="1"/>
  <c r="G324" i="41" s="1"/>
  <c r="BL385" i="1"/>
  <c r="F396" i="41" s="1"/>
  <c r="BL376" i="1"/>
  <c r="F387" i="41" s="1"/>
  <c r="BS367" i="1"/>
  <c r="BM307" i="1"/>
  <c r="G318" i="41" s="1"/>
  <c r="BS392" i="1"/>
  <c r="BS319" i="1"/>
  <c r="BS311" i="1"/>
  <c r="BM393" i="1"/>
  <c r="G404" i="41" s="1"/>
  <c r="BS374" i="1"/>
  <c r="BS316" i="1"/>
  <c r="BS339" i="1"/>
  <c r="BM335" i="1"/>
  <c r="G346" i="41" s="1"/>
  <c r="BM382" i="1"/>
  <c r="G393" i="41" s="1"/>
  <c r="BS378" i="1"/>
  <c r="BM362" i="1"/>
  <c r="G373" i="41" s="1"/>
  <c r="BM340" i="1"/>
  <c r="G351" i="41" s="1"/>
  <c r="BM217" i="1"/>
  <c r="BS193" i="1"/>
  <c r="BM292" i="1"/>
  <c r="BN293" i="1"/>
  <c r="BM22" i="1"/>
  <c r="BS24" i="1"/>
  <c r="BN25" i="1"/>
  <c r="BS33" i="1"/>
  <c r="BL302" i="1"/>
  <c r="AX10" i="1"/>
  <c r="BS380" i="1"/>
  <c r="BM366" i="1"/>
  <c r="G377" i="41" s="1"/>
  <c r="BS356" i="1"/>
  <c r="BM333" i="1"/>
  <c r="G344" i="41" s="1"/>
  <c r="BM389" i="1"/>
  <c r="G400" i="41" s="1"/>
  <c r="BM360" i="1"/>
  <c r="G371" i="41" s="1"/>
  <c r="BS323" i="1"/>
  <c r="BM369" i="1"/>
  <c r="G380" i="41" s="1"/>
  <c r="BM348" i="1"/>
  <c r="G359" i="41" s="1"/>
  <c r="BM372" i="1"/>
  <c r="G383" i="41" s="1"/>
  <c r="BL355" i="1"/>
  <c r="F366" i="41" s="1"/>
  <c r="BS344" i="1"/>
  <c r="BS328" i="1"/>
  <c r="BS199" i="1"/>
  <c r="BR242" i="1"/>
  <c r="BR251" i="1"/>
  <c r="BR229" i="1"/>
  <c r="BS300" i="1"/>
  <c r="BM373" i="1"/>
  <c r="G384" i="41" s="1"/>
  <c r="BN36" i="1"/>
  <c r="BN206" i="1"/>
  <c r="BN19" i="1"/>
  <c r="BS35" i="1"/>
  <c r="BS21" i="1"/>
  <c r="BN29" i="1"/>
  <c r="BR31" i="1"/>
  <c r="BM18" i="1"/>
  <c r="BM31" i="1"/>
  <c r="BR18" i="1"/>
  <c r="BS18" i="1"/>
  <c r="BL29" i="1"/>
  <c r="BN21" i="1"/>
  <c r="BM35" i="1"/>
  <c r="BR302" i="1"/>
  <c r="BS302" i="1"/>
  <c r="BM302" i="1"/>
  <c r="BN302" i="1"/>
  <c r="BN33" i="1"/>
  <c r="BS19" i="1"/>
  <c r="BM21" i="1"/>
  <c r="BR25" i="1"/>
  <c r="BR22" i="1"/>
  <c r="BL19" i="1"/>
  <c r="BR29" i="1"/>
  <c r="BS29" i="1"/>
  <c r="BN35" i="1"/>
  <c r="BM24" i="1"/>
  <c r="BN24" i="1"/>
  <c r="BM33" i="1"/>
  <c r="BL25" i="1"/>
  <c r="BM19" i="1"/>
  <c r="BR24" i="1"/>
  <c r="BL24" i="1"/>
  <c r="BM29" i="1"/>
  <c r="BR33" i="1"/>
  <c r="BL33" i="1"/>
  <c r="BR21" i="1"/>
  <c r="BL21" i="1"/>
  <c r="BM25" i="1"/>
  <c r="BR35" i="1"/>
  <c r="BL35" i="1"/>
  <c r="BN22" i="1"/>
  <c r="BL22" i="1"/>
  <c r="BS22" i="1"/>
  <c r="BS293" i="1"/>
  <c r="BN292" i="1"/>
  <c r="BR391" i="1"/>
  <c r="BN391" i="1"/>
  <c r="F402" i="40" s="1"/>
  <c r="BL292" i="1"/>
  <c r="BM391" i="1"/>
  <c r="G402" i="41" s="1"/>
  <c r="BR292" i="1"/>
  <c r="BM293" i="1"/>
  <c r="BM206" i="1"/>
  <c r="BL391" i="1"/>
  <c r="F402" i="41" s="1"/>
  <c r="BS391" i="1"/>
  <c r="BS292" i="1"/>
  <c r="BL293" i="1"/>
  <c r="BR293" i="1"/>
  <c r="BS206" i="1"/>
  <c r="BR206" i="1"/>
  <c r="BL206" i="1"/>
  <c r="BS298" i="1"/>
  <c r="BL298" i="1"/>
  <c r="BR298" i="1"/>
  <c r="BM298" i="1"/>
  <c r="BN298" i="1"/>
  <c r="BM193" i="1"/>
  <c r="BL193" i="1"/>
  <c r="BN193" i="1"/>
  <c r="BR193" i="1"/>
  <c r="BN251" i="1"/>
  <c r="BR36" i="1"/>
  <c r="BM378" i="1"/>
  <c r="G389" i="41" s="1"/>
  <c r="BR336" i="1"/>
  <c r="BL335" i="1"/>
  <c r="F346" i="41" s="1"/>
  <c r="BF81" i="1"/>
  <c r="BN331" i="1"/>
  <c r="F342" i="40" s="1"/>
  <c r="BS309" i="1"/>
  <c r="BS393" i="1"/>
  <c r="BL365" i="1"/>
  <c r="F376" i="41" s="1"/>
  <c r="BN311" i="1"/>
  <c r="F322" i="40" s="1"/>
  <c r="BR396" i="1"/>
  <c r="BR339" i="1"/>
  <c r="BL308" i="1"/>
  <c r="F319" i="41" s="1"/>
  <c r="BS382" i="1"/>
  <c r="BL229" i="1"/>
  <c r="BS36" i="1"/>
  <c r="BR163" i="1"/>
  <c r="BL163" i="1"/>
  <c r="BN163" i="1"/>
  <c r="BM163" i="1"/>
  <c r="BS163" i="1"/>
  <c r="BM374" i="1"/>
  <c r="G385" i="41" s="1"/>
  <c r="BL357" i="1"/>
  <c r="F368" i="41" s="1"/>
  <c r="BN347" i="1"/>
  <c r="F358" i="40" s="1"/>
  <c r="BM339" i="1"/>
  <c r="G350" i="41" s="1"/>
  <c r="BR382" i="1"/>
  <c r="BR378" i="1"/>
  <c r="BN362" i="1"/>
  <c r="F373" i="40" s="1"/>
  <c r="BS217" i="1"/>
  <c r="BR365" i="1"/>
  <c r="BM36" i="1"/>
  <c r="BS327" i="1"/>
  <c r="BR374" i="1"/>
  <c r="BM328" i="1"/>
  <c r="G339" i="41" s="1"/>
  <c r="BS357" i="1"/>
  <c r="BR347" i="1"/>
  <c r="BS347" i="1"/>
  <c r="BN339" i="1"/>
  <c r="F350" i="40" s="1"/>
  <c r="BS335" i="1"/>
  <c r="BS308" i="1"/>
  <c r="BN382" i="1"/>
  <c r="F393" i="40" s="1"/>
  <c r="BN378" i="1"/>
  <c r="F389" i="40" s="1"/>
  <c r="BR362" i="1"/>
  <c r="BS362" i="1"/>
  <c r="BR316" i="1"/>
  <c r="BM365" i="1"/>
  <c r="G376" i="41" s="1"/>
  <c r="BS365" i="1"/>
  <c r="BN365" i="1"/>
  <c r="F376" i="40" s="1"/>
  <c r="BL36" i="1"/>
  <c r="BL217" i="1"/>
  <c r="BR217" i="1"/>
  <c r="BN242" i="1"/>
  <c r="BM251" i="1"/>
  <c r="BN373" i="1"/>
  <c r="F384" i="40" s="1"/>
  <c r="BS333" i="1"/>
  <c r="BL338" i="1"/>
  <c r="F349" i="41" s="1"/>
  <c r="BR50" i="1"/>
  <c r="BR373" i="1"/>
  <c r="BM323" i="1"/>
  <c r="G334" i="41" s="1"/>
  <c r="BS340" i="1"/>
  <c r="BL50" i="1"/>
  <c r="BS158" i="1"/>
  <c r="BN199" i="1"/>
  <c r="BS373" i="1"/>
  <c r="BL373" i="1"/>
  <c r="F384" i="41" s="1"/>
  <c r="BL327" i="1"/>
  <c r="F338" i="41" s="1"/>
  <c r="BL319" i="1"/>
  <c r="F330" i="41" s="1"/>
  <c r="BM319" i="1"/>
  <c r="G330" i="41" s="1"/>
  <c r="BR311" i="1"/>
  <c r="BM311" i="1"/>
  <c r="G322" i="41" s="1"/>
  <c r="BL393" i="1"/>
  <c r="F404" i="41" s="1"/>
  <c r="BN374" i="1"/>
  <c r="F385" i="40" s="1"/>
  <c r="BL328" i="1"/>
  <c r="F339" i="41" s="1"/>
  <c r="BR333" i="1"/>
  <c r="BL389" i="1"/>
  <c r="F400" i="41" s="1"/>
  <c r="BL307" i="1"/>
  <c r="F318" i="41" s="1"/>
  <c r="BN357" i="1"/>
  <c r="F368" i="40" s="1"/>
  <c r="BR357" i="1"/>
  <c r="BM357" i="1"/>
  <c r="G368" i="41" s="1"/>
  <c r="BL347" i="1"/>
  <c r="F358" i="41" s="1"/>
  <c r="BM347" i="1"/>
  <c r="G358" i="41" s="1"/>
  <c r="BL339" i="1"/>
  <c r="F350" i="41" s="1"/>
  <c r="BN335" i="1"/>
  <c r="F346" i="40" s="1"/>
  <c r="BR335" i="1"/>
  <c r="BN308" i="1"/>
  <c r="F319" i="40" s="1"/>
  <c r="BR308" i="1"/>
  <c r="BM308" i="1"/>
  <c r="G319" i="41" s="1"/>
  <c r="BL382" i="1"/>
  <c r="F393" i="41" s="1"/>
  <c r="BL378" i="1"/>
  <c r="F389" i="41" s="1"/>
  <c r="BL362" i="1"/>
  <c r="F373" i="41" s="1"/>
  <c r="BN217" i="1"/>
  <c r="BL251" i="1"/>
  <c r="BS251" i="1"/>
  <c r="BS315" i="1"/>
  <c r="BN369" i="1"/>
  <c r="F380" i="40" s="1"/>
  <c r="BR340" i="1"/>
  <c r="BS50" i="1"/>
  <c r="BM152" i="1"/>
  <c r="BL158" i="1"/>
  <c r="BR158" i="1"/>
  <c r="BR199" i="1"/>
  <c r="BL203" i="1"/>
  <c r="BM331" i="1"/>
  <c r="G342" i="41" s="1"/>
  <c r="BL323" i="1"/>
  <c r="F334" i="41" s="1"/>
  <c r="BR315" i="1"/>
  <c r="BN340" i="1"/>
  <c r="F351" i="40" s="1"/>
  <c r="BL320" i="1"/>
  <c r="F331" i="41" s="1"/>
  <c r="BN50" i="1"/>
  <c r="BM50" i="1"/>
  <c r="BN158" i="1"/>
  <c r="BM158" i="1"/>
  <c r="BM199" i="1"/>
  <c r="BL199" i="1"/>
  <c r="BR331" i="1"/>
  <c r="BN315" i="1"/>
  <c r="F326" i="40" s="1"/>
  <c r="BR369" i="1"/>
  <c r="BS369" i="1"/>
  <c r="BL344" i="1"/>
  <c r="F355" i="41" s="1"/>
  <c r="BM344" i="1"/>
  <c r="G355" i="41" s="1"/>
  <c r="BM396" i="1"/>
  <c r="G407" i="41" s="1"/>
  <c r="BL396" i="1"/>
  <c r="F407" i="41" s="1"/>
  <c r="BN392" i="1"/>
  <c r="F403" i="40" s="1"/>
  <c r="BN348" i="1"/>
  <c r="F359" i="40" s="1"/>
  <c r="BS336" i="1"/>
  <c r="BM320" i="1"/>
  <c r="G331" i="41" s="1"/>
  <c r="BN205" i="1"/>
  <c r="BL331" i="1"/>
  <c r="F342" i="41" s="1"/>
  <c r="BS331" i="1"/>
  <c r="BN323" i="1"/>
  <c r="F334" i="40" s="1"/>
  <c r="BR323" i="1"/>
  <c r="BL315" i="1"/>
  <c r="F326" i="41" s="1"/>
  <c r="BM315" i="1"/>
  <c r="G326" i="41" s="1"/>
  <c r="BL369" i="1"/>
  <c r="F380" i="41" s="1"/>
  <c r="BN344" i="1"/>
  <c r="F355" i="40" s="1"/>
  <c r="BR344" i="1"/>
  <c r="BN328" i="1"/>
  <c r="F339" i="40" s="1"/>
  <c r="BR328" i="1"/>
  <c r="BS396" i="1"/>
  <c r="BN396" i="1"/>
  <c r="F407" i="40" s="1"/>
  <c r="BR348" i="1"/>
  <c r="BN336" i="1"/>
  <c r="F347" i="40" s="1"/>
  <c r="BL309" i="1"/>
  <c r="F320" i="41" s="1"/>
  <c r="BM242" i="1"/>
  <c r="BL242" i="1"/>
  <c r="BS242" i="1"/>
  <c r="BL366" i="1"/>
  <c r="F377" i="41" s="1"/>
  <c r="AE42" i="1"/>
  <c r="BR142" i="1"/>
  <c r="BL142" i="1"/>
  <c r="BS366" i="1"/>
  <c r="BL356" i="1"/>
  <c r="F367" i="41" s="1"/>
  <c r="BM356" i="1"/>
  <c r="G367" i="41" s="1"/>
  <c r="BN333" i="1"/>
  <c r="F344" i="40" s="1"/>
  <c r="BS389" i="1"/>
  <c r="BL360" i="1"/>
  <c r="F371" i="41" s="1"/>
  <c r="BS360" i="1"/>
  <c r="BR237" i="1"/>
  <c r="BM145" i="1"/>
  <c r="BR392" i="1"/>
  <c r="BM392" i="1"/>
  <c r="G403" i="41" s="1"/>
  <c r="BM338" i="1"/>
  <c r="G349" i="41" s="1"/>
  <c r="BR338" i="1"/>
  <c r="BN338" i="1"/>
  <c r="F349" i="40" s="1"/>
  <c r="BS307" i="1"/>
  <c r="BR307" i="1"/>
  <c r="BN307" i="1"/>
  <c r="F318" i="40" s="1"/>
  <c r="BM142" i="1"/>
  <c r="BN142" i="1"/>
  <c r="BS237" i="1"/>
  <c r="BL237" i="1"/>
  <c r="BM237" i="1"/>
  <c r="BR145" i="1"/>
  <c r="BS145" i="1"/>
  <c r="BL145" i="1"/>
  <c r="BR205" i="1"/>
  <c r="BS205" i="1"/>
  <c r="BL205" i="1"/>
  <c r="BR152" i="1"/>
  <c r="BS152" i="1"/>
  <c r="BL152" i="1"/>
  <c r="BN203" i="1"/>
  <c r="BR203" i="1"/>
  <c r="BM229" i="1"/>
  <c r="BN229" i="1"/>
  <c r="BM300" i="1"/>
  <c r="BN300" i="1"/>
  <c r="BN366" i="1"/>
  <c r="F377" i="40" s="1"/>
  <c r="BR366" i="1"/>
  <c r="BN356" i="1"/>
  <c r="F367" i="40" s="1"/>
  <c r="BR356" i="1"/>
  <c r="BL333" i="1"/>
  <c r="F344" i="41" s="1"/>
  <c r="BN389" i="1"/>
  <c r="F400" i="40" s="1"/>
  <c r="BR389" i="1"/>
  <c r="BN360" i="1"/>
  <c r="F371" i="40" s="1"/>
  <c r="BR360" i="1"/>
  <c r="BS338" i="1"/>
  <c r="BL300" i="1"/>
  <c r="BR300" i="1"/>
  <c r="BN237" i="1"/>
  <c r="BS142" i="1"/>
  <c r="BN145" i="1"/>
  <c r="BN152" i="1"/>
  <c r="BM203" i="1"/>
  <c r="BS203" i="1"/>
  <c r="BM205" i="1"/>
  <c r="BS229" i="1"/>
  <c r="BS348" i="1"/>
  <c r="BL348" i="1"/>
  <c r="F359" i="41" s="1"/>
  <c r="BM336" i="1"/>
  <c r="G347" i="41" s="1"/>
  <c r="BL336" i="1"/>
  <c r="F347" i="41" s="1"/>
  <c r="BS320" i="1"/>
  <c r="BR320" i="1"/>
  <c r="BN320" i="1"/>
  <c r="F331" i="40" s="1"/>
  <c r="BN312" i="1"/>
  <c r="F323" i="40" s="1"/>
  <c r="BM309" i="1"/>
  <c r="G320" i="41" s="1"/>
  <c r="BR309" i="1"/>
  <c r="BN309" i="1"/>
  <c r="F320" i="40" s="1"/>
  <c r="BL361" i="1"/>
  <c r="F372" i="41" s="1"/>
  <c r="BN125" i="1"/>
  <c r="BM125" i="1"/>
  <c r="BS125" i="1"/>
  <c r="BL125" i="1"/>
  <c r="BR125" i="1"/>
  <c r="BM47" i="1"/>
  <c r="BN47" i="1"/>
  <c r="BR47" i="1"/>
  <c r="BS47" i="1"/>
  <c r="BL47" i="1"/>
  <c r="BR56" i="1"/>
  <c r="BN56" i="1"/>
  <c r="BM140" i="1"/>
  <c r="BN140" i="1"/>
  <c r="BR140" i="1"/>
  <c r="BS140" i="1"/>
  <c r="BL140" i="1"/>
  <c r="BM376" i="1"/>
  <c r="G387" i="41" s="1"/>
  <c r="AU160" i="1"/>
  <c r="BM48" i="1"/>
  <c r="BN48" i="1"/>
  <c r="BR48" i="1"/>
  <c r="BS48" i="1"/>
  <c r="BL48" i="1"/>
  <c r="BL101" i="1"/>
  <c r="BM101" i="1"/>
  <c r="BR101" i="1"/>
  <c r="BS101" i="1"/>
  <c r="BN101" i="1"/>
  <c r="BS136" i="1"/>
  <c r="BL136" i="1"/>
  <c r="BR136" i="1"/>
  <c r="BN136" i="1"/>
  <c r="BM136" i="1"/>
  <c r="BL392" i="1"/>
  <c r="F403" i="41" s="1"/>
  <c r="BL345" i="1"/>
  <c r="F356" i="41" s="1"/>
  <c r="BS313" i="1"/>
  <c r="BN368" i="1"/>
  <c r="F379" i="40" s="1"/>
  <c r="BM343" i="1"/>
  <c r="G354" i="41" s="1"/>
  <c r="BN343" i="1"/>
  <c r="F354" i="40" s="1"/>
  <c r="BR358" i="1"/>
  <c r="BM358" i="1"/>
  <c r="G369" i="41" s="1"/>
  <c r="BR313" i="1"/>
  <c r="BR367" i="1"/>
  <c r="BL372" i="1"/>
  <c r="F383" i="41" s="1"/>
  <c r="AU49" i="1"/>
  <c r="AU57" i="1"/>
  <c r="AU74" i="1"/>
  <c r="AU76" i="1"/>
  <c r="AU78" i="1"/>
  <c r="AU98" i="1"/>
  <c r="AU100" i="1"/>
  <c r="AU107" i="1"/>
  <c r="AU110" i="1"/>
  <c r="AU124" i="1"/>
  <c r="AU141" i="1"/>
  <c r="AU144" i="1"/>
  <c r="AU151" i="1"/>
  <c r="AU153" i="1"/>
  <c r="AU252" i="1"/>
  <c r="AU264" i="1"/>
  <c r="AU275" i="1"/>
  <c r="AU277" i="1"/>
  <c r="AU280" i="1"/>
  <c r="AU83" i="1"/>
  <c r="AU86" i="1"/>
  <c r="AU128" i="1"/>
  <c r="AU131" i="1"/>
  <c r="AU132" i="1"/>
  <c r="AU138" i="1"/>
  <c r="AU146" i="1"/>
  <c r="AU148" i="1"/>
  <c r="Y176" i="52"/>
  <c r="AU169" i="1"/>
  <c r="AU171" i="1"/>
  <c r="AU176" i="1"/>
  <c r="AU178" i="1"/>
  <c r="AU183" i="1"/>
  <c r="AU186" i="1"/>
  <c r="AU207" i="1"/>
  <c r="AU209" i="1"/>
  <c r="AU224" i="1"/>
  <c r="AU234" i="1"/>
  <c r="AU236" i="1"/>
  <c r="AU262" i="1"/>
  <c r="AU291" i="1"/>
  <c r="AU147" i="1"/>
  <c r="AU174" i="1"/>
  <c r="Y237" i="52"/>
  <c r="AU233" i="1"/>
  <c r="AU235" i="1"/>
  <c r="AU255" i="1"/>
  <c r="AU261" i="1"/>
  <c r="AU283" i="1"/>
  <c r="AU290" i="1"/>
  <c r="AU295" i="1"/>
  <c r="AU192" i="1"/>
  <c r="AU198" i="1"/>
  <c r="AU243" i="1"/>
  <c r="AU256" i="1"/>
  <c r="AU263" i="1"/>
  <c r="AU285" i="1"/>
  <c r="AU294" i="1"/>
  <c r="AU75" i="1"/>
  <c r="AU82" i="1"/>
  <c r="AU93" i="1"/>
  <c r="AU103" i="1"/>
  <c r="AU105" i="1"/>
  <c r="AU106" i="1"/>
  <c r="AU111" i="1"/>
  <c r="AU112" i="1"/>
  <c r="AU115" i="1"/>
  <c r="AU117" i="1"/>
  <c r="AU122" i="1"/>
  <c r="AU279" i="1"/>
  <c r="AU130" i="1"/>
  <c r="AU135" i="1"/>
  <c r="AU149" i="1"/>
  <c r="AU202" i="1"/>
  <c r="AU213" i="1"/>
  <c r="AU77" i="1"/>
  <c r="AU218" i="1"/>
  <c r="Y255" i="52"/>
  <c r="AU226" i="1"/>
  <c r="AU228" i="1"/>
  <c r="AU54" i="1"/>
  <c r="AU61" i="1"/>
  <c r="AU63" i="1"/>
  <c r="AU65" i="1"/>
  <c r="AU68" i="1"/>
  <c r="AU71" i="1"/>
  <c r="AU268" i="1"/>
  <c r="AU89" i="1"/>
  <c r="AU91" i="1"/>
  <c r="AU60" i="1"/>
  <c r="AU64" i="1"/>
  <c r="AU69" i="1"/>
  <c r="AU114" i="1"/>
  <c r="AU118" i="1"/>
  <c r="AU123" i="1"/>
  <c r="AU165" i="1"/>
  <c r="AU168" i="1"/>
  <c r="AU62" i="1"/>
  <c r="AU66" i="1"/>
  <c r="AU72" i="1"/>
  <c r="AU87" i="1"/>
  <c r="AU116" i="1"/>
  <c r="AU159" i="1"/>
  <c r="AU170" i="1"/>
  <c r="AU182" i="1"/>
  <c r="AU187" i="1"/>
  <c r="AU223" i="1"/>
  <c r="BS345" i="1"/>
  <c r="BL321" i="1"/>
  <c r="F332" i="41" s="1"/>
  <c r="BM321" i="1"/>
  <c r="G332" i="41" s="1"/>
  <c r="BN313" i="1"/>
  <c r="F324" i="40" s="1"/>
  <c r="BM367" i="1"/>
  <c r="G378" i="41" s="1"/>
  <c r="BL367" i="1"/>
  <c r="F378" i="41" s="1"/>
  <c r="BM368" i="1"/>
  <c r="G379" i="41" s="1"/>
  <c r="BL368" i="1"/>
  <c r="F379" i="41" s="1"/>
  <c r="BM361" i="1"/>
  <c r="G372" i="41" s="1"/>
  <c r="BR361" i="1"/>
  <c r="BN361" i="1"/>
  <c r="F372" i="40" s="1"/>
  <c r="BS343" i="1"/>
  <c r="BL343" i="1"/>
  <c r="F354" i="41" s="1"/>
  <c r="BS358" i="1"/>
  <c r="BL358" i="1"/>
  <c r="F369" i="41" s="1"/>
  <c r="BM355" i="1"/>
  <c r="G366" i="41" s="1"/>
  <c r="BR355" i="1"/>
  <c r="BN355" i="1"/>
  <c r="F366" i="40" s="1"/>
  <c r="BM385" i="1"/>
  <c r="G396" i="41" s="1"/>
  <c r="BR385" i="1"/>
  <c r="BS376" i="1"/>
  <c r="BR376" i="1"/>
  <c r="BN376" i="1"/>
  <c r="F387" i="40" s="1"/>
  <c r="BM316" i="1"/>
  <c r="G327" i="41" s="1"/>
  <c r="BL316" i="1"/>
  <c r="F327" i="41" s="1"/>
  <c r="BS372" i="1"/>
  <c r="BR372" i="1"/>
  <c r="BN372" i="1"/>
  <c r="F383" i="40" s="1"/>
  <c r="BN327" i="1"/>
  <c r="F338" i="40" s="1"/>
  <c r="BR327" i="1"/>
  <c r="BM327" i="1"/>
  <c r="G338" i="41" s="1"/>
  <c r="BN319" i="1"/>
  <c r="F330" i="40" s="1"/>
  <c r="BR319" i="1"/>
  <c r="BL311" i="1"/>
  <c r="F322" i="41" s="1"/>
  <c r="BN393" i="1"/>
  <c r="F404" i="40" s="1"/>
  <c r="BR393" i="1"/>
  <c r="BL374" i="1"/>
  <c r="F385" i="41" s="1"/>
  <c r="BL340" i="1"/>
  <c r="F351" i="41" s="1"/>
  <c r="BN345" i="1"/>
  <c r="F356" i="40" s="1"/>
  <c r="BR345" i="1"/>
  <c r="BN321" i="1"/>
  <c r="F332" i="40" s="1"/>
  <c r="BR321" i="1"/>
  <c r="BL313" i="1"/>
  <c r="F324" i="41" s="1"/>
  <c r="BN385" i="1"/>
  <c r="F396" i="40" s="1"/>
  <c r="BS385" i="1"/>
  <c r="BN367" i="1"/>
  <c r="F378" i="40" s="1"/>
  <c r="BR368" i="1"/>
  <c r="BS368" i="1"/>
  <c r="BS361" i="1"/>
  <c r="BR343" i="1"/>
  <c r="BN358" i="1"/>
  <c r="F369" i="40" s="1"/>
  <c r="BS355" i="1"/>
  <c r="BN316" i="1"/>
  <c r="F327" i="40" s="1"/>
  <c r="BR380" i="1"/>
  <c r="BL380" i="1"/>
  <c r="F391" i="41" s="1"/>
  <c r="BM380" i="1"/>
  <c r="G391" i="41" s="1"/>
  <c r="BN380" i="1"/>
  <c r="F391" i="40" s="1"/>
  <c r="BS349" i="1"/>
  <c r="BL349" i="1"/>
  <c r="F360" i="41" s="1"/>
  <c r="BN349" i="1"/>
  <c r="F360" i="40" s="1"/>
  <c r="BM349" i="1"/>
  <c r="G360" i="41" s="1"/>
  <c r="BR349" i="1"/>
  <c r="BS337" i="1"/>
  <c r="BM337" i="1"/>
  <c r="G348" i="41" s="1"/>
  <c r="BR337" i="1"/>
  <c r="BL337" i="1"/>
  <c r="F348" i="41" s="1"/>
  <c r="BN337" i="1"/>
  <c r="F348" i="40" s="1"/>
  <c r="BS330" i="1"/>
  <c r="BM330" i="1"/>
  <c r="G341" i="41" s="1"/>
  <c r="BR330" i="1"/>
  <c r="BL330" i="1"/>
  <c r="F341" i="41" s="1"/>
  <c r="BN330" i="1"/>
  <c r="F341" i="40" s="1"/>
  <c r="BS322" i="1"/>
  <c r="BM322" i="1"/>
  <c r="G333" i="41" s="1"/>
  <c r="BR322" i="1"/>
  <c r="BL322" i="1"/>
  <c r="F333" i="41" s="1"/>
  <c r="BN322" i="1"/>
  <c r="F333" i="40" s="1"/>
  <c r="BS314" i="1"/>
  <c r="BM314" i="1"/>
  <c r="G325" i="41" s="1"/>
  <c r="BR314" i="1"/>
  <c r="BL314" i="1"/>
  <c r="F325" i="41" s="1"/>
  <c r="BN314" i="1"/>
  <c r="F325" i="40" s="1"/>
  <c r="BS394" i="1"/>
  <c r="BM394" i="1"/>
  <c r="G405" i="41" s="1"/>
  <c r="BR394" i="1"/>
  <c r="BL394" i="1"/>
  <c r="F405" i="41" s="1"/>
  <c r="BN394" i="1"/>
  <c r="F405" i="40" s="1"/>
  <c r="BS388" i="1"/>
  <c r="BM388" i="1"/>
  <c r="G399" i="41" s="1"/>
  <c r="BR388" i="1"/>
  <c r="BL388" i="1"/>
  <c r="F399" i="41" s="1"/>
  <c r="BN388" i="1"/>
  <c r="F399" i="40" s="1"/>
  <c r="BS375" i="1"/>
  <c r="BM375" i="1"/>
  <c r="G386" i="41" s="1"/>
  <c r="BR375" i="1"/>
  <c r="BL375" i="1"/>
  <c r="F386" i="41" s="1"/>
  <c r="BN375" i="1"/>
  <c r="F386" i="40" s="1"/>
  <c r="BS370" i="1"/>
  <c r="BM370" i="1"/>
  <c r="G381" i="41" s="1"/>
  <c r="BR370" i="1"/>
  <c r="BL370" i="1"/>
  <c r="F381" i="41" s="1"/>
  <c r="BN370" i="1"/>
  <c r="F381" i="40" s="1"/>
  <c r="BS359" i="1"/>
  <c r="BM359" i="1"/>
  <c r="G370" i="41" s="1"/>
  <c r="BR359" i="1"/>
  <c r="BL359" i="1"/>
  <c r="F370" i="41" s="1"/>
  <c r="BN359" i="1"/>
  <c r="F370" i="40" s="1"/>
  <c r="BM341" i="1"/>
  <c r="G352" i="41" s="1"/>
  <c r="BL341" i="1"/>
  <c r="F352" i="41" s="1"/>
  <c r="BN341" i="1"/>
  <c r="F352" i="40" s="1"/>
  <c r="BS341" i="1"/>
  <c r="BR341" i="1"/>
  <c r="BS329" i="1"/>
  <c r="BM329" i="1"/>
  <c r="G340" i="41" s="1"/>
  <c r="BR329" i="1"/>
  <c r="BL329" i="1"/>
  <c r="F340" i="41" s="1"/>
  <c r="BN329" i="1"/>
  <c r="F340" i="40" s="1"/>
  <c r="BS317" i="1"/>
  <c r="BM317" i="1"/>
  <c r="G328" i="41" s="1"/>
  <c r="BR317" i="1"/>
  <c r="BL317" i="1"/>
  <c r="F328" i="41" s="1"/>
  <c r="BN317" i="1"/>
  <c r="F328" i="40" s="1"/>
  <c r="BN306" i="1"/>
  <c r="F317" i="40" s="1"/>
  <c r="BS371" i="1"/>
  <c r="BM371" i="1"/>
  <c r="G382" i="41" s="1"/>
  <c r="BR371" i="1"/>
  <c r="BL371" i="1"/>
  <c r="F382" i="41" s="1"/>
  <c r="BN371" i="1"/>
  <c r="F382" i="40" s="1"/>
  <c r="BS334" i="1"/>
  <c r="BM334" i="1"/>
  <c r="G345" i="41" s="1"/>
  <c r="BR334" i="1"/>
  <c r="BL334" i="1"/>
  <c r="F345" i="41" s="1"/>
  <c r="BN334" i="1"/>
  <c r="F345" i="40" s="1"/>
  <c r="BS326" i="1"/>
  <c r="BM326" i="1"/>
  <c r="G337" i="41" s="1"/>
  <c r="BR326" i="1"/>
  <c r="BL326" i="1"/>
  <c r="F337" i="41" s="1"/>
  <c r="BN326" i="1"/>
  <c r="F337" i="40" s="1"/>
  <c r="BS318" i="1"/>
  <c r="BM318" i="1"/>
  <c r="G329" i="41" s="1"/>
  <c r="BR318" i="1"/>
  <c r="BL318" i="1"/>
  <c r="F329" i="41" s="1"/>
  <c r="BN318" i="1"/>
  <c r="F329" i="40" s="1"/>
  <c r="BR395" i="1"/>
  <c r="BM395" i="1"/>
  <c r="G406" i="41" s="1"/>
  <c r="BS395" i="1"/>
  <c r="BL395" i="1"/>
  <c r="F406" i="41" s="1"/>
  <c r="BN395" i="1"/>
  <c r="F406" i="40" s="1"/>
  <c r="BS17" i="1"/>
  <c r="BN17" i="1"/>
  <c r="BL17" i="1"/>
  <c r="U30" i="57" s="1"/>
  <c r="BR17" i="1"/>
  <c r="BM17" i="1"/>
  <c r="V30" i="57" s="1"/>
  <c r="BS20" i="1"/>
  <c r="BN20" i="1"/>
  <c r="BL20" i="1"/>
  <c r="BR20" i="1"/>
  <c r="BM20" i="1"/>
  <c r="BS26" i="1"/>
  <c r="BN26" i="1"/>
  <c r="BL26" i="1"/>
  <c r="BR26" i="1"/>
  <c r="BM26" i="1"/>
  <c r="BS27" i="1"/>
  <c r="BN27" i="1"/>
  <c r="BL27" i="1"/>
  <c r="BR27" i="1"/>
  <c r="BM27" i="1"/>
  <c r="BS23" i="1"/>
  <c r="BN23" i="1"/>
  <c r="BL23" i="1"/>
  <c r="BR23" i="1"/>
  <c r="BM23" i="1"/>
  <c r="BS28" i="1"/>
  <c r="BN28" i="1"/>
  <c r="BL28" i="1"/>
  <c r="BR28" i="1"/>
  <c r="BM28" i="1"/>
  <c r="BS30" i="1"/>
  <c r="BN30" i="1"/>
  <c r="BL30" i="1"/>
  <c r="BR30" i="1"/>
  <c r="BM30" i="1"/>
  <c r="BS32" i="1"/>
  <c r="BN32" i="1"/>
  <c r="BL32" i="1"/>
  <c r="BR32" i="1"/>
  <c r="BM32" i="1"/>
  <c r="BS34" i="1"/>
  <c r="BN34" i="1"/>
  <c r="BL34" i="1"/>
  <c r="BR34" i="1"/>
  <c r="BM34" i="1"/>
  <c r="BS41" i="1"/>
  <c r="BN41" i="1"/>
  <c r="BL41" i="1"/>
  <c r="BR41" i="1"/>
  <c r="BM41" i="1"/>
  <c r="Q44" i="1"/>
  <c r="CK39" i="1" l="1"/>
  <c r="CK364" i="1"/>
  <c r="CK384" i="1"/>
  <c r="CK40" i="1"/>
  <c r="CL40" i="1" s="1"/>
  <c r="CK70" i="1"/>
  <c r="CL70" i="1" s="1"/>
  <c r="F37" i="37"/>
  <c r="N41" i="44"/>
  <c r="F37" i="40"/>
  <c r="L41" i="44"/>
  <c r="W54" i="57"/>
  <c r="F30" i="41"/>
  <c r="U47" i="57"/>
  <c r="J34" i="44"/>
  <c r="F28" i="37"/>
  <c r="N32" i="44"/>
  <c r="G26" i="41"/>
  <c r="K30" i="44"/>
  <c r="V43" i="57"/>
  <c r="G26" i="37"/>
  <c r="O30" i="44"/>
  <c r="F24" i="40"/>
  <c r="L28" i="44"/>
  <c r="W41" i="57"/>
  <c r="F19" i="41"/>
  <c r="U36" i="57"/>
  <c r="J23" i="44"/>
  <c r="F23" i="37"/>
  <c r="N27" i="44"/>
  <c r="G22" i="41"/>
  <c r="K26" i="44"/>
  <c r="V39" i="57"/>
  <c r="G22" i="37"/>
  <c r="O26" i="44"/>
  <c r="V54" i="57"/>
  <c r="G37" i="41"/>
  <c r="K41" i="44"/>
  <c r="F37" i="41"/>
  <c r="J41" i="44"/>
  <c r="U54" i="57"/>
  <c r="O41" i="44"/>
  <c r="G37" i="37"/>
  <c r="F30" i="37"/>
  <c r="N34" i="44"/>
  <c r="W47" i="57"/>
  <c r="F30" i="40"/>
  <c r="L34" i="44"/>
  <c r="G28" i="41"/>
  <c r="K32" i="44"/>
  <c r="V45" i="57"/>
  <c r="F28" i="41"/>
  <c r="J32" i="44"/>
  <c r="U45" i="57"/>
  <c r="G28" i="37"/>
  <c r="O32" i="44"/>
  <c r="F26" i="37"/>
  <c r="N30" i="44"/>
  <c r="F26" i="40"/>
  <c r="W43" i="57"/>
  <c r="L30" i="44"/>
  <c r="G24" i="41"/>
  <c r="V41" i="57"/>
  <c r="K28" i="44"/>
  <c r="F24" i="41"/>
  <c r="J28" i="44"/>
  <c r="M28" i="44" s="1"/>
  <c r="U41" i="57"/>
  <c r="G24" i="37"/>
  <c r="O28" i="44"/>
  <c r="F19" i="37"/>
  <c r="N23" i="44"/>
  <c r="F19" i="40"/>
  <c r="W36" i="57"/>
  <c r="L23" i="44"/>
  <c r="G23" i="41"/>
  <c r="K27" i="44"/>
  <c r="V40" i="57"/>
  <c r="F23" i="41"/>
  <c r="U40" i="57"/>
  <c r="J27" i="44"/>
  <c r="G23" i="37"/>
  <c r="O27" i="44"/>
  <c r="F22" i="37"/>
  <c r="N26" i="44"/>
  <c r="F22" i="40"/>
  <c r="L26" i="44"/>
  <c r="W39" i="57"/>
  <c r="G16" i="41"/>
  <c r="V33" i="57"/>
  <c r="K20" i="44"/>
  <c r="F16" i="41"/>
  <c r="J20" i="44"/>
  <c r="U33" i="57"/>
  <c r="G16" i="37"/>
  <c r="O20" i="44"/>
  <c r="G32" i="37"/>
  <c r="O36" i="44"/>
  <c r="F18" i="41"/>
  <c r="J22" i="44"/>
  <c r="U35" i="57"/>
  <c r="F31" i="41"/>
  <c r="J35" i="44"/>
  <c r="U48" i="57"/>
  <c r="G21" i="41"/>
  <c r="V38" i="57"/>
  <c r="K25" i="44"/>
  <c r="F17" i="37"/>
  <c r="N21" i="44"/>
  <c r="F29" i="37"/>
  <c r="N33" i="44"/>
  <c r="F20" i="41"/>
  <c r="J24" i="44"/>
  <c r="U37" i="57"/>
  <c r="G15" i="41"/>
  <c r="K19" i="44"/>
  <c r="V32" i="57"/>
  <c r="V46" i="57"/>
  <c r="G29" i="41"/>
  <c r="K33" i="44"/>
  <c r="G20" i="41"/>
  <c r="V37" i="57"/>
  <c r="K24" i="44"/>
  <c r="O29" i="44"/>
  <c r="G25" i="37"/>
  <c r="F15" i="41"/>
  <c r="U32" i="57"/>
  <c r="J19" i="44"/>
  <c r="F21" i="37"/>
  <c r="N25" i="44"/>
  <c r="G15" i="37"/>
  <c r="O19" i="44"/>
  <c r="G31" i="41"/>
  <c r="K35" i="44"/>
  <c r="V48" i="57"/>
  <c r="F25" i="41"/>
  <c r="J29" i="44"/>
  <c r="U42" i="57"/>
  <c r="F14" i="37"/>
  <c r="N18" i="44"/>
  <c r="G14" i="41"/>
  <c r="K18" i="44"/>
  <c r="V31" i="57"/>
  <c r="F25" i="40"/>
  <c r="L29" i="44"/>
  <c r="W42" i="57"/>
  <c r="G31" i="37"/>
  <c r="O35" i="44"/>
  <c r="F21" i="40"/>
  <c r="L25" i="44"/>
  <c r="W38" i="57"/>
  <c r="G18" i="41"/>
  <c r="K22" i="44"/>
  <c r="V35" i="57"/>
  <c r="F14" i="41"/>
  <c r="U31" i="57"/>
  <c r="J18" i="44"/>
  <c r="G27" i="37"/>
  <c r="O31" i="44"/>
  <c r="F27" i="41"/>
  <c r="J31" i="44"/>
  <c r="U44" i="57"/>
  <c r="O25" i="44"/>
  <c r="G21" i="37"/>
  <c r="V50" i="57"/>
  <c r="G33" i="41"/>
  <c r="K37" i="44"/>
  <c r="O37" i="44"/>
  <c r="G33" i="37"/>
  <c r="F34" i="36"/>
  <c r="P38" i="44"/>
  <c r="G35" i="37"/>
  <c r="O39" i="44"/>
  <c r="F35" i="37"/>
  <c r="N39" i="44"/>
  <c r="F35" i="40"/>
  <c r="W52" i="57"/>
  <c r="L39" i="44"/>
  <c r="F36" i="41"/>
  <c r="J40" i="44"/>
  <c r="U53" i="57"/>
  <c r="F36" i="40"/>
  <c r="L40" i="44"/>
  <c r="W53" i="57"/>
  <c r="F36" i="37"/>
  <c r="N40" i="44"/>
  <c r="G30" i="41"/>
  <c r="K34" i="44"/>
  <c r="V47" i="57"/>
  <c r="G30" i="37"/>
  <c r="O34" i="44"/>
  <c r="F28" i="40"/>
  <c r="L32" i="44"/>
  <c r="W45" i="57"/>
  <c r="F26" i="41"/>
  <c r="J30" i="44"/>
  <c r="M30" i="44" s="1"/>
  <c r="U43" i="57"/>
  <c r="F24" i="37"/>
  <c r="N28" i="44"/>
  <c r="G19" i="41"/>
  <c r="K23" i="44"/>
  <c r="M23" i="44" s="1"/>
  <c r="V36" i="57"/>
  <c r="G19" i="37"/>
  <c r="O23" i="44"/>
  <c r="F23" i="40"/>
  <c r="W40" i="57"/>
  <c r="L27" i="44"/>
  <c r="F22" i="41"/>
  <c r="U39" i="57"/>
  <c r="J26" i="44"/>
  <c r="M26" i="44" s="1"/>
  <c r="F16" i="37"/>
  <c r="N20" i="44"/>
  <c r="F16" i="40"/>
  <c r="L20" i="44"/>
  <c r="W33" i="57"/>
  <c r="F32" i="41"/>
  <c r="J36" i="44"/>
  <c r="U49" i="57"/>
  <c r="G32" i="41"/>
  <c r="V49" i="57"/>
  <c r="K36" i="44"/>
  <c r="F32" i="37"/>
  <c r="N36" i="44"/>
  <c r="G18" i="37"/>
  <c r="O22" i="44"/>
  <c r="F18" i="40"/>
  <c r="L22" i="44"/>
  <c r="W35" i="57"/>
  <c r="F31" i="37"/>
  <c r="N35" i="44"/>
  <c r="F17" i="41"/>
  <c r="J21" i="44"/>
  <c r="U34" i="57"/>
  <c r="F29" i="41"/>
  <c r="J33" i="44"/>
  <c r="U46" i="57"/>
  <c r="G25" i="41"/>
  <c r="K29" i="44"/>
  <c r="M29" i="44" s="1"/>
  <c r="V42" i="57"/>
  <c r="F20" i="37"/>
  <c r="N24" i="44"/>
  <c r="F21" i="41"/>
  <c r="J25" i="44"/>
  <c r="U38" i="57"/>
  <c r="F20" i="40"/>
  <c r="L24" i="44"/>
  <c r="W37" i="57"/>
  <c r="F31" i="40"/>
  <c r="L35" i="44"/>
  <c r="W48" i="57"/>
  <c r="F25" i="37"/>
  <c r="N29" i="44"/>
  <c r="F18" i="37"/>
  <c r="N22" i="44"/>
  <c r="G17" i="41"/>
  <c r="K21" i="44"/>
  <c r="V34" i="57"/>
  <c r="F29" i="40"/>
  <c r="L33" i="44"/>
  <c r="W46" i="57"/>
  <c r="F17" i="40"/>
  <c r="L21" i="44"/>
  <c r="W34" i="57"/>
  <c r="G14" i="37"/>
  <c r="O18" i="44"/>
  <c r="G27" i="41"/>
  <c r="K31" i="44"/>
  <c r="V44" i="57"/>
  <c r="F27" i="37"/>
  <c r="N31" i="44"/>
  <c r="O21" i="44"/>
  <c r="G17" i="37"/>
  <c r="F15" i="40"/>
  <c r="W32" i="57"/>
  <c r="L19" i="44"/>
  <c r="F32" i="40"/>
  <c r="L36" i="44"/>
  <c r="W49" i="57"/>
  <c r="O33" i="44"/>
  <c r="G29" i="37"/>
  <c r="G20" i="37"/>
  <c r="O24" i="44"/>
  <c r="F14" i="40"/>
  <c r="L18" i="44"/>
  <c r="W31" i="57"/>
  <c r="F27" i="40"/>
  <c r="L31" i="44"/>
  <c r="W44" i="57"/>
  <c r="F15" i="37"/>
  <c r="N19" i="44"/>
  <c r="F33" i="37"/>
  <c r="N37" i="44"/>
  <c r="F33" i="41"/>
  <c r="J37" i="44"/>
  <c r="U50" i="57"/>
  <c r="F33" i="40"/>
  <c r="L37" i="44"/>
  <c r="W50" i="57"/>
  <c r="F35" i="41"/>
  <c r="J39" i="44"/>
  <c r="U52" i="57"/>
  <c r="G35" i="41"/>
  <c r="K39" i="44"/>
  <c r="V52" i="57"/>
  <c r="G36" i="41"/>
  <c r="K40" i="44"/>
  <c r="V53" i="57"/>
  <c r="M38" i="44"/>
  <c r="Q38" i="44"/>
  <c r="O397" i="44"/>
  <c r="G408" i="37"/>
  <c r="O328" i="44"/>
  <c r="G339" i="37"/>
  <c r="N373" i="44"/>
  <c r="F384" i="37"/>
  <c r="O373" i="44"/>
  <c r="G384" i="37"/>
  <c r="N319" i="44"/>
  <c r="F330" i="37"/>
  <c r="O372" i="44"/>
  <c r="G383" i="37"/>
  <c r="N390" i="44"/>
  <c r="F401" i="37"/>
  <c r="O316" i="44"/>
  <c r="G327" i="37"/>
  <c r="N332" i="44"/>
  <c r="F343" i="37"/>
  <c r="O357" i="44"/>
  <c r="G368" i="37"/>
  <c r="O370" i="44"/>
  <c r="G381" i="37"/>
  <c r="N347" i="44"/>
  <c r="F358" i="37"/>
  <c r="O374" i="44"/>
  <c r="G385" i="37"/>
  <c r="N320" i="44"/>
  <c r="F331" i="37"/>
  <c r="O320" i="44"/>
  <c r="G331" i="37"/>
  <c r="N336" i="44"/>
  <c r="F347" i="37"/>
  <c r="O336" i="44"/>
  <c r="G347" i="37"/>
  <c r="N331" i="44"/>
  <c r="F342" i="37"/>
  <c r="O331" i="44"/>
  <c r="G342" i="37"/>
  <c r="O343" i="44"/>
  <c r="G354" i="37"/>
  <c r="N361" i="44"/>
  <c r="F372" i="37"/>
  <c r="O361" i="44"/>
  <c r="G372" i="37"/>
  <c r="N377" i="44"/>
  <c r="F388" i="37"/>
  <c r="O377" i="44"/>
  <c r="G388" i="37"/>
  <c r="N396" i="44"/>
  <c r="F407" i="37"/>
  <c r="O396" i="44"/>
  <c r="G407" i="37"/>
  <c r="N324" i="44"/>
  <c r="F335" i="37"/>
  <c r="O324" i="44"/>
  <c r="G335" i="37"/>
  <c r="N339" i="44"/>
  <c r="F350" i="37"/>
  <c r="O339" i="44"/>
  <c r="G350" i="37"/>
  <c r="O363" i="44"/>
  <c r="G374" i="37"/>
  <c r="N370" i="44"/>
  <c r="F381" i="37"/>
  <c r="O387" i="44"/>
  <c r="G398" i="37"/>
  <c r="N321" i="44"/>
  <c r="F332" i="37"/>
  <c r="N374" i="44"/>
  <c r="F385" i="37"/>
  <c r="O378" i="44"/>
  <c r="G389" i="37"/>
  <c r="N357" i="44"/>
  <c r="F368" i="37"/>
  <c r="O347" i="44"/>
  <c r="G358" i="37"/>
  <c r="N315" i="44"/>
  <c r="F326" i="37"/>
  <c r="N360" i="44"/>
  <c r="F371" i="37"/>
  <c r="O315" i="44"/>
  <c r="G326" i="37"/>
  <c r="O322" i="44"/>
  <c r="G333" i="37"/>
  <c r="O350" i="44"/>
  <c r="G361" i="37"/>
  <c r="N362" i="44"/>
  <c r="F373" i="37"/>
  <c r="N391" i="44"/>
  <c r="F402" i="37"/>
  <c r="N309" i="44"/>
  <c r="F320" i="37"/>
  <c r="N394" i="44"/>
  <c r="F405" i="37"/>
  <c r="N330" i="44"/>
  <c r="F341" i="37"/>
  <c r="N346" i="44"/>
  <c r="F357" i="37"/>
  <c r="O371" i="44"/>
  <c r="G382" i="37"/>
  <c r="N317" i="44"/>
  <c r="F328" i="37"/>
  <c r="N313" i="44"/>
  <c r="F324" i="37"/>
  <c r="O335" i="44"/>
  <c r="G346" i="37"/>
  <c r="O367" i="44"/>
  <c r="G378" i="37"/>
  <c r="N318" i="44"/>
  <c r="F329" i="37"/>
  <c r="N364" i="44"/>
  <c r="F375" i="37"/>
  <c r="O337" i="44"/>
  <c r="G348" i="37"/>
  <c r="O349" i="44"/>
  <c r="G360" i="37"/>
  <c r="O359" i="44"/>
  <c r="G370" i="37"/>
  <c r="N376" i="44"/>
  <c r="F387" i="37"/>
  <c r="N380" i="44"/>
  <c r="F391" i="37"/>
  <c r="N398" i="44"/>
  <c r="F409" i="37"/>
  <c r="O311" i="44"/>
  <c r="G322" i="37"/>
  <c r="N338" i="44"/>
  <c r="F349" i="37"/>
  <c r="O346" i="44"/>
  <c r="G357" i="37"/>
  <c r="O380" i="44"/>
  <c r="G391" i="37"/>
  <c r="O318" i="44"/>
  <c r="G329" i="37"/>
  <c r="O321" i="44"/>
  <c r="G332" i="37"/>
  <c r="O353" i="44"/>
  <c r="G364" i="37"/>
  <c r="N353" i="44"/>
  <c r="F364" i="37"/>
  <c r="O365" i="44"/>
  <c r="G376" i="37"/>
  <c r="O388" i="44"/>
  <c r="G399" i="37"/>
  <c r="J348" i="44"/>
  <c r="F357" i="41"/>
  <c r="L348" i="44"/>
  <c r="F357" i="40"/>
  <c r="N366" i="44"/>
  <c r="F377" i="37"/>
  <c r="O386" i="44"/>
  <c r="G397" i="37"/>
  <c r="L386" i="44"/>
  <c r="F395" i="40"/>
  <c r="N397" i="44"/>
  <c r="F408" i="37"/>
  <c r="N328" i="44"/>
  <c r="F339" i="37"/>
  <c r="O319" i="44"/>
  <c r="G330" i="37"/>
  <c r="N343" i="44"/>
  <c r="F354" i="37"/>
  <c r="N372" i="44"/>
  <c r="F383" i="37"/>
  <c r="O390" i="44"/>
  <c r="G401" i="37"/>
  <c r="N316" i="44"/>
  <c r="F327" i="37"/>
  <c r="O332" i="44"/>
  <c r="G343" i="37"/>
  <c r="N351" i="44"/>
  <c r="F362" i="37"/>
  <c r="O351" i="44"/>
  <c r="G362" i="37"/>
  <c r="N382" i="44"/>
  <c r="F393" i="37"/>
  <c r="N345" i="44"/>
  <c r="F356" i="37"/>
  <c r="N323" i="44"/>
  <c r="F334" i="37"/>
  <c r="N395" i="44"/>
  <c r="F406" i="37"/>
  <c r="N329" i="44"/>
  <c r="F340" i="37"/>
  <c r="N378" i="44"/>
  <c r="F389" i="37"/>
  <c r="N387" i="44"/>
  <c r="F398" i="37"/>
  <c r="O360" i="44"/>
  <c r="G371" i="37"/>
  <c r="O345" i="44"/>
  <c r="G356" i="37"/>
  <c r="N363" i="44"/>
  <c r="F374" i="37"/>
  <c r="N369" i="44"/>
  <c r="F380" i="37"/>
  <c r="N311" i="44"/>
  <c r="F322" i="37"/>
  <c r="N322" i="44"/>
  <c r="F333" i="37"/>
  <c r="O340" i="44"/>
  <c r="G351" i="37"/>
  <c r="N358" i="44"/>
  <c r="F369" i="37"/>
  <c r="N368" i="44"/>
  <c r="F379" i="37"/>
  <c r="O309" i="44"/>
  <c r="G320" i="37"/>
  <c r="N340" i="44"/>
  <c r="F351" i="37"/>
  <c r="O362" i="44"/>
  <c r="G373" i="37"/>
  <c r="O391" i="44"/>
  <c r="G402" i="37"/>
  <c r="O368" i="44"/>
  <c r="G379" i="37"/>
  <c r="N350" i="44"/>
  <c r="F361" i="37"/>
  <c r="O398" i="44"/>
  <c r="G409" i="37"/>
  <c r="N325" i="44"/>
  <c r="F336" i="37"/>
  <c r="O333" i="44"/>
  <c r="G344" i="37"/>
  <c r="O338" i="44"/>
  <c r="G349" i="37"/>
  <c r="N371" i="44"/>
  <c r="F382" i="37"/>
  <c r="N333" i="44"/>
  <c r="F344" i="37"/>
  <c r="N342" i="44"/>
  <c r="F353" i="37"/>
  <c r="O317" i="44"/>
  <c r="G328" i="37"/>
  <c r="N310" i="44"/>
  <c r="F321" i="37"/>
  <c r="N337" i="44"/>
  <c r="F348" i="37"/>
  <c r="N359" i="44"/>
  <c r="F370" i="37"/>
  <c r="N335" i="44"/>
  <c r="F346" i="37"/>
  <c r="O375" i="44"/>
  <c r="G386" i="37"/>
  <c r="O342" i="44"/>
  <c r="G353" i="37"/>
  <c r="N375" i="44"/>
  <c r="F386" i="37"/>
  <c r="O364" i="44"/>
  <c r="G375" i="37"/>
  <c r="O310" i="44"/>
  <c r="G321" i="37"/>
  <c r="N349" i="44"/>
  <c r="F360" i="37"/>
  <c r="O329" i="44"/>
  <c r="G340" i="37"/>
  <c r="N367" i="44"/>
  <c r="F378" i="37"/>
  <c r="N384" i="44"/>
  <c r="F395" i="37"/>
  <c r="O384" i="44"/>
  <c r="G395" i="37"/>
  <c r="N341" i="44"/>
  <c r="F352" i="37"/>
  <c r="O395" i="44"/>
  <c r="G406" i="37"/>
  <c r="O393" i="44"/>
  <c r="G404" i="37"/>
  <c r="N393" i="44"/>
  <c r="F404" i="37"/>
  <c r="O330" i="44"/>
  <c r="G341" i="37"/>
  <c r="O325" i="44"/>
  <c r="G336" i="37"/>
  <c r="O358" i="44"/>
  <c r="G369" i="37"/>
  <c r="O382" i="44"/>
  <c r="G393" i="37"/>
  <c r="O341" i="44"/>
  <c r="G352" i="37"/>
  <c r="O376" i="44"/>
  <c r="G387" i="37"/>
  <c r="O313" i="44"/>
  <c r="G324" i="37"/>
  <c r="O394" i="44"/>
  <c r="G405" i="37"/>
  <c r="O369" i="44"/>
  <c r="G380" i="37"/>
  <c r="O323" i="44"/>
  <c r="G334" i="37"/>
  <c r="N365" i="44"/>
  <c r="F376" i="37"/>
  <c r="N326" i="44"/>
  <c r="F337" i="37"/>
  <c r="O326" i="44"/>
  <c r="G337" i="37"/>
  <c r="N392" i="44"/>
  <c r="F403" i="37"/>
  <c r="O392" i="44"/>
  <c r="G403" i="37"/>
  <c r="N388" i="44"/>
  <c r="F399" i="37"/>
  <c r="O348" i="44"/>
  <c r="G359" i="37"/>
  <c r="N348" i="44"/>
  <c r="F359" i="37"/>
  <c r="O366" i="44"/>
  <c r="G377" i="37"/>
  <c r="L366" i="44"/>
  <c r="F375" i="40"/>
  <c r="N386" i="44"/>
  <c r="F397" i="37"/>
  <c r="U429" i="57"/>
  <c r="J397" i="44"/>
  <c r="V429" i="57"/>
  <c r="K397" i="44"/>
  <c r="W352" i="57"/>
  <c r="L320" i="44"/>
  <c r="U360" i="57"/>
  <c r="J328" i="44"/>
  <c r="V360" i="57"/>
  <c r="K328" i="44"/>
  <c r="W368" i="57"/>
  <c r="L336" i="44"/>
  <c r="U405" i="57"/>
  <c r="J373" i="44"/>
  <c r="V405" i="57"/>
  <c r="K373" i="44"/>
  <c r="W340" i="57"/>
  <c r="L308" i="44"/>
  <c r="M308" i="44" s="1"/>
  <c r="U351" i="57"/>
  <c r="J319" i="44"/>
  <c r="V351" i="57"/>
  <c r="K319" i="44"/>
  <c r="W363" i="57"/>
  <c r="L331" i="44"/>
  <c r="U375" i="57"/>
  <c r="J343" i="44"/>
  <c r="W393" i="57"/>
  <c r="L361" i="44"/>
  <c r="U404" i="57"/>
  <c r="J372" i="44"/>
  <c r="V404" i="57"/>
  <c r="K372" i="44"/>
  <c r="W409" i="57"/>
  <c r="L377" i="44"/>
  <c r="U422" i="57"/>
  <c r="J390" i="44"/>
  <c r="V422" i="57"/>
  <c r="K390" i="44"/>
  <c r="W428" i="57"/>
  <c r="L396" i="44"/>
  <c r="U348" i="57"/>
  <c r="J316" i="44"/>
  <c r="V348" i="57"/>
  <c r="K316" i="44"/>
  <c r="W356" i="57"/>
  <c r="L324" i="44"/>
  <c r="U364" i="57"/>
  <c r="J332" i="44"/>
  <c r="V364" i="57"/>
  <c r="K332" i="44"/>
  <c r="W371" i="57"/>
  <c r="L339" i="44"/>
  <c r="V383" i="57"/>
  <c r="K351" i="44"/>
  <c r="U383" i="57"/>
  <c r="J351" i="44"/>
  <c r="W414" i="57"/>
  <c r="L382" i="44"/>
  <c r="U414" i="57"/>
  <c r="J382" i="44"/>
  <c r="W350" i="57"/>
  <c r="L318" i="44"/>
  <c r="W392" i="57"/>
  <c r="L360" i="44"/>
  <c r="U347" i="57"/>
  <c r="J315" i="44"/>
  <c r="W355" i="57"/>
  <c r="L323" i="44"/>
  <c r="W379" i="57"/>
  <c r="L347" i="44"/>
  <c r="U408" i="57"/>
  <c r="J376" i="44"/>
  <c r="W427" i="57"/>
  <c r="L395" i="44"/>
  <c r="V361" i="57"/>
  <c r="K329" i="44"/>
  <c r="W361" i="57"/>
  <c r="L329" i="44"/>
  <c r="U350" i="57"/>
  <c r="J318" i="44"/>
  <c r="W410" i="57"/>
  <c r="L378" i="44"/>
  <c r="V419" i="57"/>
  <c r="K387" i="44"/>
  <c r="U392" i="57"/>
  <c r="J360" i="44"/>
  <c r="U377" i="57"/>
  <c r="J345" i="44"/>
  <c r="W395" i="57"/>
  <c r="L363" i="44"/>
  <c r="V395" i="57"/>
  <c r="K363" i="44"/>
  <c r="V402" i="57"/>
  <c r="K370" i="44"/>
  <c r="V401" i="57"/>
  <c r="K369" i="44"/>
  <c r="V355" i="57"/>
  <c r="K323" i="44"/>
  <c r="U406" i="57"/>
  <c r="J374" i="44"/>
  <c r="V377" i="57"/>
  <c r="K345" i="44"/>
  <c r="U426" i="57"/>
  <c r="J394" i="44"/>
  <c r="W343" i="57"/>
  <c r="L311" i="44"/>
  <c r="V343" i="57"/>
  <c r="K311" i="44"/>
  <c r="W354" i="57"/>
  <c r="L322" i="44"/>
  <c r="V370" i="57"/>
  <c r="K338" i="44"/>
  <c r="U367" i="57"/>
  <c r="J335" i="44"/>
  <c r="W390" i="57"/>
  <c r="L358" i="44"/>
  <c r="W400" i="57"/>
  <c r="L368" i="44"/>
  <c r="W372" i="57"/>
  <c r="L340" i="44"/>
  <c r="V372" i="57"/>
  <c r="K340" i="44"/>
  <c r="U394" i="57"/>
  <c r="J362" i="44"/>
  <c r="W367" i="57"/>
  <c r="L335" i="44"/>
  <c r="U390" i="57"/>
  <c r="J358" i="44"/>
  <c r="W370" i="57"/>
  <c r="L338" i="44"/>
  <c r="W430" i="57"/>
  <c r="L398" i="44"/>
  <c r="U403" i="57"/>
  <c r="J371" i="44"/>
  <c r="U349" i="57"/>
  <c r="J317" i="44"/>
  <c r="W357" i="57"/>
  <c r="L325" i="44"/>
  <c r="U365" i="57"/>
  <c r="J333" i="44"/>
  <c r="V354" i="57"/>
  <c r="K322" i="44"/>
  <c r="W382" i="57"/>
  <c r="L350" i="44"/>
  <c r="U430" i="57"/>
  <c r="J398" i="44"/>
  <c r="V378" i="57"/>
  <c r="K346" i="44"/>
  <c r="W349" i="57"/>
  <c r="L317" i="44"/>
  <c r="U354" i="57"/>
  <c r="J322" i="44"/>
  <c r="V365" i="57"/>
  <c r="K333" i="44"/>
  <c r="W403" i="57"/>
  <c r="L371" i="44"/>
  <c r="U412" i="57"/>
  <c r="J380" i="44"/>
  <c r="V342" i="57"/>
  <c r="K310" i="44"/>
  <c r="W342" i="57"/>
  <c r="L310" i="44"/>
  <c r="W369" i="57"/>
  <c r="L337" i="44"/>
  <c r="V381" i="57"/>
  <c r="K349" i="44"/>
  <c r="V391" i="57"/>
  <c r="K359" i="44"/>
  <c r="W391" i="57"/>
  <c r="L359" i="44"/>
  <c r="U423" i="57"/>
  <c r="J391" i="44"/>
  <c r="U362" i="57"/>
  <c r="J330" i="44"/>
  <c r="U427" i="57"/>
  <c r="J395" i="44"/>
  <c r="U353" i="57"/>
  <c r="J321" i="44"/>
  <c r="U407" i="57"/>
  <c r="J375" i="44"/>
  <c r="V357" i="57"/>
  <c r="K325" i="44"/>
  <c r="W416" i="57"/>
  <c r="L384" i="44"/>
  <c r="V373" i="57"/>
  <c r="K341" i="44"/>
  <c r="U391" i="57"/>
  <c r="J359" i="44"/>
  <c r="M359" i="44" s="1"/>
  <c r="U342" i="57"/>
  <c r="J310" i="44"/>
  <c r="U399" i="57"/>
  <c r="J367" i="44"/>
  <c r="U425" i="57"/>
  <c r="J393" i="44"/>
  <c r="V425" i="57"/>
  <c r="K393" i="44"/>
  <c r="W425" i="57"/>
  <c r="L393" i="44"/>
  <c r="V406" i="57"/>
  <c r="K374" i="44"/>
  <c r="V403" i="57"/>
  <c r="K371" i="44"/>
  <c r="V394" i="57"/>
  <c r="K362" i="44"/>
  <c r="V367" i="57"/>
  <c r="K335" i="44"/>
  <c r="V400" i="57"/>
  <c r="K368" i="44"/>
  <c r="V374" i="57"/>
  <c r="K342" i="44"/>
  <c r="V369" i="57"/>
  <c r="K337" i="44"/>
  <c r="V427" i="57"/>
  <c r="K395" i="44"/>
  <c r="V341" i="57"/>
  <c r="K309" i="44"/>
  <c r="U410" i="57"/>
  <c r="J378" i="44"/>
  <c r="V347" i="57"/>
  <c r="K315" i="44"/>
  <c r="V379" i="57"/>
  <c r="K347" i="44"/>
  <c r="V385" i="57"/>
  <c r="K353" i="44"/>
  <c r="U397" i="57"/>
  <c r="J365" i="44"/>
  <c r="W397" i="57"/>
  <c r="L365" i="44"/>
  <c r="W358" i="57"/>
  <c r="L326" i="44"/>
  <c r="W424" i="57"/>
  <c r="L392" i="44"/>
  <c r="U420" i="57"/>
  <c r="J388" i="44"/>
  <c r="W420" i="57"/>
  <c r="L388" i="44"/>
  <c r="BV38" i="1"/>
  <c r="V380" i="57"/>
  <c r="K348" i="44"/>
  <c r="M348" i="44" s="1"/>
  <c r="U398" i="57"/>
  <c r="J366" i="44"/>
  <c r="V418" i="57"/>
  <c r="K386" i="44"/>
  <c r="W429" i="57"/>
  <c r="L397" i="44"/>
  <c r="U352" i="57"/>
  <c r="J320" i="44"/>
  <c r="V352" i="57"/>
  <c r="K320" i="44"/>
  <c r="W360" i="57"/>
  <c r="X375" i="57" s="1"/>
  <c r="L328" i="44"/>
  <c r="U368" i="57"/>
  <c r="J336" i="44"/>
  <c r="V368" i="57"/>
  <c r="K336" i="44"/>
  <c r="W405" i="57"/>
  <c r="X420" i="57" s="1"/>
  <c r="L373" i="44"/>
  <c r="W351" i="57"/>
  <c r="X366" i="57" s="1"/>
  <c r="L319" i="44"/>
  <c r="U363" i="57"/>
  <c r="J331" i="44"/>
  <c r="V363" i="57"/>
  <c r="K331" i="44"/>
  <c r="W375" i="57"/>
  <c r="L343" i="44"/>
  <c r="V375" i="57"/>
  <c r="X390" i="57" s="1"/>
  <c r="K343" i="44"/>
  <c r="U393" i="57"/>
  <c r="J361" i="44"/>
  <c r="V393" i="57"/>
  <c r="K361" i="44"/>
  <c r="W404" i="57"/>
  <c r="X419" i="57" s="1"/>
  <c r="L372" i="44"/>
  <c r="U409" i="57"/>
  <c r="J377" i="44"/>
  <c r="V409" i="57"/>
  <c r="K377" i="44"/>
  <c r="W422" i="57"/>
  <c r="L390" i="44"/>
  <c r="U428" i="57"/>
  <c r="J396" i="44"/>
  <c r="V428" i="57"/>
  <c r="K396" i="44"/>
  <c r="W348" i="57"/>
  <c r="X363" i="57" s="1"/>
  <c r="L316" i="44"/>
  <c r="U356" i="57"/>
  <c r="J324" i="44"/>
  <c r="V356" i="57"/>
  <c r="K324" i="44"/>
  <c r="W364" i="57"/>
  <c r="X379" i="57" s="1"/>
  <c r="L332" i="44"/>
  <c r="U371" i="57"/>
  <c r="J339" i="44"/>
  <c r="V371" i="57"/>
  <c r="K339" i="44"/>
  <c r="W383" i="57"/>
  <c r="X398" i="57" s="1"/>
  <c r="L351" i="44"/>
  <c r="V414" i="57"/>
  <c r="X429" i="57" s="1"/>
  <c r="K382" i="44"/>
  <c r="W401" i="57"/>
  <c r="L369" i="44"/>
  <c r="W419" i="57"/>
  <c r="L387" i="44"/>
  <c r="U374" i="57"/>
  <c r="J342" i="44"/>
  <c r="U345" i="57"/>
  <c r="J313" i="44"/>
  <c r="W353" i="57"/>
  <c r="L321" i="44"/>
  <c r="W406" i="57"/>
  <c r="L374" i="44"/>
  <c r="V350" i="57"/>
  <c r="X365" i="57" s="1"/>
  <c r="K318" i="44"/>
  <c r="W389" i="57"/>
  <c r="L357" i="44"/>
  <c r="V389" i="57"/>
  <c r="K357" i="44"/>
  <c r="U402" i="57"/>
  <c r="J370" i="44"/>
  <c r="U401" i="57"/>
  <c r="J369" i="44"/>
  <c r="W347" i="57"/>
  <c r="L315" i="44"/>
  <c r="U355" i="57"/>
  <c r="J323" i="44"/>
  <c r="V392" i="57"/>
  <c r="X407" i="57" s="1"/>
  <c r="K360" i="44"/>
  <c r="W377" i="57"/>
  <c r="X392" i="57" s="1"/>
  <c r="L345" i="44"/>
  <c r="W402" i="57"/>
  <c r="L370" i="44"/>
  <c r="U379" i="57"/>
  <c r="J347" i="44"/>
  <c r="V410" i="57"/>
  <c r="K378" i="44"/>
  <c r="U395" i="57"/>
  <c r="J363" i="44"/>
  <c r="W346" i="57"/>
  <c r="L314" i="44"/>
  <c r="M314" i="44" s="1"/>
  <c r="U370" i="57"/>
  <c r="J338" i="44"/>
  <c r="U382" i="57"/>
  <c r="J350" i="44"/>
  <c r="W394" i="57"/>
  <c r="L362" i="44"/>
  <c r="W423" i="57"/>
  <c r="L391" i="44"/>
  <c r="W341" i="57"/>
  <c r="L309" i="44"/>
  <c r="V426" i="57"/>
  <c r="K394" i="44"/>
  <c r="V390" i="57"/>
  <c r="K358" i="44"/>
  <c r="U400" i="57"/>
  <c r="J368" i="44"/>
  <c r="U343" i="57"/>
  <c r="J311" i="44"/>
  <c r="W362" i="57"/>
  <c r="L330" i="44"/>
  <c r="W378" i="57"/>
  <c r="L346" i="44"/>
  <c r="V349" i="57"/>
  <c r="X364" i="57" s="1"/>
  <c r="K317" i="44"/>
  <c r="W426" i="57"/>
  <c r="L394" i="44"/>
  <c r="V430" i="57"/>
  <c r="K398" i="44"/>
  <c r="U378" i="57"/>
  <c r="J346" i="44"/>
  <c r="W374" i="57"/>
  <c r="L342" i="44"/>
  <c r="U357" i="57"/>
  <c r="J325" i="44"/>
  <c r="U396" i="57"/>
  <c r="J364" i="44"/>
  <c r="U416" i="57"/>
  <c r="J384" i="44"/>
  <c r="U373" i="57"/>
  <c r="J341" i="44"/>
  <c r="U381" i="57"/>
  <c r="J349" i="44"/>
  <c r="U341" i="57"/>
  <c r="J309" i="44"/>
  <c r="W408" i="57"/>
  <c r="L376" i="44"/>
  <c r="V345" i="57"/>
  <c r="K313" i="44"/>
  <c r="V353" i="57"/>
  <c r="K321" i="44"/>
  <c r="U361" i="57"/>
  <c r="J329" i="44"/>
  <c r="U372" i="57"/>
  <c r="J340" i="44"/>
  <c r="W407" i="57"/>
  <c r="L375" i="44"/>
  <c r="W399" i="57"/>
  <c r="L367" i="44"/>
  <c r="V399" i="57"/>
  <c r="K367" i="44"/>
  <c r="W412" i="57"/>
  <c r="L380" i="44"/>
  <c r="W373" i="57"/>
  <c r="L341" i="44"/>
  <c r="V362" i="57"/>
  <c r="X377" i="57" s="1"/>
  <c r="K330" i="44"/>
  <c r="W396" i="57"/>
  <c r="L364" i="44"/>
  <c r="W381" i="57"/>
  <c r="L349" i="44"/>
  <c r="V408" i="57"/>
  <c r="X423" i="57" s="1"/>
  <c r="K376" i="44"/>
  <c r="W345" i="57"/>
  <c r="L313" i="44"/>
  <c r="W365" i="57"/>
  <c r="X380" i="57" s="1"/>
  <c r="L333" i="44"/>
  <c r="U369" i="57"/>
  <c r="X384" i="57" s="1"/>
  <c r="J337" i="44"/>
  <c r="V412" i="57"/>
  <c r="X427" i="57" s="1"/>
  <c r="K380" i="44"/>
  <c r="V407" i="57"/>
  <c r="X422" i="57" s="1"/>
  <c r="K375" i="44"/>
  <c r="U389" i="57"/>
  <c r="J357" i="44"/>
  <c r="M357" i="44" s="1"/>
  <c r="V382" i="57"/>
  <c r="K350" i="44"/>
  <c r="V423" i="57"/>
  <c r="K391" i="44"/>
  <c r="V396" i="57"/>
  <c r="K364" i="44"/>
  <c r="M364" i="44" s="1"/>
  <c r="V416" i="57"/>
  <c r="K384" i="44"/>
  <c r="U419" i="57"/>
  <c r="J387" i="44"/>
  <c r="U385" i="57"/>
  <c r="J353" i="44"/>
  <c r="W385" i="57"/>
  <c r="L353" i="44"/>
  <c r="V397" i="57"/>
  <c r="K365" i="44"/>
  <c r="V358" i="57"/>
  <c r="K326" i="44"/>
  <c r="U358" i="57"/>
  <c r="J326" i="44"/>
  <c r="V424" i="57"/>
  <c r="K392" i="44"/>
  <c r="U424" i="57"/>
  <c r="J392" i="44"/>
  <c r="V420" i="57"/>
  <c r="K388" i="44"/>
  <c r="V398" i="57"/>
  <c r="K366" i="44"/>
  <c r="U418" i="57"/>
  <c r="J386" i="44"/>
  <c r="BM259" i="1"/>
  <c r="BN259" i="1"/>
  <c r="CL364" i="1"/>
  <c r="CM364" i="1" s="1"/>
  <c r="CL39" i="1"/>
  <c r="CM39" i="1" s="1"/>
  <c r="CL143" i="1"/>
  <c r="CM143" i="1" s="1"/>
  <c r="BS259" i="1"/>
  <c r="BR259" i="1"/>
  <c r="AM259" i="1"/>
  <c r="CR133" i="1"/>
  <c r="CR139" i="1"/>
  <c r="CR225" i="1"/>
  <c r="CR119" i="1"/>
  <c r="CR108" i="1"/>
  <c r="CR90" i="1"/>
  <c r="CR121" i="1"/>
  <c r="CR59" i="1"/>
  <c r="CL384" i="1"/>
  <c r="CM384" i="1" s="1"/>
  <c r="R58" i="58"/>
  <c r="R435" i="58" s="1"/>
  <c r="X432" i="58"/>
  <c r="AM17" i="1"/>
  <c r="S33" i="58"/>
  <c r="S58" i="58" s="1"/>
  <c r="CN346" i="1"/>
  <c r="CN384" i="1"/>
  <c r="AM189" i="1"/>
  <c r="CN40" i="1"/>
  <c r="CN17" i="1"/>
  <c r="Z33" i="58"/>
  <c r="AU260" i="1"/>
  <c r="BB260" i="1" s="1"/>
  <c r="CN364" i="1"/>
  <c r="AM346" i="1"/>
  <c r="CN39" i="1"/>
  <c r="CN143" i="1"/>
  <c r="X369" i="57"/>
  <c r="BT364" i="1"/>
  <c r="F377" i="36" s="1"/>
  <c r="W398" i="57"/>
  <c r="BT40" i="1"/>
  <c r="T324" i="57"/>
  <c r="BT17" i="1"/>
  <c r="P17" i="44" s="1"/>
  <c r="W30" i="57"/>
  <c r="X43" i="57" s="1"/>
  <c r="X386" i="57"/>
  <c r="BQ346" i="1"/>
  <c r="U380" i="57"/>
  <c r="BT346" i="1"/>
  <c r="F359" i="36" s="1"/>
  <c r="W380" i="57"/>
  <c r="BT384" i="1"/>
  <c r="W418" i="57"/>
  <c r="BT39" i="1"/>
  <c r="BT143" i="1"/>
  <c r="T414" i="57"/>
  <c r="T55" i="57"/>
  <c r="CP220" i="1"/>
  <c r="BF220" i="1"/>
  <c r="Y253" i="52"/>
  <c r="Y210" i="52"/>
  <c r="Y186" i="52"/>
  <c r="Y110" i="52"/>
  <c r="Y90" i="52"/>
  <c r="Y195" i="52"/>
  <c r="Y147" i="52"/>
  <c r="Y138" i="52"/>
  <c r="Y88" i="52"/>
  <c r="Y114" i="52"/>
  <c r="Y300" i="52"/>
  <c r="Y92" i="52"/>
  <c r="Y87" i="52"/>
  <c r="Y78" i="52"/>
  <c r="Y257" i="52"/>
  <c r="Y248" i="52"/>
  <c r="Y243" i="52"/>
  <c r="Y175" i="52"/>
  <c r="Y155" i="52"/>
  <c r="Y146" i="52"/>
  <c r="Y139" i="52"/>
  <c r="Y135" i="52"/>
  <c r="Y128" i="52"/>
  <c r="Y116" i="52"/>
  <c r="Y98" i="52"/>
  <c r="Y318" i="52"/>
  <c r="Y289" i="52"/>
  <c r="Y226" i="52"/>
  <c r="Y328" i="52"/>
  <c r="Y316" i="52"/>
  <c r="Y288" i="52"/>
  <c r="Y265" i="52"/>
  <c r="Y201" i="52"/>
  <c r="Y157" i="52"/>
  <c r="Y293" i="52"/>
  <c r="Y266" i="52"/>
  <c r="Y239" i="52"/>
  <c r="Y214" i="52"/>
  <c r="Y206" i="52"/>
  <c r="Y198" i="52"/>
  <c r="Y172" i="52"/>
  <c r="Y158" i="52"/>
  <c r="Y152" i="52"/>
  <c r="Y106" i="52"/>
  <c r="Y310" i="52"/>
  <c r="Y295" i="52"/>
  <c r="Y180" i="52"/>
  <c r="Y170" i="52"/>
  <c r="Y148" i="52"/>
  <c r="Y130" i="52"/>
  <c r="Y121" i="52"/>
  <c r="Y99" i="52"/>
  <c r="Y81" i="52"/>
  <c r="Y187" i="52"/>
  <c r="Y215" i="52"/>
  <c r="Y197" i="52"/>
  <c r="Y140" i="52"/>
  <c r="Y95" i="52"/>
  <c r="Y86" i="52"/>
  <c r="Y192" i="52"/>
  <c r="Y142" i="52"/>
  <c r="Y93" i="52"/>
  <c r="Y84" i="52"/>
  <c r="Y112" i="52"/>
  <c r="Y94" i="52"/>
  <c r="Y89" i="52"/>
  <c r="Y85" i="52"/>
  <c r="Y260" i="52"/>
  <c r="Y100" i="52"/>
  <c r="Y230" i="52"/>
  <c r="Y161" i="52"/>
  <c r="Y312" i="52"/>
  <c r="Y141" i="52"/>
  <c r="Y136" i="52"/>
  <c r="Y129" i="52"/>
  <c r="Y126" i="52"/>
  <c r="Y105" i="52"/>
  <c r="Y327" i="52"/>
  <c r="Y294" i="52"/>
  <c r="Y276" i="52"/>
  <c r="Y219" i="52"/>
  <c r="Y323" i="52"/>
  <c r="Y292" i="52"/>
  <c r="Y267" i="52"/>
  <c r="Y173" i="52"/>
  <c r="Y324" i="52"/>
  <c r="Y268" i="52"/>
  <c r="Y254" i="52"/>
  <c r="Y235" i="52"/>
  <c r="Y211" i="52"/>
  <c r="Y203" i="52"/>
  <c r="Y196" i="52"/>
  <c r="Y174" i="52"/>
  <c r="Y165" i="52"/>
  <c r="Y156" i="52"/>
  <c r="Y109" i="52"/>
  <c r="Y313" i="52"/>
  <c r="Y308" i="52"/>
  <c r="Y285" i="52"/>
  <c r="Y178" i="52"/>
  <c r="Y168" i="52"/>
  <c r="Y134" i="52"/>
  <c r="Y123" i="52"/>
  <c r="Y101" i="52"/>
  <c r="Y97" i="52"/>
  <c r="Y73" i="52"/>
  <c r="Y236" i="52"/>
  <c r="Y321" i="52"/>
  <c r="Y252" i="52"/>
  <c r="Y259" i="52"/>
  <c r="Y425" i="52"/>
  <c r="BB245" i="1"/>
  <c r="Y279" i="52"/>
  <c r="Y282" i="52"/>
  <c r="Y119" i="52"/>
  <c r="Y228" i="52"/>
  <c r="Y245" i="52"/>
  <c r="Y229" i="52"/>
  <c r="Y320" i="52"/>
  <c r="BN221" i="1"/>
  <c r="CF40" i="1"/>
  <c r="CM40" i="1"/>
  <c r="CF70" i="1"/>
  <c r="CM70" i="1"/>
  <c r="BQ143" i="1"/>
  <c r="CK220" i="1"/>
  <c r="CF143" i="1"/>
  <c r="AU220" i="1"/>
  <c r="CP189" i="1"/>
  <c r="BF189" i="1"/>
  <c r="CP70" i="1"/>
  <c r="BF70" i="1"/>
  <c r="BQ40" i="1"/>
  <c r="AU189" i="1"/>
  <c r="BN189" i="1" s="1"/>
  <c r="BQ39" i="1"/>
  <c r="AU70" i="1"/>
  <c r="CF39" i="1"/>
  <c r="CK381" i="1"/>
  <c r="CL381" i="1" s="1"/>
  <c r="CK17" i="1"/>
  <c r="CL17" i="1" s="1"/>
  <c r="CK297" i="1"/>
  <c r="CL297" i="1" s="1"/>
  <c r="CK286" i="1"/>
  <c r="CK246" i="1"/>
  <c r="CL246" i="1" s="1"/>
  <c r="BQ364" i="1"/>
  <c r="CF384" i="1"/>
  <c r="BW38" i="1"/>
  <c r="BQ384" i="1"/>
  <c r="BV384" i="1"/>
  <c r="CF364" i="1"/>
  <c r="AM281" i="1"/>
  <c r="AM245" i="1"/>
  <c r="AM324" i="1"/>
  <c r="CS38" i="1"/>
  <c r="CG38" i="1"/>
  <c r="BN260" i="1"/>
  <c r="BT259" i="1"/>
  <c r="BT246" i="1"/>
  <c r="BT286" i="1"/>
  <c r="AM38" i="1"/>
  <c r="CK260" i="1"/>
  <c r="CP260" i="1"/>
  <c r="BF260" i="1"/>
  <c r="CN259" i="1"/>
  <c r="CK259" i="1"/>
  <c r="AU188" i="1"/>
  <c r="BN188" i="1" s="1"/>
  <c r="CN286" i="1"/>
  <c r="BQ246" i="1"/>
  <c r="CN246" i="1"/>
  <c r="BQ286" i="1"/>
  <c r="BL245" i="1"/>
  <c r="CK155" i="1"/>
  <c r="CN31" i="1"/>
  <c r="CN25" i="1"/>
  <c r="CN297" i="1"/>
  <c r="AM267" i="1"/>
  <c r="CN281" i="1"/>
  <c r="AM289" i="1"/>
  <c r="BT386" i="1"/>
  <c r="BA287" i="1"/>
  <c r="BX287" i="1" s="1"/>
  <c r="Z320" i="52" s="1"/>
  <c r="AB320" i="52" s="1"/>
  <c r="AM386" i="1"/>
  <c r="CN386" i="1"/>
  <c r="CN18" i="1"/>
  <c r="CN155" i="1"/>
  <c r="AM221" i="1"/>
  <c r="BQ297" i="1"/>
  <c r="BT297" i="1"/>
  <c r="BA245" i="1"/>
  <c r="BX245" i="1" s="1"/>
  <c r="Z278" i="52" s="1"/>
  <c r="AB278" i="52" s="1"/>
  <c r="AU381" i="1"/>
  <c r="CP381" i="1"/>
  <c r="BF381" i="1"/>
  <c r="BM245" i="1"/>
  <c r="BN245" i="1"/>
  <c r="CP289" i="1"/>
  <c r="BF289" i="1"/>
  <c r="BS245" i="1"/>
  <c r="BR245" i="1"/>
  <c r="BQ292" i="1"/>
  <c r="BZ297" i="1"/>
  <c r="Y278" i="52"/>
  <c r="BT102" i="1"/>
  <c r="BR201" i="1"/>
  <c r="BN287" i="1"/>
  <c r="AM283" i="1"/>
  <c r="AM37" i="1"/>
  <c r="AM249" i="1"/>
  <c r="BZ129" i="1"/>
  <c r="AM85" i="1"/>
  <c r="BM221" i="1"/>
  <c r="BR221" i="1"/>
  <c r="BB221" i="1"/>
  <c r="BS221" i="1"/>
  <c r="BL221" i="1"/>
  <c r="BA221" i="1"/>
  <c r="BX221" i="1" s="1"/>
  <c r="Z251" i="52" s="1"/>
  <c r="AB251" i="52" s="1"/>
  <c r="Z270" i="52"/>
  <c r="AB270" i="52" s="1"/>
  <c r="Y299" i="52"/>
  <c r="Y270" i="52"/>
  <c r="AM266" i="1"/>
  <c r="AM214" i="1"/>
  <c r="CN333" i="1"/>
  <c r="BZ102" i="1"/>
  <c r="BZ281" i="1"/>
  <c r="Y251" i="52"/>
  <c r="Y319" i="52"/>
  <c r="BZ155" i="1"/>
  <c r="Z319" i="52"/>
  <c r="AB319" i="52" s="1"/>
  <c r="BB267" i="1"/>
  <c r="BA267" i="1"/>
  <c r="BX267" i="1" s="1"/>
  <c r="Z299" i="52" s="1"/>
  <c r="AB299" i="52" s="1"/>
  <c r="BN267" i="1"/>
  <c r="BM267" i="1"/>
  <c r="BL267" i="1"/>
  <c r="BS267" i="1"/>
  <c r="BR267" i="1"/>
  <c r="AB33" i="52"/>
  <c r="Z42" i="52"/>
  <c r="AB42" i="52" s="1"/>
  <c r="Z432" i="52"/>
  <c r="AB432" i="52" s="1"/>
  <c r="BB287" i="1"/>
  <c r="Y58" i="52"/>
  <c r="BL287" i="1"/>
  <c r="BT155" i="1"/>
  <c r="AM391" i="1"/>
  <c r="BS287" i="1"/>
  <c r="BM287" i="1"/>
  <c r="BR287" i="1"/>
  <c r="BT281" i="1"/>
  <c r="CN340" i="1"/>
  <c r="AM197" i="1"/>
  <c r="AM215" i="1"/>
  <c r="AM274" i="1"/>
  <c r="AM58" i="1"/>
  <c r="BQ300" i="1"/>
  <c r="BQ102" i="1"/>
  <c r="BQ129" i="1"/>
  <c r="CN266" i="1"/>
  <c r="AU289" i="1"/>
  <c r="BQ298" i="1"/>
  <c r="BQ293" i="1"/>
  <c r="BQ302" i="1"/>
  <c r="AM212" i="1"/>
  <c r="CN184" i="1"/>
  <c r="CN250" i="1"/>
  <c r="BF212" i="1"/>
  <c r="BQ281" i="1"/>
  <c r="CN396" i="1"/>
  <c r="BZ386" i="1"/>
  <c r="AM52" i="1"/>
  <c r="BQ157" i="1"/>
  <c r="BT157" i="1"/>
  <c r="BT129" i="1"/>
  <c r="AM241" i="1"/>
  <c r="BQ155" i="1"/>
  <c r="AM377" i="1"/>
  <c r="CN327" i="1"/>
  <c r="CN318" i="1"/>
  <c r="CN366" i="1"/>
  <c r="AM120" i="1"/>
  <c r="AM92" i="1"/>
  <c r="AM201" i="1"/>
  <c r="BT37" i="1"/>
  <c r="BQ386" i="1"/>
  <c r="CN134" i="1"/>
  <c r="BZ157" i="1"/>
  <c r="CN109" i="1"/>
  <c r="CN214" i="1"/>
  <c r="CN197" i="1"/>
  <c r="BB160" i="1"/>
  <c r="BZ31" i="1"/>
  <c r="BZ25" i="1"/>
  <c r="BZ265" i="1"/>
  <c r="BZ250" i="1"/>
  <c r="BB247" i="1"/>
  <c r="BZ197" i="1"/>
  <c r="BB96" i="1"/>
  <c r="BZ266" i="1"/>
  <c r="BZ184" i="1"/>
  <c r="BZ351" i="1"/>
  <c r="BZ58" i="1"/>
  <c r="BZ390" i="1"/>
  <c r="CN129" i="1"/>
  <c r="CN102" i="1"/>
  <c r="CN157" i="1"/>
  <c r="BB202" i="1"/>
  <c r="BZ18" i="1"/>
  <c r="BZ109" i="1"/>
  <c r="BB208" i="1"/>
  <c r="BZ134" i="1"/>
  <c r="BB215" i="1"/>
  <c r="BZ214" i="1"/>
  <c r="BB201" i="1"/>
  <c r="BB377" i="1"/>
  <c r="BZ37" i="1"/>
  <c r="BZ241" i="1"/>
  <c r="BZ302" i="1"/>
  <c r="BZ33" i="1"/>
  <c r="BZ35" i="1"/>
  <c r="BZ19" i="1"/>
  <c r="BZ293" i="1"/>
  <c r="BZ292" i="1"/>
  <c r="BZ391" i="1"/>
  <c r="BZ193" i="1"/>
  <c r="BZ365" i="1"/>
  <c r="BZ229" i="1"/>
  <c r="BZ145" i="1"/>
  <c r="BZ56" i="1"/>
  <c r="BZ47" i="1"/>
  <c r="BZ251" i="1"/>
  <c r="BZ205" i="1"/>
  <c r="BZ158" i="1"/>
  <c r="BZ136" i="1"/>
  <c r="BZ101" i="1"/>
  <c r="BZ328" i="1"/>
  <c r="BZ340" i="1"/>
  <c r="BZ396" i="1"/>
  <c r="BZ358" i="1"/>
  <c r="BZ378" i="1"/>
  <c r="BZ308" i="1"/>
  <c r="BZ339" i="1"/>
  <c r="BZ347" i="1"/>
  <c r="BZ361" i="1"/>
  <c r="BZ372" i="1"/>
  <c r="BZ309" i="1"/>
  <c r="BZ316" i="1"/>
  <c r="BZ336" i="1"/>
  <c r="BZ374" i="1"/>
  <c r="BZ393" i="1"/>
  <c r="BZ315" i="1"/>
  <c r="BZ323" i="1"/>
  <c r="BZ331" i="1"/>
  <c r="BZ307" i="1"/>
  <c r="BZ360" i="1"/>
  <c r="BZ376" i="1"/>
  <c r="BZ389" i="1"/>
  <c r="BZ321" i="1"/>
  <c r="BZ345" i="1"/>
  <c r="BZ356" i="1"/>
  <c r="BZ395" i="1"/>
  <c r="BZ318" i="1"/>
  <c r="BZ326" i="1"/>
  <c r="BZ334" i="1"/>
  <c r="BZ380" i="1"/>
  <c r="BZ329" i="1"/>
  <c r="BZ341" i="1"/>
  <c r="BZ359" i="1"/>
  <c r="BZ375" i="1"/>
  <c r="BZ388" i="1"/>
  <c r="BZ41" i="1"/>
  <c r="BZ32" i="1"/>
  <c r="BZ28" i="1"/>
  <c r="BZ26" i="1"/>
  <c r="BZ20" i="1"/>
  <c r="BZ306" i="1"/>
  <c r="BZ337" i="1"/>
  <c r="BZ370" i="1"/>
  <c r="BZ30" i="1"/>
  <c r="BZ23" i="1"/>
  <c r="BZ29" i="1"/>
  <c r="BZ21" i="1"/>
  <c r="BZ24" i="1"/>
  <c r="BZ22" i="1"/>
  <c r="BZ206" i="1"/>
  <c r="BZ298" i="1"/>
  <c r="BZ163" i="1"/>
  <c r="BZ36" i="1"/>
  <c r="BZ373" i="1"/>
  <c r="BZ300" i="1"/>
  <c r="BZ203" i="1"/>
  <c r="BZ152" i="1"/>
  <c r="BZ140" i="1"/>
  <c r="BZ50" i="1"/>
  <c r="BZ237" i="1"/>
  <c r="BZ242" i="1"/>
  <c r="BZ217" i="1"/>
  <c r="BZ199" i="1"/>
  <c r="BZ142" i="1"/>
  <c r="BZ125" i="1"/>
  <c r="BZ48" i="1"/>
  <c r="BZ344" i="1"/>
  <c r="BZ355" i="1"/>
  <c r="BZ362" i="1"/>
  <c r="BZ382" i="1"/>
  <c r="BZ335" i="1"/>
  <c r="BZ343" i="1"/>
  <c r="BZ357" i="1"/>
  <c r="BZ368" i="1"/>
  <c r="BZ312" i="1"/>
  <c r="BZ320" i="1"/>
  <c r="BZ348" i="1"/>
  <c r="BZ369" i="1"/>
  <c r="BZ311" i="1"/>
  <c r="BZ319" i="1"/>
  <c r="BZ327" i="1"/>
  <c r="BZ392" i="1"/>
  <c r="BZ338" i="1"/>
  <c r="BZ367" i="1"/>
  <c r="BZ385" i="1"/>
  <c r="BZ313" i="1"/>
  <c r="BZ333" i="1"/>
  <c r="BZ366" i="1"/>
  <c r="BZ314" i="1"/>
  <c r="BZ322" i="1"/>
  <c r="BZ330" i="1"/>
  <c r="BZ371" i="1"/>
  <c r="BZ317" i="1"/>
  <c r="BZ349" i="1"/>
  <c r="BZ394" i="1"/>
  <c r="BZ34" i="1"/>
  <c r="BZ27" i="1"/>
  <c r="BZ17" i="1"/>
  <c r="BZ363" i="1"/>
  <c r="BZ324" i="1"/>
  <c r="BZ120" i="1"/>
  <c r="Y250" i="52"/>
  <c r="BF274" i="1"/>
  <c r="AU249" i="1"/>
  <c r="CN351" i="1"/>
  <c r="CN241" i="1"/>
  <c r="CN265" i="1"/>
  <c r="CN302" i="1"/>
  <c r="CN33" i="1"/>
  <c r="CN35" i="1"/>
  <c r="CN19" i="1"/>
  <c r="CN293" i="1"/>
  <c r="CN292" i="1"/>
  <c r="CN391" i="1"/>
  <c r="CN193" i="1"/>
  <c r="CN365" i="1"/>
  <c r="CN229" i="1"/>
  <c r="CN145" i="1"/>
  <c r="CN56" i="1"/>
  <c r="CN47" i="1"/>
  <c r="CN251" i="1"/>
  <c r="CN205" i="1"/>
  <c r="CN158" i="1"/>
  <c r="CN136" i="1"/>
  <c r="CN101" i="1"/>
  <c r="CN328" i="1"/>
  <c r="CN358" i="1"/>
  <c r="CN378" i="1"/>
  <c r="CN308" i="1"/>
  <c r="CN339" i="1"/>
  <c r="CN347" i="1"/>
  <c r="CN361" i="1"/>
  <c r="CN372" i="1"/>
  <c r="CN309" i="1"/>
  <c r="CN316" i="1"/>
  <c r="CN336" i="1"/>
  <c r="CN374" i="1"/>
  <c r="CN393" i="1"/>
  <c r="CN315" i="1"/>
  <c r="CN323" i="1"/>
  <c r="CN331" i="1"/>
  <c r="CN307" i="1"/>
  <c r="CN360" i="1"/>
  <c r="CN376" i="1"/>
  <c r="CN389" i="1"/>
  <c r="CN321" i="1"/>
  <c r="CN345" i="1"/>
  <c r="CN356" i="1"/>
  <c r="CN395" i="1"/>
  <c r="CN326" i="1"/>
  <c r="CN334" i="1"/>
  <c r="CN380" i="1"/>
  <c r="CN329" i="1"/>
  <c r="CN341" i="1"/>
  <c r="CN359" i="1"/>
  <c r="CN375" i="1"/>
  <c r="CN388" i="1"/>
  <c r="CN41" i="1"/>
  <c r="CN32" i="1"/>
  <c r="CN28" i="1"/>
  <c r="CN26" i="1"/>
  <c r="CN20" i="1"/>
  <c r="CN306" i="1"/>
  <c r="CN337" i="1"/>
  <c r="CN370" i="1"/>
  <c r="CN30" i="1"/>
  <c r="CN23" i="1"/>
  <c r="CN29" i="1"/>
  <c r="CN21" i="1"/>
  <c r="CN24" i="1"/>
  <c r="CN22" i="1"/>
  <c r="CN206" i="1"/>
  <c r="CN298" i="1"/>
  <c r="CN163" i="1"/>
  <c r="CN36" i="1"/>
  <c r="CN373" i="1"/>
  <c r="CN300" i="1"/>
  <c r="CN203" i="1"/>
  <c r="CN152" i="1"/>
  <c r="CN140" i="1"/>
  <c r="CN50" i="1"/>
  <c r="CN237" i="1"/>
  <c r="CN242" i="1"/>
  <c r="CN217" i="1"/>
  <c r="CN199" i="1"/>
  <c r="CN142" i="1"/>
  <c r="CN125" i="1"/>
  <c r="CN48" i="1"/>
  <c r="CN344" i="1"/>
  <c r="CN355" i="1"/>
  <c r="CN362" i="1"/>
  <c r="CN382" i="1"/>
  <c r="CN335" i="1"/>
  <c r="CN343" i="1"/>
  <c r="CN357" i="1"/>
  <c r="CN368" i="1"/>
  <c r="CN312" i="1"/>
  <c r="CN320" i="1"/>
  <c r="CN348" i="1"/>
  <c r="CN369" i="1"/>
  <c r="CN311" i="1"/>
  <c r="CN319" i="1"/>
  <c r="CN392" i="1"/>
  <c r="CN338" i="1"/>
  <c r="CN367" i="1"/>
  <c r="CN385" i="1"/>
  <c r="CN313" i="1"/>
  <c r="CN314" i="1"/>
  <c r="CN322" i="1"/>
  <c r="CN330" i="1"/>
  <c r="CN371" i="1"/>
  <c r="CN317" i="1"/>
  <c r="CN349" i="1"/>
  <c r="CN394" i="1"/>
  <c r="CN34" i="1"/>
  <c r="CN27" i="1"/>
  <c r="BT363" i="1"/>
  <c r="AM363" i="1"/>
  <c r="CN58" i="1"/>
  <c r="CN324" i="1"/>
  <c r="CN390" i="1"/>
  <c r="CN120" i="1"/>
  <c r="AM390" i="1"/>
  <c r="CN37" i="1"/>
  <c r="CN363" i="1"/>
  <c r="BQ58" i="1"/>
  <c r="BT58" i="1"/>
  <c r="BT324" i="1"/>
  <c r="CP212" i="1"/>
  <c r="BT390" i="1"/>
  <c r="BQ120" i="1"/>
  <c r="BT120" i="1"/>
  <c r="AU212" i="1"/>
  <c r="BQ390" i="1"/>
  <c r="BQ324" i="1"/>
  <c r="AU164" i="1"/>
  <c r="CP92" i="1"/>
  <c r="BF92" i="1"/>
  <c r="AU92" i="1"/>
  <c r="BA201" i="1"/>
  <c r="BX201" i="1" s="1"/>
  <c r="Z229" i="52" s="1"/>
  <c r="AB229" i="52" s="1"/>
  <c r="BQ363" i="1"/>
  <c r="J307" i="41"/>
  <c r="BS201" i="1"/>
  <c r="BN201" i="1"/>
  <c r="BQ37" i="1"/>
  <c r="BA187" i="1"/>
  <c r="BX187" i="1" s="1"/>
  <c r="Z215" i="52" s="1"/>
  <c r="AB215" i="52" s="1"/>
  <c r="BB187" i="1"/>
  <c r="BA170" i="1"/>
  <c r="BX170" i="1" s="1"/>
  <c r="Z197" i="52" s="1"/>
  <c r="AB197" i="52" s="1"/>
  <c r="BB170" i="1"/>
  <c r="BA116" i="1"/>
  <c r="BX116" i="1" s="1"/>
  <c r="Z140" i="52" s="1"/>
  <c r="AB140" i="52" s="1"/>
  <c r="BB116" i="1"/>
  <c r="BA72" i="1"/>
  <c r="BX72" i="1" s="1"/>
  <c r="Z95" i="52" s="1"/>
  <c r="AB95" i="52" s="1"/>
  <c r="BB72" i="1"/>
  <c r="BA62" i="1"/>
  <c r="BX62" i="1" s="1"/>
  <c r="Z86" i="52" s="1"/>
  <c r="AB86" i="52" s="1"/>
  <c r="BB62" i="1"/>
  <c r="BA165" i="1"/>
  <c r="BX165" i="1" s="1"/>
  <c r="Z192" i="52" s="1"/>
  <c r="AB192" i="52" s="1"/>
  <c r="BB165" i="1"/>
  <c r="BA118" i="1"/>
  <c r="BX118" i="1" s="1"/>
  <c r="Z142" i="52" s="1"/>
  <c r="AB142" i="52" s="1"/>
  <c r="BB118" i="1"/>
  <c r="BA69" i="1"/>
  <c r="BX69" i="1" s="1"/>
  <c r="Z93" i="52" s="1"/>
  <c r="AB93" i="52" s="1"/>
  <c r="BB69" i="1"/>
  <c r="BA60" i="1"/>
  <c r="BX60" i="1" s="1"/>
  <c r="Z84" i="52" s="1"/>
  <c r="AB84" i="52" s="1"/>
  <c r="BB60" i="1"/>
  <c r="BA89" i="1"/>
  <c r="BX89" i="1" s="1"/>
  <c r="Z112" i="52" s="1"/>
  <c r="AB112" i="52" s="1"/>
  <c r="BB89" i="1"/>
  <c r="BA71" i="1"/>
  <c r="BX71" i="1" s="1"/>
  <c r="Z94" i="52" s="1"/>
  <c r="AB94" i="52" s="1"/>
  <c r="BB71" i="1"/>
  <c r="BA65" i="1"/>
  <c r="BX65" i="1" s="1"/>
  <c r="Z89" i="52" s="1"/>
  <c r="AB89" i="52" s="1"/>
  <c r="BB65" i="1"/>
  <c r="BA61" i="1"/>
  <c r="BX61" i="1" s="1"/>
  <c r="Z85" i="52" s="1"/>
  <c r="AB85" i="52" s="1"/>
  <c r="BB61" i="1"/>
  <c r="BA228" i="1"/>
  <c r="BX228" i="1" s="1"/>
  <c r="Z260" i="52" s="1"/>
  <c r="AB260" i="52" s="1"/>
  <c r="BB228" i="1"/>
  <c r="Z255" i="52"/>
  <c r="AB255" i="52" s="1"/>
  <c r="BA77" i="1"/>
  <c r="BX77" i="1" s="1"/>
  <c r="Z100" i="52" s="1"/>
  <c r="AB100" i="52" s="1"/>
  <c r="BB77" i="1"/>
  <c r="BA135" i="1"/>
  <c r="BX135" i="1" s="1"/>
  <c r="Z161" i="52" s="1"/>
  <c r="AB161" i="52" s="1"/>
  <c r="BB135" i="1"/>
  <c r="BA279" i="1"/>
  <c r="BX279" i="1" s="1"/>
  <c r="Z312" i="52" s="1"/>
  <c r="AB312" i="52" s="1"/>
  <c r="BB279" i="1"/>
  <c r="BA117" i="1"/>
  <c r="BX117" i="1" s="1"/>
  <c r="Z141" i="52" s="1"/>
  <c r="AB141" i="52" s="1"/>
  <c r="BB117" i="1"/>
  <c r="BA112" i="1"/>
  <c r="BX112" i="1" s="1"/>
  <c r="Z136" i="52" s="1"/>
  <c r="AB136" i="52" s="1"/>
  <c r="BB112" i="1"/>
  <c r="BA106" i="1"/>
  <c r="BX106" i="1" s="1"/>
  <c r="Z129" i="52" s="1"/>
  <c r="AB129" i="52" s="1"/>
  <c r="BB106" i="1"/>
  <c r="BA103" i="1"/>
  <c r="BX103" i="1" s="1"/>
  <c r="Z126" i="52" s="1"/>
  <c r="AB126" i="52" s="1"/>
  <c r="BB103" i="1"/>
  <c r="BA82" i="1"/>
  <c r="BX82" i="1" s="1"/>
  <c r="Z105" i="52" s="1"/>
  <c r="AB105" i="52" s="1"/>
  <c r="BB82" i="1"/>
  <c r="BA294" i="1"/>
  <c r="BX294" i="1" s="1"/>
  <c r="Z327" i="52" s="1"/>
  <c r="AB327" i="52" s="1"/>
  <c r="BB294" i="1"/>
  <c r="BA263" i="1"/>
  <c r="BX263" i="1" s="1"/>
  <c r="Z294" i="52" s="1"/>
  <c r="AB294" i="52" s="1"/>
  <c r="BB263" i="1"/>
  <c r="BA243" i="1"/>
  <c r="BX243" i="1" s="1"/>
  <c r="Z276" i="52" s="1"/>
  <c r="AB276" i="52" s="1"/>
  <c r="BB243" i="1"/>
  <c r="BA192" i="1"/>
  <c r="BX192" i="1" s="1"/>
  <c r="Z219" i="52" s="1"/>
  <c r="AB219" i="52" s="1"/>
  <c r="BB192" i="1"/>
  <c r="BA290" i="1"/>
  <c r="BX290" i="1" s="1"/>
  <c r="Z323" i="52" s="1"/>
  <c r="AB323" i="52" s="1"/>
  <c r="BB290" i="1"/>
  <c r="BA261" i="1"/>
  <c r="BX261" i="1" s="1"/>
  <c r="Z292" i="52" s="1"/>
  <c r="AB292" i="52" s="1"/>
  <c r="BB261" i="1"/>
  <c r="BA235" i="1"/>
  <c r="BX235" i="1" s="1"/>
  <c r="Z267" i="52" s="1"/>
  <c r="AB267" i="52" s="1"/>
  <c r="BB235" i="1"/>
  <c r="Z237" i="52"/>
  <c r="AB237" i="52" s="1"/>
  <c r="BA147" i="1"/>
  <c r="BX147" i="1" s="1"/>
  <c r="Z173" i="52" s="1"/>
  <c r="AB173" i="52" s="1"/>
  <c r="BB147" i="1"/>
  <c r="BA291" i="1"/>
  <c r="BX291" i="1" s="1"/>
  <c r="Z324" i="52" s="1"/>
  <c r="AB324" i="52" s="1"/>
  <c r="BB291" i="1"/>
  <c r="BA236" i="1"/>
  <c r="BX236" i="1" s="1"/>
  <c r="Z268" i="52" s="1"/>
  <c r="AB268" i="52" s="1"/>
  <c r="BB236" i="1"/>
  <c r="BA224" i="1"/>
  <c r="BX224" i="1" s="1"/>
  <c r="Z254" i="52" s="1"/>
  <c r="AB254" i="52" s="1"/>
  <c r="BB224" i="1"/>
  <c r="BA207" i="1"/>
  <c r="BX207" i="1" s="1"/>
  <c r="Z235" i="52" s="1"/>
  <c r="AB235" i="52" s="1"/>
  <c r="BB207" i="1"/>
  <c r="BA183" i="1"/>
  <c r="BX183" i="1" s="1"/>
  <c r="Z211" i="52" s="1"/>
  <c r="AB211" i="52" s="1"/>
  <c r="BB183" i="1"/>
  <c r="BA176" i="1"/>
  <c r="BX176" i="1" s="1"/>
  <c r="Z203" i="52" s="1"/>
  <c r="AB203" i="52" s="1"/>
  <c r="BB176" i="1"/>
  <c r="BA169" i="1"/>
  <c r="BX169" i="1" s="1"/>
  <c r="Z196" i="52" s="1"/>
  <c r="AB196" i="52" s="1"/>
  <c r="BB169" i="1"/>
  <c r="BA148" i="1"/>
  <c r="BX148" i="1" s="1"/>
  <c r="Z174" i="52" s="1"/>
  <c r="AB174" i="52" s="1"/>
  <c r="BB148" i="1"/>
  <c r="BA138" i="1"/>
  <c r="BX138" i="1" s="1"/>
  <c r="Z165" i="52" s="1"/>
  <c r="AB165" i="52" s="1"/>
  <c r="BB138" i="1"/>
  <c r="BA131" i="1"/>
  <c r="BX131" i="1" s="1"/>
  <c r="Z156" i="52" s="1"/>
  <c r="AB156" i="52" s="1"/>
  <c r="BB131" i="1"/>
  <c r="BA86" i="1"/>
  <c r="BX86" i="1" s="1"/>
  <c r="Z109" i="52" s="1"/>
  <c r="AB109" i="52" s="1"/>
  <c r="BB86" i="1"/>
  <c r="BA280" i="1"/>
  <c r="BX280" i="1" s="1"/>
  <c r="Z313" i="52" s="1"/>
  <c r="AB313" i="52" s="1"/>
  <c r="BB280" i="1"/>
  <c r="BA275" i="1"/>
  <c r="BX275" i="1" s="1"/>
  <c r="Z308" i="52" s="1"/>
  <c r="AB308" i="52" s="1"/>
  <c r="BB275" i="1"/>
  <c r="BA252" i="1"/>
  <c r="BX252" i="1" s="1"/>
  <c r="Z285" i="52" s="1"/>
  <c r="AB285" i="52" s="1"/>
  <c r="BB252" i="1"/>
  <c r="BA151" i="1"/>
  <c r="BX151" i="1" s="1"/>
  <c r="Z178" i="52" s="1"/>
  <c r="AB178" i="52" s="1"/>
  <c r="BB151" i="1"/>
  <c r="BA141" i="1"/>
  <c r="BX141" i="1" s="1"/>
  <c r="Z168" i="52" s="1"/>
  <c r="AB168" i="52" s="1"/>
  <c r="BB141" i="1"/>
  <c r="BA110" i="1"/>
  <c r="BX110" i="1" s="1"/>
  <c r="Z134" i="52" s="1"/>
  <c r="AB134" i="52" s="1"/>
  <c r="BB110" i="1"/>
  <c r="BA100" i="1"/>
  <c r="BX100" i="1" s="1"/>
  <c r="Z123" i="52" s="1"/>
  <c r="AB123" i="52" s="1"/>
  <c r="BB100" i="1"/>
  <c r="BA78" i="1"/>
  <c r="BX78" i="1" s="1"/>
  <c r="Z101" i="52" s="1"/>
  <c r="AB101" i="52" s="1"/>
  <c r="BB78" i="1"/>
  <c r="BA74" i="1"/>
  <c r="BX74" i="1" s="1"/>
  <c r="Z97" i="52" s="1"/>
  <c r="AB97" i="52" s="1"/>
  <c r="BB74" i="1"/>
  <c r="BA49" i="1"/>
  <c r="BX49" i="1" s="1"/>
  <c r="Z73" i="52" s="1"/>
  <c r="AB73" i="52" s="1"/>
  <c r="BB49" i="1"/>
  <c r="BR227" i="1"/>
  <c r="BB227" i="1"/>
  <c r="BA223" i="1"/>
  <c r="BX223" i="1" s="1"/>
  <c r="Z253" i="52" s="1"/>
  <c r="AB253" i="52" s="1"/>
  <c r="BB223" i="1"/>
  <c r="BA182" i="1"/>
  <c r="BX182" i="1" s="1"/>
  <c r="Z210" i="52" s="1"/>
  <c r="AB210" i="52" s="1"/>
  <c r="BB182" i="1"/>
  <c r="BA159" i="1"/>
  <c r="BX159" i="1" s="1"/>
  <c r="Z186" i="52" s="1"/>
  <c r="AB186" i="52" s="1"/>
  <c r="BB159" i="1"/>
  <c r="BA87" i="1"/>
  <c r="BX87" i="1" s="1"/>
  <c r="Z110" i="52" s="1"/>
  <c r="AB110" i="52" s="1"/>
  <c r="BB87" i="1"/>
  <c r="BA66" i="1"/>
  <c r="BX66" i="1" s="1"/>
  <c r="Z90" i="52" s="1"/>
  <c r="AB90" i="52" s="1"/>
  <c r="BB66" i="1"/>
  <c r="BA168" i="1"/>
  <c r="BX168" i="1" s="1"/>
  <c r="Z195" i="52" s="1"/>
  <c r="AB195" i="52" s="1"/>
  <c r="BB168" i="1"/>
  <c r="BA123" i="1"/>
  <c r="BX123" i="1" s="1"/>
  <c r="Z147" i="52" s="1"/>
  <c r="AB147" i="52" s="1"/>
  <c r="BB123" i="1"/>
  <c r="BA114" i="1"/>
  <c r="BX114" i="1" s="1"/>
  <c r="Z138" i="52" s="1"/>
  <c r="AB138" i="52" s="1"/>
  <c r="BB114" i="1"/>
  <c r="BA64" i="1"/>
  <c r="BX64" i="1" s="1"/>
  <c r="Z88" i="52" s="1"/>
  <c r="AB88" i="52" s="1"/>
  <c r="BB64" i="1"/>
  <c r="BA91" i="1"/>
  <c r="BX91" i="1" s="1"/>
  <c r="Z114" i="52" s="1"/>
  <c r="AB114" i="52" s="1"/>
  <c r="BB91" i="1"/>
  <c r="BA268" i="1"/>
  <c r="BX268" i="1" s="1"/>
  <c r="Z300" i="52" s="1"/>
  <c r="AB300" i="52" s="1"/>
  <c r="BB268" i="1"/>
  <c r="BA68" i="1"/>
  <c r="BX68" i="1" s="1"/>
  <c r="Z92" i="52" s="1"/>
  <c r="AB92" i="52" s="1"/>
  <c r="BB68" i="1"/>
  <c r="BA63" i="1"/>
  <c r="BX63" i="1" s="1"/>
  <c r="Z87" i="52" s="1"/>
  <c r="AB87" i="52" s="1"/>
  <c r="BB63" i="1"/>
  <c r="BA54" i="1"/>
  <c r="BX54" i="1" s="1"/>
  <c r="Z78" i="52" s="1"/>
  <c r="AB78" i="52" s="1"/>
  <c r="BB54" i="1"/>
  <c r="BA226" i="1"/>
  <c r="BX226" i="1" s="1"/>
  <c r="Z257" i="52" s="1"/>
  <c r="AB257" i="52" s="1"/>
  <c r="BB226" i="1"/>
  <c r="BA218" i="1"/>
  <c r="BX218" i="1" s="1"/>
  <c r="Z248" i="52" s="1"/>
  <c r="AB248" i="52" s="1"/>
  <c r="BB218" i="1"/>
  <c r="BA213" i="1"/>
  <c r="BX213" i="1" s="1"/>
  <c r="Z243" i="52" s="1"/>
  <c r="AB243" i="52" s="1"/>
  <c r="BB213" i="1"/>
  <c r="BA149" i="1"/>
  <c r="BX149" i="1" s="1"/>
  <c r="Z175" i="52" s="1"/>
  <c r="AB175" i="52" s="1"/>
  <c r="BB149" i="1"/>
  <c r="BA130" i="1"/>
  <c r="BX130" i="1" s="1"/>
  <c r="Z155" i="52" s="1"/>
  <c r="AB155" i="52" s="1"/>
  <c r="BB130" i="1"/>
  <c r="BA122" i="1"/>
  <c r="BX122" i="1" s="1"/>
  <c r="Z146" i="52" s="1"/>
  <c r="AB146" i="52" s="1"/>
  <c r="BB122" i="1"/>
  <c r="BA115" i="1"/>
  <c r="BX115" i="1" s="1"/>
  <c r="Z139" i="52" s="1"/>
  <c r="AB139" i="52" s="1"/>
  <c r="BB115" i="1"/>
  <c r="BA111" i="1"/>
  <c r="BX111" i="1" s="1"/>
  <c r="Z135" i="52" s="1"/>
  <c r="AB135" i="52" s="1"/>
  <c r="BB111" i="1"/>
  <c r="BA105" i="1"/>
  <c r="BX105" i="1" s="1"/>
  <c r="Z128" i="52" s="1"/>
  <c r="AB128" i="52" s="1"/>
  <c r="BB105" i="1"/>
  <c r="BA93" i="1"/>
  <c r="BX93" i="1" s="1"/>
  <c r="Z116" i="52" s="1"/>
  <c r="AB116" i="52" s="1"/>
  <c r="BB93" i="1"/>
  <c r="BA75" i="1"/>
  <c r="BX75" i="1" s="1"/>
  <c r="Z98" i="52" s="1"/>
  <c r="AB98" i="52" s="1"/>
  <c r="BB75" i="1"/>
  <c r="BA285" i="1"/>
  <c r="BX285" i="1" s="1"/>
  <c r="Z318" i="52" s="1"/>
  <c r="AB318" i="52" s="1"/>
  <c r="BB285" i="1"/>
  <c r="BA256" i="1"/>
  <c r="BX256" i="1" s="1"/>
  <c r="Z289" i="52" s="1"/>
  <c r="AB289" i="52" s="1"/>
  <c r="BB256" i="1"/>
  <c r="BA198" i="1"/>
  <c r="BX198" i="1" s="1"/>
  <c r="Z226" i="52" s="1"/>
  <c r="AB226" i="52" s="1"/>
  <c r="BB198" i="1"/>
  <c r="BA295" i="1"/>
  <c r="BX295" i="1" s="1"/>
  <c r="Z328" i="52" s="1"/>
  <c r="AB328" i="52" s="1"/>
  <c r="BB295" i="1"/>
  <c r="BA283" i="1"/>
  <c r="BX283" i="1" s="1"/>
  <c r="Z316" i="52" s="1"/>
  <c r="AB316" i="52" s="1"/>
  <c r="BB283" i="1"/>
  <c r="BA255" i="1"/>
  <c r="BX255" i="1" s="1"/>
  <c r="Z288" i="52" s="1"/>
  <c r="AB288" i="52" s="1"/>
  <c r="BB255" i="1"/>
  <c r="BA233" i="1"/>
  <c r="BX233" i="1" s="1"/>
  <c r="Z265" i="52" s="1"/>
  <c r="AB265" i="52" s="1"/>
  <c r="BB233" i="1"/>
  <c r="BA174" i="1"/>
  <c r="BX174" i="1" s="1"/>
  <c r="Z201" i="52" s="1"/>
  <c r="AB201" i="52" s="1"/>
  <c r="BB174" i="1"/>
  <c r="Z157" i="52"/>
  <c r="AB157" i="52" s="1"/>
  <c r="BA262" i="1"/>
  <c r="BX262" i="1" s="1"/>
  <c r="Z293" i="52" s="1"/>
  <c r="AB293" i="52" s="1"/>
  <c r="BB262" i="1"/>
  <c r="BA234" i="1"/>
  <c r="BX234" i="1" s="1"/>
  <c r="Z266" i="52" s="1"/>
  <c r="AB266" i="52" s="1"/>
  <c r="BB234" i="1"/>
  <c r="BA209" i="1"/>
  <c r="BX209" i="1" s="1"/>
  <c r="Z239" i="52" s="1"/>
  <c r="AB239" i="52" s="1"/>
  <c r="BB209" i="1"/>
  <c r="BA186" i="1"/>
  <c r="BX186" i="1" s="1"/>
  <c r="Z214" i="52" s="1"/>
  <c r="AB214" i="52" s="1"/>
  <c r="BB186" i="1"/>
  <c r="BA178" i="1"/>
  <c r="BX178" i="1" s="1"/>
  <c r="Z206" i="52" s="1"/>
  <c r="AB206" i="52" s="1"/>
  <c r="BB178" i="1"/>
  <c r="BA171" i="1"/>
  <c r="BX171" i="1" s="1"/>
  <c r="Z198" i="52" s="1"/>
  <c r="AB198" i="52" s="1"/>
  <c r="BB171" i="1"/>
  <c r="Z176" i="52"/>
  <c r="AB176" i="52" s="1"/>
  <c r="BA146" i="1"/>
  <c r="BX146" i="1" s="1"/>
  <c r="Z172" i="52" s="1"/>
  <c r="AB172" i="52" s="1"/>
  <c r="BB146" i="1"/>
  <c r="BA132" i="1"/>
  <c r="BX132" i="1" s="1"/>
  <c r="Z158" i="52" s="1"/>
  <c r="AB158" i="52" s="1"/>
  <c r="BB132" i="1"/>
  <c r="BA128" i="1"/>
  <c r="BX128" i="1" s="1"/>
  <c r="Z152" i="52" s="1"/>
  <c r="AB152" i="52" s="1"/>
  <c r="BB128" i="1"/>
  <c r="BA83" i="1"/>
  <c r="BX83" i="1" s="1"/>
  <c r="Z106" i="52" s="1"/>
  <c r="AB106" i="52" s="1"/>
  <c r="BB83" i="1"/>
  <c r="BA277" i="1"/>
  <c r="BX277" i="1" s="1"/>
  <c r="Z310" i="52" s="1"/>
  <c r="AB310" i="52" s="1"/>
  <c r="BB277" i="1"/>
  <c r="BA264" i="1"/>
  <c r="BX264" i="1" s="1"/>
  <c r="Z295" i="52" s="1"/>
  <c r="AB295" i="52" s="1"/>
  <c r="BB264" i="1"/>
  <c r="BA153" i="1"/>
  <c r="BX153" i="1" s="1"/>
  <c r="Z180" i="52" s="1"/>
  <c r="AB180" i="52" s="1"/>
  <c r="BB153" i="1"/>
  <c r="BA144" i="1"/>
  <c r="BX144" i="1" s="1"/>
  <c r="Z170" i="52" s="1"/>
  <c r="AB170" i="52" s="1"/>
  <c r="BB144" i="1"/>
  <c r="BA124" i="1"/>
  <c r="BX124" i="1" s="1"/>
  <c r="Z148" i="52" s="1"/>
  <c r="AB148" i="52" s="1"/>
  <c r="BB124" i="1"/>
  <c r="BA107" i="1"/>
  <c r="BX107" i="1" s="1"/>
  <c r="Z130" i="52" s="1"/>
  <c r="AB130" i="52" s="1"/>
  <c r="BB107" i="1"/>
  <c r="BA98" i="1"/>
  <c r="BX98" i="1" s="1"/>
  <c r="Z121" i="52" s="1"/>
  <c r="AB121" i="52" s="1"/>
  <c r="BB98" i="1"/>
  <c r="BA76" i="1"/>
  <c r="BX76" i="1" s="1"/>
  <c r="Z99" i="52" s="1"/>
  <c r="AB99" i="52" s="1"/>
  <c r="BB76" i="1"/>
  <c r="BA57" i="1"/>
  <c r="BX57" i="1" s="1"/>
  <c r="Z81" i="52" s="1"/>
  <c r="AB81" i="52" s="1"/>
  <c r="BB57" i="1"/>
  <c r="BR288" i="1"/>
  <c r="BB288" i="1"/>
  <c r="BL222" i="1"/>
  <c r="BB222" i="1"/>
  <c r="BA200" i="1"/>
  <c r="BX200" i="1" s="1"/>
  <c r="Z228" i="52" s="1"/>
  <c r="AB228" i="52" s="1"/>
  <c r="BB200" i="1"/>
  <c r="AM211" i="1"/>
  <c r="BQ351" i="1"/>
  <c r="BF249" i="1"/>
  <c r="CP249" i="1"/>
  <c r="BN377" i="1"/>
  <c r="F388" i="40" s="1"/>
  <c r="BA377" i="1"/>
  <c r="BX377" i="1" s="1"/>
  <c r="Z425" i="52" s="1"/>
  <c r="AB425" i="52" s="1"/>
  <c r="BR377" i="1"/>
  <c r="BM377" i="1"/>
  <c r="G388" i="41" s="1"/>
  <c r="BS377" i="1"/>
  <c r="BL377" i="1"/>
  <c r="F388" i="41" s="1"/>
  <c r="BM201" i="1"/>
  <c r="BL201" i="1"/>
  <c r="BT214" i="1"/>
  <c r="CP274" i="1"/>
  <c r="BT351" i="1"/>
  <c r="AU274" i="1"/>
  <c r="BT134" i="1"/>
  <c r="BQ214" i="1"/>
  <c r="CG214" i="1" s="1"/>
  <c r="BQ134" i="1"/>
  <c r="BN215" i="1"/>
  <c r="BA215" i="1"/>
  <c r="BX215" i="1" s="1"/>
  <c r="Z245" i="52" s="1"/>
  <c r="AB245" i="52" s="1"/>
  <c r="BM215" i="1"/>
  <c r="BL215" i="1"/>
  <c r="BS215" i="1"/>
  <c r="BR215" i="1"/>
  <c r="AM134" i="1"/>
  <c r="AU190" i="1"/>
  <c r="Z204" i="52"/>
  <c r="AB204" i="52" s="1"/>
  <c r="BF113" i="1"/>
  <c r="BF211" i="1"/>
  <c r="BS222" i="1"/>
  <c r="BT334" i="1"/>
  <c r="BT317" i="1"/>
  <c r="BT388" i="1"/>
  <c r="BT394" i="1"/>
  <c r="BT322" i="1"/>
  <c r="BT337" i="1"/>
  <c r="BT316" i="1"/>
  <c r="BT367" i="1"/>
  <c r="BT345" i="1"/>
  <c r="BT319" i="1"/>
  <c r="BT327" i="1"/>
  <c r="BT376" i="1"/>
  <c r="BT355" i="1"/>
  <c r="BT361" i="1"/>
  <c r="BT343" i="1"/>
  <c r="BT368" i="1"/>
  <c r="BT312" i="1"/>
  <c r="BT389" i="1"/>
  <c r="BT366" i="1"/>
  <c r="BT338" i="1"/>
  <c r="BT333" i="1"/>
  <c r="BT336" i="1"/>
  <c r="BT396" i="1"/>
  <c r="BT328" i="1"/>
  <c r="BT344" i="1"/>
  <c r="BT348" i="1"/>
  <c r="BT369" i="1"/>
  <c r="BT335" i="1"/>
  <c r="BT374" i="1"/>
  <c r="BT373" i="1"/>
  <c r="BT365" i="1"/>
  <c r="BT378" i="1"/>
  <c r="BT362" i="1"/>
  <c r="BT331" i="1"/>
  <c r="BT318" i="1"/>
  <c r="BT371" i="1"/>
  <c r="BT329" i="1"/>
  <c r="BT395" i="1"/>
  <c r="BT326" i="1"/>
  <c r="BT306" i="1"/>
  <c r="BT341" i="1"/>
  <c r="BT359" i="1"/>
  <c r="BT370" i="1"/>
  <c r="BT375" i="1"/>
  <c r="BT314" i="1"/>
  <c r="BT330" i="1"/>
  <c r="BT349" i="1"/>
  <c r="BT380" i="1"/>
  <c r="BT358" i="1"/>
  <c r="BT385" i="1"/>
  <c r="BT321" i="1"/>
  <c r="BT393" i="1"/>
  <c r="BT372" i="1"/>
  <c r="BT313" i="1"/>
  <c r="BT309" i="1"/>
  <c r="BT320" i="1"/>
  <c r="BT360" i="1"/>
  <c r="BT356" i="1"/>
  <c r="BT307" i="1"/>
  <c r="BT323" i="1"/>
  <c r="BT392" i="1"/>
  <c r="BT315" i="1"/>
  <c r="BT340" i="1"/>
  <c r="BT308" i="1"/>
  <c r="BT357" i="1"/>
  <c r="BT382" i="1"/>
  <c r="BT339" i="1"/>
  <c r="BT347" i="1"/>
  <c r="BT311" i="1"/>
  <c r="BT391" i="1"/>
  <c r="BM227" i="1"/>
  <c r="BN200" i="1"/>
  <c r="BN222" i="1"/>
  <c r="BR222" i="1"/>
  <c r="BS227" i="1"/>
  <c r="AM184" i="1"/>
  <c r="BA222" i="1"/>
  <c r="BX222" i="1" s="1"/>
  <c r="Z252" i="52" s="1"/>
  <c r="AB252" i="52" s="1"/>
  <c r="BM222" i="1"/>
  <c r="BL227" i="1"/>
  <c r="BN227" i="1"/>
  <c r="Z154" i="52"/>
  <c r="AB154" i="52" s="1"/>
  <c r="BL200" i="1"/>
  <c r="BT241" i="1"/>
  <c r="CP282" i="1"/>
  <c r="BA227" i="1"/>
  <c r="BX227" i="1" s="1"/>
  <c r="Z259" i="52" s="1"/>
  <c r="AB259" i="52" s="1"/>
  <c r="BQ241" i="1"/>
  <c r="AU177" i="1"/>
  <c r="AU254" i="1"/>
  <c r="BR200" i="1"/>
  <c r="BM200" i="1"/>
  <c r="BS200" i="1"/>
  <c r="BT136" i="1"/>
  <c r="BT48" i="1"/>
  <c r="BT140" i="1"/>
  <c r="BT125" i="1"/>
  <c r="BT300" i="1"/>
  <c r="BT142" i="1"/>
  <c r="BT205" i="1"/>
  <c r="BT158" i="1"/>
  <c r="BT50" i="1"/>
  <c r="BT199" i="1"/>
  <c r="BT242" i="1"/>
  <c r="BT24" i="1"/>
  <c r="BT35" i="1"/>
  <c r="BT33" i="1"/>
  <c r="BT21" i="1"/>
  <c r="BT36" i="1"/>
  <c r="BT25" i="1"/>
  <c r="BT18" i="1"/>
  <c r="BT250" i="1"/>
  <c r="BT109" i="1"/>
  <c r="CP113" i="1"/>
  <c r="BT41" i="1"/>
  <c r="BT34" i="1"/>
  <c r="BT32" i="1"/>
  <c r="BT30" i="1"/>
  <c r="BT28" i="1"/>
  <c r="BT23" i="1"/>
  <c r="BT27" i="1"/>
  <c r="BT26" i="1"/>
  <c r="BT20" i="1"/>
  <c r="BT101" i="1"/>
  <c r="BT56" i="1"/>
  <c r="BT47" i="1"/>
  <c r="BT152" i="1"/>
  <c r="BT145" i="1"/>
  <c r="BT237" i="1"/>
  <c r="BT229" i="1"/>
  <c r="BT203" i="1"/>
  <c r="BT217" i="1"/>
  <c r="BT163" i="1"/>
  <c r="BT251" i="1"/>
  <c r="BT193" i="1"/>
  <c r="BT298" i="1"/>
  <c r="BT292" i="1"/>
  <c r="BT22" i="1"/>
  <c r="BT302" i="1"/>
  <c r="BT29" i="1"/>
  <c r="BT19" i="1"/>
  <c r="BT206" i="1"/>
  <c r="BT293" i="1"/>
  <c r="BT31" i="1"/>
  <c r="BT265" i="1"/>
  <c r="BT197" i="1"/>
  <c r="BT266" i="1"/>
  <c r="BF181" i="1"/>
  <c r="CP211" i="1"/>
  <c r="BT184" i="1"/>
  <c r="AM102" i="1"/>
  <c r="AM113" i="1"/>
  <c r="AU387" i="1"/>
  <c r="AU211" i="1"/>
  <c r="BQ184" i="1"/>
  <c r="AU156" i="1"/>
  <c r="AU113" i="1"/>
  <c r="AM222" i="1"/>
  <c r="AM200" i="1"/>
  <c r="AM351" i="1"/>
  <c r="AM227" i="1"/>
  <c r="AM288" i="1"/>
  <c r="AM287" i="1"/>
  <c r="CP181" i="1"/>
  <c r="AM181" i="1"/>
  <c r="AM208" i="1"/>
  <c r="AM157" i="1"/>
  <c r="BS208" i="1"/>
  <c r="BM208" i="1"/>
  <c r="BA208" i="1"/>
  <c r="BX208" i="1" s="1"/>
  <c r="Z236" i="52" s="1"/>
  <c r="AB236" i="52" s="1"/>
  <c r="BL208" i="1"/>
  <c r="BN208" i="1"/>
  <c r="BR208" i="1"/>
  <c r="BS288" i="1"/>
  <c r="BL288" i="1"/>
  <c r="AM96" i="1"/>
  <c r="BM288" i="1"/>
  <c r="BN288" i="1"/>
  <c r="BA288" i="1"/>
  <c r="BX288" i="1" s="1"/>
  <c r="Z321" i="52" s="1"/>
  <c r="AB321" i="52" s="1"/>
  <c r="AU181" i="1"/>
  <c r="CP52" i="1"/>
  <c r="AM129" i="1"/>
  <c r="AM293" i="1"/>
  <c r="AU94" i="1"/>
  <c r="BQ266" i="1"/>
  <c r="AU167" i="1"/>
  <c r="BF239" i="1"/>
  <c r="AM392" i="1"/>
  <c r="CP278" i="1"/>
  <c r="CP204" i="1"/>
  <c r="BF85" i="1"/>
  <c r="AU204" i="1"/>
  <c r="AU244" i="1"/>
  <c r="CP342" i="1"/>
  <c r="AU379" i="1"/>
  <c r="BF150" i="1"/>
  <c r="BF230" i="1"/>
  <c r="CP150" i="1"/>
  <c r="AM41" i="1"/>
  <c r="AU85" i="1"/>
  <c r="AU52" i="1"/>
  <c r="H307" i="41"/>
  <c r="AM109" i="1"/>
  <c r="BQ109" i="1"/>
  <c r="AU272" i="1"/>
  <c r="AU239" i="1"/>
  <c r="CP350" i="1"/>
  <c r="BF231" i="1"/>
  <c r="AU81" i="1"/>
  <c r="AU282" i="1"/>
  <c r="AU231" i="1"/>
  <c r="AU350" i="1"/>
  <c r="AU342" i="1"/>
  <c r="CP379" i="1"/>
  <c r="BF94" i="1"/>
  <c r="BF167" i="1"/>
  <c r="BF177" i="1"/>
  <c r="AM393" i="1"/>
  <c r="AM395" i="1"/>
  <c r="AM396" i="1"/>
  <c r="CP231" i="1"/>
  <c r="CP94" i="1"/>
  <c r="CP81" i="1"/>
  <c r="BF282" i="1"/>
  <c r="CP167" i="1"/>
  <c r="CP177" i="1"/>
  <c r="BF254" i="1"/>
  <c r="AU301" i="1"/>
  <c r="BF301" i="1"/>
  <c r="CP301" i="1"/>
  <c r="CP272" i="1"/>
  <c r="CP254" i="1"/>
  <c r="CP239" i="1"/>
  <c r="AM394" i="1"/>
  <c r="AM389" i="1"/>
  <c r="BF52" i="1"/>
  <c r="BR96" i="1"/>
  <c r="BL96" i="1"/>
  <c r="BA96" i="1"/>
  <c r="BX96" i="1" s="1"/>
  <c r="Z119" i="52" s="1"/>
  <c r="AB119" i="52" s="1"/>
  <c r="BM96" i="1"/>
  <c r="BN96" i="1"/>
  <c r="BS96" i="1"/>
  <c r="J410" i="37"/>
  <c r="J412" i="37"/>
  <c r="AM388" i="1"/>
  <c r="H310" i="37"/>
  <c r="H410" i="37"/>
  <c r="H412" i="37"/>
  <c r="J310" i="37"/>
  <c r="H408" i="41"/>
  <c r="G408" i="40"/>
  <c r="J408" i="41"/>
  <c r="H411" i="41"/>
  <c r="J411" i="41"/>
  <c r="G307" i="40"/>
  <c r="CP188" i="1"/>
  <c r="CP190" i="1"/>
  <c r="CP244" i="1"/>
  <c r="CP164" i="1"/>
  <c r="CP166" i="1"/>
  <c r="CP156" i="1"/>
  <c r="AM366" i="1"/>
  <c r="AM348" i="1"/>
  <c r="AU150" i="1"/>
  <c r="CP387" i="1"/>
  <c r="AU166" i="1"/>
  <c r="BF278" i="1"/>
  <c r="BF188" i="1"/>
  <c r="BF190" i="1"/>
  <c r="AU278" i="1"/>
  <c r="BF244" i="1"/>
  <c r="BF164" i="1"/>
  <c r="BF166" i="1"/>
  <c r="BF204" i="1"/>
  <c r="BF156" i="1"/>
  <c r="AU230" i="1"/>
  <c r="CP230" i="1"/>
  <c r="AM382" i="1"/>
  <c r="AM31" i="1"/>
  <c r="AM365" i="1"/>
  <c r="AM371" i="1"/>
  <c r="CP85" i="1"/>
  <c r="AW303" i="1"/>
  <c r="AM25" i="1"/>
  <c r="AM296" i="1"/>
  <c r="AM18" i="1"/>
  <c r="AM349" i="1"/>
  <c r="AM383" i="1"/>
  <c r="AM280" i="1"/>
  <c r="AM362" i="1"/>
  <c r="AM21" i="1"/>
  <c r="AM301" i="1"/>
  <c r="AM30" i="1"/>
  <c r="AM295" i="1"/>
  <c r="AM353" i="1"/>
  <c r="AM294" i="1"/>
  <c r="AM29" i="1"/>
  <c r="AM26" i="1"/>
  <c r="AM345" i="1"/>
  <c r="AM356" i="1"/>
  <c r="AM379" i="1"/>
  <c r="AM376" i="1"/>
  <c r="AM291" i="1"/>
  <c r="AM24" i="1"/>
  <c r="AM342" i="1"/>
  <c r="AM344" i="1"/>
  <c r="AM279" i="1"/>
  <c r="AM347" i="1"/>
  <c r="AM32" i="1"/>
  <c r="AM247" i="1"/>
  <c r="AM341" i="1"/>
  <c r="AM359" i="1"/>
  <c r="AM375" i="1"/>
  <c r="AM285" i="1"/>
  <c r="AM275" i="1"/>
  <c r="AM355" i="1"/>
  <c r="AM374" i="1"/>
  <c r="AM302" i="1"/>
  <c r="AM300" i="1"/>
  <c r="AM34" i="1"/>
  <c r="AM27" i="1"/>
  <c r="AM277" i="1"/>
  <c r="AM378" i="1"/>
  <c r="AM360" i="1"/>
  <c r="AM36" i="1"/>
  <c r="AM369" i="1"/>
  <c r="AM28" i="1"/>
  <c r="AM290" i="1"/>
  <c r="AM33" i="1"/>
  <c r="AM23" i="1"/>
  <c r="AM361" i="1"/>
  <c r="AM272" i="1"/>
  <c r="AM387" i="1"/>
  <c r="AM19" i="1"/>
  <c r="AM282" i="1"/>
  <c r="AM380" i="1"/>
  <c r="AM35" i="1"/>
  <c r="AM20" i="1"/>
  <c r="F13" i="40"/>
  <c r="L17" i="44"/>
  <c r="AM224" i="1"/>
  <c r="AM176" i="1"/>
  <c r="AM138" i="1"/>
  <c r="AM117" i="1"/>
  <c r="AM101" i="1"/>
  <c r="AM269" i="1"/>
  <c r="AM233" i="1"/>
  <c r="AM213" i="1"/>
  <c r="AM190" i="1"/>
  <c r="AM172" i="1"/>
  <c r="AM147" i="1"/>
  <c r="AM123" i="1"/>
  <c r="AM74" i="1"/>
  <c r="AM55" i="1"/>
  <c r="AM317" i="1"/>
  <c r="AM254" i="1"/>
  <c r="AM112" i="1"/>
  <c r="AM340" i="1"/>
  <c r="AM168" i="1"/>
  <c r="AM135" i="1"/>
  <c r="AM60" i="1"/>
  <c r="AM310" i="1"/>
  <c r="AM169" i="1"/>
  <c r="AM88" i="1"/>
  <c r="AM218" i="1"/>
  <c r="AM144" i="1"/>
  <c r="AM314" i="1"/>
  <c r="AM142" i="1"/>
  <c r="AM237" i="1"/>
  <c r="AM148" i="1"/>
  <c r="AM140" i="1"/>
  <c r="AM132" i="1"/>
  <c r="AM115" i="1"/>
  <c r="AM106" i="1"/>
  <c r="AM99" i="1"/>
  <c r="AM255" i="1"/>
  <c r="AM248" i="1"/>
  <c r="AM239" i="1"/>
  <c r="AM231" i="1"/>
  <c r="AM223" i="1"/>
  <c r="AM198" i="1"/>
  <c r="AM187" i="1"/>
  <c r="AM177" i="1"/>
  <c r="AM57" i="1"/>
  <c r="AM318" i="1"/>
  <c r="AM334" i="1"/>
  <c r="AM367" i="1"/>
  <c r="AM385" i="1"/>
  <c r="AM313" i="1"/>
  <c r="AM329" i="1"/>
  <c r="AM337" i="1"/>
  <c r="AM352" i="1"/>
  <c r="AM370" i="1"/>
  <c r="AM278" i="1"/>
  <c r="AM373" i="1"/>
  <c r="AM163" i="1"/>
  <c r="AM22" i="1"/>
  <c r="AM193" i="1"/>
  <c r="AM292" i="1"/>
  <c r="AM298" i="1"/>
  <c r="AM230" i="1"/>
  <c r="AM284" i="1"/>
  <c r="AM273" i="1"/>
  <c r="AM244" i="1"/>
  <c r="AM83" i="1"/>
  <c r="AM77" i="1"/>
  <c r="AM73" i="1"/>
  <c r="AM63" i="1"/>
  <c r="AM48" i="1"/>
  <c r="AM325" i="1"/>
  <c r="AM332" i="1"/>
  <c r="AM319" i="1"/>
  <c r="AM343" i="1"/>
  <c r="AM350" i="1"/>
  <c r="AM357" i="1"/>
  <c r="AM368" i="1"/>
  <c r="AM265" i="1"/>
  <c r="AM49" i="1"/>
  <c r="AM195" i="1"/>
  <c r="AM105" i="1"/>
  <c r="AM268" i="1"/>
  <c r="AM229" i="1"/>
  <c r="AM207" i="1"/>
  <c r="BQ250" i="1"/>
  <c r="AM186" i="1"/>
  <c r="AM173" i="1"/>
  <c r="AM158" i="1"/>
  <c r="AM146" i="1"/>
  <c r="AM262" i="1"/>
  <c r="AM251" i="1"/>
  <c r="AM236" i="1"/>
  <c r="AM183" i="1"/>
  <c r="AM167" i="1"/>
  <c r="AM152" i="1"/>
  <c r="AM82" i="1"/>
  <c r="AM75" i="1"/>
  <c r="AM65" i="1"/>
  <c r="AM56" i="1"/>
  <c r="AM320" i="1"/>
  <c r="AM315" i="1"/>
  <c r="AM264" i="1"/>
  <c r="AM210" i="1"/>
  <c r="AM170" i="1"/>
  <c r="AM159" i="1"/>
  <c r="AM151" i="1"/>
  <c r="AM137" i="1"/>
  <c r="AM124" i="1"/>
  <c r="AM114" i="1"/>
  <c r="AM87" i="1"/>
  <c r="AM76" i="1"/>
  <c r="AM66" i="1"/>
  <c r="AM307" i="1"/>
  <c r="AM326" i="1"/>
  <c r="AM306" i="1"/>
  <c r="AM321" i="1"/>
  <c r="AM232" i="1"/>
  <c r="AM258" i="1"/>
  <c r="AM162" i="1"/>
  <c r="AM122" i="1"/>
  <c r="AM80" i="1"/>
  <c r="AM54" i="1"/>
  <c r="AM309" i="1"/>
  <c r="AM263" i="1"/>
  <c r="AM94" i="1"/>
  <c r="AM238" i="1"/>
  <c r="AM217" i="1"/>
  <c r="AM196" i="1"/>
  <c r="AM180" i="1"/>
  <c r="AM166" i="1"/>
  <c r="AM150" i="1"/>
  <c r="AM270" i="1"/>
  <c r="AM271" i="1"/>
  <c r="AM219" i="1"/>
  <c r="AM199" i="1"/>
  <c r="AM188" i="1"/>
  <c r="AM145" i="1"/>
  <c r="AM128" i="1"/>
  <c r="AM95" i="1"/>
  <c r="AM71" i="1"/>
  <c r="AM50" i="1"/>
  <c r="AM328" i="1"/>
  <c r="AM308" i="1"/>
  <c r="AM323" i="1"/>
  <c r="AM261" i="1"/>
  <c r="AM243" i="1"/>
  <c r="AM235" i="1"/>
  <c r="AM192" i="1"/>
  <c r="AM174" i="1"/>
  <c r="AM165" i="1"/>
  <c r="AM156" i="1"/>
  <c r="AM149" i="1"/>
  <c r="AM141" i="1"/>
  <c r="AM130" i="1"/>
  <c r="AM118" i="1"/>
  <c r="AM110" i="1"/>
  <c r="AM100" i="1"/>
  <c r="AM91" i="1"/>
  <c r="AM79" i="1"/>
  <c r="AM72" i="1"/>
  <c r="AM62" i="1"/>
  <c r="AM53" i="1"/>
  <c r="AM209" i="1"/>
  <c r="AM191" i="1"/>
  <c r="AM154" i="1"/>
  <c r="AM136" i="1"/>
  <c r="AM68" i="1"/>
  <c r="AM316" i="1"/>
  <c r="AM311" i="1"/>
  <c r="AM327" i="1"/>
  <c r="AM240" i="1"/>
  <c r="AM126" i="1"/>
  <c r="AM116" i="1"/>
  <c r="AM89" i="1"/>
  <c r="AM338" i="1"/>
  <c r="AM206" i="1"/>
  <c r="G13" i="41"/>
  <c r="K17" i="44"/>
  <c r="F13" i="36"/>
  <c r="F13" i="37"/>
  <c r="N17" i="44"/>
  <c r="F13" i="41"/>
  <c r="J17" i="44"/>
  <c r="G13" i="37"/>
  <c r="O17" i="44"/>
  <c r="AM203" i="1"/>
  <c r="AM131" i="1"/>
  <c r="AM93" i="1"/>
  <c r="AM252" i="1"/>
  <c r="AM202" i="1"/>
  <c r="AM179" i="1"/>
  <c r="AM164" i="1"/>
  <c r="AM81" i="1"/>
  <c r="AM64" i="1"/>
  <c r="AM322" i="1"/>
  <c r="AM333" i="1"/>
  <c r="AM234" i="1"/>
  <c r="AM97" i="1"/>
  <c r="AM228" i="1"/>
  <c r="AM185" i="1"/>
  <c r="AM78" i="1"/>
  <c r="AM330" i="1"/>
  <c r="AM125" i="1"/>
  <c r="AM256" i="1"/>
  <c r="AM175" i="1"/>
  <c r="AM69" i="1"/>
  <c r="AM335" i="1"/>
  <c r="AM153" i="1"/>
  <c r="AM107" i="1"/>
  <c r="AM98" i="1"/>
  <c r="AM276" i="1"/>
  <c r="AM242" i="1"/>
  <c r="AM205" i="1"/>
  <c r="AM194" i="1"/>
  <c r="AM178" i="1"/>
  <c r="AM171" i="1"/>
  <c r="AM160" i="1"/>
  <c r="AM111" i="1"/>
  <c r="AM103" i="1"/>
  <c r="AM86" i="1"/>
  <c r="AM61" i="1"/>
  <c r="AM47" i="1"/>
  <c r="AM312" i="1"/>
  <c r="AM336" i="1"/>
  <c r="AM358" i="1"/>
  <c r="AM331" i="1"/>
  <c r="AM339" i="1"/>
  <c r="AM354" i="1"/>
  <c r="AM372" i="1"/>
  <c r="AM226" i="1"/>
  <c r="AM216" i="1"/>
  <c r="AM204" i="1"/>
  <c r="AM182" i="1"/>
  <c r="AM250" i="1"/>
  <c r="Z282" i="52"/>
  <c r="AB282" i="52" s="1"/>
  <c r="BQ197" i="1"/>
  <c r="BL247" i="1"/>
  <c r="BA247" i="1"/>
  <c r="BX247" i="1" s="1"/>
  <c r="Z279" i="52" s="1"/>
  <c r="AB279" i="52" s="1"/>
  <c r="BN247" i="1"/>
  <c r="BR247" i="1"/>
  <c r="BM247" i="1"/>
  <c r="BS247" i="1"/>
  <c r="AK42" i="1"/>
  <c r="AL42" i="1"/>
  <c r="BQ265" i="1"/>
  <c r="AI400" i="1"/>
  <c r="BA202" i="1"/>
  <c r="BX202" i="1" s="1"/>
  <c r="Z230" i="52" s="1"/>
  <c r="AB230" i="52" s="1"/>
  <c r="BQ306" i="1"/>
  <c r="BF354" i="1"/>
  <c r="CP240" i="1"/>
  <c r="CP196" i="1"/>
  <c r="CP258" i="1"/>
  <c r="CP248" i="1"/>
  <c r="CP216" i="1"/>
  <c r="CP210" i="1"/>
  <c r="CP175" i="1"/>
  <c r="CP126" i="1"/>
  <c r="CP194" i="1"/>
  <c r="BQ56" i="1"/>
  <c r="AU232" i="1"/>
  <c r="BQ31" i="1"/>
  <c r="CP179" i="1"/>
  <c r="CP180" i="1"/>
  <c r="CP73" i="1"/>
  <c r="CP219" i="1"/>
  <c r="CP191" i="1"/>
  <c r="CP172" i="1"/>
  <c r="CP80" i="1"/>
  <c r="CP195" i="1"/>
  <c r="CP271" i="1"/>
  <c r="BF296" i="1"/>
  <c r="BQ312" i="1"/>
  <c r="AU55" i="1"/>
  <c r="BQ36" i="1"/>
  <c r="BA160" i="1"/>
  <c r="BX160" i="1" s="1"/>
  <c r="Z187" i="52" s="1"/>
  <c r="AB187" i="52" s="1"/>
  <c r="BQ29" i="1"/>
  <c r="BQ18" i="1"/>
  <c r="BL63" i="1"/>
  <c r="BR202" i="1"/>
  <c r="BS135" i="1"/>
  <c r="BM115" i="1"/>
  <c r="BR93" i="1"/>
  <c r="BM262" i="1"/>
  <c r="BR224" i="1"/>
  <c r="BM183" i="1"/>
  <c r="BS169" i="1"/>
  <c r="BN148" i="1"/>
  <c r="BN131" i="1"/>
  <c r="BM280" i="1"/>
  <c r="BL275" i="1"/>
  <c r="BA42" i="1"/>
  <c r="BL68" i="1"/>
  <c r="BL291" i="1"/>
  <c r="BM236" i="1"/>
  <c r="BM138" i="1"/>
  <c r="BS144" i="1"/>
  <c r="BM228" i="1"/>
  <c r="BM122" i="1"/>
  <c r="BR112" i="1"/>
  <c r="BL82" i="1"/>
  <c r="BL263" i="1"/>
  <c r="BS256" i="1"/>
  <c r="BM243" i="1"/>
  <c r="BM290" i="1"/>
  <c r="BS255" i="1"/>
  <c r="BS234" i="1"/>
  <c r="BN209" i="1"/>
  <c r="BL207" i="1"/>
  <c r="BR171" i="1"/>
  <c r="BR128" i="1"/>
  <c r="BM277" i="1"/>
  <c r="BN264" i="1"/>
  <c r="BS252" i="1"/>
  <c r="BN110" i="1"/>
  <c r="BS74" i="1"/>
  <c r="BL49" i="1"/>
  <c r="BQ19" i="1"/>
  <c r="CP232" i="1"/>
  <c r="BF232" i="1"/>
  <c r="BQ21" i="1"/>
  <c r="BQ35" i="1"/>
  <c r="BQ33" i="1"/>
  <c r="BQ24" i="1"/>
  <c r="BQ25" i="1"/>
  <c r="BQ22" i="1"/>
  <c r="BQ391" i="1"/>
  <c r="BQ206" i="1"/>
  <c r="BF55" i="1"/>
  <c r="BN186" i="1"/>
  <c r="BQ193" i="1"/>
  <c r="CP55" i="1"/>
  <c r="BQ335" i="1"/>
  <c r="BQ382" i="1"/>
  <c r="BQ373" i="1"/>
  <c r="BF185" i="1"/>
  <c r="CP185" i="1"/>
  <c r="BF154" i="1"/>
  <c r="CP154" i="1"/>
  <c r="BF173" i="1"/>
  <c r="CP173" i="1"/>
  <c r="BF99" i="1"/>
  <c r="CP99" i="1"/>
  <c r="BF95" i="1"/>
  <c r="CP95" i="1"/>
  <c r="BF53" i="1"/>
  <c r="CP53" i="1"/>
  <c r="AU296" i="1"/>
  <c r="CP296" i="1"/>
  <c r="AU79" i="1"/>
  <c r="CP79" i="1"/>
  <c r="BF137" i="1"/>
  <c r="CP137" i="1"/>
  <c r="BF162" i="1"/>
  <c r="CP162" i="1"/>
  <c r="BF88" i="1"/>
  <c r="CP88" i="1"/>
  <c r="BF284" i="1"/>
  <c r="CP284" i="1"/>
  <c r="BF276" i="1"/>
  <c r="CP276" i="1"/>
  <c r="BF97" i="1"/>
  <c r="CP97" i="1"/>
  <c r="BF269" i="1"/>
  <c r="CP269" i="1"/>
  <c r="BF270" i="1"/>
  <c r="CP270" i="1"/>
  <c r="AU273" i="1"/>
  <c r="CP273" i="1"/>
  <c r="BF238" i="1"/>
  <c r="CP238" i="1"/>
  <c r="BQ362" i="1"/>
  <c r="BQ217" i="1"/>
  <c r="BF383" i="1"/>
  <c r="BF325" i="1"/>
  <c r="BF353" i="1"/>
  <c r="BN178" i="1"/>
  <c r="BM207" i="1"/>
  <c r="BM86" i="1"/>
  <c r="BQ163" i="1"/>
  <c r="BR209" i="1"/>
  <c r="BS275" i="1"/>
  <c r="BL107" i="1"/>
  <c r="BQ393" i="1"/>
  <c r="BQ320" i="1"/>
  <c r="BQ389" i="1"/>
  <c r="BQ365" i="1"/>
  <c r="BQ374" i="1"/>
  <c r="BQ360" i="1"/>
  <c r="BQ378" i="1"/>
  <c r="BQ339" i="1"/>
  <c r="Y332" i="52"/>
  <c r="BL76" i="1"/>
  <c r="BM291" i="1"/>
  <c r="BS291" i="1"/>
  <c r="BN153" i="1"/>
  <c r="BL144" i="1"/>
  <c r="BM100" i="1"/>
  <c r="BR57" i="1"/>
  <c r="BQ251" i="1"/>
  <c r="BS207" i="1"/>
  <c r="BM186" i="1"/>
  <c r="BL171" i="1"/>
  <c r="BN280" i="1"/>
  <c r="BM275" i="1"/>
  <c r="BM131" i="1"/>
  <c r="BQ307" i="1"/>
  <c r="BQ328" i="1"/>
  <c r="BQ347" i="1"/>
  <c r="BQ357" i="1"/>
  <c r="BR153" i="1"/>
  <c r="BM144" i="1"/>
  <c r="BS138" i="1"/>
  <c r="BQ308" i="1"/>
  <c r="BQ369" i="1"/>
  <c r="BQ380" i="1"/>
  <c r="BL262" i="1"/>
  <c r="BL236" i="1"/>
  <c r="BQ311" i="1"/>
  <c r="BQ319" i="1"/>
  <c r="BQ205" i="1"/>
  <c r="BQ366" i="1"/>
  <c r="BQ344" i="1"/>
  <c r="BQ323" i="1"/>
  <c r="BF216" i="1"/>
  <c r="AU216" i="1"/>
  <c r="BS233" i="1"/>
  <c r="BL233" i="1"/>
  <c r="BL174" i="1"/>
  <c r="BM178" i="1"/>
  <c r="BS171" i="1"/>
  <c r="BR148" i="1"/>
  <c r="BN86" i="1"/>
  <c r="BR280" i="1"/>
  <c r="BS280" i="1"/>
  <c r="BL280" i="1"/>
  <c r="BN275" i="1"/>
  <c r="BR275" i="1"/>
  <c r="BS153" i="1"/>
  <c r="BL153" i="1"/>
  <c r="BM153" i="1"/>
  <c r="BN144" i="1"/>
  <c r="BR144" i="1"/>
  <c r="BR110" i="1"/>
  <c r="BM110" i="1"/>
  <c r="BR100" i="1"/>
  <c r="BN100" i="1"/>
  <c r="BS76" i="1"/>
  <c r="BM76" i="1"/>
  <c r="BS57" i="1"/>
  <c r="BN57" i="1"/>
  <c r="BQ203" i="1"/>
  <c r="BQ229" i="1"/>
  <c r="BQ145" i="1"/>
  <c r="BQ315" i="1"/>
  <c r="BQ199" i="1"/>
  <c r="BQ158" i="1"/>
  <c r="BQ50" i="1"/>
  <c r="BS78" i="1"/>
  <c r="BQ340" i="1"/>
  <c r="BQ331" i="1"/>
  <c r="BQ348" i="1"/>
  <c r="BM176" i="1"/>
  <c r="BN74" i="1"/>
  <c r="BQ309" i="1"/>
  <c r="BQ336" i="1"/>
  <c r="BQ333" i="1"/>
  <c r="BQ396" i="1"/>
  <c r="BQ142" i="1"/>
  <c r="BQ152" i="1"/>
  <c r="BQ237" i="1"/>
  <c r="BR262" i="1"/>
  <c r="BR236" i="1"/>
  <c r="BS176" i="1"/>
  <c r="BL132" i="1"/>
  <c r="BL264" i="1"/>
  <c r="BR107" i="1"/>
  <c r="BL98" i="1"/>
  <c r="BM78" i="1"/>
  <c r="BL277" i="1"/>
  <c r="BL151" i="1"/>
  <c r="BM141" i="1"/>
  <c r="BQ372" i="1"/>
  <c r="BQ392" i="1"/>
  <c r="BQ242" i="1"/>
  <c r="AU42" i="1"/>
  <c r="BN42" i="1"/>
  <c r="G38" i="40" s="1"/>
  <c r="BM42" i="1"/>
  <c r="J38" i="41" s="1"/>
  <c r="BB42" i="1"/>
  <c r="BS42" i="1"/>
  <c r="J38" i="37" s="1"/>
  <c r="AY42" i="1"/>
  <c r="BN294" i="1"/>
  <c r="BN291" i="1"/>
  <c r="BR291" i="1"/>
  <c r="BM234" i="1"/>
  <c r="BR234" i="1"/>
  <c r="BL234" i="1"/>
  <c r="BS209" i="1"/>
  <c r="BL209" i="1"/>
  <c r="BM209" i="1"/>
  <c r="BN207" i="1"/>
  <c r="BR207" i="1"/>
  <c r="BR186" i="1"/>
  <c r="BS186" i="1"/>
  <c r="BL186" i="1"/>
  <c r="BR178" i="1"/>
  <c r="BS178" i="1"/>
  <c r="BL178" i="1"/>
  <c r="BM171" i="1"/>
  <c r="BN171" i="1"/>
  <c r="BS148" i="1"/>
  <c r="BL148" i="1"/>
  <c r="BM148" i="1"/>
  <c r="BL138" i="1"/>
  <c r="BR131" i="1"/>
  <c r="BR86" i="1"/>
  <c r="BS86" i="1"/>
  <c r="BL86" i="1"/>
  <c r="BM147" i="1"/>
  <c r="BL110" i="1"/>
  <c r="BS110" i="1"/>
  <c r="BL100" i="1"/>
  <c r="BS100" i="1"/>
  <c r="BR76" i="1"/>
  <c r="BN76" i="1"/>
  <c r="BM57" i="1"/>
  <c r="BL57" i="1"/>
  <c r="BQ356" i="1"/>
  <c r="BQ136" i="1"/>
  <c r="AU88" i="1"/>
  <c r="BN234" i="1"/>
  <c r="BR138" i="1"/>
  <c r="BN138" i="1"/>
  <c r="BL131" i="1"/>
  <c r="BS131" i="1"/>
  <c r="BN147" i="1"/>
  <c r="BQ345" i="1"/>
  <c r="BQ101" i="1"/>
  <c r="BQ125" i="1"/>
  <c r="BQ338" i="1"/>
  <c r="BS262" i="1"/>
  <c r="BS236" i="1"/>
  <c r="BL176" i="1"/>
  <c r="BS132" i="1"/>
  <c r="BR132" i="1"/>
  <c r="BN128" i="1"/>
  <c r="BM128" i="1"/>
  <c r="BM264" i="1"/>
  <c r="BS264" i="1"/>
  <c r="BS107" i="1"/>
  <c r="BM98" i="1"/>
  <c r="BS98" i="1"/>
  <c r="BL78" i="1"/>
  <c r="BR74" i="1"/>
  <c r="BR277" i="1"/>
  <c r="BN252" i="1"/>
  <c r="BS141" i="1"/>
  <c r="BL124" i="1"/>
  <c r="BQ376" i="1"/>
  <c r="BQ140" i="1"/>
  <c r="BQ47" i="1"/>
  <c r="BM198" i="1"/>
  <c r="BQ48" i="1"/>
  <c r="BS277" i="1"/>
  <c r="BR252" i="1"/>
  <c r="BM151" i="1"/>
  <c r="BS151" i="1"/>
  <c r="BL141" i="1"/>
  <c r="BS124" i="1"/>
  <c r="BR124" i="1"/>
  <c r="BF179" i="1"/>
  <c r="BF196" i="1"/>
  <c r="BF258" i="1"/>
  <c r="BF248" i="1"/>
  <c r="BF273" i="1"/>
  <c r="BF79" i="1"/>
  <c r="BF240" i="1"/>
  <c r="BF180" i="1"/>
  <c r="BF73" i="1"/>
  <c r="BF219" i="1"/>
  <c r="BF191" i="1"/>
  <c r="BF172" i="1"/>
  <c r="BF80" i="1"/>
  <c r="BF195" i="1"/>
  <c r="BF271" i="1"/>
  <c r="BF210" i="1"/>
  <c r="BF175" i="1"/>
  <c r="BF126" i="1"/>
  <c r="BF194" i="1"/>
  <c r="AW397" i="1"/>
  <c r="CP310" i="1"/>
  <c r="CP383" i="1"/>
  <c r="CP353" i="1"/>
  <c r="AU352" i="1"/>
  <c r="CP352" i="1"/>
  <c r="CP354" i="1"/>
  <c r="AU325" i="1"/>
  <c r="CP325" i="1"/>
  <c r="AU332" i="1"/>
  <c r="CP332" i="1"/>
  <c r="AU185" i="1"/>
  <c r="AU162" i="1"/>
  <c r="AU154" i="1"/>
  <c r="AU173" i="1"/>
  <c r="AU284" i="1"/>
  <c r="AU276" i="1"/>
  <c r="AU99" i="1"/>
  <c r="AU97" i="1"/>
  <c r="AU95" i="1"/>
  <c r="AU269" i="1"/>
  <c r="AU53" i="1"/>
  <c r="AU270" i="1"/>
  <c r="AU238" i="1"/>
  <c r="Y238" i="52"/>
  <c r="BM160" i="1"/>
  <c r="BN160" i="1"/>
  <c r="BL160" i="1"/>
  <c r="BS160" i="1"/>
  <c r="BR160" i="1"/>
  <c r="BR188" i="1"/>
  <c r="BL290" i="1"/>
  <c r="BM255" i="1"/>
  <c r="BQ343" i="1"/>
  <c r="AU73" i="1"/>
  <c r="BL89" i="1"/>
  <c r="AU172" i="1"/>
  <c r="AU271" i="1"/>
  <c r="BM295" i="1"/>
  <c r="BS295" i="1"/>
  <c r="BR283" i="1"/>
  <c r="BN261" i="1"/>
  <c r="BS261" i="1"/>
  <c r="BN235" i="1"/>
  <c r="AU126" i="1"/>
  <c r="BS224" i="1"/>
  <c r="BL224" i="1"/>
  <c r="BM224" i="1"/>
  <c r="AU194" i="1"/>
  <c r="BR183" i="1"/>
  <c r="BS183" i="1"/>
  <c r="BL183" i="1"/>
  <c r="BM169" i="1"/>
  <c r="BN169" i="1"/>
  <c r="BR146" i="1"/>
  <c r="BS83" i="1"/>
  <c r="BM83" i="1"/>
  <c r="BN49" i="1"/>
  <c r="BR49" i="1"/>
  <c r="BN262" i="1"/>
  <c r="BN236" i="1"/>
  <c r="BR176" i="1"/>
  <c r="BN176" i="1"/>
  <c r="BN132" i="1"/>
  <c r="BM132" i="1"/>
  <c r="BL128" i="1"/>
  <c r="BS128" i="1"/>
  <c r="BR264" i="1"/>
  <c r="BN107" i="1"/>
  <c r="BM107" i="1"/>
  <c r="BR98" i="1"/>
  <c r="BN98" i="1"/>
  <c r="BR78" i="1"/>
  <c r="BN78" i="1"/>
  <c r="BM74" i="1"/>
  <c r="BL74" i="1"/>
  <c r="BN277" i="1"/>
  <c r="BM252" i="1"/>
  <c r="BL252" i="1"/>
  <c r="BR151" i="1"/>
  <c r="BN151" i="1"/>
  <c r="BR141" i="1"/>
  <c r="BN141" i="1"/>
  <c r="BN124" i="1"/>
  <c r="BM124" i="1"/>
  <c r="BM49" i="1"/>
  <c r="BS49" i="1"/>
  <c r="BN224" i="1"/>
  <c r="BN183" i="1"/>
  <c r="BL169" i="1"/>
  <c r="BR169" i="1"/>
  <c r="BN146" i="1"/>
  <c r="BL83" i="1"/>
  <c r="BL198" i="1"/>
  <c r="BR122" i="1"/>
  <c r="BS243" i="1"/>
  <c r="BQ367" i="1"/>
  <c r="AU180" i="1"/>
  <c r="BS89" i="1"/>
  <c r="BR89" i="1"/>
  <c r="BN228" i="1"/>
  <c r="BR228" i="1"/>
  <c r="BS279" i="1"/>
  <c r="BL279" i="1"/>
  <c r="BR279" i="1"/>
  <c r="BN279" i="1"/>
  <c r="BS122" i="1"/>
  <c r="BR117" i="1"/>
  <c r="BS117" i="1"/>
  <c r="BN117" i="1"/>
  <c r="BM112" i="1"/>
  <c r="BN112" i="1"/>
  <c r="BS82" i="1"/>
  <c r="BN285" i="1"/>
  <c r="BM263" i="1"/>
  <c r="BL256" i="1"/>
  <c r="BL243" i="1"/>
  <c r="BR243" i="1"/>
  <c r="BN198" i="1"/>
  <c r="BR198" i="1"/>
  <c r="BN295" i="1"/>
  <c r="BL295" i="1"/>
  <c r="BN283" i="1"/>
  <c r="BL283" i="1"/>
  <c r="BM283" i="1"/>
  <c r="BR261" i="1"/>
  <c r="BM261" i="1"/>
  <c r="BL261" i="1"/>
  <c r="BR235" i="1"/>
  <c r="BL235" i="1"/>
  <c r="AU210" i="1"/>
  <c r="BS146" i="1"/>
  <c r="BL146" i="1"/>
  <c r="BM146" i="1"/>
  <c r="BN83" i="1"/>
  <c r="BR83" i="1"/>
  <c r="BS112" i="1"/>
  <c r="BS228" i="1"/>
  <c r="BM89" i="1"/>
  <c r="BM279" i="1"/>
  <c r="BN122" i="1"/>
  <c r="BL122" i="1"/>
  <c r="BL117" i="1"/>
  <c r="BQ355" i="1"/>
  <c r="BM93" i="1"/>
  <c r="BM202" i="1"/>
  <c r="BS63" i="1"/>
  <c r="BR255" i="1"/>
  <c r="BS174" i="1"/>
  <c r="BQ327" i="1"/>
  <c r="BR63" i="1"/>
  <c r="BN233" i="1"/>
  <c r="BR174" i="1"/>
  <c r="BS68" i="1"/>
  <c r="BS202" i="1"/>
  <c r="BN115" i="1"/>
  <c r="BS93" i="1"/>
  <c r="BN290" i="1"/>
  <c r="BL255" i="1"/>
  <c r="BM174" i="1"/>
  <c r="BQ368" i="1"/>
  <c r="BL115" i="1"/>
  <c r="BR68" i="1"/>
  <c r="BN135" i="1"/>
  <c r="BM68" i="1"/>
  <c r="BM63" i="1"/>
  <c r="BM135" i="1"/>
  <c r="BQ385" i="1"/>
  <c r="BQ313" i="1"/>
  <c r="BL202" i="1"/>
  <c r="BS115" i="1"/>
  <c r="BL93" i="1"/>
  <c r="BS290" i="1"/>
  <c r="BN255" i="1"/>
  <c r="BM233" i="1"/>
  <c r="BQ321" i="1"/>
  <c r="BR223" i="1"/>
  <c r="BS223" i="1"/>
  <c r="BL223" i="1"/>
  <c r="BN223" i="1"/>
  <c r="BM223" i="1"/>
  <c r="BN187" i="1"/>
  <c r="BR187" i="1"/>
  <c r="BL187" i="1"/>
  <c r="BS187" i="1"/>
  <c r="BM187" i="1"/>
  <c r="BS182" i="1"/>
  <c r="BL182" i="1"/>
  <c r="BM182" i="1"/>
  <c r="BR182" i="1"/>
  <c r="BN182" i="1"/>
  <c r="BS170" i="1"/>
  <c r="BL170" i="1"/>
  <c r="BM170" i="1"/>
  <c r="BN170" i="1"/>
  <c r="BR170" i="1"/>
  <c r="BM159" i="1"/>
  <c r="BN159" i="1"/>
  <c r="BR159" i="1"/>
  <c r="BL159" i="1"/>
  <c r="BS159" i="1"/>
  <c r="BS116" i="1"/>
  <c r="BL116" i="1"/>
  <c r="BM116" i="1"/>
  <c r="BN116" i="1"/>
  <c r="BR116" i="1"/>
  <c r="BN87" i="1"/>
  <c r="BR87" i="1"/>
  <c r="BL87" i="1"/>
  <c r="BS87" i="1"/>
  <c r="BM87" i="1"/>
  <c r="BM72" i="1"/>
  <c r="BN72" i="1"/>
  <c r="BS72" i="1"/>
  <c r="BR72" i="1"/>
  <c r="BL72" i="1"/>
  <c r="BM66" i="1"/>
  <c r="BN66" i="1"/>
  <c r="BR66" i="1"/>
  <c r="BL66" i="1"/>
  <c r="BS66" i="1"/>
  <c r="BM62" i="1"/>
  <c r="BN62" i="1"/>
  <c r="BS62" i="1"/>
  <c r="BR62" i="1"/>
  <c r="BL62" i="1"/>
  <c r="AU179" i="1"/>
  <c r="BN168" i="1"/>
  <c r="BR168" i="1"/>
  <c r="BS168" i="1"/>
  <c r="BM168" i="1"/>
  <c r="BL168" i="1"/>
  <c r="BR165" i="1"/>
  <c r="BS165" i="1"/>
  <c r="BL165" i="1"/>
  <c r="BM165" i="1"/>
  <c r="BN165" i="1"/>
  <c r="BN123" i="1"/>
  <c r="BM123" i="1"/>
  <c r="BS123" i="1"/>
  <c r="BR123" i="1"/>
  <c r="BL123" i="1"/>
  <c r="BN118" i="1"/>
  <c r="BR118" i="1"/>
  <c r="BL118" i="1"/>
  <c r="BM118" i="1"/>
  <c r="BS118" i="1"/>
  <c r="BN114" i="1"/>
  <c r="BR114" i="1"/>
  <c r="BS114" i="1"/>
  <c r="BM114" i="1"/>
  <c r="BL114" i="1"/>
  <c r="BR69" i="1"/>
  <c r="BS69" i="1"/>
  <c r="BL69" i="1"/>
  <c r="BM69" i="1"/>
  <c r="BN69" i="1"/>
  <c r="BR64" i="1"/>
  <c r="BS64" i="1"/>
  <c r="BL64" i="1"/>
  <c r="BN64" i="1"/>
  <c r="BM64" i="1"/>
  <c r="BR60" i="1"/>
  <c r="BS60" i="1"/>
  <c r="BL60" i="1"/>
  <c r="BM60" i="1"/>
  <c r="BN60" i="1"/>
  <c r="AU240" i="1"/>
  <c r="BN91" i="1"/>
  <c r="BR91" i="1"/>
  <c r="BL91" i="1"/>
  <c r="BS91" i="1"/>
  <c r="BM91" i="1"/>
  <c r="BN89" i="1"/>
  <c r="AU219" i="1"/>
  <c r="AU196" i="1"/>
  <c r="AU191" i="1"/>
  <c r="BN268" i="1"/>
  <c r="BL268" i="1"/>
  <c r="BR268" i="1"/>
  <c r="BM268" i="1"/>
  <c r="BS268" i="1"/>
  <c r="BN71" i="1"/>
  <c r="BR71" i="1"/>
  <c r="BL71" i="1"/>
  <c r="BS71" i="1"/>
  <c r="BM71" i="1"/>
  <c r="BN68" i="1"/>
  <c r="BN65" i="1"/>
  <c r="BR65" i="1"/>
  <c r="BS65" i="1"/>
  <c r="BM65" i="1"/>
  <c r="BL65" i="1"/>
  <c r="BN63" i="1"/>
  <c r="BN61" i="1"/>
  <c r="BR61" i="1"/>
  <c r="BL61" i="1"/>
  <c r="BS61" i="1"/>
  <c r="BM61" i="1"/>
  <c r="BS54" i="1"/>
  <c r="BL54" i="1"/>
  <c r="BM54" i="1"/>
  <c r="BN54" i="1"/>
  <c r="BR54" i="1"/>
  <c r="BL228" i="1"/>
  <c r="BS226" i="1"/>
  <c r="BL226" i="1"/>
  <c r="BM226" i="1"/>
  <c r="BN226" i="1"/>
  <c r="BR226" i="1"/>
  <c r="BN218" i="1"/>
  <c r="BR218" i="1"/>
  <c r="BL218" i="1"/>
  <c r="BS218" i="1"/>
  <c r="BM218" i="1"/>
  <c r="AU80" i="1"/>
  <c r="BR77" i="1"/>
  <c r="BS77" i="1"/>
  <c r="BL77" i="1"/>
  <c r="BM77" i="1"/>
  <c r="BN77" i="1"/>
  <c r="BS213" i="1"/>
  <c r="BL213" i="1"/>
  <c r="BM213" i="1"/>
  <c r="BN213" i="1"/>
  <c r="BR213" i="1"/>
  <c r="BN202" i="1"/>
  <c r="AU195" i="1"/>
  <c r="BR149" i="1"/>
  <c r="BS149" i="1"/>
  <c r="BL149" i="1"/>
  <c r="BN149" i="1"/>
  <c r="BM149" i="1"/>
  <c r="BL135" i="1"/>
  <c r="BR135" i="1"/>
  <c r="BS130" i="1"/>
  <c r="BL130" i="1"/>
  <c r="BR130" i="1"/>
  <c r="BN130" i="1"/>
  <c r="BM130" i="1"/>
  <c r="AU258" i="1"/>
  <c r="BM117" i="1"/>
  <c r="BR115" i="1"/>
  <c r="BL112" i="1"/>
  <c r="BS111" i="1"/>
  <c r="BL111" i="1"/>
  <c r="BM111" i="1"/>
  <c r="BN111" i="1"/>
  <c r="BR111" i="1"/>
  <c r="BS106" i="1"/>
  <c r="BL106" i="1"/>
  <c r="BM106" i="1"/>
  <c r="BR106" i="1"/>
  <c r="BN106" i="1"/>
  <c r="BM105" i="1"/>
  <c r="BN105" i="1"/>
  <c r="BS105" i="1"/>
  <c r="BR105" i="1"/>
  <c r="BL105" i="1"/>
  <c r="BR103" i="1"/>
  <c r="BS103" i="1"/>
  <c r="BL103" i="1"/>
  <c r="BM103" i="1"/>
  <c r="BN103" i="1"/>
  <c r="BN93" i="1"/>
  <c r="BR82" i="1"/>
  <c r="BN82" i="1"/>
  <c r="BM82" i="1"/>
  <c r="BR75" i="1"/>
  <c r="BS75" i="1"/>
  <c r="BL75" i="1"/>
  <c r="BM75" i="1"/>
  <c r="BN75" i="1"/>
  <c r="BM294" i="1"/>
  <c r="BR294" i="1"/>
  <c r="BL294" i="1"/>
  <c r="BS294" i="1"/>
  <c r="BM285" i="1"/>
  <c r="BR285" i="1"/>
  <c r="BL285" i="1"/>
  <c r="BS285" i="1"/>
  <c r="BR263" i="1"/>
  <c r="BS263" i="1"/>
  <c r="BN263" i="1"/>
  <c r="BR256" i="1"/>
  <c r="BN256" i="1"/>
  <c r="BM256" i="1"/>
  <c r="AU248" i="1"/>
  <c r="BN243" i="1"/>
  <c r="BS198" i="1"/>
  <c r="BM192" i="1"/>
  <c r="BN192" i="1"/>
  <c r="BS192" i="1"/>
  <c r="BR192" i="1"/>
  <c r="BL192" i="1"/>
  <c r="BR295" i="1"/>
  <c r="BR290" i="1"/>
  <c r="BS283" i="1"/>
  <c r="BM235" i="1"/>
  <c r="BS235" i="1"/>
  <c r="BR233" i="1"/>
  <c r="AU175" i="1"/>
  <c r="BN174" i="1"/>
  <c r="BR147" i="1"/>
  <c r="BL147" i="1"/>
  <c r="BS147" i="1"/>
  <c r="BQ361" i="1"/>
  <c r="BQ316" i="1"/>
  <c r="BQ358" i="1"/>
  <c r="AU354" i="1"/>
  <c r="BQ317" i="1"/>
  <c r="BQ359" i="1"/>
  <c r="BQ375" i="1"/>
  <c r="BQ394" i="1"/>
  <c r="BQ337" i="1"/>
  <c r="AU353" i="1"/>
  <c r="BQ318" i="1"/>
  <c r="BQ326" i="1"/>
  <c r="BQ334" i="1"/>
  <c r="BQ395" i="1"/>
  <c r="BQ371" i="1"/>
  <c r="AU310" i="1"/>
  <c r="BQ329" i="1"/>
  <c r="BQ341" i="1"/>
  <c r="BQ370" i="1"/>
  <c r="BQ388" i="1"/>
  <c r="AU137" i="1"/>
  <c r="BQ314" i="1"/>
  <c r="BQ322" i="1"/>
  <c r="BQ330" i="1"/>
  <c r="BQ349" i="1"/>
  <c r="AU383" i="1"/>
  <c r="BQ27" i="1"/>
  <c r="BQ20" i="1"/>
  <c r="BQ34" i="1"/>
  <c r="BQ30" i="1"/>
  <c r="BQ41" i="1"/>
  <c r="BQ32" i="1"/>
  <c r="BQ28" i="1"/>
  <c r="BQ23" i="1"/>
  <c r="BQ26" i="1"/>
  <c r="BQ17" i="1"/>
  <c r="BV17" i="1"/>
  <c r="K14" i="1"/>
  <c r="K15" i="1" s="1"/>
  <c r="K46" i="1"/>
  <c r="K45" i="1"/>
  <c r="K305" i="1"/>
  <c r="X378" i="57" l="1"/>
  <c r="X357" i="57"/>
  <c r="CK346" i="1"/>
  <c r="CF346" i="1" s="1"/>
  <c r="X406" i="57"/>
  <c r="CK189" i="1"/>
  <c r="M39" i="44"/>
  <c r="F15" i="36"/>
  <c r="P19" i="44"/>
  <c r="F16" i="36"/>
  <c r="P20" i="44"/>
  <c r="F23" i="36"/>
  <c r="P27" i="44"/>
  <c r="F24" i="36"/>
  <c r="P28" i="44"/>
  <c r="F28" i="36"/>
  <c r="P32" i="44"/>
  <c r="F37" i="36"/>
  <c r="P41" i="44"/>
  <c r="P18" i="44"/>
  <c r="F14" i="36"/>
  <c r="F32" i="36"/>
  <c r="P36" i="44"/>
  <c r="Q36" i="44" s="1"/>
  <c r="F29" i="36"/>
  <c r="P33" i="44"/>
  <c r="F20" i="36"/>
  <c r="P24" i="44"/>
  <c r="F35" i="36"/>
  <c r="P39" i="44"/>
  <c r="X394" i="57"/>
  <c r="Q33" i="44"/>
  <c r="M31" i="44"/>
  <c r="Q24" i="44"/>
  <c r="X47" i="57"/>
  <c r="M36" i="44"/>
  <c r="Q20" i="44"/>
  <c r="M40" i="44"/>
  <c r="X44" i="57"/>
  <c r="Q18" i="44"/>
  <c r="M35" i="44"/>
  <c r="Q19" i="44"/>
  <c r="M33" i="44"/>
  <c r="R33" i="44" s="1"/>
  <c r="M19" i="44"/>
  <c r="R19" i="44" s="1"/>
  <c r="X50" i="57"/>
  <c r="M22" i="44"/>
  <c r="X46" i="57"/>
  <c r="X53" i="57"/>
  <c r="X54" i="57"/>
  <c r="M32" i="44"/>
  <c r="X49" i="57"/>
  <c r="Q32" i="44"/>
  <c r="M34" i="44"/>
  <c r="F27" i="36"/>
  <c r="P31" i="44"/>
  <c r="F25" i="36"/>
  <c r="P29" i="44"/>
  <c r="Q29" i="44" s="1"/>
  <c r="R29" i="44" s="1"/>
  <c r="F18" i="36"/>
  <c r="P22" i="44"/>
  <c r="Q22" i="44" s="1"/>
  <c r="P26" i="44"/>
  <c r="F22" i="36"/>
  <c r="F19" i="36"/>
  <c r="P23" i="44"/>
  <c r="Q23" i="44" s="1"/>
  <c r="R23" i="44" s="1"/>
  <c r="F26" i="36"/>
  <c r="P30" i="44"/>
  <c r="P34" i="44"/>
  <c r="Q34" i="44" s="1"/>
  <c r="F30" i="36"/>
  <c r="F21" i="36"/>
  <c r="P25" i="44"/>
  <c r="Q25" i="44" s="1"/>
  <c r="F17" i="36"/>
  <c r="P21" i="44"/>
  <c r="Q21" i="44" s="1"/>
  <c r="F31" i="36"/>
  <c r="P35" i="44"/>
  <c r="Q35" i="44" s="1"/>
  <c r="F33" i="36"/>
  <c r="P37" i="44"/>
  <c r="Q37" i="44" s="1"/>
  <c r="BV39" i="1"/>
  <c r="BV40" i="1"/>
  <c r="F36" i="36"/>
  <c r="P40" i="44"/>
  <c r="Q40" i="44" s="1"/>
  <c r="R38" i="44"/>
  <c r="M21" i="44"/>
  <c r="X51" i="57"/>
  <c r="X52" i="57"/>
  <c r="Q28" i="44"/>
  <c r="R28" i="44" s="1"/>
  <c r="Q39" i="44"/>
  <c r="R39" i="44" s="1"/>
  <c r="M37" i="44"/>
  <c r="Q31" i="44"/>
  <c r="M18" i="44"/>
  <c r="R18" i="44" s="1"/>
  <c r="X45" i="57"/>
  <c r="M24" i="44"/>
  <c r="R24" i="44" s="1"/>
  <c r="M25" i="44"/>
  <c r="X48" i="57"/>
  <c r="M20" i="44"/>
  <c r="R20" i="44" s="1"/>
  <c r="Q26" i="44"/>
  <c r="R26" i="44" s="1"/>
  <c r="Q27" i="44"/>
  <c r="M27" i="44"/>
  <c r="Q30" i="44"/>
  <c r="R30" i="44" s="1"/>
  <c r="Q41" i="44"/>
  <c r="M41" i="44"/>
  <c r="M335" i="44"/>
  <c r="X413" i="57"/>
  <c r="CG143" i="1"/>
  <c r="X356" i="57"/>
  <c r="X372" i="57"/>
  <c r="X385" i="57"/>
  <c r="X410" i="57"/>
  <c r="X370" i="57"/>
  <c r="X416" i="57"/>
  <c r="BT221" i="1"/>
  <c r="X393" i="57"/>
  <c r="X397" i="57"/>
  <c r="X415" i="57"/>
  <c r="X400" i="57"/>
  <c r="X409" i="57"/>
  <c r="X425" i="57"/>
  <c r="X421" i="57"/>
  <c r="X424" i="57"/>
  <c r="X367" i="57"/>
  <c r="BM260" i="1"/>
  <c r="M366" i="44"/>
  <c r="M388" i="44"/>
  <c r="M326" i="44"/>
  <c r="M387" i="44"/>
  <c r="M384" i="44"/>
  <c r="M380" i="44"/>
  <c r="M376" i="44"/>
  <c r="M340" i="44"/>
  <c r="M321" i="44"/>
  <c r="M398" i="44"/>
  <c r="M317" i="44"/>
  <c r="M358" i="44"/>
  <c r="M338" i="44"/>
  <c r="M363" i="44"/>
  <c r="M378" i="44"/>
  <c r="M360" i="44"/>
  <c r="M369" i="44"/>
  <c r="M382" i="44"/>
  <c r="M339" i="44"/>
  <c r="M396" i="44"/>
  <c r="M343" i="44"/>
  <c r="M331" i="44"/>
  <c r="X417" i="57"/>
  <c r="X371" i="57"/>
  <c r="X408" i="57"/>
  <c r="X383" i="57"/>
  <c r="X373" i="57"/>
  <c r="X387" i="57"/>
  <c r="X414" i="57"/>
  <c r="X368" i="57"/>
  <c r="X405" i="57"/>
  <c r="CN245" i="1"/>
  <c r="X362" i="57"/>
  <c r="P313" i="44"/>
  <c r="Q313" i="44" s="1"/>
  <c r="F324" i="36"/>
  <c r="P341" i="44"/>
  <c r="Q341" i="44" s="1"/>
  <c r="F352" i="36"/>
  <c r="P359" i="44"/>
  <c r="Q359" i="44" s="1"/>
  <c r="R359" i="44" s="1"/>
  <c r="F370" i="36"/>
  <c r="P342" i="44"/>
  <c r="Q342" i="44" s="1"/>
  <c r="F353" i="36"/>
  <c r="P394" i="44"/>
  <c r="Q394" i="44" s="1"/>
  <c r="F405" i="36"/>
  <c r="P309" i="44"/>
  <c r="Q309" i="44" s="1"/>
  <c r="F320" i="36"/>
  <c r="P362" i="44"/>
  <c r="Q362" i="44" s="1"/>
  <c r="F373" i="36"/>
  <c r="P311" i="44"/>
  <c r="Q311" i="44" s="1"/>
  <c r="F322" i="36"/>
  <c r="P374" i="44"/>
  <c r="Q374" i="44" s="1"/>
  <c r="F385" i="36"/>
  <c r="P323" i="44"/>
  <c r="Q323" i="44" s="1"/>
  <c r="F334" i="36"/>
  <c r="P360" i="44"/>
  <c r="Q360" i="44" s="1"/>
  <c r="R360" i="44" s="1"/>
  <c r="F371" i="36"/>
  <c r="P351" i="44"/>
  <c r="Q351" i="44" s="1"/>
  <c r="F362" i="36"/>
  <c r="P316" i="44"/>
  <c r="Q316" i="44" s="1"/>
  <c r="F327" i="36"/>
  <c r="P372" i="44"/>
  <c r="Q372" i="44" s="1"/>
  <c r="F383" i="36"/>
  <c r="P343" i="44"/>
  <c r="Q343" i="44" s="1"/>
  <c r="F354" i="36"/>
  <c r="P328" i="44"/>
  <c r="Q328" i="44" s="1"/>
  <c r="F339" i="36"/>
  <c r="P331" i="44"/>
  <c r="Q331" i="44" s="1"/>
  <c r="F342" i="36"/>
  <c r="P320" i="44"/>
  <c r="Q320" i="44" s="1"/>
  <c r="F331" i="36"/>
  <c r="P364" i="44"/>
  <c r="Q364" i="44" s="1"/>
  <c r="R364" i="44" s="1"/>
  <c r="F375" i="36"/>
  <c r="P367" i="44"/>
  <c r="Q367" i="44" s="1"/>
  <c r="F378" i="36"/>
  <c r="P376" i="44"/>
  <c r="Q376" i="44" s="1"/>
  <c r="F387" i="36"/>
  <c r="P371" i="44"/>
  <c r="Q371" i="44" s="1"/>
  <c r="F382" i="36"/>
  <c r="P346" i="44"/>
  <c r="Q346" i="44" s="1"/>
  <c r="F357" i="36"/>
  <c r="P398" i="44"/>
  <c r="Q398" i="44" s="1"/>
  <c r="R398" i="44" s="1"/>
  <c r="F409" i="36"/>
  <c r="P335" i="44"/>
  <c r="Q335" i="44" s="1"/>
  <c r="R335" i="44" s="1"/>
  <c r="F346" i="36"/>
  <c r="P368" i="44"/>
  <c r="Q368" i="44" s="1"/>
  <c r="F379" i="36"/>
  <c r="P314" i="44"/>
  <c r="Q314" i="44" s="1"/>
  <c r="R314" i="44" s="1"/>
  <c r="F325" i="36"/>
  <c r="P345" i="44"/>
  <c r="Q345" i="44" s="1"/>
  <c r="F356" i="36"/>
  <c r="P357" i="44"/>
  <c r="Q357" i="44" s="1"/>
  <c r="R357" i="44" s="1"/>
  <c r="F368" i="36"/>
  <c r="P329" i="44"/>
  <c r="Q329" i="44" s="1"/>
  <c r="F340" i="36"/>
  <c r="P347" i="44"/>
  <c r="Q347" i="44" s="1"/>
  <c r="F358" i="36"/>
  <c r="P318" i="44"/>
  <c r="Q318" i="44" s="1"/>
  <c r="F329" i="36"/>
  <c r="P324" i="44"/>
  <c r="Q324" i="44" s="1"/>
  <c r="F335" i="36"/>
  <c r="P390" i="44"/>
  <c r="Q390" i="44" s="1"/>
  <c r="F401" i="36"/>
  <c r="P336" i="44"/>
  <c r="Q336" i="44" s="1"/>
  <c r="F347" i="36"/>
  <c r="P365" i="44"/>
  <c r="Q365" i="44" s="1"/>
  <c r="F376" i="36"/>
  <c r="V55" i="57"/>
  <c r="X65" i="57"/>
  <c r="X396" i="57"/>
  <c r="X388" i="57"/>
  <c r="P393" i="44"/>
  <c r="Q393" i="44" s="1"/>
  <c r="F404" i="36"/>
  <c r="P349" i="44"/>
  <c r="Q349" i="44" s="1"/>
  <c r="F360" i="36"/>
  <c r="P384" i="44"/>
  <c r="Q384" i="44" s="1"/>
  <c r="F395" i="36"/>
  <c r="P310" i="44"/>
  <c r="Q310" i="44" s="1"/>
  <c r="F321" i="36"/>
  <c r="P317" i="44"/>
  <c r="Q317" i="44" s="1"/>
  <c r="F328" i="36"/>
  <c r="P325" i="44"/>
  <c r="Q325" i="44" s="1"/>
  <c r="F336" i="36"/>
  <c r="P358" i="44"/>
  <c r="Q358" i="44" s="1"/>
  <c r="F369" i="36"/>
  <c r="P322" i="44"/>
  <c r="Q322" i="44" s="1"/>
  <c r="F333" i="36"/>
  <c r="P315" i="44"/>
  <c r="Q315" i="44" s="1"/>
  <c r="F326" i="36"/>
  <c r="P395" i="44"/>
  <c r="Q395" i="44" s="1"/>
  <c r="F406" i="36"/>
  <c r="P387" i="44"/>
  <c r="Q387" i="44" s="1"/>
  <c r="F398" i="36"/>
  <c r="P382" i="44"/>
  <c r="Q382" i="44" s="1"/>
  <c r="R382" i="44" s="1"/>
  <c r="F393" i="36"/>
  <c r="P332" i="44"/>
  <c r="Q332" i="44" s="1"/>
  <c r="F343" i="36"/>
  <c r="P377" i="44"/>
  <c r="Q377" i="44" s="1"/>
  <c r="F388" i="36"/>
  <c r="P361" i="44"/>
  <c r="Q361" i="44" s="1"/>
  <c r="F372" i="36"/>
  <c r="P308" i="44"/>
  <c r="Q308" i="44" s="1"/>
  <c r="R308" i="44" s="1"/>
  <c r="F319" i="36"/>
  <c r="P397" i="44"/>
  <c r="Q397" i="44" s="1"/>
  <c r="F408" i="36"/>
  <c r="P373" i="44"/>
  <c r="Q373" i="44" s="1"/>
  <c r="F384" i="36"/>
  <c r="P333" i="44"/>
  <c r="Q333" i="44" s="1"/>
  <c r="F344" i="36"/>
  <c r="P380" i="44"/>
  <c r="Q380" i="44" s="1"/>
  <c r="F391" i="36"/>
  <c r="P375" i="44"/>
  <c r="Q375" i="44" s="1"/>
  <c r="F386" i="36"/>
  <c r="P337" i="44"/>
  <c r="Q337" i="44" s="1"/>
  <c r="F348" i="36"/>
  <c r="P350" i="44"/>
  <c r="Q350" i="44" s="1"/>
  <c r="F361" i="36"/>
  <c r="P330" i="44"/>
  <c r="Q330" i="44" s="1"/>
  <c r="F341" i="36"/>
  <c r="P338" i="44"/>
  <c r="Q338" i="44" s="1"/>
  <c r="F349" i="36"/>
  <c r="P340" i="44"/>
  <c r="Q340" i="44" s="1"/>
  <c r="R340" i="44" s="1"/>
  <c r="F351" i="36"/>
  <c r="P391" i="44"/>
  <c r="Q391" i="44" s="1"/>
  <c r="F402" i="36"/>
  <c r="P370" i="44"/>
  <c r="Q370" i="44" s="1"/>
  <c r="F381" i="36"/>
  <c r="P363" i="44"/>
  <c r="Q363" i="44" s="1"/>
  <c r="R363" i="44" s="1"/>
  <c r="F374" i="36"/>
  <c r="P378" i="44"/>
  <c r="Q378" i="44" s="1"/>
  <c r="F389" i="36"/>
  <c r="P321" i="44"/>
  <c r="Q321" i="44" s="1"/>
  <c r="F332" i="36"/>
  <c r="P369" i="44"/>
  <c r="Q369" i="44" s="1"/>
  <c r="F380" i="36"/>
  <c r="P339" i="44"/>
  <c r="Q339" i="44" s="1"/>
  <c r="F350" i="36"/>
  <c r="P396" i="44"/>
  <c r="Q396" i="44" s="1"/>
  <c r="F407" i="36"/>
  <c r="P319" i="44"/>
  <c r="Q319" i="44" s="1"/>
  <c r="F330" i="36"/>
  <c r="P353" i="44"/>
  <c r="Q353" i="44" s="1"/>
  <c r="F364" i="36"/>
  <c r="O379" i="44"/>
  <c r="G390" i="37"/>
  <c r="N379" i="44"/>
  <c r="F390" i="37"/>
  <c r="P392" i="44"/>
  <c r="Q392" i="44" s="1"/>
  <c r="F403" i="36"/>
  <c r="P326" i="44"/>
  <c r="Q326" i="44" s="1"/>
  <c r="F337" i="36"/>
  <c r="P388" i="44"/>
  <c r="Q388" i="44" s="1"/>
  <c r="F399" i="36"/>
  <c r="P386" i="44"/>
  <c r="Q386" i="44" s="1"/>
  <c r="F397" i="36"/>
  <c r="X412" i="57"/>
  <c r="M322" i="44"/>
  <c r="X404" i="57"/>
  <c r="X376" i="57"/>
  <c r="X358" i="57"/>
  <c r="U55" i="57"/>
  <c r="BV143" i="1"/>
  <c r="CS143" i="1" s="1"/>
  <c r="U411" i="57"/>
  <c r="J379" i="44"/>
  <c r="V411" i="57"/>
  <c r="K379" i="44"/>
  <c r="BV102" i="1"/>
  <c r="BV259" i="1"/>
  <c r="BV364" i="1"/>
  <c r="P366" i="44"/>
  <c r="Q366" i="44" s="1"/>
  <c r="M392" i="44"/>
  <c r="X411" i="57"/>
  <c r="X360" i="57"/>
  <c r="M342" i="44"/>
  <c r="M361" i="44"/>
  <c r="M336" i="44"/>
  <c r="M386" i="44"/>
  <c r="M347" i="44"/>
  <c r="M315" i="44"/>
  <c r="M309" i="44"/>
  <c r="M368" i="44"/>
  <c r="M362" i="44"/>
  <c r="M374" i="44"/>
  <c r="M341" i="44"/>
  <c r="M325" i="44"/>
  <c r="M375" i="44"/>
  <c r="M395" i="44"/>
  <c r="M330" i="44"/>
  <c r="M391" i="44"/>
  <c r="M349" i="44"/>
  <c r="M333" i="44"/>
  <c r="M371" i="44"/>
  <c r="M345" i="44"/>
  <c r="M332" i="44"/>
  <c r="M390" i="44"/>
  <c r="M319" i="44"/>
  <c r="M373" i="44"/>
  <c r="M397" i="44"/>
  <c r="W411" i="57"/>
  <c r="L379" i="44"/>
  <c r="BV286" i="1"/>
  <c r="BV246" i="1"/>
  <c r="BV346" i="1"/>
  <c r="CS346" i="1" s="1"/>
  <c r="P348" i="44"/>
  <c r="Q348" i="44" s="1"/>
  <c r="R348" i="44" s="1"/>
  <c r="M313" i="44"/>
  <c r="Y313" i="44" s="1"/>
  <c r="M346" i="44"/>
  <c r="M394" i="44"/>
  <c r="M350" i="44"/>
  <c r="X361" i="57"/>
  <c r="X389" i="57"/>
  <c r="M324" i="44"/>
  <c r="M377" i="44"/>
  <c r="M320" i="44"/>
  <c r="Y320" i="44" s="1"/>
  <c r="M365" i="44"/>
  <c r="M353" i="44"/>
  <c r="M337" i="44"/>
  <c r="M393" i="44"/>
  <c r="M367" i="44"/>
  <c r="M310" i="44"/>
  <c r="X418" i="57"/>
  <c r="X382" i="57"/>
  <c r="M311" i="44"/>
  <c r="M323" i="44"/>
  <c r="M370" i="44"/>
  <c r="M318" i="44"/>
  <c r="M329" i="44"/>
  <c r="M351" i="44"/>
  <c r="M316" i="44"/>
  <c r="M372" i="44"/>
  <c r="X355" i="57"/>
  <c r="M328" i="44"/>
  <c r="BQ259" i="1"/>
  <c r="BL260" i="1"/>
  <c r="BA260" i="1"/>
  <c r="BX260" i="1" s="1"/>
  <c r="BZ260" i="1" s="1"/>
  <c r="CG346" i="1"/>
  <c r="BS260" i="1"/>
  <c r="BR260" i="1"/>
  <c r="X327" i="58"/>
  <c r="X435" i="58" s="1"/>
  <c r="CL155" i="1"/>
  <c r="CM155" i="1" s="1"/>
  <c r="CL259" i="1"/>
  <c r="CM259" i="1" s="1"/>
  <c r="CL260" i="1"/>
  <c r="CM260" i="1" s="1"/>
  <c r="CL286" i="1"/>
  <c r="CM286" i="1" s="1"/>
  <c r="CL220" i="1"/>
  <c r="CM220" i="1" s="1"/>
  <c r="CL346" i="1"/>
  <c r="CM346" i="1" s="1"/>
  <c r="CL189" i="1"/>
  <c r="CM189" i="1" s="1"/>
  <c r="CS40" i="1"/>
  <c r="Z58" i="58"/>
  <c r="X55" i="57"/>
  <c r="BT189" i="1"/>
  <c r="X395" i="57"/>
  <c r="W55" i="57"/>
  <c r="CF286" i="1"/>
  <c r="BW364" i="1"/>
  <c r="Y280" i="52"/>
  <c r="Y208" i="52"/>
  <c r="Y303" i="52"/>
  <c r="Y302" i="52"/>
  <c r="Y301" i="52"/>
  <c r="Y120" i="52"/>
  <c r="Y309" i="52"/>
  <c r="Y200" i="52"/>
  <c r="Y189" i="52"/>
  <c r="Y111" i="52"/>
  <c r="Y246" i="52"/>
  <c r="Y306" i="52"/>
  <c r="Y102" i="52"/>
  <c r="Y329" i="52"/>
  <c r="Y264" i="52"/>
  <c r="Y263" i="52"/>
  <c r="Y104" i="52"/>
  <c r="Y305" i="52"/>
  <c r="Y76" i="52"/>
  <c r="Y277" i="52"/>
  <c r="Y117" i="52"/>
  <c r="Y209" i="52"/>
  <c r="Y137" i="52"/>
  <c r="Y205" i="52"/>
  <c r="Y191" i="52"/>
  <c r="Y242" i="52"/>
  <c r="Y322" i="52"/>
  <c r="Y164" i="52"/>
  <c r="Y202" i="52"/>
  <c r="Y223" i="52"/>
  <c r="Y103" i="52"/>
  <c r="Y224" i="52"/>
  <c r="Y273" i="52"/>
  <c r="Y291" i="52"/>
  <c r="Y218" i="52"/>
  <c r="Y249" i="52"/>
  <c r="Y207" i="52"/>
  <c r="Y240" i="52"/>
  <c r="Y222" i="52"/>
  <c r="Y150" i="52"/>
  <c r="Y199" i="52"/>
  <c r="Y96" i="52"/>
  <c r="Y271" i="52"/>
  <c r="Y77" i="52"/>
  <c r="Y118" i="52"/>
  <c r="Y122" i="52"/>
  <c r="Y317" i="52"/>
  <c r="Y181" i="52"/>
  <c r="Y213" i="52"/>
  <c r="Y79" i="52"/>
  <c r="Y262" i="52"/>
  <c r="Y311" i="52"/>
  <c r="Y193" i="52"/>
  <c r="Y177" i="52"/>
  <c r="Y333" i="52"/>
  <c r="Y315" i="52"/>
  <c r="Y272" i="52"/>
  <c r="Y108" i="52"/>
  <c r="Y232" i="52"/>
  <c r="Y194" i="52"/>
  <c r="Y183" i="52"/>
  <c r="Y241" i="52"/>
  <c r="Y287" i="52"/>
  <c r="Y217" i="52"/>
  <c r="Y307" i="52"/>
  <c r="Y115" i="52"/>
  <c r="Y216" i="52"/>
  <c r="BB189" i="1"/>
  <c r="BS188" i="1"/>
  <c r="BB188" i="1"/>
  <c r="CF17" i="1"/>
  <c r="CM17" i="1"/>
  <c r="CF246" i="1"/>
  <c r="CM246" i="1"/>
  <c r="CF297" i="1"/>
  <c r="CM297" i="1"/>
  <c r="CF381" i="1"/>
  <c r="CM381" i="1"/>
  <c r="BM188" i="1"/>
  <c r="BL188" i="1"/>
  <c r="CK281" i="1"/>
  <c r="CG197" i="1"/>
  <c r="BN220" i="1"/>
  <c r="BA220" i="1"/>
  <c r="BX220" i="1" s="1"/>
  <c r="BZ220" i="1" s="1"/>
  <c r="BB220" i="1"/>
  <c r="BM220" i="1"/>
  <c r="BL220" i="1"/>
  <c r="BR220" i="1"/>
  <c r="BS220" i="1"/>
  <c r="CF220" i="1"/>
  <c r="BM189" i="1"/>
  <c r="BL189" i="1"/>
  <c r="BA189" i="1"/>
  <c r="BX189" i="1" s="1"/>
  <c r="BZ189" i="1" s="1"/>
  <c r="CG40" i="1"/>
  <c r="BW39" i="1"/>
  <c r="BW40" i="1"/>
  <c r="BS189" i="1"/>
  <c r="BR189" i="1"/>
  <c r="CS39" i="1"/>
  <c r="CG39" i="1"/>
  <c r="BB70" i="1"/>
  <c r="BA70" i="1"/>
  <c r="BX70" i="1" s="1"/>
  <c r="BZ70" i="1" s="1"/>
  <c r="BN70" i="1"/>
  <c r="BS70" i="1"/>
  <c r="BR70" i="1"/>
  <c r="BM70" i="1"/>
  <c r="BL70" i="1"/>
  <c r="CF189" i="1"/>
  <c r="CG364" i="1"/>
  <c r="CK182" i="1"/>
  <c r="CL182" i="1" s="1"/>
  <c r="CK216" i="1"/>
  <c r="CL216" i="1" s="1"/>
  <c r="CK372" i="1"/>
  <c r="CL372" i="1" s="1"/>
  <c r="CK339" i="1"/>
  <c r="CL339" i="1" s="1"/>
  <c r="CK358" i="1"/>
  <c r="CL358" i="1" s="1"/>
  <c r="CK312" i="1"/>
  <c r="CL312" i="1" s="1"/>
  <c r="CK61" i="1"/>
  <c r="CL61" i="1" s="1"/>
  <c r="CK103" i="1"/>
  <c r="CL103" i="1" s="1"/>
  <c r="CK178" i="1"/>
  <c r="CL178" i="1" s="1"/>
  <c r="CK276" i="1"/>
  <c r="CL276" i="1" s="1"/>
  <c r="CK107" i="1"/>
  <c r="CL107" i="1" s="1"/>
  <c r="CK335" i="1"/>
  <c r="CL335" i="1" s="1"/>
  <c r="CK175" i="1"/>
  <c r="CL175" i="1" s="1"/>
  <c r="CK78" i="1"/>
  <c r="CL78" i="1" s="1"/>
  <c r="CK228" i="1"/>
  <c r="CL228" i="1" s="1"/>
  <c r="CK234" i="1"/>
  <c r="CL234" i="1" s="1"/>
  <c r="CK322" i="1"/>
  <c r="CL322" i="1" s="1"/>
  <c r="CK81" i="1"/>
  <c r="CL81" i="1" s="1"/>
  <c r="CK179" i="1"/>
  <c r="CL179" i="1" s="1"/>
  <c r="CK252" i="1"/>
  <c r="CL252" i="1" s="1"/>
  <c r="CK131" i="1"/>
  <c r="CL131" i="1" s="1"/>
  <c r="CK338" i="1"/>
  <c r="CL338" i="1" s="1"/>
  <c r="CK116" i="1"/>
  <c r="CL116" i="1" s="1"/>
  <c r="CK240" i="1"/>
  <c r="CL240" i="1" s="1"/>
  <c r="CK311" i="1"/>
  <c r="CL311" i="1" s="1"/>
  <c r="CK68" i="1"/>
  <c r="CL68" i="1" s="1"/>
  <c r="CK154" i="1"/>
  <c r="CL154" i="1" s="1"/>
  <c r="CK209" i="1"/>
  <c r="CL209" i="1" s="1"/>
  <c r="CK62" i="1"/>
  <c r="CL62" i="1" s="1"/>
  <c r="CK79" i="1"/>
  <c r="CL79" i="1" s="1"/>
  <c r="CK100" i="1"/>
  <c r="CL100" i="1" s="1"/>
  <c r="CK118" i="1"/>
  <c r="CL118" i="1" s="1"/>
  <c r="CK141" i="1"/>
  <c r="CL141" i="1" s="1"/>
  <c r="CK156" i="1"/>
  <c r="CL156" i="1" s="1"/>
  <c r="CK174" i="1"/>
  <c r="CL174" i="1" s="1"/>
  <c r="CK235" i="1"/>
  <c r="CL235" i="1" s="1"/>
  <c r="CK261" i="1"/>
  <c r="CL261" i="1" s="1"/>
  <c r="CK308" i="1"/>
  <c r="CL308" i="1" s="1"/>
  <c r="CK95" i="1"/>
  <c r="CL95" i="1" s="1"/>
  <c r="CK271" i="1"/>
  <c r="CL271" i="1" s="1"/>
  <c r="CK150" i="1"/>
  <c r="CL150" i="1" s="1"/>
  <c r="CK180" i="1"/>
  <c r="CL180" i="1" s="1"/>
  <c r="CK94" i="1"/>
  <c r="CL94" i="1" s="1"/>
  <c r="CK309" i="1"/>
  <c r="CL309" i="1" s="1"/>
  <c r="CK80" i="1"/>
  <c r="CL80" i="1" s="1"/>
  <c r="CK162" i="1"/>
  <c r="CL162" i="1" s="1"/>
  <c r="CK321" i="1"/>
  <c r="CL321" i="1" s="1"/>
  <c r="CK326" i="1"/>
  <c r="CL326" i="1" s="1"/>
  <c r="CK66" i="1"/>
  <c r="CL66" i="1" s="1"/>
  <c r="CK87" i="1"/>
  <c r="CL87" i="1" s="1"/>
  <c r="CK124" i="1"/>
  <c r="CL124" i="1" s="1"/>
  <c r="CK151" i="1"/>
  <c r="CL151" i="1" s="1"/>
  <c r="CK170" i="1"/>
  <c r="CL170" i="1" s="1"/>
  <c r="CK264" i="1"/>
  <c r="CL264" i="1" s="1"/>
  <c r="CK320" i="1"/>
  <c r="CL320" i="1" s="1"/>
  <c r="CK65" i="1"/>
  <c r="CL65" i="1" s="1"/>
  <c r="CK82" i="1"/>
  <c r="CL82" i="1" s="1"/>
  <c r="CK167" i="1"/>
  <c r="CL167" i="1" s="1"/>
  <c r="CK236" i="1"/>
  <c r="CL236" i="1" s="1"/>
  <c r="CK262" i="1"/>
  <c r="CL262" i="1" s="1"/>
  <c r="CK186" i="1"/>
  <c r="CL186" i="1" s="1"/>
  <c r="CK105" i="1"/>
  <c r="CL105" i="1" s="1"/>
  <c r="CK49" i="1"/>
  <c r="CL49" i="1" s="1"/>
  <c r="CK368" i="1"/>
  <c r="CL368" i="1" s="1"/>
  <c r="CK350" i="1"/>
  <c r="CL350" i="1" s="1"/>
  <c r="CK319" i="1"/>
  <c r="CL319" i="1" s="1"/>
  <c r="CK325" i="1"/>
  <c r="CL325" i="1" s="1"/>
  <c r="CK63" i="1"/>
  <c r="CL63" i="1" s="1"/>
  <c r="CK77" i="1"/>
  <c r="CL77" i="1" s="1"/>
  <c r="CK244" i="1"/>
  <c r="CL244" i="1" s="1"/>
  <c r="CK284" i="1"/>
  <c r="CL284" i="1" s="1"/>
  <c r="CK278" i="1"/>
  <c r="CL278" i="1" s="1"/>
  <c r="CK352" i="1"/>
  <c r="CL352" i="1" s="1"/>
  <c r="CK329" i="1"/>
  <c r="CL329" i="1" s="1"/>
  <c r="CK385" i="1"/>
  <c r="CL385" i="1" s="1"/>
  <c r="CK334" i="1"/>
  <c r="CL334" i="1" s="1"/>
  <c r="CK57" i="1"/>
  <c r="CL57" i="1" s="1"/>
  <c r="CK187" i="1"/>
  <c r="CL187" i="1" s="1"/>
  <c r="CK223" i="1"/>
  <c r="CL223" i="1" s="1"/>
  <c r="CK239" i="1"/>
  <c r="CL239" i="1" s="1"/>
  <c r="CK255" i="1"/>
  <c r="CL255" i="1" s="1"/>
  <c r="CK106" i="1"/>
  <c r="CL106" i="1" s="1"/>
  <c r="CK132" i="1"/>
  <c r="CL132" i="1" s="1"/>
  <c r="CK148" i="1"/>
  <c r="CL148" i="1" s="1"/>
  <c r="CK144" i="1"/>
  <c r="CL144" i="1" s="1"/>
  <c r="CK88" i="1"/>
  <c r="CL88" i="1" s="1"/>
  <c r="CK310" i="1"/>
  <c r="CL310" i="1" s="1"/>
  <c r="CK135" i="1"/>
  <c r="CL135" i="1" s="1"/>
  <c r="CK340" i="1"/>
  <c r="CL340" i="1" s="1"/>
  <c r="CK254" i="1"/>
  <c r="CL254" i="1" s="1"/>
  <c r="CK55" i="1"/>
  <c r="CL55" i="1" s="1"/>
  <c r="CK123" i="1"/>
  <c r="CL123" i="1" s="1"/>
  <c r="CK172" i="1"/>
  <c r="CL172" i="1" s="1"/>
  <c r="CK213" i="1"/>
  <c r="CL213" i="1" s="1"/>
  <c r="CK269" i="1"/>
  <c r="CL269" i="1" s="1"/>
  <c r="CK117" i="1"/>
  <c r="CL117" i="1" s="1"/>
  <c r="CK176" i="1"/>
  <c r="CL176" i="1" s="1"/>
  <c r="CK282" i="1"/>
  <c r="CL282" i="1" s="1"/>
  <c r="CK387" i="1"/>
  <c r="CL387" i="1" s="1"/>
  <c r="CK361" i="1"/>
  <c r="CL361" i="1" s="1"/>
  <c r="CK378" i="1"/>
  <c r="CL378" i="1" s="1"/>
  <c r="CK374" i="1"/>
  <c r="CL374" i="1" s="1"/>
  <c r="CK275" i="1"/>
  <c r="CL275" i="1" s="1"/>
  <c r="CK375" i="1"/>
  <c r="CL375" i="1" s="1"/>
  <c r="CK341" i="1"/>
  <c r="CL341" i="1" s="1"/>
  <c r="CK279" i="1"/>
  <c r="CL279" i="1" s="1"/>
  <c r="CK342" i="1"/>
  <c r="CL342" i="1" s="1"/>
  <c r="CK291" i="1"/>
  <c r="CL291" i="1" s="1"/>
  <c r="CK379" i="1"/>
  <c r="CL379" i="1" s="1"/>
  <c r="CK345" i="1"/>
  <c r="CL345" i="1" s="1"/>
  <c r="CK353" i="1"/>
  <c r="CL353" i="1" s="1"/>
  <c r="CK280" i="1"/>
  <c r="CL280" i="1" s="1"/>
  <c r="CK349" i="1"/>
  <c r="CL349" i="1" s="1"/>
  <c r="CK296" i="1"/>
  <c r="CK371" i="1"/>
  <c r="CL371" i="1" s="1"/>
  <c r="CK348" i="1"/>
  <c r="CL348" i="1" s="1"/>
  <c r="CK388" i="1"/>
  <c r="CL388" i="1" s="1"/>
  <c r="CK389" i="1"/>
  <c r="CL389" i="1" s="1"/>
  <c r="CK395" i="1"/>
  <c r="CL395" i="1" s="1"/>
  <c r="CK181" i="1"/>
  <c r="CL181" i="1" s="1"/>
  <c r="CK92" i="1"/>
  <c r="CL92" i="1" s="1"/>
  <c r="CK52" i="1"/>
  <c r="CL52" i="1" s="1"/>
  <c r="CK274" i="1"/>
  <c r="CL274" i="1" s="1"/>
  <c r="CK85" i="1"/>
  <c r="CL85" i="1" s="1"/>
  <c r="CK249" i="1"/>
  <c r="CL249" i="1" s="1"/>
  <c r="CK283" i="1"/>
  <c r="CF283" i="1" s="1"/>
  <c r="CK221" i="1"/>
  <c r="CL221" i="1" s="1"/>
  <c r="CK289" i="1"/>
  <c r="CL289" i="1" s="1"/>
  <c r="CK204" i="1"/>
  <c r="CL204" i="1" s="1"/>
  <c r="CK226" i="1"/>
  <c r="CL226" i="1" s="1"/>
  <c r="CK354" i="1"/>
  <c r="CL354" i="1" s="1"/>
  <c r="CK331" i="1"/>
  <c r="CL331" i="1" s="1"/>
  <c r="CK336" i="1"/>
  <c r="CL336" i="1" s="1"/>
  <c r="CK86" i="1"/>
  <c r="CL86" i="1" s="1"/>
  <c r="CK111" i="1"/>
  <c r="CL111" i="1" s="1"/>
  <c r="CK171" i="1"/>
  <c r="CL171" i="1" s="1"/>
  <c r="CK194" i="1"/>
  <c r="CL194" i="1" s="1"/>
  <c r="CK98" i="1"/>
  <c r="CL98" i="1" s="1"/>
  <c r="CK153" i="1"/>
  <c r="CL153" i="1" s="1"/>
  <c r="CK69" i="1"/>
  <c r="CL69" i="1" s="1"/>
  <c r="CK256" i="1"/>
  <c r="CL256" i="1" s="1"/>
  <c r="CK330" i="1"/>
  <c r="CL330" i="1" s="1"/>
  <c r="CK185" i="1"/>
  <c r="CL185" i="1" s="1"/>
  <c r="CK97" i="1"/>
  <c r="CL97" i="1" s="1"/>
  <c r="CK333" i="1"/>
  <c r="CL333" i="1" s="1"/>
  <c r="CK64" i="1"/>
  <c r="CK164" i="1"/>
  <c r="CL164" i="1" s="1"/>
  <c r="CK93" i="1"/>
  <c r="CL93" i="1" s="1"/>
  <c r="CK89" i="1"/>
  <c r="CL89" i="1" s="1"/>
  <c r="CK126" i="1"/>
  <c r="CL126" i="1" s="1"/>
  <c r="CK327" i="1"/>
  <c r="CL327" i="1" s="1"/>
  <c r="CK316" i="1"/>
  <c r="CL316" i="1" s="1"/>
  <c r="CK191" i="1"/>
  <c r="CL191" i="1" s="1"/>
  <c r="CK53" i="1"/>
  <c r="CL53" i="1" s="1"/>
  <c r="CK72" i="1"/>
  <c r="CL72" i="1" s="1"/>
  <c r="CK91" i="1"/>
  <c r="CL91" i="1" s="1"/>
  <c r="CK110" i="1"/>
  <c r="CL110" i="1" s="1"/>
  <c r="CK130" i="1"/>
  <c r="CL130" i="1" s="1"/>
  <c r="CK149" i="1"/>
  <c r="CL149" i="1" s="1"/>
  <c r="CK165" i="1"/>
  <c r="CL165" i="1" s="1"/>
  <c r="CK192" i="1"/>
  <c r="CL192" i="1" s="1"/>
  <c r="CK243" i="1"/>
  <c r="CL243" i="1" s="1"/>
  <c r="CK323" i="1"/>
  <c r="CL323" i="1" s="1"/>
  <c r="CK328" i="1"/>
  <c r="CL328" i="1" s="1"/>
  <c r="CK71" i="1"/>
  <c r="CL71" i="1" s="1"/>
  <c r="CK128" i="1"/>
  <c r="CL128" i="1" s="1"/>
  <c r="CK188" i="1"/>
  <c r="CL188" i="1" s="1"/>
  <c r="CK219" i="1"/>
  <c r="CL219" i="1" s="1"/>
  <c r="CK270" i="1"/>
  <c r="CL270" i="1" s="1"/>
  <c r="CK166" i="1"/>
  <c r="CL166" i="1" s="1"/>
  <c r="CK196" i="1"/>
  <c r="CL196" i="1" s="1"/>
  <c r="CK238" i="1"/>
  <c r="CL238" i="1" s="1"/>
  <c r="CK263" i="1"/>
  <c r="CL263" i="1" s="1"/>
  <c r="CK54" i="1"/>
  <c r="CL54" i="1" s="1"/>
  <c r="CK122" i="1"/>
  <c r="CL122" i="1" s="1"/>
  <c r="CK258" i="1"/>
  <c r="CL258" i="1" s="1"/>
  <c r="CK232" i="1"/>
  <c r="CL232" i="1" s="1"/>
  <c r="CK306" i="1"/>
  <c r="CK307" i="1"/>
  <c r="CL307" i="1" s="1"/>
  <c r="CK76" i="1"/>
  <c r="CL76" i="1" s="1"/>
  <c r="CK114" i="1"/>
  <c r="CL114" i="1" s="1"/>
  <c r="CK137" i="1"/>
  <c r="CL137" i="1" s="1"/>
  <c r="CK159" i="1"/>
  <c r="CL159" i="1" s="1"/>
  <c r="CK210" i="1"/>
  <c r="CL210" i="1" s="1"/>
  <c r="CK315" i="1"/>
  <c r="CL315" i="1" s="1"/>
  <c r="CK75" i="1"/>
  <c r="CL75" i="1" s="1"/>
  <c r="CK183" i="1"/>
  <c r="CL183" i="1" s="1"/>
  <c r="CK146" i="1"/>
  <c r="CL146" i="1" s="1"/>
  <c r="CK173" i="1"/>
  <c r="CL173" i="1" s="1"/>
  <c r="CK207" i="1"/>
  <c r="CL207" i="1" s="1"/>
  <c r="CK268" i="1"/>
  <c r="CL268" i="1" s="1"/>
  <c r="CK195" i="1"/>
  <c r="CL195" i="1" s="1"/>
  <c r="CK265" i="1"/>
  <c r="CL265" i="1" s="1"/>
  <c r="CK357" i="1"/>
  <c r="CK343" i="1"/>
  <c r="CL343" i="1" s="1"/>
  <c r="CK332" i="1"/>
  <c r="CL332" i="1" s="1"/>
  <c r="CK73" i="1"/>
  <c r="CL73" i="1" s="1"/>
  <c r="CK83" i="1"/>
  <c r="CL83" i="1" s="1"/>
  <c r="CK273" i="1"/>
  <c r="CL273" i="1" s="1"/>
  <c r="CK230" i="1"/>
  <c r="CL230" i="1" s="1"/>
  <c r="CK373" i="1"/>
  <c r="CL373" i="1" s="1"/>
  <c r="CK370" i="1"/>
  <c r="CL370" i="1" s="1"/>
  <c r="CK337" i="1"/>
  <c r="CL337" i="1" s="1"/>
  <c r="CK313" i="1"/>
  <c r="CL313" i="1" s="1"/>
  <c r="CK367" i="1"/>
  <c r="CL367" i="1" s="1"/>
  <c r="CK318" i="1"/>
  <c r="CL318" i="1" s="1"/>
  <c r="CK177" i="1"/>
  <c r="CL177" i="1" s="1"/>
  <c r="CK198" i="1"/>
  <c r="CL198" i="1" s="1"/>
  <c r="CK231" i="1"/>
  <c r="CL231" i="1" s="1"/>
  <c r="CK248" i="1"/>
  <c r="CL248" i="1" s="1"/>
  <c r="CK99" i="1"/>
  <c r="CL99" i="1" s="1"/>
  <c r="CK115" i="1"/>
  <c r="CL115" i="1" s="1"/>
  <c r="CK314" i="1"/>
  <c r="CL314" i="1" s="1"/>
  <c r="CK218" i="1"/>
  <c r="CL218" i="1" s="1"/>
  <c r="CK169" i="1"/>
  <c r="CL169" i="1" s="1"/>
  <c r="CK60" i="1"/>
  <c r="CL60" i="1" s="1"/>
  <c r="CK168" i="1"/>
  <c r="CL168" i="1" s="1"/>
  <c r="CK112" i="1"/>
  <c r="CL112" i="1" s="1"/>
  <c r="CK317" i="1"/>
  <c r="CL317" i="1" s="1"/>
  <c r="CK74" i="1"/>
  <c r="CL74" i="1" s="1"/>
  <c r="CK147" i="1"/>
  <c r="CL147" i="1" s="1"/>
  <c r="CK190" i="1"/>
  <c r="CL190" i="1" s="1"/>
  <c r="CK233" i="1"/>
  <c r="CL233" i="1" s="1"/>
  <c r="CK138" i="1"/>
  <c r="CL138" i="1" s="1"/>
  <c r="CK224" i="1"/>
  <c r="CL224" i="1" s="1"/>
  <c r="CK380" i="1"/>
  <c r="CK272" i="1"/>
  <c r="CL272" i="1" s="1"/>
  <c r="CK290" i="1"/>
  <c r="CL290" i="1" s="1"/>
  <c r="CK369" i="1"/>
  <c r="CL369" i="1" s="1"/>
  <c r="CK360" i="1"/>
  <c r="CL360" i="1" s="1"/>
  <c r="CK277" i="1"/>
  <c r="CL277" i="1" s="1"/>
  <c r="CK355" i="1"/>
  <c r="CL355" i="1" s="1"/>
  <c r="CK285" i="1"/>
  <c r="CL285" i="1" s="1"/>
  <c r="CK359" i="1"/>
  <c r="CL359" i="1" s="1"/>
  <c r="CK347" i="1"/>
  <c r="CL347" i="1" s="1"/>
  <c r="CK344" i="1"/>
  <c r="CL344" i="1" s="1"/>
  <c r="CK376" i="1"/>
  <c r="CL376" i="1" s="1"/>
  <c r="CK356" i="1"/>
  <c r="CL356" i="1" s="1"/>
  <c r="CK294" i="1"/>
  <c r="CL294" i="1" s="1"/>
  <c r="CK295" i="1"/>
  <c r="CL295" i="1" s="1"/>
  <c r="CK301" i="1"/>
  <c r="CL301" i="1" s="1"/>
  <c r="CK362" i="1"/>
  <c r="CL362" i="1" s="1"/>
  <c r="CK383" i="1"/>
  <c r="CL383" i="1" s="1"/>
  <c r="CK365" i="1"/>
  <c r="CL365" i="1" s="1"/>
  <c r="CK382" i="1"/>
  <c r="CL382" i="1" s="1"/>
  <c r="CK366" i="1"/>
  <c r="CL366" i="1" s="1"/>
  <c r="CK394" i="1"/>
  <c r="CL394" i="1" s="1"/>
  <c r="CK396" i="1"/>
  <c r="CL396" i="1" s="1"/>
  <c r="CK393" i="1"/>
  <c r="CL393" i="1" s="1"/>
  <c r="CK392" i="1"/>
  <c r="CL392" i="1" s="1"/>
  <c r="CK113" i="1"/>
  <c r="CL113" i="1" s="1"/>
  <c r="CK211" i="1"/>
  <c r="CL211" i="1" s="1"/>
  <c r="CK201" i="1"/>
  <c r="CL201" i="1" s="1"/>
  <c r="CK377" i="1"/>
  <c r="CL377" i="1" s="1"/>
  <c r="CK212" i="1"/>
  <c r="CL212" i="1" s="1"/>
  <c r="CK215" i="1"/>
  <c r="CL215" i="1" s="1"/>
  <c r="CK391" i="1"/>
  <c r="CL391" i="1" s="1"/>
  <c r="CK267" i="1"/>
  <c r="CL267" i="1" s="1"/>
  <c r="CK38" i="1"/>
  <c r="CL38" i="1" s="1"/>
  <c r="CK324" i="1"/>
  <c r="CL324" i="1" s="1"/>
  <c r="CK245" i="1"/>
  <c r="CL245" i="1" s="1"/>
  <c r="CS364" i="1"/>
  <c r="BW346" i="1"/>
  <c r="CS384" i="1"/>
  <c r="BW384" i="1"/>
  <c r="CG384" i="1"/>
  <c r="CG314" i="1"/>
  <c r="CG101" i="1"/>
  <c r="CG340" i="1"/>
  <c r="CG199" i="1"/>
  <c r="CG217" i="1"/>
  <c r="CG391" i="1"/>
  <c r="CG33" i="1"/>
  <c r="CG250" i="1"/>
  <c r="CG184" i="1"/>
  <c r="CG351" i="1"/>
  <c r="CG157" i="1"/>
  <c r="CG300" i="1"/>
  <c r="CG30" i="1"/>
  <c r="CG395" i="1"/>
  <c r="CG26" i="1"/>
  <c r="CG34" i="1"/>
  <c r="CG27" i="1"/>
  <c r="CG322" i="1"/>
  <c r="CG317" i="1"/>
  <c r="CG376" i="1"/>
  <c r="CG125" i="1"/>
  <c r="CG142" i="1"/>
  <c r="CG158" i="1"/>
  <c r="CG24" i="1"/>
  <c r="CG37" i="1"/>
  <c r="CG363" i="1"/>
  <c r="CG390" i="1"/>
  <c r="CG102" i="1"/>
  <c r="BA188" i="1"/>
  <c r="BX188" i="1" s="1"/>
  <c r="Z216" i="52" s="1"/>
  <c r="AB216" i="52" s="1"/>
  <c r="CF296" i="1"/>
  <c r="CF155" i="1"/>
  <c r="CF281" i="1"/>
  <c r="CF260" i="1"/>
  <c r="CF259" i="1"/>
  <c r="T19" i="44"/>
  <c r="BV37" i="1"/>
  <c r="CS37" i="1" s="1"/>
  <c r="BV155" i="1"/>
  <c r="BW155" i="1" s="1"/>
  <c r="CN260" i="1"/>
  <c r="BT287" i="1"/>
  <c r="BT245" i="1"/>
  <c r="BV297" i="1"/>
  <c r="BW297" i="1" s="1"/>
  <c r="BV386" i="1"/>
  <c r="BW386" i="1" s="1"/>
  <c r="Y340" i="44"/>
  <c r="BW259" i="1"/>
  <c r="CS259" i="1"/>
  <c r="CG259" i="1"/>
  <c r="Y23" i="44"/>
  <c r="T35" i="44"/>
  <c r="BQ260" i="1"/>
  <c r="BT260" i="1"/>
  <c r="BZ287" i="1"/>
  <c r="CS246" i="1"/>
  <c r="BW246" i="1"/>
  <c r="CG246" i="1"/>
  <c r="CS286" i="1"/>
  <c r="BW286" i="1"/>
  <c r="CG286" i="1"/>
  <c r="BQ245" i="1"/>
  <c r="CK242" i="1"/>
  <c r="CK202" i="1"/>
  <c r="CK203" i="1"/>
  <c r="CK206" i="1"/>
  <c r="CK136" i="1"/>
  <c r="CK217" i="1"/>
  <c r="CK251" i="1"/>
  <c r="CK229" i="1"/>
  <c r="CK298" i="1"/>
  <c r="CK193" i="1"/>
  <c r="CK163" i="1"/>
  <c r="CK140" i="1"/>
  <c r="CK237" i="1"/>
  <c r="CK20" i="1"/>
  <c r="CK19" i="1"/>
  <c r="CK23" i="1"/>
  <c r="CK27" i="1"/>
  <c r="CK300" i="1"/>
  <c r="CK32" i="1"/>
  <c r="CK24" i="1"/>
  <c r="CK26" i="1"/>
  <c r="CK30" i="1"/>
  <c r="CK21" i="1"/>
  <c r="CK31" i="1"/>
  <c r="CK293" i="1"/>
  <c r="CK157" i="1"/>
  <c r="CK288" i="1"/>
  <c r="CK200" i="1"/>
  <c r="CK102" i="1"/>
  <c r="CK184" i="1"/>
  <c r="CK134" i="1"/>
  <c r="CK120" i="1"/>
  <c r="CK241" i="1"/>
  <c r="CK58" i="1"/>
  <c r="CK266" i="1"/>
  <c r="CK250" i="1"/>
  <c r="CK47" i="1"/>
  <c r="CK160" i="1"/>
  <c r="CK205" i="1"/>
  <c r="CK125" i="1"/>
  <c r="CK50" i="1"/>
  <c r="CK145" i="1"/>
  <c r="CK199" i="1"/>
  <c r="CK56" i="1"/>
  <c r="CK152" i="1"/>
  <c r="CK158" i="1"/>
  <c r="CK48" i="1"/>
  <c r="CK292" i="1"/>
  <c r="CK22" i="1"/>
  <c r="CK142" i="1"/>
  <c r="CK101" i="1"/>
  <c r="CK35" i="1"/>
  <c r="CK33" i="1"/>
  <c r="CK28" i="1"/>
  <c r="CK36" i="1"/>
  <c r="CK34" i="1"/>
  <c r="CK302" i="1"/>
  <c r="CK247" i="1"/>
  <c r="CK29" i="1"/>
  <c r="CK18" i="1"/>
  <c r="CK25" i="1"/>
  <c r="CK109" i="1"/>
  <c r="CK41" i="1"/>
  <c r="CK129" i="1"/>
  <c r="CK96" i="1"/>
  <c r="CK208" i="1"/>
  <c r="CK287" i="1"/>
  <c r="CK227" i="1"/>
  <c r="CK351" i="1"/>
  <c r="CK222" i="1"/>
  <c r="CK390" i="1"/>
  <c r="CK363" i="1"/>
  <c r="CK197" i="1"/>
  <c r="CK214" i="1"/>
  <c r="CK37" i="1"/>
  <c r="CK386" i="1"/>
  <c r="CG41" i="1"/>
  <c r="CG370" i="1"/>
  <c r="CG371" i="1"/>
  <c r="CG334" i="1"/>
  <c r="CG337" i="1"/>
  <c r="CG17" i="1"/>
  <c r="CG23" i="1"/>
  <c r="CG32" i="1"/>
  <c r="CG20" i="1"/>
  <c r="CG330" i="1"/>
  <c r="CG388" i="1"/>
  <c r="CG341" i="1"/>
  <c r="CG326" i="1"/>
  <c r="CG394" i="1"/>
  <c r="CG359" i="1"/>
  <c r="CG358" i="1"/>
  <c r="CG316" i="1"/>
  <c r="CG321" i="1"/>
  <c r="CG313" i="1"/>
  <c r="CG368" i="1"/>
  <c r="CG367" i="1"/>
  <c r="CG140" i="1"/>
  <c r="CG338" i="1"/>
  <c r="CG356" i="1"/>
  <c r="CG392" i="1"/>
  <c r="CG152" i="1"/>
  <c r="CG396" i="1"/>
  <c r="CG336" i="1"/>
  <c r="CG348" i="1"/>
  <c r="CG50" i="1"/>
  <c r="CG229" i="1"/>
  <c r="CG323" i="1"/>
  <c r="CG366" i="1"/>
  <c r="CG319" i="1"/>
  <c r="CG380" i="1"/>
  <c r="CG308" i="1"/>
  <c r="CG357" i="1"/>
  <c r="CG328" i="1"/>
  <c r="CG251" i="1"/>
  <c r="CG339" i="1"/>
  <c r="CG360" i="1"/>
  <c r="CG365" i="1"/>
  <c r="CG320" i="1"/>
  <c r="CG373" i="1"/>
  <c r="CG335" i="1"/>
  <c r="CG193" i="1"/>
  <c r="CG22" i="1"/>
  <c r="CG35" i="1"/>
  <c r="CG19" i="1"/>
  <c r="CG29" i="1"/>
  <c r="CG36" i="1"/>
  <c r="CG31" i="1"/>
  <c r="CG56" i="1"/>
  <c r="CG265" i="1"/>
  <c r="CG109" i="1"/>
  <c r="CG241" i="1"/>
  <c r="CG386" i="1"/>
  <c r="CG281" i="1"/>
  <c r="CG293" i="1"/>
  <c r="CG129" i="1"/>
  <c r="CG28" i="1"/>
  <c r="CG349" i="1"/>
  <c r="CG329" i="1"/>
  <c r="CG318" i="1"/>
  <c r="CG375" i="1"/>
  <c r="CG361" i="1"/>
  <c r="CG385" i="1"/>
  <c r="CG327" i="1"/>
  <c r="CG355" i="1"/>
  <c r="CG343" i="1"/>
  <c r="CG48" i="1"/>
  <c r="CG47" i="1"/>
  <c r="CG345" i="1"/>
  <c r="CG136" i="1"/>
  <c r="CG242" i="1"/>
  <c r="CG372" i="1"/>
  <c r="CG237" i="1"/>
  <c r="CG333" i="1"/>
  <c r="CG309" i="1"/>
  <c r="CG331" i="1"/>
  <c r="CG315" i="1"/>
  <c r="CG145" i="1"/>
  <c r="CG203" i="1"/>
  <c r="CG344" i="1"/>
  <c r="CG205" i="1"/>
  <c r="CG311" i="1"/>
  <c r="CG369" i="1"/>
  <c r="CG347" i="1"/>
  <c r="CG307" i="1"/>
  <c r="CG378" i="1"/>
  <c r="CG374" i="1"/>
  <c r="CG389" i="1"/>
  <c r="CG393" i="1"/>
  <c r="CG163" i="1"/>
  <c r="CG362" i="1"/>
  <c r="CG382" i="1"/>
  <c r="CG206" i="1"/>
  <c r="CG25" i="1"/>
  <c r="CG21" i="1"/>
  <c r="CG18" i="1"/>
  <c r="CG312" i="1"/>
  <c r="CG306" i="1"/>
  <c r="CG266" i="1"/>
  <c r="CG324" i="1"/>
  <c r="CG120" i="1"/>
  <c r="CG155" i="1"/>
  <c r="CG302" i="1"/>
  <c r="CG298" i="1"/>
  <c r="CG292" i="1"/>
  <c r="CG297" i="1"/>
  <c r="CG58" i="1"/>
  <c r="CG134" i="1"/>
  <c r="BV371" i="1"/>
  <c r="CS371" i="1" s="1"/>
  <c r="BV378" i="1"/>
  <c r="BW378" i="1" s="1"/>
  <c r="BV328" i="1"/>
  <c r="BW328" i="1" s="1"/>
  <c r="BV390" i="1"/>
  <c r="CS390" i="1" s="1"/>
  <c r="BV363" i="1"/>
  <c r="BW363" i="1" s="1"/>
  <c r="CN221" i="1"/>
  <c r="BT267" i="1"/>
  <c r="BQ221" i="1"/>
  <c r="BV347" i="1"/>
  <c r="CS347" i="1" s="1"/>
  <c r="BV392" i="1"/>
  <c r="CS392" i="1" s="1"/>
  <c r="BV385" i="1"/>
  <c r="CS385" i="1" s="1"/>
  <c r="BV331" i="1"/>
  <c r="BW331" i="1" s="1"/>
  <c r="BV324" i="1"/>
  <c r="BW324" i="1" s="1"/>
  <c r="CN377" i="1"/>
  <c r="CN215" i="1"/>
  <c r="CN287" i="1"/>
  <c r="BZ245" i="1"/>
  <c r="K301" i="42"/>
  <c r="K397" i="1"/>
  <c r="BV221" i="1"/>
  <c r="BN381" i="1"/>
  <c r="F392" i="40" s="1"/>
  <c r="BB381" i="1"/>
  <c r="BA381" i="1"/>
  <c r="BX381" i="1" s="1"/>
  <c r="BR381" i="1"/>
  <c r="BM381" i="1"/>
  <c r="G392" i="41" s="1"/>
  <c r="BS381" i="1"/>
  <c r="BL381" i="1"/>
  <c r="F392" i="41" s="1"/>
  <c r="BZ221" i="1"/>
  <c r="BL164" i="1"/>
  <c r="CN201" i="1"/>
  <c r="BQ267" i="1"/>
  <c r="BL249" i="1"/>
  <c r="Y281" i="52"/>
  <c r="CN267" i="1"/>
  <c r="BZ267" i="1"/>
  <c r="Y379" i="52"/>
  <c r="Y372" i="52"/>
  <c r="Y389" i="52"/>
  <c r="Y396" i="52"/>
  <c r="BM164" i="1"/>
  <c r="Z58" i="52"/>
  <c r="Y402" i="52"/>
  <c r="Y430" i="52"/>
  <c r="Y357" i="52"/>
  <c r="Y401" i="52"/>
  <c r="Y400" i="52"/>
  <c r="Y397" i="52"/>
  <c r="Y427" i="52"/>
  <c r="BN387" i="1"/>
  <c r="Y433" i="52"/>
  <c r="BB289" i="1"/>
  <c r="AB58" i="52"/>
  <c r="CN202" i="1"/>
  <c r="BQ287" i="1"/>
  <c r="BV281" i="1"/>
  <c r="BW281" i="1" s="1"/>
  <c r="CS102" i="1"/>
  <c r="CN208" i="1"/>
  <c r="BM289" i="1"/>
  <c r="BR289" i="1"/>
  <c r="BN289" i="1"/>
  <c r="BS289" i="1"/>
  <c r="BL289" i="1"/>
  <c r="BA289" i="1"/>
  <c r="BQ294" i="1"/>
  <c r="BQ295" i="1"/>
  <c r="BV157" i="1"/>
  <c r="BW157" i="1" s="1"/>
  <c r="CN247" i="1"/>
  <c r="CN96" i="1"/>
  <c r="BQ290" i="1"/>
  <c r="BQ291" i="1"/>
  <c r="BS274" i="1"/>
  <c r="CN42" i="1"/>
  <c r="BV129" i="1"/>
  <c r="CS129" i="1" s="1"/>
  <c r="BM249" i="1"/>
  <c r="BA249" i="1"/>
  <c r="BX249" i="1" s="1"/>
  <c r="Z281" i="52" s="1"/>
  <c r="AB281" i="52" s="1"/>
  <c r="Z250" i="52"/>
  <c r="AB250" i="52" s="1"/>
  <c r="CN160" i="1"/>
  <c r="BS249" i="1"/>
  <c r="BR249" i="1"/>
  <c r="BN249" i="1"/>
  <c r="BV58" i="1"/>
  <c r="CS58" i="1" s="1"/>
  <c r="BV120" i="1"/>
  <c r="CS120" i="1" s="1"/>
  <c r="BZ160" i="1"/>
  <c r="BZ202" i="1"/>
  <c r="BZ247" i="1"/>
  <c r="BB278" i="1"/>
  <c r="BB166" i="1"/>
  <c r="BB181" i="1"/>
  <c r="BB211" i="1"/>
  <c r="BL177" i="1"/>
  <c r="BZ227" i="1"/>
  <c r="BM190" i="1"/>
  <c r="BZ215" i="1"/>
  <c r="BB92" i="1"/>
  <c r="BZ42" i="1"/>
  <c r="BB232" i="1"/>
  <c r="BB150" i="1"/>
  <c r="BZ96" i="1"/>
  <c r="BZ288" i="1"/>
  <c r="BZ208" i="1"/>
  <c r="BB113" i="1"/>
  <c r="BS387" i="1"/>
  <c r="BL254" i="1"/>
  <c r="BZ222" i="1"/>
  <c r="BZ377" i="1"/>
  <c r="BZ200" i="1"/>
  <c r="BZ57" i="1"/>
  <c r="BZ76" i="1"/>
  <c r="BZ98" i="1"/>
  <c r="BZ107" i="1"/>
  <c r="BZ124" i="1"/>
  <c r="BZ144" i="1"/>
  <c r="BZ153" i="1"/>
  <c r="BZ264" i="1"/>
  <c r="BZ277" i="1"/>
  <c r="BZ83" i="1"/>
  <c r="BZ128" i="1"/>
  <c r="BZ132" i="1"/>
  <c r="BZ146" i="1"/>
  <c r="BZ171" i="1"/>
  <c r="BZ178" i="1"/>
  <c r="BZ186" i="1"/>
  <c r="BZ209" i="1"/>
  <c r="BZ234" i="1"/>
  <c r="BZ262" i="1"/>
  <c r="BZ174" i="1"/>
  <c r="BZ233" i="1"/>
  <c r="BZ255" i="1"/>
  <c r="BZ283" i="1"/>
  <c r="BZ295" i="1"/>
  <c r="BZ198" i="1"/>
  <c r="BZ256" i="1"/>
  <c r="BZ285" i="1"/>
  <c r="BZ75" i="1"/>
  <c r="BZ93" i="1"/>
  <c r="BZ105" i="1"/>
  <c r="BZ111" i="1"/>
  <c r="BZ115" i="1"/>
  <c r="BZ122" i="1"/>
  <c r="BZ130" i="1"/>
  <c r="BZ149" i="1"/>
  <c r="BZ213" i="1"/>
  <c r="BZ218" i="1"/>
  <c r="BZ226" i="1"/>
  <c r="BZ54" i="1"/>
  <c r="BZ63" i="1"/>
  <c r="BZ68" i="1"/>
  <c r="BZ268" i="1"/>
  <c r="BZ91" i="1"/>
  <c r="BZ64" i="1"/>
  <c r="BZ114" i="1"/>
  <c r="BZ123" i="1"/>
  <c r="BZ168" i="1"/>
  <c r="BZ66" i="1"/>
  <c r="BZ87" i="1"/>
  <c r="BZ159" i="1"/>
  <c r="BZ182" i="1"/>
  <c r="BZ223" i="1"/>
  <c r="BZ49" i="1"/>
  <c r="BZ74" i="1"/>
  <c r="BZ78" i="1"/>
  <c r="BZ100" i="1"/>
  <c r="BZ110" i="1"/>
  <c r="BZ141" i="1"/>
  <c r="BZ151" i="1"/>
  <c r="BZ252" i="1"/>
  <c r="BZ275" i="1"/>
  <c r="BZ280" i="1"/>
  <c r="BZ86" i="1"/>
  <c r="BZ131" i="1"/>
  <c r="BZ138" i="1"/>
  <c r="BZ148" i="1"/>
  <c r="BZ169" i="1"/>
  <c r="BZ176" i="1"/>
  <c r="BZ183" i="1"/>
  <c r="BZ207" i="1"/>
  <c r="BZ224" i="1"/>
  <c r="BZ236" i="1"/>
  <c r="BZ291" i="1"/>
  <c r="BZ147" i="1"/>
  <c r="BZ235" i="1"/>
  <c r="BZ261" i="1"/>
  <c r="BZ290" i="1"/>
  <c r="BZ192" i="1"/>
  <c r="BZ243" i="1"/>
  <c r="BZ263" i="1"/>
  <c r="BZ294" i="1"/>
  <c r="BZ82" i="1"/>
  <c r="BZ103" i="1"/>
  <c r="BZ106" i="1"/>
  <c r="BZ112" i="1"/>
  <c r="BZ117" i="1"/>
  <c r="BZ279" i="1"/>
  <c r="BZ135" i="1"/>
  <c r="BZ77" i="1"/>
  <c r="BZ228" i="1"/>
  <c r="BZ61" i="1"/>
  <c r="BZ65" i="1"/>
  <c r="BZ71" i="1"/>
  <c r="BZ89" i="1"/>
  <c r="BZ60" i="1"/>
  <c r="BZ69" i="1"/>
  <c r="BZ118" i="1"/>
  <c r="BZ165" i="1"/>
  <c r="BZ62" i="1"/>
  <c r="BZ72" i="1"/>
  <c r="BZ116" i="1"/>
  <c r="BZ170" i="1"/>
  <c r="BZ187" i="1"/>
  <c r="BA164" i="1"/>
  <c r="BX164" i="1" s="1"/>
  <c r="Z191" i="52" s="1"/>
  <c r="AB191" i="52" s="1"/>
  <c r="BV265" i="1"/>
  <c r="BW265" i="1" s="1"/>
  <c r="BV293" i="1"/>
  <c r="CS293" i="1" s="1"/>
  <c r="BV237" i="1"/>
  <c r="BW237" i="1" s="1"/>
  <c r="BV20" i="1"/>
  <c r="CS20" i="1" s="1"/>
  <c r="BV136" i="1"/>
  <c r="CS136" i="1" s="1"/>
  <c r="BV382" i="1"/>
  <c r="CS382" i="1" s="1"/>
  <c r="BV340" i="1"/>
  <c r="BW340" i="1" s="1"/>
  <c r="BV307" i="1"/>
  <c r="CS307" i="1" s="1"/>
  <c r="BV360" i="1"/>
  <c r="CS360" i="1" s="1"/>
  <c r="BV309" i="1"/>
  <c r="BW309" i="1" s="1"/>
  <c r="BV393" i="1"/>
  <c r="CS393" i="1" s="1"/>
  <c r="BV330" i="1"/>
  <c r="CS330" i="1" s="1"/>
  <c r="BV375" i="1"/>
  <c r="CS375" i="1" s="1"/>
  <c r="BV359" i="1"/>
  <c r="BW359" i="1" s="1"/>
  <c r="BV306" i="1"/>
  <c r="BW306" i="1" s="1"/>
  <c r="BV395" i="1"/>
  <c r="BW395" i="1" s="1"/>
  <c r="BV335" i="1"/>
  <c r="BW335" i="1" s="1"/>
  <c r="BV338" i="1"/>
  <c r="CS338" i="1" s="1"/>
  <c r="BV389" i="1"/>
  <c r="CS389" i="1" s="1"/>
  <c r="BV343" i="1"/>
  <c r="BW343" i="1" s="1"/>
  <c r="BV355" i="1"/>
  <c r="CS355" i="1" s="1"/>
  <c r="BV345" i="1"/>
  <c r="CS345" i="1" s="1"/>
  <c r="BV322" i="1"/>
  <c r="BW322" i="1" s="1"/>
  <c r="BV388" i="1"/>
  <c r="CS388" i="1" s="1"/>
  <c r="BV334" i="1"/>
  <c r="CS334" i="1" s="1"/>
  <c r="BB249" i="1"/>
  <c r="BV339" i="1"/>
  <c r="CS339" i="1" s="1"/>
  <c r="BV356" i="1"/>
  <c r="BW356" i="1" s="1"/>
  <c r="BV320" i="1"/>
  <c r="BW320" i="1" s="1"/>
  <c r="BV358" i="1"/>
  <c r="CS358" i="1" s="1"/>
  <c r="BV349" i="1"/>
  <c r="CS349" i="1" s="1"/>
  <c r="BV314" i="1"/>
  <c r="CS314" i="1" s="1"/>
  <c r="BV370" i="1"/>
  <c r="BW370" i="1" s="1"/>
  <c r="BV341" i="1"/>
  <c r="CS341" i="1" s="1"/>
  <c r="BV365" i="1"/>
  <c r="CS365" i="1" s="1"/>
  <c r="BV369" i="1"/>
  <c r="CS369" i="1" s="1"/>
  <c r="BV396" i="1"/>
  <c r="CS396" i="1" s="1"/>
  <c r="BV333" i="1"/>
  <c r="BW333" i="1" s="1"/>
  <c r="BV366" i="1"/>
  <c r="BW366" i="1" s="1"/>
  <c r="BV368" i="1"/>
  <c r="BW368" i="1" s="1"/>
  <c r="BV361" i="1"/>
  <c r="CS361" i="1" s="1"/>
  <c r="BV376" i="1"/>
  <c r="CS376" i="1" s="1"/>
  <c r="BV319" i="1"/>
  <c r="CS319" i="1" s="1"/>
  <c r="BV367" i="1"/>
  <c r="BW367" i="1" s="1"/>
  <c r="BV337" i="1"/>
  <c r="CS337" i="1" s="1"/>
  <c r="BV394" i="1"/>
  <c r="BW394" i="1" s="1"/>
  <c r="BV317" i="1"/>
  <c r="CS317" i="1" s="1"/>
  <c r="BV214" i="1"/>
  <c r="CS214" i="1" s="1"/>
  <c r="CN200" i="1"/>
  <c r="CN222" i="1"/>
  <c r="CN288" i="1"/>
  <c r="CN57" i="1"/>
  <c r="CN76" i="1"/>
  <c r="CN98" i="1"/>
  <c r="CN107" i="1"/>
  <c r="CN124" i="1"/>
  <c r="CN144" i="1"/>
  <c r="CN153" i="1"/>
  <c r="CN264" i="1"/>
  <c r="CN277" i="1"/>
  <c r="CN83" i="1"/>
  <c r="CN128" i="1"/>
  <c r="CN132" i="1"/>
  <c r="CN146" i="1"/>
  <c r="CN171" i="1"/>
  <c r="CN178" i="1"/>
  <c r="CN186" i="1"/>
  <c r="CN209" i="1"/>
  <c r="CN234" i="1"/>
  <c r="CN262" i="1"/>
  <c r="CN174" i="1"/>
  <c r="CN233" i="1"/>
  <c r="CN255" i="1"/>
  <c r="CN283" i="1"/>
  <c r="CN295" i="1"/>
  <c r="CN198" i="1"/>
  <c r="CN256" i="1"/>
  <c r="CN285" i="1"/>
  <c r="CN75" i="1"/>
  <c r="CN93" i="1"/>
  <c r="CN105" i="1"/>
  <c r="CN111" i="1"/>
  <c r="CN115" i="1"/>
  <c r="CN122" i="1"/>
  <c r="CN130" i="1"/>
  <c r="CN149" i="1"/>
  <c r="CN213" i="1"/>
  <c r="CN218" i="1"/>
  <c r="CN226" i="1"/>
  <c r="CN54" i="1"/>
  <c r="CN63" i="1"/>
  <c r="CN68" i="1"/>
  <c r="CN268" i="1"/>
  <c r="CN91" i="1"/>
  <c r="CN64" i="1"/>
  <c r="CN114" i="1"/>
  <c r="CN123" i="1"/>
  <c r="CN168" i="1"/>
  <c r="CN66" i="1"/>
  <c r="CN87" i="1"/>
  <c r="CN159" i="1"/>
  <c r="CN182" i="1"/>
  <c r="CN223" i="1"/>
  <c r="CN227" i="1"/>
  <c r="CN49" i="1"/>
  <c r="CN74" i="1"/>
  <c r="CN78" i="1"/>
  <c r="CN100" i="1"/>
  <c r="CN110" i="1"/>
  <c r="CN141" i="1"/>
  <c r="CN151" i="1"/>
  <c r="CN252" i="1"/>
  <c r="CN275" i="1"/>
  <c r="CN280" i="1"/>
  <c r="CN86" i="1"/>
  <c r="CN131" i="1"/>
  <c r="CN138" i="1"/>
  <c r="CN148" i="1"/>
  <c r="CN169" i="1"/>
  <c r="CN176" i="1"/>
  <c r="CN183" i="1"/>
  <c r="CN207" i="1"/>
  <c r="CN224" i="1"/>
  <c r="CN236" i="1"/>
  <c r="CN291" i="1"/>
  <c r="CN147" i="1"/>
  <c r="CN235" i="1"/>
  <c r="CN261" i="1"/>
  <c r="CN290" i="1"/>
  <c r="CN192" i="1"/>
  <c r="CN243" i="1"/>
  <c r="CN263" i="1"/>
  <c r="CN294" i="1"/>
  <c r="CN82" i="1"/>
  <c r="CN103" i="1"/>
  <c r="CN106" i="1"/>
  <c r="CN112" i="1"/>
  <c r="CN117" i="1"/>
  <c r="CN279" i="1"/>
  <c r="CN135" i="1"/>
  <c r="CN77" i="1"/>
  <c r="CN228" i="1"/>
  <c r="CN61" i="1"/>
  <c r="CN65" i="1"/>
  <c r="CN71" i="1"/>
  <c r="CN89" i="1"/>
  <c r="CN60" i="1"/>
  <c r="CN69" i="1"/>
  <c r="CN118" i="1"/>
  <c r="CN165" i="1"/>
  <c r="CN62" i="1"/>
  <c r="CN72" i="1"/>
  <c r="CN116" i="1"/>
  <c r="CN170" i="1"/>
  <c r="CN187" i="1"/>
  <c r="BZ201" i="1"/>
  <c r="BN212" i="1"/>
  <c r="BA212" i="1"/>
  <c r="BX212" i="1" s="1"/>
  <c r="Z242" i="52" s="1"/>
  <c r="AB242" i="52" s="1"/>
  <c r="BB212" i="1"/>
  <c r="BR212" i="1"/>
  <c r="BS212" i="1"/>
  <c r="BM212" i="1"/>
  <c r="BL212" i="1"/>
  <c r="BR164" i="1"/>
  <c r="BN164" i="1"/>
  <c r="BB164" i="1"/>
  <c r="BR190" i="1"/>
  <c r="BS164" i="1"/>
  <c r="CN188" i="1"/>
  <c r="BT201" i="1"/>
  <c r="BM254" i="1"/>
  <c r="BL190" i="1"/>
  <c r="BR92" i="1"/>
  <c r="BS92" i="1"/>
  <c r="BM92" i="1"/>
  <c r="BL92" i="1"/>
  <c r="BN92" i="1"/>
  <c r="BA92" i="1"/>
  <c r="BX92" i="1" s="1"/>
  <c r="Z115" i="52" s="1"/>
  <c r="AB115" i="52" s="1"/>
  <c r="BA383" i="1"/>
  <c r="BX383" i="1" s="1"/>
  <c r="Z430" i="52" s="1"/>
  <c r="AB430" i="52" s="1"/>
  <c r="BB383" i="1"/>
  <c r="BA310" i="1"/>
  <c r="BX310" i="1" s="1"/>
  <c r="Z357" i="52" s="1"/>
  <c r="AB357" i="52" s="1"/>
  <c r="BB310" i="1"/>
  <c r="BA354" i="1"/>
  <c r="BX354" i="1" s="1"/>
  <c r="Z402" i="52" s="1"/>
  <c r="AB402" i="52" s="1"/>
  <c r="BB354" i="1"/>
  <c r="BA248" i="1"/>
  <c r="BX248" i="1" s="1"/>
  <c r="Z280" i="52" s="1"/>
  <c r="AB280" i="52" s="1"/>
  <c r="BB248" i="1"/>
  <c r="BA258" i="1"/>
  <c r="BX258" i="1" s="1"/>
  <c r="Z291" i="52" s="1"/>
  <c r="AB291" i="52" s="1"/>
  <c r="BB258" i="1"/>
  <c r="BA80" i="1"/>
  <c r="BX80" i="1" s="1"/>
  <c r="Z103" i="52" s="1"/>
  <c r="AB103" i="52" s="1"/>
  <c r="BB80" i="1"/>
  <c r="BA191" i="1"/>
  <c r="BX191" i="1" s="1"/>
  <c r="Z218" i="52" s="1"/>
  <c r="AB218" i="52" s="1"/>
  <c r="BB191" i="1"/>
  <c r="BA219" i="1"/>
  <c r="BX219" i="1" s="1"/>
  <c r="Z249" i="52" s="1"/>
  <c r="AB249" i="52" s="1"/>
  <c r="BB219" i="1"/>
  <c r="BA240" i="1"/>
  <c r="BX240" i="1" s="1"/>
  <c r="Z273" i="52" s="1"/>
  <c r="AB273" i="52" s="1"/>
  <c r="BB240" i="1"/>
  <c r="BA180" i="1"/>
  <c r="BX180" i="1" s="1"/>
  <c r="Z208" i="52" s="1"/>
  <c r="AB208" i="52" s="1"/>
  <c r="BB180" i="1"/>
  <c r="BA271" i="1"/>
  <c r="BX271" i="1" s="1"/>
  <c r="Z303" i="52" s="1"/>
  <c r="AB303" i="52" s="1"/>
  <c r="BB271" i="1"/>
  <c r="BA238" i="1"/>
  <c r="BX238" i="1" s="1"/>
  <c r="Z271" i="52" s="1"/>
  <c r="AB271" i="52" s="1"/>
  <c r="BB238" i="1"/>
  <c r="BA53" i="1"/>
  <c r="BX53" i="1" s="1"/>
  <c r="Z77" i="52" s="1"/>
  <c r="AB77" i="52" s="1"/>
  <c r="BB53" i="1"/>
  <c r="BA95" i="1"/>
  <c r="BX95" i="1" s="1"/>
  <c r="Z118" i="52" s="1"/>
  <c r="AB118" i="52" s="1"/>
  <c r="BB95" i="1"/>
  <c r="BA99" i="1"/>
  <c r="BX99" i="1" s="1"/>
  <c r="Z122" i="52" s="1"/>
  <c r="AB122" i="52" s="1"/>
  <c r="BB99" i="1"/>
  <c r="BA284" i="1"/>
  <c r="BX284" i="1" s="1"/>
  <c r="Z317" i="52" s="1"/>
  <c r="AB317" i="52" s="1"/>
  <c r="BB284" i="1"/>
  <c r="BA154" i="1"/>
  <c r="BX154" i="1" s="1"/>
  <c r="Z181" i="52" s="1"/>
  <c r="AB181" i="52" s="1"/>
  <c r="BB154" i="1"/>
  <c r="BA185" i="1"/>
  <c r="BX185" i="1" s="1"/>
  <c r="Z213" i="52" s="1"/>
  <c r="AB213" i="52" s="1"/>
  <c r="BB185" i="1"/>
  <c r="BA332" i="1"/>
  <c r="BX332" i="1" s="1"/>
  <c r="Z379" i="52" s="1"/>
  <c r="AB379" i="52" s="1"/>
  <c r="BB332" i="1"/>
  <c r="BA325" i="1"/>
  <c r="BX325" i="1" s="1"/>
  <c r="Z372" i="52" s="1"/>
  <c r="AB372" i="52" s="1"/>
  <c r="BB325" i="1"/>
  <c r="BA216" i="1"/>
  <c r="BX216" i="1" s="1"/>
  <c r="Z246" i="52" s="1"/>
  <c r="AB246" i="52" s="1"/>
  <c r="BB216" i="1"/>
  <c r="BA55" i="1"/>
  <c r="BX55" i="1" s="1"/>
  <c r="Z79" i="52" s="1"/>
  <c r="AB79" i="52" s="1"/>
  <c r="BB55" i="1"/>
  <c r="BA342" i="1"/>
  <c r="BX342" i="1" s="1"/>
  <c r="Z389" i="52" s="1"/>
  <c r="AB389" i="52" s="1"/>
  <c r="BB342" i="1"/>
  <c r="BA231" i="1"/>
  <c r="BX231" i="1" s="1"/>
  <c r="Z263" i="52" s="1"/>
  <c r="AB263" i="52" s="1"/>
  <c r="BB231" i="1"/>
  <c r="BA81" i="1"/>
  <c r="BX81" i="1" s="1"/>
  <c r="Z104" i="52" s="1"/>
  <c r="AB104" i="52" s="1"/>
  <c r="BB81" i="1"/>
  <c r="BA239" i="1"/>
  <c r="BX239" i="1" s="1"/>
  <c r="Z272" i="52" s="1"/>
  <c r="AB272" i="52" s="1"/>
  <c r="BB239" i="1"/>
  <c r="BA85" i="1"/>
  <c r="BX85" i="1" s="1"/>
  <c r="Z108" i="52" s="1"/>
  <c r="AB108" i="52" s="1"/>
  <c r="BB85" i="1"/>
  <c r="BA379" i="1"/>
  <c r="BX379" i="1" s="1"/>
  <c r="Z427" i="52" s="1"/>
  <c r="AB427" i="52" s="1"/>
  <c r="BB379" i="1"/>
  <c r="BA244" i="1"/>
  <c r="BX244" i="1" s="1"/>
  <c r="Z277" i="52" s="1"/>
  <c r="AB277" i="52" s="1"/>
  <c r="BB244" i="1"/>
  <c r="BA94" i="1"/>
  <c r="BX94" i="1" s="1"/>
  <c r="Z117" i="52" s="1"/>
  <c r="AB117" i="52" s="1"/>
  <c r="BB94" i="1"/>
  <c r="BA156" i="1"/>
  <c r="BX156" i="1" s="1"/>
  <c r="Z183" i="52" s="1"/>
  <c r="AB183" i="52" s="1"/>
  <c r="BB156" i="1"/>
  <c r="BA177" i="1"/>
  <c r="BX177" i="1" s="1"/>
  <c r="Z205" i="52" s="1"/>
  <c r="AB205" i="52" s="1"/>
  <c r="BB177" i="1"/>
  <c r="Z396" i="52"/>
  <c r="AB396" i="52" s="1"/>
  <c r="BA190" i="1"/>
  <c r="BX190" i="1" s="1"/>
  <c r="Z217" i="52" s="1"/>
  <c r="AB217" i="52" s="1"/>
  <c r="BB190" i="1"/>
  <c r="BB274" i="1"/>
  <c r="BA137" i="1"/>
  <c r="BX137" i="1" s="1"/>
  <c r="Z164" i="52" s="1"/>
  <c r="AB164" i="52" s="1"/>
  <c r="BB137" i="1"/>
  <c r="BA353" i="1"/>
  <c r="BX353" i="1" s="1"/>
  <c r="Z401" i="52" s="1"/>
  <c r="AB401" i="52" s="1"/>
  <c r="BB353" i="1"/>
  <c r="BA175" i="1"/>
  <c r="BX175" i="1" s="1"/>
  <c r="Z202" i="52" s="1"/>
  <c r="AB202" i="52" s="1"/>
  <c r="BB175" i="1"/>
  <c r="BA195" i="1"/>
  <c r="BX195" i="1" s="1"/>
  <c r="Z223" i="52" s="1"/>
  <c r="AB223" i="52" s="1"/>
  <c r="BB195" i="1"/>
  <c r="BA196" i="1"/>
  <c r="BX196" i="1" s="1"/>
  <c r="Z224" i="52" s="1"/>
  <c r="AB224" i="52" s="1"/>
  <c r="BB196" i="1"/>
  <c r="BA179" i="1"/>
  <c r="BX179" i="1" s="1"/>
  <c r="Z207" i="52" s="1"/>
  <c r="AB207" i="52" s="1"/>
  <c r="BB179" i="1"/>
  <c r="BA210" i="1"/>
  <c r="BX210" i="1" s="1"/>
  <c r="Z240" i="52" s="1"/>
  <c r="AB240" i="52" s="1"/>
  <c r="BB210" i="1"/>
  <c r="BA194" i="1"/>
  <c r="BX194" i="1" s="1"/>
  <c r="Z222" i="52" s="1"/>
  <c r="AB222" i="52" s="1"/>
  <c r="BB194" i="1"/>
  <c r="BA126" i="1"/>
  <c r="BX126" i="1" s="1"/>
  <c r="Z150" i="52" s="1"/>
  <c r="AB150" i="52" s="1"/>
  <c r="BB126" i="1"/>
  <c r="BA172" i="1"/>
  <c r="BX172" i="1" s="1"/>
  <c r="Z199" i="52" s="1"/>
  <c r="AB199" i="52" s="1"/>
  <c r="BB172" i="1"/>
  <c r="BA73" i="1"/>
  <c r="BX73" i="1" s="1"/>
  <c r="Z96" i="52" s="1"/>
  <c r="AB96" i="52" s="1"/>
  <c r="BB73" i="1"/>
  <c r="Z238" i="52"/>
  <c r="AB238" i="52" s="1"/>
  <c r="BA270" i="1"/>
  <c r="BX270" i="1" s="1"/>
  <c r="Z302" i="52" s="1"/>
  <c r="AB302" i="52" s="1"/>
  <c r="BB270" i="1"/>
  <c r="BA269" i="1"/>
  <c r="BX269" i="1" s="1"/>
  <c r="Z301" i="52" s="1"/>
  <c r="AB301" i="52" s="1"/>
  <c r="BB269" i="1"/>
  <c r="BA97" i="1"/>
  <c r="BX97" i="1" s="1"/>
  <c r="Z120" i="52" s="1"/>
  <c r="AB120" i="52" s="1"/>
  <c r="BB97" i="1"/>
  <c r="BA276" i="1"/>
  <c r="BX276" i="1" s="1"/>
  <c r="Z309" i="52" s="1"/>
  <c r="AB309" i="52" s="1"/>
  <c r="BB276" i="1"/>
  <c r="BA173" i="1"/>
  <c r="BX173" i="1" s="1"/>
  <c r="Z200" i="52" s="1"/>
  <c r="AB200" i="52" s="1"/>
  <c r="BB173" i="1"/>
  <c r="BA162" i="1"/>
  <c r="BX162" i="1" s="1"/>
  <c r="Z189" i="52" s="1"/>
  <c r="AB189" i="52" s="1"/>
  <c r="BB162" i="1"/>
  <c r="BA352" i="1"/>
  <c r="BX352" i="1" s="1"/>
  <c r="Z400" i="52" s="1"/>
  <c r="AB400" i="52" s="1"/>
  <c r="BB352" i="1"/>
  <c r="BA88" i="1"/>
  <c r="BX88" i="1" s="1"/>
  <c r="Z111" i="52" s="1"/>
  <c r="AB111" i="52" s="1"/>
  <c r="BB88" i="1"/>
  <c r="Z332" i="52"/>
  <c r="AB332" i="52" s="1"/>
  <c r="BA273" i="1"/>
  <c r="BX273" i="1" s="1"/>
  <c r="Z306" i="52" s="1"/>
  <c r="AB306" i="52" s="1"/>
  <c r="BB273" i="1"/>
  <c r="BA79" i="1"/>
  <c r="BX79" i="1" s="1"/>
  <c r="Z102" i="52" s="1"/>
  <c r="AB102" i="52" s="1"/>
  <c r="BB79" i="1"/>
  <c r="BA296" i="1"/>
  <c r="BX296" i="1" s="1"/>
  <c r="Z329" i="52" s="1"/>
  <c r="AB329" i="52" s="1"/>
  <c r="BB296" i="1"/>
  <c r="BB230" i="1"/>
  <c r="BM301" i="1"/>
  <c r="BB301" i="1"/>
  <c r="BA350" i="1"/>
  <c r="BX350" i="1" s="1"/>
  <c r="Z397" i="52" s="1"/>
  <c r="AB397" i="52" s="1"/>
  <c r="BB350" i="1"/>
  <c r="BA282" i="1"/>
  <c r="BX282" i="1" s="1"/>
  <c r="Z315" i="52" s="1"/>
  <c r="AB315" i="52" s="1"/>
  <c r="BB282" i="1"/>
  <c r="BA272" i="1"/>
  <c r="BX272" i="1" s="1"/>
  <c r="Z305" i="52" s="1"/>
  <c r="AB305" i="52" s="1"/>
  <c r="BB272" i="1"/>
  <c r="BS52" i="1"/>
  <c r="BB52" i="1"/>
  <c r="BA204" i="1"/>
  <c r="BX204" i="1" s="1"/>
  <c r="Z232" i="52" s="1"/>
  <c r="AB232" i="52" s="1"/>
  <c r="BB204" i="1"/>
  <c r="BA167" i="1"/>
  <c r="BX167" i="1" s="1"/>
  <c r="Z194" i="52" s="1"/>
  <c r="AB194" i="52" s="1"/>
  <c r="BB167" i="1"/>
  <c r="BA387" i="1"/>
  <c r="BX387" i="1" s="1"/>
  <c r="Z433" i="52" s="1"/>
  <c r="AB433" i="52" s="1"/>
  <c r="BB387" i="1"/>
  <c r="BS254" i="1"/>
  <c r="BB254" i="1"/>
  <c r="BN274" i="1"/>
  <c r="BM274" i="1"/>
  <c r="BQ201" i="1"/>
  <c r="BQ377" i="1"/>
  <c r="BT377" i="1"/>
  <c r="BV315" i="1"/>
  <c r="BW315" i="1" s="1"/>
  <c r="BV323" i="1"/>
  <c r="CS323" i="1" s="1"/>
  <c r="BV313" i="1"/>
  <c r="BW313" i="1" s="1"/>
  <c r="BV372" i="1"/>
  <c r="BW372" i="1" s="1"/>
  <c r="BV321" i="1"/>
  <c r="CS321" i="1" s="1"/>
  <c r="BV326" i="1"/>
  <c r="CS326" i="1" s="1"/>
  <c r="BV329" i="1"/>
  <c r="BW329" i="1" s="1"/>
  <c r="BV318" i="1"/>
  <c r="BW318" i="1" s="1"/>
  <c r="BV327" i="1"/>
  <c r="CS327" i="1" s="1"/>
  <c r="BV316" i="1"/>
  <c r="CS316" i="1" s="1"/>
  <c r="BN190" i="1"/>
  <c r="BS190" i="1"/>
  <c r="BN244" i="1"/>
  <c r="BR254" i="1"/>
  <c r="BN254" i="1"/>
  <c r="BW102" i="1"/>
  <c r="G310" i="36"/>
  <c r="BV31" i="1"/>
  <c r="CS31" i="1" s="1"/>
  <c r="BV206" i="1"/>
  <c r="BW206" i="1" s="1"/>
  <c r="BV29" i="1"/>
  <c r="CS29" i="1" s="1"/>
  <c r="BV292" i="1"/>
  <c r="BW292" i="1" s="1"/>
  <c r="BV193" i="1"/>
  <c r="CS193" i="1" s="1"/>
  <c r="BV163" i="1"/>
  <c r="CS163" i="1" s="1"/>
  <c r="BV203" i="1"/>
  <c r="CS203" i="1" s="1"/>
  <c r="BV152" i="1"/>
  <c r="CS152" i="1" s="1"/>
  <c r="BV56" i="1"/>
  <c r="CS56" i="1" s="1"/>
  <c r="BV27" i="1"/>
  <c r="CS27" i="1" s="1"/>
  <c r="BV28" i="1"/>
  <c r="CS28" i="1" s="1"/>
  <c r="BV32" i="1"/>
  <c r="CS32" i="1" s="1"/>
  <c r="BV41" i="1"/>
  <c r="CS41" i="1" s="1"/>
  <c r="BV36" i="1"/>
  <c r="CS36" i="1" s="1"/>
  <c r="BV33" i="1"/>
  <c r="CS33" i="1" s="1"/>
  <c r="BV24" i="1"/>
  <c r="CS24" i="1" s="1"/>
  <c r="BV199" i="1"/>
  <c r="CS199" i="1" s="1"/>
  <c r="BV158" i="1"/>
  <c r="CS158" i="1" s="1"/>
  <c r="BV300" i="1"/>
  <c r="BW300" i="1" s="1"/>
  <c r="BV140" i="1"/>
  <c r="CS140" i="1" s="1"/>
  <c r="BV391" i="1"/>
  <c r="CS391" i="1" s="1"/>
  <c r="BV357" i="1"/>
  <c r="CS357" i="1" s="1"/>
  <c r="BV362" i="1"/>
  <c r="CS362" i="1" s="1"/>
  <c r="BV374" i="1"/>
  <c r="BW374" i="1" s="1"/>
  <c r="BV344" i="1"/>
  <c r="BW344" i="1" s="1"/>
  <c r="BV184" i="1"/>
  <c r="CS184" i="1" s="1"/>
  <c r="BV266" i="1"/>
  <c r="CS266" i="1" s="1"/>
  <c r="BV197" i="1"/>
  <c r="BW197" i="1" s="1"/>
  <c r="BV19" i="1"/>
  <c r="BW19" i="1" s="1"/>
  <c r="BV302" i="1"/>
  <c r="CS302" i="1" s="1"/>
  <c r="BV22" i="1"/>
  <c r="CS22" i="1" s="1"/>
  <c r="BV298" i="1"/>
  <c r="CS298" i="1" s="1"/>
  <c r="BV251" i="1"/>
  <c r="CS251" i="1" s="1"/>
  <c r="BV217" i="1"/>
  <c r="CS217" i="1" s="1"/>
  <c r="BV229" i="1"/>
  <c r="CS229" i="1" s="1"/>
  <c r="BV145" i="1"/>
  <c r="CS145" i="1" s="1"/>
  <c r="BV47" i="1"/>
  <c r="BW47" i="1" s="1"/>
  <c r="BV101" i="1"/>
  <c r="CS101" i="1" s="1"/>
  <c r="BV26" i="1"/>
  <c r="CS26" i="1" s="1"/>
  <c r="BV23" i="1"/>
  <c r="CS23" i="1" s="1"/>
  <c r="BV30" i="1"/>
  <c r="CS30" i="1" s="1"/>
  <c r="BV34" i="1"/>
  <c r="CS34" i="1" s="1"/>
  <c r="BV109" i="1"/>
  <c r="BW109" i="1" s="1"/>
  <c r="BV250" i="1"/>
  <c r="BW250" i="1" s="1"/>
  <c r="BV25" i="1"/>
  <c r="CS25" i="1" s="1"/>
  <c r="BV21" i="1"/>
  <c r="CS21" i="1" s="1"/>
  <c r="BV35" i="1"/>
  <c r="CS35" i="1" s="1"/>
  <c r="BV242" i="1"/>
  <c r="BW242" i="1" s="1"/>
  <c r="BV50" i="1"/>
  <c r="CS50" i="1" s="1"/>
  <c r="BV205" i="1"/>
  <c r="CS205" i="1" s="1"/>
  <c r="BV142" i="1"/>
  <c r="BW142" i="1" s="1"/>
  <c r="BV125" i="1"/>
  <c r="CS125" i="1" s="1"/>
  <c r="BV48" i="1"/>
  <c r="BW48" i="1" s="1"/>
  <c r="BV241" i="1"/>
  <c r="BW241" i="1" s="1"/>
  <c r="BV311" i="1"/>
  <c r="CS311" i="1" s="1"/>
  <c r="BV308" i="1"/>
  <c r="CS308" i="1" s="1"/>
  <c r="BV373" i="1"/>
  <c r="CS373" i="1" s="1"/>
  <c r="BV348" i="1"/>
  <c r="BW348" i="1" s="1"/>
  <c r="BV336" i="1"/>
  <c r="BW336" i="1" s="1"/>
  <c r="BV312" i="1"/>
  <c r="BW312" i="1" s="1"/>
  <c r="BV351" i="1"/>
  <c r="CS351" i="1" s="1"/>
  <c r="BL274" i="1"/>
  <c r="BR274" i="1"/>
  <c r="BA274" i="1"/>
  <c r="BX274" i="1" s="1"/>
  <c r="Z307" i="52" s="1"/>
  <c r="AB307" i="52" s="1"/>
  <c r="BT215" i="1"/>
  <c r="BQ215" i="1"/>
  <c r="BV134" i="1"/>
  <c r="CS134" i="1" s="1"/>
  <c r="BQ200" i="1"/>
  <c r="BR177" i="1"/>
  <c r="BT222" i="1"/>
  <c r="BL94" i="1"/>
  <c r="BR387" i="1"/>
  <c r="BQ222" i="1"/>
  <c r="BL387" i="1"/>
  <c r="F398" i="41" s="1"/>
  <c r="BM387" i="1"/>
  <c r="G398" i="41" s="1"/>
  <c r="BQ227" i="1"/>
  <c r="BT200" i="1"/>
  <c r="BT227" i="1"/>
  <c r="BL167" i="1"/>
  <c r="BM244" i="1"/>
  <c r="BM177" i="1"/>
  <c r="BS244" i="1"/>
  <c r="BL244" i="1"/>
  <c r="BT42" i="1"/>
  <c r="G38" i="36" s="1"/>
  <c r="BS282" i="1"/>
  <c r="BS177" i="1"/>
  <c r="BR244" i="1"/>
  <c r="BN177" i="1"/>
  <c r="BA254" i="1"/>
  <c r="BX254" i="1" s="1"/>
  <c r="Z287" i="52" s="1"/>
  <c r="AB287" i="52" s="1"/>
  <c r="BV18" i="1"/>
  <c r="CS18" i="1" s="1"/>
  <c r="BS81" i="1"/>
  <c r="BN156" i="1"/>
  <c r="BT243" i="1"/>
  <c r="BT256" i="1"/>
  <c r="BT263" i="1"/>
  <c r="BT75" i="1"/>
  <c r="BT103" i="1"/>
  <c r="BT106" i="1"/>
  <c r="BT111" i="1"/>
  <c r="BT149" i="1"/>
  <c r="BT202" i="1"/>
  <c r="BT213" i="1"/>
  <c r="BT77" i="1"/>
  <c r="BT218" i="1"/>
  <c r="BT54" i="1"/>
  <c r="BT61" i="1"/>
  <c r="BT63" i="1"/>
  <c r="BT71" i="1"/>
  <c r="BT91" i="1"/>
  <c r="BT64" i="1"/>
  <c r="BT87" i="1"/>
  <c r="BT174" i="1"/>
  <c r="BT192" i="1"/>
  <c r="BT82" i="1"/>
  <c r="BT93" i="1"/>
  <c r="BT105" i="1"/>
  <c r="BT130" i="1"/>
  <c r="BT226" i="1"/>
  <c r="BT65" i="1"/>
  <c r="BT68" i="1"/>
  <c r="BT268" i="1"/>
  <c r="BT89" i="1"/>
  <c r="BT60" i="1"/>
  <c r="BT69" i="1"/>
  <c r="BT114" i="1"/>
  <c r="BT118" i="1"/>
  <c r="BT123" i="1"/>
  <c r="BT165" i="1"/>
  <c r="BT168" i="1"/>
  <c r="BT62" i="1"/>
  <c r="BT66" i="1"/>
  <c r="BT72" i="1"/>
  <c r="BT116" i="1"/>
  <c r="BT170" i="1"/>
  <c r="BT182" i="1"/>
  <c r="BT223" i="1"/>
  <c r="BT290" i="1"/>
  <c r="BT115" i="1"/>
  <c r="BT233" i="1"/>
  <c r="BT83" i="1"/>
  <c r="BT283" i="1"/>
  <c r="BT198" i="1"/>
  <c r="BT112" i="1"/>
  <c r="BT117" i="1"/>
  <c r="BT228" i="1"/>
  <c r="BT183" i="1"/>
  <c r="BT141" i="1"/>
  <c r="BT151" i="1"/>
  <c r="BT277" i="1"/>
  <c r="BT78" i="1"/>
  <c r="BT98" i="1"/>
  <c r="BT176" i="1"/>
  <c r="BT236" i="1"/>
  <c r="BT262" i="1"/>
  <c r="BT49" i="1"/>
  <c r="BT235" i="1"/>
  <c r="BT261" i="1"/>
  <c r="BT160" i="1"/>
  <c r="BT128" i="1"/>
  <c r="BT147" i="1"/>
  <c r="BT138" i="1"/>
  <c r="BT234" i="1"/>
  <c r="BT207" i="1"/>
  <c r="BT294" i="1"/>
  <c r="BT100" i="1"/>
  <c r="BT144" i="1"/>
  <c r="BT280" i="1"/>
  <c r="BT178" i="1"/>
  <c r="BT186" i="1"/>
  <c r="BT131" i="1"/>
  <c r="BT247" i="1"/>
  <c r="BT288" i="1"/>
  <c r="BT159" i="1"/>
  <c r="BT187" i="1"/>
  <c r="BT255" i="1"/>
  <c r="BT135" i="1"/>
  <c r="BT122" i="1"/>
  <c r="BT295" i="1"/>
  <c r="BT285" i="1"/>
  <c r="BT279" i="1"/>
  <c r="BT146" i="1"/>
  <c r="BT224" i="1"/>
  <c r="BT124" i="1"/>
  <c r="BT107" i="1"/>
  <c r="BT132" i="1"/>
  <c r="BT169" i="1"/>
  <c r="BT188" i="1"/>
  <c r="BT252" i="1"/>
  <c r="BT76" i="1"/>
  <c r="BT171" i="1"/>
  <c r="BT291" i="1"/>
  <c r="BT74" i="1"/>
  <c r="BT57" i="1"/>
  <c r="BT275" i="1"/>
  <c r="BT86" i="1"/>
  <c r="BT153" i="1"/>
  <c r="BT110" i="1"/>
  <c r="BT264" i="1"/>
  <c r="BT209" i="1"/>
  <c r="BT148" i="1"/>
  <c r="BT96" i="1"/>
  <c r="BT208" i="1"/>
  <c r="BS156" i="1"/>
  <c r="BL156" i="1"/>
  <c r="BR156" i="1"/>
  <c r="BA211" i="1"/>
  <c r="BX211" i="1" s="1"/>
  <c r="Z241" i="52" s="1"/>
  <c r="AB241" i="52" s="1"/>
  <c r="BN211" i="1"/>
  <c r="BL211" i="1"/>
  <c r="BM211" i="1"/>
  <c r="BR211" i="1"/>
  <c r="BS211" i="1"/>
  <c r="BM156" i="1"/>
  <c r="BA113" i="1"/>
  <c r="BX113" i="1" s="1"/>
  <c r="Z137" i="52" s="1"/>
  <c r="AB137" i="52" s="1"/>
  <c r="BN113" i="1"/>
  <c r="BL113" i="1"/>
  <c r="BM113" i="1"/>
  <c r="BR113" i="1"/>
  <c r="BS113" i="1"/>
  <c r="BM350" i="1"/>
  <c r="G361" i="41" s="1"/>
  <c r="BQ208" i="1"/>
  <c r="BQ288" i="1"/>
  <c r="BR52" i="1"/>
  <c r="BR181" i="1"/>
  <c r="BL181" i="1"/>
  <c r="BS181" i="1"/>
  <c r="BN181" i="1"/>
  <c r="BA181" i="1"/>
  <c r="BX181" i="1" s="1"/>
  <c r="Z209" i="52" s="1"/>
  <c r="AB209" i="52" s="1"/>
  <c r="BM181" i="1"/>
  <c r="BR282" i="1"/>
  <c r="BM167" i="1"/>
  <c r="BS167" i="1"/>
  <c r="BN167" i="1"/>
  <c r="BR167" i="1"/>
  <c r="BR85" i="1"/>
  <c r="BN301" i="1"/>
  <c r="BS272" i="1"/>
  <c r="BL85" i="1"/>
  <c r="BL272" i="1"/>
  <c r="BS350" i="1"/>
  <c r="BM231" i="1"/>
  <c r="BL204" i="1"/>
  <c r="BS204" i="1"/>
  <c r="BM204" i="1"/>
  <c r="BR231" i="1"/>
  <c r="BS239" i="1"/>
  <c r="BS379" i="1"/>
  <c r="BM239" i="1"/>
  <c r="BR94" i="1"/>
  <c r="BR81" i="1"/>
  <c r="BL239" i="1"/>
  <c r="BN94" i="1"/>
  <c r="BR379" i="1"/>
  <c r="BL342" i="1"/>
  <c r="F353" i="41" s="1"/>
  <c r="BM81" i="1"/>
  <c r="BL81" i="1"/>
  <c r="BN81" i="1"/>
  <c r="BS94" i="1"/>
  <c r="BM94" i="1"/>
  <c r="BN379" i="1"/>
  <c r="F390" i="40" s="1"/>
  <c r="BM379" i="1"/>
  <c r="G390" i="41" s="1"/>
  <c r="BN85" i="1"/>
  <c r="BR301" i="1"/>
  <c r="BL379" i="1"/>
  <c r="F390" i="41" s="1"/>
  <c r="BL350" i="1"/>
  <c r="F361" i="41" s="1"/>
  <c r="BM85" i="1"/>
  <c r="BS85" i="1"/>
  <c r="BN52" i="1"/>
  <c r="BR239" i="1"/>
  <c r="BS231" i="1"/>
  <c r="BN204" i="1"/>
  <c r="BR204" i="1"/>
  <c r="BN231" i="1"/>
  <c r="BN239" i="1"/>
  <c r="BS342" i="1"/>
  <c r="BN342" i="1"/>
  <c r="F353" i="40" s="1"/>
  <c r="BM342" i="1"/>
  <c r="G353" i="41" s="1"/>
  <c r="BR342" i="1"/>
  <c r="BA52" i="1"/>
  <c r="BX52" i="1" s="1"/>
  <c r="Z76" i="52" s="1"/>
  <c r="AB76" i="52" s="1"/>
  <c r="BM52" i="1"/>
  <c r="BL52" i="1"/>
  <c r="BL282" i="1"/>
  <c r="BN282" i="1"/>
  <c r="BM282" i="1"/>
  <c r="BM272" i="1"/>
  <c r="BR272" i="1"/>
  <c r="BR350" i="1"/>
  <c r="BN272" i="1"/>
  <c r="BN350" i="1"/>
  <c r="F361" i="40" s="1"/>
  <c r="BL301" i="1"/>
  <c r="BS301" i="1"/>
  <c r="BR230" i="1"/>
  <c r="BS278" i="1"/>
  <c r="BN278" i="1"/>
  <c r="BA166" i="1"/>
  <c r="BX166" i="1" s="1"/>
  <c r="Z193" i="52" s="1"/>
  <c r="AB193" i="52" s="1"/>
  <c r="BR166" i="1"/>
  <c r="BA150" i="1"/>
  <c r="BX150" i="1" s="1"/>
  <c r="Z177" i="52" s="1"/>
  <c r="AB177" i="52" s="1"/>
  <c r="BS150" i="1"/>
  <c r="BM150" i="1"/>
  <c r="BL278" i="1"/>
  <c r="BL231" i="1"/>
  <c r="BA301" i="1"/>
  <c r="BX301" i="1" s="1"/>
  <c r="Z333" i="52" s="1"/>
  <c r="AB333" i="52" s="1"/>
  <c r="BL150" i="1"/>
  <c r="BL166" i="1"/>
  <c r="BM278" i="1"/>
  <c r="BM230" i="1"/>
  <c r="BN230" i="1"/>
  <c r="BM166" i="1"/>
  <c r="BN150" i="1"/>
  <c r="BR150" i="1"/>
  <c r="BS166" i="1"/>
  <c r="BN166" i="1"/>
  <c r="BR278" i="1"/>
  <c r="BL230" i="1"/>
  <c r="BS230" i="1"/>
  <c r="BQ96" i="1"/>
  <c r="BA230" i="1"/>
  <c r="BX230" i="1" s="1"/>
  <c r="Z262" i="52" s="1"/>
  <c r="AB262" i="52" s="1"/>
  <c r="BA278" i="1"/>
  <c r="BX278" i="1" s="1"/>
  <c r="Z311" i="52" s="1"/>
  <c r="AB311" i="52" s="1"/>
  <c r="AM42" i="1"/>
  <c r="G38" i="37"/>
  <c r="K38" i="37" s="1"/>
  <c r="J42" i="44"/>
  <c r="M17" i="44"/>
  <c r="Q17" i="44"/>
  <c r="N42" i="44"/>
  <c r="K42" i="44"/>
  <c r="L42" i="44"/>
  <c r="O42" i="44"/>
  <c r="F38" i="41"/>
  <c r="F38" i="37"/>
  <c r="G38" i="41"/>
  <c r="K38" i="41" s="1"/>
  <c r="F38" i="40"/>
  <c r="H38" i="40" s="1"/>
  <c r="BQ247" i="1"/>
  <c r="BL232" i="1"/>
  <c r="BR232" i="1"/>
  <c r="BN232" i="1"/>
  <c r="BM55" i="1"/>
  <c r="BR55" i="1"/>
  <c r="BX42" i="1"/>
  <c r="BN55" i="1"/>
  <c r="BL55" i="1"/>
  <c r="BS55" i="1"/>
  <c r="BS232" i="1"/>
  <c r="BM232" i="1"/>
  <c r="BA232" i="1"/>
  <c r="BX232" i="1" s="1"/>
  <c r="Z264" i="52" s="1"/>
  <c r="AB264" i="52" s="1"/>
  <c r="BN270" i="1"/>
  <c r="BR185" i="1"/>
  <c r="BN332" i="1"/>
  <c r="F343" i="40" s="1"/>
  <c r="BS325" i="1"/>
  <c r="BM273" i="1"/>
  <c r="BR296" i="1"/>
  <c r="BN172" i="1"/>
  <c r="BN73" i="1"/>
  <c r="BN173" i="1"/>
  <c r="BN162" i="1"/>
  <c r="BN88" i="1"/>
  <c r="BS79" i="1"/>
  <c r="BM79" i="1"/>
  <c r="BN79" i="1"/>
  <c r="BR79" i="1"/>
  <c r="BL79" i="1"/>
  <c r="BS273" i="1"/>
  <c r="BM296" i="1"/>
  <c r="BS296" i="1"/>
  <c r="BN296" i="1"/>
  <c r="BL273" i="1"/>
  <c r="BL296" i="1"/>
  <c r="BN273" i="1"/>
  <c r="BR273" i="1"/>
  <c r="BM352" i="1"/>
  <c r="G363" i="41" s="1"/>
  <c r="BM325" i="1"/>
  <c r="G336" i="41" s="1"/>
  <c r="BM332" i="1"/>
  <c r="G343" i="41" s="1"/>
  <c r="BN216" i="1"/>
  <c r="BN325" i="1"/>
  <c r="F336" i="40" s="1"/>
  <c r="BL332" i="1"/>
  <c r="F343" i="41" s="1"/>
  <c r="BQ207" i="1"/>
  <c r="BQ131" i="1"/>
  <c r="BQ186" i="1"/>
  <c r="BQ153" i="1"/>
  <c r="BR216" i="1"/>
  <c r="BQ280" i="1"/>
  <c r="BQ144" i="1"/>
  <c r="BM88" i="1"/>
  <c r="BR325" i="1"/>
  <c r="BL325" i="1"/>
  <c r="F336" i="41" s="1"/>
  <c r="BR332" i="1"/>
  <c r="BS332" i="1"/>
  <c r="BR97" i="1"/>
  <c r="BQ262" i="1"/>
  <c r="BQ132" i="1"/>
  <c r="BM73" i="1"/>
  <c r="BQ86" i="1"/>
  <c r="BQ275" i="1"/>
  <c r="BL216" i="1"/>
  <c r="BM216" i="1"/>
  <c r="BS216" i="1"/>
  <c r="BL73" i="1"/>
  <c r="BQ236" i="1"/>
  <c r="BQ76" i="1"/>
  <c r="BQ49" i="1"/>
  <c r="BQ100" i="1"/>
  <c r="BQ138" i="1"/>
  <c r="BQ264" i="1"/>
  <c r="BL352" i="1"/>
  <c r="F363" i="41" s="1"/>
  <c r="BQ228" i="1"/>
  <c r="BQ277" i="1"/>
  <c r="BQ110" i="1"/>
  <c r="BQ178" i="1"/>
  <c r="BL172" i="1"/>
  <c r="BQ147" i="1"/>
  <c r="BM97" i="1"/>
  <c r="BQ234" i="1"/>
  <c r="BQ57" i="1"/>
  <c r="BQ148" i="1"/>
  <c r="BQ171" i="1"/>
  <c r="BQ209" i="1"/>
  <c r="BQ83" i="1"/>
  <c r="BQ74" i="1"/>
  <c r="BQ176" i="1"/>
  <c r="BQ151" i="1"/>
  <c r="BQ174" i="1"/>
  <c r="BQ141" i="1"/>
  <c r="BQ124" i="1"/>
  <c r="BQ78" i="1"/>
  <c r="BQ98" i="1"/>
  <c r="BR88" i="1"/>
  <c r="BS88" i="1"/>
  <c r="BL88" i="1"/>
  <c r="BQ252" i="1"/>
  <c r="BL271" i="1"/>
  <c r="BS271" i="1"/>
  <c r="BS73" i="1"/>
  <c r="BR73" i="1"/>
  <c r="BL95" i="1"/>
  <c r="BL97" i="1"/>
  <c r="BS97" i="1"/>
  <c r="BN97" i="1"/>
  <c r="BL99" i="1"/>
  <c r="BR284" i="1"/>
  <c r="BN185" i="1"/>
  <c r="BS352" i="1"/>
  <c r="BN352" i="1"/>
  <c r="F363" i="40" s="1"/>
  <c r="BR352" i="1"/>
  <c r="BQ135" i="1"/>
  <c r="BQ63" i="1"/>
  <c r="BQ89" i="1"/>
  <c r="BQ128" i="1"/>
  <c r="BQ263" i="1"/>
  <c r="BN276" i="1"/>
  <c r="BL185" i="1"/>
  <c r="BS173" i="1"/>
  <c r="BQ198" i="1"/>
  <c r="BQ107" i="1"/>
  <c r="BQ169" i="1"/>
  <c r="BQ224" i="1"/>
  <c r="AW400" i="1"/>
  <c r="BR42" i="1"/>
  <c r="H38" i="37" s="1"/>
  <c r="BS172" i="1"/>
  <c r="BQ243" i="1"/>
  <c r="BS95" i="1"/>
  <c r="BQ112" i="1"/>
  <c r="BL276" i="1"/>
  <c r="BM276" i="1"/>
  <c r="BR276" i="1"/>
  <c r="BS276" i="1"/>
  <c r="BN284" i="1"/>
  <c r="BM185" i="1"/>
  <c r="BS185" i="1"/>
  <c r="BL284" i="1"/>
  <c r="BL162" i="1"/>
  <c r="BN99" i="1"/>
  <c r="BN95" i="1"/>
  <c r="BM154" i="1"/>
  <c r="BL42" i="1"/>
  <c r="H38" i="41" s="1"/>
  <c r="BR95" i="1"/>
  <c r="BN154" i="1"/>
  <c r="BS99" i="1"/>
  <c r="BR270" i="1"/>
  <c r="BQ256" i="1"/>
  <c r="BQ285" i="1"/>
  <c r="BV380" i="1"/>
  <c r="CS380" i="1" s="1"/>
  <c r="BR173" i="1"/>
  <c r="BM162" i="1"/>
  <c r="BL173" i="1"/>
  <c r="BS162" i="1"/>
  <c r="BS284" i="1"/>
  <c r="BR99" i="1"/>
  <c r="BM95" i="1"/>
  <c r="BR154" i="1"/>
  <c r="BS154" i="1"/>
  <c r="BM270" i="1"/>
  <c r="BQ115" i="1"/>
  <c r="BQ202" i="1"/>
  <c r="BQ68" i="1"/>
  <c r="BN271" i="1"/>
  <c r="CS17" i="1"/>
  <c r="BQ160" i="1"/>
  <c r="BS238" i="1"/>
  <c r="BL238" i="1"/>
  <c r="BM238" i="1"/>
  <c r="BN238" i="1"/>
  <c r="BR238" i="1"/>
  <c r="BS270" i="1"/>
  <c r="BL270" i="1"/>
  <c r="BS53" i="1"/>
  <c r="BL53" i="1"/>
  <c r="BN53" i="1"/>
  <c r="BM53" i="1"/>
  <c r="BR53" i="1"/>
  <c r="BN269" i="1"/>
  <c r="BL269" i="1"/>
  <c r="BR269" i="1"/>
  <c r="BS269" i="1"/>
  <c r="BM269" i="1"/>
  <c r="BM99" i="1"/>
  <c r="BM284" i="1"/>
  <c r="BM173" i="1"/>
  <c r="BL154" i="1"/>
  <c r="BR162" i="1"/>
  <c r="CP397" i="1"/>
  <c r="CP303" i="1"/>
  <c r="BQ233" i="1"/>
  <c r="BQ146" i="1"/>
  <c r="BQ283" i="1"/>
  <c r="BQ183" i="1"/>
  <c r="BS194" i="1"/>
  <c r="BL194" i="1"/>
  <c r="BR194" i="1"/>
  <c r="BM194" i="1"/>
  <c r="BN194" i="1"/>
  <c r="BM172" i="1"/>
  <c r="BR172" i="1"/>
  <c r="BQ235" i="1"/>
  <c r="BQ117" i="1"/>
  <c r="BQ279" i="1"/>
  <c r="BL126" i="1"/>
  <c r="BM126" i="1"/>
  <c r="BR126" i="1"/>
  <c r="BN126" i="1"/>
  <c r="BS126" i="1"/>
  <c r="BM271" i="1"/>
  <c r="BR271" i="1"/>
  <c r="BS210" i="1"/>
  <c r="BR210" i="1"/>
  <c r="BL210" i="1"/>
  <c r="BM210" i="1"/>
  <c r="BN210" i="1"/>
  <c r="BQ261" i="1"/>
  <c r="BL180" i="1"/>
  <c r="BS180" i="1"/>
  <c r="BM180" i="1"/>
  <c r="BN180" i="1"/>
  <c r="BR180" i="1"/>
  <c r="BQ122" i="1"/>
  <c r="BQ255" i="1"/>
  <c r="BQ93" i="1"/>
  <c r="BQ105" i="1"/>
  <c r="BQ111" i="1"/>
  <c r="BQ82" i="1"/>
  <c r="BQ61" i="1"/>
  <c r="BQ71" i="1"/>
  <c r="BQ268" i="1"/>
  <c r="BQ64" i="1"/>
  <c r="BQ114" i="1"/>
  <c r="BQ168" i="1"/>
  <c r="BQ66" i="1"/>
  <c r="BQ116" i="1"/>
  <c r="BQ187" i="1"/>
  <c r="BN248" i="1"/>
  <c r="BM248" i="1"/>
  <c r="BL248" i="1"/>
  <c r="BR248" i="1"/>
  <c r="BS248" i="1"/>
  <c r="BL191" i="1"/>
  <c r="BM191" i="1"/>
  <c r="BS191" i="1"/>
  <c r="BN191" i="1"/>
  <c r="BR191" i="1"/>
  <c r="BQ182" i="1"/>
  <c r="BQ75" i="1"/>
  <c r="BQ106" i="1"/>
  <c r="BQ226" i="1"/>
  <c r="BM196" i="1"/>
  <c r="BS196" i="1"/>
  <c r="BR196" i="1"/>
  <c r="BN196" i="1"/>
  <c r="BL196" i="1"/>
  <c r="BM219" i="1"/>
  <c r="BL219" i="1"/>
  <c r="BS219" i="1"/>
  <c r="BR219" i="1"/>
  <c r="BN219" i="1"/>
  <c r="BM240" i="1"/>
  <c r="BL240" i="1"/>
  <c r="BS240" i="1"/>
  <c r="BR240" i="1"/>
  <c r="BN240" i="1"/>
  <c r="BQ165" i="1"/>
  <c r="BN354" i="1"/>
  <c r="F365" i="40" s="1"/>
  <c r="BL175" i="1"/>
  <c r="BM175" i="1"/>
  <c r="BR175" i="1"/>
  <c r="BS175" i="1"/>
  <c r="BN175" i="1"/>
  <c r="BQ192" i="1"/>
  <c r="BQ103" i="1"/>
  <c r="BS258" i="1"/>
  <c r="BN258" i="1"/>
  <c r="BM258" i="1"/>
  <c r="BR258" i="1"/>
  <c r="BL258" i="1"/>
  <c r="BQ130" i="1"/>
  <c r="BQ149" i="1"/>
  <c r="BR195" i="1"/>
  <c r="BM195" i="1"/>
  <c r="BS195" i="1"/>
  <c r="BN195" i="1"/>
  <c r="BL195" i="1"/>
  <c r="BQ213" i="1"/>
  <c r="BQ77" i="1"/>
  <c r="BS80" i="1"/>
  <c r="BL80" i="1"/>
  <c r="BN80" i="1"/>
  <c r="BM80" i="1"/>
  <c r="BR80" i="1"/>
  <c r="BQ218" i="1"/>
  <c r="BQ54" i="1"/>
  <c r="BQ65" i="1"/>
  <c r="BQ91" i="1"/>
  <c r="BQ60" i="1"/>
  <c r="BQ69" i="1"/>
  <c r="BQ118" i="1"/>
  <c r="BQ123" i="1"/>
  <c r="BS179" i="1"/>
  <c r="BM179" i="1"/>
  <c r="BR179" i="1"/>
  <c r="BL179" i="1"/>
  <c r="BN179" i="1"/>
  <c r="BQ62" i="1"/>
  <c r="BQ72" i="1"/>
  <c r="BQ87" i="1"/>
  <c r="BQ159" i="1"/>
  <c r="BQ170" i="1"/>
  <c r="BQ223" i="1"/>
  <c r="BR354" i="1"/>
  <c r="BL354" i="1"/>
  <c r="F365" i="41" s="1"/>
  <c r="BS354" i="1"/>
  <c r="BM354" i="1"/>
  <c r="G365" i="41" s="1"/>
  <c r="BM353" i="1"/>
  <c r="G364" i="41" s="1"/>
  <c r="BS353" i="1"/>
  <c r="BN353" i="1"/>
  <c r="F364" i="40" s="1"/>
  <c r="BL353" i="1"/>
  <c r="F364" i="41" s="1"/>
  <c r="BR353" i="1"/>
  <c r="BL383" i="1"/>
  <c r="F394" i="41" s="1"/>
  <c r="BN383" i="1"/>
  <c r="F394" i="40" s="1"/>
  <c r="BS383" i="1"/>
  <c r="BM383" i="1"/>
  <c r="G394" i="41" s="1"/>
  <c r="BR383" i="1"/>
  <c r="BL137" i="1"/>
  <c r="BR137" i="1"/>
  <c r="BS137" i="1"/>
  <c r="BN137" i="1"/>
  <c r="BM137" i="1"/>
  <c r="BM310" i="1"/>
  <c r="G321" i="41" s="1"/>
  <c r="BR310" i="1"/>
  <c r="BN310" i="1"/>
  <c r="F321" i="40" s="1"/>
  <c r="BS310" i="1"/>
  <c r="BL310" i="1"/>
  <c r="F321" i="41" s="1"/>
  <c r="BW17" i="1"/>
  <c r="T45" i="1"/>
  <c r="T46" i="1"/>
  <c r="T44" i="1"/>
  <c r="R326" i="44" l="1"/>
  <c r="R339" i="44"/>
  <c r="R369" i="44"/>
  <c r="R321" i="44"/>
  <c r="R338" i="44"/>
  <c r="R317" i="44"/>
  <c r="BW143" i="1"/>
  <c r="R34" i="44"/>
  <c r="R27" i="44"/>
  <c r="R25" i="44"/>
  <c r="R36" i="44"/>
  <c r="R387" i="44"/>
  <c r="R21" i="44"/>
  <c r="R22" i="44"/>
  <c r="R35" i="44"/>
  <c r="R40" i="44"/>
  <c r="R376" i="44"/>
  <c r="R41" i="44"/>
  <c r="R37" i="44"/>
  <c r="R32" i="44"/>
  <c r="R31" i="44"/>
  <c r="R329" i="44"/>
  <c r="R366" i="44"/>
  <c r="R370" i="44"/>
  <c r="R337" i="44"/>
  <c r="R333" i="44"/>
  <c r="R391" i="44"/>
  <c r="R395" i="44"/>
  <c r="R325" i="44"/>
  <c r="R336" i="44"/>
  <c r="R343" i="44"/>
  <c r="R378" i="44"/>
  <c r="R388" i="44"/>
  <c r="R367" i="44"/>
  <c r="R353" i="44"/>
  <c r="R365" i="44"/>
  <c r="R350" i="44"/>
  <c r="R313" i="44"/>
  <c r="R341" i="44"/>
  <c r="R374" i="44"/>
  <c r="R309" i="44"/>
  <c r="R347" i="44"/>
  <c r="R342" i="44"/>
  <c r="R322" i="44"/>
  <c r="R331" i="44"/>
  <c r="R396" i="44"/>
  <c r="R358" i="44"/>
  <c r="R380" i="44"/>
  <c r="R384" i="44"/>
  <c r="X426" i="57"/>
  <c r="T367" i="44"/>
  <c r="R328" i="44"/>
  <c r="R372" i="44"/>
  <c r="R316" i="44"/>
  <c r="R351" i="44"/>
  <c r="R318" i="44"/>
  <c r="R323" i="44"/>
  <c r="R311" i="44"/>
  <c r="R310" i="44"/>
  <c r="R393" i="44"/>
  <c r="R320" i="44"/>
  <c r="R377" i="44"/>
  <c r="R324" i="44"/>
  <c r="R394" i="44"/>
  <c r="R346" i="44"/>
  <c r="R397" i="44"/>
  <c r="R373" i="44"/>
  <c r="R319" i="44"/>
  <c r="R390" i="44"/>
  <c r="R332" i="44"/>
  <c r="R345" i="44"/>
  <c r="R371" i="44"/>
  <c r="R349" i="44"/>
  <c r="R330" i="44"/>
  <c r="R375" i="44"/>
  <c r="R362" i="44"/>
  <c r="R368" i="44"/>
  <c r="R315" i="44"/>
  <c r="R386" i="44"/>
  <c r="R361" i="44"/>
  <c r="R392" i="44"/>
  <c r="N385" i="44"/>
  <c r="F396" i="37"/>
  <c r="O385" i="44"/>
  <c r="G396" i="37"/>
  <c r="O355" i="44"/>
  <c r="G366" i="37"/>
  <c r="N334" i="44"/>
  <c r="F345" i="37"/>
  <c r="N327" i="44"/>
  <c r="F338" i="37"/>
  <c r="N344" i="44"/>
  <c r="F355" i="37"/>
  <c r="O352" i="44"/>
  <c r="G363" i="37"/>
  <c r="N389" i="44"/>
  <c r="F400" i="37"/>
  <c r="O389" i="44"/>
  <c r="G400" i="37"/>
  <c r="L389" i="44"/>
  <c r="F398" i="40"/>
  <c r="Y111" i="44"/>
  <c r="O312" i="44"/>
  <c r="G323" i="37"/>
  <c r="N312" i="44"/>
  <c r="F323" i="37"/>
  <c r="N355" i="44"/>
  <c r="F366" i="37"/>
  <c r="O356" i="44"/>
  <c r="G367" i="37"/>
  <c r="N356" i="44"/>
  <c r="F367" i="37"/>
  <c r="N354" i="44"/>
  <c r="F365" i="37"/>
  <c r="O354" i="44"/>
  <c r="G365" i="37"/>
  <c r="O334" i="44"/>
  <c r="G345" i="37"/>
  <c r="O327" i="44"/>
  <c r="G338" i="37"/>
  <c r="N352" i="44"/>
  <c r="F363" i="37"/>
  <c r="O344" i="44"/>
  <c r="G355" i="37"/>
  <c r="N381" i="44"/>
  <c r="F392" i="37"/>
  <c r="O381" i="44"/>
  <c r="G392" i="37"/>
  <c r="P379" i="44"/>
  <c r="Q379" i="44" s="1"/>
  <c r="F390" i="36"/>
  <c r="O383" i="44"/>
  <c r="G394" i="37"/>
  <c r="N383" i="44"/>
  <c r="F394" i="37"/>
  <c r="U344" i="57"/>
  <c r="J312" i="44"/>
  <c r="W344" i="57"/>
  <c r="L312" i="44"/>
  <c r="V344" i="57"/>
  <c r="K312" i="44"/>
  <c r="U417" i="57"/>
  <c r="J385" i="44"/>
  <c r="U387" i="57"/>
  <c r="J355" i="44"/>
  <c r="V388" i="57"/>
  <c r="K356" i="44"/>
  <c r="U388" i="57"/>
  <c r="J356" i="44"/>
  <c r="W386" i="57"/>
  <c r="L354" i="44"/>
  <c r="U386" i="57"/>
  <c r="J354" i="44"/>
  <c r="W359" i="57"/>
  <c r="L327" i="44"/>
  <c r="V366" i="57"/>
  <c r="K334" i="44"/>
  <c r="V386" i="57"/>
  <c r="K354" i="44"/>
  <c r="W366" i="57"/>
  <c r="L334" i="44"/>
  <c r="W376" i="57"/>
  <c r="L344" i="44"/>
  <c r="U413" i="57"/>
  <c r="J381" i="44"/>
  <c r="W413" i="57"/>
  <c r="L381" i="44"/>
  <c r="U376" i="57"/>
  <c r="J344" i="44"/>
  <c r="V384" i="57"/>
  <c r="K352" i="44"/>
  <c r="U421" i="57"/>
  <c r="J389" i="44"/>
  <c r="U415" i="57"/>
  <c r="J383" i="44"/>
  <c r="V415" i="57"/>
  <c r="K383" i="44"/>
  <c r="W415" i="57"/>
  <c r="L383" i="44"/>
  <c r="BV245" i="1"/>
  <c r="BV287" i="1"/>
  <c r="CS287" i="1" s="1"/>
  <c r="M379" i="44"/>
  <c r="Y379" i="44" s="1"/>
  <c r="V417" i="57"/>
  <c r="K385" i="44"/>
  <c r="W417" i="57"/>
  <c r="L385" i="44"/>
  <c r="W387" i="57"/>
  <c r="L355" i="44"/>
  <c r="V387" i="57"/>
  <c r="K355" i="44"/>
  <c r="W388" i="57"/>
  <c r="L356" i="44"/>
  <c r="U359" i="57"/>
  <c r="J327" i="44"/>
  <c r="U366" i="57"/>
  <c r="J334" i="44"/>
  <c r="V359" i="57"/>
  <c r="K327" i="44"/>
  <c r="W384" i="57"/>
  <c r="L352" i="44"/>
  <c r="V376" i="57"/>
  <c r="K344" i="44"/>
  <c r="U384" i="57"/>
  <c r="J352" i="44"/>
  <c r="V413" i="57"/>
  <c r="K381" i="44"/>
  <c r="V421" i="57"/>
  <c r="K389" i="44"/>
  <c r="CL386" i="1"/>
  <c r="CM386" i="1" s="1"/>
  <c r="CL214" i="1"/>
  <c r="CM214" i="1" s="1"/>
  <c r="CL363" i="1"/>
  <c r="CM363" i="1" s="1"/>
  <c r="CL351" i="1"/>
  <c r="CM351" i="1" s="1"/>
  <c r="CL287" i="1"/>
  <c r="CM287" i="1" s="1"/>
  <c r="CL96" i="1"/>
  <c r="CM96" i="1" s="1"/>
  <c r="CL41" i="1"/>
  <c r="CM41" i="1" s="1"/>
  <c r="CL25" i="1"/>
  <c r="CM25" i="1" s="1"/>
  <c r="CL29" i="1"/>
  <c r="CM29" i="1" s="1"/>
  <c r="CL302" i="1"/>
  <c r="CM302" i="1" s="1"/>
  <c r="CL36" i="1"/>
  <c r="CM36" i="1" s="1"/>
  <c r="CL33" i="1"/>
  <c r="CM33" i="1" s="1"/>
  <c r="CL101" i="1"/>
  <c r="CM101" i="1" s="1"/>
  <c r="CL22" i="1"/>
  <c r="CM22" i="1" s="1"/>
  <c r="CL48" i="1"/>
  <c r="CM48" i="1" s="1"/>
  <c r="CL152" i="1"/>
  <c r="CM152" i="1" s="1"/>
  <c r="CL199" i="1"/>
  <c r="CM199" i="1" s="1"/>
  <c r="CL50" i="1"/>
  <c r="CM50" i="1" s="1"/>
  <c r="CL205" i="1"/>
  <c r="CM205" i="1" s="1"/>
  <c r="CL47" i="1"/>
  <c r="CM47" i="1" s="1"/>
  <c r="CL266" i="1"/>
  <c r="CM266" i="1" s="1"/>
  <c r="CL241" i="1"/>
  <c r="CM241" i="1" s="1"/>
  <c r="CL184" i="1"/>
  <c r="CM184" i="1" s="1"/>
  <c r="CL200" i="1"/>
  <c r="CM200" i="1" s="1"/>
  <c r="CL157" i="1"/>
  <c r="CM157" i="1" s="1"/>
  <c r="CL31" i="1"/>
  <c r="CM31" i="1" s="1"/>
  <c r="CL30" i="1"/>
  <c r="CM30" i="1" s="1"/>
  <c r="CL24" i="1"/>
  <c r="CM24" i="1" s="1"/>
  <c r="CL300" i="1"/>
  <c r="CM300" i="1" s="1"/>
  <c r="CL23" i="1"/>
  <c r="CM23" i="1" s="1"/>
  <c r="CL20" i="1"/>
  <c r="CM20" i="1" s="1"/>
  <c r="CL140" i="1"/>
  <c r="CM140" i="1" s="1"/>
  <c r="CL193" i="1"/>
  <c r="CM193" i="1" s="1"/>
  <c r="CL229" i="1"/>
  <c r="CM229" i="1" s="1"/>
  <c r="CL217" i="1"/>
  <c r="CM217" i="1" s="1"/>
  <c r="CL206" i="1"/>
  <c r="CM206" i="1" s="1"/>
  <c r="CL202" i="1"/>
  <c r="CM202" i="1" s="1"/>
  <c r="CL380" i="1"/>
  <c r="CM380" i="1" s="1"/>
  <c r="CL357" i="1"/>
  <c r="CM357" i="1" s="1"/>
  <c r="CL306" i="1"/>
  <c r="CM306" i="1" s="1"/>
  <c r="CL64" i="1"/>
  <c r="CM64" i="1" s="1"/>
  <c r="CL37" i="1"/>
  <c r="CM37" i="1" s="1"/>
  <c r="CL197" i="1"/>
  <c r="CM197" i="1" s="1"/>
  <c r="CL390" i="1"/>
  <c r="CM390" i="1" s="1"/>
  <c r="CL222" i="1"/>
  <c r="CM222" i="1" s="1"/>
  <c r="CL227" i="1"/>
  <c r="CM227" i="1" s="1"/>
  <c r="CL208" i="1"/>
  <c r="CM208" i="1" s="1"/>
  <c r="CL129" i="1"/>
  <c r="CM129" i="1" s="1"/>
  <c r="CL109" i="1"/>
  <c r="CM109" i="1" s="1"/>
  <c r="CL18" i="1"/>
  <c r="CM18" i="1" s="1"/>
  <c r="CL247" i="1"/>
  <c r="CM247" i="1" s="1"/>
  <c r="CL34" i="1"/>
  <c r="CM34" i="1" s="1"/>
  <c r="CL28" i="1"/>
  <c r="CM28" i="1" s="1"/>
  <c r="CL35" i="1"/>
  <c r="CM35" i="1" s="1"/>
  <c r="CL142" i="1"/>
  <c r="CM142" i="1" s="1"/>
  <c r="CL292" i="1"/>
  <c r="CM292" i="1" s="1"/>
  <c r="CL158" i="1"/>
  <c r="CM158" i="1" s="1"/>
  <c r="CL56" i="1"/>
  <c r="CM56" i="1" s="1"/>
  <c r="CL145" i="1"/>
  <c r="CM145" i="1" s="1"/>
  <c r="CL125" i="1"/>
  <c r="CM125" i="1" s="1"/>
  <c r="CL160" i="1"/>
  <c r="CM160" i="1" s="1"/>
  <c r="CL250" i="1"/>
  <c r="CM250" i="1" s="1"/>
  <c r="CL58" i="1"/>
  <c r="CM58" i="1" s="1"/>
  <c r="CL120" i="1"/>
  <c r="CM120" i="1" s="1"/>
  <c r="CL134" i="1"/>
  <c r="CM134" i="1" s="1"/>
  <c r="CL102" i="1"/>
  <c r="CM102" i="1" s="1"/>
  <c r="CL288" i="1"/>
  <c r="CM288" i="1" s="1"/>
  <c r="CL293" i="1"/>
  <c r="CM293" i="1" s="1"/>
  <c r="CL21" i="1"/>
  <c r="CM21" i="1" s="1"/>
  <c r="CL26" i="1"/>
  <c r="CM26" i="1" s="1"/>
  <c r="CL32" i="1"/>
  <c r="CM32" i="1" s="1"/>
  <c r="CL27" i="1"/>
  <c r="CM27" i="1" s="1"/>
  <c r="CL19" i="1"/>
  <c r="CM19" i="1" s="1"/>
  <c r="CL237" i="1"/>
  <c r="CM237" i="1" s="1"/>
  <c r="CL163" i="1"/>
  <c r="CM163" i="1" s="1"/>
  <c r="CL298" i="1"/>
  <c r="CM298" i="1" s="1"/>
  <c r="CL251" i="1"/>
  <c r="CM251" i="1" s="1"/>
  <c r="CL136" i="1"/>
  <c r="CM136" i="1" s="1"/>
  <c r="CL203" i="1"/>
  <c r="CM203" i="1" s="1"/>
  <c r="CL242" i="1"/>
  <c r="CM242" i="1" s="1"/>
  <c r="CL283" i="1"/>
  <c r="CM283" i="1" s="1"/>
  <c r="CL296" i="1"/>
  <c r="CM296" i="1" s="1"/>
  <c r="CL281" i="1"/>
  <c r="CM281" i="1" s="1"/>
  <c r="Z55" i="57"/>
  <c r="CN189" i="1"/>
  <c r="X359" i="57"/>
  <c r="BT387" i="1"/>
  <c r="F400" i="36" s="1"/>
  <c r="W421" i="57"/>
  <c r="BT70" i="1"/>
  <c r="BT220" i="1"/>
  <c r="P70" i="52"/>
  <c r="P69" i="52"/>
  <c r="BW371" i="1"/>
  <c r="CF357" i="1"/>
  <c r="CF306" i="1"/>
  <c r="CF380" i="1"/>
  <c r="CF64" i="1"/>
  <c r="CF245" i="1"/>
  <c r="CM245" i="1"/>
  <c r="CM38" i="1"/>
  <c r="CF215" i="1"/>
  <c r="CM215" i="1"/>
  <c r="CF377" i="1"/>
  <c r="CM377" i="1"/>
  <c r="CF211" i="1"/>
  <c r="CM211" i="1"/>
  <c r="CF392" i="1"/>
  <c r="CM392" i="1"/>
  <c r="CF396" i="1"/>
  <c r="CM396" i="1"/>
  <c r="CF366" i="1"/>
  <c r="CM366" i="1"/>
  <c r="CF365" i="1"/>
  <c r="CM365" i="1"/>
  <c r="CF362" i="1"/>
  <c r="CM362" i="1"/>
  <c r="CF295" i="1"/>
  <c r="CM295" i="1"/>
  <c r="CF356" i="1"/>
  <c r="CM356" i="1"/>
  <c r="CF344" i="1"/>
  <c r="CM344" i="1"/>
  <c r="CF359" i="1"/>
  <c r="CM359" i="1"/>
  <c r="CF355" i="1"/>
  <c r="CM355" i="1"/>
  <c r="CF360" i="1"/>
  <c r="CM360" i="1"/>
  <c r="CF290" i="1"/>
  <c r="CM290" i="1"/>
  <c r="CF138" i="1"/>
  <c r="CM138" i="1"/>
  <c r="CF190" i="1"/>
  <c r="CM190" i="1"/>
  <c r="CF74" i="1"/>
  <c r="CM74" i="1"/>
  <c r="CF112" i="1"/>
  <c r="CM112" i="1"/>
  <c r="CF60" i="1"/>
  <c r="CM60" i="1"/>
  <c r="CF218" i="1"/>
  <c r="CM218" i="1"/>
  <c r="CF115" i="1"/>
  <c r="CM115" i="1"/>
  <c r="CF248" i="1"/>
  <c r="CM248" i="1"/>
  <c r="CF198" i="1"/>
  <c r="CM198" i="1"/>
  <c r="CF318" i="1"/>
  <c r="CM318" i="1"/>
  <c r="CF313" i="1"/>
  <c r="CM313" i="1"/>
  <c r="CF370" i="1"/>
  <c r="CM370" i="1"/>
  <c r="CF230" i="1"/>
  <c r="CM230" i="1"/>
  <c r="CF83" i="1"/>
  <c r="CM83" i="1"/>
  <c r="CF332" i="1"/>
  <c r="CM332" i="1"/>
  <c r="CF195" i="1"/>
  <c r="CM195" i="1"/>
  <c r="CF207" i="1"/>
  <c r="CM207" i="1"/>
  <c r="CF146" i="1"/>
  <c r="CM146" i="1"/>
  <c r="CF75" i="1"/>
  <c r="CM75" i="1"/>
  <c r="CF210" i="1"/>
  <c r="CM210" i="1"/>
  <c r="CF137" i="1"/>
  <c r="CM137" i="1"/>
  <c r="CF76" i="1"/>
  <c r="CM76" i="1"/>
  <c r="CF258" i="1"/>
  <c r="CM258" i="1"/>
  <c r="CF54" i="1"/>
  <c r="CM54" i="1"/>
  <c r="CF238" i="1"/>
  <c r="CM238" i="1"/>
  <c r="CF166" i="1"/>
  <c r="CM166" i="1"/>
  <c r="CF219" i="1"/>
  <c r="CM219" i="1"/>
  <c r="CF128" i="1"/>
  <c r="CM128" i="1"/>
  <c r="CF328" i="1"/>
  <c r="CM328" i="1"/>
  <c r="CF243" i="1"/>
  <c r="CM243" i="1"/>
  <c r="CF165" i="1"/>
  <c r="CM165" i="1"/>
  <c r="CF130" i="1"/>
  <c r="CM130" i="1"/>
  <c r="CF91" i="1"/>
  <c r="CM91" i="1"/>
  <c r="CF53" i="1"/>
  <c r="CM53" i="1"/>
  <c r="CF316" i="1"/>
  <c r="CM316" i="1"/>
  <c r="CF126" i="1"/>
  <c r="CM126" i="1"/>
  <c r="CF93" i="1"/>
  <c r="CM93" i="1"/>
  <c r="CF97" i="1"/>
  <c r="CM97" i="1"/>
  <c r="CF330" i="1"/>
  <c r="CM330" i="1"/>
  <c r="CF69" i="1"/>
  <c r="CM69" i="1"/>
  <c r="CF98" i="1"/>
  <c r="CM98" i="1"/>
  <c r="CF171" i="1"/>
  <c r="CM171" i="1"/>
  <c r="CF86" i="1"/>
  <c r="CM86" i="1"/>
  <c r="CF331" i="1"/>
  <c r="CM331" i="1"/>
  <c r="CF226" i="1"/>
  <c r="CM226" i="1"/>
  <c r="CF221" i="1"/>
  <c r="CM221" i="1"/>
  <c r="CF249" i="1"/>
  <c r="CM249" i="1"/>
  <c r="CF274" i="1"/>
  <c r="CM274" i="1"/>
  <c r="CF92" i="1"/>
  <c r="CM92" i="1"/>
  <c r="CF395" i="1"/>
  <c r="CM395" i="1"/>
  <c r="CF388" i="1"/>
  <c r="CM388" i="1"/>
  <c r="CF371" i="1"/>
  <c r="CM371" i="1"/>
  <c r="CF349" i="1"/>
  <c r="CM349" i="1"/>
  <c r="CF353" i="1"/>
  <c r="CM353" i="1"/>
  <c r="CF379" i="1"/>
  <c r="CM379" i="1"/>
  <c r="CF342" i="1"/>
  <c r="CM342" i="1"/>
  <c r="CF341" i="1"/>
  <c r="CM341" i="1"/>
  <c r="CF275" i="1"/>
  <c r="CM275" i="1"/>
  <c r="CF378" i="1"/>
  <c r="CM378" i="1"/>
  <c r="CF387" i="1"/>
  <c r="CM387" i="1"/>
  <c r="CF176" i="1"/>
  <c r="CM176" i="1"/>
  <c r="CF269" i="1"/>
  <c r="CM269" i="1"/>
  <c r="CF172" i="1"/>
  <c r="CM172" i="1"/>
  <c r="CF55" i="1"/>
  <c r="CM55" i="1"/>
  <c r="CF340" i="1"/>
  <c r="CM340" i="1"/>
  <c r="CF310" i="1"/>
  <c r="CM310" i="1"/>
  <c r="CF144" i="1"/>
  <c r="CM144" i="1"/>
  <c r="CF132" i="1"/>
  <c r="CM132" i="1"/>
  <c r="CF255" i="1"/>
  <c r="CM255" i="1"/>
  <c r="CF223" i="1"/>
  <c r="CM223" i="1"/>
  <c r="CF57" i="1"/>
  <c r="CM57" i="1"/>
  <c r="CF385" i="1"/>
  <c r="CM385" i="1"/>
  <c r="CF352" i="1"/>
  <c r="CM352" i="1"/>
  <c r="CF284" i="1"/>
  <c r="CM284" i="1"/>
  <c r="CF77" i="1"/>
  <c r="CM77" i="1"/>
  <c r="CF325" i="1"/>
  <c r="CM325" i="1"/>
  <c r="CF350" i="1"/>
  <c r="CM350" i="1"/>
  <c r="CF49" i="1"/>
  <c r="CM49" i="1"/>
  <c r="CF186" i="1"/>
  <c r="CM186" i="1"/>
  <c r="CF236" i="1"/>
  <c r="CM236" i="1"/>
  <c r="CF82" i="1"/>
  <c r="CM82" i="1"/>
  <c r="CF320" i="1"/>
  <c r="CM320" i="1"/>
  <c r="CF170" i="1"/>
  <c r="CM170" i="1"/>
  <c r="CF124" i="1"/>
  <c r="CM124" i="1"/>
  <c r="CF66" i="1"/>
  <c r="CM66" i="1"/>
  <c r="CF321" i="1"/>
  <c r="CM321" i="1"/>
  <c r="CF162" i="1"/>
  <c r="CM162" i="1"/>
  <c r="CF309" i="1"/>
  <c r="CM309" i="1"/>
  <c r="CF180" i="1"/>
  <c r="CM180" i="1"/>
  <c r="CF271" i="1"/>
  <c r="CM271" i="1"/>
  <c r="CF308" i="1"/>
  <c r="CM308" i="1"/>
  <c r="CF235" i="1"/>
  <c r="CM235" i="1"/>
  <c r="CF156" i="1"/>
  <c r="CM156" i="1"/>
  <c r="CF118" i="1"/>
  <c r="CM118" i="1"/>
  <c r="CF79" i="1"/>
  <c r="CM79" i="1"/>
  <c r="CF209" i="1"/>
  <c r="CM209" i="1"/>
  <c r="CF68" i="1"/>
  <c r="CM68" i="1"/>
  <c r="CF240" i="1"/>
  <c r="CM240" i="1"/>
  <c r="CF338" i="1"/>
  <c r="CM338" i="1"/>
  <c r="CF252" i="1"/>
  <c r="CM252" i="1"/>
  <c r="CF81" i="1"/>
  <c r="CM81" i="1"/>
  <c r="CF234" i="1"/>
  <c r="CM234" i="1"/>
  <c r="CF78" i="1"/>
  <c r="CM78" i="1"/>
  <c r="CF335" i="1"/>
  <c r="CM335" i="1"/>
  <c r="CF276" i="1"/>
  <c r="CM276" i="1"/>
  <c r="CF103" i="1"/>
  <c r="CM103" i="1"/>
  <c r="CF312" i="1"/>
  <c r="CM312" i="1"/>
  <c r="CF339" i="1"/>
  <c r="CM339" i="1"/>
  <c r="CF216" i="1"/>
  <c r="CM216" i="1"/>
  <c r="CF324" i="1"/>
  <c r="CM324" i="1"/>
  <c r="CF267" i="1"/>
  <c r="CM267" i="1"/>
  <c r="CF391" i="1"/>
  <c r="CM391" i="1"/>
  <c r="CF212" i="1"/>
  <c r="CM212" i="1"/>
  <c r="CF201" i="1"/>
  <c r="CM201" i="1"/>
  <c r="CF113" i="1"/>
  <c r="CM113" i="1"/>
  <c r="CF393" i="1"/>
  <c r="CM393" i="1"/>
  <c r="CF394" i="1"/>
  <c r="CM394" i="1"/>
  <c r="CF382" i="1"/>
  <c r="CM382" i="1"/>
  <c r="CF383" i="1"/>
  <c r="CM383" i="1"/>
  <c r="CF301" i="1"/>
  <c r="CM301" i="1"/>
  <c r="CF294" i="1"/>
  <c r="CM294" i="1"/>
  <c r="CF376" i="1"/>
  <c r="CM376" i="1"/>
  <c r="CF347" i="1"/>
  <c r="CM347" i="1"/>
  <c r="CF285" i="1"/>
  <c r="CM285" i="1"/>
  <c r="CF277" i="1"/>
  <c r="CM277" i="1"/>
  <c r="CF369" i="1"/>
  <c r="CM369" i="1"/>
  <c r="CF272" i="1"/>
  <c r="CM272" i="1"/>
  <c r="CF224" i="1"/>
  <c r="CM224" i="1"/>
  <c r="CF233" i="1"/>
  <c r="CM233" i="1"/>
  <c r="CF147" i="1"/>
  <c r="CM147" i="1"/>
  <c r="CF317" i="1"/>
  <c r="CM317" i="1"/>
  <c r="CF168" i="1"/>
  <c r="CM168" i="1"/>
  <c r="CF169" i="1"/>
  <c r="CM169" i="1"/>
  <c r="CF314" i="1"/>
  <c r="CM314" i="1"/>
  <c r="CF99" i="1"/>
  <c r="CM99" i="1"/>
  <c r="CF231" i="1"/>
  <c r="CM231" i="1"/>
  <c r="CF177" i="1"/>
  <c r="CM177" i="1"/>
  <c r="CF367" i="1"/>
  <c r="CM367" i="1"/>
  <c r="CF337" i="1"/>
  <c r="CM337" i="1"/>
  <c r="CF373" i="1"/>
  <c r="CM373" i="1"/>
  <c r="CF273" i="1"/>
  <c r="CM273" i="1"/>
  <c r="CF73" i="1"/>
  <c r="CM73" i="1"/>
  <c r="CF343" i="1"/>
  <c r="CM343" i="1"/>
  <c r="CF265" i="1"/>
  <c r="CM265" i="1"/>
  <c r="CF268" i="1"/>
  <c r="CM268" i="1"/>
  <c r="CF173" i="1"/>
  <c r="CM173" i="1"/>
  <c r="CF183" i="1"/>
  <c r="CM183" i="1"/>
  <c r="CF315" i="1"/>
  <c r="CM315" i="1"/>
  <c r="CF159" i="1"/>
  <c r="CM159" i="1"/>
  <c r="CF114" i="1"/>
  <c r="CM114" i="1"/>
  <c r="CF307" i="1"/>
  <c r="CM307" i="1"/>
  <c r="CF232" i="1"/>
  <c r="CM232" i="1"/>
  <c r="CF122" i="1"/>
  <c r="CM122" i="1"/>
  <c r="CF263" i="1"/>
  <c r="CM263" i="1"/>
  <c r="CF196" i="1"/>
  <c r="CM196" i="1"/>
  <c r="CF270" i="1"/>
  <c r="CM270" i="1"/>
  <c r="CF188" i="1"/>
  <c r="CM188" i="1"/>
  <c r="CF71" i="1"/>
  <c r="CM71" i="1"/>
  <c r="CF323" i="1"/>
  <c r="CM323" i="1"/>
  <c r="CF192" i="1"/>
  <c r="CM192" i="1"/>
  <c r="CF149" i="1"/>
  <c r="CM149" i="1"/>
  <c r="CF110" i="1"/>
  <c r="CM110" i="1"/>
  <c r="CF72" i="1"/>
  <c r="CM72" i="1"/>
  <c r="CF191" i="1"/>
  <c r="CM191" i="1"/>
  <c r="CF327" i="1"/>
  <c r="CM327" i="1"/>
  <c r="CF89" i="1"/>
  <c r="CM89" i="1"/>
  <c r="CF164" i="1"/>
  <c r="CM164" i="1"/>
  <c r="CF333" i="1"/>
  <c r="CM333" i="1"/>
  <c r="CF185" i="1"/>
  <c r="CM185" i="1"/>
  <c r="CF256" i="1"/>
  <c r="CM256" i="1"/>
  <c r="CF153" i="1"/>
  <c r="CM153" i="1"/>
  <c r="CF194" i="1"/>
  <c r="CM194" i="1"/>
  <c r="CF111" i="1"/>
  <c r="CM111" i="1"/>
  <c r="CF336" i="1"/>
  <c r="CM336" i="1"/>
  <c r="CF354" i="1"/>
  <c r="CM354" i="1"/>
  <c r="CF204" i="1"/>
  <c r="CM204" i="1"/>
  <c r="CF289" i="1"/>
  <c r="CM289" i="1"/>
  <c r="CF85" i="1"/>
  <c r="CM85" i="1"/>
  <c r="CF52" i="1"/>
  <c r="CM52" i="1"/>
  <c r="CF181" i="1"/>
  <c r="CM181" i="1"/>
  <c r="CF389" i="1"/>
  <c r="CM389" i="1"/>
  <c r="CF348" i="1"/>
  <c r="CM348" i="1"/>
  <c r="CF280" i="1"/>
  <c r="CM280" i="1"/>
  <c r="CF345" i="1"/>
  <c r="CM345" i="1"/>
  <c r="CF291" i="1"/>
  <c r="CM291" i="1"/>
  <c r="CF279" i="1"/>
  <c r="CM279" i="1"/>
  <c r="CF375" i="1"/>
  <c r="CM375" i="1"/>
  <c r="CF374" i="1"/>
  <c r="CM374" i="1"/>
  <c r="CF361" i="1"/>
  <c r="CM361" i="1"/>
  <c r="CF282" i="1"/>
  <c r="CM282" i="1"/>
  <c r="CF117" i="1"/>
  <c r="CM117" i="1"/>
  <c r="CF213" i="1"/>
  <c r="CM213" i="1"/>
  <c r="CF123" i="1"/>
  <c r="CM123" i="1"/>
  <c r="CF254" i="1"/>
  <c r="CM254" i="1"/>
  <c r="CF135" i="1"/>
  <c r="CM135" i="1"/>
  <c r="CF88" i="1"/>
  <c r="CM88" i="1"/>
  <c r="CF148" i="1"/>
  <c r="CM148" i="1"/>
  <c r="CF106" i="1"/>
  <c r="CM106" i="1"/>
  <c r="CF239" i="1"/>
  <c r="CM239" i="1"/>
  <c r="CF187" i="1"/>
  <c r="CM187" i="1"/>
  <c r="CF334" i="1"/>
  <c r="CM334" i="1"/>
  <c r="CF329" i="1"/>
  <c r="CM329" i="1"/>
  <c r="CF278" i="1"/>
  <c r="CM278" i="1"/>
  <c r="CF244" i="1"/>
  <c r="CM244" i="1"/>
  <c r="CF63" i="1"/>
  <c r="CM63" i="1"/>
  <c r="CF319" i="1"/>
  <c r="CM319" i="1"/>
  <c r="CF368" i="1"/>
  <c r="CM368" i="1"/>
  <c r="CF105" i="1"/>
  <c r="CM105" i="1"/>
  <c r="CF262" i="1"/>
  <c r="CM262" i="1"/>
  <c r="CF167" i="1"/>
  <c r="CM167" i="1"/>
  <c r="CF65" i="1"/>
  <c r="CM65" i="1"/>
  <c r="CF264" i="1"/>
  <c r="CM264" i="1"/>
  <c r="CF151" i="1"/>
  <c r="CM151" i="1"/>
  <c r="CF87" i="1"/>
  <c r="CM87" i="1"/>
  <c r="CF326" i="1"/>
  <c r="CM326" i="1"/>
  <c r="CF80" i="1"/>
  <c r="CM80" i="1"/>
  <c r="CF94" i="1"/>
  <c r="CM94" i="1"/>
  <c r="CF150" i="1"/>
  <c r="CM150" i="1"/>
  <c r="CF95" i="1"/>
  <c r="CM95" i="1"/>
  <c r="CF261" i="1"/>
  <c r="CM261" i="1"/>
  <c r="CF174" i="1"/>
  <c r="CM174" i="1"/>
  <c r="CF141" i="1"/>
  <c r="CM141" i="1"/>
  <c r="CF100" i="1"/>
  <c r="CM100" i="1"/>
  <c r="CF62" i="1"/>
  <c r="CM62" i="1"/>
  <c r="CF154" i="1"/>
  <c r="CM154" i="1"/>
  <c r="CF311" i="1"/>
  <c r="CM311" i="1"/>
  <c r="CF116" i="1"/>
  <c r="CM116" i="1"/>
  <c r="CF131" i="1"/>
  <c r="CM131" i="1"/>
  <c r="CF179" i="1"/>
  <c r="CM179" i="1"/>
  <c r="CF322" i="1"/>
  <c r="CM322" i="1"/>
  <c r="CF228" i="1"/>
  <c r="CM228" i="1"/>
  <c r="CF175" i="1"/>
  <c r="CM175" i="1"/>
  <c r="CF107" i="1"/>
  <c r="CM107" i="1"/>
  <c r="CF178" i="1"/>
  <c r="CM178" i="1"/>
  <c r="CF61" i="1"/>
  <c r="CM61" i="1"/>
  <c r="CF358" i="1"/>
  <c r="CM358" i="1"/>
  <c r="CF372" i="1"/>
  <c r="CM372" i="1"/>
  <c r="CF182" i="1"/>
  <c r="CM182" i="1"/>
  <c r="BQ188" i="1"/>
  <c r="BQ189" i="1"/>
  <c r="BZ188" i="1"/>
  <c r="BQ220" i="1"/>
  <c r="CN220" i="1"/>
  <c r="CS386" i="1"/>
  <c r="BV189" i="1"/>
  <c r="BQ70" i="1"/>
  <c r="CN70" i="1"/>
  <c r="CS155" i="1"/>
  <c r="Y152" i="44"/>
  <c r="CF38" i="1"/>
  <c r="CS245" i="1"/>
  <c r="CS328" i="1"/>
  <c r="BW37" i="1"/>
  <c r="CS297" i="1"/>
  <c r="CG245" i="1"/>
  <c r="CF222" i="1"/>
  <c r="CF227" i="1"/>
  <c r="CF287" i="1"/>
  <c r="CF208" i="1"/>
  <c r="CF96" i="1"/>
  <c r="CK42" i="1"/>
  <c r="CF247" i="1"/>
  <c r="CF160" i="1"/>
  <c r="CF200" i="1"/>
  <c r="CF288" i="1"/>
  <c r="CF202" i="1"/>
  <c r="CF386" i="1"/>
  <c r="CF37" i="1"/>
  <c r="CF214" i="1"/>
  <c r="CF197" i="1"/>
  <c r="CF363" i="1"/>
  <c r="CF390" i="1"/>
  <c r="CF351" i="1"/>
  <c r="CF129" i="1"/>
  <c r="CF41" i="1"/>
  <c r="CF109" i="1"/>
  <c r="CF25" i="1"/>
  <c r="CF18" i="1"/>
  <c r="CF29" i="1"/>
  <c r="CF302" i="1"/>
  <c r="CF34" i="1"/>
  <c r="CF36" i="1"/>
  <c r="CF28" i="1"/>
  <c r="CF33" i="1"/>
  <c r="CF35" i="1"/>
  <c r="CF101" i="1"/>
  <c r="CF142" i="1"/>
  <c r="CF22" i="1"/>
  <c r="CF292" i="1"/>
  <c r="CF48" i="1"/>
  <c r="CF158" i="1"/>
  <c r="CF152" i="1"/>
  <c r="CF56" i="1"/>
  <c r="CF199" i="1"/>
  <c r="CF145" i="1"/>
  <c r="CF50" i="1"/>
  <c r="CF125" i="1"/>
  <c r="CF205" i="1"/>
  <c r="CF47" i="1"/>
  <c r="CF250" i="1"/>
  <c r="CF266" i="1"/>
  <c r="CF58" i="1"/>
  <c r="CF241" i="1"/>
  <c r="CF120" i="1"/>
  <c r="CF134" i="1"/>
  <c r="CF184" i="1"/>
  <c r="CF102" i="1"/>
  <c r="CF157" i="1"/>
  <c r="CF293" i="1"/>
  <c r="CF31" i="1"/>
  <c r="CF21" i="1"/>
  <c r="CF30" i="1"/>
  <c r="CF26" i="1"/>
  <c r="CF24" i="1"/>
  <c r="CF32" i="1"/>
  <c r="CF300" i="1"/>
  <c r="CF27" i="1"/>
  <c r="CF23" i="1"/>
  <c r="CF19" i="1"/>
  <c r="CF20" i="1"/>
  <c r="CF237" i="1"/>
  <c r="CF140" i="1"/>
  <c r="CF163" i="1"/>
  <c r="CF193" i="1"/>
  <c r="CF298" i="1"/>
  <c r="CF229" i="1"/>
  <c r="CF251" i="1"/>
  <c r="CF217" i="1"/>
  <c r="CF136" i="1"/>
  <c r="CF206" i="1"/>
  <c r="CF203" i="1"/>
  <c r="CF242" i="1"/>
  <c r="CS363" i="1"/>
  <c r="BV267" i="1"/>
  <c r="BW267" i="1" s="1"/>
  <c r="CG260" i="1"/>
  <c r="T378" i="44"/>
  <c r="Y131" i="44"/>
  <c r="Y105" i="44"/>
  <c r="BV260" i="1"/>
  <c r="CS260" i="1" s="1"/>
  <c r="T236" i="44"/>
  <c r="Y125" i="44"/>
  <c r="BW347" i="1"/>
  <c r="CS324" i="1"/>
  <c r="BW129" i="1"/>
  <c r="BW245" i="1"/>
  <c r="BW385" i="1"/>
  <c r="BW338" i="1"/>
  <c r="CS378" i="1"/>
  <c r="CS221" i="1"/>
  <c r="BW341" i="1"/>
  <c r="BW314" i="1"/>
  <c r="BW361" i="1"/>
  <c r="BW337" i="1"/>
  <c r="BW392" i="1"/>
  <c r="AM402" i="44" s="1"/>
  <c r="CS356" i="1"/>
  <c r="CS340" i="1"/>
  <c r="CS333" i="1"/>
  <c r="BW390" i="1"/>
  <c r="CG170" i="1"/>
  <c r="CG62" i="1"/>
  <c r="CG69" i="1"/>
  <c r="CG91" i="1"/>
  <c r="CG223" i="1"/>
  <c r="CG159" i="1"/>
  <c r="CG72" i="1"/>
  <c r="CG118" i="1"/>
  <c r="CG60" i="1"/>
  <c r="CG65" i="1"/>
  <c r="CG218" i="1"/>
  <c r="CG77" i="1"/>
  <c r="CG130" i="1"/>
  <c r="CG103" i="1"/>
  <c r="CG165" i="1"/>
  <c r="CG226" i="1"/>
  <c r="CG75" i="1"/>
  <c r="CG187" i="1"/>
  <c r="CG66" i="1"/>
  <c r="CG114" i="1"/>
  <c r="CG268" i="1"/>
  <c r="CG82" i="1"/>
  <c r="CG105" i="1"/>
  <c r="CG93" i="1"/>
  <c r="CG122" i="1"/>
  <c r="CG261" i="1"/>
  <c r="CG117" i="1"/>
  <c r="CG283" i="1"/>
  <c r="CG233" i="1"/>
  <c r="CG68" i="1"/>
  <c r="CG115" i="1"/>
  <c r="CG285" i="1"/>
  <c r="CG112" i="1"/>
  <c r="CG243" i="1"/>
  <c r="CG224" i="1"/>
  <c r="CG107" i="1"/>
  <c r="CG128" i="1"/>
  <c r="CG63" i="1"/>
  <c r="CG252" i="1"/>
  <c r="CG78" i="1"/>
  <c r="CG141" i="1"/>
  <c r="CG176" i="1"/>
  <c r="CG83" i="1"/>
  <c r="CG209" i="1"/>
  <c r="CG148" i="1"/>
  <c r="CG234" i="1"/>
  <c r="CG147" i="1"/>
  <c r="CG178" i="1"/>
  <c r="CG277" i="1"/>
  <c r="CG138" i="1"/>
  <c r="CG49" i="1"/>
  <c r="CG236" i="1"/>
  <c r="CG86" i="1"/>
  <c r="CG262" i="1"/>
  <c r="CG280" i="1"/>
  <c r="CG186" i="1"/>
  <c r="CG207" i="1"/>
  <c r="CG96" i="1"/>
  <c r="CG208" i="1"/>
  <c r="CG222" i="1"/>
  <c r="CG200" i="1"/>
  <c r="CG377" i="1"/>
  <c r="CG201" i="1"/>
  <c r="CG291" i="1"/>
  <c r="CG294" i="1"/>
  <c r="CG87" i="1"/>
  <c r="CG123" i="1"/>
  <c r="CG54" i="1"/>
  <c r="CG213" i="1"/>
  <c r="CG149" i="1"/>
  <c r="CG192" i="1"/>
  <c r="CG106" i="1"/>
  <c r="CG182" i="1"/>
  <c r="CG116" i="1"/>
  <c r="CG168" i="1"/>
  <c r="CG64" i="1"/>
  <c r="CG71" i="1"/>
  <c r="CG61" i="1"/>
  <c r="CG111" i="1"/>
  <c r="CG255" i="1"/>
  <c r="CG279" i="1"/>
  <c r="CG235" i="1"/>
  <c r="CG183" i="1"/>
  <c r="CG146" i="1"/>
  <c r="CG160" i="1"/>
  <c r="CG202" i="1"/>
  <c r="CG256" i="1"/>
  <c r="CG169" i="1"/>
  <c r="CG198" i="1"/>
  <c r="CG263" i="1"/>
  <c r="CG89" i="1"/>
  <c r="CG135" i="1"/>
  <c r="CG98" i="1"/>
  <c r="CG124" i="1"/>
  <c r="CG174" i="1"/>
  <c r="CG151" i="1"/>
  <c r="CG74" i="1"/>
  <c r="CG171" i="1"/>
  <c r="CG57" i="1"/>
  <c r="CG110" i="1"/>
  <c r="CG228" i="1"/>
  <c r="CG264" i="1"/>
  <c r="CG100" i="1"/>
  <c r="CG76" i="1"/>
  <c r="CG275" i="1"/>
  <c r="CG132" i="1"/>
  <c r="CG144" i="1"/>
  <c r="CG153" i="1"/>
  <c r="CG131" i="1"/>
  <c r="CG247" i="1"/>
  <c r="CG288" i="1"/>
  <c r="CG227" i="1"/>
  <c r="CG215" i="1"/>
  <c r="CG290" i="1"/>
  <c r="CG295" i="1"/>
  <c r="CG287" i="1"/>
  <c r="CG267" i="1"/>
  <c r="CG221" i="1"/>
  <c r="BW349" i="1"/>
  <c r="BW375" i="1"/>
  <c r="BW339" i="1"/>
  <c r="CS331" i="1"/>
  <c r="BW27" i="1"/>
  <c r="CS320" i="1"/>
  <c r="CS237" i="1"/>
  <c r="CS359" i="1"/>
  <c r="CS370" i="1"/>
  <c r="CN126" i="1"/>
  <c r="CN180" i="1"/>
  <c r="BT289" i="1"/>
  <c r="BT381" i="1"/>
  <c r="BW136" i="1"/>
  <c r="CS343" i="1"/>
  <c r="CN232" i="1"/>
  <c r="Y103" i="44"/>
  <c r="BV201" i="1"/>
  <c r="BW201" i="1" s="1"/>
  <c r="BW388" i="1"/>
  <c r="AM399" i="44" s="1"/>
  <c r="BQ296" i="1"/>
  <c r="CS395" i="1"/>
  <c r="CS394" i="1"/>
  <c r="CS265" i="1"/>
  <c r="CS157" i="1"/>
  <c r="BQ381" i="1"/>
  <c r="BW319" i="1"/>
  <c r="BW369" i="1"/>
  <c r="BW389" i="1"/>
  <c r="CS322" i="1"/>
  <c r="BW221" i="1"/>
  <c r="CN381" i="1"/>
  <c r="BZ381" i="1"/>
  <c r="CS374" i="1"/>
  <c r="CN211" i="1"/>
  <c r="BW396" i="1"/>
  <c r="CS306" i="1"/>
  <c r="CS367" i="1"/>
  <c r="CN289" i="1"/>
  <c r="CS300" i="1"/>
  <c r="BW33" i="1"/>
  <c r="CN166" i="1"/>
  <c r="BW58" i="1"/>
  <c r="CS281" i="1"/>
  <c r="P68" i="52"/>
  <c r="BZ249" i="1"/>
  <c r="BX289" i="1"/>
  <c r="BW334" i="1"/>
  <c r="BW376" i="1"/>
  <c r="BW293" i="1"/>
  <c r="CS335" i="1"/>
  <c r="CS366" i="1"/>
  <c r="CS368" i="1"/>
  <c r="CS309" i="1"/>
  <c r="CN278" i="1"/>
  <c r="CN181" i="1"/>
  <c r="CN249" i="1"/>
  <c r="BW20" i="1"/>
  <c r="BW355" i="1"/>
  <c r="BW307" i="1"/>
  <c r="BW365" i="1"/>
  <c r="BW393" i="1"/>
  <c r="BW382" i="1"/>
  <c r="AJ308" i="44"/>
  <c r="BW214" i="1"/>
  <c r="CN150" i="1"/>
  <c r="CN113" i="1"/>
  <c r="BQ289" i="1"/>
  <c r="BW163" i="1"/>
  <c r="CS292" i="1"/>
  <c r="CN162" i="1"/>
  <c r="BW120" i="1"/>
  <c r="BQ301" i="1"/>
  <c r="CN191" i="1"/>
  <c r="BW30" i="1"/>
  <c r="BW32" i="1"/>
  <c r="BW330" i="1"/>
  <c r="BW317" i="1"/>
  <c r="BW358" i="1"/>
  <c r="BW360" i="1"/>
  <c r="BW345" i="1"/>
  <c r="BQ249" i="1"/>
  <c r="CN92" i="1"/>
  <c r="BT249" i="1"/>
  <c r="CN164" i="1"/>
  <c r="BQ190" i="1"/>
  <c r="BZ278" i="1"/>
  <c r="BZ301" i="1"/>
  <c r="BZ52" i="1"/>
  <c r="BZ181" i="1"/>
  <c r="BZ254" i="1"/>
  <c r="BZ274" i="1"/>
  <c r="BZ387" i="1"/>
  <c r="BZ167" i="1"/>
  <c r="BZ204" i="1"/>
  <c r="BZ272" i="1"/>
  <c r="BZ282" i="1"/>
  <c r="BZ350" i="1"/>
  <c r="BZ190" i="1"/>
  <c r="BZ177" i="1"/>
  <c r="BZ156" i="1"/>
  <c r="BZ94" i="1"/>
  <c r="BZ244" i="1"/>
  <c r="BZ379" i="1"/>
  <c r="BZ85" i="1"/>
  <c r="BZ239" i="1"/>
  <c r="BZ81" i="1"/>
  <c r="BZ231" i="1"/>
  <c r="BZ342" i="1"/>
  <c r="BZ55" i="1"/>
  <c r="BZ216" i="1"/>
  <c r="BZ325" i="1"/>
  <c r="BZ332" i="1"/>
  <c r="BZ185" i="1"/>
  <c r="BZ154" i="1"/>
  <c r="BZ284" i="1"/>
  <c r="BZ99" i="1"/>
  <c r="BZ95" i="1"/>
  <c r="BZ53" i="1"/>
  <c r="BZ238" i="1"/>
  <c r="BZ271" i="1"/>
  <c r="BZ180" i="1"/>
  <c r="BZ240" i="1"/>
  <c r="BZ219" i="1"/>
  <c r="BZ191" i="1"/>
  <c r="BZ80" i="1"/>
  <c r="BZ258" i="1"/>
  <c r="BZ248" i="1"/>
  <c r="BZ354" i="1"/>
  <c r="BZ310" i="1"/>
  <c r="BZ383" i="1"/>
  <c r="BZ164" i="1"/>
  <c r="BZ232" i="1"/>
  <c r="BZ230" i="1"/>
  <c r="BZ150" i="1"/>
  <c r="BZ166" i="1"/>
  <c r="BZ113" i="1"/>
  <c r="BZ211" i="1"/>
  <c r="BZ296" i="1"/>
  <c r="BZ79" i="1"/>
  <c r="BZ273" i="1"/>
  <c r="BZ88" i="1"/>
  <c r="BZ352" i="1"/>
  <c r="BZ162" i="1"/>
  <c r="BZ173" i="1"/>
  <c r="BZ276" i="1"/>
  <c r="BZ97" i="1"/>
  <c r="BZ269" i="1"/>
  <c r="BZ270" i="1"/>
  <c r="BZ73" i="1"/>
  <c r="BZ172" i="1"/>
  <c r="BZ126" i="1"/>
  <c r="BZ194" i="1"/>
  <c r="BZ210" i="1"/>
  <c r="BZ179" i="1"/>
  <c r="BZ196" i="1"/>
  <c r="BZ195" i="1"/>
  <c r="BZ175" i="1"/>
  <c r="BZ353" i="1"/>
  <c r="BZ137" i="1"/>
  <c r="BZ212" i="1"/>
  <c r="BW357" i="1"/>
  <c r="CS329" i="1"/>
  <c r="CS315" i="1"/>
  <c r="BV169" i="1"/>
  <c r="CS169" i="1" s="1"/>
  <c r="BV295" i="1"/>
  <c r="CS295" i="1" s="1"/>
  <c r="BV147" i="1"/>
  <c r="CS147" i="1" s="1"/>
  <c r="BV262" i="1"/>
  <c r="BW262" i="1" s="1"/>
  <c r="BV117" i="1"/>
  <c r="CS117" i="1" s="1"/>
  <c r="BV290" i="1"/>
  <c r="CS290" i="1" s="1"/>
  <c r="BV182" i="1"/>
  <c r="CS182" i="1" s="1"/>
  <c r="BV123" i="1"/>
  <c r="CS123" i="1" s="1"/>
  <c r="BV60" i="1"/>
  <c r="CS60" i="1" s="1"/>
  <c r="BV65" i="1"/>
  <c r="CS65" i="1" s="1"/>
  <c r="BV174" i="1"/>
  <c r="CS174" i="1" s="1"/>
  <c r="BV106" i="1"/>
  <c r="CS106" i="1" s="1"/>
  <c r="BV256" i="1"/>
  <c r="CS256" i="1" s="1"/>
  <c r="BT274" i="1"/>
  <c r="CN296" i="1"/>
  <c r="CN79" i="1"/>
  <c r="CN273" i="1"/>
  <c r="CN88" i="1"/>
  <c r="CN352" i="1"/>
  <c r="CN173" i="1"/>
  <c r="CN276" i="1"/>
  <c r="CN97" i="1"/>
  <c r="CN269" i="1"/>
  <c r="CN270" i="1"/>
  <c r="CN73" i="1"/>
  <c r="CN172" i="1"/>
  <c r="CN194" i="1"/>
  <c r="CN210" i="1"/>
  <c r="CN179" i="1"/>
  <c r="CN196" i="1"/>
  <c r="CN195" i="1"/>
  <c r="CN175" i="1"/>
  <c r="CN353" i="1"/>
  <c r="CN137" i="1"/>
  <c r="CN274" i="1"/>
  <c r="BV86" i="1"/>
  <c r="BW86" i="1" s="1"/>
  <c r="BV124" i="1"/>
  <c r="BW124" i="1" s="1"/>
  <c r="BV255" i="1"/>
  <c r="CS255" i="1" s="1"/>
  <c r="BV280" i="1"/>
  <c r="CS280" i="1" s="1"/>
  <c r="BV283" i="1"/>
  <c r="CS283" i="1" s="1"/>
  <c r="BV170" i="1"/>
  <c r="CS170" i="1" s="1"/>
  <c r="BV118" i="1"/>
  <c r="CS118" i="1" s="1"/>
  <c r="BV69" i="1"/>
  <c r="CS69" i="1" s="1"/>
  <c r="BV91" i="1"/>
  <c r="CS91" i="1" s="1"/>
  <c r="BV103" i="1"/>
  <c r="CS103" i="1" s="1"/>
  <c r="BT177" i="1"/>
  <c r="BV377" i="1"/>
  <c r="BW377" i="1" s="1"/>
  <c r="CN254" i="1"/>
  <c r="CN387" i="1"/>
  <c r="CN167" i="1"/>
  <c r="CN204" i="1"/>
  <c r="CN52" i="1"/>
  <c r="CN272" i="1"/>
  <c r="CN282" i="1"/>
  <c r="CN350" i="1"/>
  <c r="CN301" i="1"/>
  <c r="CN190" i="1"/>
  <c r="CN177" i="1"/>
  <c r="CN156" i="1"/>
  <c r="CN94" i="1"/>
  <c r="CN244" i="1"/>
  <c r="CN379" i="1"/>
  <c r="CN85" i="1"/>
  <c r="CN239" i="1"/>
  <c r="CN81" i="1"/>
  <c r="CN231" i="1"/>
  <c r="CN342" i="1"/>
  <c r="CN55" i="1"/>
  <c r="CN216" i="1"/>
  <c r="CN325" i="1"/>
  <c r="CN332" i="1"/>
  <c r="CN185" i="1"/>
  <c r="CN154" i="1"/>
  <c r="CN284" i="1"/>
  <c r="CN99" i="1"/>
  <c r="CN95" i="1"/>
  <c r="CN53" i="1"/>
  <c r="CN238" i="1"/>
  <c r="CN271" i="1"/>
  <c r="CN240" i="1"/>
  <c r="CN219" i="1"/>
  <c r="CN80" i="1"/>
  <c r="CN258" i="1"/>
  <c r="CN248" i="1"/>
  <c r="CN354" i="1"/>
  <c r="CN310" i="1"/>
  <c r="CN383" i="1"/>
  <c r="BT92" i="1"/>
  <c r="BQ212" i="1"/>
  <c r="CN212" i="1"/>
  <c r="BT212" i="1"/>
  <c r="BZ92" i="1"/>
  <c r="CS206" i="1"/>
  <c r="BW229" i="1"/>
  <c r="BW125" i="1"/>
  <c r="BW205" i="1"/>
  <c r="BW327" i="1"/>
  <c r="BW308" i="1"/>
  <c r="BW35" i="1"/>
  <c r="BW25" i="1"/>
  <c r="CS242" i="1"/>
  <c r="CS47" i="1"/>
  <c r="BQ164" i="1"/>
  <c r="CS344" i="1"/>
  <c r="CS372" i="1"/>
  <c r="CS250" i="1"/>
  <c r="BT254" i="1"/>
  <c r="BT164" i="1"/>
  <c r="BW184" i="1"/>
  <c r="BW266" i="1"/>
  <c r="BW323" i="1"/>
  <c r="CS318" i="1"/>
  <c r="BW28" i="1"/>
  <c r="BW326" i="1"/>
  <c r="BW316" i="1"/>
  <c r="BQ254" i="1"/>
  <c r="BW56" i="1"/>
  <c r="BW26" i="1"/>
  <c r="BW203" i="1"/>
  <c r="BW199" i="1"/>
  <c r="BW251" i="1"/>
  <c r="BW193" i="1"/>
  <c r="BW36" i="1"/>
  <c r="BW391" i="1"/>
  <c r="BW18" i="1"/>
  <c r="BW29" i="1"/>
  <c r="BW24" i="1"/>
  <c r="BW31" i="1"/>
  <c r="CS19" i="1"/>
  <c r="CS42" i="1" s="1"/>
  <c r="CS348" i="1"/>
  <c r="CS313" i="1"/>
  <c r="BQ177" i="1"/>
  <c r="BW41" i="1"/>
  <c r="BW321" i="1"/>
  <c r="BV42" i="1"/>
  <c r="BW140" i="1"/>
  <c r="BW362" i="1"/>
  <c r="BW217" i="1"/>
  <c r="BW373" i="1"/>
  <c r="BW298" i="1"/>
  <c r="CS48" i="1"/>
  <c r="CS142" i="1"/>
  <c r="CS336" i="1"/>
  <c r="CS197" i="1"/>
  <c r="CS312" i="1"/>
  <c r="BW34" i="1"/>
  <c r="BW23" i="1"/>
  <c r="BW152" i="1"/>
  <c r="BW158" i="1"/>
  <c r="BW21" i="1"/>
  <c r="BW302" i="1"/>
  <c r="BT244" i="1"/>
  <c r="BT190" i="1"/>
  <c r="CN230" i="1"/>
  <c r="BQ92" i="1"/>
  <c r="BW22" i="1"/>
  <c r="CS109" i="1"/>
  <c r="T34" i="44"/>
  <c r="BQ244" i="1"/>
  <c r="BW351" i="1"/>
  <c r="BQ387" i="1"/>
  <c r="BW145" i="1"/>
  <c r="BW101" i="1"/>
  <c r="BW50" i="1"/>
  <c r="BW311" i="1"/>
  <c r="BV96" i="1"/>
  <c r="BW96" i="1" s="1"/>
  <c r="BV209" i="1"/>
  <c r="CS209" i="1" s="1"/>
  <c r="BV110" i="1"/>
  <c r="CS110" i="1" s="1"/>
  <c r="BV153" i="1"/>
  <c r="CS153" i="1" s="1"/>
  <c r="BV57" i="1"/>
  <c r="BW57" i="1" s="1"/>
  <c r="BV291" i="1"/>
  <c r="CS291" i="1" s="1"/>
  <c r="BV76" i="1"/>
  <c r="CS76" i="1" s="1"/>
  <c r="BV107" i="1"/>
  <c r="CS107" i="1" s="1"/>
  <c r="BV224" i="1"/>
  <c r="CS224" i="1" s="1"/>
  <c r="BV279" i="1"/>
  <c r="CS279" i="1" s="1"/>
  <c r="BV135" i="1"/>
  <c r="BW135" i="1" s="1"/>
  <c r="BV187" i="1"/>
  <c r="BW187" i="1" s="1"/>
  <c r="BV288" i="1"/>
  <c r="BW288" i="1" s="1"/>
  <c r="BV186" i="1"/>
  <c r="CS186" i="1" s="1"/>
  <c r="BV100" i="1"/>
  <c r="CS100" i="1" s="1"/>
  <c r="BV294" i="1"/>
  <c r="CS294" i="1" s="1"/>
  <c r="BV234" i="1"/>
  <c r="CS234" i="1" s="1"/>
  <c r="BV261" i="1"/>
  <c r="CS261" i="1" s="1"/>
  <c r="BV49" i="1"/>
  <c r="CS49" i="1" s="1"/>
  <c r="BV236" i="1"/>
  <c r="BW236" i="1" s="1"/>
  <c r="BV98" i="1"/>
  <c r="CS98" i="1" s="1"/>
  <c r="BV277" i="1"/>
  <c r="CS277" i="1" s="1"/>
  <c r="BV141" i="1"/>
  <c r="CS141" i="1" s="1"/>
  <c r="BV228" i="1"/>
  <c r="CS228" i="1" s="1"/>
  <c r="BV112" i="1"/>
  <c r="BW112" i="1" s="1"/>
  <c r="BV83" i="1"/>
  <c r="CS83" i="1" s="1"/>
  <c r="BV115" i="1"/>
  <c r="CS115" i="1" s="1"/>
  <c r="BV223" i="1"/>
  <c r="CS223" i="1" s="1"/>
  <c r="BV72" i="1"/>
  <c r="CS72" i="1" s="1"/>
  <c r="BV62" i="1"/>
  <c r="CS62" i="1" s="1"/>
  <c r="BV165" i="1"/>
  <c r="CS165" i="1" s="1"/>
  <c r="BV89" i="1"/>
  <c r="CS89" i="1" s="1"/>
  <c r="BV68" i="1"/>
  <c r="CS68" i="1" s="1"/>
  <c r="BV226" i="1"/>
  <c r="CS226" i="1" s="1"/>
  <c r="BV130" i="1"/>
  <c r="CS130" i="1" s="1"/>
  <c r="BV93" i="1"/>
  <c r="CS93" i="1" s="1"/>
  <c r="BV192" i="1"/>
  <c r="CS192" i="1" s="1"/>
  <c r="BV64" i="1"/>
  <c r="CS64" i="1" s="1"/>
  <c r="BV71" i="1"/>
  <c r="CS71" i="1" s="1"/>
  <c r="BV61" i="1"/>
  <c r="CS61" i="1" s="1"/>
  <c r="BV218" i="1"/>
  <c r="CS218" i="1" s="1"/>
  <c r="BV213" i="1"/>
  <c r="CS213" i="1" s="1"/>
  <c r="BV149" i="1"/>
  <c r="CS149" i="1" s="1"/>
  <c r="BV263" i="1"/>
  <c r="CS263" i="1" s="1"/>
  <c r="BV243" i="1"/>
  <c r="CS243" i="1" s="1"/>
  <c r="BV222" i="1"/>
  <c r="BW222" i="1" s="1"/>
  <c r="BQ274" i="1"/>
  <c r="T75" i="44"/>
  <c r="BV247" i="1"/>
  <c r="CS247" i="1" s="1"/>
  <c r="AM304" i="44"/>
  <c r="BV208" i="1"/>
  <c r="BW208" i="1" s="1"/>
  <c r="BV148" i="1"/>
  <c r="BW148" i="1" s="1"/>
  <c r="BV264" i="1"/>
  <c r="CS264" i="1" s="1"/>
  <c r="BV275" i="1"/>
  <c r="BW275" i="1" s="1"/>
  <c r="BV74" i="1"/>
  <c r="CS74" i="1" s="1"/>
  <c r="BV171" i="1"/>
  <c r="BW171" i="1" s="1"/>
  <c r="BV252" i="1"/>
  <c r="CS252" i="1" s="1"/>
  <c r="BV188" i="1"/>
  <c r="BV132" i="1"/>
  <c r="BW132" i="1" s="1"/>
  <c r="BV146" i="1"/>
  <c r="BW146" i="1" s="1"/>
  <c r="BV285" i="1"/>
  <c r="CS285" i="1" s="1"/>
  <c r="BV122" i="1"/>
  <c r="CS122" i="1" s="1"/>
  <c r="BV159" i="1"/>
  <c r="CS159" i="1" s="1"/>
  <c r="BV131" i="1"/>
  <c r="CS131" i="1" s="1"/>
  <c r="BV178" i="1"/>
  <c r="CS178" i="1" s="1"/>
  <c r="BV144" i="1"/>
  <c r="CS144" i="1" s="1"/>
  <c r="BV207" i="1"/>
  <c r="BW207" i="1" s="1"/>
  <c r="BV138" i="1"/>
  <c r="BW138" i="1" s="1"/>
  <c r="BV128" i="1"/>
  <c r="CS128" i="1" s="1"/>
  <c r="BV160" i="1"/>
  <c r="BW160" i="1" s="1"/>
  <c r="BV235" i="1"/>
  <c r="CS235" i="1" s="1"/>
  <c r="BV176" i="1"/>
  <c r="CS176" i="1" s="1"/>
  <c r="BV78" i="1"/>
  <c r="CS78" i="1" s="1"/>
  <c r="BV151" i="1"/>
  <c r="CS151" i="1" s="1"/>
  <c r="BV183" i="1"/>
  <c r="BW183" i="1" s="1"/>
  <c r="BV198" i="1"/>
  <c r="BW198" i="1" s="1"/>
  <c r="BV233" i="1"/>
  <c r="BW233" i="1" s="1"/>
  <c r="BV116" i="1"/>
  <c r="CS116" i="1" s="1"/>
  <c r="BV66" i="1"/>
  <c r="CS66" i="1" s="1"/>
  <c r="BV168" i="1"/>
  <c r="CS168" i="1" s="1"/>
  <c r="BV114" i="1"/>
  <c r="BW114" i="1" s="1"/>
  <c r="BV268" i="1"/>
  <c r="CS268" i="1" s="1"/>
  <c r="BV105" i="1"/>
  <c r="CS105" i="1" s="1"/>
  <c r="BV82" i="1"/>
  <c r="CS82" i="1" s="1"/>
  <c r="BV87" i="1"/>
  <c r="CS87" i="1" s="1"/>
  <c r="BV63" i="1"/>
  <c r="CS63" i="1" s="1"/>
  <c r="BV54" i="1"/>
  <c r="CS54" i="1" s="1"/>
  <c r="BV77" i="1"/>
  <c r="CS77" i="1" s="1"/>
  <c r="BV202" i="1"/>
  <c r="CS202" i="1" s="1"/>
  <c r="BV111" i="1"/>
  <c r="CS111" i="1" s="1"/>
  <c r="BV75" i="1"/>
  <c r="CS75" i="1" s="1"/>
  <c r="BV227" i="1"/>
  <c r="CS227" i="1" s="1"/>
  <c r="CS241" i="1"/>
  <c r="BV200" i="1"/>
  <c r="CS200" i="1" s="1"/>
  <c r="BV215" i="1"/>
  <c r="CS215" i="1" s="1"/>
  <c r="BW134" i="1"/>
  <c r="CB42" i="1"/>
  <c r="BT310" i="1"/>
  <c r="BT325" i="1"/>
  <c r="BT342" i="1"/>
  <c r="BT379" i="1"/>
  <c r="BT354" i="1"/>
  <c r="BT383" i="1"/>
  <c r="BT353" i="1"/>
  <c r="BT352" i="1"/>
  <c r="BT332" i="1"/>
  <c r="BT350" i="1"/>
  <c r="P42" i="44"/>
  <c r="BQ156" i="1"/>
  <c r="F38" i="36"/>
  <c r="H38" i="36" s="1"/>
  <c r="BT156" i="1"/>
  <c r="BT240" i="1"/>
  <c r="BT219" i="1"/>
  <c r="BT248" i="1"/>
  <c r="BT137" i="1"/>
  <c r="BT179" i="1"/>
  <c r="BT80" i="1"/>
  <c r="BT195" i="1"/>
  <c r="BT258" i="1"/>
  <c r="BT175" i="1"/>
  <c r="BT196" i="1"/>
  <c r="BT180" i="1"/>
  <c r="BT194" i="1"/>
  <c r="BT53" i="1"/>
  <c r="BT271" i="1"/>
  <c r="BT95" i="1"/>
  <c r="BT99" i="1"/>
  <c r="BT185" i="1"/>
  <c r="BT97" i="1"/>
  <c r="BT273" i="1"/>
  <c r="BT79" i="1"/>
  <c r="BT162" i="1"/>
  <c r="BT73" i="1"/>
  <c r="BT55" i="1"/>
  <c r="BT232" i="1"/>
  <c r="BT166" i="1"/>
  <c r="BT272" i="1"/>
  <c r="BT231" i="1"/>
  <c r="BT85" i="1"/>
  <c r="BT81" i="1"/>
  <c r="BT181" i="1"/>
  <c r="BT191" i="1"/>
  <c r="BT210" i="1"/>
  <c r="BT126" i="1"/>
  <c r="BT269" i="1"/>
  <c r="BT238" i="1"/>
  <c r="BT154" i="1"/>
  <c r="BT284" i="1"/>
  <c r="BT276" i="1"/>
  <c r="BT216" i="1"/>
  <c r="BT296" i="1"/>
  <c r="BT88" i="1"/>
  <c r="BT173" i="1"/>
  <c r="BT172" i="1"/>
  <c r="BT270" i="1"/>
  <c r="BT150" i="1"/>
  <c r="BT230" i="1"/>
  <c r="BT278" i="1"/>
  <c r="BT282" i="1"/>
  <c r="BT239" i="1"/>
  <c r="BT204" i="1"/>
  <c r="BT52" i="1"/>
  <c r="BT94" i="1"/>
  <c r="BT301" i="1"/>
  <c r="BT167" i="1"/>
  <c r="BT113" i="1"/>
  <c r="BT211" i="1"/>
  <c r="T371" i="44"/>
  <c r="BQ113" i="1"/>
  <c r="BQ211" i="1"/>
  <c r="Y368" i="44"/>
  <c r="T27" i="44"/>
  <c r="T323" i="44"/>
  <c r="BQ231" i="1"/>
  <c r="BQ181" i="1"/>
  <c r="BQ85" i="1"/>
  <c r="BQ167" i="1"/>
  <c r="BQ204" i="1"/>
  <c r="BQ150" i="1"/>
  <c r="BQ272" i="1"/>
  <c r="BQ94" i="1"/>
  <c r="BQ239" i="1"/>
  <c r="BQ81" i="1"/>
  <c r="BQ52" i="1"/>
  <c r="AJ317" i="44"/>
  <c r="Y323" i="44"/>
  <c r="BQ282" i="1"/>
  <c r="BQ166" i="1"/>
  <c r="BQ379" i="1"/>
  <c r="BQ350" i="1"/>
  <c r="BQ230" i="1"/>
  <c r="T360" i="44"/>
  <c r="BQ278" i="1"/>
  <c r="BQ342" i="1"/>
  <c r="AJ323" i="44"/>
  <c r="T317" i="44"/>
  <c r="Y317" i="44"/>
  <c r="Y319" i="44"/>
  <c r="T347" i="44"/>
  <c r="Y347" i="44"/>
  <c r="AJ313" i="44"/>
  <c r="AJ349" i="44"/>
  <c r="T313" i="44"/>
  <c r="Y342" i="44"/>
  <c r="Y311" i="44"/>
  <c r="AJ311" i="44"/>
  <c r="T311" i="44"/>
  <c r="Y315" i="44"/>
  <c r="T315" i="44"/>
  <c r="AJ315" i="44"/>
  <c r="AJ371" i="44"/>
  <c r="AJ19" i="44"/>
  <c r="T342" i="44"/>
  <c r="T340" i="44"/>
  <c r="T349" i="44"/>
  <c r="Y19" i="44"/>
  <c r="AJ320" i="44"/>
  <c r="T320" i="44"/>
  <c r="Y35" i="44"/>
  <c r="AJ340" i="44"/>
  <c r="AJ23" i="44"/>
  <c r="T368" i="44"/>
  <c r="Y367" i="44"/>
  <c r="T362" i="44"/>
  <c r="AJ35" i="44"/>
  <c r="T23" i="44"/>
  <c r="AJ27" i="44"/>
  <c r="AJ319" i="44"/>
  <c r="Y349" i="44"/>
  <c r="T319" i="44"/>
  <c r="AJ342" i="44"/>
  <c r="Y360" i="44"/>
  <c r="Y371" i="44"/>
  <c r="AJ34" i="44"/>
  <c r="Y27" i="44"/>
  <c r="AJ347" i="44"/>
  <c r="Y361" i="44"/>
  <c r="AJ367" i="44"/>
  <c r="Y34" i="44"/>
  <c r="Y32" i="44"/>
  <c r="AJ32" i="44"/>
  <c r="T32" i="44"/>
  <c r="Y28" i="44"/>
  <c r="AJ28" i="44"/>
  <c r="T28" i="44"/>
  <c r="AJ372" i="44"/>
  <c r="T372" i="44"/>
  <c r="Y372" i="44"/>
  <c r="Y341" i="44"/>
  <c r="AJ341" i="44"/>
  <c r="T341" i="44"/>
  <c r="Y363" i="44"/>
  <c r="AJ363" i="44"/>
  <c r="T363" i="44"/>
  <c r="T331" i="44"/>
  <c r="Y331" i="44"/>
  <c r="AJ331" i="44"/>
  <c r="AJ318" i="44"/>
  <c r="Y318" i="44"/>
  <c r="T318" i="44"/>
  <c r="AJ330" i="44"/>
  <c r="Y330" i="44"/>
  <c r="T330" i="44"/>
  <c r="AJ26" i="44"/>
  <c r="T26" i="44"/>
  <c r="Y26" i="44"/>
  <c r="T303" i="44"/>
  <c r="Y303" i="44"/>
  <c r="AJ303" i="44"/>
  <c r="Y30" i="44"/>
  <c r="AJ30" i="44"/>
  <c r="T30" i="44"/>
  <c r="I38" i="37"/>
  <c r="Y38" i="44"/>
  <c r="AJ38" i="44"/>
  <c r="T38" i="44"/>
  <c r="Y337" i="44"/>
  <c r="AJ337" i="44"/>
  <c r="T337" i="44"/>
  <c r="Y325" i="44"/>
  <c r="AJ325" i="44"/>
  <c r="T325" i="44"/>
  <c r="Y324" i="44"/>
  <c r="T324" i="44"/>
  <c r="AJ324" i="44"/>
  <c r="T49" i="44"/>
  <c r="AJ49" i="44"/>
  <c r="Y49" i="44"/>
  <c r="AJ374" i="44"/>
  <c r="T374" i="44"/>
  <c r="Y374" i="44"/>
  <c r="AJ338" i="44"/>
  <c r="Y338" i="44"/>
  <c r="T338" i="44"/>
  <c r="Y24" i="44"/>
  <c r="AJ24" i="44"/>
  <c r="T24" i="44"/>
  <c r="Q42" i="44"/>
  <c r="AJ332" i="44"/>
  <c r="AJ368" i="44"/>
  <c r="Y377" i="44"/>
  <c r="AJ377" i="44"/>
  <c r="T377" i="44"/>
  <c r="T339" i="44"/>
  <c r="Y339" i="44"/>
  <c r="AJ339" i="44"/>
  <c r="Y22" i="44"/>
  <c r="AJ22" i="44"/>
  <c r="T22" i="44"/>
  <c r="T21" i="44"/>
  <c r="Y21" i="44"/>
  <c r="AJ21" i="44"/>
  <c r="Y18" i="44"/>
  <c r="AJ18" i="44"/>
  <c r="T18" i="44"/>
  <c r="Y308" i="44"/>
  <c r="T308" i="44"/>
  <c r="Y329" i="44"/>
  <c r="AJ329" i="44"/>
  <c r="T329" i="44"/>
  <c r="Y348" i="44"/>
  <c r="T348" i="44"/>
  <c r="Y332" i="44"/>
  <c r="T332" i="44"/>
  <c r="Y48" i="44"/>
  <c r="T48" i="44"/>
  <c r="AJ48" i="44"/>
  <c r="Y31" i="44"/>
  <c r="AJ31" i="44"/>
  <c r="T31" i="44"/>
  <c r="Y309" i="44"/>
  <c r="AJ309" i="44"/>
  <c r="T309" i="44"/>
  <c r="AJ310" i="44"/>
  <c r="Y310" i="44"/>
  <c r="T310" i="44"/>
  <c r="Y37" i="44"/>
  <c r="AJ37" i="44"/>
  <c r="T37" i="44"/>
  <c r="Y20" i="44"/>
  <c r="AJ20" i="44"/>
  <c r="T20" i="44"/>
  <c r="I38" i="41"/>
  <c r="AJ322" i="44"/>
  <c r="Y322" i="44"/>
  <c r="T322" i="44"/>
  <c r="T359" i="44"/>
  <c r="Y359" i="44"/>
  <c r="AJ359" i="44"/>
  <c r="AJ41" i="44"/>
  <c r="T41" i="44"/>
  <c r="Y41" i="44"/>
  <c r="T36" i="44"/>
  <c r="Y36" i="44"/>
  <c r="AJ36" i="44"/>
  <c r="T33" i="44"/>
  <c r="Y33" i="44"/>
  <c r="AJ33" i="44"/>
  <c r="T57" i="44"/>
  <c r="Y57" i="44"/>
  <c r="T25" i="44"/>
  <c r="Y25" i="44"/>
  <c r="AJ25" i="44"/>
  <c r="Y345" i="44"/>
  <c r="AJ345" i="44"/>
  <c r="T345" i="44"/>
  <c r="T328" i="44"/>
  <c r="Y328" i="44"/>
  <c r="Y369" i="44"/>
  <c r="AJ369" i="44"/>
  <c r="T369" i="44"/>
  <c r="T336" i="44"/>
  <c r="Y336" i="44"/>
  <c r="Y373" i="44"/>
  <c r="AJ373" i="44"/>
  <c r="T373" i="44"/>
  <c r="AJ51" i="44"/>
  <c r="Y51" i="44"/>
  <c r="T51" i="44"/>
  <c r="AJ370" i="44"/>
  <c r="T370" i="44"/>
  <c r="Y370" i="44"/>
  <c r="Y376" i="44"/>
  <c r="AJ376" i="44"/>
  <c r="T376" i="44"/>
  <c r="AJ346" i="44"/>
  <c r="Y346" i="44"/>
  <c r="T346" i="44"/>
  <c r="T29" i="44"/>
  <c r="Y29" i="44"/>
  <c r="AJ29" i="44"/>
  <c r="Y17" i="44"/>
  <c r="AJ17" i="44"/>
  <c r="T17" i="44"/>
  <c r="T42" i="44" s="1"/>
  <c r="R17" i="44"/>
  <c r="M42" i="44"/>
  <c r="AJ328" i="44"/>
  <c r="AJ348" i="44"/>
  <c r="AJ360" i="44"/>
  <c r="T375" i="44"/>
  <c r="Y375" i="44"/>
  <c r="AJ375" i="44"/>
  <c r="AJ336" i="44"/>
  <c r="T303" i="1"/>
  <c r="BQ55" i="1"/>
  <c r="BQ232" i="1"/>
  <c r="BQ79" i="1"/>
  <c r="BQ273" i="1"/>
  <c r="BQ258" i="1"/>
  <c r="BQ332" i="1"/>
  <c r="BQ325" i="1"/>
  <c r="BQ172" i="1"/>
  <c r="BQ73" i="1"/>
  <c r="BQ88" i="1"/>
  <c r="BQ216" i="1"/>
  <c r="BQ162" i="1"/>
  <c r="BQ173" i="1"/>
  <c r="BQ284" i="1"/>
  <c r="BQ352" i="1"/>
  <c r="BQ185" i="1"/>
  <c r="BQ276" i="1"/>
  <c r="BQ97" i="1"/>
  <c r="BQ271" i="1"/>
  <c r="BQ154" i="1"/>
  <c r="BQ99" i="1"/>
  <c r="BQ95" i="1"/>
  <c r="CP400" i="1"/>
  <c r="BQ42" i="1"/>
  <c r="CG42" i="1"/>
  <c r="BQ270" i="1"/>
  <c r="BW380" i="1"/>
  <c r="BQ269" i="1"/>
  <c r="BQ53" i="1"/>
  <c r="BQ238" i="1"/>
  <c r="BQ126" i="1"/>
  <c r="BQ194" i="1"/>
  <c r="BQ180" i="1"/>
  <c r="BQ210" i="1"/>
  <c r="BQ354" i="1"/>
  <c r="BQ240" i="1"/>
  <c r="BQ219" i="1"/>
  <c r="BQ196" i="1"/>
  <c r="BQ191" i="1"/>
  <c r="BQ179" i="1"/>
  <c r="BQ80" i="1"/>
  <c r="BQ195" i="1"/>
  <c r="BQ175" i="1"/>
  <c r="BQ248" i="1"/>
  <c r="BQ310" i="1"/>
  <c r="BQ137" i="1"/>
  <c r="BQ353" i="1"/>
  <c r="BQ383" i="1"/>
  <c r="K44" i="1"/>
  <c r="V305" i="1"/>
  <c r="W305" i="1" s="1"/>
  <c r="V46" i="1"/>
  <c r="W46" i="1" s="1"/>
  <c r="V13" i="1"/>
  <c r="W13" i="1" s="1"/>
  <c r="V44" i="1"/>
  <c r="W44" i="1" s="1"/>
  <c r="V45" i="1"/>
  <c r="W45" i="1" s="1"/>
  <c r="T14" i="1"/>
  <c r="X430" i="57" l="1"/>
  <c r="CG188" i="1"/>
  <c r="AJ186" i="44"/>
  <c r="CG189" i="1"/>
  <c r="BV220" i="1"/>
  <c r="X401" i="57"/>
  <c r="CG220" i="1"/>
  <c r="X374" i="57"/>
  <c r="BW287" i="1"/>
  <c r="R379" i="44"/>
  <c r="X399" i="57"/>
  <c r="X391" i="57"/>
  <c r="X403" i="57"/>
  <c r="X428" i="57"/>
  <c r="X402" i="57"/>
  <c r="P334" i="44"/>
  <c r="Q334" i="44" s="1"/>
  <c r="F345" i="36"/>
  <c r="P355" i="44"/>
  <c r="Q355" i="44" s="1"/>
  <c r="F366" i="36"/>
  <c r="P356" i="44"/>
  <c r="Q356" i="44" s="1"/>
  <c r="F367" i="36"/>
  <c r="P344" i="44"/>
  <c r="Q344" i="44" s="1"/>
  <c r="F355" i="36"/>
  <c r="P312" i="44"/>
  <c r="Q312" i="44" s="1"/>
  <c r="F323" i="36"/>
  <c r="P383" i="44"/>
  <c r="Q383" i="44" s="1"/>
  <c r="F394" i="36"/>
  <c r="M352" i="44"/>
  <c r="M327" i="44"/>
  <c r="M334" i="44"/>
  <c r="R334" i="44" s="1"/>
  <c r="M355" i="44"/>
  <c r="AJ138" i="44"/>
  <c r="P352" i="44"/>
  <c r="Q352" i="44" s="1"/>
  <c r="F363" i="36"/>
  <c r="P354" i="44"/>
  <c r="Q354" i="44" s="1"/>
  <c r="F365" i="36"/>
  <c r="P385" i="44"/>
  <c r="Q385" i="44" s="1"/>
  <c r="F396" i="36"/>
  <c r="P381" i="44"/>
  <c r="Q381" i="44" s="1"/>
  <c r="F392" i="36"/>
  <c r="P327" i="44"/>
  <c r="Q327" i="44" s="1"/>
  <c r="F338" i="36"/>
  <c r="AJ71" i="44"/>
  <c r="AJ273" i="44"/>
  <c r="X381" i="57"/>
  <c r="M354" i="44"/>
  <c r="BV70" i="1"/>
  <c r="BW70" i="1" s="1"/>
  <c r="M383" i="44"/>
  <c r="M356" i="44"/>
  <c r="R356" i="44" s="1"/>
  <c r="P389" i="44"/>
  <c r="Q389" i="44" s="1"/>
  <c r="R352" i="44"/>
  <c r="T74" i="44"/>
  <c r="M389" i="44"/>
  <c r="M344" i="44"/>
  <c r="M381" i="44"/>
  <c r="M385" i="44"/>
  <c r="M312" i="44"/>
  <c r="R312" i="44" s="1"/>
  <c r="AA55" i="57"/>
  <c r="CS188" i="1"/>
  <c r="BV387" i="1"/>
  <c r="CM42" i="1"/>
  <c r="P68" i="58"/>
  <c r="O65" i="57"/>
  <c r="P13" i="58"/>
  <c r="O13" i="57"/>
  <c r="P340" i="58"/>
  <c r="P432" i="58" s="1"/>
  <c r="O339" i="57"/>
  <c r="T15" i="1"/>
  <c r="CL42" i="1"/>
  <c r="BW220" i="1"/>
  <c r="CR38" i="1"/>
  <c r="CS220" i="1"/>
  <c r="CS267" i="1"/>
  <c r="BW189" i="1"/>
  <c r="Q13" i="52"/>
  <c r="CG70" i="1"/>
  <c r="Y378" i="44"/>
  <c r="CS189" i="1"/>
  <c r="CS70" i="1"/>
  <c r="T131" i="44"/>
  <c r="T125" i="44"/>
  <c r="T174" i="44"/>
  <c r="AJ378" i="44"/>
  <c r="Y274" i="44"/>
  <c r="Y234" i="44"/>
  <c r="T139" i="44"/>
  <c r="Y258" i="44"/>
  <c r="BV381" i="1"/>
  <c r="CS381" i="1" s="1"/>
  <c r="T151" i="44"/>
  <c r="T187" i="44"/>
  <c r="Y173" i="44"/>
  <c r="BW260" i="1"/>
  <c r="Y387" i="44"/>
  <c r="Y232" i="44"/>
  <c r="Y218" i="44"/>
  <c r="T212" i="44"/>
  <c r="T262" i="44"/>
  <c r="BV289" i="1"/>
  <c r="BW289" i="1" s="1"/>
  <c r="Y247" i="44"/>
  <c r="Y155" i="44"/>
  <c r="T382" i="44"/>
  <c r="T165" i="44"/>
  <c r="T252" i="44"/>
  <c r="T179" i="44"/>
  <c r="T94" i="44"/>
  <c r="Y168" i="44"/>
  <c r="Y167" i="44"/>
  <c r="Y275" i="44"/>
  <c r="T127" i="44"/>
  <c r="Y181" i="44"/>
  <c r="AJ131" i="44"/>
  <c r="CS201" i="1"/>
  <c r="CG383" i="1"/>
  <c r="CG248" i="1"/>
  <c r="CG179" i="1"/>
  <c r="CG196" i="1"/>
  <c r="CG240" i="1"/>
  <c r="CG210" i="1"/>
  <c r="CG194" i="1"/>
  <c r="CG238" i="1"/>
  <c r="CG269" i="1"/>
  <c r="CG99" i="1"/>
  <c r="CG271" i="1"/>
  <c r="CG276" i="1"/>
  <c r="CG352" i="1"/>
  <c r="CG173" i="1"/>
  <c r="CG216" i="1"/>
  <c r="CG73" i="1"/>
  <c r="CG325" i="1"/>
  <c r="CG258" i="1"/>
  <c r="CG79" i="1"/>
  <c r="CG55" i="1"/>
  <c r="CG342" i="1"/>
  <c r="CG230" i="1"/>
  <c r="CG166" i="1"/>
  <c r="CG81" i="1"/>
  <c r="CG94" i="1"/>
  <c r="CG150" i="1"/>
  <c r="CG167" i="1"/>
  <c r="CG181" i="1"/>
  <c r="CG231" i="1"/>
  <c r="CG113" i="1"/>
  <c r="CG274" i="1"/>
  <c r="CG92" i="1"/>
  <c r="CG164" i="1"/>
  <c r="CG212" i="1"/>
  <c r="CG190" i="1"/>
  <c r="CG249" i="1"/>
  <c r="CG301" i="1"/>
  <c r="CG381" i="1"/>
  <c r="CG137" i="1"/>
  <c r="CG195" i="1"/>
  <c r="CG353" i="1"/>
  <c r="CG310" i="1"/>
  <c r="CG175" i="1"/>
  <c r="CG80" i="1"/>
  <c r="CG191" i="1"/>
  <c r="CG219" i="1"/>
  <c r="CG354" i="1"/>
  <c r="CG180" i="1"/>
  <c r="CG126" i="1"/>
  <c r="CG53" i="1"/>
  <c r="CG270" i="1"/>
  <c r="CG95" i="1"/>
  <c r="CG154" i="1"/>
  <c r="CG97" i="1"/>
  <c r="CG185" i="1"/>
  <c r="CG284" i="1"/>
  <c r="CG162" i="1"/>
  <c r="CG88" i="1"/>
  <c r="CG172" i="1"/>
  <c r="CG332" i="1"/>
  <c r="CG273" i="1"/>
  <c r="CG232" i="1"/>
  <c r="CG278" i="1"/>
  <c r="CG350" i="1"/>
  <c r="CG379" i="1"/>
  <c r="CG282" i="1"/>
  <c r="CG52" i="1"/>
  <c r="CG239" i="1"/>
  <c r="CG272" i="1"/>
  <c r="CG204" i="1"/>
  <c r="CG85" i="1"/>
  <c r="CG211" i="1"/>
  <c r="CG156" i="1"/>
  <c r="CG387" i="1"/>
  <c r="CG244" i="1"/>
  <c r="CG177" i="1"/>
  <c r="CG254" i="1"/>
  <c r="CG289" i="1"/>
  <c r="CG296" i="1"/>
  <c r="CS377" i="1"/>
  <c r="T237" i="44"/>
  <c r="Y389" i="44"/>
  <c r="T239" i="44"/>
  <c r="BV164" i="1"/>
  <c r="BW164" i="1" s="1"/>
  <c r="BV274" i="1"/>
  <c r="CS274" i="1" s="1"/>
  <c r="Y69" i="44"/>
  <c r="BV254" i="1"/>
  <c r="BW254" i="1" s="1"/>
  <c r="T149" i="44"/>
  <c r="Y217" i="44"/>
  <c r="T225" i="44"/>
  <c r="Y256" i="44"/>
  <c r="BW290" i="1"/>
  <c r="BV177" i="1"/>
  <c r="CS177" i="1" s="1"/>
  <c r="BV249" i="1"/>
  <c r="CS249" i="1" s="1"/>
  <c r="T159" i="44"/>
  <c r="Y246" i="44"/>
  <c r="Y141" i="44"/>
  <c r="BV92" i="1"/>
  <c r="CS92" i="1" s="1"/>
  <c r="Y352" i="44"/>
  <c r="K40" i="42"/>
  <c r="K303" i="1"/>
  <c r="K400" i="1" s="1"/>
  <c r="AJ125" i="44"/>
  <c r="BW117" i="1"/>
  <c r="BW256" i="1"/>
  <c r="BW106" i="1"/>
  <c r="BW170" i="1"/>
  <c r="CS262" i="1"/>
  <c r="CS124" i="1"/>
  <c r="BW60" i="1"/>
  <c r="BW169" i="1"/>
  <c r="BW147" i="1"/>
  <c r="CS86" i="1"/>
  <c r="BW103" i="1"/>
  <c r="BW280" i="1"/>
  <c r="Z322" i="52"/>
  <c r="AB322" i="52" s="1"/>
  <c r="BZ289" i="1"/>
  <c r="P336" i="52"/>
  <c r="BW223" i="1"/>
  <c r="BW123" i="1"/>
  <c r="BW65" i="1"/>
  <c r="BW69" i="1"/>
  <c r="BW182" i="1"/>
  <c r="BW174" i="1"/>
  <c r="CS112" i="1"/>
  <c r="BW91" i="1"/>
  <c r="BW295" i="1"/>
  <c r="BW255" i="1"/>
  <c r="Y271" i="44"/>
  <c r="BW218" i="1"/>
  <c r="BW153" i="1"/>
  <c r="Y244" i="44"/>
  <c r="Y156" i="44"/>
  <c r="Y169" i="44"/>
  <c r="T113" i="44"/>
  <c r="BW118" i="1"/>
  <c r="BW72" i="1"/>
  <c r="BW283" i="1"/>
  <c r="BW224" i="1"/>
  <c r="BW234" i="1"/>
  <c r="BW209" i="1"/>
  <c r="CS135" i="1"/>
  <c r="BV212" i="1"/>
  <c r="CS212" i="1" s="1"/>
  <c r="T245" i="44"/>
  <c r="T142" i="44"/>
  <c r="Y128" i="44"/>
  <c r="Y230" i="44"/>
  <c r="Y204" i="44"/>
  <c r="AJ254" i="44"/>
  <c r="BV332" i="1"/>
  <c r="BW332" i="1" s="1"/>
  <c r="BV353" i="1"/>
  <c r="CS353" i="1" s="1"/>
  <c r="BV354" i="1"/>
  <c r="CS354" i="1" s="1"/>
  <c r="BV342" i="1"/>
  <c r="CS342" i="1" s="1"/>
  <c r="BV310" i="1"/>
  <c r="CS310" i="1" s="1"/>
  <c r="BV190" i="1"/>
  <c r="CS190" i="1" s="1"/>
  <c r="BV269" i="1"/>
  <c r="BW269" i="1" s="1"/>
  <c r="BV180" i="1"/>
  <c r="CS180" i="1" s="1"/>
  <c r="BV350" i="1"/>
  <c r="CS350" i="1" s="1"/>
  <c r="BV352" i="1"/>
  <c r="CS352" i="1" s="1"/>
  <c r="BV325" i="1"/>
  <c r="CS325" i="1" s="1"/>
  <c r="BW122" i="1"/>
  <c r="BW243" i="1"/>
  <c r="CS171" i="1"/>
  <c r="CS114" i="1"/>
  <c r="CS288" i="1"/>
  <c r="CS222" i="1"/>
  <c r="BW213" i="1"/>
  <c r="BW387" i="1"/>
  <c r="BW110" i="1"/>
  <c r="BW149" i="1"/>
  <c r="BW71" i="1"/>
  <c r="BW115" i="1"/>
  <c r="BW141" i="1"/>
  <c r="BW178" i="1"/>
  <c r="BW291" i="1"/>
  <c r="BW49" i="1"/>
  <c r="BW100" i="1"/>
  <c r="CS138" i="1"/>
  <c r="BW226" i="1"/>
  <c r="BW77" i="1"/>
  <c r="BW261" i="1"/>
  <c r="BW294" i="1"/>
  <c r="BW228" i="1"/>
  <c r="CS236" i="1"/>
  <c r="CS187" i="1"/>
  <c r="CS198" i="1"/>
  <c r="CS148" i="1"/>
  <c r="CS275" i="1"/>
  <c r="BW128" i="1"/>
  <c r="BW252" i="1"/>
  <c r="BW62" i="1"/>
  <c r="BW64" i="1"/>
  <c r="BW279" i="1"/>
  <c r="BW89" i="1"/>
  <c r="BW83" i="1"/>
  <c r="BW93" i="1"/>
  <c r="BW277" i="1"/>
  <c r="CS57" i="1"/>
  <c r="CS387" i="1"/>
  <c r="CS96" i="1"/>
  <c r="BV244" i="1"/>
  <c r="CS244" i="1" s="1"/>
  <c r="Y350" i="44"/>
  <c r="BW42" i="1"/>
  <c r="AM42" i="44" s="1"/>
  <c r="BW130" i="1"/>
  <c r="BW165" i="1"/>
  <c r="BW192" i="1"/>
  <c r="BW159" i="1"/>
  <c r="BW61" i="1"/>
  <c r="BW202" i="1"/>
  <c r="BW105" i="1"/>
  <c r="BW264" i="1"/>
  <c r="BW98" i="1"/>
  <c r="BW78" i="1"/>
  <c r="BW107" i="1"/>
  <c r="BW68" i="1"/>
  <c r="BW263" i="1"/>
  <c r="BW76" i="1"/>
  <c r="BW186" i="1"/>
  <c r="BW111" i="1"/>
  <c r="BW188" i="1"/>
  <c r="BW63" i="1"/>
  <c r="BW176" i="1"/>
  <c r="CS160" i="1"/>
  <c r="CS233" i="1"/>
  <c r="CS146" i="1"/>
  <c r="Y172" i="44"/>
  <c r="Y270" i="44"/>
  <c r="T379" i="44"/>
  <c r="CS183" i="1"/>
  <c r="AJ379" i="44"/>
  <c r="BW82" i="1"/>
  <c r="BW66" i="1"/>
  <c r="BW151" i="1"/>
  <c r="BW215" i="1"/>
  <c r="Y93" i="44"/>
  <c r="Y126" i="44"/>
  <c r="T253" i="44"/>
  <c r="BW75" i="1"/>
  <c r="BW116" i="1"/>
  <c r="BW131" i="1"/>
  <c r="CS207" i="1"/>
  <c r="CS132" i="1"/>
  <c r="BW247" i="1"/>
  <c r="CS208" i="1"/>
  <c r="BW200" i="1"/>
  <c r="T343" i="44"/>
  <c r="Y96" i="44"/>
  <c r="T84" i="44"/>
  <c r="T78" i="44"/>
  <c r="Y87" i="44"/>
  <c r="T353" i="44"/>
  <c r="BV113" i="1"/>
  <c r="CS113" i="1" s="1"/>
  <c r="BV301" i="1"/>
  <c r="BW301" i="1" s="1"/>
  <c r="BV204" i="1"/>
  <c r="BW204" i="1" s="1"/>
  <c r="BV282" i="1"/>
  <c r="BW282" i="1" s="1"/>
  <c r="BV230" i="1"/>
  <c r="BW230" i="1" s="1"/>
  <c r="BV270" i="1"/>
  <c r="BW270" i="1" s="1"/>
  <c r="BV173" i="1"/>
  <c r="BW173" i="1" s="1"/>
  <c r="BV296" i="1"/>
  <c r="CS296" i="1" s="1"/>
  <c r="BV276" i="1"/>
  <c r="BW276" i="1" s="1"/>
  <c r="BV154" i="1"/>
  <c r="CS154" i="1" s="1"/>
  <c r="BV238" i="1"/>
  <c r="BW238" i="1" s="1"/>
  <c r="BV126" i="1"/>
  <c r="BW126" i="1" s="1"/>
  <c r="BV191" i="1"/>
  <c r="CS191" i="1" s="1"/>
  <c r="BV81" i="1"/>
  <c r="BW81" i="1" s="1"/>
  <c r="BV231" i="1"/>
  <c r="BW231" i="1" s="1"/>
  <c r="BV166" i="1"/>
  <c r="BW166" i="1" s="1"/>
  <c r="BV55" i="1"/>
  <c r="BW55" i="1" s="1"/>
  <c r="BV162" i="1"/>
  <c r="CS162" i="1" s="1"/>
  <c r="BV273" i="1"/>
  <c r="BW273" i="1" s="1"/>
  <c r="BV97" i="1"/>
  <c r="BW97" i="1" s="1"/>
  <c r="BV99" i="1"/>
  <c r="CS99" i="1" s="1"/>
  <c r="BV271" i="1"/>
  <c r="CS271" i="1" s="1"/>
  <c r="BV194" i="1"/>
  <c r="CS194" i="1" s="1"/>
  <c r="BV196" i="1"/>
  <c r="BW196" i="1" s="1"/>
  <c r="BV258" i="1"/>
  <c r="BW258" i="1" s="1"/>
  <c r="BV80" i="1"/>
  <c r="BW80" i="1" s="1"/>
  <c r="BV248" i="1"/>
  <c r="BW248" i="1" s="1"/>
  <c r="BV219" i="1"/>
  <c r="BW219" i="1" s="1"/>
  <c r="BV240" i="1"/>
  <c r="BW240" i="1" s="1"/>
  <c r="BV137" i="1"/>
  <c r="BW137" i="1" s="1"/>
  <c r="BV383" i="1"/>
  <c r="CS383" i="1" s="1"/>
  <c r="BW87" i="1"/>
  <c r="BW54" i="1"/>
  <c r="BW168" i="1"/>
  <c r="BW268" i="1"/>
  <c r="BW285" i="1"/>
  <c r="BW235" i="1"/>
  <c r="BW74" i="1"/>
  <c r="BW144" i="1"/>
  <c r="BV379" i="1"/>
  <c r="BW379" i="1" s="1"/>
  <c r="BV211" i="1"/>
  <c r="CS211" i="1" s="1"/>
  <c r="BV167" i="1"/>
  <c r="BW167" i="1" s="1"/>
  <c r="BV94" i="1"/>
  <c r="CS94" i="1" s="1"/>
  <c r="BV52" i="1"/>
  <c r="BW52" i="1" s="1"/>
  <c r="BV239" i="1"/>
  <c r="CS239" i="1" s="1"/>
  <c r="BV278" i="1"/>
  <c r="BW278" i="1" s="1"/>
  <c r="BV150" i="1"/>
  <c r="CS150" i="1" s="1"/>
  <c r="BV172" i="1"/>
  <c r="CS172" i="1" s="1"/>
  <c r="BV88" i="1"/>
  <c r="BW88" i="1" s="1"/>
  <c r="BV216" i="1"/>
  <c r="CS216" i="1" s="1"/>
  <c r="BV284" i="1"/>
  <c r="CS284" i="1" s="1"/>
  <c r="BV210" i="1"/>
  <c r="BW210" i="1" s="1"/>
  <c r="BV181" i="1"/>
  <c r="BW181" i="1" s="1"/>
  <c r="BV85" i="1"/>
  <c r="CS85" i="1" s="1"/>
  <c r="BV272" i="1"/>
  <c r="BW272" i="1" s="1"/>
  <c r="BV232" i="1"/>
  <c r="CS232" i="1" s="1"/>
  <c r="BV73" i="1"/>
  <c r="CS73" i="1" s="1"/>
  <c r="BV79" i="1"/>
  <c r="BW79" i="1" s="1"/>
  <c r="BV185" i="1"/>
  <c r="BW185" i="1" s="1"/>
  <c r="BV95" i="1"/>
  <c r="CS95" i="1" s="1"/>
  <c r="BV53" i="1"/>
  <c r="BW53" i="1" s="1"/>
  <c r="BV175" i="1"/>
  <c r="CS175" i="1" s="1"/>
  <c r="BV195" i="1"/>
  <c r="CS195" i="1" s="1"/>
  <c r="BV179" i="1"/>
  <c r="CS179" i="1" s="1"/>
  <c r="BW227" i="1"/>
  <c r="T162" i="44"/>
  <c r="Y203" i="44"/>
  <c r="T161" i="44"/>
  <c r="T63" i="44"/>
  <c r="BV156" i="1"/>
  <c r="T352" i="44"/>
  <c r="Y250" i="44"/>
  <c r="Y201" i="44"/>
  <c r="T136" i="44"/>
  <c r="T194" i="44"/>
  <c r="T190" i="44"/>
  <c r="T90" i="44"/>
  <c r="T220" i="44"/>
  <c r="AJ259" i="44"/>
  <c r="AJ133" i="44"/>
  <c r="Y133" i="44"/>
  <c r="T133" i="44"/>
  <c r="AJ152" i="44"/>
  <c r="Y75" i="44"/>
  <c r="Y91" i="44"/>
  <c r="T111" i="44"/>
  <c r="Y50" i="44"/>
  <c r="Y63" i="44"/>
  <c r="Y124" i="44"/>
  <c r="T202" i="44"/>
  <c r="Y140" i="44"/>
  <c r="T140" i="44"/>
  <c r="AJ140" i="44"/>
  <c r="T106" i="44"/>
  <c r="T273" i="44"/>
  <c r="AJ150" i="44"/>
  <c r="T152" i="44"/>
  <c r="Y150" i="44"/>
  <c r="T150" i="44"/>
  <c r="Y74" i="44"/>
  <c r="AJ236" i="44"/>
  <c r="AJ75" i="44"/>
  <c r="T259" i="44"/>
  <c r="Y123" i="44"/>
  <c r="AJ103" i="44"/>
  <c r="T59" i="44"/>
  <c r="T124" i="44"/>
  <c r="AJ124" i="44"/>
  <c r="T103" i="44"/>
  <c r="Y273" i="44"/>
  <c r="T272" i="44"/>
  <c r="Y59" i="44"/>
  <c r="AJ111" i="44"/>
  <c r="Y109" i="44"/>
  <c r="Y170" i="44"/>
  <c r="Y100" i="44"/>
  <c r="Y236" i="44"/>
  <c r="AJ69" i="44"/>
  <c r="T50" i="44"/>
  <c r="AJ50" i="44"/>
  <c r="T65" i="44"/>
  <c r="Y65" i="44"/>
  <c r="T69" i="44"/>
  <c r="T265" i="44"/>
  <c r="AJ67" i="44"/>
  <c r="T67" i="44"/>
  <c r="Y67" i="44"/>
  <c r="AJ59" i="44"/>
  <c r="Y231" i="44"/>
  <c r="T137" i="44"/>
  <c r="AJ361" i="44"/>
  <c r="AJ123" i="44"/>
  <c r="AJ63" i="44"/>
  <c r="T105" i="44"/>
  <c r="T274" i="44"/>
  <c r="Y149" i="44"/>
  <c r="Y362" i="44"/>
  <c r="AJ362" i="44"/>
  <c r="T123" i="44"/>
  <c r="Y265" i="44"/>
  <c r="AJ265" i="44"/>
  <c r="T361" i="44"/>
  <c r="AJ77" i="44"/>
  <c r="AJ149" i="44"/>
  <c r="R42" i="44"/>
  <c r="T177" i="44"/>
  <c r="T117" i="44"/>
  <c r="Y237" i="44"/>
  <c r="T271" i="44"/>
  <c r="Y68" i="44"/>
  <c r="T68" i="44"/>
  <c r="AJ68" i="44"/>
  <c r="T120" i="44"/>
  <c r="Y120" i="44"/>
  <c r="AJ120" i="44"/>
  <c r="AJ61" i="44"/>
  <c r="Y61" i="44"/>
  <c r="T61" i="44"/>
  <c r="Y264" i="44"/>
  <c r="T264" i="44"/>
  <c r="AJ264" i="44"/>
  <c r="Y60" i="44"/>
  <c r="T60" i="44"/>
  <c r="AJ60" i="44"/>
  <c r="T129" i="44"/>
  <c r="AJ129" i="44"/>
  <c r="Y129" i="44"/>
  <c r="T216" i="44"/>
  <c r="Y216" i="44"/>
  <c r="AJ398" i="44"/>
  <c r="T398" i="44"/>
  <c r="Y398" i="44"/>
  <c r="Y261" i="44"/>
  <c r="T261" i="44"/>
  <c r="AJ137" i="44"/>
  <c r="T86" i="44"/>
  <c r="Y86" i="44"/>
  <c r="T364" i="44"/>
  <c r="Y364" i="44"/>
  <c r="Y113" i="44"/>
  <c r="T66" i="44"/>
  <c r="Y66" i="44"/>
  <c r="AJ66" i="44"/>
  <c r="T109" i="44"/>
  <c r="T121" i="44"/>
  <c r="AJ121" i="44"/>
  <c r="Y121" i="44"/>
  <c r="T108" i="44"/>
  <c r="Y108" i="44"/>
  <c r="AJ108" i="44"/>
  <c r="AJ105" i="44"/>
  <c r="AJ65" i="44"/>
  <c r="AJ107" i="44"/>
  <c r="Y107" i="44"/>
  <c r="T107" i="44"/>
  <c r="T116" i="44"/>
  <c r="Y116" i="44"/>
  <c r="AJ116" i="44"/>
  <c r="Y71" i="44"/>
  <c r="T71" i="44"/>
  <c r="T104" i="44"/>
  <c r="Y104" i="44"/>
  <c r="AJ104" i="44"/>
  <c r="Y254" i="44"/>
  <c r="T254" i="44"/>
  <c r="AJ119" i="44"/>
  <c r="Y119" i="44"/>
  <c r="T119" i="44"/>
  <c r="Y62" i="44"/>
  <c r="AJ62" i="44"/>
  <c r="T62" i="44"/>
  <c r="AJ83" i="44"/>
  <c r="T83" i="44"/>
  <c r="Y83" i="44"/>
  <c r="T58" i="44"/>
  <c r="Y58" i="44"/>
  <c r="AJ58" i="44"/>
  <c r="T77" i="44"/>
  <c r="Y77" i="44"/>
  <c r="Y110" i="44"/>
  <c r="AJ110" i="44"/>
  <c r="T110" i="44"/>
  <c r="Y239" i="44"/>
  <c r="AJ135" i="44"/>
  <c r="Y135" i="44"/>
  <c r="T135" i="44"/>
  <c r="Y186" i="44"/>
  <c r="T186" i="44"/>
  <c r="T263" i="44"/>
  <c r="AJ263" i="44"/>
  <c r="Y263" i="44"/>
  <c r="Y70" i="44"/>
  <c r="AJ70" i="44"/>
  <c r="T70" i="44"/>
  <c r="Y202" i="44"/>
  <c r="T122" i="44"/>
  <c r="Y122" i="44"/>
  <c r="AJ122" i="44"/>
  <c r="Y134" i="44"/>
  <c r="AJ134" i="44"/>
  <c r="T134" i="44"/>
  <c r="T130" i="44"/>
  <c r="Y130" i="44"/>
  <c r="AJ130" i="44"/>
  <c r="AJ57" i="44"/>
  <c r="T138" i="44"/>
  <c r="Y138" i="44"/>
  <c r="AJ235" i="44"/>
  <c r="Y235" i="44"/>
  <c r="T235" i="44"/>
  <c r="AJ76" i="44"/>
  <c r="T76" i="44"/>
  <c r="Y76" i="44"/>
  <c r="Y64" i="44"/>
  <c r="T64" i="44"/>
  <c r="AJ64" i="44"/>
  <c r="AJ154" i="44"/>
  <c r="Y154" i="44"/>
  <c r="T154" i="44"/>
  <c r="V14" i="1"/>
  <c r="T400" i="1"/>
  <c r="V303" i="1"/>
  <c r="AA305" i="1"/>
  <c r="AA45" i="1"/>
  <c r="R69" i="52" s="1"/>
  <c r="AA44" i="1"/>
  <c r="AA46" i="1"/>
  <c r="R70" i="52" s="1"/>
  <c r="AA13" i="1"/>
  <c r="V397" i="1"/>
  <c r="BU397" i="1"/>
  <c r="BU400" i="1" s="1"/>
  <c r="B14" i="1"/>
  <c r="B15" i="1" s="1"/>
  <c r="Y272" i="44" l="1"/>
  <c r="Y221" i="44"/>
  <c r="R389" i="44"/>
  <c r="R327" i="44"/>
  <c r="AJ274" i="44"/>
  <c r="R354" i="44"/>
  <c r="R355" i="44"/>
  <c r="R381" i="44"/>
  <c r="R383" i="44"/>
  <c r="R385" i="44"/>
  <c r="R344" i="44"/>
  <c r="AJ261" i="44"/>
  <c r="AJ74" i="44"/>
  <c r="AJ86" i="44"/>
  <c r="T344" i="44"/>
  <c r="O431" i="57"/>
  <c r="O324" i="57"/>
  <c r="P327" i="58"/>
  <c r="Y151" i="44"/>
  <c r="T234" i="44"/>
  <c r="T275" i="44"/>
  <c r="Y174" i="44"/>
  <c r="Y262" i="44"/>
  <c r="Y139" i="44"/>
  <c r="BW274" i="1"/>
  <c r="AJ233" i="44"/>
  <c r="AJ234" i="44"/>
  <c r="Y233" i="44"/>
  <c r="AJ387" i="44"/>
  <c r="T167" i="44"/>
  <c r="T233" i="44"/>
  <c r="T387" i="44"/>
  <c r="BW381" i="1"/>
  <c r="AJ151" i="44"/>
  <c r="CS254" i="1"/>
  <c r="CS289" i="1"/>
  <c r="AJ275" i="44"/>
  <c r="AJ139" i="44"/>
  <c r="T217" i="44"/>
  <c r="AJ127" i="44"/>
  <c r="Y95" i="44"/>
  <c r="T218" i="44"/>
  <c r="BW249" i="1"/>
  <c r="BW92" i="1"/>
  <c r="T246" i="44"/>
  <c r="AJ239" i="44"/>
  <c r="AJ216" i="44"/>
  <c r="Y225" i="44"/>
  <c r="BW177" i="1"/>
  <c r="CS164" i="1"/>
  <c r="AJ246" i="44"/>
  <c r="AJ167" i="44"/>
  <c r="BW180" i="1"/>
  <c r="AJ262" i="44"/>
  <c r="T214" i="44"/>
  <c r="AJ389" i="44"/>
  <c r="T389" i="44"/>
  <c r="Y178" i="44"/>
  <c r="AJ217" i="44"/>
  <c r="AJ218" i="44"/>
  <c r="AJ237" i="44"/>
  <c r="Y153" i="44"/>
  <c r="T238" i="44"/>
  <c r="Y193" i="44"/>
  <c r="T153" i="44"/>
  <c r="AJ170" i="44"/>
  <c r="T95" i="44"/>
  <c r="T175" i="44"/>
  <c r="Y88" i="44"/>
  <c r="T92" i="44"/>
  <c r="T88" i="44"/>
  <c r="Y92" i="44"/>
  <c r="T128" i="44"/>
  <c r="BW352" i="1"/>
  <c r="CS332" i="1"/>
  <c r="BW310" i="1"/>
  <c r="BW354" i="1"/>
  <c r="R13" i="52"/>
  <c r="R68" i="52"/>
  <c r="R336" i="52" s="1"/>
  <c r="R352" i="52"/>
  <c r="R444" i="52" s="1"/>
  <c r="BW353" i="1"/>
  <c r="BW342" i="1"/>
  <c r="Y163" i="44"/>
  <c r="T388" i="44"/>
  <c r="T145" i="44"/>
  <c r="BW212" i="1"/>
  <c r="BW325" i="1"/>
  <c r="CS269" i="1"/>
  <c r="BW190" i="1"/>
  <c r="AJ92" i="44"/>
  <c r="AJ352" i="44"/>
  <c r="AJ115" i="44"/>
  <c r="BW350" i="1"/>
  <c r="Y388" i="44"/>
  <c r="AJ388" i="44"/>
  <c r="T160" i="44"/>
  <c r="BW244" i="1"/>
  <c r="AJ88" i="44"/>
  <c r="AJ95" i="44"/>
  <c r="Y327" i="44"/>
  <c r="T327" i="44"/>
  <c r="AJ327" i="44"/>
  <c r="CS219" i="1"/>
  <c r="BW232" i="1"/>
  <c r="T155" i="44"/>
  <c r="AN42" i="44"/>
  <c r="T350" i="44"/>
  <c r="T172" i="44"/>
  <c r="BW191" i="1"/>
  <c r="BW284" i="1"/>
  <c r="BW73" i="1"/>
  <c r="CS88" i="1"/>
  <c r="CS173" i="1"/>
  <c r="CS276" i="1"/>
  <c r="CS238" i="1"/>
  <c r="Y343" i="44"/>
  <c r="AJ350" i="44"/>
  <c r="BW113" i="1"/>
  <c r="BW194" i="1"/>
  <c r="BW99" i="1"/>
  <c r="CS273" i="1"/>
  <c r="CS258" i="1"/>
  <c r="CS240" i="1"/>
  <c r="CS248" i="1"/>
  <c r="T193" i="44"/>
  <c r="CS230" i="1"/>
  <c r="BW162" i="1"/>
  <c r="CS196" i="1"/>
  <c r="CS79" i="1"/>
  <c r="CS97" i="1"/>
  <c r="CS53" i="1"/>
  <c r="CS210" i="1"/>
  <c r="CS80" i="1"/>
  <c r="CS137" i="1"/>
  <c r="Y162" i="44"/>
  <c r="BW195" i="1"/>
  <c r="BW271" i="1"/>
  <c r="BW296" i="1"/>
  <c r="CS270" i="1"/>
  <c r="CS126" i="1"/>
  <c r="CS185" i="1"/>
  <c r="Y245" i="44"/>
  <c r="CS278" i="1"/>
  <c r="BW85" i="1"/>
  <c r="AJ155" i="44"/>
  <c r="BW383" i="1"/>
  <c r="BW179" i="1"/>
  <c r="BW175" i="1"/>
  <c r="BW154" i="1"/>
  <c r="BW95" i="1"/>
  <c r="CS55" i="1"/>
  <c r="CS282" i="1"/>
  <c r="BW94" i="1"/>
  <c r="CS181" i="1"/>
  <c r="CS81" i="1"/>
  <c r="BW216" i="1"/>
  <c r="AJ354" i="44"/>
  <c r="BW150" i="1"/>
  <c r="CS272" i="1"/>
  <c r="BW211" i="1"/>
  <c r="AJ245" i="44"/>
  <c r="AJ178" i="44"/>
  <c r="AJ168" i="44"/>
  <c r="T384" i="44"/>
  <c r="Y384" i="44"/>
  <c r="AJ384" i="44"/>
  <c r="T381" i="44"/>
  <c r="AJ381" i="44"/>
  <c r="Y381" i="44"/>
  <c r="Y354" i="44"/>
  <c r="T354" i="44"/>
  <c r="CS379" i="1"/>
  <c r="CS231" i="1"/>
  <c r="CS167" i="1"/>
  <c r="AJ380" i="44"/>
  <c r="Y380" i="44"/>
  <c r="T380" i="44"/>
  <c r="Y333" i="44"/>
  <c r="T333" i="44"/>
  <c r="AJ333" i="44"/>
  <c r="T351" i="44"/>
  <c r="Y351" i="44"/>
  <c r="AJ351" i="44"/>
  <c r="T141" i="44"/>
  <c r="AJ141" i="44"/>
  <c r="BW172" i="1"/>
  <c r="AJ193" i="44"/>
  <c r="CS52" i="1"/>
  <c r="CS301" i="1"/>
  <c r="CS166" i="1"/>
  <c r="AJ219" i="44"/>
  <c r="AJ162" i="44"/>
  <c r="AJ172" i="44"/>
  <c r="T178" i="44"/>
  <c r="Y144" i="44"/>
  <c r="BW239" i="1"/>
  <c r="T219" i="44"/>
  <c r="Y185" i="44"/>
  <c r="T114" i="44"/>
  <c r="CS204" i="1"/>
  <c r="Y260" i="44"/>
  <c r="AJ260" i="44"/>
  <c r="T260" i="44"/>
  <c r="T258" i="44"/>
  <c r="Y114" i="44"/>
  <c r="Y136" i="44"/>
  <c r="Y161" i="44"/>
  <c r="Y353" i="44"/>
  <c r="Y382" i="44"/>
  <c r="T156" i="44"/>
  <c r="Y220" i="44"/>
  <c r="T163" i="44"/>
  <c r="T126" i="44"/>
  <c r="AJ142" i="44"/>
  <c r="Y94" i="44"/>
  <c r="T96" i="44"/>
  <c r="T173" i="44"/>
  <c r="AJ358" i="44"/>
  <c r="AJ156" i="44"/>
  <c r="AJ353" i="44"/>
  <c r="Y142" i="44"/>
  <c r="AJ258" i="44"/>
  <c r="AJ214" i="44"/>
  <c r="AJ220" i="44"/>
  <c r="AJ222" i="44"/>
  <c r="AJ163" i="44"/>
  <c r="AJ225" i="44"/>
  <c r="Y84" i="44"/>
  <c r="T181" i="44"/>
  <c r="Y222" i="44"/>
  <c r="T56" i="44"/>
  <c r="AJ126" i="44"/>
  <c r="BW156" i="1"/>
  <c r="CS156" i="1"/>
  <c r="AJ96" i="44"/>
  <c r="AJ173" i="44"/>
  <c r="T201" i="44"/>
  <c r="AJ201" i="44"/>
  <c r="Y78" i="44"/>
  <c r="AJ136" i="44"/>
  <c r="T169" i="44"/>
  <c r="AJ94" i="44"/>
  <c r="AJ256" i="44"/>
  <c r="AJ84" i="44"/>
  <c r="AJ114" i="44"/>
  <c r="Y112" i="44"/>
  <c r="AJ112" i="44"/>
  <c r="T112" i="44"/>
  <c r="Y214" i="44"/>
  <c r="T170" i="44"/>
  <c r="Y259" i="44"/>
  <c r="Y358" i="44"/>
  <c r="T358" i="44"/>
  <c r="AJ113" i="44"/>
  <c r="AJ78" i="44"/>
  <c r="AJ143" i="44"/>
  <c r="AJ174" i="44"/>
  <c r="Y137" i="44"/>
  <c r="Y143" i="44"/>
  <c r="T143" i="44"/>
  <c r="Y127" i="44"/>
  <c r="AJ85" i="44"/>
  <c r="Y206" i="44"/>
  <c r="AJ91" i="44"/>
  <c r="Y85" i="44"/>
  <c r="T206" i="44"/>
  <c r="T185" i="44"/>
  <c r="T85" i="44"/>
  <c r="AJ146" i="44"/>
  <c r="T91" i="44"/>
  <c r="AJ344" i="44"/>
  <c r="AJ171" i="44"/>
  <c r="AJ128" i="44"/>
  <c r="Y215" i="44"/>
  <c r="T215" i="44"/>
  <c r="AJ157" i="44"/>
  <c r="T255" i="44"/>
  <c r="AJ161" i="44"/>
  <c r="Y195" i="44"/>
  <c r="AJ106" i="44"/>
  <c r="AJ215" i="44"/>
  <c r="AJ202" i="44"/>
  <c r="AJ185" i="44"/>
  <c r="T157" i="44"/>
  <c r="Y157" i="44"/>
  <c r="Y249" i="44"/>
  <c r="T171" i="44"/>
  <c r="Y171" i="44"/>
  <c r="T243" i="44"/>
  <c r="Y146" i="44"/>
  <c r="T146" i="44"/>
  <c r="Y115" i="44"/>
  <c r="T115" i="44"/>
  <c r="Y106" i="44"/>
  <c r="Y344" i="44"/>
  <c r="T386" i="44"/>
  <c r="AJ386" i="44"/>
  <c r="Y386" i="44"/>
  <c r="Y383" i="44"/>
  <c r="T383" i="44"/>
  <c r="AJ383" i="44"/>
  <c r="AJ382" i="44"/>
  <c r="AJ82" i="44"/>
  <c r="T256" i="44"/>
  <c r="Y81" i="44"/>
  <c r="AJ145" i="44"/>
  <c r="T82" i="44"/>
  <c r="AJ200" i="44"/>
  <c r="Y219" i="44"/>
  <c r="Y82" i="44"/>
  <c r="T200" i="44"/>
  <c r="AJ181" i="44"/>
  <c r="Y165" i="44"/>
  <c r="Y200" i="44"/>
  <c r="AJ165" i="44"/>
  <c r="Y212" i="44"/>
  <c r="AJ212" i="44"/>
  <c r="AJ232" i="44"/>
  <c r="T232" i="44"/>
  <c r="AJ272" i="44"/>
  <c r="AJ271" i="44"/>
  <c r="AJ184" i="44"/>
  <c r="AJ169" i="44"/>
  <c r="T184" i="44"/>
  <c r="AJ87" i="44"/>
  <c r="AJ244" i="44"/>
  <c r="AJ252" i="44"/>
  <c r="Y118" i="44"/>
  <c r="Y184" i="44"/>
  <c r="T244" i="44"/>
  <c r="T213" i="44"/>
  <c r="AJ213" i="44"/>
  <c r="Y213" i="44"/>
  <c r="T87" i="44"/>
  <c r="Y252" i="44"/>
  <c r="AJ206" i="44"/>
  <c r="T229" i="44"/>
  <c r="Y148" i="44"/>
  <c r="AJ148" i="44"/>
  <c r="T148" i="44"/>
  <c r="Y145" i="44"/>
  <c r="Y176" i="44"/>
  <c r="T176" i="44"/>
  <c r="AJ176" i="44"/>
  <c r="Y179" i="44"/>
  <c r="AJ100" i="44"/>
  <c r="Y194" i="44"/>
  <c r="Y187" i="44"/>
  <c r="T221" i="44"/>
  <c r="T203" i="44"/>
  <c r="T118" i="44"/>
  <c r="T93" i="44"/>
  <c r="AJ93" i="44"/>
  <c r="AJ194" i="44"/>
  <c r="T100" i="44"/>
  <c r="AJ109" i="44"/>
  <c r="Y253" i="44"/>
  <c r="AJ203" i="44"/>
  <c r="AJ229" i="44"/>
  <c r="Y190" i="44"/>
  <c r="Y269" i="44"/>
  <c r="AJ266" i="44"/>
  <c r="AJ253" i="44"/>
  <c r="AJ118" i="44"/>
  <c r="AJ247" i="44"/>
  <c r="T247" i="44"/>
  <c r="Y238" i="44"/>
  <c r="AJ190" i="44"/>
  <c r="AJ226" i="44"/>
  <c r="T195" i="44"/>
  <c r="T98" i="44"/>
  <c r="AJ198" i="44"/>
  <c r="T198" i="44"/>
  <c r="Y198" i="44"/>
  <c r="T226" i="44"/>
  <c r="AJ179" i="44"/>
  <c r="AJ160" i="44"/>
  <c r="Y102" i="44"/>
  <c r="Y207" i="44"/>
  <c r="AJ207" i="44"/>
  <c r="T207" i="44"/>
  <c r="T240" i="44"/>
  <c r="Y240" i="44"/>
  <c r="AJ221" i="44"/>
  <c r="Y229" i="44"/>
  <c r="T249" i="44"/>
  <c r="Y226" i="44"/>
  <c r="AJ102" i="44"/>
  <c r="T102" i="44"/>
  <c r="Y158" i="44"/>
  <c r="T97" i="44"/>
  <c r="T266" i="44"/>
  <c r="Y266" i="44"/>
  <c r="T73" i="44"/>
  <c r="Y160" i="44"/>
  <c r="AJ240" i="44"/>
  <c r="AJ238" i="44"/>
  <c r="AJ249" i="44"/>
  <c r="T222" i="44"/>
  <c r="T204" i="44"/>
  <c r="AJ204" i="44"/>
  <c r="Y56" i="44"/>
  <c r="Y54" i="44"/>
  <c r="T168" i="44"/>
  <c r="W14" i="1"/>
  <c r="V15" i="1"/>
  <c r="V400" i="1" s="1"/>
  <c r="T231" i="44"/>
  <c r="T183" i="44"/>
  <c r="Y183" i="44"/>
  <c r="Y257" i="44"/>
  <c r="AJ257" i="44"/>
  <c r="T257" i="44"/>
  <c r="AJ99" i="44"/>
  <c r="T144" i="44"/>
  <c r="Y242" i="44"/>
  <c r="Y147" i="44"/>
  <c r="Y90" i="44"/>
  <c r="T278" i="44"/>
  <c r="AJ183" i="44"/>
  <c r="AJ73" i="44"/>
  <c r="T270" i="44"/>
  <c r="T158" i="44"/>
  <c r="T81" i="44"/>
  <c r="T54" i="44"/>
  <c r="Y199" i="44"/>
  <c r="AJ180" i="44"/>
  <c r="AJ54" i="44"/>
  <c r="Y73" i="44"/>
  <c r="AJ175" i="44"/>
  <c r="AJ243" i="44"/>
  <c r="Y224" i="44"/>
  <c r="Y278" i="44"/>
  <c r="T269" i="44"/>
  <c r="AJ187" i="44"/>
  <c r="AJ231" i="44"/>
  <c r="AJ199" i="44"/>
  <c r="T199" i="44"/>
  <c r="AJ195" i="44"/>
  <c r="AJ81" i="44"/>
  <c r="AJ158" i="44"/>
  <c r="AJ270" i="44"/>
  <c r="Y175" i="44"/>
  <c r="Y243" i="44"/>
  <c r="AJ90" i="44"/>
  <c r="AJ224" i="44"/>
  <c r="T224" i="44"/>
  <c r="T312" i="44"/>
  <c r="Y312" i="44"/>
  <c r="AJ312" i="44"/>
  <c r="AJ357" i="44"/>
  <c r="T357" i="44"/>
  <c r="Y357" i="44"/>
  <c r="Y251" i="44"/>
  <c r="T251" i="44"/>
  <c r="AJ251" i="44"/>
  <c r="AJ228" i="44"/>
  <c r="Y228" i="44"/>
  <c r="T228" i="44"/>
  <c r="AJ164" i="44"/>
  <c r="T164" i="44"/>
  <c r="Y164" i="44"/>
  <c r="AJ56" i="44"/>
  <c r="AJ269" i="44"/>
  <c r="T211" i="44"/>
  <c r="AJ211" i="44"/>
  <c r="Y211" i="44"/>
  <c r="T355" i="44"/>
  <c r="AJ355" i="44"/>
  <c r="Y355" i="44"/>
  <c r="AJ326" i="44"/>
  <c r="T326" i="44"/>
  <c r="Y326" i="44"/>
  <c r="T191" i="44"/>
  <c r="Y191" i="44"/>
  <c r="AJ191" i="44"/>
  <c r="AJ385" i="44"/>
  <c r="Y385" i="44"/>
  <c r="T385" i="44"/>
  <c r="T334" i="44"/>
  <c r="Y334" i="44"/>
  <c r="AJ334" i="44"/>
  <c r="T356" i="44"/>
  <c r="Y356" i="44"/>
  <c r="AJ356" i="44"/>
  <c r="T180" i="44"/>
  <c r="Y180" i="44"/>
  <c r="Y177" i="44"/>
  <c r="AJ177" i="44"/>
  <c r="Y97" i="44"/>
  <c r="Y98" i="44"/>
  <c r="Y99" i="44"/>
  <c r="T250" i="44"/>
  <c r="Y117" i="44"/>
  <c r="AJ278" i="44"/>
  <c r="Y159" i="44"/>
  <c r="T242" i="44"/>
  <c r="T230" i="44"/>
  <c r="AJ255" i="44"/>
  <c r="AJ343" i="44"/>
  <c r="T99" i="44"/>
  <c r="AJ147" i="44"/>
  <c r="AJ144" i="44"/>
  <c r="AJ117" i="44"/>
  <c r="AJ153" i="44"/>
  <c r="AJ242" i="44"/>
  <c r="Y255" i="44"/>
  <c r="AJ230" i="44"/>
  <c r="AJ250" i="44"/>
  <c r="T147" i="44"/>
  <c r="AJ97" i="44"/>
  <c r="AJ159" i="44"/>
  <c r="AJ366" i="44"/>
  <c r="T366" i="44"/>
  <c r="Y366" i="44"/>
  <c r="Y267" i="44"/>
  <c r="T267" i="44"/>
  <c r="AJ267" i="44"/>
  <c r="AJ241" i="44"/>
  <c r="Y241" i="44"/>
  <c r="T241" i="44"/>
  <c r="AJ80" i="44"/>
  <c r="T80" i="44"/>
  <c r="Y80" i="44"/>
  <c r="AJ276" i="44"/>
  <c r="Y276" i="44"/>
  <c r="T276" i="44"/>
  <c r="Y335" i="44"/>
  <c r="AJ335" i="44"/>
  <c r="T335" i="44"/>
  <c r="Y197" i="44"/>
  <c r="AJ197" i="44"/>
  <c r="T197" i="44"/>
  <c r="AJ268" i="44"/>
  <c r="Y268" i="44"/>
  <c r="T268" i="44"/>
  <c r="Y210" i="44"/>
  <c r="T210" i="44"/>
  <c r="T223" i="44"/>
  <c r="AJ223" i="44"/>
  <c r="Y223" i="44"/>
  <c r="T132" i="44"/>
  <c r="Y132" i="44"/>
  <c r="AJ132" i="44"/>
  <c r="Y277" i="44"/>
  <c r="T277" i="44"/>
  <c r="AJ101" i="44"/>
  <c r="Y101" i="44"/>
  <c r="T101" i="44"/>
  <c r="Y72" i="44"/>
  <c r="T72" i="44"/>
  <c r="AJ72" i="44"/>
  <c r="Y321" i="44"/>
  <c r="AJ321" i="44"/>
  <c r="T321" i="44"/>
  <c r="Y365" i="44"/>
  <c r="AJ365" i="44"/>
  <c r="T365" i="44"/>
  <c r="AJ209" i="44"/>
  <c r="Y209" i="44"/>
  <c r="T209" i="44"/>
  <c r="AJ53" i="44"/>
  <c r="Y53" i="44"/>
  <c r="T53" i="44"/>
  <c r="T227" i="44"/>
  <c r="AJ227" i="44"/>
  <c r="Y227" i="44"/>
  <c r="AJ79" i="44"/>
  <c r="Y79" i="44"/>
  <c r="T79" i="44"/>
  <c r="AJ55" i="44"/>
  <c r="Y55" i="44"/>
  <c r="T55" i="44"/>
  <c r="Y205" i="44"/>
  <c r="AJ205" i="44"/>
  <c r="T205" i="44"/>
  <c r="AJ210" i="44"/>
  <c r="Y189" i="44"/>
  <c r="AJ189" i="44"/>
  <c r="T189" i="44"/>
  <c r="AJ98" i="44"/>
  <c r="AJ364" i="44"/>
  <c r="AJ192" i="44"/>
  <c r="Y192" i="44"/>
  <c r="T192" i="44"/>
  <c r="AJ188" i="44"/>
  <c r="Y188" i="44"/>
  <c r="T188" i="44"/>
  <c r="AJ182" i="44"/>
  <c r="T182" i="44"/>
  <c r="Y182" i="44"/>
  <c r="AJ196" i="44"/>
  <c r="Y196" i="44"/>
  <c r="T196" i="44"/>
  <c r="Y89" i="44"/>
  <c r="T89" i="44"/>
  <c r="T208" i="44"/>
  <c r="Y208" i="44"/>
  <c r="AJ208" i="44"/>
  <c r="AJ166" i="44"/>
  <c r="T166" i="44"/>
  <c r="Y166" i="44"/>
  <c r="Y248" i="44"/>
  <c r="T248" i="44"/>
  <c r="AJ248" i="44"/>
  <c r="AJ277" i="44"/>
  <c r="AJ89" i="44"/>
  <c r="AF13" i="1"/>
  <c r="P13" i="57" s="1"/>
  <c r="AF46" i="1"/>
  <c r="AF44" i="1"/>
  <c r="P65" i="57" s="1"/>
  <c r="AF45" i="1"/>
  <c r="AF305" i="1"/>
  <c r="P339" i="57" s="1"/>
  <c r="AD13" i="1"/>
  <c r="B17" i="1"/>
  <c r="AD305" i="1"/>
  <c r="AD46" i="1"/>
  <c r="U70" i="52" s="1"/>
  <c r="AD44" i="1"/>
  <c r="AD45" i="1"/>
  <c r="U69" i="52" s="1"/>
  <c r="W303" i="1"/>
  <c r="AA303" i="1"/>
  <c r="AA14" i="1"/>
  <c r="R14" i="52" s="1"/>
  <c r="W397" i="1"/>
  <c r="AA397" i="1"/>
  <c r="P15" i="58" l="1"/>
  <c r="P435" i="58" s="1"/>
  <c r="O14" i="57"/>
  <c r="P431" i="57"/>
  <c r="P324" i="57"/>
  <c r="U68" i="52"/>
  <c r="U352" i="52"/>
  <c r="U444" i="52" s="1"/>
  <c r="U13" i="52"/>
  <c r="P14" i="52"/>
  <c r="P15" i="52" s="1"/>
  <c r="P447" i="52" s="1"/>
  <c r="Q14" i="52"/>
  <c r="Q15" i="52" s="1"/>
  <c r="Q447" i="52" s="1"/>
  <c r="R15" i="52"/>
  <c r="R447" i="52" s="1"/>
  <c r="AF14" i="1"/>
  <c r="P14" i="57" s="1"/>
  <c r="W15" i="1"/>
  <c r="W400" i="1" s="1"/>
  <c r="AA15" i="1"/>
  <c r="AA400" i="1" s="1"/>
  <c r="AG45" i="1"/>
  <c r="AG46" i="1"/>
  <c r="AG305" i="1"/>
  <c r="Q340" i="58" s="1"/>
  <c r="Q432" i="58" s="1"/>
  <c r="AG44" i="1"/>
  <c r="Q68" i="58" s="1"/>
  <c r="AG13" i="1"/>
  <c r="Q13" i="58" s="1"/>
  <c r="AJ45" i="1"/>
  <c r="AJ44" i="1"/>
  <c r="S65" i="57" s="1"/>
  <c r="AJ46" i="1"/>
  <c r="AJ305" i="1"/>
  <c r="S339" i="57" s="1"/>
  <c r="S431" i="57" s="1"/>
  <c r="AJ13" i="1"/>
  <c r="S13" i="57" s="1"/>
  <c r="AF397" i="1"/>
  <c r="AF303" i="1"/>
  <c r="AD14" i="1"/>
  <c r="U14" i="52" s="1"/>
  <c r="B18" i="1"/>
  <c r="B19" i="1" s="1"/>
  <c r="B20" i="1" s="1"/>
  <c r="B21" i="1" s="1"/>
  <c r="B22" i="1" s="1"/>
  <c r="B23" i="1" s="1"/>
  <c r="AD397" i="1"/>
  <c r="BF305" i="1"/>
  <c r="AD303" i="1"/>
  <c r="BD13" i="1"/>
  <c r="BD15" i="1" s="1"/>
  <c r="O15" i="57" l="1"/>
  <c r="O434" i="57" s="1"/>
  <c r="Q327" i="58"/>
  <c r="T13" i="57"/>
  <c r="S324" i="57"/>
  <c r="T358" i="57" s="1"/>
  <c r="T431" i="57" s="1"/>
  <c r="P15" i="57"/>
  <c r="P434" i="57" s="1"/>
  <c r="T373" i="57"/>
  <c r="U15" i="52"/>
  <c r="U336" i="52"/>
  <c r="AG14" i="1"/>
  <c r="AF15" i="1"/>
  <c r="AF400" i="1" s="1"/>
  <c r="AJ14" i="1"/>
  <c r="S14" i="57" s="1"/>
  <c r="T14" i="57" s="1"/>
  <c r="AD15" i="1"/>
  <c r="AD400" i="1" s="1"/>
  <c r="AG303" i="1"/>
  <c r="AG397" i="1"/>
  <c r="AK13" i="1"/>
  <c r="S13" i="58" s="1"/>
  <c r="AL46" i="1"/>
  <c r="AL45" i="1"/>
  <c r="AJ397" i="1"/>
  <c r="AK44" i="1"/>
  <c r="S68" i="58" s="1"/>
  <c r="AL44" i="1"/>
  <c r="AL13" i="1"/>
  <c r="AK45" i="1"/>
  <c r="AL305" i="1"/>
  <c r="AK305" i="1"/>
  <c r="S340" i="58" s="1"/>
  <c r="S432" i="58" s="1"/>
  <c r="AK46" i="1"/>
  <c r="AJ303" i="1"/>
  <c r="B24" i="1"/>
  <c r="BF397" i="1"/>
  <c r="BD400" i="1"/>
  <c r="Q15" i="58" l="1"/>
  <c r="Q435" i="58" s="1"/>
  <c r="S327" i="58"/>
  <c r="S15" i="57"/>
  <c r="S434" i="57" s="1"/>
  <c r="T15" i="57"/>
  <c r="T434" i="57" s="1"/>
  <c r="AL14" i="1"/>
  <c r="AK14" i="1"/>
  <c r="AJ15" i="1"/>
  <c r="AJ400" i="1" s="1"/>
  <c r="AG15" i="1"/>
  <c r="AG400" i="1" s="1"/>
  <c r="U447" i="52"/>
  <c r="B25" i="1"/>
  <c r="B26" i="1" s="1"/>
  <c r="AL303" i="1"/>
  <c r="AM13" i="1"/>
  <c r="AM46" i="1"/>
  <c r="AM45" i="1"/>
  <c r="AM44" i="1"/>
  <c r="AK303" i="1"/>
  <c r="AK397" i="1"/>
  <c r="AM305" i="1"/>
  <c r="D8" i="15"/>
  <c r="D9" i="15"/>
  <c r="S15" i="58" l="1"/>
  <c r="S435" i="58" s="1"/>
  <c r="CK305" i="1"/>
  <c r="CL305" i="1" s="1"/>
  <c r="CK44" i="1"/>
  <c r="CL44" i="1" s="1"/>
  <c r="CK46" i="1"/>
  <c r="CL46" i="1" s="1"/>
  <c r="CK45" i="1"/>
  <c r="CL45" i="1" s="1"/>
  <c r="CF305" i="1"/>
  <c r="CF44" i="1"/>
  <c r="CK13" i="1"/>
  <c r="CL13" i="1" s="1"/>
  <c r="AL15" i="1"/>
  <c r="AM14" i="1"/>
  <c r="AK15" i="1"/>
  <c r="AK400" i="1" s="1"/>
  <c r="AM303" i="1"/>
  <c r="AE14" i="1"/>
  <c r="AE46" i="1"/>
  <c r="CF46" i="1" l="1"/>
  <c r="CM46" i="1"/>
  <c r="CM305" i="1"/>
  <c r="CM397" i="1" s="1"/>
  <c r="CL397" i="1"/>
  <c r="CF45" i="1"/>
  <c r="CM45" i="1"/>
  <c r="CM44" i="1"/>
  <c r="CL303" i="1"/>
  <c r="CK14" i="1"/>
  <c r="CL14" i="1" s="1"/>
  <c r="CF13" i="1"/>
  <c r="AM15" i="1"/>
  <c r="CK397" i="1"/>
  <c r="CK303" i="1"/>
  <c r="AU46" i="1"/>
  <c r="AU14" i="1"/>
  <c r="Y70" i="52" l="1"/>
  <c r="CF14" i="1"/>
  <c r="CM14" i="1"/>
  <c r="CM303" i="1"/>
  <c r="CM13" i="1"/>
  <c r="CM15" i="1" s="1"/>
  <c r="CK15" i="1"/>
  <c r="CK400" i="1" s="1"/>
  <c r="D6" i="53" s="1"/>
  <c r="Y14" i="52"/>
  <c r="BA14" i="1"/>
  <c r="BX14" i="1" s="1"/>
  <c r="Z14" i="52" s="1"/>
  <c r="AB14" i="52" s="1"/>
  <c r="BB14" i="1"/>
  <c r="BA46" i="1"/>
  <c r="BX46" i="1" s="1"/>
  <c r="Z70" i="52" s="1"/>
  <c r="AB70" i="52" s="1"/>
  <c r="BB46" i="1"/>
  <c r="P14" i="44"/>
  <c r="BR14" i="1"/>
  <c r="N14" i="44" s="1"/>
  <c r="BM14" i="1"/>
  <c r="V14" i="57" s="1"/>
  <c r="BS14" i="1"/>
  <c r="O14" i="44" s="1"/>
  <c r="BN14" i="1"/>
  <c r="W14" i="57" s="1"/>
  <c r="BL14" i="1"/>
  <c r="U14" i="57" s="1"/>
  <c r="BN46" i="1"/>
  <c r="AE13" i="1"/>
  <c r="AE15" i="1" s="1"/>
  <c r="C15" i="15"/>
  <c r="CN14" i="1" l="1"/>
  <c r="X14" i="57"/>
  <c r="V15" i="57"/>
  <c r="U15" i="57"/>
  <c r="CM400" i="1"/>
  <c r="CL15" i="1"/>
  <c r="CL400" i="1" s="1"/>
  <c r="BZ46" i="1"/>
  <c r="BZ14" i="1"/>
  <c r="CN46" i="1"/>
  <c r="BT46" i="1"/>
  <c r="L14" i="44"/>
  <c r="BM15" i="1"/>
  <c r="K14" i="44"/>
  <c r="K15" i="44" s="1"/>
  <c r="BL15" i="1"/>
  <c r="J14" i="44"/>
  <c r="Q14" i="44"/>
  <c r="O15" i="44"/>
  <c r="BS15" i="1"/>
  <c r="BR15" i="1"/>
  <c r="N15" i="44"/>
  <c r="BV14" i="1"/>
  <c r="BQ14" i="1"/>
  <c r="BQ46" i="1"/>
  <c r="AU13" i="1"/>
  <c r="BB13" i="1" l="1"/>
  <c r="CL401" i="1"/>
  <c r="CG46" i="1"/>
  <c r="CG14" i="1"/>
  <c r="Y13" i="52"/>
  <c r="Y15" i="52" s="1"/>
  <c r="AX9" i="1"/>
  <c r="AU15" i="1"/>
  <c r="BV46" i="1"/>
  <c r="BW46" i="1" s="1"/>
  <c r="M14" i="44"/>
  <c r="R14" i="44" s="1"/>
  <c r="J15" i="44"/>
  <c r="Y47" i="44"/>
  <c r="T47" i="44"/>
  <c r="CS14" i="1"/>
  <c r="BW14" i="1"/>
  <c r="BN13" i="1"/>
  <c r="CN13" i="1" l="1"/>
  <c r="CN15" i="1" s="1"/>
  <c r="Z13" i="58"/>
  <c r="Z15" i="58" s="1"/>
  <c r="BN15" i="1"/>
  <c r="W13" i="57"/>
  <c r="CS46" i="1"/>
  <c r="AJ47" i="44"/>
  <c r="BB15" i="1"/>
  <c r="P13" i="44"/>
  <c r="Q13" i="44" s="1"/>
  <c r="Q15" i="44" s="1"/>
  <c r="BT15" i="1"/>
  <c r="L13" i="44"/>
  <c r="BQ13" i="1"/>
  <c r="BV13" i="1"/>
  <c r="BV15" i="1" s="1"/>
  <c r="AM397" i="1"/>
  <c r="AM400" i="1" s="1"/>
  <c r="CA406" i="1" s="1"/>
  <c r="AL397" i="1"/>
  <c r="AL400" i="1" s="1"/>
  <c r="W15" i="57" l="1"/>
  <c r="X13" i="57"/>
  <c r="X15" i="57" s="1"/>
  <c r="Z15" i="57"/>
  <c r="I6" i="53"/>
  <c r="CG13" i="1"/>
  <c r="CG15" i="1" s="1"/>
  <c r="CB15" i="1"/>
  <c r="BQ15" i="1"/>
  <c r="P15" i="44"/>
  <c r="L15" i="44"/>
  <c r="M13" i="44"/>
  <c r="CS13" i="1"/>
  <c r="CS15" i="1" s="1"/>
  <c r="AE305" i="1"/>
  <c r="AE45" i="1"/>
  <c r="AE44" i="1"/>
  <c r="AA15" i="57" l="1"/>
  <c r="M15" i="44"/>
  <c r="R13" i="44"/>
  <c r="R15" i="44" s="1"/>
  <c r="T13" i="44"/>
  <c r="T15" i="44" s="1"/>
  <c r="AJ13" i="44"/>
  <c r="AJ42" i="44" s="1"/>
  <c r="Y13" i="44"/>
  <c r="Y42" i="44" s="1"/>
  <c r="W42" i="44" s="1"/>
  <c r="BF303" i="1"/>
  <c r="AE303" i="1"/>
  <c r="AU44" i="1"/>
  <c r="AE397" i="1"/>
  <c r="AU305" i="1"/>
  <c r="AU45" i="1"/>
  <c r="Y69" i="52" l="1"/>
  <c r="Y352" i="52"/>
  <c r="Y444" i="52" s="1"/>
  <c r="Y68" i="52"/>
  <c r="Y336" i="52" s="1"/>
  <c r="BA305" i="1"/>
  <c r="BX305" i="1" s="1"/>
  <c r="Z352" i="52" s="1"/>
  <c r="BB305" i="1"/>
  <c r="BA44" i="1"/>
  <c r="BX44" i="1" s="1"/>
  <c r="Z68" i="52" s="1"/>
  <c r="BB44" i="1"/>
  <c r="BA45" i="1"/>
  <c r="BX45" i="1" s="1"/>
  <c r="Z69" i="52" s="1"/>
  <c r="AB69" i="52" s="1"/>
  <c r="BB45" i="1"/>
  <c r="AN15" i="44"/>
  <c r="BF400" i="1"/>
  <c r="AU397" i="1"/>
  <c r="AE400" i="1"/>
  <c r="BN44" i="1"/>
  <c r="AU303" i="1"/>
  <c r="BS45" i="1"/>
  <c r="BR45" i="1"/>
  <c r="BN45" i="1"/>
  <c r="BM45" i="1"/>
  <c r="BL45" i="1"/>
  <c r="BS305" i="1"/>
  <c r="BR305" i="1"/>
  <c r="BM305" i="1"/>
  <c r="V339" i="57" s="1"/>
  <c r="V431" i="57" s="1"/>
  <c r="BL305" i="1"/>
  <c r="U339" i="57" s="1"/>
  <c r="BS44" i="1"/>
  <c r="BR44" i="1"/>
  <c r="BM44" i="1"/>
  <c r="V65" i="57" s="1"/>
  <c r="BL44" i="1"/>
  <c r="U65" i="57" s="1"/>
  <c r="BN305" i="1"/>
  <c r="AY397" i="1"/>
  <c r="V324" i="57" l="1"/>
  <c r="V434" i="57" s="1"/>
  <c r="CN44" i="1"/>
  <c r="Z68" i="58"/>
  <c r="Z327" i="58" s="1"/>
  <c r="CN305" i="1"/>
  <c r="Z340" i="58"/>
  <c r="Z432" i="58" s="1"/>
  <c r="BT305" i="1"/>
  <c r="F318" i="36" s="1"/>
  <c r="W339" i="57"/>
  <c r="W431" i="57" s="1"/>
  <c r="U431" i="57"/>
  <c r="BT44" i="1"/>
  <c r="F51" i="36" s="1"/>
  <c r="W65" i="57"/>
  <c r="CN397" i="1"/>
  <c r="Y447" i="52"/>
  <c r="Z336" i="52"/>
  <c r="AB68" i="52"/>
  <c r="AB336" i="52" s="1"/>
  <c r="AB352" i="52"/>
  <c r="AB444" i="52" s="1"/>
  <c r="Z444" i="52"/>
  <c r="BZ45" i="1"/>
  <c r="BZ44" i="1"/>
  <c r="BZ305" i="1"/>
  <c r="BZ397" i="1" s="1"/>
  <c r="CN45" i="1"/>
  <c r="BT45" i="1"/>
  <c r="F316" i="40"/>
  <c r="L307" i="44"/>
  <c r="G318" i="37"/>
  <c r="G410" i="37" s="1"/>
  <c r="O307" i="44"/>
  <c r="F316" i="41"/>
  <c r="F408" i="41" s="1"/>
  <c r="J307" i="44"/>
  <c r="F318" i="37"/>
  <c r="F410" i="37" s="1"/>
  <c r="N307" i="44"/>
  <c r="G316" i="41"/>
  <c r="G408" i="41" s="1"/>
  <c r="K307" i="44"/>
  <c r="F48" i="41"/>
  <c r="J45" i="44"/>
  <c r="F51" i="37"/>
  <c r="N45" i="44"/>
  <c r="G48" i="41"/>
  <c r="K45" i="44"/>
  <c r="G51" i="37"/>
  <c r="O45" i="44"/>
  <c r="F48" i="40"/>
  <c r="L45" i="44"/>
  <c r="BR397" i="1"/>
  <c r="BB397" i="1"/>
  <c r="BM397" i="1"/>
  <c r="BS397" i="1"/>
  <c r="BA397" i="1"/>
  <c r="BX397" i="1"/>
  <c r="BA303" i="1"/>
  <c r="BX303" i="1"/>
  <c r="AY303" i="1"/>
  <c r="AU400" i="1"/>
  <c r="BQ45" i="1"/>
  <c r="BQ44" i="1"/>
  <c r="BL397" i="1"/>
  <c r="BQ305" i="1"/>
  <c r="BN303" i="1"/>
  <c r="BV44" i="1"/>
  <c r="BB303" i="1"/>
  <c r="BV305" i="1"/>
  <c r="BM303" i="1"/>
  <c r="BS303" i="1"/>
  <c r="BL303" i="1"/>
  <c r="BR303" i="1"/>
  <c r="BN397" i="1"/>
  <c r="DQ285" i="1"/>
  <c r="DQ196" i="1"/>
  <c r="AX287" i="1"/>
  <c r="DQ242" i="1"/>
  <c r="DQ138" i="1"/>
  <c r="DQ122" i="1"/>
  <c r="AX70" i="1"/>
  <c r="DQ194" i="1"/>
  <c r="DQ275" i="1"/>
  <c r="DQ329" i="1"/>
  <c r="AX346" i="1"/>
  <c r="DQ268" i="1"/>
  <c r="DQ337" i="1"/>
  <c r="AX247" i="1"/>
  <c r="DQ284" i="1"/>
  <c r="DQ101" i="1"/>
  <c r="AX48" i="1"/>
  <c r="DQ34" i="1"/>
  <c r="DQ184" i="1"/>
  <c r="DQ286" i="1"/>
  <c r="DQ174" i="1"/>
  <c r="DQ178" i="1"/>
  <c r="AX17" i="1"/>
  <c r="DQ193" i="1"/>
  <c r="DQ143" i="1"/>
  <c r="DQ153" i="1"/>
  <c r="AX259" i="1"/>
  <c r="DQ81" i="1"/>
  <c r="DQ191" i="1"/>
  <c r="DQ314" i="1"/>
  <c r="AX289" i="1"/>
  <c r="DQ117" i="1"/>
  <c r="DQ187" i="1"/>
  <c r="AX134" i="1"/>
  <c r="DQ156" i="1"/>
  <c r="DQ321" i="1"/>
  <c r="DQ355" i="1"/>
  <c r="DQ359" i="1"/>
  <c r="DQ393" i="1"/>
  <c r="AX365" i="1"/>
  <c r="DQ137" i="1"/>
  <c r="DQ392" i="1"/>
  <c r="AX202" i="1"/>
  <c r="AX36" i="1"/>
  <c r="DQ263" i="1"/>
  <c r="DQ341" i="1"/>
  <c r="DQ373" i="1"/>
  <c r="DQ207" i="1"/>
  <c r="AX109" i="1"/>
  <c r="AX215" i="1"/>
  <c r="DQ335" i="1"/>
  <c r="DQ162" i="1"/>
  <c r="AX200" i="1"/>
  <c r="DQ254" i="1"/>
  <c r="DQ172" i="1"/>
  <c r="DQ155" i="1"/>
  <c r="DQ26" i="1"/>
  <c r="AX221" i="1"/>
  <c r="DQ246" i="1"/>
  <c r="AX205" i="1"/>
  <c r="DQ293" i="1"/>
  <c r="DQ177" i="1"/>
  <c r="AX142" i="1"/>
  <c r="DQ82" i="1"/>
  <c r="DQ368" i="1"/>
  <c r="DQ227" i="1"/>
  <c r="DQ370" i="1"/>
  <c r="AX301" i="1"/>
  <c r="AX34" i="1"/>
  <c r="DQ112" i="1"/>
  <c r="AX269" i="1"/>
  <c r="DQ372" i="1"/>
  <c r="DQ109" i="1"/>
  <c r="AX293" i="1"/>
  <c r="AX56" i="1"/>
  <c r="DQ200" i="1"/>
  <c r="DQ231" i="1"/>
  <c r="DQ235" i="1"/>
  <c r="DQ17" i="1"/>
  <c r="DQ146" i="1"/>
  <c r="DQ92" i="1"/>
  <c r="AX300" i="1"/>
  <c r="DQ250" i="1"/>
  <c r="AX381" i="1"/>
  <c r="AX21" i="1"/>
  <c r="DQ302" i="1"/>
  <c r="DQ132" i="1"/>
  <c r="DQ144" i="1"/>
  <c r="DQ50" i="1"/>
  <c r="DQ28" i="1"/>
  <c r="DQ331" i="1"/>
  <c r="AX237" i="1"/>
  <c r="DQ241" i="1"/>
  <c r="DQ141" i="1"/>
  <c r="AX92" i="1"/>
  <c r="DQ297" i="1"/>
  <c r="AX40" i="1"/>
  <c r="DQ251" i="1"/>
  <c r="DQ305" i="1"/>
  <c r="AX163" i="1"/>
  <c r="DQ230" i="1"/>
  <c r="DQ258" i="1"/>
  <c r="DQ366" i="1"/>
  <c r="DQ167" i="1"/>
  <c r="AX27" i="1"/>
  <c r="AX278" i="1"/>
  <c r="DQ154" i="1"/>
  <c r="DQ188" i="1"/>
  <c r="DQ201" i="1"/>
  <c r="DQ349" i="1"/>
  <c r="DQ252" i="1"/>
  <c r="DQ247" i="1"/>
  <c r="AX260" i="1"/>
  <c r="AX217" i="1"/>
  <c r="DQ311" i="1"/>
  <c r="DQ103" i="1"/>
  <c r="DQ222" i="1"/>
  <c r="DQ53" i="1"/>
  <c r="DQ298" i="1"/>
  <c r="DQ29" i="1"/>
  <c r="DQ205" i="1"/>
  <c r="DQ190" i="1"/>
  <c r="AX395" i="1"/>
  <c r="DQ47" i="1"/>
  <c r="DQ310" i="1"/>
  <c r="DQ85" i="1"/>
  <c r="AX193" i="1"/>
  <c r="AX39" i="1"/>
  <c r="DQ255" i="1"/>
  <c r="DQ63" i="1"/>
  <c r="AX120" i="1"/>
  <c r="DQ240" i="1"/>
  <c r="AX222" i="1"/>
  <c r="AX351" i="1"/>
  <c r="DQ233" i="1"/>
  <c r="DQ74" i="1"/>
  <c r="AX220" i="1"/>
  <c r="DQ357" i="1"/>
  <c r="DQ166" i="1"/>
  <c r="AX298" i="1"/>
  <c r="AX297" i="1"/>
  <c r="AX58" i="1"/>
  <c r="DQ273" i="1"/>
  <c r="DQ371" i="1"/>
  <c r="DQ199" i="1"/>
  <c r="AX241" i="1"/>
  <c r="AX29" i="1"/>
  <c r="AX20" i="1"/>
  <c r="DQ330" i="1"/>
  <c r="DQ213" i="1"/>
  <c r="DQ244" i="1"/>
  <c r="DQ181" i="1"/>
  <c r="DQ135" i="1"/>
  <c r="AX136" i="1"/>
  <c r="DQ308" i="1"/>
  <c r="DQ309" i="1"/>
  <c r="DQ169" i="1"/>
  <c r="DQ220" i="1"/>
  <c r="DQ129" i="1"/>
  <c r="DQ364" i="1"/>
  <c r="DQ283" i="1"/>
  <c r="AX242" i="1"/>
  <c r="DQ351" i="1"/>
  <c r="AX47" i="1"/>
  <c r="DQ234" i="1"/>
  <c r="AX254" i="1"/>
  <c r="AX125" i="1"/>
  <c r="DQ60" i="1"/>
  <c r="DQ24" i="1"/>
  <c r="DQ33" i="1"/>
  <c r="DQ55" i="1"/>
  <c r="AX96" i="1"/>
  <c r="DQ124" i="1"/>
  <c r="DQ164" i="1"/>
  <c r="DQ315" i="1"/>
  <c r="AX181" i="1"/>
  <c r="AX129" i="1"/>
  <c r="AX25" i="1"/>
  <c r="AX41" i="1"/>
  <c r="DQ66" i="1"/>
  <c r="DQ86" i="1"/>
  <c r="DQ44" i="1"/>
  <c r="DQ318" i="1"/>
  <c r="DQ96" i="1"/>
  <c r="DQ342" i="1"/>
  <c r="DQ80" i="1"/>
  <c r="DQ91" i="1"/>
  <c r="DQ290" i="1"/>
  <c r="DQ226" i="1"/>
  <c r="DQ346" i="1"/>
  <c r="AX18" i="1"/>
  <c r="AX396" i="1"/>
  <c r="DQ281" i="1"/>
  <c r="AX211" i="1"/>
  <c r="DQ229" i="1"/>
  <c r="DQ356" i="1"/>
  <c r="DQ385" i="1"/>
  <c r="DQ214" i="1"/>
  <c r="DQ307" i="1"/>
  <c r="DQ378" i="1"/>
  <c r="DQ75" i="1"/>
  <c r="AX251" i="1"/>
  <c r="AX155" i="1"/>
  <c r="DQ295" i="1"/>
  <c r="AX30" i="1"/>
  <c r="DQ354" i="1"/>
  <c r="AX363" i="1"/>
  <c r="DQ171" i="1"/>
  <c r="DQ31" i="1"/>
  <c r="DQ97" i="1"/>
  <c r="DQ170" i="1"/>
  <c r="DQ145" i="1"/>
  <c r="DQ215" i="1"/>
  <c r="DQ192" i="1"/>
  <c r="DQ131" i="1"/>
  <c r="AX50" i="1"/>
  <c r="DQ272" i="1"/>
  <c r="DQ260" i="1"/>
  <c r="DQ163" i="1"/>
  <c r="DQ37" i="1"/>
  <c r="AX101" i="1"/>
  <c r="DQ389" i="1"/>
  <c r="AX26" i="1"/>
  <c r="DQ338" i="1"/>
  <c r="DQ197" i="1"/>
  <c r="DQ32" i="1"/>
  <c r="DQ224" i="1"/>
  <c r="DQ95" i="1"/>
  <c r="DQ54" i="1"/>
  <c r="DQ219" i="1"/>
  <c r="DQ376" i="1"/>
  <c r="AX113" i="1"/>
  <c r="DQ105" i="1"/>
  <c r="DQ210" i="1"/>
  <c r="DQ123" i="1"/>
  <c r="DQ361" i="1"/>
  <c r="DQ271" i="1"/>
  <c r="DQ21" i="1"/>
  <c r="DQ18" i="1"/>
  <c r="AX249" i="1"/>
  <c r="DQ277" i="1"/>
  <c r="DQ100" i="1"/>
  <c r="DQ186" i="1"/>
  <c r="DQ40" i="1"/>
  <c r="DQ211" i="1"/>
  <c r="DQ375" i="1"/>
  <c r="DQ261" i="1"/>
  <c r="AX267" i="1"/>
  <c r="AX377" i="1"/>
  <c r="DQ208" i="1"/>
  <c r="DQ113" i="1"/>
  <c r="DQ120" i="1"/>
  <c r="DQ358" i="1"/>
  <c r="AX52" i="1"/>
  <c r="DQ204" i="1"/>
  <c r="DQ396" i="1"/>
  <c r="DQ79" i="1"/>
  <c r="DQ179" i="1"/>
  <c r="DQ367" i="1"/>
  <c r="AX390" i="1"/>
  <c r="DQ114" i="1"/>
  <c r="AX245" i="1"/>
  <c r="AX199" i="1"/>
  <c r="DQ340" i="1"/>
  <c r="DQ374" i="1"/>
  <c r="DQ115" i="1"/>
  <c r="DQ382" i="1"/>
  <c r="DQ391" i="1"/>
  <c r="DQ70" i="1"/>
  <c r="DQ142" i="1"/>
  <c r="DQ65" i="1"/>
  <c r="DQ276" i="1"/>
  <c r="DQ198" i="1"/>
  <c r="AX102" i="1"/>
  <c r="DQ322" i="1"/>
  <c r="DQ182" i="1"/>
  <c r="AX324" i="1"/>
  <c r="DQ69" i="1"/>
  <c r="DQ116" i="1"/>
  <c r="DQ13" i="1"/>
  <c r="DQ387" i="1"/>
  <c r="DQ128" i="1"/>
  <c r="DQ221" i="1"/>
  <c r="AX230" i="1"/>
  <c r="AX364" i="1"/>
  <c r="DQ350" i="1"/>
  <c r="DQ99" i="1"/>
  <c r="DQ126" i="1"/>
  <c r="DQ35" i="1"/>
  <c r="DQ267" i="1"/>
  <c r="DQ317" i="1"/>
  <c r="DQ46" i="1"/>
  <c r="AX292" i="1"/>
  <c r="DQ296" i="1"/>
  <c r="DQ165" i="1"/>
  <c r="DQ73" i="1"/>
  <c r="DQ217" i="1"/>
  <c r="DQ216" i="1"/>
  <c r="DQ336" i="1"/>
  <c r="DQ237" i="1"/>
  <c r="DQ278" i="1"/>
  <c r="DQ344" i="1"/>
  <c r="DQ269" i="1"/>
  <c r="DQ203" i="1"/>
  <c r="DQ102" i="1"/>
  <c r="AX22" i="1"/>
  <c r="DQ245" i="1"/>
  <c r="DQ83" i="1"/>
  <c r="AX373" i="1"/>
  <c r="DQ52" i="1"/>
  <c r="AX158" i="1"/>
  <c r="AX246" i="1"/>
  <c r="DQ152" i="1"/>
  <c r="DQ232" i="1"/>
  <c r="DQ94" i="1"/>
  <c r="AX37" i="1"/>
  <c r="DQ212" i="1"/>
  <c r="DQ25" i="1"/>
  <c r="DQ343" i="1"/>
  <c r="DQ287" i="1"/>
  <c r="DQ209" i="1"/>
  <c r="DQ189" i="1"/>
  <c r="DQ256" i="1"/>
  <c r="DQ87" i="1"/>
  <c r="DQ347" i="1"/>
  <c r="DQ360" i="1"/>
  <c r="DQ14" i="1"/>
  <c r="DQ228" i="1"/>
  <c r="AX281" i="1"/>
  <c r="DQ280" i="1"/>
  <c r="DQ183" i="1"/>
  <c r="DQ19" i="1"/>
  <c r="AX31" i="1"/>
  <c r="DQ264" i="1"/>
  <c r="AX32" i="1"/>
  <c r="DQ383" i="1"/>
  <c r="AX227" i="1"/>
  <c r="AX201" i="1"/>
  <c r="DQ243" i="1"/>
  <c r="DQ130" i="1"/>
  <c r="DQ294" i="1"/>
  <c r="DQ111" i="1"/>
  <c r="DQ20" i="1"/>
  <c r="DQ348" i="1"/>
  <c r="DQ289" i="1"/>
  <c r="DQ62" i="1"/>
  <c r="DQ45" i="1"/>
  <c r="DQ98" i="1"/>
  <c r="AX286" i="1"/>
  <c r="DQ93" i="1"/>
  <c r="AX391" i="1"/>
  <c r="DQ185" i="1"/>
  <c r="DQ323" i="1"/>
  <c r="DQ369" i="1"/>
  <c r="DQ202" i="1"/>
  <c r="DQ150" i="1"/>
  <c r="DQ148" i="1"/>
  <c r="DQ125" i="1"/>
  <c r="DQ106" i="1"/>
  <c r="DQ325" i="1"/>
  <c r="DQ68" i="1"/>
  <c r="DQ78" i="1"/>
  <c r="DQ56" i="1"/>
  <c r="DQ291" i="1"/>
  <c r="DQ332" i="1"/>
  <c r="AX184" i="1"/>
  <c r="DQ71" i="1"/>
  <c r="DQ306" i="1"/>
  <c r="DQ339" i="1"/>
  <c r="AX160" i="1"/>
  <c r="DQ27" i="1"/>
  <c r="AX384" i="1"/>
  <c r="DQ312" i="1"/>
  <c r="DQ377" i="1"/>
  <c r="DQ270" i="1"/>
  <c r="AX24" i="1"/>
  <c r="DQ262" i="1"/>
  <c r="DQ136" i="1"/>
  <c r="AX266" i="1"/>
  <c r="DQ149" i="1"/>
  <c r="AX33" i="1"/>
  <c r="DQ386" i="1"/>
  <c r="DQ176" i="1"/>
  <c r="DQ57" i="1"/>
  <c r="DQ300" i="1"/>
  <c r="DQ22" i="1"/>
  <c r="DQ352" i="1"/>
  <c r="DQ236" i="1"/>
  <c r="DQ110" i="1"/>
  <c r="DQ39" i="1"/>
  <c r="AX212" i="1"/>
  <c r="DQ223" i="1"/>
  <c r="DQ30" i="1"/>
  <c r="DQ49" i="1"/>
  <c r="DQ266" i="1"/>
  <c r="AX208" i="1"/>
  <c r="DQ381" i="1"/>
  <c r="DQ395" i="1"/>
  <c r="AX386" i="1"/>
  <c r="DQ362" i="1"/>
  <c r="DQ158" i="1"/>
  <c r="DQ107" i="1"/>
  <c r="DQ334" i="1"/>
  <c r="DQ238" i="1"/>
  <c r="DQ89" i="1"/>
  <c r="DQ41" i="1"/>
  <c r="DQ353" i="1"/>
  <c r="DQ239" i="1"/>
  <c r="DQ333" i="1"/>
  <c r="AX229" i="1"/>
  <c r="DQ313" i="1"/>
  <c r="AX85" i="1"/>
  <c r="DQ326" i="1"/>
  <c r="DQ379" i="1"/>
  <c r="DQ23" i="1"/>
  <c r="DQ328" i="1"/>
  <c r="DQ157" i="1"/>
  <c r="DQ380" i="1"/>
  <c r="DQ320" i="1"/>
  <c r="AX28" i="1"/>
  <c r="DQ292" i="1"/>
  <c r="DQ76" i="1"/>
  <c r="DQ324" i="1"/>
  <c r="DQ175" i="1"/>
  <c r="DQ316" i="1"/>
  <c r="DQ173" i="1"/>
  <c r="AX203" i="1"/>
  <c r="DQ218" i="1"/>
  <c r="DQ248" i="1"/>
  <c r="DQ394" i="1"/>
  <c r="DQ168" i="1"/>
  <c r="AX152" i="1"/>
  <c r="DQ160" i="1"/>
  <c r="AX274" i="1"/>
  <c r="AX145" i="1"/>
  <c r="DQ265" i="1"/>
  <c r="DQ274" i="1"/>
  <c r="DQ390" i="1"/>
  <c r="AX19" i="1"/>
  <c r="DQ327" i="1"/>
  <c r="DQ147" i="1"/>
  <c r="DQ48" i="1"/>
  <c r="AX214" i="1"/>
  <c r="DQ61" i="1"/>
  <c r="DQ151" i="1"/>
  <c r="DQ58" i="1"/>
  <c r="AX189" i="1"/>
  <c r="DQ64" i="1"/>
  <c r="AX143" i="1"/>
  <c r="AX35" i="1"/>
  <c r="AX302" i="1"/>
  <c r="DQ118" i="1"/>
  <c r="AX232" i="1"/>
  <c r="DQ140" i="1"/>
  <c r="DQ249" i="1"/>
  <c r="DQ72" i="1"/>
  <c r="DQ301" i="1"/>
  <c r="DQ279" i="1"/>
  <c r="DQ180" i="1"/>
  <c r="DQ77" i="1"/>
  <c r="DQ388" i="1"/>
  <c r="DQ206" i="1"/>
  <c r="AX206" i="1"/>
  <c r="DQ134" i="1"/>
  <c r="AX140" i="1"/>
  <c r="DQ288" i="1"/>
  <c r="DQ36" i="1"/>
  <c r="AX23" i="1"/>
  <c r="DQ345" i="1"/>
  <c r="DQ88" i="1"/>
  <c r="DQ282" i="1"/>
  <c r="DQ195" i="1"/>
  <c r="DQ363" i="1"/>
  <c r="DQ365" i="1"/>
  <c r="AX288" i="1"/>
  <c r="DQ259" i="1"/>
  <c r="AX250" i="1"/>
  <c r="AX157" i="1"/>
  <c r="AX197" i="1"/>
  <c r="DQ384" i="1"/>
  <c r="DQ319" i="1"/>
  <c r="DQ159" i="1"/>
  <c r="Y221" i="58" l="1"/>
  <c r="AD221" i="58" s="1"/>
  <c r="Y181" i="58"/>
  <c r="AD181" i="58" s="1"/>
  <c r="Y274" i="58"/>
  <c r="AD274" i="58" s="1"/>
  <c r="Y312" i="58"/>
  <c r="AD312" i="58" s="1"/>
  <c r="Y39" i="58"/>
  <c r="AD39" i="58" s="1"/>
  <c r="Y164" i="58"/>
  <c r="AD164" i="58" s="1"/>
  <c r="Y230" i="58"/>
  <c r="AD230" i="58" s="1"/>
  <c r="Y256" i="58"/>
  <c r="AD256" i="58" s="1"/>
  <c r="Y326" i="58"/>
  <c r="AD326" i="58" s="1"/>
  <c r="Y51" i="58"/>
  <c r="AD51" i="58" s="1"/>
  <c r="Y167" i="58"/>
  <c r="AD167" i="58" s="1"/>
  <c r="Y213" i="58"/>
  <c r="AD213" i="58" s="1"/>
  <c r="Y238" i="58"/>
  <c r="AD238" i="58" s="1"/>
  <c r="Y35" i="58"/>
  <c r="AD35" i="58" s="1"/>
  <c r="Y169" i="58"/>
  <c r="AD169" i="58" s="1"/>
  <c r="Y298" i="58"/>
  <c r="AD298" i="58" s="1"/>
  <c r="Y176" i="58"/>
  <c r="AD176" i="58" s="1"/>
  <c r="Y227" i="58"/>
  <c r="AD227" i="58" s="1"/>
  <c r="Y44" i="58"/>
  <c r="AD44" i="58" s="1"/>
  <c r="Y109" i="58"/>
  <c r="AD109" i="58" s="1"/>
  <c r="Y253" i="58"/>
  <c r="AD253" i="58" s="1"/>
  <c r="Y421" i="58"/>
  <c r="AD421" i="58" s="1"/>
  <c r="Y232" i="58"/>
  <c r="AD232" i="58" s="1"/>
  <c r="Y236" i="58"/>
  <c r="AD236" i="58" s="1"/>
  <c r="Y49" i="58"/>
  <c r="AD49" i="58" s="1"/>
  <c r="Y290" i="58"/>
  <c r="AD290" i="58" s="1"/>
  <c r="Y40" i="58"/>
  <c r="AD40" i="58" s="1"/>
  <c r="Y419" i="58"/>
  <c r="AD419" i="58" s="1"/>
  <c r="Y184" i="58"/>
  <c r="AD184" i="58" s="1"/>
  <c r="Y208" i="58"/>
  <c r="AD208" i="58" s="1"/>
  <c r="Y426" i="58"/>
  <c r="AD426" i="58" s="1"/>
  <c r="Y310" i="58"/>
  <c r="AD310" i="58" s="1"/>
  <c r="Y225" i="58"/>
  <c r="AD225" i="58" s="1"/>
  <c r="Y251" i="58"/>
  <c r="AD251" i="58" s="1"/>
  <c r="Y48" i="58"/>
  <c r="AD48" i="58" s="1"/>
  <c r="Y47" i="58"/>
  <c r="AD47" i="58" s="1"/>
  <c r="Y305" i="58"/>
  <c r="AD305" i="58" s="1"/>
  <c r="Y53" i="58"/>
  <c r="AD53" i="58" s="1"/>
  <c r="Y270" i="58"/>
  <c r="AD270" i="58" s="1"/>
  <c r="Y182" i="58"/>
  <c r="AD182" i="58" s="1"/>
  <c r="Y408" i="58"/>
  <c r="AD408" i="58" s="1"/>
  <c r="Y38" i="58"/>
  <c r="AD38" i="58" s="1"/>
  <c r="Y316" i="58"/>
  <c r="AD316" i="58" s="1"/>
  <c r="Y399" i="58"/>
  <c r="AD399" i="58" s="1"/>
  <c r="Y254" i="58"/>
  <c r="AD254" i="58" s="1"/>
  <c r="Y359" i="58"/>
  <c r="AD359" i="58" s="1"/>
  <c r="Y126" i="58"/>
  <c r="AD126" i="58" s="1"/>
  <c r="Y223" i="58"/>
  <c r="AD223" i="58" s="1"/>
  <c r="Y269" i="58"/>
  <c r="AD269" i="58" s="1"/>
  <c r="Y425" i="58"/>
  <c r="AD425" i="58" s="1"/>
  <c r="Y76" i="58"/>
  <c r="AD76" i="58" s="1"/>
  <c r="Y412" i="58"/>
  <c r="AD412" i="58" s="1"/>
  <c r="Y291" i="58"/>
  <c r="AD291" i="58" s="1"/>
  <c r="Y273" i="58"/>
  <c r="AD273" i="58" s="1"/>
  <c r="Y137" i="58"/>
  <c r="AD137" i="58" s="1"/>
  <c r="Y42" i="58"/>
  <c r="AD42" i="58" s="1"/>
  <c r="Y125" i="58"/>
  <c r="AD125" i="58" s="1"/>
  <c r="Y74" i="58"/>
  <c r="AD74" i="58" s="1"/>
  <c r="Y398" i="58"/>
  <c r="AD398" i="58" s="1"/>
  <c r="Y46" i="58"/>
  <c r="AD46" i="58" s="1"/>
  <c r="Y179" i="58"/>
  <c r="AD179" i="58" s="1"/>
  <c r="Y275" i="58"/>
  <c r="AD275" i="58" s="1"/>
  <c r="Y235" i="58"/>
  <c r="AD235" i="58" s="1"/>
  <c r="Y431" i="58"/>
  <c r="AD431" i="58" s="1"/>
  <c r="Y34" i="58"/>
  <c r="AD34" i="58" s="1"/>
  <c r="Y57" i="58"/>
  <c r="AD57" i="58" s="1"/>
  <c r="Y41" i="58"/>
  <c r="AD41" i="58" s="1"/>
  <c r="Y153" i="58"/>
  <c r="AD153" i="58" s="1"/>
  <c r="Y205" i="58"/>
  <c r="AD205" i="58" s="1"/>
  <c r="Y120" i="58"/>
  <c r="AD120" i="58" s="1"/>
  <c r="Y149" i="58"/>
  <c r="AD149" i="58" s="1"/>
  <c r="Y278" i="58"/>
  <c r="AD278" i="58" s="1"/>
  <c r="Y71" i="58"/>
  <c r="AD71" i="58" s="1"/>
  <c r="Y266" i="58"/>
  <c r="AD266" i="58" s="1"/>
  <c r="Y160" i="58"/>
  <c r="AD160" i="58" s="1"/>
  <c r="Y36" i="58"/>
  <c r="AD36" i="58" s="1"/>
  <c r="Y45" i="58"/>
  <c r="AD45" i="58" s="1"/>
  <c r="Y265" i="58"/>
  <c r="AD265" i="58" s="1"/>
  <c r="Y82" i="58"/>
  <c r="AD82" i="58" s="1"/>
  <c r="Y321" i="58"/>
  <c r="AD321" i="58" s="1"/>
  <c r="Y322" i="58"/>
  <c r="AD322" i="58" s="1"/>
  <c r="Y244" i="58"/>
  <c r="AD244" i="58" s="1"/>
  <c r="Y386" i="58"/>
  <c r="AD386" i="58" s="1"/>
  <c r="Y246" i="58"/>
  <c r="AD246" i="58" s="1"/>
  <c r="Y144" i="58"/>
  <c r="AD144" i="58" s="1"/>
  <c r="Y55" i="58"/>
  <c r="AD55" i="58" s="1"/>
  <c r="Y217" i="58"/>
  <c r="AD217" i="58" s="1"/>
  <c r="Y430" i="58"/>
  <c r="AD430" i="58" s="1"/>
  <c r="Y241" i="58"/>
  <c r="AD241" i="58" s="1"/>
  <c r="Y284" i="58"/>
  <c r="AD284" i="58" s="1"/>
  <c r="Y302" i="58"/>
  <c r="AD302" i="58" s="1"/>
  <c r="Y43" i="58"/>
  <c r="AD43" i="58" s="1"/>
  <c r="Y187" i="58"/>
  <c r="AD187" i="58" s="1"/>
  <c r="Y56" i="58"/>
  <c r="AD56" i="58" s="1"/>
  <c r="Y116" i="58"/>
  <c r="AD116" i="58" s="1"/>
  <c r="Y261" i="58"/>
  <c r="AD261" i="58" s="1"/>
  <c r="Y37" i="58"/>
  <c r="AD37" i="58" s="1"/>
  <c r="Y416" i="58"/>
  <c r="AD416" i="58" s="1"/>
  <c r="Y324" i="58"/>
  <c r="AD324" i="58" s="1"/>
  <c r="Y80" i="58"/>
  <c r="AD80" i="58" s="1"/>
  <c r="Y317" i="58"/>
  <c r="AD317" i="58" s="1"/>
  <c r="Y293" i="58"/>
  <c r="AD293" i="58" s="1"/>
  <c r="Y50" i="58"/>
  <c r="AD50" i="58" s="1"/>
  <c r="Y325" i="58"/>
  <c r="AD325" i="58" s="1"/>
  <c r="Y166" i="58"/>
  <c r="AD166" i="58" s="1"/>
  <c r="Y229" i="58"/>
  <c r="AD229" i="58" s="1"/>
  <c r="Y245" i="58"/>
  <c r="AD245" i="58" s="1"/>
  <c r="Y224" i="58"/>
  <c r="AD224" i="58" s="1"/>
  <c r="Y239" i="58"/>
  <c r="AD239" i="58" s="1"/>
  <c r="Y133" i="58"/>
  <c r="AD133" i="58" s="1"/>
  <c r="Y52" i="58"/>
  <c r="AD52" i="58" s="1"/>
  <c r="Y226" i="58"/>
  <c r="AD226" i="58" s="1"/>
  <c r="Y400" i="58"/>
  <c r="AD400" i="58" s="1"/>
  <c r="Y158" i="58"/>
  <c r="AD158" i="58" s="1"/>
  <c r="Y313" i="58"/>
  <c r="AD313" i="58" s="1"/>
  <c r="Y283" i="58"/>
  <c r="AD283" i="58" s="1"/>
  <c r="Y72" i="58"/>
  <c r="AD72" i="58" s="1"/>
  <c r="Y271" i="58"/>
  <c r="AD271" i="58" s="1"/>
  <c r="Y381" i="58"/>
  <c r="AD381" i="58" s="1"/>
  <c r="Y94" i="58"/>
  <c r="AD94" i="58" s="1"/>
  <c r="Y311" i="58"/>
  <c r="AD311" i="58" s="1"/>
  <c r="CC249" i="1"/>
  <c r="CC197" i="1"/>
  <c r="CC157" i="1"/>
  <c r="CC250" i="1"/>
  <c r="CC217" i="1"/>
  <c r="CC288" i="1"/>
  <c r="CC260" i="1"/>
  <c r="CC113" i="1"/>
  <c r="CC391" i="1"/>
  <c r="CC286" i="1"/>
  <c r="CC23" i="1"/>
  <c r="CC278" i="1"/>
  <c r="CC27" i="1"/>
  <c r="CC140" i="1"/>
  <c r="CC26" i="1"/>
  <c r="CC206" i="1"/>
  <c r="CC101" i="1"/>
  <c r="CC163" i="1"/>
  <c r="CC40" i="1"/>
  <c r="CC201" i="1"/>
  <c r="CC227" i="1"/>
  <c r="CC50" i="1"/>
  <c r="CC92" i="1"/>
  <c r="CC32" i="1"/>
  <c r="CC237" i="1"/>
  <c r="CC232" i="1"/>
  <c r="CC31" i="1"/>
  <c r="CC302" i="1"/>
  <c r="CC35" i="1"/>
  <c r="CC143" i="1"/>
  <c r="CC281" i="1"/>
  <c r="CC363" i="1"/>
  <c r="CC189" i="1"/>
  <c r="CC21" i="1"/>
  <c r="CC30" i="1"/>
  <c r="CC381" i="1"/>
  <c r="CC155" i="1"/>
  <c r="CC300" i="1"/>
  <c r="CC214" i="1"/>
  <c r="CC251" i="1"/>
  <c r="CC19" i="1"/>
  <c r="CC56" i="1"/>
  <c r="CC37" i="1"/>
  <c r="CC293" i="1"/>
  <c r="CC145" i="1"/>
  <c r="CC211" i="1"/>
  <c r="CC274" i="1"/>
  <c r="CC396" i="1"/>
  <c r="CC269" i="1"/>
  <c r="CC152" i="1"/>
  <c r="CC246" i="1"/>
  <c r="CC18" i="1"/>
  <c r="CC158" i="1"/>
  <c r="CC34" i="1"/>
  <c r="CC301" i="1"/>
  <c r="CC373" i="1"/>
  <c r="CC203" i="1"/>
  <c r="CC22" i="1"/>
  <c r="CC142" i="1"/>
  <c r="CC205" i="1"/>
  <c r="CC28" i="1"/>
  <c r="CC41" i="1"/>
  <c r="CC221" i="1"/>
  <c r="CC25" i="1"/>
  <c r="CC129" i="1"/>
  <c r="CC181" i="1"/>
  <c r="CC200" i="1"/>
  <c r="CC292" i="1"/>
  <c r="CC96" i="1"/>
  <c r="CC85" i="1"/>
  <c r="CC215" i="1"/>
  <c r="CC109" i="1"/>
  <c r="CC229" i="1"/>
  <c r="CC125" i="1"/>
  <c r="CC254" i="1"/>
  <c r="CC36" i="1"/>
  <c r="CC364" i="1"/>
  <c r="CC47" i="1"/>
  <c r="CC202" i="1"/>
  <c r="CC230" i="1"/>
  <c r="CC242" i="1"/>
  <c r="CC365" i="1"/>
  <c r="CC386" i="1"/>
  <c r="CC324" i="1"/>
  <c r="CC208" i="1"/>
  <c r="CC134" i="1"/>
  <c r="CC136" i="1"/>
  <c r="CC102" i="1"/>
  <c r="CC289" i="1"/>
  <c r="CC212" i="1"/>
  <c r="CC20" i="1"/>
  <c r="CC259" i="1"/>
  <c r="CC29" i="1"/>
  <c r="CC241" i="1"/>
  <c r="CC17" i="1"/>
  <c r="CC199" i="1"/>
  <c r="CC58" i="1"/>
  <c r="CC245" i="1"/>
  <c r="CC297" i="1"/>
  <c r="CC33" i="1"/>
  <c r="CC298" i="1"/>
  <c r="CC390" i="1"/>
  <c r="CC266" i="1"/>
  <c r="CC48" i="1"/>
  <c r="CC220" i="1"/>
  <c r="CC24" i="1"/>
  <c r="CC247" i="1"/>
  <c r="CC351" i="1"/>
  <c r="CC52" i="1"/>
  <c r="CC222" i="1"/>
  <c r="CC346" i="1"/>
  <c r="CC384" i="1"/>
  <c r="CC120" i="1"/>
  <c r="CC160" i="1"/>
  <c r="CC377" i="1"/>
  <c r="CC39" i="1"/>
  <c r="CC70" i="1"/>
  <c r="CC267" i="1"/>
  <c r="CC193" i="1"/>
  <c r="CC184" i="1"/>
  <c r="CC287" i="1"/>
  <c r="CC395" i="1"/>
  <c r="CQ289" i="1"/>
  <c r="CR289" i="1" s="1"/>
  <c r="CQ125" i="1"/>
  <c r="CR125" i="1" s="1"/>
  <c r="CQ278" i="1"/>
  <c r="CR278" i="1" s="1"/>
  <c r="CQ254" i="1"/>
  <c r="CR254" i="1" s="1"/>
  <c r="CQ24" i="1"/>
  <c r="CR24" i="1" s="1"/>
  <c r="CQ27" i="1"/>
  <c r="CR27" i="1" s="1"/>
  <c r="CQ56" i="1"/>
  <c r="CR56" i="1" s="1"/>
  <c r="CQ205" i="1"/>
  <c r="CR205" i="1" s="1"/>
  <c r="CQ212" i="1"/>
  <c r="CR212" i="1" s="1"/>
  <c r="CQ302" i="1"/>
  <c r="CR302" i="1" s="1"/>
  <c r="CQ37" i="1"/>
  <c r="CR37" i="1" s="1"/>
  <c r="CQ247" i="1"/>
  <c r="CR247" i="1" s="1"/>
  <c r="CQ36" i="1"/>
  <c r="CR36" i="1" s="1"/>
  <c r="CQ249" i="1"/>
  <c r="CR249" i="1" s="1"/>
  <c r="CQ293" i="1"/>
  <c r="CR293" i="1" s="1"/>
  <c r="CQ140" i="1"/>
  <c r="CR140" i="1" s="1"/>
  <c r="CQ145" i="1"/>
  <c r="CR145" i="1" s="1"/>
  <c r="CQ28" i="1"/>
  <c r="CR28" i="1" s="1"/>
  <c r="CQ364" i="1"/>
  <c r="CR364" i="1" s="1"/>
  <c r="CQ351" i="1"/>
  <c r="CR351" i="1" s="1"/>
  <c r="CQ35" i="1"/>
  <c r="CR35" i="1" s="1"/>
  <c r="CQ47" i="1"/>
  <c r="CR47" i="1" s="1"/>
  <c r="CQ211" i="1"/>
  <c r="CR211" i="1" s="1"/>
  <c r="CQ41" i="1"/>
  <c r="CR41" i="1" s="1"/>
  <c r="CQ202" i="1"/>
  <c r="CR202" i="1" s="1"/>
  <c r="CQ221" i="1"/>
  <c r="CR221" i="1" s="1"/>
  <c r="CQ52" i="1"/>
  <c r="CR52" i="1" s="1"/>
  <c r="CQ274" i="1"/>
  <c r="CR274" i="1" s="1"/>
  <c r="CQ230" i="1"/>
  <c r="CR230" i="1" s="1"/>
  <c r="CQ222" i="1"/>
  <c r="CR222" i="1" s="1"/>
  <c r="CQ197" i="1"/>
  <c r="CR197" i="1" s="1"/>
  <c r="CQ143" i="1"/>
  <c r="CR143" i="1" s="1"/>
  <c r="CQ20" i="1"/>
  <c r="CR20" i="1" s="1"/>
  <c r="CQ26" i="1"/>
  <c r="CR26" i="1" s="1"/>
  <c r="CQ281" i="1"/>
  <c r="CR281" i="1" s="1"/>
  <c r="CQ25" i="1"/>
  <c r="CR25" i="1" s="1"/>
  <c r="CQ259" i="1"/>
  <c r="CR259" i="1" s="1"/>
  <c r="CQ206" i="1"/>
  <c r="CR206" i="1" s="1"/>
  <c r="CQ157" i="1"/>
  <c r="CR157" i="1" s="1"/>
  <c r="CQ242" i="1"/>
  <c r="CR242" i="1" s="1"/>
  <c r="CQ29" i="1"/>
  <c r="CR29" i="1" s="1"/>
  <c r="CQ346" i="1"/>
  <c r="CR346" i="1" s="1"/>
  <c r="CQ396" i="1"/>
  <c r="CR396" i="1" s="1"/>
  <c r="CQ129" i="1"/>
  <c r="CR129" i="1" s="1"/>
  <c r="CQ384" i="1"/>
  <c r="CR384" i="1" s="1"/>
  <c r="CQ363" i="1"/>
  <c r="CR363" i="1" s="1"/>
  <c r="CQ269" i="1"/>
  <c r="CR269" i="1" s="1"/>
  <c r="CQ152" i="1"/>
  <c r="CR152" i="1" s="1"/>
  <c r="CQ120" i="1"/>
  <c r="CR120" i="1" s="1"/>
  <c r="CQ250" i="1"/>
  <c r="CR250" i="1" s="1"/>
  <c r="CQ189" i="1"/>
  <c r="CR189" i="1" s="1"/>
  <c r="CQ246" i="1"/>
  <c r="CR246" i="1" s="1"/>
  <c r="CQ241" i="1"/>
  <c r="CR241" i="1" s="1"/>
  <c r="CQ101" i="1"/>
  <c r="CR101" i="1" s="1"/>
  <c r="CQ18" i="1"/>
  <c r="CR18" i="1" s="1"/>
  <c r="CQ181" i="1"/>
  <c r="CR181" i="1" s="1"/>
  <c r="CQ365" i="1"/>
  <c r="CR365" i="1" s="1"/>
  <c r="CQ163" i="1"/>
  <c r="CR163" i="1" s="1"/>
  <c r="CQ21" i="1"/>
  <c r="CR21" i="1" s="1"/>
  <c r="CQ158" i="1"/>
  <c r="CR158" i="1" s="1"/>
  <c r="CQ160" i="1"/>
  <c r="CR160" i="1" s="1"/>
  <c r="CQ30" i="1"/>
  <c r="CR30" i="1" s="1"/>
  <c r="CQ34" i="1"/>
  <c r="CR34" i="1" s="1"/>
  <c r="CQ217" i="1"/>
  <c r="CR217" i="1" s="1"/>
  <c r="CQ381" i="1"/>
  <c r="CR381" i="1" s="1"/>
  <c r="DQ398" i="1"/>
  <c r="CQ288" i="1"/>
  <c r="CR288" i="1" s="1"/>
  <c r="AX42" i="1"/>
  <c r="Y33" i="58"/>
  <c r="AD33" i="58" s="1"/>
  <c r="CQ17" i="1"/>
  <c r="CR17" i="1" s="1"/>
  <c r="CR42" i="1" s="1"/>
  <c r="CQ301" i="1"/>
  <c r="CR301" i="1" s="1"/>
  <c r="CQ200" i="1"/>
  <c r="CR200" i="1" s="1"/>
  <c r="CQ386" i="1"/>
  <c r="CR386" i="1" s="1"/>
  <c r="CQ377" i="1"/>
  <c r="CR377" i="1" s="1"/>
  <c r="CQ260" i="1"/>
  <c r="CR260" i="1" s="1"/>
  <c r="CQ39" i="1"/>
  <c r="CR39" i="1" s="1"/>
  <c r="CQ373" i="1"/>
  <c r="CR373" i="1" s="1"/>
  <c r="CQ70" i="1"/>
  <c r="CR70" i="1" s="1"/>
  <c r="CQ40" i="1"/>
  <c r="CR40" i="1" s="1"/>
  <c r="CQ155" i="1"/>
  <c r="CR155" i="1" s="1"/>
  <c r="CQ267" i="1"/>
  <c r="CR267" i="1" s="1"/>
  <c r="CQ300" i="1"/>
  <c r="CR300" i="1" s="1"/>
  <c r="CQ199" i="1"/>
  <c r="CR199" i="1" s="1"/>
  <c r="CQ193" i="1"/>
  <c r="CR193" i="1" s="1"/>
  <c r="CQ201" i="1"/>
  <c r="CR201" i="1" s="1"/>
  <c r="CQ214" i="1"/>
  <c r="CR214" i="1" s="1"/>
  <c r="CQ292" i="1"/>
  <c r="CR292" i="1" s="1"/>
  <c r="CQ58" i="1"/>
  <c r="CR58" i="1" s="1"/>
  <c r="CQ96" i="1"/>
  <c r="CR96" i="1" s="1"/>
  <c r="CQ113" i="1"/>
  <c r="CR113" i="1" s="1"/>
  <c r="CQ251" i="1"/>
  <c r="CR251" i="1" s="1"/>
  <c r="CQ203" i="1"/>
  <c r="CR203" i="1" s="1"/>
  <c r="CQ85" i="1"/>
  <c r="CR85" i="1" s="1"/>
  <c r="CQ324" i="1"/>
  <c r="CR324" i="1" s="1"/>
  <c r="CQ245" i="1"/>
  <c r="CR245" i="1" s="1"/>
  <c r="CQ227" i="1"/>
  <c r="CR227" i="1" s="1"/>
  <c r="CQ297" i="1"/>
  <c r="CR297" i="1" s="1"/>
  <c r="CQ50" i="1"/>
  <c r="CR50" i="1" s="1"/>
  <c r="CQ184" i="1"/>
  <c r="CR184" i="1" s="1"/>
  <c r="CQ92" i="1"/>
  <c r="CR92" i="1" s="1"/>
  <c r="CQ215" i="1"/>
  <c r="CR215" i="1" s="1"/>
  <c r="CQ208" i="1"/>
  <c r="CR208" i="1" s="1"/>
  <c r="CQ33" i="1"/>
  <c r="CR33" i="1" s="1"/>
  <c r="CQ22" i="1"/>
  <c r="CR22" i="1" s="1"/>
  <c r="CQ298" i="1"/>
  <c r="CR298" i="1" s="1"/>
  <c r="CQ391" i="1"/>
  <c r="CR391" i="1" s="1"/>
  <c r="CQ134" i="1"/>
  <c r="CR134" i="1" s="1"/>
  <c r="CQ109" i="1"/>
  <c r="CR109" i="1" s="1"/>
  <c r="CQ229" i="1"/>
  <c r="CR229" i="1" s="1"/>
  <c r="CQ390" i="1"/>
  <c r="CR390" i="1" s="1"/>
  <c r="CQ32" i="1"/>
  <c r="CR32" i="1" s="1"/>
  <c r="CQ136" i="1"/>
  <c r="CR136" i="1" s="1"/>
  <c r="CQ287" i="1"/>
  <c r="CR287" i="1" s="1"/>
  <c r="CQ142" i="1"/>
  <c r="CR142" i="1" s="1"/>
  <c r="CQ266" i="1"/>
  <c r="CR266" i="1" s="1"/>
  <c r="CQ102" i="1"/>
  <c r="CR102" i="1" s="1"/>
  <c r="CQ395" i="1"/>
  <c r="CR395" i="1" s="1"/>
  <c r="CQ19" i="1"/>
  <c r="CR19" i="1" s="1"/>
  <c r="CQ286" i="1"/>
  <c r="CR286" i="1" s="1"/>
  <c r="CQ48" i="1"/>
  <c r="CR48" i="1" s="1"/>
  <c r="CQ237" i="1"/>
  <c r="CR237" i="1" s="1"/>
  <c r="CQ232" i="1"/>
  <c r="CR232" i="1" s="1"/>
  <c r="CQ23" i="1"/>
  <c r="CR23" i="1" s="1"/>
  <c r="CQ31" i="1"/>
  <c r="CR31" i="1" s="1"/>
  <c r="CQ220" i="1"/>
  <c r="CR220" i="1" s="1"/>
  <c r="W324" i="57"/>
  <c r="Z431" i="57"/>
  <c r="P45" i="44"/>
  <c r="X324" i="57"/>
  <c r="U324" i="57"/>
  <c r="U434" i="57" s="1"/>
  <c r="Z435" i="58"/>
  <c r="P307" i="44"/>
  <c r="Q307" i="44" s="1"/>
  <c r="BT397" i="1"/>
  <c r="X354" i="57"/>
  <c r="W434" i="57"/>
  <c r="F310" i="36"/>
  <c r="H310" i="36" s="1"/>
  <c r="CN303" i="1"/>
  <c r="CN400" i="1" s="1"/>
  <c r="CG305" i="1"/>
  <c r="CG44" i="1"/>
  <c r="CG45" i="1"/>
  <c r="BZ303" i="1"/>
  <c r="BQ303" i="1"/>
  <c r="BV45" i="1"/>
  <c r="CS45" i="1" s="1"/>
  <c r="BT303" i="1"/>
  <c r="L304" i="44"/>
  <c r="O304" i="44"/>
  <c r="G310" i="37"/>
  <c r="K310" i="37" s="1"/>
  <c r="M307" i="44"/>
  <c r="O399" i="44"/>
  <c r="F307" i="40"/>
  <c r="H307" i="40" s="1"/>
  <c r="F408" i="40"/>
  <c r="L399" i="44"/>
  <c r="K410" i="37"/>
  <c r="G307" i="41"/>
  <c r="K307" i="41" s="1"/>
  <c r="I408" i="41"/>
  <c r="F310" i="37"/>
  <c r="I310" i="37" s="1"/>
  <c r="J304" i="44"/>
  <c r="M45" i="44"/>
  <c r="N399" i="44"/>
  <c r="F410" i="36"/>
  <c r="K399" i="44"/>
  <c r="K408" i="41"/>
  <c r="K304" i="44"/>
  <c r="I410" i="37"/>
  <c r="N304" i="44"/>
  <c r="Q45" i="44"/>
  <c r="F307" i="41"/>
  <c r="I307" i="41" s="1"/>
  <c r="BB400" i="1"/>
  <c r="BR400" i="1"/>
  <c r="BM400" i="1"/>
  <c r="BS400" i="1"/>
  <c r="BL400" i="1"/>
  <c r="BN400" i="1"/>
  <c r="CS305" i="1"/>
  <c r="CS397" i="1" s="1"/>
  <c r="CB303" i="1"/>
  <c r="CS44" i="1"/>
  <c r="BW44" i="1"/>
  <c r="BQ397" i="1"/>
  <c r="BV397" i="1"/>
  <c r="Y58" i="58" l="1"/>
  <c r="CQ42" i="1"/>
  <c r="AD58" i="58"/>
  <c r="CC42" i="1"/>
  <c r="Z324" i="57"/>
  <c r="Z434" i="57" s="1"/>
  <c r="X339" i="57"/>
  <c r="X431" i="57" s="1"/>
  <c r="X434" i="57" s="1"/>
  <c r="P399" i="44"/>
  <c r="BV303" i="1"/>
  <c r="BV400" i="1" s="1"/>
  <c r="BW45" i="1"/>
  <c r="BW303" i="1" s="1"/>
  <c r="P304" i="44"/>
  <c r="O402" i="44"/>
  <c r="L402" i="44"/>
  <c r="G412" i="37"/>
  <c r="K412" i="37" s="1"/>
  <c r="R307" i="44"/>
  <c r="AJ307" i="44"/>
  <c r="T307" i="44"/>
  <c r="T399" i="44" s="1"/>
  <c r="Y307" i="44"/>
  <c r="Y399" i="44" s="1"/>
  <c r="K402" i="44"/>
  <c r="F412" i="37"/>
  <c r="I412" i="37" s="1"/>
  <c r="G411" i="41"/>
  <c r="K411" i="41" s="1"/>
  <c r="N402" i="44"/>
  <c r="F412" i="36"/>
  <c r="Q399" i="44"/>
  <c r="J399" i="44"/>
  <c r="J402" i="44" s="1"/>
  <c r="AJ316" i="44"/>
  <c r="Y316" i="44"/>
  <c r="T316" i="44"/>
  <c r="AJ45" i="44"/>
  <c r="Y45" i="44"/>
  <c r="Y304" i="44" s="1"/>
  <c r="M304" i="44"/>
  <c r="R45" i="44"/>
  <c r="T45" i="44"/>
  <c r="T304" i="44" s="1"/>
  <c r="F411" i="41"/>
  <c r="I411" i="41" s="1"/>
  <c r="Y46" i="44"/>
  <c r="T46" i="44"/>
  <c r="F410" i="40"/>
  <c r="H408" i="40"/>
  <c r="CG397" i="1"/>
  <c r="BQ400" i="1"/>
  <c r="CA405" i="1" s="1"/>
  <c r="CG303" i="1"/>
  <c r="CS303" i="1"/>
  <c r="CS400" i="1" s="1"/>
  <c r="BW305" i="1"/>
  <c r="BW397" i="1" s="1"/>
  <c r="CB397" i="1"/>
  <c r="AA324" i="57" l="1"/>
  <c r="AE58" i="58"/>
  <c r="P402" i="44"/>
  <c r="CB400" i="1"/>
  <c r="AA431" i="57"/>
  <c r="H6" i="53"/>
  <c r="AJ46" i="44"/>
  <c r="AJ304" i="44" s="1"/>
  <c r="Q304" i="44"/>
  <c r="Q402" i="44" s="1"/>
  <c r="Y402" i="44"/>
  <c r="T402" i="44"/>
  <c r="R304" i="44"/>
  <c r="R399" i="44"/>
  <c r="AN399" i="44" s="1"/>
  <c r="AJ314" i="44"/>
  <c r="AJ399" i="44" s="1"/>
  <c r="Y314" i="44"/>
  <c r="T314" i="44"/>
  <c r="M399" i="44"/>
  <c r="M402" i="44" s="1"/>
  <c r="CG400" i="1"/>
  <c r="C6" i="53" l="1"/>
  <c r="AJ402" i="44"/>
  <c r="AN304" i="44"/>
  <c r="R402" i="44"/>
  <c r="AN402" i="44" s="1"/>
  <c r="BW13" i="1"/>
  <c r="Z13" i="52" s="1"/>
  <c r="Z15" i="52" l="1"/>
  <c r="Z447" i="52" s="1"/>
  <c r="BW15" i="1"/>
  <c r="BW400" i="1" s="1"/>
  <c r="B51" i="1" l="1"/>
  <c r="B27" i="1" l="1"/>
  <c r="B28" i="1" l="1"/>
  <c r="B52" i="1"/>
  <c r="B29" i="1" l="1"/>
  <c r="B53" i="1"/>
  <c r="B54" i="1" s="1"/>
  <c r="B55" i="1" s="1"/>
  <c r="B56" i="1" s="1"/>
  <c r="B57" i="1" s="1"/>
  <c r="B30" i="1" l="1"/>
  <c r="B31" i="1" s="1"/>
  <c r="B32" i="1" s="1"/>
  <c r="B33" i="1" s="1"/>
  <c r="B34" i="1" s="1"/>
  <c r="B35" i="1" s="1"/>
  <c r="B36" i="1" s="1"/>
  <c r="B37" i="1" s="1"/>
  <c r="B58" i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387" i="1"/>
  <c r="B70" i="1" l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38" i="1"/>
  <c r="B388" i="1"/>
  <c r="B389" i="1" s="1"/>
  <c r="B39" i="1" l="1"/>
  <c r="B390" i="1"/>
  <c r="B391" i="1" s="1"/>
  <c r="B110" i="1"/>
  <c r="B40" i="1" l="1"/>
  <c r="B41" i="1" s="1"/>
  <c r="B42" i="1" s="1"/>
  <c r="A417" i="1" s="1"/>
  <c r="B111" i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392" i="1"/>
  <c r="B393" i="1" s="1"/>
  <c r="B394" i="1" s="1"/>
  <c r="B395" i="1" s="1"/>
  <c r="B396" i="1" s="1"/>
  <c r="A473" i="1" s="1"/>
  <c r="B143" i="1" l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397" i="1"/>
  <c r="B172" i="1" l="1"/>
  <c r="B173" i="1" s="1"/>
  <c r="B174" i="1" l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l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l="1"/>
  <c r="B213" i="1" s="1"/>
  <c r="B214" i="1" s="1"/>
  <c r="B215" i="1" s="1"/>
  <c r="B216" i="1" s="1"/>
  <c r="B217" i="1" s="1"/>
  <c r="B218" i="1" s="1"/>
  <c r="B219" i="1" s="1"/>
  <c r="B220" i="1" s="1"/>
  <c r="B221" i="1" l="1"/>
  <c r="B222" i="1" l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l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l="1"/>
  <c r="B260" i="1" s="1"/>
  <c r="AY15" i="1"/>
  <c r="AY400" i="1" s="1"/>
  <c r="AZ15" i="1"/>
  <c r="AZ400" i="1" s="1"/>
  <c r="B261" i="1" l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A13" i="1"/>
  <c r="BA15" i="1" s="1"/>
  <c r="BA400" i="1" s="1"/>
  <c r="B299" i="1" l="1"/>
  <c r="B300" i="1" s="1"/>
  <c r="BX13" i="1"/>
  <c r="B301" i="1" l="1"/>
  <c r="B302" i="1" s="1"/>
  <c r="AA13" i="52"/>
  <c r="BX15" i="1"/>
  <c r="BZ13" i="1"/>
  <c r="BZ15" i="1" s="1"/>
  <c r="BZ400" i="1" s="1"/>
  <c r="B303" i="1" l="1"/>
  <c r="A465" i="1" s="1"/>
  <c r="AA15" i="52"/>
  <c r="AA447" i="52" s="1"/>
  <c r="AB13" i="52"/>
  <c r="AB15" i="52" s="1"/>
  <c r="AB447" i="52" s="1"/>
  <c r="BX400" i="1"/>
  <c r="B400" i="1" l="1"/>
  <c r="AX319" i="1"/>
  <c r="AX115" i="1"/>
  <c r="AX141" i="1"/>
  <c r="AX393" i="1"/>
  <c r="AX185" i="1"/>
  <c r="AX223" i="1"/>
  <c r="AX350" i="1"/>
  <c r="AX296" i="1"/>
  <c r="AX231" i="1"/>
  <c r="AX169" i="1"/>
  <c r="AX149" i="1"/>
  <c r="AX264" i="1"/>
  <c r="AX114" i="1"/>
  <c r="AX283" i="1"/>
  <c r="AX280" i="1"/>
  <c r="AX86" i="1"/>
  <c r="AX327" i="1"/>
  <c r="AX329" i="1"/>
  <c r="AX167" i="1"/>
  <c r="AX62" i="1"/>
  <c r="AX354" i="1"/>
  <c r="AX81" i="1"/>
  <c r="AX207" i="1"/>
  <c r="AX150" i="1"/>
  <c r="AX64" i="1"/>
  <c r="AX334" i="1"/>
  <c r="AX306" i="1"/>
  <c r="AX371" i="1"/>
  <c r="AX305" i="1"/>
  <c r="AX321" i="1"/>
  <c r="AX100" i="1"/>
  <c r="AX94" i="1"/>
  <c r="AX164" i="1"/>
  <c r="AX130" i="1"/>
  <c r="AX122" i="1"/>
  <c r="AX378" i="1"/>
  <c r="AX195" i="1"/>
  <c r="AX307" i="1"/>
  <c r="AX175" i="1"/>
  <c r="AX325" i="1"/>
  <c r="AX312" i="1"/>
  <c r="AX291" i="1"/>
  <c r="AX192" i="1"/>
  <c r="AX244" i="1"/>
  <c r="AX374" i="1"/>
  <c r="AX68" i="1"/>
  <c r="AX174" i="1"/>
  <c r="AX314" i="1"/>
  <c r="AX392" i="1"/>
  <c r="AX235" i="1"/>
  <c r="AX182" i="1"/>
  <c r="AX326" i="1"/>
  <c r="AX272" i="1"/>
  <c r="AX219" i="1"/>
  <c r="AX379" i="1"/>
  <c r="AX110" i="1"/>
  <c r="AX353" i="1"/>
  <c r="AX375" i="1"/>
  <c r="AX74" i="1"/>
  <c r="AX342" i="1"/>
  <c r="AX79" i="1"/>
  <c r="AX66" i="1"/>
  <c r="AX330" i="1"/>
  <c r="AX275" i="1"/>
  <c r="AX44" i="1"/>
  <c r="AX13" i="1"/>
  <c r="AX361" i="1"/>
  <c r="AX313" i="1"/>
  <c r="AX132" i="1"/>
  <c r="AX191" i="1"/>
  <c r="AX103" i="1"/>
  <c r="AX180" i="1"/>
  <c r="AX316" i="1"/>
  <c r="AX123" i="1"/>
  <c r="AX370" i="1"/>
  <c r="AX137" i="1"/>
  <c r="AX173" i="1"/>
  <c r="AX147" i="1"/>
  <c r="AX210" i="1"/>
  <c r="AX116" i="1"/>
  <c r="AX228" i="1"/>
  <c r="AX60" i="1"/>
  <c r="AX156" i="1"/>
  <c r="AX87" i="1"/>
  <c r="AX117" i="1"/>
  <c r="AX367" i="1"/>
  <c r="AX98" i="1"/>
  <c r="AX218" i="1"/>
  <c r="AX323" i="1"/>
  <c r="AX77" i="1"/>
  <c r="AX335" i="1"/>
  <c r="AX328" i="1"/>
  <c r="AX389" i="1"/>
  <c r="AX55" i="1"/>
  <c r="AX355" i="1"/>
  <c r="AX112" i="1"/>
  <c r="AX360" i="1"/>
  <c r="AX49" i="1"/>
  <c r="AX394" i="1"/>
  <c r="AX320" i="1"/>
  <c r="AX268" i="1"/>
  <c r="AX105" i="1"/>
  <c r="AX338" i="1"/>
  <c r="AX196" i="1"/>
  <c r="AX171" i="1"/>
  <c r="AX336" i="1"/>
  <c r="AX168" i="1"/>
  <c r="AX277" i="1"/>
  <c r="AX186" i="1"/>
  <c r="AX349" i="1"/>
  <c r="AX226" i="1"/>
  <c r="AX358" i="1"/>
  <c r="AX285" i="1"/>
  <c r="AX138" i="1"/>
  <c r="AX99" i="1"/>
  <c r="AX106" i="1"/>
  <c r="AX273" i="1"/>
  <c r="AX344" i="1"/>
  <c r="AX234" i="1"/>
  <c r="AX317" i="1"/>
  <c r="AX183" i="1"/>
  <c r="AX216" i="1"/>
  <c r="AX76" i="1"/>
  <c r="AX236" i="1"/>
  <c r="AX194" i="1"/>
  <c r="AX91" i="1"/>
  <c r="AX128" i="1"/>
  <c r="AX270" i="1"/>
  <c r="AX118" i="1"/>
  <c r="AX309" i="1"/>
  <c r="AX263" i="1"/>
  <c r="AX333" i="1"/>
  <c r="AX239" i="1"/>
  <c r="AX337" i="1"/>
  <c r="AX131" i="1"/>
  <c r="AX162" i="1"/>
  <c r="AX177" i="1"/>
  <c r="AX345" i="1"/>
  <c r="AX252" i="1"/>
  <c r="AX311" i="1"/>
  <c r="AX154" i="1"/>
  <c r="AX80" i="1"/>
  <c r="AX356" i="1"/>
  <c r="AX165" i="1"/>
  <c r="AX72" i="1"/>
  <c r="AX146" i="1"/>
  <c r="AX382" i="1"/>
  <c r="AX159" i="1"/>
  <c r="AX308" i="1"/>
  <c r="AX53" i="1"/>
  <c r="AX45" i="1"/>
  <c r="AX388" i="1"/>
  <c r="AX63" i="1"/>
  <c r="AX78" i="1"/>
  <c r="AX359" i="1"/>
  <c r="AX295" i="1"/>
  <c r="AX144" i="1"/>
  <c r="AX248" i="1"/>
  <c r="AX294" i="1"/>
  <c r="AX357" i="1"/>
  <c r="AX343" i="1"/>
  <c r="AX213" i="1"/>
  <c r="AX372" i="1"/>
  <c r="AX383" i="1"/>
  <c r="AX369" i="1"/>
  <c r="AX256" i="1"/>
  <c r="AX170" i="1"/>
  <c r="AX366" i="1"/>
  <c r="AX331" i="1"/>
  <c r="AX284" i="1"/>
  <c r="AX240" i="1"/>
  <c r="AX261" i="1"/>
  <c r="AX224" i="1"/>
  <c r="AX14" i="1"/>
  <c r="AX93" i="1"/>
  <c r="AX310" i="1"/>
  <c r="AX179" i="1"/>
  <c r="AX276" i="1"/>
  <c r="AX271" i="1"/>
  <c r="AX348" i="1"/>
  <c r="AX238" i="1"/>
  <c r="AX332" i="1"/>
  <c r="AX265" i="1"/>
  <c r="AX82" i="1"/>
  <c r="AX187" i="1"/>
  <c r="AX97" i="1"/>
  <c r="AX95" i="1"/>
  <c r="AX279" i="1"/>
  <c r="AX178" i="1"/>
  <c r="AX54" i="1"/>
  <c r="AX61" i="1"/>
  <c r="AX172" i="1"/>
  <c r="AX88" i="1"/>
  <c r="AX75" i="1"/>
  <c r="AX71" i="1"/>
  <c r="AX46" i="1"/>
  <c r="AX166" i="1"/>
  <c r="AX340" i="1"/>
  <c r="AX339" i="1"/>
  <c r="AX315" i="1"/>
  <c r="AX258" i="1"/>
  <c r="AX255" i="1"/>
  <c r="AX204" i="1"/>
  <c r="AX376" i="1"/>
  <c r="AX233" i="1"/>
  <c r="AX107" i="1"/>
  <c r="AX73" i="1"/>
  <c r="AX111" i="1"/>
  <c r="AX362" i="1"/>
  <c r="AX188" i="1"/>
  <c r="AX148" i="1"/>
  <c r="AX380" i="1"/>
  <c r="AX318" i="1"/>
  <c r="AX65" i="1"/>
  <c r="AX282" i="1"/>
  <c r="AX69" i="1"/>
  <c r="AX151" i="1"/>
  <c r="AX126" i="1"/>
  <c r="AX57" i="1"/>
  <c r="AX89" i="1"/>
  <c r="AX352" i="1"/>
  <c r="AX341" i="1"/>
  <c r="AX290" i="1"/>
  <c r="AX209" i="1"/>
  <c r="AX190" i="1"/>
  <c r="AX153" i="1"/>
  <c r="AX83" i="1"/>
  <c r="AX262" i="1"/>
  <c r="AX135" i="1"/>
  <c r="AX347" i="1"/>
  <c r="AX368" i="1"/>
  <c r="AX176" i="1"/>
  <c r="AX198" i="1"/>
  <c r="AX387" i="1"/>
  <c r="AX243" i="1"/>
  <c r="AX322" i="1"/>
  <c r="AX124" i="1"/>
  <c r="AX385" i="1"/>
  <c r="Y420" i="58" l="1"/>
  <c r="AD420" i="58" s="1"/>
  <c r="Y148" i="58"/>
  <c r="AD148" i="58" s="1"/>
  <c r="Y357" i="58"/>
  <c r="AD357" i="58" s="1"/>
  <c r="Y267" i="58"/>
  <c r="AD267" i="58" s="1"/>
  <c r="Y422" i="58"/>
  <c r="AD422" i="58" s="1"/>
  <c r="Y222" i="58"/>
  <c r="AD222" i="58" s="1"/>
  <c r="Y200" i="58"/>
  <c r="AD200" i="58" s="1"/>
  <c r="Y403" i="58"/>
  <c r="AD403" i="58" s="1"/>
  <c r="Y382" i="58"/>
  <c r="AD382" i="58" s="1"/>
  <c r="Y159" i="58"/>
  <c r="AD159" i="58" s="1"/>
  <c r="Y286" i="58"/>
  <c r="AD286" i="58" s="1"/>
  <c r="Y107" i="58"/>
  <c r="AD107" i="58" s="1"/>
  <c r="Y177" i="58"/>
  <c r="AD177" i="58" s="1"/>
  <c r="Y214" i="58"/>
  <c r="AD214" i="58" s="1"/>
  <c r="Y233" i="58"/>
  <c r="AD233" i="58" s="1"/>
  <c r="Y314" i="58"/>
  <c r="AD314" i="58" s="1"/>
  <c r="Y376" i="58"/>
  <c r="AD376" i="58" s="1"/>
  <c r="Y387" i="58"/>
  <c r="AD387" i="58" s="1"/>
  <c r="Y113" i="58"/>
  <c r="AD113" i="58" s="1"/>
  <c r="Y81" i="58"/>
  <c r="AD81" i="58" s="1"/>
  <c r="Y150" i="58"/>
  <c r="AD150" i="58" s="1"/>
  <c r="Y175" i="58"/>
  <c r="AD175" i="58" s="1"/>
  <c r="Y93" i="58"/>
  <c r="AD93" i="58" s="1"/>
  <c r="Y306" i="58"/>
  <c r="AD306" i="58" s="1"/>
  <c r="Y89" i="58"/>
  <c r="AD89" i="58" s="1"/>
  <c r="Y353" i="58"/>
  <c r="AD353" i="58" s="1"/>
  <c r="Y415" i="58"/>
  <c r="AD415" i="58" s="1"/>
  <c r="Y172" i="58"/>
  <c r="AD172" i="58" s="1"/>
  <c r="Y212" i="58"/>
  <c r="AD212" i="58" s="1"/>
  <c r="Y397" i="58"/>
  <c r="AD397" i="58" s="1"/>
  <c r="Y135" i="58"/>
  <c r="AD135" i="58" s="1"/>
  <c r="Y97" i="58"/>
  <c r="AD97" i="58" s="1"/>
  <c r="Y131" i="58"/>
  <c r="AD131" i="58" s="1"/>
  <c r="Y257" i="58"/>
  <c r="AD257" i="58" s="1"/>
  <c r="Y411" i="58"/>
  <c r="AD411" i="58" s="1"/>
  <c r="Y228" i="58"/>
  <c r="AD228" i="58" s="1"/>
  <c r="Y279" i="58"/>
  <c r="AD279" i="58" s="1"/>
  <c r="Y282" i="58"/>
  <c r="AD282" i="58" s="1"/>
  <c r="Y350" i="58"/>
  <c r="AD350" i="58" s="1"/>
  <c r="Y374" i="58"/>
  <c r="AD374" i="58" s="1"/>
  <c r="Y375" i="58"/>
  <c r="AD375" i="58" s="1"/>
  <c r="Y190" i="58"/>
  <c r="AD190" i="58" s="1"/>
  <c r="Y70" i="58"/>
  <c r="AD70" i="58" s="1"/>
  <c r="Y95" i="58"/>
  <c r="AD95" i="58" s="1"/>
  <c r="Y99" i="58"/>
  <c r="AD99" i="58" s="1"/>
  <c r="Y112" i="58"/>
  <c r="AD112" i="58" s="1"/>
  <c r="Y196" i="58"/>
  <c r="AD196" i="58" s="1"/>
  <c r="Y85" i="58"/>
  <c r="AD85" i="58" s="1"/>
  <c r="Y78" i="58"/>
  <c r="AD78" i="58" s="1"/>
  <c r="Y202" i="58"/>
  <c r="AD202" i="58" s="1"/>
  <c r="Y303" i="58"/>
  <c r="AD303" i="58" s="1"/>
  <c r="Y119" i="58"/>
  <c r="AD119" i="58" s="1"/>
  <c r="Y121" i="58"/>
  <c r="AD121" i="58" s="1"/>
  <c r="Y211" i="58"/>
  <c r="AD211" i="58" s="1"/>
  <c r="Y106" i="58"/>
  <c r="AD106" i="58" s="1"/>
  <c r="Y289" i="58"/>
  <c r="AD289" i="58" s="1"/>
  <c r="Y367" i="58"/>
  <c r="AD367" i="58" s="1"/>
  <c r="Y262" i="58"/>
  <c r="AD262" i="58" s="1"/>
  <c r="Y383" i="58"/>
  <c r="AD383" i="58" s="1"/>
  <c r="Y295" i="58"/>
  <c r="AD295" i="58" s="1"/>
  <c r="Y300" i="58"/>
  <c r="AD300" i="58" s="1"/>
  <c r="Y203" i="58"/>
  <c r="AD203" i="58" s="1"/>
  <c r="Y345" i="58"/>
  <c r="AD345" i="58" s="1"/>
  <c r="Y117" i="58"/>
  <c r="AD117" i="58" s="1"/>
  <c r="Y14" i="58"/>
  <c r="AD14" i="58" s="1"/>
  <c r="Y248" i="58"/>
  <c r="AD248" i="58" s="1"/>
  <c r="Y285" i="58"/>
  <c r="AD285" i="58" s="1"/>
  <c r="Y264" i="58"/>
  <c r="AD264" i="58" s="1"/>
  <c r="Y308" i="58"/>
  <c r="AD308" i="58" s="1"/>
  <c r="Y366" i="58"/>
  <c r="AD366" i="58" s="1"/>
  <c r="Y401" i="58"/>
  <c r="AD401" i="58" s="1"/>
  <c r="Y194" i="58"/>
  <c r="AD194" i="58" s="1"/>
  <c r="Y280" i="58"/>
  <c r="AD280" i="58" s="1"/>
  <c r="Y404" i="58"/>
  <c r="AD404" i="58" s="1"/>
  <c r="Y418" i="58"/>
  <c r="AD418" i="58" s="1"/>
  <c r="Y407" i="58"/>
  <c r="AD407" i="58" s="1"/>
  <c r="Y237" i="58"/>
  <c r="AD237" i="58" s="1"/>
  <c r="Y378" i="58"/>
  <c r="AD378" i="58" s="1"/>
  <c r="Y392" i="58"/>
  <c r="AD392" i="58" s="1"/>
  <c r="Y318" i="58"/>
  <c r="AD318" i="58" s="1"/>
  <c r="Y272" i="58"/>
  <c r="AD272" i="58" s="1"/>
  <c r="Y168" i="58"/>
  <c r="AD168" i="58" s="1"/>
  <c r="Y319" i="58"/>
  <c r="AD319" i="58" s="1"/>
  <c r="Y394" i="58"/>
  <c r="AD394" i="58" s="1"/>
  <c r="Y102" i="58"/>
  <c r="AD102" i="58" s="1"/>
  <c r="Y87" i="58"/>
  <c r="AD87" i="58" s="1"/>
  <c r="Y423" i="58"/>
  <c r="AD423" i="58" s="1"/>
  <c r="Y69" i="58"/>
  <c r="AD69" i="58" s="1"/>
  <c r="Y77" i="58"/>
  <c r="AD77" i="58" s="1"/>
  <c r="Y343" i="58"/>
  <c r="AD343" i="58" s="1"/>
  <c r="Y183" i="58"/>
  <c r="AD183" i="58" s="1"/>
  <c r="Y417" i="58"/>
  <c r="AD417" i="58" s="1"/>
  <c r="Y170" i="58"/>
  <c r="AD170" i="58" s="1"/>
  <c r="Y96" i="58"/>
  <c r="AD96" i="58" s="1"/>
  <c r="Y189" i="58"/>
  <c r="AD189" i="58" s="1"/>
  <c r="Y391" i="58"/>
  <c r="AD391" i="58" s="1"/>
  <c r="Y104" i="58"/>
  <c r="AD104" i="58" s="1"/>
  <c r="Y178" i="58"/>
  <c r="AD178" i="58" s="1"/>
  <c r="Y346" i="58"/>
  <c r="AD346" i="58" s="1"/>
  <c r="Y276" i="58"/>
  <c r="AD276" i="58" s="1"/>
  <c r="Y380" i="58"/>
  <c r="AD380" i="58" s="1"/>
  <c r="Y201" i="58"/>
  <c r="AD201" i="58" s="1"/>
  <c r="Y186" i="58"/>
  <c r="AD186" i="58" s="1"/>
  <c r="Y155" i="58"/>
  <c r="AD155" i="58" s="1"/>
  <c r="Y372" i="58"/>
  <c r="AD372" i="58" s="1"/>
  <c r="Y263" i="58"/>
  <c r="AD263" i="58" s="1"/>
  <c r="Y368" i="58"/>
  <c r="AD368" i="58" s="1"/>
  <c r="Y287" i="58"/>
  <c r="AD287" i="58" s="1"/>
  <c r="Y344" i="58"/>
  <c r="AD344" i="58" s="1"/>
  <c r="Y142" i="58"/>
  <c r="AD142" i="58" s="1"/>
  <c r="Y294" i="58"/>
  <c r="AD294" i="58" s="1"/>
  <c r="Y152" i="58"/>
  <c r="AD152" i="58" s="1"/>
  <c r="Y115" i="58"/>
  <c r="AD115" i="58" s="1"/>
  <c r="Y218" i="58"/>
  <c r="AD218" i="58" s="1"/>
  <c r="Y260" i="58"/>
  <c r="AD260" i="58" s="1"/>
  <c r="Y100" i="58"/>
  <c r="AD100" i="58" s="1"/>
  <c r="Y240" i="58"/>
  <c r="AD240" i="58" s="1"/>
  <c r="Y207" i="58"/>
  <c r="AD207" i="58" s="1"/>
  <c r="Y352" i="58"/>
  <c r="AD352" i="58" s="1"/>
  <c r="Y258" i="58"/>
  <c r="AD258" i="58" s="1"/>
  <c r="Y379" i="58"/>
  <c r="AD379" i="58" s="1"/>
  <c r="Y297" i="58"/>
  <c r="AD297" i="58" s="1"/>
  <c r="Y130" i="58"/>
  <c r="AD130" i="58" s="1"/>
  <c r="Y123" i="58"/>
  <c r="AD123" i="58" s="1"/>
  <c r="Y162" i="58"/>
  <c r="AD162" i="58" s="1"/>
  <c r="Y309" i="58"/>
  <c r="AD309" i="58" s="1"/>
  <c r="Y393" i="58"/>
  <c r="AD393" i="58" s="1"/>
  <c r="Y250" i="58"/>
  <c r="AD250" i="58" s="1"/>
  <c r="Y384" i="58"/>
  <c r="AD384" i="58" s="1"/>
  <c r="Y210" i="58"/>
  <c r="AD210" i="58" s="1"/>
  <c r="Y301" i="58"/>
  <c r="AD301" i="58" s="1"/>
  <c r="Y192" i="58"/>
  <c r="AD192" i="58" s="1"/>
  <c r="Y371" i="58"/>
  <c r="AD371" i="58" s="1"/>
  <c r="Y195" i="58"/>
  <c r="AD195" i="58" s="1"/>
  <c r="Y220" i="58"/>
  <c r="AD220" i="58" s="1"/>
  <c r="Y373" i="58"/>
  <c r="AD373" i="58" s="1"/>
  <c r="Y129" i="58"/>
  <c r="AD129" i="58" s="1"/>
  <c r="Y292" i="58"/>
  <c r="AD292" i="58" s="1"/>
  <c r="Y355" i="58"/>
  <c r="AD355" i="58" s="1"/>
  <c r="Y429" i="58"/>
  <c r="AD429" i="58" s="1"/>
  <c r="Y73" i="58"/>
  <c r="AD73" i="58" s="1"/>
  <c r="Y395" i="58"/>
  <c r="AD395" i="58" s="1"/>
  <c r="Y136" i="58"/>
  <c r="AD136" i="58" s="1"/>
  <c r="Y390" i="58"/>
  <c r="AD390" i="58" s="1"/>
  <c r="Y79" i="58"/>
  <c r="AD79" i="58" s="1"/>
  <c r="Y424" i="58"/>
  <c r="AD424" i="58" s="1"/>
  <c r="Y363" i="58"/>
  <c r="AD363" i="58" s="1"/>
  <c r="Y370" i="58"/>
  <c r="AD370" i="58" s="1"/>
  <c r="Y101" i="58"/>
  <c r="AD101" i="58" s="1"/>
  <c r="Y358" i="58"/>
  <c r="AD358" i="58" s="1"/>
  <c r="Y242" i="58"/>
  <c r="AD242" i="58" s="1"/>
  <c r="Y122" i="58"/>
  <c r="AD122" i="58" s="1"/>
  <c r="Y402" i="58"/>
  <c r="AD402" i="58" s="1"/>
  <c r="Y141" i="58"/>
  <c r="AD141" i="58" s="1"/>
  <c r="Y111" i="58"/>
  <c r="AD111" i="58" s="1"/>
  <c r="Y180" i="58"/>
  <c r="AD180" i="58" s="1"/>
  <c r="Y84" i="58"/>
  <c r="AD84" i="58" s="1"/>
  <c r="Y252" i="58"/>
  <c r="AD252" i="58" s="1"/>
  <c r="Y140" i="58"/>
  <c r="AD140" i="58" s="1"/>
  <c r="Y234" i="58"/>
  <c r="AD234" i="58" s="1"/>
  <c r="Y171" i="58"/>
  <c r="AD171" i="58" s="1"/>
  <c r="Y197" i="58"/>
  <c r="AD197" i="58" s="1"/>
  <c r="Y161" i="58"/>
  <c r="AD161" i="58" s="1"/>
  <c r="Y405" i="58"/>
  <c r="AD405" i="58" s="1"/>
  <c r="Y147" i="58"/>
  <c r="AD147" i="58" s="1"/>
  <c r="Y351" i="58"/>
  <c r="AD351" i="58" s="1"/>
  <c r="Y204" i="58"/>
  <c r="AD204" i="58" s="1"/>
  <c r="Y127" i="58"/>
  <c r="AD127" i="58" s="1"/>
  <c r="Y215" i="58"/>
  <c r="AD215" i="58" s="1"/>
  <c r="Y156" i="58"/>
  <c r="AD156" i="58" s="1"/>
  <c r="Y348" i="58"/>
  <c r="AD348" i="58" s="1"/>
  <c r="Y396" i="58"/>
  <c r="AD396" i="58" s="1"/>
  <c r="CC13" i="1"/>
  <c r="Y299" i="58"/>
  <c r="AD299" i="58" s="1"/>
  <c r="Y365" i="58"/>
  <c r="AD365" i="58" s="1"/>
  <c r="Y90" i="58"/>
  <c r="AD90" i="58" s="1"/>
  <c r="Y103" i="58"/>
  <c r="AD103" i="58" s="1"/>
  <c r="Y377" i="58"/>
  <c r="AD377" i="58" s="1"/>
  <c r="Y98" i="58"/>
  <c r="AD98" i="58" s="1"/>
  <c r="Y410" i="58"/>
  <c r="AD410" i="58" s="1"/>
  <c r="Y388" i="58"/>
  <c r="AD388" i="58" s="1"/>
  <c r="Y134" i="58"/>
  <c r="AD134" i="58" s="1"/>
  <c r="Y414" i="58"/>
  <c r="AD414" i="58" s="1"/>
  <c r="Y243" i="58"/>
  <c r="AD243" i="58" s="1"/>
  <c r="Y296" i="58"/>
  <c r="AD296" i="58" s="1"/>
  <c r="Y361" i="58"/>
  <c r="AD361" i="58" s="1"/>
  <c r="Y206" i="58"/>
  <c r="AD206" i="58" s="1"/>
  <c r="Y259" i="58"/>
  <c r="AD259" i="58" s="1"/>
  <c r="Y427" i="58"/>
  <c r="AD427" i="58" s="1"/>
  <c r="Y349" i="58"/>
  <c r="AD349" i="58" s="1"/>
  <c r="Y198" i="58"/>
  <c r="AD198" i="58" s="1"/>
  <c r="Y92" i="58"/>
  <c r="AD92" i="58" s="1"/>
  <c r="Y409" i="58"/>
  <c r="AD409" i="58" s="1"/>
  <c r="Y268" i="58"/>
  <c r="AD268" i="58" s="1"/>
  <c r="Y216" i="58"/>
  <c r="AD216" i="58" s="1"/>
  <c r="Y315" i="58"/>
  <c r="AD315" i="58" s="1"/>
  <c r="Y347" i="58"/>
  <c r="AD347" i="58" s="1"/>
  <c r="Y360" i="58"/>
  <c r="AD360" i="58" s="1"/>
  <c r="Y199" i="58"/>
  <c r="AD199" i="58" s="1"/>
  <c r="Y342" i="58"/>
  <c r="AD342" i="58" s="1"/>
  <c r="Y219" i="58"/>
  <c r="AD219" i="58" s="1"/>
  <c r="Y413" i="58"/>
  <c r="AD413" i="58" s="1"/>
  <c r="Y146" i="58"/>
  <c r="AD146" i="58" s="1"/>
  <c r="Y154" i="58"/>
  <c r="AD154" i="58" s="1"/>
  <c r="Y188" i="58"/>
  <c r="AD188" i="58" s="1"/>
  <c r="Y118" i="58"/>
  <c r="AD118" i="58" s="1"/>
  <c r="Y124" i="58"/>
  <c r="AD124" i="58" s="1"/>
  <c r="Y356" i="58"/>
  <c r="AD356" i="58" s="1"/>
  <c r="Y406" i="58"/>
  <c r="AD406" i="58" s="1"/>
  <c r="Y341" i="58"/>
  <c r="AD341" i="58" s="1"/>
  <c r="Y369" i="58"/>
  <c r="AD369" i="58" s="1"/>
  <c r="Y88" i="58"/>
  <c r="AD88" i="58" s="1"/>
  <c r="Y174" i="58"/>
  <c r="AD174" i="58" s="1"/>
  <c r="Y231" i="58"/>
  <c r="AD231" i="58" s="1"/>
  <c r="Y105" i="58"/>
  <c r="AD105" i="58" s="1"/>
  <c r="Y389" i="58"/>
  <c r="AD389" i="58" s="1"/>
  <c r="Y86" i="58"/>
  <c r="AD86" i="58" s="1"/>
  <c r="Y191" i="58"/>
  <c r="AD191" i="58" s="1"/>
  <c r="Y364" i="58"/>
  <c r="AD364" i="58" s="1"/>
  <c r="Y362" i="58"/>
  <c r="AD362" i="58" s="1"/>
  <c r="Y110" i="58"/>
  <c r="AD110" i="58" s="1"/>
  <c r="Y304" i="58"/>
  <c r="AD304" i="58" s="1"/>
  <c r="Y307" i="58"/>
  <c r="AD307" i="58" s="1"/>
  <c r="Y138" i="58"/>
  <c r="AD138" i="58" s="1"/>
  <c r="Y288" i="58"/>
  <c r="AD288" i="58" s="1"/>
  <c r="Y173" i="58"/>
  <c r="AD173" i="58" s="1"/>
  <c r="Y193" i="58"/>
  <c r="AD193" i="58" s="1"/>
  <c r="Y255" i="58"/>
  <c r="AD255" i="58" s="1"/>
  <c r="Y320" i="58"/>
  <c r="AD320" i="58" s="1"/>
  <c r="Y385" i="58"/>
  <c r="AD385" i="58" s="1"/>
  <c r="Y247" i="58"/>
  <c r="AD247" i="58" s="1"/>
  <c r="Y209" i="58"/>
  <c r="AD209" i="58" s="1"/>
  <c r="Y428" i="58"/>
  <c r="AD428" i="58" s="1"/>
  <c r="Y165" i="58"/>
  <c r="AD165" i="58" s="1"/>
  <c r="Y139" i="58"/>
  <c r="AD139" i="58" s="1"/>
  <c r="Y354" i="58"/>
  <c r="AD354" i="58" s="1"/>
  <c r="CC342" i="1"/>
  <c r="CC317" i="1"/>
  <c r="CC74" i="1"/>
  <c r="CC385" i="1"/>
  <c r="CC271" i="1"/>
  <c r="CC234" i="1"/>
  <c r="CC375" i="1"/>
  <c r="CC124" i="1"/>
  <c r="CC276" i="1"/>
  <c r="CC344" i="1"/>
  <c r="CC353" i="1"/>
  <c r="CC322" i="1"/>
  <c r="CC179" i="1"/>
  <c r="CC273" i="1"/>
  <c r="CC110" i="1"/>
  <c r="CC243" i="1"/>
  <c r="CC310" i="1"/>
  <c r="CC106" i="1"/>
  <c r="CC379" i="1"/>
  <c r="CC387" i="1"/>
  <c r="CC93" i="1"/>
  <c r="CC99" i="1"/>
  <c r="CC219" i="1"/>
  <c r="CC198" i="1"/>
  <c r="CC14" i="1"/>
  <c r="CC138" i="1"/>
  <c r="CC272" i="1"/>
  <c r="CC176" i="1"/>
  <c r="CC224" i="1"/>
  <c r="CC285" i="1"/>
  <c r="CC326" i="1"/>
  <c r="CC368" i="1"/>
  <c r="CC261" i="1"/>
  <c r="CC358" i="1"/>
  <c r="CC182" i="1"/>
  <c r="CC347" i="1"/>
  <c r="CC240" i="1"/>
  <c r="CC226" i="1"/>
  <c r="CC235" i="1"/>
  <c r="CC135" i="1"/>
  <c r="CC284" i="1"/>
  <c r="CC349" i="1"/>
  <c r="CC392" i="1"/>
  <c r="CC262" i="1"/>
  <c r="CC331" i="1"/>
  <c r="CC186" i="1"/>
  <c r="CC314" i="1"/>
  <c r="CC83" i="1"/>
  <c r="CC366" i="1"/>
  <c r="CC277" i="1"/>
  <c r="CC174" i="1"/>
  <c r="CC153" i="1"/>
  <c r="CC170" i="1"/>
  <c r="CC168" i="1"/>
  <c r="CC68" i="1"/>
  <c r="CC190" i="1"/>
  <c r="CC256" i="1"/>
  <c r="CC336" i="1"/>
  <c r="CC374" i="1"/>
  <c r="CC209" i="1"/>
  <c r="CC369" i="1"/>
  <c r="CC171" i="1"/>
  <c r="CC244" i="1"/>
  <c r="CC290" i="1"/>
  <c r="CC383" i="1"/>
  <c r="CC196" i="1"/>
  <c r="CC192" i="1"/>
  <c r="CC341" i="1"/>
  <c r="CC372" i="1"/>
  <c r="CC338" i="1"/>
  <c r="CC291" i="1"/>
  <c r="CC352" i="1"/>
  <c r="CC213" i="1"/>
  <c r="CC105" i="1"/>
  <c r="CC312" i="1"/>
  <c r="CC89" i="1"/>
  <c r="CC343" i="1"/>
  <c r="CC268" i="1"/>
  <c r="CC325" i="1"/>
  <c r="CC57" i="1"/>
  <c r="CC357" i="1"/>
  <c r="CC320" i="1"/>
  <c r="CC175" i="1"/>
  <c r="CC126" i="1"/>
  <c r="CC294" i="1"/>
  <c r="CC394" i="1"/>
  <c r="CC307" i="1"/>
  <c r="CC151" i="1"/>
  <c r="CC248" i="1"/>
  <c r="CC49" i="1"/>
  <c r="CC195" i="1"/>
  <c r="CC69" i="1"/>
  <c r="CC144" i="1"/>
  <c r="CC360" i="1"/>
  <c r="CC378" i="1"/>
  <c r="CC282" i="1"/>
  <c r="CC295" i="1"/>
  <c r="CC112" i="1"/>
  <c r="CC122" i="1"/>
  <c r="CC65" i="1"/>
  <c r="CC359" i="1"/>
  <c r="CC355" i="1"/>
  <c r="CC130" i="1"/>
  <c r="CC318" i="1"/>
  <c r="CC78" i="1"/>
  <c r="CC55" i="1"/>
  <c r="CC164" i="1"/>
  <c r="CC380" i="1"/>
  <c r="CC63" i="1"/>
  <c r="CC389" i="1"/>
  <c r="CC94" i="1"/>
  <c r="CC148" i="1"/>
  <c r="CC388" i="1"/>
  <c r="CC328" i="1"/>
  <c r="CC100" i="1"/>
  <c r="CC188" i="1"/>
  <c r="CC45" i="1"/>
  <c r="CC335" i="1"/>
  <c r="CC321" i="1"/>
  <c r="CC362" i="1"/>
  <c r="CC53" i="1"/>
  <c r="CC77" i="1"/>
  <c r="CC305" i="1"/>
  <c r="CC111" i="1"/>
  <c r="CC308" i="1"/>
  <c r="CC323" i="1"/>
  <c r="CC371" i="1"/>
  <c r="CC73" i="1"/>
  <c r="CC159" i="1"/>
  <c r="CC218" i="1"/>
  <c r="CC306" i="1"/>
  <c r="CC107" i="1"/>
  <c r="CC382" i="1"/>
  <c r="CC98" i="1"/>
  <c r="CC334" i="1"/>
  <c r="CC233" i="1"/>
  <c r="CC146" i="1"/>
  <c r="CC367" i="1"/>
  <c r="CC64" i="1"/>
  <c r="CC376" i="1"/>
  <c r="CC72" i="1"/>
  <c r="CC117" i="1"/>
  <c r="CC150" i="1"/>
  <c r="CC204" i="1"/>
  <c r="CC165" i="1"/>
  <c r="CC87" i="1"/>
  <c r="CC207" i="1"/>
  <c r="CC255" i="1"/>
  <c r="CC356" i="1"/>
  <c r="CC156" i="1"/>
  <c r="CC81" i="1"/>
  <c r="CC258" i="1"/>
  <c r="CC80" i="1"/>
  <c r="CC60" i="1"/>
  <c r="CC354" i="1"/>
  <c r="CC315" i="1"/>
  <c r="CC154" i="1"/>
  <c r="CC228" i="1"/>
  <c r="CC62" i="1"/>
  <c r="CC339" i="1"/>
  <c r="CC311" i="1"/>
  <c r="CC116" i="1"/>
  <c r="CC167" i="1"/>
  <c r="CC340" i="1"/>
  <c r="CC252" i="1"/>
  <c r="CC210" i="1"/>
  <c r="CC329" i="1"/>
  <c r="CC166" i="1"/>
  <c r="CC345" i="1"/>
  <c r="CC147" i="1"/>
  <c r="CC327" i="1"/>
  <c r="CC46" i="1"/>
  <c r="CC177" i="1"/>
  <c r="CC173" i="1"/>
  <c r="CC86" i="1"/>
  <c r="CC71" i="1"/>
  <c r="CC162" i="1"/>
  <c r="CC137" i="1"/>
  <c r="CC280" i="1"/>
  <c r="CC75" i="1"/>
  <c r="CC131" i="1"/>
  <c r="CC370" i="1"/>
  <c r="CC283" i="1"/>
  <c r="CC88" i="1"/>
  <c r="CC337" i="1"/>
  <c r="CC123" i="1"/>
  <c r="CC114" i="1"/>
  <c r="CC172" i="1"/>
  <c r="CC239" i="1"/>
  <c r="CC316" i="1"/>
  <c r="CC264" i="1"/>
  <c r="CC61" i="1"/>
  <c r="CC333" i="1"/>
  <c r="CC180" i="1"/>
  <c r="CC149" i="1"/>
  <c r="CC54" i="1"/>
  <c r="CC263" i="1"/>
  <c r="CC103" i="1"/>
  <c r="CC169" i="1"/>
  <c r="CC178" i="1"/>
  <c r="CC309" i="1"/>
  <c r="CC191" i="1"/>
  <c r="CC231" i="1"/>
  <c r="CC279" i="1"/>
  <c r="CC118" i="1"/>
  <c r="CC132" i="1"/>
  <c r="CC296" i="1"/>
  <c r="CC95" i="1"/>
  <c r="CC270" i="1"/>
  <c r="CC313" i="1"/>
  <c r="CC350" i="1"/>
  <c r="CC97" i="1"/>
  <c r="CC128" i="1"/>
  <c r="CC361" i="1"/>
  <c r="CC223" i="1"/>
  <c r="CC187" i="1"/>
  <c r="CC91" i="1"/>
  <c r="CC185" i="1"/>
  <c r="CC82" i="1"/>
  <c r="CC194" i="1"/>
  <c r="CC44" i="1"/>
  <c r="CC393" i="1"/>
  <c r="CC265" i="1"/>
  <c r="CC236" i="1"/>
  <c r="CC275" i="1"/>
  <c r="CC141" i="1"/>
  <c r="CC332" i="1"/>
  <c r="CC76" i="1"/>
  <c r="CC330" i="1"/>
  <c r="CC115" i="1"/>
  <c r="CC238" i="1"/>
  <c r="CC216" i="1"/>
  <c r="CC66" i="1"/>
  <c r="CC319" i="1"/>
  <c r="CC348" i="1"/>
  <c r="CC183" i="1"/>
  <c r="CC79" i="1"/>
  <c r="A477" i="1"/>
  <c r="O6" i="53"/>
  <c r="B401" i="1"/>
  <c r="Y340" i="58"/>
  <c r="AD340" i="58" s="1"/>
  <c r="Y68" i="58"/>
  <c r="AD68" i="58" s="1"/>
  <c r="Y13" i="58"/>
  <c r="AD13" i="58" s="1"/>
  <c r="CQ75" i="1"/>
  <c r="CR75" i="1" s="1"/>
  <c r="CQ175" i="1"/>
  <c r="CR175" i="1" s="1"/>
  <c r="CQ188" i="1"/>
  <c r="CR188" i="1" s="1"/>
  <c r="CQ341" i="1"/>
  <c r="CR341" i="1" s="1"/>
  <c r="CQ321" i="1"/>
  <c r="CR321" i="1" s="1"/>
  <c r="CQ73" i="1"/>
  <c r="CR73" i="1" s="1"/>
  <c r="CQ216" i="1"/>
  <c r="CR216" i="1" s="1"/>
  <c r="CQ323" i="1"/>
  <c r="CR323" i="1" s="1"/>
  <c r="CQ78" i="1"/>
  <c r="CR78" i="1" s="1"/>
  <c r="CQ322" i="1"/>
  <c r="CR322" i="1" s="1"/>
  <c r="CQ279" i="1"/>
  <c r="CR279" i="1" s="1"/>
  <c r="CQ372" i="1"/>
  <c r="CR372" i="1" s="1"/>
  <c r="CQ370" i="1"/>
  <c r="CR370" i="1" s="1"/>
  <c r="CQ234" i="1"/>
  <c r="CR234" i="1" s="1"/>
  <c r="CQ317" i="1"/>
  <c r="CR317" i="1" s="1"/>
  <c r="CQ176" i="1"/>
  <c r="CR176" i="1" s="1"/>
  <c r="CQ353" i="1"/>
  <c r="CR353" i="1" s="1"/>
  <c r="CQ186" i="1"/>
  <c r="CR186" i="1" s="1"/>
  <c r="CQ379" i="1"/>
  <c r="CR379" i="1" s="1"/>
  <c r="CQ138" i="1"/>
  <c r="CR138" i="1" s="1"/>
  <c r="CQ14" i="1"/>
  <c r="CR14" i="1" s="1"/>
  <c r="CQ291" i="1"/>
  <c r="CR291" i="1" s="1"/>
  <c r="CQ218" i="1"/>
  <c r="CR218" i="1" s="1"/>
  <c r="CQ270" i="1"/>
  <c r="CR270" i="1" s="1"/>
  <c r="CQ89" i="1"/>
  <c r="CR89" i="1" s="1"/>
  <c r="CQ244" i="1"/>
  <c r="CR244" i="1" s="1"/>
  <c r="CQ235" i="1"/>
  <c r="CR235" i="1" s="1"/>
  <c r="CQ313" i="1"/>
  <c r="CR313" i="1" s="1"/>
  <c r="CQ275" i="1"/>
  <c r="CR275" i="1" s="1"/>
  <c r="CQ207" i="1"/>
  <c r="CR207" i="1" s="1"/>
  <c r="CQ296" i="1"/>
  <c r="CR296" i="1" s="1"/>
  <c r="CQ179" i="1"/>
  <c r="CR179" i="1" s="1"/>
  <c r="CQ185" i="1"/>
  <c r="CR185" i="1" s="1"/>
  <c r="CQ392" i="1"/>
  <c r="CR392" i="1" s="1"/>
  <c r="CQ135" i="1"/>
  <c r="CR135" i="1" s="1"/>
  <c r="CQ378" i="1"/>
  <c r="CR378" i="1" s="1"/>
  <c r="CQ65" i="1"/>
  <c r="CR65" i="1" s="1"/>
  <c r="CQ343" i="1"/>
  <c r="CR343" i="1" s="1"/>
  <c r="CQ277" i="1"/>
  <c r="CR277" i="1" s="1"/>
  <c r="CQ334" i="1"/>
  <c r="CR334" i="1" s="1"/>
  <c r="CQ335" i="1"/>
  <c r="CR335" i="1" s="1"/>
  <c r="CQ273" i="1"/>
  <c r="CR273" i="1" s="1"/>
  <c r="CQ168" i="1"/>
  <c r="CR168" i="1" s="1"/>
  <c r="CQ118" i="1"/>
  <c r="CR118" i="1" s="1"/>
  <c r="CQ213" i="1"/>
  <c r="CR213" i="1" s="1"/>
  <c r="CQ258" i="1"/>
  <c r="CR258" i="1" s="1"/>
  <c r="CQ219" i="1"/>
  <c r="CR219" i="1" s="1"/>
  <c r="CQ366" i="1"/>
  <c r="CR366" i="1" s="1"/>
  <c r="CQ360" i="1"/>
  <c r="CR360" i="1" s="1"/>
  <c r="CQ238" i="1"/>
  <c r="CR238" i="1" s="1"/>
  <c r="CQ191" i="1"/>
  <c r="CR191" i="1" s="1"/>
  <c r="CQ146" i="1"/>
  <c r="CR146" i="1" s="1"/>
  <c r="CQ361" i="1"/>
  <c r="CR361" i="1" s="1"/>
  <c r="CQ210" i="1"/>
  <c r="CR210" i="1" s="1"/>
  <c r="CQ111" i="1"/>
  <c r="CR111" i="1" s="1"/>
  <c r="CQ224" i="1"/>
  <c r="CR224" i="1" s="1"/>
  <c r="CQ328" i="1"/>
  <c r="CR328" i="1" s="1"/>
  <c r="CQ147" i="1"/>
  <c r="CR147" i="1" s="1"/>
  <c r="CQ331" i="1"/>
  <c r="CR331" i="1" s="1"/>
  <c r="CQ316" i="1"/>
  <c r="CR316" i="1" s="1"/>
  <c r="CQ167" i="1"/>
  <c r="CR167" i="1" s="1"/>
  <c r="CQ97" i="1"/>
  <c r="CR97" i="1" s="1"/>
  <c r="CQ349" i="1"/>
  <c r="CR349" i="1" s="1"/>
  <c r="CQ243" i="1"/>
  <c r="CR243" i="1" s="1"/>
  <c r="CQ357" i="1"/>
  <c r="CR357" i="1" s="1"/>
  <c r="CQ110" i="1"/>
  <c r="CR110" i="1" s="1"/>
  <c r="CQ159" i="1"/>
  <c r="CR159" i="1" s="1"/>
  <c r="CQ280" i="1"/>
  <c r="CR280" i="1" s="1"/>
  <c r="CQ283" i="1"/>
  <c r="CR283" i="1" s="1"/>
  <c r="CQ170" i="1"/>
  <c r="CR170" i="1" s="1"/>
  <c r="CQ93" i="1"/>
  <c r="CR93" i="1" s="1"/>
  <c r="CQ307" i="1"/>
  <c r="CR307" i="1" s="1"/>
  <c r="CQ347" i="1"/>
  <c r="CR347" i="1" s="1"/>
  <c r="CQ80" i="1"/>
  <c r="CR80" i="1" s="1"/>
  <c r="CQ294" i="1"/>
  <c r="CR294" i="1" s="1"/>
  <c r="CQ45" i="1"/>
  <c r="CR45" i="1" s="1"/>
  <c r="CQ173" i="1"/>
  <c r="CR173" i="1" s="1"/>
  <c r="CQ63" i="1"/>
  <c r="CR63" i="1" s="1"/>
  <c r="CQ204" i="1"/>
  <c r="CR204" i="1" s="1"/>
  <c r="CQ271" i="1"/>
  <c r="CR271" i="1" s="1"/>
  <c r="CQ382" i="1"/>
  <c r="CR382" i="1" s="1"/>
  <c r="CQ171" i="1"/>
  <c r="CR171" i="1" s="1"/>
  <c r="CQ141" i="1"/>
  <c r="CR141" i="1" s="1"/>
  <c r="CQ103" i="1"/>
  <c r="CR103" i="1" s="1"/>
  <c r="CQ66" i="1"/>
  <c r="CR66" i="1" s="1"/>
  <c r="CQ393" i="1"/>
  <c r="CR393" i="1" s="1"/>
  <c r="CQ174" i="1"/>
  <c r="CR174" i="1" s="1"/>
  <c r="CQ100" i="1"/>
  <c r="CR100" i="1" s="1"/>
  <c r="CQ263" i="1"/>
  <c r="CR263" i="1" s="1"/>
  <c r="CQ209" i="1"/>
  <c r="CR209" i="1" s="1"/>
  <c r="CQ284" i="1"/>
  <c r="CR284" i="1" s="1"/>
  <c r="CQ342" i="1"/>
  <c r="CR342" i="1" s="1"/>
  <c r="CQ337" i="1"/>
  <c r="CR337" i="1" s="1"/>
  <c r="CQ62" i="1"/>
  <c r="CR62" i="1" s="1"/>
  <c r="CQ385" i="1"/>
  <c r="CR385" i="1" s="1"/>
  <c r="CQ178" i="1"/>
  <c r="CR178" i="1" s="1"/>
  <c r="CQ330" i="1"/>
  <c r="CR330" i="1" s="1"/>
  <c r="CQ362" i="1"/>
  <c r="CR362" i="1" s="1"/>
  <c r="CQ154" i="1"/>
  <c r="CR154" i="1" s="1"/>
  <c r="CQ196" i="1"/>
  <c r="CR196" i="1" s="1"/>
  <c r="CQ394" i="1"/>
  <c r="CR394" i="1" s="1"/>
  <c r="CQ187" i="1"/>
  <c r="CR187" i="1" s="1"/>
  <c r="CQ79" i="1"/>
  <c r="CR79" i="1" s="1"/>
  <c r="CQ194" i="1"/>
  <c r="CR194" i="1" s="1"/>
  <c r="CQ315" i="1"/>
  <c r="CR315" i="1" s="1"/>
  <c r="CQ389" i="1"/>
  <c r="CR389" i="1" s="1"/>
  <c r="CQ87" i="1"/>
  <c r="CR87" i="1" s="1"/>
  <c r="CQ355" i="1"/>
  <c r="CR355" i="1" s="1"/>
  <c r="CQ132" i="1"/>
  <c r="CR132" i="1" s="1"/>
  <c r="CQ81" i="1"/>
  <c r="CR81" i="1" s="1"/>
  <c r="CQ387" i="1"/>
  <c r="CR387" i="1" s="1"/>
  <c r="CQ376" i="1"/>
  <c r="CR376" i="1" s="1"/>
  <c r="CQ112" i="1"/>
  <c r="CR112" i="1" s="1"/>
  <c r="CQ60" i="1"/>
  <c r="CR60" i="1" s="1"/>
  <c r="CQ128" i="1"/>
  <c r="CR128" i="1" s="1"/>
  <c r="CQ359" i="1"/>
  <c r="CR359" i="1" s="1"/>
  <c r="CQ369" i="1"/>
  <c r="CR369" i="1" s="1"/>
  <c r="CQ312" i="1"/>
  <c r="CR312" i="1" s="1"/>
  <c r="CQ95" i="1"/>
  <c r="CR95" i="1" s="1"/>
  <c r="CQ339" i="1"/>
  <c r="CR339" i="1" s="1"/>
  <c r="CQ123" i="1"/>
  <c r="CR123" i="1" s="1"/>
  <c r="CQ77" i="1"/>
  <c r="CR77" i="1" s="1"/>
  <c r="CQ265" i="1"/>
  <c r="CR265" i="1" s="1"/>
  <c r="CQ388" i="1"/>
  <c r="CR388" i="1" s="1"/>
  <c r="CQ236" i="1"/>
  <c r="CR236" i="1" s="1"/>
  <c r="CQ105" i="1"/>
  <c r="CR105" i="1" s="1"/>
  <c r="CQ115" i="1"/>
  <c r="CR115" i="1" s="1"/>
  <c r="CQ71" i="1"/>
  <c r="CR71" i="1" s="1"/>
  <c r="CQ354" i="1"/>
  <c r="CR354" i="1" s="1"/>
  <c r="CQ99" i="1"/>
  <c r="CR99" i="1" s="1"/>
  <c r="CQ358" i="1"/>
  <c r="CR358" i="1" s="1"/>
  <c r="CQ137" i="1"/>
  <c r="CR137" i="1" s="1"/>
  <c r="CQ192" i="1"/>
  <c r="CR192" i="1" s="1"/>
  <c r="CQ239" i="1"/>
  <c r="CR239" i="1" s="1"/>
  <c r="CQ326" i="1"/>
  <c r="CR326" i="1" s="1"/>
  <c r="CQ91" i="1"/>
  <c r="CR91" i="1" s="1"/>
  <c r="CQ180" i="1"/>
  <c r="CR180" i="1" s="1"/>
  <c r="CQ61" i="1"/>
  <c r="CR61" i="1" s="1"/>
  <c r="CQ256" i="1"/>
  <c r="CR256" i="1" s="1"/>
  <c r="CQ310" i="1"/>
  <c r="CR310" i="1" s="1"/>
  <c r="CQ177" i="1"/>
  <c r="CR177" i="1" s="1"/>
  <c r="CQ98" i="1"/>
  <c r="CR98" i="1" s="1"/>
  <c r="CQ350" i="1"/>
  <c r="CR350" i="1" s="1"/>
  <c r="CQ255" i="1"/>
  <c r="CR255" i="1" s="1"/>
  <c r="CQ126" i="1"/>
  <c r="CR126" i="1" s="1"/>
  <c r="CQ309" i="1"/>
  <c r="CR309" i="1" s="1"/>
  <c r="CQ130" i="1"/>
  <c r="CR130" i="1" s="1"/>
  <c r="CQ149" i="1"/>
  <c r="CR149" i="1" s="1"/>
  <c r="CQ172" i="1"/>
  <c r="CR172" i="1" s="1"/>
  <c r="CQ223" i="1"/>
  <c r="CR223" i="1" s="1"/>
  <c r="CQ156" i="1"/>
  <c r="CR156" i="1" s="1"/>
  <c r="CQ352" i="1"/>
  <c r="CR352" i="1" s="1"/>
  <c r="CQ116" i="1"/>
  <c r="CR116" i="1" s="1"/>
  <c r="CQ371" i="1"/>
  <c r="CR371" i="1" s="1"/>
  <c r="CQ150" i="1"/>
  <c r="CR150" i="1" s="1"/>
  <c r="CQ380" i="1"/>
  <c r="CR380" i="1" s="1"/>
  <c r="CQ327" i="1"/>
  <c r="CR327" i="1" s="1"/>
  <c r="CQ74" i="1"/>
  <c r="CR74" i="1" s="1"/>
  <c r="CQ182" i="1"/>
  <c r="CR182" i="1" s="1"/>
  <c r="CQ83" i="1"/>
  <c r="CR83" i="1" s="1"/>
  <c r="CQ308" i="1"/>
  <c r="CR308" i="1" s="1"/>
  <c r="CQ166" i="1"/>
  <c r="CR166" i="1" s="1"/>
  <c r="CQ231" i="1"/>
  <c r="CR231" i="1" s="1"/>
  <c r="CQ305" i="1"/>
  <c r="AX397" i="1"/>
  <c r="CQ190" i="1"/>
  <c r="CR190" i="1" s="1"/>
  <c r="CQ338" i="1"/>
  <c r="CR338" i="1" s="1"/>
  <c r="CQ272" i="1"/>
  <c r="CR272" i="1" s="1"/>
  <c r="CQ319" i="1"/>
  <c r="CR319" i="1" s="1"/>
  <c r="CQ107" i="1"/>
  <c r="CR107" i="1" s="1"/>
  <c r="CQ336" i="1"/>
  <c r="CR336" i="1" s="1"/>
  <c r="CQ94" i="1"/>
  <c r="CR94" i="1" s="1"/>
  <c r="CQ165" i="1"/>
  <c r="CR165" i="1" s="1"/>
  <c r="CQ183" i="1"/>
  <c r="CR183" i="1" s="1"/>
  <c r="CQ264" i="1"/>
  <c r="CR264" i="1" s="1"/>
  <c r="CQ374" i="1"/>
  <c r="CR374" i="1" s="1"/>
  <c r="CQ64" i="1"/>
  <c r="CR64" i="1" s="1"/>
  <c r="CQ46" i="1"/>
  <c r="CR46" i="1" s="1"/>
  <c r="CQ86" i="1"/>
  <c r="CR86" i="1" s="1"/>
  <c r="CQ333" i="1"/>
  <c r="CR333" i="1" s="1"/>
  <c r="CQ314" i="1"/>
  <c r="CR314" i="1" s="1"/>
  <c r="CQ329" i="1"/>
  <c r="CR329" i="1" s="1"/>
  <c r="CQ57" i="1"/>
  <c r="CR57" i="1" s="1"/>
  <c r="CQ248" i="1"/>
  <c r="CR248" i="1" s="1"/>
  <c r="CQ383" i="1"/>
  <c r="CR383" i="1" s="1"/>
  <c r="CQ252" i="1"/>
  <c r="CR252" i="1" s="1"/>
  <c r="CQ367" i="1"/>
  <c r="CR367" i="1" s="1"/>
  <c r="CQ268" i="1"/>
  <c r="CR268" i="1" s="1"/>
  <c r="AX303" i="1"/>
  <c r="CQ44" i="1"/>
  <c r="CQ162" i="1"/>
  <c r="CR162" i="1" s="1"/>
  <c r="CQ106" i="1"/>
  <c r="CR106" i="1" s="1"/>
  <c r="CQ285" i="1"/>
  <c r="CR285" i="1" s="1"/>
  <c r="CQ122" i="1"/>
  <c r="CR122" i="1" s="1"/>
  <c r="CQ340" i="1"/>
  <c r="CR340" i="1" s="1"/>
  <c r="CQ332" i="1"/>
  <c r="CR332" i="1" s="1"/>
  <c r="CQ295" i="1"/>
  <c r="CR295" i="1" s="1"/>
  <c r="CQ53" i="1"/>
  <c r="CR53" i="1" s="1"/>
  <c r="CQ311" i="1"/>
  <c r="CR311" i="1" s="1"/>
  <c r="CQ228" i="1"/>
  <c r="CR228" i="1" s="1"/>
  <c r="CQ88" i="1"/>
  <c r="CR88" i="1" s="1"/>
  <c r="CQ82" i="1"/>
  <c r="CR82" i="1" s="1"/>
  <c r="CQ68" i="1"/>
  <c r="CR68" i="1" s="1"/>
  <c r="CQ54" i="1"/>
  <c r="CR54" i="1" s="1"/>
  <c r="CQ226" i="1"/>
  <c r="CR226" i="1" s="1"/>
  <c r="CQ375" i="1"/>
  <c r="CR375" i="1" s="1"/>
  <c r="CQ144" i="1"/>
  <c r="CR144" i="1" s="1"/>
  <c r="CQ76" i="1"/>
  <c r="CR76" i="1" s="1"/>
  <c r="CQ325" i="1"/>
  <c r="CR325" i="1" s="1"/>
  <c r="CQ198" i="1"/>
  <c r="CR198" i="1" s="1"/>
  <c r="CQ240" i="1"/>
  <c r="CR240" i="1" s="1"/>
  <c r="CQ282" i="1"/>
  <c r="CR282" i="1" s="1"/>
  <c r="CQ320" i="1"/>
  <c r="CR320" i="1" s="1"/>
  <c r="CQ72" i="1"/>
  <c r="CR72" i="1" s="1"/>
  <c r="CQ290" i="1"/>
  <c r="CR290" i="1" s="1"/>
  <c r="CQ117" i="1"/>
  <c r="CR117" i="1" s="1"/>
  <c r="CQ153" i="1"/>
  <c r="CR153" i="1" s="1"/>
  <c r="CQ356" i="1"/>
  <c r="CR356" i="1" s="1"/>
  <c r="CQ261" i="1"/>
  <c r="CR261" i="1" s="1"/>
  <c r="CQ148" i="1"/>
  <c r="CR148" i="1" s="1"/>
  <c r="CQ195" i="1"/>
  <c r="CR195" i="1" s="1"/>
  <c r="CQ49" i="1"/>
  <c r="CR49" i="1" s="1"/>
  <c r="CQ114" i="1"/>
  <c r="CR114" i="1" s="1"/>
  <c r="CQ69" i="1"/>
  <c r="CR69" i="1" s="1"/>
  <c r="CQ124" i="1"/>
  <c r="CR124" i="1" s="1"/>
  <c r="CQ151" i="1"/>
  <c r="CR151" i="1" s="1"/>
  <c r="CQ318" i="1"/>
  <c r="CR318" i="1" s="1"/>
  <c r="CQ276" i="1"/>
  <c r="CR276" i="1" s="1"/>
  <c r="CQ306" i="1"/>
  <c r="CR306" i="1" s="1"/>
  <c r="CQ368" i="1"/>
  <c r="CR368" i="1" s="1"/>
  <c r="AX15" i="1"/>
  <c r="CQ13" i="1"/>
  <c r="CC15" i="1"/>
  <c r="CQ164" i="1"/>
  <c r="CR164" i="1" s="1"/>
  <c r="CQ55" i="1"/>
  <c r="CR55" i="1" s="1"/>
  <c r="CQ262" i="1"/>
  <c r="CR262" i="1" s="1"/>
  <c r="CQ131" i="1"/>
  <c r="CR131" i="1" s="1"/>
  <c r="CQ344" i="1"/>
  <c r="CR344" i="1" s="1"/>
  <c r="CQ348" i="1"/>
  <c r="CR348" i="1" s="1"/>
  <c r="CQ169" i="1"/>
  <c r="CR169" i="1" s="1"/>
  <c r="CQ233" i="1"/>
  <c r="CR233" i="1" s="1"/>
  <c r="CQ345" i="1"/>
  <c r="CR345" i="1" s="1"/>
  <c r="F6" i="53" l="1"/>
  <c r="O7" i="53"/>
  <c r="P6" i="53"/>
  <c r="Y15" i="58"/>
  <c r="AD15" i="58"/>
  <c r="AD327" i="58"/>
  <c r="Y327" i="58"/>
  <c r="Y432" i="58"/>
  <c r="AD432" i="58"/>
  <c r="CQ303" i="1"/>
  <c r="CR44" i="1"/>
  <c r="CR303" i="1" s="1"/>
  <c r="CC303" i="1"/>
  <c r="CQ397" i="1"/>
  <c r="CR305" i="1"/>
  <c r="CR397" i="1" s="1"/>
  <c r="CR13" i="1"/>
  <c r="CR15" i="1" s="1"/>
  <c r="CQ15" i="1"/>
  <c r="AX400" i="1"/>
  <c r="CC397" i="1"/>
  <c r="AE432" i="58" l="1"/>
  <c r="Y435" i="58"/>
  <c r="AF15" i="58"/>
  <c r="AD435" i="58"/>
  <c r="AE327" i="58"/>
  <c r="CR400" i="1"/>
  <c r="CC400" i="1"/>
  <c r="CQ400" i="1"/>
  <c r="AE435" i="58" l="1"/>
</calcChain>
</file>

<file path=xl/comments1.xml><?xml version="1.0" encoding="utf-8"?>
<comments xmlns="http://schemas.openxmlformats.org/spreadsheetml/2006/main">
  <authors>
    <author>pc</author>
  </authors>
  <commentList>
    <comment ref="J375" authorId="0">
      <text>
        <r>
          <rPr>
            <b/>
            <sz val="9"/>
            <color indexed="81"/>
            <rFont val="Tahoma"/>
            <family val="2"/>
          </rPr>
          <t>pc:</t>
        </r>
        <r>
          <rPr>
            <sz val="9"/>
            <color indexed="81"/>
            <rFont val="Tahoma"/>
            <family val="2"/>
          </rPr>
          <t xml:space="preserve">
F.I 01/09/2016
F.E 09/05/2022
GRAN MISION HOGARES DE LA PATRIA</t>
        </r>
      </text>
    </comment>
  </commentList>
</comments>
</file>

<file path=xl/sharedStrings.xml><?xml version="1.0" encoding="utf-8"?>
<sst xmlns="http://schemas.openxmlformats.org/spreadsheetml/2006/main" count="29019" uniqueCount="7639">
  <si>
    <t>Nº</t>
  </si>
  <si>
    <t>GRADO</t>
  </si>
  <si>
    <t>CEDULA</t>
  </si>
  <si>
    <t>NOMBRES Y APELLIDOS</t>
  </si>
  <si>
    <t>FECHA DE INGRESO</t>
  </si>
  <si>
    <t>CARGO</t>
  </si>
  <si>
    <t>CODIGO DE CARGO</t>
  </si>
  <si>
    <t>SUELDO BASE</t>
  </si>
  <si>
    <t>PRIMA POR HIJOS</t>
  </si>
  <si>
    <t>BONO NOCTURNO</t>
  </si>
  <si>
    <t>BONO VACACIONAL</t>
  </si>
  <si>
    <t>UNIFORME</t>
  </si>
  <si>
    <t>UTILES ESCOLARES</t>
  </si>
  <si>
    <t>JUGUETES</t>
  </si>
  <si>
    <t>APORTE PATRONAL</t>
  </si>
  <si>
    <t>SUELDO NORMAL MENSUAL</t>
  </si>
  <si>
    <t>PERSONAL DIRECTIVO</t>
  </si>
  <si>
    <t>CODCARGO</t>
  </si>
  <si>
    <t>DESCRIP</t>
  </si>
  <si>
    <t>TIPOCARGO</t>
  </si>
  <si>
    <t>CLASECARGO</t>
  </si>
  <si>
    <t>35131</t>
  </si>
  <si>
    <t>ABOGADO FISCAL I</t>
  </si>
  <si>
    <t>E</t>
  </si>
  <si>
    <t>UT</t>
  </si>
  <si>
    <t>35132</t>
  </si>
  <si>
    <t>ABOGADO FISCAL II</t>
  </si>
  <si>
    <t>35133</t>
  </si>
  <si>
    <t>ABOGADO FISCAL III</t>
  </si>
  <si>
    <t>35134</t>
  </si>
  <si>
    <t>ABOGADO FISCAL IV</t>
  </si>
  <si>
    <t>35135</t>
  </si>
  <si>
    <t>ABOGADO FISCAL JEFE</t>
  </si>
  <si>
    <t>35121</t>
  </si>
  <si>
    <t>ABOGADO I</t>
  </si>
  <si>
    <t>35122</t>
  </si>
  <si>
    <t>ABOGADO II</t>
  </si>
  <si>
    <t>35123</t>
  </si>
  <si>
    <t>ABOGADO III</t>
  </si>
  <si>
    <t>35124</t>
  </si>
  <si>
    <t>ABOGADO IV</t>
  </si>
  <si>
    <t>35125</t>
  </si>
  <si>
    <t>ABOGADO JEFE</t>
  </si>
  <si>
    <t>35151</t>
  </si>
  <si>
    <t>ABOGADO PROCURADURIA I</t>
  </si>
  <si>
    <t>35152</t>
  </si>
  <si>
    <t>ABOGADO PROCURADURIA II</t>
  </si>
  <si>
    <t>35153</t>
  </si>
  <si>
    <t>ABOGADO PROCURADURIA III</t>
  </si>
  <si>
    <t>35154</t>
  </si>
  <si>
    <t>ABOGADO PROCURADURIA IV</t>
  </si>
  <si>
    <t>36151</t>
  </si>
  <si>
    <t>ACTUARIO I</t>
  </si>
  <si>
    <t>36152</t>
  </si>
  <si>
    <t>ACTUARIO II</t>
  </si>
  <si>
    <t>36153</t>
  </si>
  <si>
    <t>ACTUARIO III</t>
  </si>
  <si>
    <t>36154</t>
  </si>
  <si>
    <t>ACTUARIO IV</t>
  </si>
  <si>
    <t>36155</t>
  </si>
  <si>
    <t>ACTUARIO V</t>
  </si>
  <si>
    <t>53111</t>
  </si>
  <si>
    <t>ADJUNTO INTERVENTOR DE ADUANAS I</t>
  </si>
  <si>
    <t>AD</t>
  </si>
  <si>
    <t>02</t>
  </si>
  <si>
    <t>53112</t>
  </si>
  <si>
    <t>ADJUNTO INTERVENTOR DE ADUANAS II</t>
  </si>
  <si>
    <t>03</t>
  </si>
  <si>
    <t>53113</t>
  </si>
  <si>
    <t>ADJUNTO INTERVENTOR DE ADUANAS III</t>
  </si>
  <si>
    <t>37530</t>
  </si>
  <si>
    <t>ADMINISTRADOR DE COLECCIONES</t>
  </si>
  <si>
    <t>12121</t>
  </si>
  <si>
    <t>ADMINISTRADOR I</t>
  </si>
  <si>
    <t>12122</t>
  </si>
  <si>
    <t>ADMINISTRADOR II</t>
  </si>
  <si>
    <t>12123</t>
  </si>
  <si>
    <t>ADMINISTRADOR III</t>
  </si>
  <si>
    <t>12124</t>
  </si>
  <si>
    <t>ADMINISTRADOR IV</t>
  </si>
  <si>
    <t>12130</t>
  </si>
  <si>
    <t>ADMINISTRADOR JEFE</t>
  </si>
  <si>
    <t>45211</t>
  </si>
  <si>
    <t>AEROTOPOGRAFO I</t>
  </si>
  <si>
    <t>45212</t>
  </si>
  <si>
    <t>AEROTOPOGRAFO II</t>
  </si>
  <si>
    <t>04</t>
  </si>
  <si>
    <t>45213</t>
  </si>
  <si>
    <t>AEROTOPOGRAFO III</t>
  </si>
  <si>
    <t>06</t>
  </si>
  <si>
    <t>45214</t>
  </si>
  <si>
    <t>AEROTOPOGRAFO IV</t>
  </si>
  <si>
    <t>08</t>
  </si>
  <si>
    <t>45220</t>
  </si>
  <si>
    <t>AEROTOPOGRAFO JEFE</t>
  </si>
  <si>
    <t>10</t>
  </si>
  <si>
    <t>84211</t>
  </si>
  <si>
    <t>AFERIDOR I</t>
  </si>
  <si>
    <t>01</t>
  </si>
  <si>
    <t>84212</t>
  </si>
  <si>
    <t>AFERIDOR II</t>
  </si>
  <si>
    <t>44110</t>
  </si>
  <si>
    <t>AFORADOR DE HIDROCARBUROS</t>
  </si>
  <si>
    <t>79551</t>
  </si>
  <si>
    <t>AGENTE AYUDA JUVENIL I</t>
  </si>
  <si>
    <t>79552</t>
  </si>
  <si>
    <t>AGENTE AYUDA JUVENIL II</t>
  </si>
  <si>
    <t>41351</t>
  </si>
  <si>
    <t>AGENTE COOPERATIVISTA I</t>
  </si>
  <si>
    <t>41352</t>
  </si>
  <si>
    <t>AGENTE COOPERATIVISTA II</t>
  </si>
  <si>
    <t>86221</t>
  </si>
  <si>
    <t>AGENTE DE INMIGRACION Y EXTRANJERIA I</t>
  </si>
  <si>
    <t>86222</t>
  </si>
  <si>
    <t>AGENTE DE INMIGRACION Y EXTRANJERIA II</t>
  </si>
  <si>
    <t>86223</t>
  </si>
  <si>
    <t>AGENTE DE INMIGRACION Y EXTRANJERIA III</t>
  </si>
  <si>
    <t>79611</t>
  </si>
  <si>
    <t>AGENTE DE VIVIENDA I</t>
  </si>
  <si>
    <t>79612</t>
  </si>
  <si>
    <t>AGENTE DE VIVIENDA II</t>
  </si>
  <si>
    <t>79613</t>
  </si>
  <si>
    <t>AGENTE DE VIVIENDA III</t>
  </si>
  <si>
    <t>43161</t>
  </si>
  <si>
    <t>AGRIMENSOR I</t>
  </si>
  <si>
    <t>43162</t>
  </si>
  <si>
    <t>AGRIMENSOR II</t>
  </si>
  <si>
    <t>43163</t>
  </si>
  <si>
    <t>AGRIMENSOR III</t>
  </si>
  <si>
    <t>43170</t>
  </si>
  <si>
    <t>AGRIMENSOR JEFE</t>
  </si>
  <si>
    <t>25211</t>
  </si>
  <si>
    <t>ALMACENISTA I</t>
  </si>
  <si>
    <t>25212</t>
  </si>
  <si>
    <t>ALMACENISTA II</t>
  </si>
  <si>
    <t>15141</t>
  </si>
  <si>
    <t>ANALISTA CENTRAL DE PERSONAL I</t>
  </si>
  <si>
    <t>15142</t>
  </si>
  <si>
    <t>ANALISTA CENTRAL DE PERSONAL II</t>
  </si>
  <si>
    <t>15143</t>
  </si>
  <si>
    <t>ANALISTA CENTRAL DE PERSONAL III</t>
  </si>
  <si>
    <t>15144</t>
  </si>
  <si>
    <t>ANALISTA CENTRAL DE PERSONAL IV</t>
  </si>
  <si>
    <t>15150</t>
  </si>
  <si>
    <t>ANALISTA CENTRAL DE PERSONAL JEFE</t>
  </si>
  <si>
    <t>13431</t>
  </si>
  <si>
    <t>ANALISTA CENTRAL DE PRESUPUESTO I</t>
  </si>
  <si>
    <t>13432</t>
  </si>
  <si>
    <t>ANALISTA CENTRAL DE PRESUPUESTO II</t>
  </si>
  <si>
    <t>13433</t>
  </si>
  <si>
    <t>ANALISTA CENTRAL DE PRESUPUESTO III</t>
  </si>
  <si>
    <t>13434</t>
  </si>
  <si>
    <t>ANALISTA CENTRAL DE PRESUPUESTO IV</t>
  </si>
  <si>
    <t>13440</t>
  </si>
  <si>
    <t>ANALISTA CENTRAL DE PRESUPUESTO JEFE</t>
  </si>
  <si>
    <t>13251</t>
  </si>
  <si>
    <t>ANALISTA CENTRAL ORGAN. Y SISTEMAS I</t>
  </si>
  <si>
    <t>13252</t>
  </si>
  <si>
    <t>ANALISTA CENTRAL ORGAN. Y SISTEMAS II</t>
  </si>
  <si>
    <t>13253</t>
  </si>
  <si>
    <t>ANALISTA CENTRAL ORGAN. Y SISTEMAS III</t>
  </si>
  <si>
    <t>13254</t>
  </si>
  <si>
    <t>ANALISTA CENTRAL ORGAN. Y SISTEMAS IV</t>
  </si>
  <si>
    <t>13260</t>
  </si>
  <si>
    <t>ANALISTA CENTRAL ORGAN. Y SISTEMAS JEFE</t>
  </si>
  <si>
    <t>15140</t>
  </si>
  <si>
    <t>ANALISTA CENTRAL PERSONAL EN FORMACION</t>
  </si>
  <si>
    <t>13430</t>
  </si>
  <si>
    <t>ANALISTA CENTRAL PRESUP EN FORMACION</t>
  </si>
  <si>
    <t>34110</t>
  </si>
  <si>
    <t>ANALISTA DE ASUNTOS AUDIOVISUALES</t>
  </si>
  <si>
    <t>16310</t>
  </si>
  <si>
    <t>ANALISTA DE COLOCACION Y SEGUIMIENTO</t>
  </si>
  <si>
    <t>25861</t>
  </si>
  <si>
    <t>ANALISTA DE CONTROL FINANCIERO I</t>
  </si>
  <si>
    <t>25862</t>
  </si>
  <si>
    <t>ANALISTA DE CONTROL FINANCIERO II</t>
  </si>
  <si>
    <t>25863</t>
  </si>
  <si>
    <t>ANALISTA DE CONTROL FINANCIERO III</t>
  </si>
  <si>
    <t>25864</t>
  </si>
  <si>
    <t>ANALISTA DE CONTROL FINANCIERO IV</t>
  </si>
  <si>
    <t>25870</t>
  </si>
  <si>
    <t>ANALISTA DE CONTROL FINANCIERO JEFE</t>
  </si>
  <si>
    <t>25866</t>
  </si>
  <si>
    <t>ANALISTA DE CONTROL FINANCIERO V</t>
  </si>
  <si>
    <t>14218</t>
  </si>
  <si>
    <t>ANALISTA DE CREDITOS AGROPECUARIO III</t>
  </si>
  <si>
    <t>14211</t>
  </si>
  <si>
    <t>ANALISTA DE CREDITOS AGROPECUARIOS I</t>
  </si>
  <si>
    <t>14212</t>
  </si>
  <si>
    <t>ANALISTA DE CREDITOS AGROPECUARIOS II</t>
  </si>
  <si>
    <t>14220</t>
  </si>
  <si>
    <t>ANALISTA DE CREDITOS AGROPECUARIOS JEFE</t>
  </si>
  <si>
    <t>13221</t>
  </si>
  <si>
    <t>ANALISTA DE ORGANIZACION Y SISTEMAS I</t>
  </si>
  <si>
    <t>13222</t>
  </si>
  <si>
    <t>ANALISTA DE ORGANIZACION Y SISTEMAS II</t>
  </si>
  <si>
    <t>13223</t>
  </si>
  <si>
    <t>ANALISTA DE ORGANIZACION Y SISTEMAS III</t>
  </si>
  <si>
    <t>13224</t>
  </si>
  <si>
    <t>ANALISTA DE ORGANIZACION Y SISTEMAS IV</t>
  </si>
  <si>
    <t>13230</t>
  </si>
  <si>
    <t>ANALISTA DE ORGANIZACION Y SISTEMAS JEFE</t>
  </si>
  <si>
    <t>15121</t>
  </si>
  <si>
    <t>ANALISTA DE PERSONAL I</t>
  </si>
  <si>
    <t>15122</t>
  </si>
  <si>
    <t>ANALISTA DE PERSONAL II</t>
  </si>
  <si>
    <t>15123</t>
  </si>
  <si>
    <t>ANALISTA DE PERSONAL III</t>
  </si>
  <si>
    <t>15124</t>
  </si>
  <si>
    <t>ANALISTA DE PERSONAL IV</t>
  </si>
  <si>
    <t>15125</t>
  </si>
  <si>
    <t>ANALISTA DE PERSONAL V</t>
  </si>
  <si>
    <t>15126</t>
  </si>
  <si>
    <t>ANALISTA DE PERSONAL VI</t>
  </si>
  <si>
    <t>13411</t>
  </si>
  <si>
    <t>ANALISTA DE PRESUPUESTO I</t>
  </si>
  <si>
    <t>13412</t>
  </si>
  <si>
    <t>ANALISTA DE PRESUPUESTO II</t>
  </si>
  <si>
    <t>13413</t>
  </si>
  <si>
    <t>ANALISTA DE PRESUPUESTO III</t>
  </si>
  <si>
    <t>13414</t>
  </si>
  <si>
    <t>ANALISTA DE PRESUPUESTO IV</t>
  </si>
  <si>
    <t>13420</t>
  </si>
  <si>
    <t>ANALISTA DE PRESUPUESTO JEFE</t>
  </si>
  <si>
    <t>23451</t>
  </si>
  <si>
    <t>ANALISTA DE PROCESAMIENTO DE DATOS I</t>
  </si>
  <si>
    <t>23452</t>
  </si>
  <si>
    <t>ANALISTA DE PROCESAMIENTO DE DATOS II</t>
  </si>
  <si>
    <t>23453</t>
  </si>
  <si>
    <t>ANALISTA DE PROCESAMIENTO DE DATOS III</t>
  </si>
  <si>
    <t>14411</t>
  </si>
  <si>
    <t>ANALISTA DE PROYECTOS AGROPECUARIOS I</t>
  </si>
  <si>
    <t>14412</t>
  </si>
  <si>
    <t>ANALISTA DE PROYECTOS AGROPECUARIOS II</t>
  </si>
  <si>
    <t>14413</t>
  </si>
  <si>
    <t>ANALISTA DE PROYECTOS AGROPECUARIOS III</t>
  </si>
  <si>
    <t>13281</t>
  </si>
  <si>
    <t>ANALISTA DE PROYECTOS INDUSTRIALES I</t>
  </si>
  <si>
    <t>13282</t>
  </si>
  <si>
    <t>ANALISTA DE PROYECTOS INDUSTRIALES II</t>
  </si>
  <si>
    <t>85311</t>
  </si>
  <si>
    <t>ANALISTA DE SEGURIDAD Y DEFENSA I</t>
  </si>
  <si>
    <t>85313</t>
  </si>
  <si>
    <t>ANALISTA DE SEGURIDAD Y DEFENSA III</t>
  </si>
  <si>
    <t>85314</t>
  </si>
  <si>
    <t>ANALISTA DE SEGURIDAD Y DEFENSA IV</t>
  </si>
  <si>
    <t>85320</t>
  </si>
  <si>
    <t>ANALISTA DE SEGURIDAD Y DEFENSA JEFE</t>
  </si>
  <si>
    <t>85312</t>
  </si>
  <si>
    <t>ANALISTA DE SEGURIDAD Y DENFENSA II</t>
  </si>
  <si>
    <t>14332</t>
  </si>
  <si>
    <t>ANALISTA DE SUPERV. DE CREDITOS AGRO II</t>
  </si>
  <si>
    <t>14333</t>
  </si>
  <si>
    <t>ANALISTA DE SUPERV. DE CREDITOS AGRO III</t>
  </si>
  <si>
    <t>14331</t>
  </si>
  <si>
    <t>ANALISTA DE SUPERV. DE CREDITOS AGRO. I</t>
  </si>
  <si>
    <t>14121</t>
  </si>
  <si>
    <t>ANALISTA FINANCIERO I</t>
  </si>
  <si>
    <t>14122</t>
  </si>
  <si>
    <t>ANALISTA FINANCIERO II</t>
  </si>
  <si>
    <t>14123</t>
  </si>
  <si>
    <t>ANALISTA FINANCIERO III</t>
  </si>
  <si>
    <t>14124</t>
  </si>
  <si>
    <t>ANALISTA FINANCIERO IV</t>
  </si>
  <si>
    <t>14130</t>
  </si>
  <si>
    <t>ANALISTA FINANCIERO JEFE</t>
  </si>
  <si>
    <t>14125</t>
  </si>
  <si>
    <t>ANALISTA FINANCIERO V</t>
  </si>
  <si>
    <t>15220</t>
  </si>
  <si>
    <t>ANALISTA OCUPACIONAL  JEFE</t>
  </si>
  <si>
    <t>15211</t>
  </si>
  <si>
    <t>ANALISTA OCUPACIONAL I</t>
  </si>
  <si>
    <t>15212</t>
  </si>
  <si>
    <t>ANALISTA OCUPACIONAL II</t>
  </si>
  <si>
    <t>36451</t>
  </si>
  <si>
    <t>ANTROPOLOGO I</t>
  </si>
  <si>
    <t>36452</t>
  </si>
  <si>
    <t>ANTROPOLOGO II</t>
  </si>
  <si>
    <t>36453</t>
  </si>
  <si>
    <t>ANTROPOLOGO III</t>
  </si>
  <si>
    <t>22121</t>
  </si>
  <si>
    <t>ARCHIVISTA I</t>
  </si>
  <si>
    <t>22122</t>
  </si>
  <si>
    <t>ARCHIVISTA II</t>
  </si>
  <si>
    <t>22123</t>
  </si>
  <si>
    <t>ARCHIVISTA III</t>
  </si>
  <si>
    <t>05</t>
  </si>
  <si>
    <t>22131</t>
  </si>
  <si>
    <t>ARCHIVOLOGO I</t>
  </si>
  <si>
    <t>22132</t>
  </si>
  <si>
    <t>ARCHIVOLOGO II</t>
  </si>
  <si>
    <t>22133</t>
  </si>
  <si>
    <t>ARCHIVOLOGO III</t>
  </si>
  <si>
    <t>22134</t>
  </si>
  <si>
    <t>ARCHIVOLOGO IV</t>
  </si>
  <si>
    <t>43531</t>
  </si>
  <si>
    <t>ARQUITECTO I</t>
  </si>
  <si>
    <t>43532</t>
  </si>
  <si>
    <t>ARQUITECTO II</t>
  </si>
  <si>
    <t>43533</t>
  </si>
  <si>
    <t>ARQUITECTO III</t>
  </si>
  <si>
    <t>43541</t>
  </si>
  <si>
    <t>ARQUITECTO JEFE I</t>
  </si>
  <si>
    <t>43542</t>
  </si>
  <si>
    <t>ARQUITECTO JEFE II</t>
  </si>
  <si>
    <t>43551</t>
  </si>
  <si>
    <t>ARQUITECTO PAISAJISTA I</t>
  </si>
  <si>
    <t>43552</t>
  </si>
  <si>
    <t>ARQUITECTO PAISAJISTA II</t>
  </si>
  <si>
    <t>43553</t>
  </si>
  <si>
    <t>ARQUITECTO PAISAJISTA III</t>
  </si>
  <si>
    <t>43561</t>
  </si>
  <si>
    <t>ARQUITECTO PAISAJISTA JEFE I</t>
  </si>
  <si>
    <t>43562</t>
  </si>
  <si>
    <t>ARQUITECTO PAISAJISTA JEFE II</t>
  </si>
  <si>
    <t>36760</t>
  </si>
  <si>
    <t>ASISTENTE  PABELLON DE FERIAS</t>
  </si>
  <si>
    <t>00918</t>
  </si>
  <si>
    <t>ASISTENTE A LA SECRETARIA PRIVADA</t>
  </si>
  <si>
    <t>DI</t>
  </si>
  <si>
    <t>12111</t>
  </si>
  <si>
    <t>ASISTENTE ADMINISTRATIVO I</t>
  </si>
  <si>
    <t>12112</t>
  </si>
  <si>
    <t>ASISTENTE ADMINISTRATIVO II</t>
  </si>
  <si>
    <t>12113</t>
  </si>
  <si>
    <t>ASISTENTE ADMINISTRATIVO III</t>
  </si>
  <si>
    <t>12114</t>
  </si>
  <si>
    <t>ASISTENTE ADMINISTRATIVO IV</t>
  </si>
  <si>
    <t>12115</t>
  </si>
  <si>
    <t>ASISTENTE ADMINISTRATIVO V</t>
  </si>
  <si>
    <t>51321</t>
  </si>
  <si>
    <t>ASISTENTE AEROPUERTO I</t>
  </si>
  <si>
    <t>51322</t>
  </si>
  <si>
    <t>ASISTENTE AEROPUERTO II</t>
  </si>
  <si>
    <t>51323</t>
  </si>
  <si>
    <t>ASISTENTE AEROPUERTO III</t>
  </si>
  <si>
    <t>41131</t>
  </si>
  <si>
    <t>ASISTENTE AGROPECUARIO I</t>
  </si>
  <si>
    <t>41132</t>
  </si>
  <si>
    <t>ASISTENTE AGROPECUARIO II</t>
  </si>
  <si>
    <t>00921</t>
  </si>
  <si>
    <t>ASISTENTE AL COORDINADOR</t>
  </si>
  <si>
    <t>00926</t>
  </si>
  <si>
    <t>ASISTENTE AL DIRECTOR</t>
  </si>
  <si>
    <t>52290</t>
  </si>
  <si>
    <t>ASISTENTE AL JEFE CAPITANIA DE PUERTOS</t>
  </si>
  <si>
    <t>00909</t>
  </si>
  <si>
    <t>ASISTENTE AL SECRETARIO</t>
  </si>
  <si>
    <t>14111</t>
  </si>
  <si>
    <t>ASISTENTE ANALISTA FINANCIERO I</t>
  </si>
  <si>
    <t>14112</t>
  </si>
  <si>
    <t>ASISTENTE ANALISTA FINANCIERO II</t>
  </si>
  <si>
    <t>31420</t>
  </si>
  <si>
    <t>ASISTENTE ASUNTOS LITERARIOS</t>
  </si>
  <si>
    <t>43610</t>
  </si>
  <si>
    <t>ASISTENTE AUXILIAR DE HIDROMETERIOLOGIA</t>
  </si>
  <si>
    <t>79320</t>
  </si>
  <si>
    <t>ASISTENTE AUXILIAR DE SERVICIO SOCIAL</t>
  </si>
  <si>
    <t>13240</t>
  </si>
  <si>
    <t>ASISTENTE CENTRAL DE ORGAN. Y SISTEMAS</t>
  </si>
  <si>
    <t>13311</t>
  </si>
  <si>
    <t>ASISTENTE DE ANALISTA I</t>
  </si>
  <si>
    <t>13312</t>
  </si>
  <si>
    <t>ASISTENTE DE ANALISTA II</t>
  </si>
  <si>
    <t>13313</t>
  </si>
  <si>
    <t>ASISTENTE DE ANALISTA III</t>
  </si>
  <si>
    <t>32410</t>
  </si>
  <si>
    <t>ASISTENTE DE ASUNTOS CINEMATOGRAFICOS</t>
  </si>
  <si>
    <t>35111</t>
  </si>
  <si>
    <t>ASISTENTE DE ASUNTOS LEGALES I</t>
  </si>
  <si>
    <t>35112</t>
  </si>
  <si>
    <t>ASISTENTE DE ASUNTOS LEGALES II</t>
  </si>
  <si>
    <t>36621</t>
  </si>
  <si>
    <t>ASISTENTE DE BIBLIOTECA I</t>
  </si>
  <si>
    <t>36622</t>
  </si>
  <si>
    <t>ASISTENTE DE BIBLIOTECA II</t>
  </si>
  <si>
    <t>36623</t>
  </si>
  <si>
    <t>ASISTENTE DE BIBLIOTECA III</t>
  </si>
  <si>
    <t>42511</t>
  </si>
  <si>
    <t>ASISTENTE DE BIOLOGIA I</t>
  </si>
  <si>
    <t>42512</t>
  </si>
  <si>
    <t>ASISTENTE DE BIOLOGIA II</t>
  </si>
  <si>
    <t>52271</t>
  </si>
  <si>
    <t>ASISTENTE DE CAPITAN DE PUERTO I</t>
  </si>
  <si>
    <t>52272</t>
  </si>
  <si>
    <t>ASISTENTE DE CAPITAN DE PUERTO II</t>
  </si>
  <si>
    <t>31311</t>
  </si>
  <si>
    <t>ASISTENTE DE COMUNICACION SOCIAL I</t>
  </si>
  <si>
    <t>31312</t>
  </si>
  <si>
    <t>ASISTENTE DE COMUNICACION SOCIAL II</t>
  </si>
  <si>
    <t>25850</t>
  </si>
  <si>
    <t>ASISTENTE DE CONTROL FINANCIERO</t>
  </si>
  <si>
    <t>77110</t>
  </si>
  <si>
    <t>ASISTENTE DE DIETETICA</t>
  </si>
  <si>
    <t>36211</t>
  </si>
  <si>
    <t>ASISTENTE DE ECONOMIA I</t>
  </si>
  <si>
    <t>36212</t>
  </si>
  <si>
    <t>ASISTENTE DE ECONOMIA II</t>
  </si>
  <si>
    <t>32120</t>
  </si>
  <si>
    <t>ASISTENTE DE ESCENOGRAFIA</t>
  </si>
  <si>
    <t>36121</t>
  </si>
  <si>
    <t>ASISTENTE DE ESTADISTICA I</t>
  </si>
  <si>
    <t>36122</t>
  </si>
  <si>
    <t>ASISTENTE DE ESTADISTICA II</t>
  </si>
  <si>
    <t>36123</t>
  </si>
  <si>
    <t>ASISTENTE DE ESTADISTICA III</t>
  </si>
  <si>
    <t>46931</t>
  </si>
  <si>
    <t>ASISTENTE DE ESTIMADOR DE ASTILLEROS I</t>
  </si>
  <si>
    <t>46932</t>
  </si>
  <si>
    <t>ASISTENTE DE ESTIMADOR DE ASTILLEROS II</t>
  </si>
  <si>
    <t>74121</t>
  </si>
  <si>
    <t>ASISTENTE DE FARMACIA I</t>
  </si>
  <si>
    <t>74122</t>
  </si>
  <si>
    <t>ASISTENTE DE FARMACIA II</t>
  </si>
  <si>
    <t>42611</t>
  </si>
  <si>
    <t>ASISTENTE DE GUARDAFAUNA I</t>
  </si>
  <si>
    <t>42612</t>
  </si>
  <si>
    <t>ASISTENTE DE GUARDAFAUNA II</t>
  </si>
  <si>
    <t>43621</t>
  </si>
  <si>
    <t>ASISTENTE DE HIDROMETEREOLOGIA I</t>
  </si>
  <si>
    <t>43622</t>
  </si>
  <si>
    <t>ASISTENTE DE HIDROMETERIOLOGIA II</t>
  </si>
  <si>
    <t>43623</t>
  </si>
  <si>
    <t>ASISTENTE DE HIDROMETERIOLOGIA III</t>
  </si>
  <si>
    <t>07</t>
  </si>
  <si>
    <t>86110</t>
  </si>
  <si>
    <t>ASISTENTE DE IDENTIFICACION</t>
  </si>
  <si>
    <t>43480</t>
  </si>
  <si>
    <t>ASISTENTE DE INGENIERIA</t>
  </si>
  <si>
    <t>86210</t>
  </si>
  <si>
    <t>ASISTENTE DE INMIGRACION Y EXTRANJERIA</t>
  </si>
  <si>
    <t>37310</t>
  </si>
  <si>
    <t>ASISTENTE DE INVESTIGADOR DE MUSEO</t>
  </si>
  <si>
    <t>72111</t>
  </si>
  <si>
    <t>ASISTENTE DE LABORATORIO CLINICO I</t>
  </si>
  <si>
    <t>72112</t>
  </si>
  <si>
    <t>ASISTENTE DE LABORATORIO CLINICO II</t>
  </si>
  <si>
    <t>37210</t>
  </si>
  <si>
    <t>ASISTENTE DE MUSEOGRAFIA</t>
  </si>
  <si>
    <t>22211</t>
  </si>
  <si>
    <t>ASISTENTE DE OFICINA I</t>
  </si>
  <si>
    <t>22212</t>
  </si>
  <si>
    <t>ASISTENTE DE OFICINA II</t>
  </si>
  <si>
    <t>72610</t>
  </si>
  <si>
    <t>ASISTENTE DE ORTESIS Y/O PROTESIS</t>
  </si>
  <si>
    <t>17910</t>
  </si>
  <si>
    <t>ASISTENTE DE PRE-ESCOLAR</t>
  </si>
  <si>
    <t>85611</t>
  </si>
  <si>
    <t>ASISTENTE DE PRIMEROS AUXILIOS I</t>
  </si>
  <si>
    <t>85612</t>
  </si>
  <si>
    <t>ASISTENTE DE PRIMEROS AUXILIOS II</t>
  </si>
  <si>
    <t>35210</t>
  </si>
  <si>
    <t>ASISTENTE DE PRODUCCION</t>
  </si>
  <si>
    <t>23410</t>
  </si>
  <si>
    <t>ASISTENTE DE PROGRAMACION</t>
  </si>
  <si>
    <t>37910</t>
  </si>
  <si>
    <t>ASISTENTE DE PROMOTOR CULTURA</t>
  </si>
  <si>
    <t>36710</t>
  </si>
  <si>
    <t>ASISTENTE DE PROMOTOR DE EXPORTACIONES</t>
  </si>
  <si>
    <t>33110</t>
  </si>
  <si>
    <t>ASISTENTE DE PROTOCOLO</t>
  </si>
  <si>
    <t>36311</t>
  </si>
  <si>
    <t>ASISTENTE DE PSICOLOGIA I</t>
  </si>
  <si>
    <t>36312</t>
  </si>
  <si>
    <t>ASISTENTE DE PSICOLOGIA II</t>
  </si>
  <si>
    <t>79110</t>
  </si>
  <si>
    <t>ASISTENTE DE PUERICULTURA</t>
  </si>
  <si>
    <t>72430</t>
  </si>
  <si>
    <t>ASISTENTE DE RAYOS X</t>
  </si>
  <si>
    <t>31330</t>
  </si>
  <si>
    <t>ASISTENTE DE RELACIONES PUBLICAS</t>
  </si>
  <si>
    <t>37410</t>
  </si>
  <si>
    <t>ASISTENTE DE RESTAURACION</t>
  </si>
  <si>
    <t>76220</t>
  </si>
  <si>
    <t>ASISTENTE DE SALUD PUBLICA</t>
  </si>
  <si>
    <t>79330</t>
  </si>
  <si>
    <t>ASISTENTE DE SERVICIO SOCIAL</t>
  </si>
  <si>
    <t>72510</t>
  </si>
  <si>
    <t>ASISTENTE DE TERAPIA</t>
  </si>
  <si>
    <t>43110</t>
  </si>
  <si>
    <t>ASISTENTE DE TOPOGRAFO</t>
  </si>
  <si>
    <t>78110</t>
  </si>
  <si>
    <t>ASISTENTE DE VETERINARIA</t>
  </si>
  <si>
    <t>31221</t>
  </si>
  <si>
    <t>ASISTENTE ESPECIALISTA EN INFORMACION I</t>
  </si>
  <si>
    <t>31222</t>
  </si>
  <si>
    <t>ASISTENTE ESPECIALISTA EN INFORMACION II</t>
  </si>
  <si>
    <t>21531</t>
  </si>
  <si>
    <t>ASISTENTE HABILITADO I</t>
  </si>
  <si>
    <t>21532</t>
  </si>
  <si>
    <t>ASISTENTE HABILITADO II</t>
  </si>
  <si>
    <t>47213</t>
  </si>
  <si>
    <t>ASISTENTE MATEMATICA III</t>
  </si>
  <si>
    <t>47211</t>
  </si>
  <si>
    <t>ASISTENTE MATEMATICAS I</t>
  </si>
  <si>
    <t>47212</t>
  </si>
  <si>
    <t>ASISTENTE MATEMATICAS II</t>
  </si>
  <si>
    <t>42620</t>
  </si>
  <si>
    <t>ASISTENTE TECNICO DE GUARDAFAUNA</t>
  </si>
  <si>
    <t>43491</t>
  </si>
  <si>
    <t>ASISTENTE TECNICO DE INGENIERIA I</t>
  </si>
  <si>
    <t>43492</t>
  </si>
  <si>
    <t>ASISTENTE TECNICO DE INGENIERIA II</t>
  </si>
  <si>
    <t>46110</t>
  </si>
  <si>
    <t>ASISTENTE TECNICO EN REPARACION Y MANTE.</t>
  </si>
  <si>
    <t>47110</t>
  </si>
  <si>
    <t>ASTRONOMO</t>
  </si>
  <si>
    <t>21211</t>
  </si>
  <si>
    <t>AUDITOR I</t>
  </si>
  <si>
    <t>21212</t>
  </si>
  <si>
    <t>AUDITOR II</t>
  </si>
  <si>
    <t>21213</t>
  </si>
  <si>
    <t>AUDITOR III</t>
  </si>
  <si>
    <t>21214</t>
  </si>
  <si>
    <t>AUDITOR IV</t>
  </si>
  <si>
    <t>21220</t>
  </si>
  <si>
    <t>AUDITOR JEFE</t>
  </si>
  <si>
    <t>37950</t>
  </si>
  <si>
    <t>AUTOGRAFISTA</t>
  </si>
  <si>
    <t>02043</t>
  </si>
  <si>
    <t>43221</t>
  </si>
  <si>
    <t>AVALUADOR DE INMUEBLES I</t>
  </si>
  <si>
    <t>43222</t>
  </si>
  <si>
    <t>AVALUADOR DE INMUEBLES II</t>
  </si>
  <si>
    <t>43223</t>
  </si>
  <si>
    <t>AVALUADOR DE INMUEBLES III</t>
  </si>
  <si>
    <t>43230</t>
  </si>
  <si>
    <t>AVALUADOR DE INMUEBLES JEFE</t>
  </si>
  <si>
    <t>36631</t>
  </si>
  <si>
    <t>BIBLIOTECOLOGO I</t>
  </si>
  <si>
    <t>36632</t>
  </si>
  <si>
    <t>BIBLIOTECOLOGO II</t>
  </si>
  <si>
    <t>36633</t>
  </si>
  <si>
    <t>BIBLIOTECOLOGO III</t>
  </si>
  <si>
    <t>36634</t>
  </si>
  <si>
    <t>BIBLIOTECOLOGO IV</t>
  </si>
  <si>
    <t>72221</t>
  </si>
  <si>
    <t>BIOANALISTA I</t>
  </si>
  <si>
    <t>72222</t>
  </si>
  <si>
    <t>BIOANALISTA II</t>
  </si>
  <si>
    <t>72223</t>
  </si>
  <si>
    <t>BIOANALISTA III</t>
  </si>
  <si>
    <t>72224</t>
  </si>
  <si>
    <t>BIOANALISTA IV</t>
  </si>
  <si>
    <t>72225</t>
  </si>
  <si>
    <t>BIOANALISTA V</t>
  </si>
  <si>
    <t>72226</t>
  </si>
  <si>
    <t>BIOANALISTA VI</t>
  </si>
  <si>
    <t>42521</t>
  </si>
  <si>
    <t>BIOLOGO I</t>
  </si>
  <si>
    <t>42522</t>
  </si>
  <si>
    <t>BIOLOGO II</t>
  </si>
  <si>
    <t>42523</t>
  </si>
  <si>
    <t>BIOLOGO III</t>
  </si>
  <si>
    <t>42530</t>
  </si>
  <si>
    <t>BIOLOGO JEFE</t>
  </si>
  <si>
    <t>03520</t>
  </si>
  <si>
    <t>BOMBARDINO SOLISTA</t>
  </si>
  <si>
    <t>62920</t>
  </si>
  <si>
    <t>BOMBERO (BOMBERO)</t>
  </si>
  <si>
    <t>BO</t>
  </si>
  <si>
    <t>81111</t>
  </si>
  <si>
    <t>BOMBERO I</t>
  </si>
  <si>
    <t>81112</t>
  </si>
  <si>
    <t>BOMBERO II</t>
  </si>
  <si>
    <t>81113</t>
  </si>
  <si>
    <t>BOMBERO III</t>
  </si>
  <si>
    <t>81114</t>
  </si>
  <si>
    <t>BOMBERO IV</t>
  </si>
  <si>
    <t>81121</t>
  </si>
  <si>
    <t>BOMBERO JEFE I</t>
  </si>
  <si>
    <t>09</t>
  </si>
  <si>
    <t>81122</t>
  </si>
  <si>
    <t>BOMBERO JEFE II</t>
  </si>
  <si>
    <t>03614</t>
  </si>
  <si>
    <t>BOMBO 3</t>
  </si>
  <si>
    <t>41631</t>
  </si>
  <si>
    <t>BOTANICO I</t>
  </si>
  <si>
    <t>41632</t>
  </si>
  <si>
    <t>BOTANICO II</t>
  </si>
  <si>
    <t>41633</t>
  </si>
  <si>
    <t>BOTANICO III</t>
  </si>
  <si>
    <t>41640</t>
  </si>
  <si>
    <t>BOTANICO JEFE</t>
  </si>
  <si>
    <t>62810</t>
  </si>
  <si>
    <t>CABO 1RO (BOMBERO)</t>
  </si>
  <si>
    <t>62820</t>
  </si>
  <si>
    <t>CABO 2DO (BOMBERO)</t>
  </si>
  <si>
    <t>21511</t>
  </si>
  <si>
    <t>CAJERO I</t>
  </si>
  <si>
    <t>21512</t>
  </si>
  <si>
    <t>CAJERO II</t>
  </si>
  <si>
    <t>21513</t>
  </si>
  <si>
    <t>CAJERO III</t>
  </si>
  <si>
    <t>21520</t>
  </si>
  <si>
    <t>CAJERO JEFE</t>
  </si>
  <si>
    <t>44121</t>
  </si>
  <si>
    <t>CALCULISTA DE HIDROCARBUROS I</t>
  </si>
  <si>
    <t>44122</t>
  </si>
  <si>
    <t>CALCULISTA DE HIDROCARBUROS II</t>
  </si>
  <si>
    <t>44123</t>
  </si>
  <si>
    <t>CALCULISTA DE HIDROCARBUROS III</t>
  </si>
  <si>
    <t>33510</t>
  </si>
  <si>
    <t>CALIGRAFO</t>
  </si>
  <si>
    <t>33311</t>
  </si>
  <si>
    <t>CAPELLAN I</t>
  </si>
  <si>
    <t>33312</t>
  </si>
  <si>
    <t>CAPELLAN II</t>
  </si>
  <si>
    <t>62500</t>
  </si>
  <si>
    <t>CAPITAN (BOMBERO)</t>
  </si>
  <si>
    <t>52480</t>
  </si>
  <si>
    <t>CAPITAN DE HELICOPTERO</t>
  </si>
  <si>
    <t>32455</t>
  </si>
  <si>
    <t>CAPITAN DE JET</t>
  </si>
  <si>
    <t>35420</t>
  </si>
  <si>
    <t>CAPITAN DE PISTON</t>
  </si>
  <si>
    <t>52281</t>
  </si>
  <si>
    <t>CAPITAN DE PUERTOS I</t>
  </si>
  <si>
    <t>52282</t>
  </si>
  <si>
    <t>CAPITAN DE PUERTOS II</t>
  </si>
  <si>
    <t>52385</t>
  </si>
  <si>
    <t>CAPITAN DE REMOLCADOR</t>
  </si>
  <si>
    <t>52395</t>
  </si>
  <si>
    <t>CAPITAN DE TRANSPORTE NAVAL</t>
  </si>
  <si>
    <t>52361</t>
  </si>
  <si>
    <t>CAPITAN I</t>
  </si>
  <si>
    <t>52362</t>
  </si>
  <si>
    <t>CAPITAN II</t>
  </si>
  <si>
    <t>52363</t>
  </si>
  <si>
    <t>CAPITAN III</t>
  </si>
  <si>
    <t>84410</t>
  </si>
  <si>
    <t>CENSOR RADIO Y TV</t>
  </si>
  <si>
    <t>72133</t>
  </si>
  <si>
    <t>CITOTECNOLOG III</t>
  </si>
  <si>
    <t>72131</t>
  </si>
  <si>
    <t>CITOTECNOLOGO I</t>
  </si>
  <si>
    <t>72132</t>
  </si>
  <si>
    <t>CITOTECNOLOGO II</t>
  </si>
  <si>
    <t>03534</t>
  </si>
  <si>
    <t>CLARINETE 1</t>
  </si>
  <si>
    <t>03563</t>
  </si>
  <si>
    <t>CLARINETE 2</t>
  </si>
  <si>
    <t>03606</t>
  </si>
  <si>
    <t>CLARINETE 3</t>
  </si>
  <si>
    <t>03518</t>
  </si>
  <si>
    <t>CLARINETE SOLISTA</t>
  </si>
  <si>
    <t>21611</t>
  </si>
  <si>
    <t>COBRADOR JEFE I</t>
  </si>
  <si>
    <t>21612</t>
  </si>
  <si>
    <t>COBRADOR JEFE II</t>
  </si>
  <si>
    <t>21630</t>
  </si>
  <si>
    <t>COLECTOR</t>
  </si>
  <si>
    <t>62200</t>
  </si>
  <si>
    <t>COMANDANTE</t>
  </si>
  <si>
    <t>52485</t>
  </si>
  <si>
    <t>COMANDANTE DE HELICOPTERO</t>
  </si>
  <si>
    <t>52460</t>
  </si>
  <si>
    <t>COMANDANTE DE JET</t>
  </si>
  <si>
    <t>52440</t>
  </si>
  <si>
    <t>COMANDANTE DE TURBO</t>
  </si>
  <si>
    <t>00917</t>
  </si>
  <si>
    <t>COMISIONADO ASUNTOS INTERINSTITUCIONALES</t>
  </si>
  <si>
    <t>84310</t>
  </si>
  <si>
    <t>COMISIONADO DEL TRABAJO</t>
  </si>
  <si>
    <t>84311</t>
  </si>
  <si>
    <t>COMISIONADO ESPECIAL DE TRABAJO I</t>
  </si>
  <si>
    <t>84312</t>
  </si>
  <si>
    <t>COMISIONADO ESPECIAL DE TRABAJO II</t>
  </si>
  <si>
    <t>00001</t>
  </si>
  <si>
    <t>COMISIONADO</t>
  </si>
  <si>
    <t>25311</t>
  </si>
  <si>
    <t>COMPRADOR I</t>
  </si>
  <si>
    <t>25312</t>
  </si>
  <si>
    <t>COMPRADOR II</t>
  </si>
  <si>
    <t>25313</t>
  </si>
  <si>
    <t>COMPRADOR III</t>
  </si>
  <si>
    <t>25321</t>
  </si>
  <si>
    <t>COMPRADOR JEFE I</t>
  </si>
  <si>
    <t>25322</t>
  </si>
  <si>
    <t>COMPRADOR JEFE II</t>
  </si>
  <si>
    <t>31321</t>
  </si>
  <si>
    <t>COMUNICADOR SOCIAL I</t>
  </si>
  <si>
    <t>31322</t>
  </si>
  <si>
    <t>COMUNICADOR SOCIAL II</t>
  </si>
  <si>
    <t>31323</t>
  </si>
  <si>
    <t>COMUNICADOR SOCIAL III</t>
  </si>
  <si>
    <t>00924</t>
  </si>
  <si>
    <t>CONSULTOR JURIDICO</t>
  </si>
  <si>
    <t>21111</t>
  </si>
  <si>
    <t>CONTABILISTA I</t>
  </si>
  <si>
    <t>21112</t>
  </si>
  <si>
    <t>CONTABILISTA II</t>
  </si>
  <si>
    <t>21113</t>
  </si>
  <si>
    <t>CONTABILISTA III</t>
  </si>
  <si>
    <t>21131</t>
  </si>
  <si>
    <t>CONTADOR I</t>
  </si>
  <si>
    <t>21132</t>
  </si>
  <si>
    <t>CONTADOR II</t>
  </si>
  <si>
    <t>21133</t>
  </si>
  <si>
    <t>CONTADOR III</t>
  </si>
  <si>
    <t>21134</t>
  </si>
  <si>
    <t>CONTADOR IV</t>
  </si>
  <si>
    <t>21140</t>
  </si>
  <si>
    <t>CONTADOR JEFE</t>
  </si>
  <si>
    <t>02057</t>
  </si>
  <si>
    <t>CONTRABAJO</t>
  </si>
  <si>
    <t>03558</t>
  </si>
  <si>
    <t>CONTRABAJO 1</t>
  </si>
  <si>
    <t>03559</t>
  </si>
  <si>
    <t>CONTRABAJO II</t>
  </si>
  <si>
    <t>85211</t>
  </si>
  <si>
    <t>CONTROLADOR DE ARMAS Y EXPLOSIVOS I</t>
  </si>
  <si>
    <t>85212</t>
  </si>
  <si>
    <t>CONTROLADOR DE ARMAS Y EXPLOSIVOS II</t>
  </si>
  <si>
    <t>85213</t>
  </si>
  <si>
    <t>CONTROLADOR DE ARMAS Y EXPLOSIVOS III</t>
  </si>
  <si>
    <t>51621</t>
  </si>
  <si>
    <t>CONTROLADOR DE TRANSITO AEREO I</t>
  </si>
  <si>
    <t>51622</t>
  </si>
  <si>
    <t>CONTROLADOR DE TRANSITO AEREO II</t>
  </si>
  <si>
    <t>51623</t>
  </si>
  <si>
    <t>CONTROLADOR DE TRANSITO AEREO III</t>
  </si>
  <si>
    <t>51624</t>
  </si>
  <si>
    <t>CONTROLADOR DE TRANSITO AEREO IV</t>
  </si>
  <si>
    <t>51631</t>
  </si>
  <si>
    <t>CONTROLADOR DE TRANSITO AEREO JEFE I</t>
  </si>
  <si>
    <t>51632</t>
  </si>
  <si>
    <t>CONTROLADOR DE TRANSITO AEREO JEFE II</t>
  </si>
  <si>
    <t>51633</t>
  </si>
  <si>
    <t>CONTROLADOR DE TRANSITO AEREO JEFE III</t>
  </si>
  <si>
    <t>51625</t>
  </si>
  <si>
    <t>CONTROLADOR DE TRANSITO AEREO V</t>
  </si>
  <si>
    <t>51626</t>
  </si>
  <si>
    <t>CONTROLADOR DE TRANSITO AEREO VI</t>
  </si>
  <si>
    <t>35422</t>
  </si>
  <si>
    <t>32421</t>
  </si>
  <si>
    <t>35423</t>
  </si>
  <si>
    <t>00929</t>
  </si>
  <si>
    <t>COORD. DE SEGUIMIENTO Y EVAL. DE POLITICAS PUBLICAS</t>
  </si>
  <si>
    <t>00936</t>
  </si>
  <si>
    <t>COORD. DEL COMITE ESTADAL DE LA VIVIENDA</t>
  </si>
  <si>
    <t>16111</t>
  </si>
  <si>
    <t>16112</t>
  </si>
  <si>
    <t>COORD. DESARROLLO DE RECURSOS HUMANOS II</t>
  </si>
  <si>
    <t>00941</t>
  </si>
  <si>
    <t>COORD. ENTES P Y P DE CULTURA Y DEPORTE</t>
  </si>
  <si>
    <t>36640</t>
  </si>
  <si>
    <t>COORD. RED DE BIBLIOTECAS E INFORM. ESTA</t>
  </si>
  <si>
    <t>15130</t>
  </si>
  <si>
    <t>COORD. REGISTRO NACIONAL PERMANENTE</t>
  </si>
  <si>
    <t>00904</t>
  </si>
  <si>
    <t>COORDINADOR</t>
  </si>
  <si>
    <t>00915</t>
  </si>
  <si>
    <t>COORDINADOR ADMINISTRATIVO</t>
  </si>
  <si>
    <t>33412</t>
  </si>
  <si>
    <t>33413</t>
  </si>
  <si>
    <t>33420</t>
  </si>
  <si>
    <t>84331</t>
  </si>
  <si>
    <t>00913</t>
  </si>
  <si>
    <t>COORDINADOR DE  ASISTENCIA TECNICA</t>
  </si>
  <si>
    <t>37940</t>
  </si>
  <si>
    <t>COORDINADOR DE  FORMACION CULTURAL</t>
  </si>
  <si>
    <t>33411</t>
  </si>
  <si>
    <t>COORDINADOR DE ASUNTOS INTERNACIONALES I</t>
  </si>
  <si>
    <t>84332</t>
  </si>
  <si>
    <t>31430</t>
  </si>
  <si>
    <t>COORDINADOR DE ASUNTOS LITERARIOS</t>
  </si>
  <si>
    <t>79560</t>
  </si>
  <si>
    <t>COORDINADOR DE AYUDA JUVENIL</t>
  </si>
  <si>
    <t>17361</t>
  </si>
  <si>
    <t>COORDINADOR DE CENTRO I</t>
  </si>
  <si>
    <t>17362</t>
  </si>
  <si>
    <t>COORDINADOR DE CENTRO II</t>
  </si>
  <si>
    <t>00925</t>
  </si>
  <si>
    <t>COORDINADOR DE CIENCIAS POLITICAS</t>
  </si>
  <si>
    <t>71380</t>
  </si>
  <si>
    <t>COORDINADOR DE ESCUELAS DE ENFERMERIA</t>
  </si>
  <si>
    <t>00920</t>
  </si>
  <si>
    <t>COORDINADOR DE EVENTOS Y PROTOCOLO</t>
  </si>
  <si>
    <t>17231</t>
  </si>
  <si>
    <t>COORDINADOR DE FORMACION EMPRESARIA I</t>
  </si>
  <si>
    <t>17232</t>
  </si>
  <si>
    <t>COORDINADOR DE FORMACION EMPRESARIAL II</t>
  </si>
  <si>
    <t>17350</t>
  </si>
  <si>
    <t>COORDINADOR DE FORMACION PROFESIONAL</t>
  </si>
  <si>
    <t>85410</t>
  </si>
  <si>
    <t>COORDINADOR DE FRONTERAS</t>
  </si>
  <si>
    <t>16611</t>
  </si>
  <si>
    <t>COORDINADOR DE PROGRAMAS DE FORMACION I</t>
  </si>
  <si>
    <t>16612</t>
  </si>
  <si>
    <t>COORDINADOR DE PROGRAMAS DE FORMACION II</t>
  </si>
  <si>
    <t>32130</t>
  </si>
  <si>
    <t>COORDINADOR DE PROGRAMAS TV</t>
  </si>
  <si>
    <t>33120</t>
  </si>
  <si>
    <t>COORDINADOR DE PROTOCOLO</t>
  </si>
  <si>
    <t>00927</t>
  </si>
  <si>
    <t>COORDINADOR DE RENDICION DE CUENTA</t>
  </si>
  <si>
    <t>31581</t>
  </si>
  <si>
    <t>COORDINADOR DE SERVICIOS TURISTICOS I</t>
  </si>
  <si>
    <t>31582</t>
  </si>
  <si>
    <t>COORDINADOR DE SERVICIOS TURISTICOS II</t>
  </si>
  <si>
    <t>00912</t>
  </si>
  <si>
    <t>COORDINADOR DEFENSA CIVIL</t>
  </si>
  <si>
    <t>31350</t>
  </si>
  <si>
    <t>COORDINADOR PUBLICITARIO</t>
  </si>
  <si>
    <t>79540</t>
  </si>
  <si>
    <t>COORDINADOR RECREACION</t>
  </si>
  <si>
    <t>00914</t>
  </si>
  <si>
    <t>COORDINADOR ZONAL</t>
  </si>
  <si>
    <t>52471</t>
  </si>
  <si>
    <t>COPILOTO DE HELICOPTERO I</t>
  </si>
  <si>
    <t>52472</t>
  </si>
  <si>
    <t>COPILOTO DE HELICOTERO II</t>
  </si>
  <si>
    <t>52411</t>
  </si>
  <si>
    <t>COPILOTO DE PISTON I</t>
  </si>
  <si>
    <t>52412</t>
  </si>
  <si>
    <t>COPILOTO DE PISTON II</t>
  </si>
  <si>
    <t>52430</t>
  </si>
  <si>
    <t>COPILOTO DE TURBO</t>
  </si>
  <si>
    <t>03562</t>
  </si>
  <si>
    <t>COPISTA ARCHIVERO</t>
  </si>
  <si>
    <t>00916</t>
  </si>
  <si>
    <t>CORDINADOR DE ORGANISMOS CULTURALES</t>
  </si>
  <si>
    <t>03582</t>
  </si>
  <si>
    <t>CORNO 2</t>
  </si>
  <si>
    <t>03610</t>
  </si>
  <si>
    <t>CORNO 3</t>
  </si>
  <si>
    <t>03550</t>
  </si>
  <si>
    <t>CORNO I</t>
  </si>
  <si>
    <t>62100</t>
  </si>
  <si>
    <t>CORONEL (BOMBERO)</t>
  </si>
  <si>
    <t>31410</t>
  </si>
  <si>
    <t>CORRECTOR DE ESTILO</t>
  </si>
  <si>
    <t>82111</t>
  </si>
  <si>
    <t>DELEGADO PRUEBA I</t>
  </si>
  <si>
    <t>82112</t>
  </si>
  <si>
    <t>DELEGADO PRUEBA II</t>
  </si>
  <si>
    <t>82113</t>
  </si>
  <si>
    <t>DELEGADO PRUEBA III</t>
  </si>
  <si>
    <t>82114</t>
  </si>
  <si>
    <t>DELEGADO PRUEBA IV</t>
  </si>
  <si>
    <t>82115</t>
  </si>
  <si>
    <t>DELEGADO PRUEBA V</t>
  </si>
  <si>
    <t>79211</t>
  </si>
  <si>
    <t>DEMOSTRADORA DEL HOGAR I</t>
  </si>
  <si>
    <t>79212</t>
  </si>
  <si>
    <t>DEMOSTRADORA DEL HOGAR II</t>
  </si>
  <si>
    <t>79213</t>
  </si>
  <si>
    <t>DEMOSTRADORA DEL HOGAR III</t>
  </si>
  <si>
    <t>79220</t>
  </si>
  <si>
    <t>DEMOSTRADORA DEL HOGAR JEFE</t>
  </si>
  <si>
    <t>21350</t>
  </si>
  <si>
    <t>DEPOSITARIO DE ESPECIES FISCALES</t>
  </si>
  <si>
    <t>21355</t>
  </si>
  <si>
    <t>DEPOSITARIO DE ESPECIES FISCALES JEFE</t>
  </si>
  <si>
    <t>43770</t>
  </si>
  <si>
    <t>DIAGRAMADOR</t>
  </si>
  <si>
    <t>43741</t>
  </si>
  <si>
    <t>DIBUJANTE CARTOGRAFICIO I</t>
  </si>
  <si>
    <t>43742</t>
  </si>
  <si>
    <t>DIBUJANTE CARTOGRAFICO II</t>
  </si>
  <si>
    <t>43743</t>
  </si>
  <si>
    <t>DIBUJANTE CARTOGRAFICO III</t>
  </si>
  <si>
    <t>43744</t>
  </si>
  <si>
    <t>DIBUJANTE CARTOGRAFICO IV</t>
  </si>
  <si>
    <t>43750</t>
  </si>
  <si>
    <t>DIBUJANTE CARTOGRAFICO JEFE</t>
  </si>
  <si>
    <t>43721</t>
  </si>
  <si>
    <t>DIBUJANTE I</t>
  </si>
  <si>
    <t>43722</t>
  </si>
  <si>
    <t>DIBUJANTE II</t>
  </si>
  <si>
    <t>43723</t>
  </si>
  <si>
    <t>DIBUJANTE III</t>
  </si>
  <si>
    <t>43781</t>
  </si>
  <si>
    <t>DIBUJANTE ILUSTRADOR I</t>
  </si>
  <si>
    <t>43782</t>
  </si>
  <si>
    <t>DIBUJANTE ILUSTRADOR II</t>
  </si>
  <si>
    <t>43790</t>
  </si>
  <si>
    <t>DIBUJANTE ILUSTRADOR JEFE</t>
  </si>
  <si>
    <t>43730</t>
  </si>
  <si>
    <t>DIBUJANTE JEFE</t>
  </si>
  <si>
    <t>77121</t>
  </si>
  <si>
    <t>DIETISTA I</t>
  </si>
  <si>
    <t>77122</t>
  </si>
  <si>
    <t>DIETISTA II</t>
  </si>
  <si>
    <t>77123</t>
  </si>
  <si>
    <t>DIETISTA III</t>
  </si>
  <si>
    <t>77124</t>
  </si>
  <si>
    <t>DIETISTA IV</t>
  </si>
  <si>
    <t>77130</t>
  </si>
  <si>
    <t>DIETISTA JEFE</t>
  </si>
  <si>
    <t>00903</t>
  </si>
  <si>
    <t>DIRECTOR</t>
  </si>
  <si>
    <t>03502</t>
  </si>
  <si>
    <t>DIRECTOR DE BANDA</t>
  </si>
  <si>
    <t>71390</t>
  </si>
  <si>
    <t>DIRECTOR DE ESCUELAS DE ENFERMERIA</t>
  </si>
  <si>
    <t>34150</t>
  </si>
  <si>
    <t>DIRECTOR DE PROGRAMAS DE CURSOS</t>
  </si>
  <si>
    <t>32135</t>
  </si>
  <si>
    <t>DIRECTOR DE PROGRAMAS TV</t>
  </si>
  <si>
    <t>43724</t>
  </si>
  <si>
    <t>80000</t>
  </si>
  <si>
    <t>62910</t>
  </si>
  <si>
    <t>DISTINGUIDO (BOMBERO)</t>
  </si>
  <si>
    <t>77141</t>
  </si>
  <si>
    <t>ECONOMA I</t>
  </si>
  <si>
    <t>77142</t>
  </si>
  <si>
    <t>ECONOMA II</t>
  </si>
  <si>
    <t>36221</t>
  </si>
  <si>
    <t>ECONOMISTA I</t>
  </si>
  <si>
    <t>36222</t>
  </si>
  <si>
    <t>ECONOMISTA II</t>
  </si>
  <si>
    <t>36223</t>
  </si>
  <si>
    <t>ECONOMISTA III</t>
  </si>
  <si>
    <t>36231</t>
  </si>
  <si>
    <t>ECONOMISTA JEFE I</t>
  </si>
  <si>
    <t>36232</t>
  </si>
  <si>
    <t>ECONOMISTA JEFE II</t>
  </si>
  <si>
    <t>36233</t>
  </si>
  <si>
    <t>ECONOMISTA JEFE III</t>
  </si>
  <si>
    <t>31360</t>
  </si>
  <si>
    <t>EDITOR</t>
  </si>
  <si>
    <t>31120</t>
  </si>
  <si>
    <t>EDITOR DE NOTICIAS EDUCATIVAS</t>
  </si>
  <si>
    <t>32170</t>
  </si>
  <si>
    <t>EDITOR FILMICO</t>
  </si>
  <si>
    <t>31110</t>
  </si>
  <si>
    <t>EDITOR HISTORICO</t>
  </si>
  <si>
    <t>31370</t>
  </si>
  <si>
    <t>EDITOR JEFE</t>
  </si>
  <si>
    <t>37812</t>
  </si>
  <si>
    <t>ENCUADERNADOR DE CONSERVACION II</t>
  </si>
  <si>
    <t>37813</t>
  </si>
  <si>
    <t>ENCUADERNADOR DE CONSERVACION III</t>
  </si>
  <si>
    <t>37820</t>
  </si>
  <si>
    <t>ENCUADERNADOR DE CONSERVACION JEFE</t>
  </si>
  <si>
    <t>71310</t>
  </si>
  <si>
    <t>ENFERMERA ANESTESISTA</t>
  </si>
  <si>
    <t>71351</t>
  </si>
  <si>
    <t>ENFERMERA DE SALUD PUBLICA I</t>
  </si>
  <si>
    <t>71352</t>
  </si>
  <si>
    <t>ENFERMERA DE SALUD PUBLICA II</t>
  </si>
  <si>
    <t>71353</t>
  </si>
  <si>
    <t>ENFERMERA DE SALUD PUBLICA III</t>
  </si>
  <si>
    <t>71354</t>
  </si>
  <si>
    <t>ENFERMERA DE SALUD PUBLICA IV</t>
  </si>
  <si>
    <t>71362</t>
  </si>
  <si>
    <t>ENFERMERA DE SALUD PUBLICA JEFE II</t>
  </si>
  <si>
    <t>71363</t>
  </si>
  <si>
    <t>ENFERMERA DE SALUD PUBLICA JEFE III</t>
  </si>
  <si>
    <t>71364</t>
  </si>
  <si>
    <t>ENFERMERA DE SALUD PUBLICA JEFE V</t>
  </si>
  <si>
    <t>71355</t>
  </si>
  <si>
    <t>ENFERMERA DE SALUD PUBLICA V</t>
  </si>
  <si>
    <t>71321</t>
  </si>
  <si>
    <t>ENFERMERA HEMOTERAPISTA I</t>
  </si>
  <si>
    <t>71322</t>
  </si>
  <si>
    <t>ENFERMERA HEMOTERAPISTA II</t>
  </si>
  <si>
    <t>71323</t>
  </si>
  <si>
    <t>ENFERMERA HEMOTERAPISTA III</t>
  </si>
  <si>
    <t>71331</t>
  </si>
  <si>
    <t>ENFERMERA I</t>
  </si>
  <si>
    <t>71332</t>
  </si>
  <si>
    <t>ENFERMERA II</t>
  </si>
  <si>
    <t>71333</t>
  </si>
  <si>
    <t>ENFERMERA III</t>
  </si>
  <si>
    <t>71341</t>
  </si>
  <si>
    <t>ENFERMERA JEFE I</t>
  </si>
  <si>
    <t>71342</t>
  </si>
  <si>
    <t>ENFERMERA JEFE II</t>
  </si>
  <si>
    <t>71343</t>
  </si>
  <si>
    <t>ENFERMERA JEFE III</t>
  </si>
  <si>
    <t>34232</t>
  </si>
  <si>
    <t>34231</t>
  </si>
  <si>
    <t>ENTRENADOR DEPORTIVO I</t>
  </si>
  <si>
    <t>34233</t>
  </si>
  <si>
    <t>ENTRENADOR DEPORTIVO III</t>
  </si>
  <si>
    <t>34234</t>
  </si>
  <si>
    <t>ENTRENADOR DEPORTIVO IV</t>
  </si>
  <si>
    <t>34235</t>
  </si>
  <si>
    <t>ENTRENADOR DEPORTIVO V</t>
  </si>
  <si>
    <t>34236</t>
  </si>
  <si>
    <t>ENTRENADOR DEPORTIVO VI</t>
  </si>
  <si>
    <t>34237</t>
  </si>
  <si>
    <t>ENTRENADOR DEPORTIVO VII</t>
  </si>
  <si>
    <t>32125</t>
  </si>
  <si>
    <t>ESCENOGRAFO</t>
  </si>
  <si>
    <t>35231</t>
  </si>
  <si>
    <t>ESCRIBIENTE DE REGISTRO I</t>
  </si>
  <si>
    <t>35232</t>
  </si>
  <si>
    <t>ESCRIBIENTE DE REGISTROS  II</t>
  </si>
  <si>
    <t>12310</t>
  </si>
  <si>
    <t>ESPECIALISTA EN ASISTENCIA TECNICA</t>
  </si>
  <si>
    <t>41311</t>
  </si>
  <si>
    <t>ESPECIALISTA EN EXTENSION I</t>
  </si>
  <si>
    <t>41312</t>
  </si>
  <si>
    <t>ESPECIALISTA EN EXTENSION II</t>
  </si>
  <si>
    <t>41313</t>
  </si>
  <si>
    <t>ESPECIALISTA EN EXTENSION III</t>
  </si>
  <si>
    <t>41314</t>
  </si>
  <si>
    <t>ESPECIALISTA EN EXTENSION IV</t>
  </si>
  <si>
    <t>31231</t>
  </si>
  <si>
    <t>ESPECIALISTA EN INFORMACION I</t>
  </si>
  <si>
    <t>31232</t>
  </si>
  <si>
    <t>ESPECIALISTA EN INFORMACION II</t>
  </si>
  <si>
    <t>31233</t>
  </si>
  <si>
    <t>ESPECIALISTA EN INFORMACION III</t>
  </si>
  <si>
    <t>23471</t>
  </si>
  <si>
    <t>ESPECIALISTA EN INFORMATICA I</t>
  </si>
  <si>
    <t>23472</t>
  </si>
  <si>
    <t>ESPECIALISTA EN INFORMATICA II</t>
  </si>
  <si>
    <t>36131</t>
  </si>
  <si>
    <t>ESTADISTICO I</t>
  </si>
  <si>
    <t>36132</t>
  </si>
  <si>
    <t>ESTADISTICO II</t>
  </si>
  <si>
    <t>36133</t>
  </si>
  <si>
    <t>ESTADISTICO III</t>
  </si>
  <si>
    <t>36141</t>
  </si>
  <si>
    <t>ESTADISTICO JEFE I</t>
  </si>
  <si>
    <t>36142</t>
  </si>
  <si>
    <t>ESTADISTICO JEFE II</t>
  </si>
  <si>
    <t>46960</t>
  </si>
  <si>
    <t>ESTIMADOR DE ASTILLEROS</t>
  </si>
  <si>
    <t>25810</t>
  </si>
  <si>
    <t>EXAMINADOR AUXILIADOR DE BANCO</t>
  </si>
  <si>
    <t>25821</t>
  </si>
  <si>
    <t>EXAMINADOR DE BANCOS I</t>
  </si>
  <si>
    <t>25822</t>
  </si>
  <si>
    <t>EXAMINADOR DE BANCOS II</t>
  </si>
  <si>
    <t>25823</t>
  </si>
  <si>
    <t>EXAMINADOR DE BANCOS III</t>
  </si>
  <si>
    <t>25824</t>
  </si>
  <si>
    <t>EXAMINADOR DE BANCOS IV</t>
  </si>
  <si>
    <t>25830</t>
  </si>
  <si>
    <t>EXAMINADOR DE BANCOS JEFE</t>
  </si>
  <si>
    <t>25825</t>
  </si>
  <si>
    <t>EXAMINADOR DE BANCOS V</t>
  </si>
  <si>
    <t>21641</t>
  </si>
  <si>
    <t>EXPENDEDOR DE ESPECIES FISCALES I</t>
  </si>
  <si>
    <t>21642</t>
  </si>
  <si>
    <t>EXPENDEDOR DE ESPECIES FISCALES II</t>
  </si>
  <si>
    <t>03542</t>
  </si>
  <si>
    <t>FAGOT 1</t>
  </si>
  <si>
    <t>03568</t>
  </si>
  <si>
    <t>FAGOT 2</t>
  </si>
  <si>
    <t>74211</t>
  </si>
  <si>
    <t>FARMACEUTICO I</t>
  </si>
  <si>
    <t>74212</t>
  </si>
  <si>
    <t>FARMACEUTICO II</t>
  </si>
  <si>
    <t>74213</t>
  </si>
  <si>
    <t>FARMACEUTICO III</t>
  </si>
  <si>
    <t>74221</t>
  </si>
  <si>
    <t>FARMACEUTICO JEFE I</t>
  </si>
  <si>
    <t>74222</t>
  </si>
  <si>
    <t>FARMACEUTICO JEFE II</t>
  </si>
  <si>
    <t>74231</t>
  </si>
  <si>
    <t>FARMACOLOGO I</t>
  </si>
  <si>
    <t>74232</t>
  </si>
  <si>
    <t>FARMACOLOGO II</t>
  </si>
  <si>
    <t>74233</t>
  </si>
  <si>
    <t>FARMACOLOGO III</t>
  </si>
  <si>
    <t>74240</t>
  </si>
  <si>
    <t>FARMACOLOGO JEFE</t>
  </si>
  <si>
    <t>25710</t>
  </si>
  <si>
    <t>FISCAL DE BIENES COMERCIALES</t>
  </si>
  <si>
    <t>21651</t>
  </si>
  <si>
    <t>FISCAL DE COTIZACIONES I</t>
  </si>
  <si>
    <t>21652</t>
  </si>
  <si>
    <t>FISCAL DE COTIZACIONES II</t>
  </si>
  <si>
    <t>21380</t>
  </si>
  <si>
    <t>FISCAL DE EMPRESAS</t>
  </si>
  <si>
    <t>51351</t>
  </si>
  <si>
    <t>FISCAL DE PREVENSION Y VIGILANCIA I</t>
  </si>
  <si>
    <t>51352</t>
  </si>
  <si>
    <t>FISCAL DE PREVENSION Y VIGILANCIA II</t>
  </si>
  <si>
    <t>51360</t>
  </si>
  <si>
    <t>FISCAL DE PREVENSION Y VIGILANCIA JEFE</t>
  </si>
  <si>
    <t>21321</t>
  </si>
  <si>
    <t>FISCAL DE RENTAS I</t>
  </si>
  <si>
    <t>21322</t>
  </si>
  <si>
    <t>FISCAL DE RENTAS II</t>
  </si>
  <si>
    <t>21323</t>
  </si>
  <si>
    <t>FISCAL DE RENTAS III</t>
  </si>
  <si>
    <t>21324</t>
  </si>
  <si>
    <t>FISCAL DE RENTAS IV</t>
  </si>
  <si>
    <t>21335</t>
  </si>
  <si>
    <t>FISCAL DE RENTAS JEFE</t>
  </si>
  <si>
    <t>21325</t>
  </si>
  <si>
    <t>FISCAL DE RENTAS V</t>
  </si>
  <si>
    <t>21371</t>
  </si>
  <si>
    <t>FISCAL TECNICO I</t>
  </si>
  <si>
    <t>21372</t>
  </si>
  <si>
    <t>FISCAL TECNICO II</t>
  </si>
  <si>
    <t>21373</t>
  </si>
  <si>
    <t>FISCAL TECNICO III</t>
  </si>
  <si>
    <t>21375</t>
  </si>
  <si>
    <t>FISCAL TECNICO JEFE</t>
  </si>
  <si>
    <t>72531</t>
  </si>
  <si>
    <t>FISIOTERAPEUTA I</t>
  </si>
  <si>
    <t>75532</t>
  </si>
  <si>
    <t>FISIOTERAPEUTA II</t>
  </si>
  <si>
    <t>72533</t>
  </si>
  <si>
    <t>FISIOTERAPEUTA III</t>
  </si>
  <si>
    <t>72534</t>
  </si>
  <si>
    <t>FISIOTERAPEUTA IV</t>
  </si>
  <si>
    <t>03538</t>
  </si>
  <si>
    <t>FLAUTA 1</t>
  </si>
  <si>
    <t>03564</t>
  </si>
  <si>
    <t>FLAUTA 2</t>
  </si>
  <si>
    <t>17510</t>
  </si>
  <si>
    <t>FORMADOR DE INSTRUCTORES</t>
  </si>
  <si>
    <t>37711</t>
  </si>
  <si>
    <t>FOTOGRAFO ARTISTICO I</t>
  </si>
  <si>
    <t>37712</t>
  </si>
  <si>
    <t>FOTOGRAFO ARTISTICO II</t>
  </si>
  <si>
    <t>45251</t>
  </si>
  <si>
    <t>FOTOGRAFO I</t>
  </si>
  <si>
    <t>45252</t>
  </si>
  <si>
    <t>FOTOGRAFO II</t>
  </si>
  <si>
    <t>45253</t>
  </si>
  <si>
    <t>FOTOGRAFO III</t>
  </si>
  <si>
    <t>45281</t>
  </si>
  <si>
    <t>FOTOGRAMETRISTA I</t>
  </si>
  <si>
    <t>45282</t>
  </si>
  <si>
    <t>FOTOGRAMETRISTA II</t>
  </si>
  <si>
    <t>45283</t>
  </si>
  <si>
    <t>FOTOGRAMETRISTA III</t>
  </si>
  <si>
    <t>45284</t>
  </si>
  <si>
    <t>FOTOGRAMETRISTA IV</t>
  </si>
  <si>
    <t>45290</t>
  </si>
  <si>
    <t>FOTOGRAMETRISTA JEFE</t>
  </si>
  <si>
    <t>44381</t>
  </si>
  <si>
    <t>GEMOLOGO I</t>
  </si>
  <si>
    <t>44382</t>
  </si>
  <si>
    <t>GEMOLOGO II</t>
  </si>
  <si>
    <t>36511</t>
  </si>
  <si>
    <t>GEOGRAFO I</t>
  </si>
  <si>
    <t>36512</t>
  </si>
  <si>
    <t>GEOGRAFO II</t>
  </si>
  <si>
    <t>36513</t>
  </si>
  <si>
    <t>GEOGRAFO III</t>
  </si>
  <si>
    <t>44341</t>
  </si>
  <si>
    <t>GEOLOGO I</t>
  </si>
  <si>
    <t>44342</t>
  </si>
  <si>
    <t>GEOLOGO II</t>
  </si>
  <si>
    <t>44343</t>
  </si>
  <si>
    <t>GEOLOGO III</t>
  </si>
  <si>
    <t>44351</t>
  </si>
  <si>
    <t>GEOLOGO JEFE I</t>
  </si>
  <si>
    <t>44352</t>
  </si>
  <si>
    <t>GEOLOGO JEFE II</t>
  </si>
  <si>
    <t>00900</t>
  </si>
  <si>
    <t>GOBERNADOR</t>
  </si>
  <si>
    <t>42631</t>
  </si>
  <si>
    <t>GUARDAFAUNA I</t>
  </si>
  <si>
    <t>42632</t>
  </si>
  <si>
    <t>GUARDAFAUNA II</t>
  </si>
  <si>
    <t>42633</t>
  </si>
  <si>
    <t>GUARDAFAUNA III</t>
  </si>
  <si>
    <t>79511</t>
  </si>
  <si>
    <t>GUIA DE CENTRO I</t>
  </si>
  <si>
    <t>79512</t>
  </si>
  <si>
    <t>GUIA DE CENTRO II</t>
  </si>
  <si>
    <t>21541</t>
  </si>
  <si>
    <t>HABILITADO I</t>
  </si>
  <si>
    <t>21542</t>
  </si>
  <si>
    <t>HABILITADO II</t>
  </si>
  <si>
    <t>21543</t>
  </si>
  <si>
    <t>HABILITADO III</t>
  </si>
  <si>
    <t>21550</t>
  </si>
  <si>
    <t>HABILITADO JEFE</t>
  </si>
  <si>
    <t>43911</t>
  </si>
  <si>
    <t>HIDROGRAFO I</t>
  </si>
  <si>
    <t>43916</t>
  </si>
  <si>
    <t>HIDROGRAFO II</t>
  </si>
  <si>
    <t>43920</t>
  </si>
  <si>
    <t>HIDROGRAFO JEFE</t>
  </si>
  <si>
    <t>43631</t>
  </si>
  <si>
    <t>HIDROMETEOROLOGISTA I</t>
  </si>
  <si>
    <t>43632</t>
  </si>
  <si>
    <t>HIDROMETEOROLOGISTA II</t>
  </si>
  <si>
    <t>43633</t>
  </si>
  <si>
    <t>HIDROMETEOROLOGISTA III</t>
  </si>
  <si>
    <t>73121</t>
  </si>
  <si>
    <t>HIGIENISTA DENTAL I</t>
  </si>
  <si>
    <t>73122</t>
  </si>
  <si>
    <t>HIGIENISTA DENTAL II</t>
  </si>
  <si>
    <t>51361</t>
  </si>
  <si>
    <t>INFORMADOR DE AEROPUERTO I</t>
  </si>
  <si>
    <t>51362</t>
  </si>
  <si>
    <t>INFORMADOR DE AEROPUERTO II</t>
  </si>
  <si>
    <t>71111</t>
  </si>
  <si>
    <t>INFORMADOR TURISTICO  I</t>
  </si>
  <si>
    <t>31521</t>
  </si>
  <si>
    <t>INFORMADOR TURISTICO I</t>
  </si>
  <si>
    <t>31522</t>
  </si>
  <si>
    <t>INFORMADOR TURISTICO II</t>
  </si>
  <si>
    <t>31523</t>
  </si>
  <si>
    <t>INFORMADOR TURISTICO III</t>
  </si>
  <si>
    <t>31524</t>
  </si>
  <si>
    <t>INFORMADOR TURISTICO IV</t>
  </si>
  <si>
    <t>31530</t>
  </si>
  <si>
    <t>INFORMADOR TURISTICO JEFE</t>
  </si>
  <si>
    <t>46411</t>
  </si>
  <si>
    <t>INGENIERO AERONAUTICO I</t>
  </si>
  <si>
    <t>46412</t>
  </si>
  <si>
    <t>INGENIERO AERONAUTICO II</t>
  </si>
  <si>
    <t>41151</t>
  </si>
  <si>
    <t>INGENIERO AGRONOMO I</t>
  </si>
  <si>
    <t>41152</t>
  </si>
  <si>
    <t>INGENIERO AGRONOMO II</t>
  </si>
  <si>
    <t>41153</t>
  </si>
  <si>
    <t>INGENIERO AGRONOMO III</t>
  </si>
  <si>
    <t>41154</t>
  </si>
  <si>
    <t>INGENIERO AGRONOMO IV</t>
  </si>
  <si>
    <t>41160</t>
  </si>
  <si>
    <t>INGENIERO AGRONOMO JEFE</t>
  </si>
  <si>
    <t>41155</t>
  </si>
  <si>
    <t>INGENIERO AGRONOMO V</t>
  </si>
  <si>
    <t>43421</t>
  </si>
  <si>
    <t>INGENIERO CIVIL I</t>
  </si>
  <si>
    <t>43422</t>
  </si>
  <si>
    <t>INGENIERO CIVIL II</t>
  </si>
  <si>
    <t>43423</t>
  </si>
  <si>
    <t>INGENIERO CIVIL III</t>
  </si>
  <si>
    <t>43431</t>
  </si>
  <si>
    <t>INGENIERO CIVIL JEFE I</t>
  </si>
  <si>
    <t>43432</t>
  </si>
  <si>
    <t>INGENIERO CIVIL JEFE II</t>
  </si>
  <si>
    <t>43433</t>
  </si>
  <si>
    <t>INGENIERO CIVIL JEFE III</t>
  </si>
  <si>
    <t>44411</t>
  </si>
  <si>
    <t>INGENIERO DE MINA I</t>
  </si>
  <si>
    <t>44412</t>
  </si>
  <si>
    <t>INGENIERO DE MINAS II</t>
  </si>
  <si>
    <t>44413</t>
  </si>
  <si>
    <t>INGENIERO DE MINAS III</t>
  </si>
  <si>
    <t>44421</t>
  </si>
  <si>
    <t>INGENIERO DE MINAS JEFE I</t>
  </si>
  <si>
    <t>44422</t>
  </si>
  <si>
    <t>INGENIERO DE MINAS JEFE II</t>
  </si>
  <si>
    <t>46511</t>
  </si>
  <si>
    <t>INGENIERO ELECTRICISTA I</t>
  </si>
  <si>
    <t>46512</t>
  </si>
  <si>
    <t>INGENIERO ELECTRICISTA II</t>
  </si>
  <si>
    <t>46513</t>
  </si>
  <si>
    <t>INGENIERO ELECTRICISTA III</t>
  </si>
  <si>
    <t>46520</t>
  </si>
  <si>
    <t>INGENIERO ELECTRICISTA JEFE</t>
  </si>
  <si>
    <t>41721</t>
  </si>
  <si>
    <t>INGENIERO FORESTAL I</t>
  </si>
  <si>
    <t>41722</t>
  </si>
  <si>
    <t>INGENIERO FORESTAL II</t>
  </si>
  <si>
    <t>41723</t>
  </si>
  <si>
    <t>INGENIERO FORESTAL III</t>
  </si>
  <si>
    <t>41731</t>
  </si>
  <si>
    <t>INGENIERO FORESTAL JEFE I</t>
  </si>
  <si>
    <t>41732</t>
  </si>
  <si>
    <t>INGENIERO FORESTAL JEFE II</t>
  </si>
  <si>
    <t>44436</t>
  </si>
  <si>
    <t>INGENIERO GEODESTA I</t>
  </si>
  <si>
    <t>44362</t>
  </si>
  <si>
    <t>INGENIERO GEODESTA II</t>
  </si>
  <si>
    <t>44363</t>
  </si>
  <si>
    <t>INGENIERO GEODESTA III</t>
  </si>
  <si>
    <t>44371</t>
  </si>
  <si>
    <t>INGENIERO GEODESTA JEFE I</t>
  </si>
  <si>
    <t>44372</t>
  </si>
  <si>
    <t>INGENIERO GEODESTA JEFE II</t>
  </si>
  <si>
    <t>43651</t>
  </si>
  <si>
    <t>INGENIERO HIDROMETEOROLISTA JEFE I</t>
  </si>
  <si>
    <t>43652</t>
  </si>
  <si>
    <t>INGENIERO HIDROMETEOROLISTA JEFE II</t>
  </si>
  <si>
    <t>43641</t>
  </si>
  <si>
    <t>INGENIERO HIDROMETEOROLOGISTA I</t>
  </si>
  <si>
    <t>43642</t>
  </si>
  <si>
    <t>INGENIERO HIDROMETEOROLOSTA II</t>
  </si>
  <si>
    <t>43643</t>
  </si>
  <si>
    <t>INGENIERO HIROMETEROLOGISTA III</t>
  </si>
  <si>
    <t>46611</t>
  </si>
  <si>
    <t>INGENIERO INDUSTRIAL I</t>
  </si>
  <si>
    <t>46612</t>
  </si>
  <si>
    <t>INGENIERO INDUSTRIAL II</t>
  </si>
  <si>
    <t>46613</t>
  </si>
  <si>
    <t>INGENIERO INDUSTRIAL III</t>
  </si>
  <si>
    <t>46311</t>
  </si>
  <si>
    <t>INGENIERO MECANICO I</t>
  </si>
  <si>
    <t>46312</t>
  </si>
  <si>
    <t>INGENIERO MECANICO II</t>
  </si>
  <si>
    <t>46313</t>
  </si>
  <si>
    <t>INGENIERO MECANICO III</t>
  </si>
  <si>
    <t>46320</t>
  </si>
  <si>
    <t>INGENIERO MECANICO JEFE</t>
  </si>
  <si>
    <t>44210</t>
  </si>
  <si>
    <t>INGENIERO METALURGICO</t>
  </si>
  <si>
    <t>46811</t>
  </si>
  <si>
    <t>INGENIERO NAVAL I</t>
  </si>
  <si>
    <t>46812</t>
  </si>
  <si>
    <t>INGENIERO NAVAL II</t>
  </si>
  <si>
    <t>46813</t>
  </si>
  <si>
    <t>INGENIERO NAVAL III</t>
  </si>
  <si>
    <t>46820</t>
  </si>
  <si>
    <t>INGENIERO NAVAL JEFE</t>
  </si>
  <si>
    <t>46711</t>
  </si>
  <si>
    <t>INGENIERO NUCLEAR I</t>
  </si>
  <si>
    <t>46712</t>
  </si>
  <si>
    <t>INGENIERO NUCLEAR II</t>
  </si>
  <si>
    <t>46713</t>
  </si>
  <si>
    <t>INGENIERO NUCLEAR III</t>
  </si>
  <si>
    <t>46720</t>
  </si>
  <si>
    <t>INGENIERO NUCLEAR JEFE</t>
  </si>
  <si>
    <t>44521</t>
  </si>
  <si>
    <t>INGENIERO PETROLERO I</t>
  </si>
  <si>
    <t>44522</t>
  </si>
  <si>
    <t>INGENIERO PETROLERO II</t>
  </si>
  <si>
    <t>44523</t>
  </si>
  <si>
    <t>INGENIERO PETROLERO III</t>
  </si>
  <si>
    <t>44531</t>
  </si>
  <si>
    <t>INGENIERO PETROLERO JEFE I</t>
  </si>
  <si>
    <t>44532</t>
  </si>
  <si>
    <t>INGENIERO PETROLERO JEFE II</t>
  </si>
  <si>
    <t>44741</t>
  </si>
  <si>
    <t>INGENIERO QUIMICO I</t>
  </si>
  <si>
    <t>44742</t>
  </si>
  <si>
    <t>INGENIERO QUIMICO II</t>
  </si>
  <si>
    <t>44743</t>
  </si>
  <si>
    <t>INGENIERO QUIMICO III</t>
  </si>
  <si>
    <t>44751</t>
  </si>
  <si>
    <t>INGENIERO QUIMICO JEFE I</t>
  </si>
  <si>
    <t>44752</t>
  </si>
  <si>
    <t>INGENIERO QUMICO JEFE II</t>
  </si>
  <si>
    <t>43441</t>
  </si>
  <si>
    <t>INGENIERO SANITARIO I</t>
  </si>
  <si>
    <t>43442</t>
  </si>
  <si>
    <t>INGENIERO SANITARIO II</t>
  </si>
  <si>
    <t>43443</t>
  </si>
  <si>
    <t>INGENIERO SANITARIO III</t>
  </si>
  <si>
    <t>43451</t>
  </si>
  <si>
    <t>INGENIERO SANITARIO JEFE I</t>
  </si>
  <si>
    <t>43452</t>
  </si>
  <si>
    <t>INGENIERO SANITARIO JEFE II</t>
  </si>
  <si>
    <t>43453</t>
  </si>
  <si>
    <t>INGENIERO SANITARIO JEFE III</t>
  </si>
  <si>
    <t>43311</t>
  </si>
  <si>
    <t>INPECTOR DE MAQUINARIAS I</t>
  </si>
  <si>
    <t>35213</t>
  </si>
  <si>
    <t>INSP. NACIONAL DE REGIST Y NOTARIAS III</t>
  </si>
  <si>
    <t>35212</t>
  </si>
  <si>
    <t>INSP. NACIONAL DE REGIST. Y NOTARIAS II</t>
  </si>
  <si>
    <t>35220</t>
  </si>
  <si>
    <t>INSPEC NACIONAL DE REG. Y NOTARIAS JEFE</t>
  </si>
  <si>
    <t>21711</t>
  </si>
  <si>
    <t>INSPEC.  RELACIONES CON EL SEGURO SOCIAL</t>
  </si>
  <si>
    <t>35211</t>
  </si>
  <si>
    <t>INSPEC. NACIONAL DE REGISTROS Y NOTARIAS</t>
  </si>
  <si>
    <t>21712</t>
  </si>
  <si>
    <t>INSPEC. RELACIONES SEGURO SOCIAL II</t>
  </si>
  <si>
    <t>21411</t>
  </si>
  <si>
    <t>INSPECTOR ADMINISTRATIVO I</t>
  </si>
  <si>
    <t>21413</t>
  </si>
  <si>
    <t>INSPECTOR ADMINISTRATIVO III</t>
  </si>
  <si>
    <t>21414</t>
  </si>
  <si>
    <t>INSPECTOR ADMINISTRATIVO IV</t>
  </si>
  <si>
    <t>21425</t>
  </si>
  <si>
    <t>INSPECTOR ADMINISTRATIVO JEFE</t>
  </si>
  <si>
    <t>21412</t>
  </si>
  <si>
    <t>INSPECTOR AMDINISTRATIVO II</t>
  </si>
  <si>
    <t>43460</t>
  </si>
  <si>
    <t>INSPECTOR AUX. DE OBRAS DE INGENIERIA</t>
  </si>
  <si>
    <t>51750</t>
  </si>
  <si>
    <t>INSPECTOR DE AEROPUERTOS</t>
  </si>
  <si>
    <t>44611</t>
  </si>
  <si>
    <t>INSPECTOR DE DERIVADOS HIDROCARBUROS I</t>
  </si>
  <si>
    <t>44612</t>
  </si>
  <si>
    <t>INSPECTOR DE DERIVADOS HIDROCARBUROS II</t>
  </si>
  <si>
    <t>43210</t>
  </si>
  <si>
    <t>INSPECTOR DE INMUEBLES</t>
  </si>
  <si>
    <t>43312</t>
  </si>
  <si>
    <t>INSPECTOR DE MAQUINARIAS II</t>
  </si>
  <si>
    <t>46171</t>
  </si>
  <si>
    <t>INSPECTOR DE MECANICA DE AVIACION I</t>
  </si>
  <si>
    <t>46172</t>
  </si>
  <si>
    <t>INSPECTOR DE MECANICA DE AVIACION II</t>
  </si>
  <si>
    <t>46173</t>
  </si>
  <si>
    <t>INSPECTOR DE MECANICA DE AVIACION III</t>
  </si>
  <si>
    <t>43471</t>
  </si>
  <si>
    <t>INSPECTOR DE OBRAS DE INGENIERIA I</t>
  </si>
  <si>
    <t>43472</t>
  </si>
  <si>
    <t>INSPECTOR DE OBRAS DE INGENIERIA II</t>
  </si>
  <si>
    <t>82210</t>
  </si>
  <si>
    <t>INSPECTOR DE PRISIONES</t>
  </si>
  <si>
    <t>82220</t>
  </si>
  <si>
    <t>INSPECTOR DE PRISIONES JEFE</t>
  </si>
  <si>
    <t>53230</t>
  </si>
  <si>
    <t>INSPECTOR DE PUERTOS</t>
  </si>
  <si>
    <t>21311</t>
  </si>
  <si>
    <t>INSPECTOR DE RENTAS I</t>
  </si>
  <si>
    <t>21312</t>
  </si>
  <si>
    <t>INSPECTOR DE RENTAS II</t>
  </si>
  <si>
    <t>21315</t>
  </si>
  <si>
    <t>INSPECTOR DE RENTAS JEFE</t>
  </si>
  <si>
    <t>76233</t>
  </si>
  <si>
    <t>INSPECTOR DE SALID PUBLICA III</t>
  </si>
  <si>
    <t>76231</t>
  </si>
  <si>
    <t>INSPECTOR DE SALUD PUBLICA I</t>
  </si>
  <si>
    <t>46232</t>
  </si>
  <si>
    <t>INSPECTOR DE SALUD PUBLICA II</t>
  </si>
  <si>
    <t>76234</t>
  </si>
  <si>
    <t>INSPECTOR DE SALUD PUBLICA IV</t>
  </si>
  <si>
    <t>85111</t>
  </si>
  <si>
    <t>INSPECTOR DE SEGURIDAD INDUSTRIAL</t>
  </si>
  <si>
    <t>85112</t>
  </si>
  <si>
    <t>INSPECTOR DE SEGURIDAD INDUSTRIAL II</t>
  </si>
  <si>
    <t>85113</t>
  </si>
  <si>
    <t>INSPECTOR DE SEGURIDAD INDUSTRIAL III</t>
  </si>
  <si>
    <t>85114</t>
  </si>
  <si>
    <t>INSPECTOR DE SEGURIDAD INDUSTRIAL IV</t>
  </si>
  <si>
    <t>25511</t>
  </si>
  <si>
    <t>INSPECTOR DE SEGUROS COMERCIALES I</t>
  </si>
  <si>
    <t>25512</t>
  </si>
  <si>
    <t>INSPECTOR DE SEGUROS COMERCIALES II</t>
  </si>
  <si>
    <t>25520</t>
  </si>
  <si>
    <t>INSPECTOR DE SEGUROS COMERIALES JEFE</t>
  </si>
  <si>
    <t>25513</t>
  </si>
  <si>
    <t>INSPECTOR DE SEUGROS COMERCIALES III</t>
  </si>
  <si>
    <t>51731</t>
  </si>
  <si>
    <t>INSPECTOR DE TELECOMUNICACIONES I</t>
  </si>
  <si>
    <t>51732</t>
  </si>
  <si>
    <t>INSPECTOR DE TELECOMUNICACIONES II</t>
  </si>
  <si>
    <t>51733</t>
  </si>
  <si>
    <t>INSPECTOR DE TELECOMUNICACIONES III</t>
  </si>
  <si>
    <t>84321</t>
  </si>
  <si>
    <t>INSPECTOR DE TRABAJO I</t>
  </si>
  <si>
    <t>84322</t>
  </si>
  <si>
    <t>INSPECTOR DE TRABAJO II</t>
  </si>
  <si>
    <t>84323</t>
  </si>
  <si>
    <t>INSPECTOR DE TRABAJO III</t>
  </si>
  <si>
    <t>84324</t>
  </si>
  <si>
    <t>INSPECTOR DE TRABAJO IV</t>
  </si>
  <si>
    <t>84325</t>
  </si>
  <si>
    <t>INSPECTOR DE TRABAJO V</t>
  </si>
  <si>
    <t>52121</t>
  </si>
  <si>
    <t>INSPECTOR DE TRANSPORTE I</t>
  </si>
  <si>
    <t>52122</t>
  </si>
  <si>
    <t>INSPECTOR DE TRANSPORTE II</t>
  </si>
  <si>
    <t>52255</t>
  </si>
  <si>
    <t>INSPECTOR DE ZONAS MARITIMAS</t>
  </si>
  <si>
    <t>64110</t>
  </si>
  <si>
    <t>INSPECTOR ELECTRICISTA</t>
  </si>
  <si>
    <t>21361</t>
  </si>
  <si>
    <t>INSPECTOR GENERAL DE HACIENDA I</t>
  </si>
  <si>
    <t>21362</t>
  </si>
  <si>
    <t>INSPECTOR GENERAL DE HACIENDA II</t>
  </si>
  <si>
    <t>21363</t>
  </si>
  <si>
    <t>INSPECTOR GENERAL DE HACIENDA III</t>
  </si>
  <si>
    <t>21364</t>
  </si>
  <si>
    <t>INSPECTOR GENERAL DE HACIENDA IV</t>
  </si>
  <si>
    <t>86130</t>
  </si>
  <si>
    <t>INSPECTOR IDENTIFICACION Y EXTRANJERIA</t>
  </si>
  <si>
    <t>31561</t>
  </si>
  <si>
    <t>INSPECTOR TURISTICO I</t>
  </si>
  <si>
    <t>31562</t>
  </si>
  <si>
    <t>INSPECTOR TURISTICO II</t>
  </si>
  <si>
    <t>31563</t>
  </si>
  <si>
    <t>INSPECTOR TURISTICO III</t>
  </si>
  <si>
    <t>31564</t>
  </si>
  <si>
    <t>INSPECTOR TURISTICO IV</t>
  </si>
  <si>
    <t>31571</t>
  </si>
  <si>
    <t>INSPECTOR TURISTICO JEFE I</t>
  </si>
  <si>
    <t>31572</t>
  </si>
  <si>
    <t>INSPECTOR TURISTICO JEFE II</t>
  </si>
  <si>
    <t>16410</t>
  </si>
  <si>
    <t>INSTRC. DE ALFABETIZACION Y EDUC. BASICA</t>
  </si>
  <si>
    <t>17340</t>
  </si>
  <si>
    <t>INSTRC. FORMACION PROF. EN EL AREA COMER</t>
  </si>
  <si>
    <t>17320</t>
  </si>
  <si>
    <t>INSTRUC FORMACION PROF, ART,Y SERV.</t>
  </si>
  <si>
    <t>41411</t>
  </si>
  <si>
    <t>INSTRUCTOR AGROPECUARIO I</t>
  </si>
  <si>
    <t>41413</t>
  </si>
  <si>
    <t>INSTRUCTOR AGROPECUARIO III</t>
  </si>
  <si>
    <t>41421</t>
  </si>
  <si>
    <t>INSTRUCTOR AGROPECUARIO JEFE I</t>
  </si>
  <si>
    <t>41422</t>
  </si>
  <si>
    <t>INSTRUCTOR AGROPECURIO JEFE II</t>
  </si>
  <si>
    <t>71370</t>
  </si>
  <si>
    <t>INSTRUCTOR DE ENFERMERIA</t>
  </si>
  <si>
    <t>54110</t>
  </si>
  <si>
    <t>INSTRUCTOR DE ERONAUTICA CIVIL</t>
  </si>
  <si>
    <t>17330</t>
  </si>
  <si>
    <t>INSTRUCTOR DE FORM. PROFESIONAL EN EL AREA DE OFICINA</t>
  </si>
  <si>
    <t>17212</t>
  </si>
  <si>
    <t>INSTRUCTOR DE FORMACION EMPRESARIA II</t>
  </si>
  <si>
    <t>17211</t>
  </si>
  <si>
    <t>INSTRUCTOR DE FORMACION EMPRESARIAL</t>
  </si>
  <si>
    <t>17213</t>
  </si>
  <si>
    <t>INSTRUCTOR DE FORMACION EMPRESARIAL III</t>
  </si>
  <si>
    <t>17920</t>
  </si>
  <si>
    <t>INSTRUCTOR DE PRE-ESCOLAR</t>
  </si>
  <si>
    <t>54210</t>
  </si>
  <si>
    <t>INSTRUCTOR DE TECNICAS NAUTICAS</t>
  </si>
  <si>
    <t>54220</t>
  </si>
  <si>
    <t>INSTRUCTOR DE TECNICAS NAUTICAS JEFE</t>
  </si>
  <si>
    <t>54140</t>
  </si>
  <si>
    <t>INSTRUCTOR INSTRUMENTAL DE VUELO</t>
  </si>
  <si>
    <t>41412</t>
  </si>
  <si>
    <t>INSTURCTOR AGROPECUARIO II</t>
  </si>
  <si>
    <t>03750</t>
  </si>
  <si>
    <t>INTENDENTE DE HOSPITAL I</t>
  </si>
  <si>
    <t>71212</t>
  </si>
  <si>
    <t>INTENDENTE DE HOSPITAL II</t>
  </si>
  <si>
    <t>71213</t>
  </si>
  <si>
    <t>INTENDENTE DE HOSPITAL III</t>
  </si>
  <si>
    <t>71214</t>
  </si>
  <si>
    <t>INTENDENTE DE HOSPITAL IV</t>
  </si>
  <si>
    <t>71215</t>
  </si>
  <si>
    <t>INTENDENTE DE HOSPITAL V</t>
  </si>
  <si>
    <t>53122</t>
  </si>
  <si>
    <t>INTERVENTOR DE ADUANAS II</t>
  </si>
  <si>
    <t>53123</t>
  </si>
  <si>
    <t>INTERVENTOR DE ADUANAS III</t>
  </si>
  <si>
    <t>53121</t>
  </si>
  <si>
    <t>INTERVENTOR DE ADUNAS I</t>
  </si>
  <si>
    <t>37321</t>
  </si>
  <si>
    <t>INVESTIGADOR DE MUSEO I</t>
  </si>
  <si>
    <t>37322</t>
  </si>
  <si>
    <t>INVESTIGADOR DE MUSEO II</t>
  </si>
  <si>
    <t>37323</t>
  </si>
  <si>
    <t>INVESTIGADOR DE MUSEO III</t>
  </si>
  <si>
    <t>41220</t>
  </si>
  <si>
    <t>INVESTIGADOR EN ADIESTRAMIENTO</t>
  </si>
  <si>
    <t>41221</t>
  </si>
  <si>
    <t>INVESTIGADOR I</t>
  </si>
  <si>
    <t>41222</t>
  </si>
  <si>
    <t>INVESTIGADOR II</t>
  </si>
  <si>
    <t>41223</t>
  </si>
  <si>
    <t>INVESTIGADOR III</t>
  </si>
  <si>
    <t>41224</t>
  </si>
  <si>
    <t>INVESTIGADOR IV</t>
  </si>
  <si>
    <t>41230</t>
  </si>
  <si>
    <t>INVESTIGADOR JEFE</t>
  </si>
  <si>
    <t>36811</t>
  </si>
  <si>
    <t>INVESTIGADOR SOCIAL I</t>
  </si>
  <si>
    <t>36812</t>
  </si>
  <si>
    <t>INVESTIGADOR SOCIAL II</t>
  </si>
  <si>
    <t>36813</t>
  </si>
  <si>
    <t>INVESTIGADOR SOCIAL III</t>
  </si>
  <si>
    <t>36820</t>
  </si>
  <si>
    <t>INVESTIGADOR SOCIAL JEFE</t>
  </si>
  <si>
    <t>41225</t>
  </si>
  <si>
    <t>INVESTIGADOR V</t>
  </si>
  <si>
    <t>53221</t>
  </si>
  <si>
    <t>JEE DE SERVICIOS PORTUARIOS I</t>
  </si>
  <si>
    <t>52295</t>
  </si>
  <si>
    <t>JEFE CAPITAN DE PUERTO</t>
  </si>
  <si>
    <t>79532</t>
  </si>
  <si>
    <t>JEFE CENTRO ATENCION POR ABANDONO</t>
  </si>
  <si>
    <t>79533</t>
  </si>
  <si>
    <t>JEFE CENTRO ATENCION POR TRATAMIENTO</t>
  </si>
  <si>
    <t>34120</t>
  </si>
  <si>
    <t>JEFE CENTRO AUDIOVISUAL</t>
  </si>
  <si>
    <t>79531</t>
  </si>
  <si>
    <t>JEFE CENTRO DE PREVENCION</t>
  </si>
  <si>
    <t>36432</t>
  </si>
  <si>
    <t>JEFE CENTRO INDIGENISTA II</t>
  </si>
  <si>
    <t>36431</t>
  </si>
  <si>
    <t>JEFE CENTRO INDIGENITA I</t>
  </si>
  <si>
    <t>51331</t>
  </si>
  <si>
    <t>JEFE DE AEROPUERTO I</t>
  </si>
  <si>
    <t>51332</t>
  </si>
  <si>
    <t>JEFE DE AEROPUERTO II</t>
  </si>
  <si>
    <t>51333</t>
  </si>
  <si>
    <t>JEFE DE AEROPUERTO III</t>
  </si>
  <si>
    <t>51334</t>
  </si>
  <si>
    <t>JEFE DE AEROPUERTO IV</t>
  </si>
  <si>
    <t>51335</t>
  </si>
  <si>
    <t>JEFE DE AEROPUERTO V</t>
  </si>
  <si>
    <t>43320</t>
  </si>
  <si>
    <t>JEFE DE CONTROL DE MAQUINAS</t>
  </si>
  <si>
    <t>00906</t>
  </si>
  <si>
    <t>JEFE DE DEPARTAMENTO</t>
  </si>
  <si>
    <t>00905</t>
  </si>
  <si>
    <t>JEFE DE DIVISION</t>
  </si>
  <si>
    <t>00919</t>
  </si>
  <si>
    <t>JEFE DE DIVISION ADMINISTRATIVO</t>
  </si>
  <si>
    <t>00922</t>
  </si>
  <si>
    <t>JEFE DE EJECUCION Y CONTROL DE PRESUPUES</t>
  </si>
  <si>
    <t>23461</t>
  </si>
  <si>
    <t>JEFE DE INFORMATICA I</t>
  </si>
  <si>
    <t>23462</t>
  </si>
  <si>
    <t>JEFE DE INFORMATICA II</t>
  </si>
  <si>
    <t>23463</t>
  </si>
  <si>
    <t>JEFE DE INFORMATICA III</t>
  </si>
  <si>
    <t>45230</t>
  </si>
  <si>
    <t>JEFE DE LABORATORIO DE AEROFOTOGRAFIA</t>
  </si>
  <si>
    <t>52321</t>
  </si>
  <si>
    <t>JEFE DE MAQUINAS I</t>
  </si>
  <si>
    <t>52322</t>
  </si>
  <si>
    <t>JEFE DE MAQUINAS II</t>
  </si>
  <si>
    <t>00923</t>
  </si>
  <si>
    <t>JEFE DE OBREROS</t>
  </si>
  <si>
    <t>00907</t>
  </si>
  <si>
    <t>JEFE DE OFICINA</t>
  </si>
  <si>
    <t>36780</t>
  </si>
  <si>
    <t>JEFE DE PABELLON DE FERIAS</t>
  </si>
  <si>
    <t>17930</t>
  </si>
  <si>
    <t>JEFE DE PRE-ESCOLAR</t>
  </si>
  <si>
    <t>31341</t>
  </si>
  <si>
    <t>JEFE DE RELACIONES PUBLICAS I</t>
  </si>
  <si>
    <t>31342</t>
  </si>
  <si>
    <t>JEFE DE RELACIONES PUBLICAS II</t>
  </si>
  <si>
    <t>31343</t>
  </si>
  <si>
    <t>JEFE DE RELACIONES PUBLICAS III</t>
  </si>
  <si>
    <t>00910</t>
  </si>
  <si>
    <t>JEFE DE SECCION</t>
  </si>
  <si>
    <t>53222</t>
  </si>
  <si>
    <t>JEFE DE SERVICIOS PORTUARIOS II</t>
  </si>
  <si>
    <t>53223</t>
  </si>
  <si>
    <t>JEFE DE SERVICIOS PORTUARIOS III</t>
  </si>
  <si>
    <t>53224</t>
  </si>
  <si>
    <t>JEFE DE SERVICIOS PORTUARIOS IV</t>
  </si>
  <si>
    <t>52141</t>
  </si>
  <si>
    <t>JEFE DE TRANSPORTE AUTOMOTOR I</t>
  </si>
  <si>
    <t>52143</t>
  </si>
  <si>
    <t>JEFE DE TRANSPORTE AUTONOMOR III</t>
  </si>
  <si>
    <t>52142</t>
  </si>
  <si>
    <t>JEFE DE TRASPORTE AUTOMOTOR II</t>
  </si>
  <si>
    <t>00908</t>
  </si>
  <si>
    <t>JEFE DE ZONA</t>
  </si>
  <si>
    <t>76310</t>
  </si>
  <si>
    <t>JEFE DE ZONA DE SANEAMIENTO AMBIENTAL</t>
  </si>
  <si>
    <t>52260</t>
  </si>
  <si>
    <t>JEFE ESTACION DE PILOTO</t>
  </si>
  <si>
    <t>00928</t>
  </si>
  <si>
    <t>JEFE SECCION DE RENDICION DE CUENTAS</t>
  </si>
  <si>
    <t>12210</t>
  </si>
  <si>
    <t>JEFE TECNICO AMDINISTRATIVO</t>
  </si>
  <si>
    <t>32230</t>
  </si>
  <si>
    <t>LABORATORISTA CINEMATOGRAFICO</t>
  </si>
  <si>
    <t>45121</t>
  </si>
  <si>
    <t>LABORATORISTA I</t>
  </si>
  <si>
    <t>45122</t>
  </si>
  <si>
    <t>LABORATORISTA II</t>
  </si>
  <si>
    <t>45123</t>
  </si>
  <si>
    <t>LABORATORISTA III</t>
  </si>
  <si>
    <t>32160</t>
  </si>
  <si>
    <t>LIBRETISTA DE RADIO</t>
  </si>
  <si>
    <t>44131</t>
  </si>
  <si>
    <t>LIQUIDADOR DE HIDROCARBUROS I</t>
  </si>
  <si>
    <t>44132</t>
  </si>
  <si>
    <t>LIQUIDADOR DE HIDROCARBUROS II</t>
  </si>
  <si>
    <t>44133</t>
  </si>
  <si>
    <t>LIQUIDADOR DE HIDROCARBUROS III</t>
  </si>
  <si>
    <t>44140</t>
  </si>
  <si>
    <t>LIQUIDADOR DE HIDROCARBUROS JEFE</t>
  </si>
  <si>
    <t>21341</t>
  </si>
  <si>
    <t>LIQUIDADOR I</t>
  </si>
  <si>
    <t>21342</t>
  </si>
  <si>
    <t>LIQUIDADOR II</t>
  </si>
  <si>
    <t>21343</t>
  </si>
  <si>
    <t>LIQUIDADOR III</t>
  </si>
  <si>
    <t>21345</t>
  </si>
  <si>
    <t>LIQUIDADOR JEFE</t>
  </si>
  <si>
    <t>32141</t>
  </si>
  <si>
    <t>LOCUTOR I</t>
  </si>
  <si>
    <t>32142</t>
  </si>
  <si>
    <t>LOCUTOR II</t>
  </si>
  <si>
    <t>43521</t>
  </si>
  <si>
    <t>MAQUETISTA I</t>
  </si>
  <si>
    <t>43522</t>
  </si>
  <si>
    <t>MAQUETISTA II</t>
  </si>
  <si>
    <t>32115</t>
  </si>
  <si>
    <t>MAQUILLADOR</t>
  </si>
  <si>
    <t>52350</t>
  </si>
  <si>
    <t>MAQUINISTA DE REMOLCADOR</t>
  </si>
  <si>
    <t>52390</t>
  </si>
  <si>
    <t>MAQUINISTA DE TRANSPORTE NAVAL</t>
  </si>
  <si>
    <t>47221</t>
  </si>
  <si>
    <t>MATEMATICO I</t>
  </si>
  <si>
    <t>47222</t>
  </si>
  <si>
    <t>MATEMATICO II</t>
  </si>
  <si>
    <t>62400</t>
  </si>
  <si>
    <t>MAYOR (BOMBERO)</t>
  </si>
  <si>
    <t>75211</t>
  </si>
  <si>
    <t>MEDICO DE SALUD PUBLICA I</t>
  </si>
  <si>
    <t>75212</t>
  </si>
  <si>
    <t>MEDICO DE SALUD PUBLICA II</t>
  </si>
  <si>
    <t>75213</t>
  </si>
  <si>
    <t>MEDICO DE SALUD PUBLICA III</t>
  </si>
  <si>
    <t>75221</t>
  </si>
  <si>
    <t>MEDICO DE SALUD PUBLICA JEFE</t>
  </si>
  <si>
    <t>75222</t>
  </si>
  <si>
    <t>MEDICO DE SALUD PUBLICA JEFE II</t>
  </si>
  <si>
    <t>75223</t>
  </si>
  <si>
    <t>MEDICO DE SALUD PUBLICA JEFE III</t>
  </si>
  <si>
    <t>75151</t>
  </si>
  <si>
    <t>MEDICO DIRECTOR DE HOSPITAL I</t>
  </si>
  <si>
    <t>75152</t>
  </si>
  <si>
    <t>MEDICO DIRECTOR DE HOSPITAL II</t>
  </si>
  <si>
    <t>75153</t>
  </si>
  <si>
    <t>MEDICO DIRECTOR DE HOSPITAL III</t>
  </si>
  <si>
    <t>75154</t>
  </si>
  <si>
    <t>MEDICO DIRECTOR DE HOSPITAL IV</t>
  </si>
  <si>
    <t>75311</t>
  </si>
  <si>
    <t>MEDICO ESPECIALISTA I</t>
  </si>
  <si>
    <t>75312</t>
  </si>
  <si>
    <t>MEDICO ESPECIALISTA II</t>
  </si>
  <si>
    <t>75131</t>
  </si>
  <si>
    <t>MEDICO I</t>
  </si>
  <si>
    <t>75132</t>
  </si>
  <si>
    <t>MEDICO II</t>
  </si>
  <si>
    <t>75110</t>
  </si>
  <si>
    <t>MEDICO INTERNO</t>
  </si>
  <si>
    <t>75141</t>
  </si>
  <si>
    <t>MEDICO JEFE I</t>
  </si>
  <si>
    <t>75142</t>
  </si>
  <si>
    <t>MEDICO JEFE II</t>
  </si>
  <si>
    <t>75143</t>
  </si>
  <si>
    <t>MEDICO JEFE III</t>
  </si>
  <si>
    <t>75144</t>
  </si>
  <si>
    <t>MEDICO JEFE IV</t>
  </si>
  <si>
    <t>75120</t>
  </si>
  <si>
    <t>MEDICO RESIDENTE</t>
  </si>
  <si>
    <t>78211</t>
  </si>
  <si>
    <t>MEDICO VETERINARIO I</t>
  </si>
  <si>
    <t>78212</t>
  </si>
  <si>
    <t>MEDICO VETERINARIO II</t>
  </si>
  <si>
    <t>78213</t>
  </si>
  <si>
    <t>MEDICO VETERINARIO III</t>
  </si>
  <si>
    <t>78221</t>
  </si>
  <si>
    <t>MEDICO VETERINARIO JEFE I</t>
  </si>
  <si>
    <t>78222</t>
  </si>
  <si>
    <t>MEDICO VETERINARIO JEFE II</t>
  </si>
  <si>
    <t>84231</t>
  </si>
  <si>
    <t>METROLOGO I</t>
  </si>
  <si>
    <t>84232</t>
  </si>
  <si>
    <t>METROLOGO II</t>
  </si>
  <si>
    <t>84233</t>
  </si>
  <si>
    <t>METROLOGO III</t>
  </si>
  <si>
    <t>84241</t>
  </si>
  <si>
    <t>METROLOGO JEFE I</t>
  </si>
  <si>
    <t>84242</t>
  </si>
  <si>
    <t>METROLOGO JEFE II</t>
  </si>
  <si>
    <t>72311</t>
  </si>
  <si>
    <t>MICROBIOLOGO I</t>
  </si>
  <si>
    <t>72312</t>
  </si>
  <si>
    <t>MICROBIOLOGO II</t>
  </si>
  <si>
    <t>72313</t>
  </si>
  <si>
    <t>MICROBIOLOGO III</t>
  </si>
  <si>
    <t>72320</t>
  </si>
  <si>
    <t>MICROBIOLOGO JEFE</t>
  </si>
  <si>
    <t>45341</t>
  </si>
  <si>
    <t>MICROFILMADOR I</t>
  </si>
  <si>
    <t>45342</t>
  </si>
  <si>
    <t>MICROFILMADOR II</t>
  </si>
  <si>
    <t>45343</t>
  </si>
  <si>
    <t>MICROFILMADOR III</t>
  </si>
  <si>
    <t>45344</t>
  </si>
  <si>
    <t>MICROFILMADOR IV</t>
  </si>
  <si>
    <t>37221</t>
  </si>
  <si>
    <t>MUSEOGRAFO I</t>
  </si>
  <si>
    <t>37222</t>
  </si>
  <si>
    <t>MUSEOGRAFO II</t>
  </si>
  <si>
    <t>37223</t>
  </si>
  <si>
    <t>MUSEOGRAFO III</t>
  </si>
  <si>
    <t>37111</t>
  </si>
  <si>
    <t>MUSEOLOGO</t>
  </si>
  <si>
    <t>37112</t>
  </si>
  <si>
    <t>MUSEOLOGO II</t>
  </si>
  <si>
    <t>37113</t>
  </si>
  <si>
    <t>MUSEOLOGO III</t>
  </si>
  <si>
    <t>37114</t>
  </si>
  <si>
    <t>MUSEOLOGO IV</t>
  </si>
  <si>
    <t>03540</t>
  </si>
  <si>
    <t>OBOE 1</t>
  </si>
  <si>
    <t>03566</t>
  </si>
  <si>
    <t>OBOE 2</t>
  </si>
  <si>
    <t>84421</t>
  </si>
  <si>
    <t>OBSERVADOR DE RADIO Y TV I</t>
  </si>
  <si>
    <t>84422</t>
  </si>
  <si>
    <t>OBSERVADOR DE RADIO Y TV II</t>
  </si>
  <si>
    <t>73212</t>
  </si>
  <si>
    <t>ODONTOLO II</t>
  </si>
  <si>
    <t>73211</t>
  </si>
  <si>
    <t>ODONTOLOGO I</t>
  </si>
  <si>
    <t>73213</t>
  </si>
  <si>
    <t>ODONTOLOGO III</t>
  </si>
  <si>
    <t>73221</t>
  </si>
  <si>
    <t>ODONTOLOGO JEFE I</t>
  </si>
  <si>
    <t>73222</t>
  </si>
  <si>
    <t>ODONTOLOGO JEFE II</t>
  </si>
  <si>
    <t>85511</t>
  </si>
  <si>
    <t>OFICIAL DE BUSQUEDA Y SALVAMENTO I</t>
  </si>
  <si>
    <t>85512</t>
  </si>
  <si>
    <t>OFICIAL DE BUSQUEDA Y SALVAMENTO II</t>
  </si>
  <si>
    <t>85513</t>
  </si>
  <si>
    <t>OFICIAL DE BUSQUEDA Y SALVAMENTO III</t>
  </si>
  <si>
    <t>85514</t>
  </si>
  <si>
    <t>OFICIAL DE BUSQUEDA Y SALVAMENTO IV</t>
  </si>
  <si>
    <t>52311</t>
  </si>
  <si>
    <t>OFICIAL DE MAQUINAS I</t>
  </si>
  <si>
    <t>52312</t>
  </si>
  <si>
    <t>OFICIAL DE MAQUINAS II</t>
  </si>
  <si>
    <t>52313</t>
  </si>
  <si>
    <t>OFICIAL DE MAQUINAS III</t>
  </si>
  <si>
    <t>52211</t>
  </si>
  <si>
    <t>OFICIAL DE MARINA I</t>
  </si>
  <si>
    <t>52212</t>
  </si>
  <si>
    <t>OFICIAL DE MARINA II</t>
  </si>
  <si>
    <t>52213</t>
  </si>
  <si>
    <t>OFICIAL DE MARINA III</t>
  </si>
  <si>
    <t>52214</t>
  </si>
  <si>
    <t>OFICIAL DE MARINA IV</t>
  </si>
  <si>
    <t>52221</t>
  </si>
  <si>
    <t>OFICIAL DE MARINA JEFE I</t>
  </si>
  <si>
    <t>52222</t>
  </si>
  <si>
    <t>OFICIAL DE MARINA JEFE II</t>
  </si>
  <si>
    <t>52223</t>
  </si>
  <si>
    <t>OFICIAL DE MARINA JEFE III</t>
  </si>
  <si>
    <t>52331</t>
  </si>
  <si>
    <t>OFICIAL DE NAVEGACION I</t>
  </si>
  <si>
    <t>52332</t>
  </si>
  <si>
    <t>OFICIAL DE NAVEGACION II</t>
  </si>
  <si>
    <t>52333</t>
  </si>
  <si>
    <t>OFICIAL DE NAVEGACION III</t>
  </si>
  <si>
    <t>23331</t>
  </si>
  <si>
    <t>OPERADOR DE EQUIPOS DE COMPUTACION I</t>
  </si>
  <si>
    <t>23332</t>
  </si>
  <si>
    <t>OPERADOR DE EQUIPOS DE COMPUTACION II</t>
  </si>
  <si>
    <t>23333</t>
  </si>
  <si>
    <t>OPERADOR DE EQUIPOS DE COMPUTACION III</t>
  </si>
  <si>
    <t>32220</t>
  </si>
  <si>
    <t>OPERADOR DE EQUIPOS DE TV Y/O CINE</t>
  </si>
  <si>
    <t>52340</t>
  </si>
  <si>
    <t>OPERADOR DE QUPOS DE DRAGADO</t>
  </si>
  <si>
    <t>23110</t>
  </si>
  <si>
    <t>OPERADOR DE REPRODUCCION I</t>
  </si>
  <si>
    <t>51421</t>
  </si>
  <si>
    <t>OPERADOR DE SOPORTE TECNICO</t>
  </si>
  <si>
    <t>51451</t>
  </si>
  <si>
    <t>OPERADOR DE TELECOMUNICACIONES AERO. I</t>
  </si>
  <si>
    <t>51452</t>
  </si>
  <si>
    <t>OPERADOR DE TELECOMUNICACIONES AERON. II</t>
  </si>
  <si>
    <t>51411</t>
  </si>
  <si>
    <t>OPERADOR DE TELECOMUNICACIONES I</t>
  </si>
  <si>
    <t>51412</t>
  </si>
  <si>
    <t>OPERADOR DE TELECOMUNICACIONES II</t>
  </si>
  <si>
    <t>51413</t>
  </si>
  <si>
    <t>OPERADOR DE TELECOMUNICACIONES III</t>
  </si>
  <si>
    <t>51414</t>
  </si>
  <si>
    <t>OPERADOR DE TELECOMUNICACIONES IV</t>
  </si>
  <si>
    <t>51420</t>
  </si>
  <si>
    <t>OPERADOR DE TELECOMUNICACIONES JEFE</t>
  </si>
  <si>
    <t>51461</t>
  </si>
  <si>
    <t>OPERADOR TELECOMUNICACIONES AER. JEFE I</t>
  </si>
  <si>
    <t>51453</t>
  </si>
  <si>
    <t>OPERADOR TELECOMUNICACIONES AERON. III</t>
  </si>
  <si>
    <t>51454</t>
  </si>
  <si>
    <t>OPERADOR TELECOMUNICACIONES AERON. IV</t>
  </si>
  <si>
    <t>51455</t>
  </si>
  <si>
    <t>OPERADOR TELECOMUNICACIONES AERON. V</t>
  </si>
  <si>
    <t>51462</t>
  </si>
  <si>
    <t>OPERADOR TELECOMUNICAICONES AER. JEFE II</t>
  </si>
  <si>
    <t>51456</t>
  </si>
  <si>
    <t>OPERADOR TELECOMUNICAICONES AERON.VI</t>
  </si>
  <si>
    <t>36480</t>
  </si>
  <si>
    <t>PALEONTOLOGO</t>
  </si>
  <si>
    <t>52370</t>
  </si>
  <si>
    <t>PATRON DE LANCHA</t>
  </si>
  <si>
    <t>41743</t>
  </si>
  <si>
    <t>PERITO FORESTAL  III</t>
  </si>
  <si>
    <t>41741</t>
  </si>
  <si>
    <t>PERITO FORESTAL I</t>
  </si>
  <si>
    <t>41742</t>
  </si>
  <si>
    <t>PERITO FORESTAL II</t>
  </si>
  <si>
    <t>41751</t>
  </si>
  <si>
    <t>PERITO FORESTAL JEFE I</t>
  </si>
  <si>
    <t>41752</t>
  </si>
  <si>
    <t>PERITO FORESTAL JEFE II</t>
  </si>
  <si>
    <t>52230</t>
  </si>
  <si>
    <t>PERITO NAVAL</t>
  </si>
  <si>
    <t>85531</t>
  </si>
  <si>
    <t>PILOTO DE BUSQUEDA Y SALVAMENTO I</t>
  </si>
  <si>
    <t>85532</t>
  </si>
  <si>
    <t>PILOTO DE BUSQUEDA Y SALVAMENTO II</t>
  </si>
  <si>
    <t>85533</t>
  </si>
  <si>
    <t>PILOTO DE BUSQUEDA Y SALVAMENTO III</t>
  </si>
  <si>
    <t>85534</t>
  </si>
  <si>
    <t>PILOTO DE BUSQUEDA Y SALVAMENTO IV</t>
  </si>
  <si>
    <t>85553</t>
  </si>
  <si>
    <t>PILOTO DE HELICOPTERO BUSQUD. Y SALV.III</t>
  </si>
  <si>
    <t>85552</t>
  </si>
  <si>
    <t>PILOTO DE HELICOPTERO BUSQUEDA Y SALV II</t>
  </si>
  <si>
    <t>85551</t>
  </si>
  <si>
    <t>PILOTO DE HELICOPTERO DE BUSQUEDA Y SALV</t>
  </si>
  <si>
    <t>51741</t>
  </si>
  <si>
    <t>PILOTO INSPECTOR DE VUELO I</t>
  </si>
  <si>
    <t>51742</t>
  </si>
  <si>
    <t>PILOTO INSPECTOR DE VUELO II</t>
  </si>
  <si>
    <t>54122</t>
  </si>
  <si>
    <t>PILOTO INSTRUCTOR DE VUELO II</t>
  </si>
  <si>
    <t>54123</t>
  </si>
  <si>
    <t>PILOTO INSTRUCTOR DE VUELO III</t>
  </si>
  <si>
    <t>54130</t>
  </si>
  <si>
    <t>PILOTO INSTRUCTOR DE VUELO JEFE</t>
  </si>
  <si>
    <t>52490</t>
  </si>
  <si>
    <t>PILOTO JEFE</t>
  </si>
  <si>
    <t>52495</t>
  </si>
  <si>
    <t>PILOTO JEFE DE OPERACIONES</t>
  </si>
  <si>
    <t>52250</t>
  </si>
  <si>
    <t>PILOTO OFICIAL DE LA MARINA MERCANTE</t>
  </si>
  <si>
    <t>13380</t>
  </si>
  <si>
    <t>PLANIFICADOR CENTRAL EN FORMACION</t>
  </si>
  <si>
    <t>13381</t>
  </si>
  <si>
    <t>PLANIFICADOR CENTRAL I</t>
  </si>
  <si>
    <t>13382</t>
  </si>
  <si>
    <t>PLANIFICADOR CENTRAL II</t>
  </si>
  <si>
    <t>13383</t>
  </si>
  <si>
    <t>PLANIFICADOR CENTRAL III</t>
  </si>
  <si>
    <t>13384</t>
  </si>
  <si>
    <t>PLANIFICADOR CENTRAL IV</t>
  </si>
  <si>
    <t>13390</t>
  </si>
  <si>
    <t>PLANIFICADOR CENTRAL JEFE</t>
  </si>
  <si>
    <t>13361</t>
  </si>
  <si>
    <t>PLANIFICADOR I</t>
  </si>
  <si>
    <t>13362</t>
  </si>
  <si>
    <t>PLANIFICADOR II</t>
  </si>
  <si>
    <t>13363</t>
  </si>
  <si>
    <t>PLANIFICADOR III</t>
  </si>
  <si>
    <t>13364</t>
  </si>
  <si>
    <t>PLANIFICADOR IV</t>
  </si>
  <si>
    <t>13370</t>
  </si>
  <si>
    <t>PLANIFICADOR JEFE</t>
  </si>
  <si>
    <t>13365</t>
  </si>
  <si>
    <t>PLANIFICADOR V</t>
  </si>
  <si>
    <t>61221</t>
  </si>
  <si>
    <t>PREFECTO DE MUNICIPIO</t>
  </si>
  <si>
    <t>61222</t>
  </si>
  <si>
    <t>PREFECTO DE PARROQUIA</t>
  </si>
  <si>
    <t>52451</t>
  </si>
  <si>
    <t>PRIMER OFICIAL DE JET I</t>
  </si>
  <si>
    <t>52452</t>
  </si>
  <si>
    <t>PRIMER OFICIAL DE JET II</t>
  </si>
  <si>
    <t>52435</t>
  </si>
  <si>
    <t>PRIMER OFICIAL DE TURBO</t>
  </si>
  <si>
    <t>35140</t>
  </si>
  <si>
    <t>PROCURADOR DE TRABAJADORES</t>
  </si>
  <si>
    <t>32175</t>
  </si>
  <si>
    <t>PRODUCTOR DE RADIO</t>
  </si>
  <si>
    <t>34170</t>
  </si>
  <si>
    <t>PROGRAMADOR DE FORMACION PROFES. JEFE</t>
  </si>
  <si>
    <t>34160</t>
  </si>
  <si>
    <t>PROGRAMADOR DE FORMACION PROFESIONAL</t>
  </si>
  <si>
    <t>23421</t>
  </si>
  <si>
    <t>PROGRAMADOR I</t>
  </si>
  <si>
    <t>23422</t>
  </si>
  <si>
    <t>PROGRAMADOR II</t>
  </si>
  <si>
    <t>23423</t>
  </si>
  <si>
    <t>PROGRAMADOR III</t>
  </si>
  <si>
    <t>23424</t>
  </si>
  <si>
    <t>PROGRAMADOR IV</t>
  </si>
  <si>
    <t>79372</t>
  </si>
  <si>
    <t>PROMOTOR  SOCIAL I</t>
  </si>
  <si>
    <t>37921</t>
  </si>
  <si>
    <t>PROMOTOR CULTURAL I</t>
  </si>
  <si>
    <t>37922</t>
  </si>
  <si>
    <t>PROMOTOR CULTURAL II</t>
  </si>
  <si>
    <t>79370</t>
  </si>
  <si>
    <t>PROMOTOR DE BIENESTAR SOCIAL</t>
  </si>
  <si>
    <t>17310</t>
  </si>
  <si>
    <t>PROMOTOR DE CURSOS</t>
  </si>
  <si>
    <t>36721</t>
  </si>
  <si>
    <t>PROMOTOR DE EXPORTACIONES I</t>
  </si>
  <si>
    <t>36722</t>
  </si>
  <si>
    <t>PROMOTOR DE EXPORTACIONES II</t>
  </si>
  <si>
    <t>36723</t>
  </si>
  <si>
    <t>PROMOTOR DE EXPORTACIONES III</t>
  </si>
  <si>
    <t>36730</t>
  </si>
  <si>
    <t>PROMOTOR DE EXPORTACIONES JEFE</t>
  </si>
  <si>
    <t>79371</t>
  </si>
  <si>
    <t>PROMOTOR DEPORTIVO</t>
  </si>
  <si>
    <t>79230</t>
  </si>
  <si>
    <t>PROMOTOR RURAL</t>
  </si>
  <si>
    <t>31541</t>
  </si>
  <si>
    <t>PROMOTOR TURISTICO I</t>
  </si>
  <si>
    <t>31542</t>
  </si>
  <si>
    <t>PROMOTOR TURISTICO II</t>
  </si>
  <si>
    <t>31543</t>
  </si>
  <si>
    <t>PROMOTOR TURISTICO III</t>
  </si>
  <si>
    <t>31544</t>
  </si>
  <si>
    <t>PROMOTOR TURISTICO IV</t>
  </si>
  <si>
    <t>31550</t>
  </si>
  <si>
    <t>PROMOTOR TURISTICO JEFE</t>
  </si>
  <si>
    <t>36770</t>
  </si>
  <si>
    <t>PROYECTISTA DE PABELLON DE FERIAS</t>
  </si>
  <si>
    <t>36321</t>
  </si>
  <si>
    <t>PSICOLOGO I</t>
  </si>
  <si>
    <t>36322</t>
  </si>
  <si>
    <t>PSICOLOGO II</t>
  </si>
  <si>
    <t>36323</t>
  </si>
  <si>
    <t>PSICOLOGO III</t>
  </si>
  <si>
    <t>36325</t>
  </si>
  <si>
    <t>PSICOLOGO JEFE</t>
  </si>
  <si>
    <t>34130</t>
  </si>
  <si>
    <t>PSICOPEDAGOGO</t>
  </si>
  <si>
    <t>79120</t>
  </si>
  <si>
    <t>PUERICULTORA</t>
  </si>
  <si>
    <t>44721</t>
  </si>
  <si>
    <t>QUIMICO I</t>
  </si>
  <si>
    <t>44722</t>
  </si>
  <si>
    <t>QUIMICO II</t>
  </si>
  <si>
    <t>44723</t>
  </si>
  <si>
    <t>QUIMICO III</t>
  </si>
  <si>
    <t>44731</t>
  </si>
  <si>
    <t>QUIMICO JEFE I</t>
  </si>
  <si>
    <t>44732</t>
  </si>
  <si>
    <t>QUIMICO JEFE II</t>
  </si>
  <si>
    <t>51431</t>
  </si>
  <si>
    <t>RADIO OPERADOR DE CRIPTOGRAFO I</t>
  </si>
  <si>
    <t>51432</t>
  </si>
  <si>
    <t>RADIO OPERADOR DE CRIPTOGRAFO II</t>
  </si>
  <si>
    <t>51440</t>
  </si>
  <si>
    <t>RADIO OPERADOR DE CRIPTOGRAFO JEFE</t>
  </si>
  <si>
    <t>51470</t>
  </si>
  <si>
    <t>RADIOTELEFONISTA</t>
  </si>
  <si>
    <t>22230</t>
  </si>
  <si>
    <t>RECEPCIONISTA</t>
  </si>
  <si>
    <t>03549</t>
  </si>
  <si>
    <t>REDOBLANTE 1</t>
  </si>
  <si>
    <t>25111</t>
  </si>
  <si>
    <t>REGISTRADOR DE BIENES Y MATERIAS I</t>
  </si>
  <si>
    <t>25112</t>
  </si>
  <si>
    <t>REGISTRADOR DE BIENES Y MATERIAS II</t>
  </si>
  <si>
    <t>25113</t>
  </si>
  <si>
    <t>REGISTRADOR DE BIENES Y MATERIAS III</t>
  </si>
  <si>
    <t>25114</t>
  </si>
  <si>
    <t>REGISTRADOR DE BIENES Y MATERIAS IV</t>
  </si>
  <si>
    <t>37520</t>
  </si>
  <si>
    <t>REGISTRADOR DE MUSEO</t>
  </si>
  <si>
    <t>37421</t>
  </si>
  <si>
    <t>RESTAURADOR I</t>
  </si>
  <si>
    <t>37422</t>
  </si>
  <si>
    <t>RESTAURADOR II</t>
  </si>
  <si>
    <t>37423</t>
  </si>
  <si>
    <t>RESTAURADOR III</t>
  </si>
  <si>
    <t>37430</t>
  </si>
  <si>
    <t>RESTAURADOR JEFE</t>
  </si>
  <si>
    <t>21831</t>
  </si>
  <si>
    <t>REVISOR DE CONTRALORIA I</t>
  </si>
  <si>
    <t>21832</t>
  </si>
  <si>
    <t>REVISOR DE CONTRALORIA II</t>
  </si>
  <si>
    <t>21833</t>
  </si>
  <si>
    <t>REVISOR DE CONTRALORIA III</t>
  </si>
  <si>
    <t>21834</t>
  </si>
  <si>
    <t>REVISOR DE CONTRALORIA IV</t>
  </si>
  <si>
    <t>21835</t>
  </si>
  <si>
    <t>REVISOR DE CONTRALORIA V</t>
  </si>
  <si>
    <t>62710</t>
  </si>
  <si>
    <t>SARGENTO 1RO (BOMBERO)</t>
  </si>
  <si>
    <t>62720</t>
  </si>
  <si>
    <t>SARGENTO 2DO (BOMBERO)</t>
  </si>
  <si>
    <t>62700</t>
  </si>
  <si>
    <t>SARGENTO AYUDANTE (BOMBERO)</t>
  </si>
  <si>
    <t>03544</t>
  </si>
  <si>
    <t>SAXO ALTO 1</t>
  </si>
  <si>
    <t>03570</t>
  </si>
  <si>
    <t>SAXO ALTO 2</t>
  </si>
  <si>
    <t>03571</t>
  </si>
  <si>
    <t>SAXO TENOR</t>
  </si>
  <si>
    <t>03575</t>
  </si>
  <si>
    <t>SAXO-BARITONO</t>
  </si>
  <si>
    <t>90100</t>
  </si>
  <si>
    <t>SECRETARIA GRAL. ENCARGADA</t>
  </si>
  <si>
    <t>00902</t>
  </si>
  <si>
    <t>SECRETARIO (A) PRIVADO (A)</t>
  </si>
  <si>
    <t>24321</t>
  </si>
  <si>
    <t>SECRETARIO BILINGUE I</t>
  </si>
  <si>
    <t>24322</t>
  </si>
  <si>
    <t>SECRETARIO BILINGUE II</t>
  </si>
  <si>
    <t>24314</t>
  </si>
  <si>
    <t>SECRETARIO DE DESPACHO</t>
  </si>
  <si>
    <t>24341</t>
  </si>
  <si>
    <t>SECRETARIO EJECUTIVO I</t>
  </si>
  <si>
    <t>24342</t>
  </si>
  <si>
    <t>SECRETARIO EJECUTIVO II</t>
  </si>
  <si>
    <t>24343</t>
  </si>
  <si>
    <t>SECRETARIO EJECUTIVO III</t>
  </si>
  <si>
    <t>00901</t>
  </si>
  <si>
    <t>SECRETARIO GRAL .DE GOBIERNO</t>
  </si>
  <si>
    <t>24311</t>
  </si>
  <si>
    <t>SECRETARIO I</t>
  </si>
  <si>
    <t>24312</t>
  </si>
  <si>
    <t>SECRETARIO II</t>
  </si>
  <si>
    <t>24313</t>
  </si>
  <si>
    <t>SECRETARIO III</t>
  </si>
  <si>
    <t>00000</t>
  </si>
  <si>
    <t>SIN CARGO</t>
  </si>
  <si>
    <t>36425</t>
  </si>
  <si>
    <t>SOCIOLOG JEFE</t>
  </si>
  <si>
    <t>36421</t>
  </si>
  <si>
    <t>SOCIOLOGO I</t>
  </si>
  <si>
    <t>36422</t>
  </si>
  <si>
    <t>SOCIOLOGO II</t>
  </si>
  <si>
    <t>36423</t>
  </si>
  <si>
    <t>SOCIOLOGO III</t>
  </si>
  <si>
    <t>45411</t>
  </si>
  <si>
    <t>SOPLADOR DE VIDRIO I</t>
  </si>
  <si>
    <t>45412</t>
  </si>
  <si>
    <t>SOPLADOR DE VIDRIO II</t>
  </si>
  <si>
    <t>45420</t>
  </si>
  <si>
    <t>SOPLADOR DE VIDRIO JEFE</t>
  </si>
  <si>
    <t>03508</t>
  </si>
  <si>
    <t>SUB DIRECTOR DE ORQUESTA</t>
  </si>
  <si>
    <t>21360</t>
  </si>
  <si>
    <t>SUB INSPECTOR GENERAL DE HACIENDA</t>
  </si>
  <si>
    <t>62610</t>
  </si>
  <si>
    <t>SUBTENIENTE (BOMBERO)</t>
  </si>
  <si>
    <t>23340</t>
  </si>
  <si>
    <t>16413</t>
  </si>
  <si>
    <t>SUPERVISOR ALFABETIZACION Y EDUC BAS III</t>
  </si>
  <si>
    <t>16411</t>
  </si>
  <si>
    <t>SUPERVISOR ALFABETIZACION Y EDUC BAS. I</t>
  </si>
  <si>
    <t>16412</t>
  </si>
  <si>
    <t>SUPERVISOR ALFABETIZACION Y EDUC.BAS II</t>
  </si>
  <si>
    <t>37960</t>
  </si>
  <si>
    <t>SUPERVISOR AUTOGRAFISTA</t>
  </si>
  <si>
    <t>25220</t>
  </si>
  <si>
    <t>SUPERVISOR DE ALMACEN</t>
  </si>
  <si>
    <t>16711</t>
  </si>
  <si>
    <t>SUPERVISOR DE APRENDIZAJE I</t>
  </si>
  <si>
    <t>16712</t>
  </si>
  <si>
    <t>SUPERVISOR DE APRENDIZAJE II</t>
  </si>
  <si>
    <t>16713</t>
  </si>
  <si>
    <t>SUPERVISOR DE APRENDIZAJE III</t>
  </si>
  <si>
    <t>16714</t>
  </si>
  <si>
    <t>SUPERVISOR DE APRENDIZAJE IV</t>
  </si>
  <si>
    <t>46921</t>
  </si>
  <si>
    <t>SUPERVISOR DE ASTILLEROS I</t>
  </si>
  <si>
    <t>46922</t>
  </si>
  <si>
    <t>SUPERVISOR DE ASTILLEROS II</t>
  </si>
  <si>
    <t>69220</t>
  </si>
  <si>
    <t>SUPERVISOR DE CAPORALES</t>
  </si>
  <si>
    <t>21635</t>
  </si>
  <si>
    <t>SUPERVISOR DE COLECTORES</t>
  </si>
  <si>
    <t>65121</t>
  </si>
  <si>
    <t>SUPERVISOR DE CONSERVACION AUTOM. I</t>
  </si>
  <si>
    <t>65122</t>
  </si>
  <si>
    <t>SUPERVISOR DE CONSERVACION AUTOMOTORA II</t>
  </si>
  <si>
    <t>14342</t>
  </si>
  <si>
    <t>SUPERVISOR DE CREDITOS AGROPECUARIO II</t>
  </si>
  <si>
    <t>14341</t>
  </si>
  <si>
    <t>SUPERVISOR DE CREDITOS AGROPECUARIOS I</t>
  </si>
  <si>
    <t>14343</t>
  </si>
  <si>
    <t>SUPERVISOR DE CREDITOS AGROPECUARIOS III</t>
  </si>
  <si>
    <t>52345</t>
  </si>
  <si>
    <t>SUPERVISOR DE EQUIPOS DE DRAGADO</t>
  </si>
  <si>
    <t>41321</t>
  </si>
  <si>
    <t>SUPERVISOR DE EXTENSION I</t>
  </si>
  <si>
    <t>41322</t>
  </si>
  <si>
    <t>SUPERVISOR DE EXTENSION II</t>
  </si>
  <si>
    <t>43215</t>
  </si>
  <si>
    <t>SUPERVISOR DE INSPECTORES DE INMUEBLES</t>
  </si>
  <si>
    <t>16513</t>
  </si>
  <si>
    <t>16511</t>
  </si>
  <si>
    <t>SUPERVISOR DE INSTRUCCION A DISTANCIA I</t>
  </si>
  <si>
    <t>16512</t>
  </si>
  <si>
    <t>SUPERVISOR DE INSTRUCCION A DISTANCIA II</t>
  </si>
  <si>
    <t>41811</t>
  </si>
  <si>
    <t>SUPERVISOR DE MANTENIMIENTO DE PARQUES I</t>
  </si>
  <si>
    <t>65111</t>
  </si>
  <si>
    <t>SUPERVISOR DE MECANICOS AUTOMOTORES I</t>
  </si>
  <si>
    <t>65112</t>
  </si>
  <si>
    <t>SUPERVISOR DE MECANICOS AUTOMOTORES II</t>
  </si>
  <si>
    <t>69250</t>
  </si>
  <si>
    <t>SUPERVISOR DE OBRAS PUBLICAS</t>
  </si>
  <si>
    <t>69240</t>
  </si>
  <si>
    <t>SUPERVISOR DE OBRAS SANITARIAS</t>
  </si>
  <si>
    <t>32521</t>
  </si>
  <si>
    <t>SUPERVISOR DE PRODUCCION I</t>
  </si>
  <si>
    <t>32522</t>
  </si>
  <si>
    <t>SUPERVISOR DE PRODUCCION II</t>
  </si>
  <si>
    <t>23430</t>
  </si>
  <si>
    <t>SUPERVISOR DE PROGRAMACION</t>
  </si>
  <si>
    <t>23120</t>
  </si>
  <si>
    <t>SUPERVISOR DE REPRODUCCION II</t>
  </si>
  <si>
    <t>22414</t>
  </si>
  <si>
    <t>SUPERVISOR DE SERVICIOS GENERAL IV</t>
  </si>
  <si>
    <t>22411</t>
  </si>
  <si>
    <t>SUPERVISOR DE SERVICIOS GENERALES I</t>
  </si>
  <si>
    <t>22412</t>
  </si>
  <si>
    <t>SUPERVISOR DE SERVICIOS GENERALES II</t>
  </si>
  <si>
    <t>22413</t>
  </si>
  <si>
    <t>SUPERVISOR DE SERVICIOS GENERALES III</t>
  </si>
  <si>
    <t>63121</t>
  </si>
  <si>
    <t>SUPERVISOR DE TALLER DE IMPRENTA I</t>
  </si>
  <si>
    <t>63122</t>
  </si>
  <si>
    <t>SUPERVISOR DE TALLER DE IMPRENTA II</t>
  </si>
  <si>
    <t>63123</t>
  </si>
  <si>
    <t>SUPERVISOR DE TALLER DE IMPRENTA III</t>
  </si>
  <si>
    <t>17430</t>
  </si>
  <si>
    <t>SUPERVISOR DOCENTE</t>
  </si>
  <si>
    <t>17440</t>
  </si>
  <si>
    <t>SUPERVISOR DOCENTE JEFE</t>
  </si>
  <si>
    <t>21660</t>
  </si>
  <si>
    <t>SUPERVISOR FISCAL DE COTIZACIONES</t>
  </si>
  <si>
    <t>21670</t>
  </si>
  <si>
    <t>SUPERVISOR FISCAL JEFE</t>
  </si>
  <si>
    <t>41812</t>
  </si>
  <si>
    <t>41813</t>
  </si>
  <si>
    <t>41814</t>
  </si>
  <si>
    <t>42450</t>
  </si>
  <si>
    <t>TAXIDERMISTA</t>
  </si>
  <si>
    <t>51541</t>
  </si>
  <si>
    <t>TEC EN RADIOCOMUNICACIONES AERON. JEFE</t>
  </si>
  <si>
    <t>71220</t>
  </si>
  <si>
    <t>TEC. EN DOTACION DE EQUIPOS DE HOSPITAL</t>
  </si>
  <si>
    <t>46161</t>
  </si>
  <si>
    <t>TEC. EN FABRICACION DE CUCHILLAS DE DIAM</t>
  </si>
  <si>
    <t>51542</t>
  </si>
  <si>
    <t>TEC. EN RADIOCOMUNICACIONES AER.JEFE II</t>
  </si>
  <si>
    <t>51531</t>
  </si>
  <si>
    <t>TEC. EN RADIOCOMUNICACIONES AERON. I</t>
  </si>
  <si>
    <t>51532</t>
  </si>
  <si>
    <t>TEC. EN RADIOCOMUNICACIONES AERONA. II</t>
  </si>
  <si>
    <t>51534</t>
  </si>
  <si>
    <t>TEC. EN RADIOCOMUNICACIONES AERONAU. IV</t>
  </si>
  <si>
    <t>51535</t>
  </si>
  <si>
    <t>TEC. EN RADIOCOMUNICACIONES AERONAU. V</t>
  </si>
  <si>
    <t>51536</t>
  </si>
  <si>
    <t>TEC. EN RADIOCOMUNICACIONES AERONAU. VI</t>
  </si>
  <si>
    <t>51533</t>
  </si>
  <si>
    <t>TEC. EN RADIOCOMUNICAICONES AERONA. III</t>
  </si>
  <si>
    <t>46164</t>
  </si>
  <si>
    <t>TEC. FABRICACION CUCHILLA DIAMANTE IV</t>
  </si>
  <si>
    <t>46162</t>
  </si>
  <si>
    <t>TEC. FABRICACION CUCHILLAS DIAMANTES II</t>
  </si>
  <si>
    <t>46163</t>
  </si>
  <si>
    <t>TEC. FABRICACION CUCHILLAS DIAMANTES III</t>
  </si>
  <si>
    <t>51552</t>
  </si>
  <si>
    <t>TECNICO AERNAUTICO II</t>
  </si>
  <si>
    <t>51551</t>
  </si>
  <si>
    <t>TECNICO AERONAUTICO I</t>
  </si>
  <si>
    <t>51560</t>
  </si>
  <si>
    <t>TECNICO AERONAUTICO JEFE</t>
  </si>
  <si>
    <t>41111</t>
  </si>
  <si>
    <t>TECNICO AGROPECUARIO I</t>
  </si>
  <si>
    <t>41112</t>
  </si>
  <si>
    <t>TECNICO AGROPECUARIO II</t>
  </si>
  <si>
    <t>41113</t>
  </si>
  <si>
    <t>TECNICO AGROPECUARIO III</t>
  </si>
  <si>
    <t>41114</t>
  </si>
  <si>
    <t>TECNICO AGROPECUARIO IV</t>
  </si>
  <si>
    <t>41120</t>
  </si>
  <si>
    <t>TECNICO AGROPECUARIO JEFE</t>
  </si>
  <si>
    <t>53131</t>
  </si>
  <si>
    <t>TECNICO ARANCELARIO I</t>
  </si>
  <si>
    <t>53140</t>
  </si>
  <si>
    <t>TECNICO ARANCELARIO JEFE</t>
  </si>
  <si>
    <t>53132</t>
  </si>
  <si>
    <t>TECNICO ARANGELARIO II</t>
  </si>
  <si>
    <t>46910</t>
  </si>
  <si>
    <t>TECNICO DE ASTILLEROS</t>
  </si>
  <si>
    <t>52240</t>
  </si>
  <si>
    <t>TECNICO DE BALIZAMIENTO</t>
  </si>
  <si>
    <t>52245</t>
  </si>
  <si>
    <t>TECNICO DE BALIZAMIENTO JEFE</t>
  </si>
  <si>
    <t>72411</t>
  </si>
  <si>
    <t>TECNICO DE EQUIPOS MEDICOS I</t>
  </si>
  <si>
    <t>72412</t>
  </si>
  <si>
    <t>TECNICO DE EQUIPOS MEDICOS II</t>
  </si>
  <si>
    <t>72413</t>
  </si>
  <si>
    <t>TECNICO DE EQUIPOS MEDICOS III</t>
  </si>
  <si>
    <t>86121</t>
  </si>
  <si>
    <t>TECNICO DE IDENTIDICACION I</t>
  </si>
  <si>
    <t>86122</t>
  </si>
  <si>
    <t>TECNICO DE IDENTIFICACION II</t>
  </si>
  <si>
    <t>86123</t>
  </si>
  <si>
    <t>TECNICO DE IDENTIFICACION III</t>
  </si>
  <si>
    <t>71121</t>
  </si>
  <si>
    <t>TECNICO DE REGISTRO Y EST. DE SALUD I</t>
  </si>
  <si>
    <t>71122</t>
  </si>
  <si>
    <t>TECNICO DE REGISTRO Y EST. DE SALUD II</t>
  </si>
  <si>
    <t>71123</t>
  </si>
  <si>
    <t>TECNICO DE REGISTRO Y ESTAD DE SALUD III</t>
  </si>
  <si>
    <t>71124</t>
  </si>
  <si>
    <t>TECNICO DE REGISTRO Y ESTAD DE SALUD IV</t>
  </si>
  <si>
    <t>46121</t>
  </si>
  <si>
    <t>TECNICO DE REPARACION Y MANTENIMIENTO I</t>
  </si>
  <si>
    <t>46122</t>
  </si>
  <si>
    <t>TECNICO DE REPARACION Y MANTENIMIENTO II</t>
  </si>
  <si>
    <t>51211</t>
  </si>
  <si>
    <t>TECNICO EN DRAGADO I</t>
  </si>
  <si>
    <t>51212</t>
  </si>
  <si>
    <t>TECNICO EN DRAGADO II</t>
  </si>
  <si>
    <t>51213</t>
  </si>
  <si>
    <t>TECNICO EN DRAGADO III</t>
  </si>
  <si>
    <t>44311</t>
  </si>
  <si>
    <t>TECNICO EN GEOLOGIA Y MINAS I</t>
  </si>
  <si>
    <t>44312</t>
  </si>
  <si>
    <t>TECNICO EN GEOLOGIA Y MINAS II</t>
  </si>
  <si>
    <t>44313</t>
  </si>
  <si>
    <t>TECNICO EN GEOLOGIA Y MINAS III</t>
  </si>
  <si>
    <t>79380</t>
  </si>
  <si>
    <t>TECNICO EN GERONTOLOGIA</t>
  </si>
  <si>
    <t>51581</t>
  </si>
  <si>
    <t>TECNICO EN INFORMACION AERONAUTICA I</t>
  </si>
  <si>
    <t>51582</t>
  </si>
  <si>
    <t>TECNICO EN INFORMACION AERONAUTICA II</t>
  </si>
  <si>
    <t>51583</t>
  </si>
  <si>
    <t>TECNICO EN INFORMACION AERONAUTICA III</t>
  </si>
  <si>
    <t>51584</t>
  </si>
  <si>
    <t>TECNICO EN INFORMACION AERONAUTICA IV</t>
  </si>
  <si>
    <t>51590</t>
  </si>
  <si>
    <t>TECNICO EN INFORMACION AERONAUTICA JEFE</t>
  </si>
  <si>
    <t>51585</t>
  </si>
  <si>
    <t>TECNICO EN INFORMACION AERONAUTICA V</t>
  </si>
  <si>
    <t>84221</t>
  </si>
  <si>
    <t>TECNICO EN METROLOGIA I</t>
  </si>
  <si>
    <t>84222</t>
  </si>
  <si>
    <t>TECNICO EN METROLOGIA II</t>
  </si>
  <si>
    <t>84223</t>
  </si>
  <si>
    <t>TECNICO EN METROLOGIA III</t>
  </si>
  <si>
    <t>72620</t>
  </si>
  <si>
    <t>TECNICO EN ORTEIS Y/O PROTESIS</t>
  </si>
  <si>
    <t>44511</t>
  </si>
  <si>
    <t>TECNICO EN PETROLEO I</t>
  </si>
  <si>
    <t>44512</t>
  </si>
  <si>
    <t>TECNICO EN PETROLEO II</t>
  </si>
  <si>
    <t>44513</t>
  </si>
  <si>
    <t>TECNICO EN PETROLEO III</t>
  </si>
  <si>
    <t>51511</t>
  </si>
  <si>
    <t>TECNICO EN TELECOMUNICACIONES I</t>
  </si>
  <si>
    <t>51512</t>
  </si>
  <si>
    <t>TECNICO EN TELECOMUNICACIONES II</t>
  </si>
  <si>
    <t>51513</t>
  </si>
  <si>
    <t>TECNICO EN TELECOMUNICACIONES III</t>
  </si>
  <si>
    <t>51514</t>
  </si>
  <si>
    <t>TECNICO EN TELECOMUNICACIONES IV</t>
  </si>
  <si>
    <t>51521</t>
  </si>
  <si>
    <t>TECNICO EN TELECOMUNICACIONES JEFE I</t>
  </si>
  <si>
    <t>51522</t>
  </si>
  <si>
    <t>TECNICO EN TELECOMUNICACIONES JEFE II</t>
  </si>
  <si>
    <t>51523</t>
  </si>
  <si>
    <t>TECNICO EN TELECOMUNICACIONES JEFE III</t>
  </si>
  <si>
    <t>51515</t>
  </si>
  <si>
    <t>TECNICO EN TELECOMUNICACIONES V</t>
  </si>
  <si>
    <t>51516</t>
  </si>
  <si>
    <t>TECNICO EN TELECOMUNICACIONES VI</t>
  </si>
  <si>
    <t>72140</t>
  </si>
  <si>
    <t>TECNICO HISTOLOGO</t>
  </si>
  <si>
    <t>84511</t>
  </si>
  <si>
    <t>TECNICO NORMALIZADOR I</t>
  </si>
  <si>
    <t>84512</t>
  </si>
  <si>
    <t>TECNICO NORMALIZADOR II</t>
  </si>
  <si>
    <t>84513</t>
  </si>
  <si>
    <t>TECNICO NORMALIZADOR III</t>
  </si>
  <si>
    <t>53241</t>
  </si>
  <si>
    <t>TECNICO PORTUARIO I</t>
  </si>
  <si>
    <t>53242</t>
  </si>
  <si>
    <t>TECNICO PORTUARIO II</t>
  </si>
  <si>
    <t>53250</t>
  </si>
  <si>
    <t>TECNICO PORTUARIO JEFE</t>
  </si>
  <si>
    <t>44711</t>
  </si>
  <si>
    <t>TECNICO QUIMICO I</t>
  </si>
  <si>
    <t>44712</t>
  </si>
  <si>
    <t>TECNICO QUIMICO II</t>
  </si>
  <si>
    <t>44713</t>
  </si>
  <si>
    <t>TECNICO QUIMICO III</t>
  </si>
  <si>
    <t>44714</t>
  </si>
  <si>
    <t>TECNICO QUIMICO IV</t>
  </si>
  <si>
    <t>72441</t>
  </si>
  <si>
    <t>TECNICO RADIOLOGO I</t>
  </si>
  <si>
    <t>72442</t>
  </si>
  <si>
    <t>TECNICO RADIOLOGO II</t>
  </si>
  <si>
    <t>72443</t>
  </si>
  <si>
    <t>TECNICO RADIOLOGO III</t>
  </si>
  <si>
    <t>42150</t>
  </si>
  <si>
    <t>TECNICO SUPERIOR AGRICULTOR</t>
  </si>
  <si>
    <t>79341</t>
  </si>
  <si>
    <t>TECNICO SUPERIOR EN TRABAJO SOCIAL I</t>
  </si>
  <si>
    <t>79342</t>
  </si>
  <si>
    <t>TECNICO SUPERIOR EN TRABAJO SOCIAL II</t>
  </si>
  <si>
    <t>42140</t>
  </si>
  <si>
    <t>TECNICO SUPERIOR PESQUERO</t>
  </si>
  <si>
    <t>53311</t>
  </si>
  <si>
    <t>TECNICO VALORADOR I</t>
  </si>
  <si>
    <t>53312</t>
  </si>
  <si>
    <t>TECNICO VALORADOR II</t>
  </si>
  <si>
    <t>53313</t>
  </si>
  <si>
    <t>TECNICO VALORADOR III</t>
  </si>
  <si>
    <t>53320</t>
  </si>
  <si>
    <t>TECNICO VALORADOR JEFE</t>
  </si>
  <si>
    <t>51480</t>
  </si>
  <si>
    <t>TELEFONISTA</t>
  </si>
  <si>
    <t>62600</t>
  </si>
  <si>
    <t>TENIENTE (BOMBERO)</t>
  </si>
  <si>
    <t>62300</t>
  </si>
  <si>
    <t>TENIENTE CORONEL (BOMBERO)</t>
  </si>
  <si>
    <t>72521</t>
  </si>
  <si>
    <t>TERAPEUTA OCUPACIONAL I</t>
  </si>
  <si>
    <t>72522</t>
  </si>
  <si>
    <t>TERAPEUTA OCUPACIONAL II</t>
  </si>
  <si>
    <t>72523</t>
  </si>
  <si>
    <t>TERAPEUTA OCUPACIONAL III</t>
  </si>
  <si>
    <t>72524</t>
  </si>
  <si>
    <t>TERAPEUTA OCUPACIONAL IV</t>
  </si>
  <si>
    <t>72541</t>
  </si>
  <si>
    <t>TERAPISTA DE LENGUAJE I</t>
  </si>
  <si>
    <t>72542</t>
  </si>
  <si>
    <t>TERAPISTA DE LENGUAJE II</t>
  </si>
  <si>
    <t>00911</t>
  </si>
  <si>
    <t>TESORERO(A) GENERAL DEL ESTADO</t>
  </si>
  <si>
    <t>03556</t>
  </si>
  <si>
    <t>TIMBAL 1</t>
  </si>
  <si>
    <t>43141</t>
  </si>
  <si>
    <t>TOPOGRAFO CARTOGRAFICO I</t>
  </si>
  <si>
    <t>43142</t>
  </si>
  <si>
    <t>TOPOGRAFO CARTOGRAFICO II</t>
  </si>
  <si>
    <t>43150</t>
  </si>
  <si>
    <t>TOPOGRAFO CARTOGRAFICO JEFE</t>
  </si>
  <si>
    <t>43121</t>
  </si>
  <si>
    <t>TOPOGRAFO I</t>
  </si>
  <si>
    <t>43122</t>
  </si>
  <si>
    <t>TOPOGRAFO II</t>
  </si>
  <si>
    <t>79351</t>
  </si>
  <si>
    <t>TRABAJADOR SOCIAL I</t>
  </si>
  <si>
    <t>79352</t>
  </si>
  <si>
    <t>TRABAJADOR SOCIAL II</t>
  </si>
  <si>
    <t>79353</t>
  </si>
  <si>
    <t>TRABAJADOR SOCIAL III</t>
  </si>
  <si>
    <t>79354</t>
  </si>
  <si>
    <t>TRABAJADOR SOCIAL IV</t>
  </si>
  <si>
    <t>22311</t>
  </si>
  <si>
    <t>TRADUCTOR I</t>
  </si>
  <si>
    <t>22312</t>
  </si>
  <si>
    <t>TRADUCTOR II</t>
  </si>
  <si>
    <t>22313</t>
  </si>
  <si>
    <t>TRADUCTOR III</t>
  </si>
  <si>
    <t>22322</t>
  </si>
  <si>
    <t>TRADUCTOR MULTILINGUE II</t>
  </si>
  <si>
    <t>22321</t>
  </si>
  <si>
    <t>TRADUCTOR MULTILUNGUE I</t>
  </si>
  <si>
    <t>53151</t>
  </si>
  <si>
    <t>TRAMITADOR DE ASUNTOS DE ADUANA I</t>
  </si>
  <si>
    <t>53152</t>
  </si>
  <si>
    <t>TRAMITADOR DE ASUNTOS DE ADUANA II</t>
  </si>
  <si>
    <t>53160</t>
  </si>
  <si>
    <t>TRAMITADOR DE ASUNTOS DE ADUANA JEFE</t>
  </si>
  <si>
    <t>03552</t>
  </si>
  <si>
    <t>TROMBON 1</t>
  </si>
  <si>
    <t>03584</t>
  </si>
  <si>
    <t>TROMBON 2</t>
  </si>
  <si>
    <t>03613</t>
  </si>
  <si>
    <t>TROMBON 3</t>
  </si>
  <si>
    <t>03548</t>
  </si>
  <si>
    <t>TROMPETA 1</t>
  </si>
  <si>
    <t>03580</t>
  </si>
  <si>
    <t>TROMPETA 2</t>
  </si>
  <si>
    <t>03608</t>
  </si>
  <si>
    <t>TROMPETA 3</t>
  </si>
  <si>
    <t>03512</t>
  </si>
  <si>
    <t>TROMPETA SOLISTA</t>
  </si>
  <si>
    <t>03554</t>
  </si>
  <si>
    <t>TUBA 1</t>
  </si>
  <si>
    <t>03586</t>
  </si>
  <si>
    <t>TUBA 2</t>
  </si>
  <si>
    <t>79521</t>
  </si>
  <si>
    <t>TUTOR FACILITADOR I</t>
  </si>
  <si>
    <t>79522</t>
  </si>
  <si>
    <t>TUTOR FACILITADOR II</t>
  </si>
  <si>
    <t>79523</t>
  </si>
  <si>
    <t>TUTOR FACILITADOR III</t>
  </si>
  <si>
    <t>43811</t>
  </si>
  <si>
    <t>URBANISTA I</t>
  </si>
  <si>
    <t>43812</t>
  </si>
  <si>
    <t>URBANISTA II</t>
  </si>
  <si>
    <t>43813</t>
  </si>
  <si>
    <t>URBANISTA III</t>
  </si>
  <si>
    <t>43820</t>
  </si>
  <si>
    <t>URBANISTA JEFE</t>
  </si>
  <si>
    <t>03577</t>
  </si>
  <si>
    <t>VIOLIN 1</t>
  </si>
  <si>
    <t>03576</t>
  </si>
  <si>
    <t>VIOLONCELLO</t>
  </si>
  <si>
    <t>42431</t>
  </si>
  <si>
    <t>ZOOLOGO I</t>
  </si>
  <si>
    <t>42432</t>
  </si>
  <si>
    <t>ZOOLOGO II</t>
  </si>
  <si>
    <t>41511</t>
  </si>
  <si>
    <t>ZOOTECNISTA I</t>
  </si>
  <si>
    <t>41512</t>
  </si>
  <si>
    <t>ZOOTECNISTA II</t>
  </si>
  <si>
    <t>41513</t>
  </si>
  <si>
    <t>ZOOTECNISTA III</t>
  </si>
  <si>
    <t>41514</t>
  </si>
  <si>
    <t>ZOOTECNISTA IV</t>
  </si>
  <si>
    <t>41520</t>
  </si>
  <si>
    <t>ZOOTECNISTA JEFE</t>
  </si>
  <si>
    <t>41515</t>
  </si>
  <si>
    <t>ZOOTECNISTA V</t>
  </si>
  <si>
    <t>ACARREADOR</t>
  </si>
  <si>
    <t>7101</t>
  </si>
  <si>
    <t>O</t>
  </si>
  <si>
    <t>OB</t>
  </si>
  <si>
    <t>7225</t>
  </si>
  <si>
    <t>ARMADOR DE PUERTOS</t>
  </si>
  <si>
    <t>5250</t>
  </si>
  <si>
    <t>ASCENSORISTA</t>
  </si>
  <si>
    <t>3125</t>
  </si>
  <si>
    <t>ASEADOR</t>
  </si>
  <si>
    <t>7102</t>
  </si>
  <si>
    <t>6231</t>
  </si>
  <si>
    <t>6232</t>
  </si>
  <si>
    <t>AUXILIAR DE AUTOPSIA</t>
  </si>
  <si>
    <t>6225</t>
  </si>
  <si>
    <t>AUXILIAR DE CRISTALERIA</t>
  </si>
  <si>
    <t>8524</t>
  </si>
  <si>
    <t>AUXILIAR DE ENFERMERIA</t>
  </si>
  <si>
    <t>6274</t>
  </si>
  <si>
    <t>AUXILIAR DE NUTRICION</t>
  </si>
  <si>
    <t>6227</t>
  </si>
  <si>
    <t>AUXILIAR DE ODONTOLOGIA</t>
  </si>
  <si>
    <t>6228</t>
  </si>
  <si>
    <t>AUXILIAR DE SERVICIOS DE OFICINA</t>
  </si>
  <si>
    <t>7202</t>
  </si>
  <si>
    <t>AUXILIAR DE SERVICIOS DE TREN</t>
  </si>
  <si>
    <t>3202</t>
  </si>
  <si>
    <t>AUXILIAR DE TELECOMUNICACIONES</t>
  </si>
  <si>
    <t>7203</t>
  </si>
  <si>
    <t>AUXILIAR DE VETERINARIA</t>
  </si>
  <si>
    <t>1201</t>
  </si>
  <si>
    <t>6201</t>
  </si>
  <si>
    <t>6226</t>
  </si>
  <si>
    <t>6229</t>
  </si>
  <si>
    <t>AYUDANTE AGROPECUARIO</t>
  </si>
  <si>
    <t>1151</t>
  </si>
  <si>
    <t>AYUDANTE BARMAN</t>
  </si>
  <si>
    <t>2125</t>
  </si>
  <si>
    <t>AYUDANTE DE ALMACEN</t>
  </si>
  <si>
    <t>7201</t>
  </si>
  <si>
    <t>AYUDANTE DE ARTES GRAFICAS</t>
  </si>
  <si>
    <t>4150</t>
  </si>
  <si>
    <t>AYUDANTE DE AULA</t>
  </si>
  <si>
    <t>7125</t>
  </si>
  <si>
    <t>AYUDANTE DE CARGA</t>
  </si>
  <si>
    <t>7150</t>
  </si>
  <si>
    <t>AYUDANTE DE CARPINTERIA</t>
  </si>
  <si>
    <t>7228</t>
  </si>
  <si>
    <t>AYUDANTE DE COSTURA</t>
  </si>
  <si>
    <t>7103</t>
  </si>
  <si>
    <t>AYUDANTE DE INSTALADOR DE ANTENA</t>
  </si>
  <si>
    <t>5154</t>
  </si>
  <si>
    <t>AYUDANTE DE LABORATORIO GEONALITICO</t>
  </si>
  <si>
    <t>5150</t>
  </si>
  <si>
    <t>AYUDANTE DE MAQUINARIA</t>
  </si>
  <si>
    <t>5125</t>
  </si>
  <si>
    <t>AYUDANTE DE MECANICO</t>
  </si>
  <si>
    <t>5126</t>
  </si>
  <si>
    <t>AYUDANTE DE OPERACIONES FERROVIARIAS</t>
  </si>
  <si>
    <t>7178</t>
  </si>
  <si>
    <t>AYUDANTE DE PANADEROS Y PASTELERO</t>
  </si>
  <si>
    <t>2126</t>
  </si>
  <si>
    <t>AYUDANTE DE SERV. DE PUERTO Y AEROPUERTO</t>
  </si>
  <si>
    <t>3129</t>
  </si>
  <si>
    <t>AYUDANTE DE SERVICIOS DE COCINA</t>
  </si>
  <si>
    <t>2127</t>
  </si>
  <si>
    <t>AYUDANTE DE SERVICIOS GENERALES</t>
  </si>
  <si>
    <t>7152</t>
  </si>
  <si>
    <t>AYUDANTE DE TOPOGRAFIA</t>
  </si>
  <si>
    <t>7226</t>
  </si>
  <si>
    <t>AYUDANTE INSPECTOR</t>
  </si>
  <si>
    <t>8521</t>
  </si>
  <si>
    <t>AYUDANTE MANTENIMIENTO DE VIAS TERRESTRE</t>
  </si>
  <si>
    <t>5152</t>
  </si>
  <si>
    <t>AYUDANTE MANTENIMIENTO VIAS FERROVIARIAS</t>
  </si>
  <si>
    <t>5151</t>
  </si>
  <si>
    <t>AYUDANTE POSTAL TELEGRAFICO</t>
  </si>
  <si>
    <t>7126</t>
  </si>
  <si>
    <t>BARBERO</t>
  </si>
  <si>
    <t>3150</t>
  </si>
  <si>
    <t>BARMAN</t>
  </si>
  <si>
    <t>2201</t>
  </si>
  <si>
    <t>BOTONES</t>
  </si>
  <si>
    <t>3126</t>
  </si>
  <si>
    <t>BUZO</t>
  </si>
  <si>
    <t>7250</t>
  </si>
  <si>
    <t>CAJISTA</t>
  </si>
  <si>
    <t>4174</t>
  </si>
  <si>
    <t>CAMARERA</t>
  </si>
  <si>
    <t>7104</t>
  </si>
  <si>
    <t>CAMILLERO</t>
  </si>
  <si>
    <t>6174</t>
  </si>
  <si>
    <t>CAPITAN DE MESONEROS</t>
  </si>
  <si>
    <t>3301</t>
  </si>
  <si>
    <t>CAPORAL DE EQUIPOS</t>
  </si>
  <si>
    <t>8525</t>
  </si>
  <si>
    <t>CARNICERO</t>
  </si>
  <si>
    <t>2150</t>
  </si>
  <si>
    <t>CARPINTERO</t>
  </si>
  <si>
    <t>7227</t>
  </si>
  <si>
    <t>CERRAJERO</t>
  </si>
  <si>
    <t>7127</t>
  </si>
  <si>
    <t>CLASIFICADOR DE FRUTOS</t>
  </si>
  <si>
    <t>1150</t>
  </si>
  <si>
    <t>CLASIFICADOS POSTAL TELEGRAFICO</t>
  </si>
  <si>
    <t>7207</t>
  </si>
  <si>
    <t>2129</t>
  </si>
  <si>
    <t>CONSERJE</t>
  </si>
  <si>
    <t>7159</t>
  </si>
  <si>
    <t>CONTRAMAESTRE</t>
  </si>
  <si>
    <t>7301</t>
  </si>
  <si>
    <t>CONTROL ASIST, MEDICAS</t>
  </si>
  <si>
    <t>8523</t>
  </si>
  <si>
    <t>COSTURERA</t>
  </si>
  <si>
    <t>7204</t>
  </si>
  <si>
    <t>CUIDADOR DE ANIMALES</t>
  </si>
  <si>
    <t>1174</t>
  </si>
  <si>
    <t>CHOFER</t>
  </si>
  <si>
    <t>7174</t>
  </si>
  <si>
    <t>CHOFER DE CARGA</t>
  </si>
  <si>
    <t>7231</t>
  </si>
  <si>
    <t>CHOFER DE TRANSPORTE</t>
  </si>
  <si>
    <t>7206</t>
  </si>
  <si>
    <t>DEPOSITARIO</t>
  </si>
  <si>
    <t>7135</t>
  </si>
  <si>
    <t>DESPACHADOR DE COMBUSTIBLE</t>
  </si>
  <si>
    <t>5127</t>
  </si>
  <si>
    <t>DESPACHADOR DE MERCANCIA</t>
  </si>
  <si>
    <t>3127</t>
  </si>
  <si>
    <t>DESPENSERO</t>
  </si>
  <si>
    <t>2174</t>
  </si>
  <si>
    <t>ELECTRICISTA DE ALTA TENSION</t>
  </si>
  <si>
    <t>7274</t>
  </si>
  <si>
    <t>ELECTROMECANICO</t>
  </si>
  <si>
    <t>7275</t>
  </si>
  <si>
    <t>EMBALADOR</t>
  </si>
  <si>
    <t>8522</t>
  </si>
  <si>
    <t>ESCOLTA</t>
  </si>
  <si>
    <t>8250</t>
  </si>
  <si>
    <t>ESPESORISTA</t>
  </si>
  <si>
    <t>8526</t>
  </si>
  <si>
    <t>FISCAL DE MATADERO</t>
  </si>
  <si>
    <t>1175</t>
  </si>
  <si>
    <t>FOTOGRABADOR PLANCHISTA</t>
  </si>
  <si>
    <t>4225</t>
  </si>
  <si>
    <t>FUMIGADOR</t>
  </si>
  <si>
    <t>6150</t>
  </si>
  <si>
    <t>GUARDA BARRERA</t>
  </si>
  <si>
    <t>7105</t>
  </si>
  <si>
    <t>GUARDAPARQUES</t>
  </si>
  <si>
    <t>8251</t>
  </si>
  <si>
    <t>GUARDAPARQUEZ</t>
  </si>
  <si>
    <t>6251</t>
  </si>
  <si>
    <t>GUIA VACACIONISTA</t>
  </si>
  <si>
    <t>3201</t>
  </si>
  <si>
    <t>GUILLOTINERO</t>
  </si>
  <si>
    <t>4152</t>
  </si>
  <si>
    <t>HERRERO</t>
  </si>
  <si>
    <t>7208</t>
  </si>
  <si>
    <t>INCINERADOR</t>
  </si>
  <si>
    <t>8520</t>
  </si>
  <si>
    <t>INSTALADOR DE ANTENA</t>
  </si>
  <si>
    <t>5251</t>
  </si>
  <si>
    <t>JARDINERO</t>
  </si>
  <si>
    <t>7153</t>
  </si>
  <si>
    <t>JEFE DE OBRERO</t>
  </si>
  <si>
    <t>0911</t>
  </si>
  <si>
    <t>LATONERO Y PINTOR</t>
  </si>
  <si>
    <t>5174</t>
  </si>
  <si>
    <t>LAVADOR Y ENGRASADOR</t>
  </si>
  <si>
    <t>5128</t>
  </si>
  <si>
    <t>LAVANDERO</t>
  </si>
  <si>
    <t>7128</t>
  </si>
  <si>
    <t>LENCERO</t>
  </si>
  <si>
    <t>7106</t>
  </si>
  <si>
    <t>LINOTIPISTA</t>
  </si>
  <si>
    <t>4202</t>
  </si>
  <si>
    <t>MAITRE</t>
  </si>
  <si>
    <t>3350</t>
  </si>
  <si>
    <t>MANIPULADOR DE FRUTOS</t>
  </si>
  <si>
    <t>1125</t>
  </si>
  <si>
    <t>MAQUINISTA</t>
  </si>
  <si>
    <t>5201</t>
  </si>
  <si>
    <t>MARINERO</t>
  </si>
  <si>
    <t>7154</t>
  </si>
  <si>
    <t>MECANICO AUTOMOTRIZ</t>
  </si>
  <si>
    <t>5225</t>
  </si>
  <si>
    <t>MECANICO DE AVIACION</t>
  </si>
  <si>
    <t>5275</t>
  </si>
  <si>
    <t>MECANICO DE BOBLIWG</t>
  </si>
  <si>
    <t>5175</t>
  </si>
  <si>
    <t>MECANICO DE BOGIS FERROVIARIO</t>
  </si>
  <si>
    <t>5277</t>
  </si>
  <si>
    <t>MECANICO DE MOTO</t>
  </si>
  <si>
    <t>5176</t>
  </si>
  <si>
    <t>MECANICO DE MOTORES DIESEL</t>
  </si>
  <si>
    <t>5274</t>
  </si>
  <si>
    <t>MECANICO DE REFRIGERACION</t>
  </si>
  <si>
    <t>5226</t>
  </si>
  <si>
    <t>MECANICO SISTEMA NEUMATICO FERROVIARIO</t>
  </si>
  <si>
    <t>5276</t>
  </si>
  <si>
    <t>MENSAJERO</t>
  </si>
  <si>
    <t>7129</t>
  </si>
  <si>
    <t>MENSAJERO MOTORIZADO</t>
  </si>
  <si>
    <t>7155</t>
  </si>
  <si>
    <t>MESONERO</t>
  </si>
  <si>
    <t>3175</t>
  </si>
  <si>
    <t>MODISTO</t>
  </si>
  <si>
    <t>7251</t>
  </si>
  <si>
    <t>3174</t>
  </si>
  <si>
    <t>OBRERO DE MANTENIMIENTO</t>
  </si>
  <si>
    <t>8123</t>
  </si>
  <si>
    <t>2202</t>
  </si>
  <si>
    <t>OP</t>
  </si>
  <si>
    <t>OPERADOR DE CALDERA</t>
  </si>
  <si>
    <t>7215</t>
  </si>
  <si>
    <t>OPERADOR DE MAQUINARIA PESADA</t>
  </si>
  <si>
    <t>5229</t>
  </si>
  <si>
    <t>OPERADOR DE PRENSA DE IMPRESION</t>
  </si>
  <si>
    <t>4250</t>
  </si>
  <si>
    <t>OPERADOR DE SALAS MOVILES</t>
  </si>
  <si>
    <t>7211</t>
  </si>
  <si>
    <t>OPERADOR DE SONIDO</t>
  </si>
  <si>
    <t>7160</t>
  </si>
  <si>
    <t>OPERADOR FERROVIARIO DE MANTENIMIENTO</t>
  </si>
  <si>
    <t>7210</t>
  </si>
  <si>
    <t>OPERADOR MAQUINARIA DE VIA FERREA</t>
  </si>
  <si>
    <t>5232</t>
  </si>
  <si>
    <t>OPERARIO COMPAGINACION Y ENCUADERNACION</t>
  </si>
  <si>
    <t>4125</t>
  </si>
  <si>
    <t>OPERARIO DE ACUEDUCTO</t>
  </si>
  <si>
    <t>5227</t>
  </si>
  <si>
    <t>OPERARIO DE EQUIPO DE TELECOMUNICACION</t>
  </si>
  <si>
    <t>7209</t>
  </si>
  <si>
    <t>OPERARIO DE FARO</t>
  </si>
  <si>
    <t>7130</t>
  </si>
  <si>
    <t>OPERARIO DE MAQUINA FOTOCOPIADORA</t>
  </si>
  <si>
    <t>4151</t>
  </si>
  <si>
    <t>OPERARIO DE MAQUINA LIVIANA</t>
  </si>
  <si>
    <t>5202</t>
  </si>
  <si>
    <t>OPERARIO DE PISCINA</t>
  </si>
  <si>
    <t>5203</t>
  </si>
  <si>
    <t>OPERARIO DE PLANTA HIDROELECTRICA</t>
  </si>
  <si>
    <t>5230</t>
  </si>
  <si>
    <t>OPERARIO MANTENIMIENTO VIAS TERRESTRES</t>
  </si>
  <si>
    <t>5228</t>
  </si>
  <si>
    <t>OPERARIO MAQUINA PRODUCCION FARMACEUTICA</t>
  </si>
  <si>
    <t>6175</t>
  </si>
  <si>
    <t>PANADERO</t>
  </si>
  <si>
    <t>2175</t>
  </si>
  <si>
    <t>PASTELERO</t>
  </si>
  <si>
    <t>2203</t>
  </si>
  <si>
    <t>PESCADOR</t>
  </si>
  <si>
    <t>1202</t>
  </si>
  <si>
    <t>PINTOR</t>
  </si>
  <si>
    <t>7177</t>
  </si>
  <si>
    <t>PLANCHADOR</t>
  </si>
  <si>
    <t>7131</t>
  </si>
  <si>
    <t>PLOMERO</t>
  </si>
  <si>
    <t>7212</t>
  </si>
  <si>
    <t>PORTERO</t>
  </si>
  <si>
    <t>3128</t>
  </si>
  <si>
    <t>PRACTICO FLUVIAL</t>
  </si>
  <si>
    <t>7175</t>
  </si>
  <si>
    <t>RAPARADOR DE BICICLETA</t>
  </si>
  <si>
    <t>5153</t>
  </si>
  <si>
    <t>RASTRILLERO</t>
  </si>
  <si>
    <t>8527</t>
  </si>
  <si>
    <t>RECEPTOR INFORMADOR</t>
  </si>
  <si>
    <t>3176</t>
  </si>
  <si>
    <t>REPARADOR DE MQUINA DE OFICINA</t>
  </si>
  <si>
    <t>7157</t>
  </si>
  <si>
    <t>REPARADOR DE NEUMATICO</t>
  </si>
  <si>
    <t>5129</t>
  </si>
  <si>
    <t>REPARADOR DE PARACAIDAS</t>
  </si>
  <si>
    <t>5231</t>
  </si>
  <si>
    <t>REPARADOR DE RADIADOR</t>
  </si>
  <si>
    <t>5130</t>
  </si>
  <si>
    <t>REPARTIDOR DE ALIMENTOS</t>
  </si>
  <si>
    <t>2128</t>
  </si>
  <si>
    <t>REPARTIDOR POSTAL TELEGRAFICO</t>
  </si>
  <si>
    <t>7176</t>
  </si>
  <si>
    <t>SALVAVIDAS</t>
  </si>
  <si>
    <t>8225</t>
  </si>
  <si>
    <t>SOLDADOR</t>
  </si>
  <si>
    <t>7229</t>
  </si>
  <si>
    <t>SUPERV. MANTENIMIENTO VIAS FERROVIARIA</t>
  </si>
  <si>
    <t>5302</t>
  </si>
  <si>
    <t>SUPERVISOR DE ARMADOR DE PUENTES</t>
  </si>
  <si>
    <t>5350</t>
  </si>
  <si>
    <t>SUPERVISOR DE ASCENSORISTAS</t>
  </si>
  <si>
    <t>3809</t>
  </si>
  <si>
    <t>SUPERVISOR DE AUXILIAR DE VETERINARIA</t>
  </si>
  <si>
    <t>1301</t>
  </si>
  <si>
    <t>SUPERVISOR DE CAMARERAS</t>
  </si>
  <si>
    <t>7302</t>
  </si>
  <si>
    <t>SUPERVISOR DE COCINA</t>
  </si>
  <si>
    <t>2301</t>
  </si>
  <si>
    <t>SUPERVISOR DE FUMIGACION</t>
  </si>
  <si>
    <t>6301</t>
  </si>
  <si>
    <t>SUPERVISOR DE MANTENIMIENTO DE AREAS PUBLICAS</t>
  </si>
  <si>
    <t>7305</t>
  </si>
  <si>
    <t>SUPERVISOR DE PLANTA HIDROELECTRICA</t>
  </si>
  <si>
    <t>5301</t>
  </si>
  <si>
    <t>SUPERVISOR DE SEGURIDAD</t>
  </si>
  <si>
    <t>8350</t>
  </si>
  <si>
    <t>SUPERVISOR DE SERVICIOS DE REPROD. E IMP</t>
  </si>
  <si>
    <t>4350</t>
  </si>
  <si>
    <t>SUPERVISOR DE SERVICIOS ESPECIALIZADOS</t>
  </si>
  <si>
    <t>7350</t>
  </si>
  <si>
    <t>SUPERVISOR DE SERVICIOS INTERNOS</t>
  </si>
  <si>
    <t>7303</t>
  </si>
  <si>
    <t>SUPERVISOR DE VIVEROS</t>
  </si>
  <si>
    <t>1302</t>
  </si>
  <si>
    <t>SUPERVISOR EMPAQUE Y ENVASE PROD. FARM.</t>
  </si>
  <si>
    <t>6302</t>
  </si>
  <si>
    <t>SUPERVISOR OPERACIONES FERROVIARIAS</t>
  </si>
  <si>
    <t>7351</t>
  </si>
  <si>
    <t>TALABARTERO</t>
  </si>
  <si>
    <t>7158</t>
  </si>
  <si>
    <t>TAPICERO</t>
  </si>
  <si>
    <t>7213</t>
  </si>
  <si>
    <t>TAQUILLERO</t>
  </si>
  <si>
    <t>3151</t>
  </si>
  <si>
    <t>TIMONEL DE EMBARCACION</t>
  </si>
  <si>
    <t>7214</t>
  </si>
  <si>
    <t>TORNERO</t>
  </si>
  <si>
    <t>7230</t>
  </si>
  <si>
    <t>VIGILANTE</t>
  </si>
  <si>
    <t>8201</t>
  </si>
  <si>
    <t>ZAPATERO</t>
  </si>
  <si>
    <t>7132</t>
  </si>
  <si>
    <t>OBRERO</t>
  </si>
  <si>
    <t>99A</t>
  </si>
  <si>
    <t>99B</t>
  </si>
  <si>
    <t>99C</t>
  </si>
  <si>
    <t>99D</t>
  </si>
  <si>
    <t>99E</t>
  </si>
  <si>
    <t>TIPO</t>
  </si>
  <si>
    <t>TABULADOR DE OBREROS</t>
  </si>
  <si>
    <t>99F</t>
  </si>
  <si>
    <t>99G</t>
  </si>
  <si>
    <t>TSU</t>
  </si>
  <si>
    <t>NIVEL EDUCATIVO</t>
  </si>
  <si>
    <t>EMPLEADO</t>
  </si>
  <si>
    <t>CODIGO</t>
  </si>
  <si>
    <t>DENOMINACION</t>
  </si>
  <si>
    <t>INFORMACION</t>
  </si>
  <si>
    <t>C0003</t>
  </si>
  <si>
    <t>PRIMA ANTIGÜEDAD</t>
  </si>
  <si>
    <t>C0004</t>
  </si>
  <si>
    <t>C0005</t>
  </si>
  <si>
    <t>PRIMAS POR PROFESIONALIZACION</t>
  </si>
  <si>
    <t>C0006</t>
  </si>
  <si>
    <t>C0010</t>
  </si>
  <si>
    <t>C0019</t>
  </si>
  <si>
    <t>C0025</t>
  </si>
  <si>
    <t>BONO NAVIDEÑO</t>
  </si>
  <si>
    <t>S.S.O.</t>
  </si>
  <si>
    <t>PARO FORZOSO</t>
  </si>
  <si>
    <t>NRO. DE HIJOS</t>
  </si>
  <si>
    <t>JULIO</t>
  </si>
  <si>
    <t>TOTAL PERSONAL DIRECTIVO</t>
  </si>
  <si>
    <t>ENERO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</si>
  <si>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</si>
  <si>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</si>
  <si>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</si>
  <si>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</si>
  <si>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</si>
  <si>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</si>
  <si>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</si>
  <si>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</si>
  <si>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AUXILIAR DE TERAPIA</t>
  </si>
  <si>
    <t xml:space="preserve">TOTAL GENERAL </t>
  </si>
  <si>
    <t>CAJA DE AHORRO</t>
  </si>
  <si>
    <t>PRIMA TRANSPORTE</t>
  </si>
  <si>
    <t>DIAS FERIADOS</t>
  </si>
  <si>
    <t>ANTIGÜEDAD</t>
  </si>
  <si>
    <t>PROFESIONALIZACION</t>
  </si>
  <si>
    <t>AÑOS</t>
  </si>
  <si>
    <t>PORCENTAJE</t>
  </si>
  <si>
    <t>GRADO INSTRUCCIÓN</t>
  </si>
  <si>
    <t>BACHILLER</t>
  </si>
  <si>
    <t>UNIVERSITARIO</t>
  </si>
  <si>
    <t>ESPECIALISTA</t>
  </si>
  <si>
    <t>MAESTRIA</t>
  </si>
  <si>
    <t>DOCTOR</t>
  </si>
  <si>
    <t>MONTO</t>
  </si>
  <si>
    <t>COORDINADORES -COMISIONADOS</t>
  </si>
  <si>
    <t>DIRECTORES DE LINEA -VICEPRESIDENTES</t>
  </si>
  <si>
    <t>ASIST- JEFES DE DEPART- CONSULTOR- JEFES DE DIVISION</t>
  </si>
  <si>
    <t>MAXIMA AUTORIDAD -DIRECTORES-SECRETARIO PRIVADO- PRESIDENTE</t>
  </si>
  <si>
    <t>SECRETARIO GENERAL</t>
  </si>
  <si>
    <t>NOVIEMBRE</t>
  </si>
  <si>
    <t>DICIEMBRE</t>
  </si>
  <si>
    <t>CLASIFICACION DE CARGOS - GRADOS</t>
  </si>
  <si>
    <t>AÑO DE FORMULACION</t>
  </si>
  <si>
    <t>CONCEPTOS</t>
  </si>
  <si>
    <t>FAOV POLÍTICA HABITACIONAL</t>
  </si>
  <si>
    <t>CANT. LUNES-MES</t>
  </si>
  <si>
    <t>MES</t>
  </si>
  <si>
    <t>CANT LUNES</t>
  </si>
  <si>
    <t xml:space="preserve"> </t>
  </si>
  <si>
    <t>COMISIONADO.</t>
  </si>
  <si>
    <t>INSTRUCTOR I   N.G.</t>
  </si>
  <si>
    <t>INSTRUCTOR II  N.G.</t>
  </si>
  <si>
    <t>INSTRUCTOR III N.G.</t>
  </si>
  <si>
    <t>INSTRUCTOR N.G TCVD</t>
  </si>
  <si>
    <t>DOCENTE AULA IV</t>
  </si>
  <si>
    <t>INSTRUCTOR MARROQUINERIA</t>
  </si>
  <si>
    <t>AUX. BIBLIOTECA TCVN</t>
  </si>
  <si>
    <t>AUXILIAR DE BIBLIOTECA TID</t>
  </si>
  <si>
    <t>ASIST. BIBLIOTECA III</t>
  </si>
  <si>
    <t>ASIST. BIBLIOTECA TCVN</t>
  </si>
  <si>
    <t>DOCENTE N.G. 1-6</t>
  </si>
  <si>
    <t>DOC. BASICA N.G. 19 TID</t>
  </si>
  <si>
    <t>DOC. BASICA N.G. TCVID</t>
  </si>
  <si>
    <t>DOC. BASICA N.G. 16 TCVNMA</t>
  </si>
  <si>
    <t>DOC. BASICA N.G. 789 TCVNMA</t>
  </si>
  <si>
    <t>DOC. DIRECTOR BAS. N.G. 16 TCVNMA</t>
  </si>
  <si>
    <t>DOC. DIRECTOR BAS. N.G. 789 TCVNMA</t>
  </si>
  <si>
    <t>DOC. BASICA N.G. TCVD</t>
  </si>
  <si>
    <t>DOC. SUB DIRECTOR N.G. TIDN</t>
  </si>
  <si>
    <t>DOC. DIRECTOR ARTES P.</t>
  </si>
  <si>
    <t>DOC. BASICA N.G. 789 TCVNHC</t>
  </si>
  <si>
    <t>DOC. PRE-ESCOLAR N.G.</t>
  </si>
  <si>
    <t>DOC. DIRECTOR N.G.</t>
  </si>
  <si>
    <t>DOC. DIRECTOR VI 77</t>
  </si>
  <si>
    <t>DOC. BAS. I 77 INTERINO</t>
  </si>
  <si>
    <t>DOC. BASICA I   77 16 TSE</t>
  </si>
  <si>
    <t>DOC. BASICA II  77 16 TSE</t>
  </si>
  <si>
    <t>DOC. SUP.NG. III MEFDTC</t>
  </si>
  <si>
    <t>DOC. DIRECTOR VI 139</t>
  </si>
  <si>
    <t>DOC. PLAN.16 77 IV</t>
  </si>
  <si>
    <t>DOC. PLAN.16 77  V</t>
  </si>
  <si>
    <t>DOC. PLAN.16 77 VI</t>
  </si>
  <si>
    <t>ALFABETIZADOR</t>
  </si>
  <si>
    <t>DOC. 77-TC. III.</t>
  </si>
  <si>
    <t>DOC. ORIENT. 77  III TID</t>
  </si>
  <si>
    <t>DOC. BASICA V ORIENT.77 TID</t>
  </si>
  <si>
    <t>DOC. BAS.PLANIF.IV TC 77</t>
  </si>
  <si>
    <t>DOC. BAS. PLANIF. V TC 77</t>
  </si>
  <si>
    <t>DOC. ORIEN. I 77 1-6 TC</t>
  </si>
  <si>
    <t>DOC. ORIEN. V 77 1-6 TID</t>
  </si>
  <si>
    <t>DOC. PLANIF. V   TC</t>
  </si>
  <si>
    <t>DOC. PRE-ESC. I   77  TID</t>
  </si>
  <si>
    <t>DOC. PRE-ESC. II  77  TID</t>
  </si>
  <si>
    <t>DOC. PRE-ESC. III 77  TID</t>
  </si>
  <si>
    <t>DOC. PRE-ESC. IV  77  TID</t>
  </si>
  <si>
    <t>DOC. PRE-ESC. V   77  TID</t>
  </si>
  <si>
    <t>DOC. PRE-ESC. VI  77  TID</t>
  </si>
  <si>
    <t>DOC. PRE-ESC. I   139 TID</t>
  </si>
  <si>
    <t>DOC. PRE-ESC. II  139 TID</t>
  </si>
  <si>
    <t>DOC. PRE-ESC. III 139 TID</t>
  </si>
  <si>
    <t>DOC. PRE-ESC. IV  139 TID</t>
  </si>
  <si>
    <t>DOC. PRE-ESC. V   139 TID</t>
  </si>
  <si>
    <t>DOC. PRE-ESC. VI  139 TID</t>
  </si>
  <si>
    <t>DOC. BASICA 77  TID</t>
  </si>
  <si>
    <t>DOC. BASICA I 77 TID</t>
  </si>
  <si>
    <t>DOC. BASICA II  77  TID</t>
  </si>
  <si>
    <t>DOC. BASICA III 77  TID</t>
  </si>
  <si>
    <t>DOC. BASICA IV  77  TID</t>
  </si>
  <si>
    <t>DOC. BASICA V   77  TID</t>
  </si>
  <si>
    <t>DOC. BASICA VI  77  TID</t>
  </si>
  <si>
    <t>DOC. BASICA I   139 TID</t>
  </si>
  <si>
    <t>DOC. BASICA II  139 TID</t>
  </si>
  <si>
    <t>DOC. BASICA III 139 TID</t>
  </si>
  <si>
    <t>DOC. BASICA IV  139 TID</t>
  </si>
  <si>
    <t>DOC. BASICA V   139 TID</t>
  </si>
  <si>
    <t>DOC. BASICA VI  139 TID</t>
  </si>
  <si>
    <t>DOC. BASICA V  139 TCVD-MEF</t>
  </si>
  <si>
    <t>DOC. BASICA I    77 TCVNMA</t>
  </si>
  <si>
    <t>DOC. BASICA II 77 TCVNMA</t>
  </si>
  <si>
    <t>DOC. BASICA III  77 TCVNMA</t>
  </si>
  <si>
    <t>DOC. BASICA IV   77 TCVNMA</t>
  </si>
  <si>
    <t>DOC. BASICA V    77 TCVNMA</t>
  </si>
  <si>
    <t>DOC. BASICA VI   77 TCVNMA</t>
  </si>
  <si>
    <t>DOC. BASICA I   139 TCVNMA</t>
  </si>
  <si>
    <t>DOC. BASICA II  139 TCVNMA</t>
  </si>
  <si>
    <t>DOC. BASICA III 139 TCVNMA</t>
  </si>
  <si>
    <t>DOC. BASICA IV  139 TCVNMA</t>
  </si>
  <si>
    <t>DOC. BASICA V   139 TCVNMA</t>
  </si>
  <si>
    <t>DOC. BASICA VI  139 TCVNMA</t>
  </si>
  <si>
    <t>DOC. BASICA IV  77 TC-V</t>
  </si>
  <si>
    <t>DOC. BASICA V   77 TC-V 79</t>
  </si>
  <si>
    <t>DOC. BASICA 77  TCVD</t>
  </si>
  <si>
    <t>DOC. BASICA I   77  TCVD</t>
  </si>
  <si>
    <t>DOC. BASICA II 77  TCVD</t>
  </si>
  <si>
    <t>DOC. BASICA III 77  TCVD</t>
  </si>
  <si>
    <t>DOC. BASICA IV  77  TCVD</t>
  </si>
  <si>
    <t>DOC. BASICA V   77  TCVD</t>
  </si>
  <si>
    <t>DOC. BASICA VI  77  TCVD</t>
  </si>
  <si>
    <t>DOC. BASICA VI   77 TCVD</t>
  </si>
  <si>
    <t>DOC. BASICA II 77</t>
  </si>
  <si>
    <t>DOC. BAS. III T.S.E  TCVD</t>
  </si>
  <si>
    <t>DOC. BASICA I   139 TCVD</t>
  </si>
  <si>
    <t>DOC. BASICA II  139 TCVD</t>
  </si>
  <si>
    <t>DOC. BASICA III 139 TCVD</t>
  </si>
  <si>
    <t>DOC. BASICA IV  139 TCVD</t>
  </si>
  <si>
    <t>DOC. BASICA V   139 TCVD</t>
  </si>
  <si>
    <t>DOC. BASICA VI  139 TCVD</t>
  </si>
  <si>
    <t>DOC. PRE-ESC I 77 TID INTERINO</t>
  </si>
  <si>
    <t>DOC. BAS. I 77 TID INTERINO</t>
  </si>
  <si>
    <t>DOC. BAS. I T.S.E. TID INTERINO</t>
  </si>
  <si>
    <t>DOC. PRE-ESC I TSE TID INTERINO</t>
  </si>
  <si>
    <t>DOC. BAS. I 77 TCVDMA INTERINO</t>
  </si>
  <si>
    <t>DOC. BAS I TSE TCVDMA INTERINO</t>
  </si>
  <si>
    <t>DOC. BAS I 77 TCVD INTERINO</t>
  </si>
  <si>
    <t>PROF. PINTURA Y DIBUJO</t>
  </si>
  <si>
    <t>INSTRUCTOR ECONOMIA DOMESTICA</t>
  </si>
  <si>
    <t>DOC. SUB DIRECTOR PRE-ESCOLAR II 77</t>
  </si>
  <si>
    <t>DOC. SUB DIRECTOR PRE-ESCOLAR III 77</t>
  </si>
  <si>
    <t>DOC. SUB DIRECTOR PRE-ESCOLAR IV 77</t>
  </si>
  <si>
    <t>DOC. SUB DIRECTOR PRE-ESCOLAR V  77</t>
  </si>
  <si>
    <t>DOC. SUB DIRECTOR PRE-ESCOLAR VI 77</t>
  </si>
  <si>
    <t>DOC. SUB DIRECTOR PRE-ESC. T.S.E. TID II</t>
  </si>
  <si>
    <t>DOC. SUB DIRECTOR PRE-ESC. T.S.E. TID IV</t>
  </si>
  <si>
    <t>DOC. SUB DIRECTOR PRE-ESC. T.S.E. TID V</t>
  </si>
  <si>
    <t>DOC. SUB DIRECTOR PRE-ESC. T.S.E. TID VI</t>
  </si>
  <si>
    <t>DOC. SUB DIRECTOR PRE-ESCOLAR II 139</t>
  </si>
  <si>
    <t>DOC. SUB DIRECTOR BASICA IV  TID</t>
  </si>
  <si>
    <t>DOC. SUB DIRECTOR PRE-ESCOLAR V  139</t>
  </si>
  <si>
    <t>DOC. SUB DIRECTOR PRE-ESCOLAR VI 139</t>
  </si>
  <si>
    <t>DOC. SUB DIRECTOR BASICA 77 TID</t>
  </si>
  <si>
    <t>DOC. SUB DIRECTOR BASICA I 77 TID</t>
  </si>
  <si>
    <t>DOC. SUB DIRECTOR BASICA II  77 TID</t>
  </si>
  <si>
    <t>DOC. SUB DIRECTOR BASICA III  77 TID</t>
  </si>
  <si>
    <t>DOC. SUB DIRECTOR BASICA IV  77 TID</t>
  </si>
  <si>
    <t>DOC. SUB DIRECTOR BASICA V   77 TID</t>
  </si>
  <si>
    <t>DOC. SUB DIRECTOR BASICA VI  77 TID</t>
  </si>
  <si>
    <t>DOC. SUB DIRECTOR BASICA  I  139 TID</t>
  </si>
  <si>
    <t>DOC. SUB DIRECTOR BASICA  II 139 TID</t>
  </si>
  <si>
    <t>DOC. SUB DIRECTOR BASICA III 139 TID</t>
  </si>
  <si>
    <t>DOC. SUB DIRECTOR BASICA IV 139 TID</t>
  </si>
  <si>
    <t>DOC. SUB DIRECTOR BASICA V  139 TID</t>
  </si>
  <si>
    <t>DOC. SUB DIRECTOR BASICA VI 139 TID</t>
  </si>
  <si>
    <t>DOC. SUB DIRECTOR BASICA VI  77 TCVNMA</t>
  </si>
  <si>
    <t>PROFESOR I TID</t>
  </si>
  <si>
    <t>INSTRUCTOR MUSICAL</t>
  </si>
  <si>
    <t>DOC. DIRECTOR PRE-ESC. I   77  TID</t>
  </si>
  <si>
    <t>DOC. DIRECTOR PRE-ESC  II  77  TID</t>
  </si>
  <si>
    <t>DOC. DIRECTOR PRE-ESC. III  77 TID</t>
  </si>
  <si>
    <t>DOC. DIRECTOR PRE-ESC. IV  77  TID</t>
  </si>
  <si>
    <t>DOC. DIRECTOR PRE-ESC. V   77  TID</t>
  </si>
  <si>
    <t>DOC. DIRECTOR PRE-ESC. VI  77  TID</t>
  </si>
  <si>
    <t>INSTRUCTOR DE MANUALIDADES TCVD</t>
  </si>
  <si>
    <t>DOC. DIRECTOR PRE-ESC. III 139 TID</t>
  </si>
  <si>
    <t>DOC. DIRECTOR PRE-ESC. IV  139 TID</t>
  </si>
  <si>
    <t>DOC. DIRECTOR PRE-ESC. V   139 TID</t>
  </si>
  <si>
    <t>DOC. DIRECTOR PRE-ESC. VI  139 TID</t>
  </si>
  <si>
    <t>DOC. DIRECTOR BASICA 77  TID</t>
  </si>
  <si>
    <t>DOC. DIRECTOR BASICA I   77  TID</t>
  </si>
  <si>
    <t>DOC. DIRECTOR BASICA II  77  TID</t>
  </si>
  <si>
    <t>DOC. DIRECTOR BASICA III 77 TID</t>
  </si>
  <si>
    <t>DOC. DIRECTOR BASICA IV  77 TID</t>
  </si>
  <si>
    <t>DOC. DIRECTOR BASICA V   77 TID</t>
  </si>
  <si>
    <t>DOC. DIRECTOR BASICA VI  77 TID</t>
  </si>
  <si>
    <t>DOC. DIRECTOR BASICA III 139 TID</t>
  </si>
  <si>
    <t>DOC. DIRECTOR BASICA IV 139 TID</t>
  </si>
  <si>
    <t>DOC. DIRECTOR BASICA V  139 TID</t>
  </si>
  <si>
    <t>DOC. DIRECTOR BASICA VI 139 TID</t>
  </si>
  <si>
    <t>DOC. DIRECTOR BASICA I  77 TCVNMA</t>
  </si>
  <si>
    <t>DOC. DIRECTOR TCV NMA 77-III</t>
  </si>
  <si>
    <t>DOC. DIRECTOR BASICA IV  77 TCVNMA</t>
  </si>
  <si>
    <t>DOC. DIRECTOR BASICA  V  77 TCVNMA</t>
  </si>
  <si>
    <t>DOC. DIRECTOR BASICA VI  77 TCVNMA</t>
  </si>
  <si>
    <t>DOC. DIRECTOR BASICA  I 139 TCVNMA</t>
  </si>
  <si>
    <t>DOC. DIRECTOR BASICA IV 139 TCVNMA</t>
  </si>
  <si>
    <t>DOC. DIRECTOR BASICA  V 139 TCVNMA</t>
  </si>
  <si>
    <t>DOC. DIRECTOR BASICA VI 139 TCVNMA</t>
  </si>
  <si>
    <t>DOC. DIRECTOR 77-TC  IV.</t>
  </si>
  <si>
    <t>DOC. DIRECTOR BASICA VI  77 TINMA</t>
  </si>
  <si>
    <t>DOC. SUP.BAS. II 77  TC</t>
  </si>
  <si>
    <t>DOC. SUP. BAS. III 77</t>
  </si>
  <si>
    <t>DOC. SUP.BAS. IV 77  TC</t>
  </si>
  <si>
    <t>DOC. SUP.BAS. V  77  TC</t>
  </si>
  <si>
    <t>DOC. SUP.BAS  VI 77  TC</t>
  </si>
  <si>
    <t>DOC. ORIENTADOR 77-TC. I.</t>
  </si>
  <si>
    <t>DOC. ORI.BAS. III 77</t>
  </si>
  <si>
    <t>DOC. SUP.BAS. IV 139 TC</t>
  </si>
  <si>
    <t>DOC. SUP.BAS. V  139 TC</t>
  </si>
  <si>
    <t>DOC. SUP.BAS. VI 139 TC</t>
  </si>
  <si>
    <t>TECNICO SUPERIOR III 77 TID</t>
  </si>
  <si>
    <t>SECRETARIO EJECUTIVO DEL COMITE SUPERIOR DEL G.E.P.D.T</t>
  </si>
  <si>
    <t>COORDINADOR DE PREFECTURAS</t>
  </si>
  <si>
    <t>COORD. DE DIFUSIONLITER. Y TEATRAL</t>
  </si>
  <si>
    <t>ALFABETIZADOR I   77</t>
  </si>
  <si>
    <t>ALFABETIZADOR II  77</t>
  </si>
  <si>
    <t>ALFABETIZADOR III 77</t>
  </si>
  <si>
    <t>ALFABETIZADOR IV  77</t>
  </si>
  <si>
    <t>ALFABETIZADOR V   77</t>
  </si>
  <si>
    <t>ALFABETIZADOR VI  77</t>
  </si>
  <si>
    <t>ALFABETIZADOR I   139</t>
  </si>
  <si>
    <t>ALFABETIZADOR II  139</t>
  </si>
  <si>
    <t>ALFABETIZADOR III 139</t>
  </si>
  <si>
    <t>ALFABETIZADOR IV  139</t>
  </si>
  <si>
    <t>ALFABETIZADOR V   139</t>
  </si>
  <si>
    <t>ALFABETIZADOR VI  139</t>
  </si>
  <si>
    <t>ASISTENTE DE TEATRO  IV 139</t>
  </si>
  <si>
    <t>ASIST. DE TALLER III N.G.</t>
  </si>
  <si>
    <t>ASIS. COORD. RED. B. IV 139</t>
  </si>
  <si>
    <t>AUX. BIBLIOTECA PUB. I  139</t>
  </si>
  <si>
    <t>AUX. BIBLIOTECA PUB. II 139</t>
  </si>
  <si>
    <t>AUX. BIBLIOTECA PUB.III 139</t>
  </si>
  <si>
    <t>AUX. BIBLIOTECA PUB. IV 139</t>
  </si>
  <si>
    <t>AUX. BIBLIOTECA PUB. V  139</t>
  </si>
  <si>
    <t>AUX. BIBLIOTECA PUB. VI 139</t>
  </si>
  <si>
    <t>AUX. BIBLIOTECA PUB. I   77</t>
  </si>
  <si>
    <t>AUX. BIBLIOTECA PUB. II  77</t>
  </si>
  <si>
    <t>AUX. BIBLIOTECA PUB. III 77</t>
  </si>
  <si>
    <t>AUX. BIBLIOTECA PUB. IV  77</t>
  </si>
  <si>
    <t>AUX. BIBLIOTECA PUB. V   77</t>
  </si>
  <si>
    <t>AUX. BIBLIOTECA PUB. VI  77</t>
  </si>
  <si>
    <t>COORD.  I   77</t>
  </si>
  <si>
    <t>COORD.  II  77</t>
  </si>
  <si>
    <t>COORD.  III 77</t>
  </si>
  <si>
    <t>COORD.  IV  77</t>
  </si>
  <si>
    <t>COORD.  V   77</t>
  </si>
  <si>
    <t>COORD.  VI  77</t>
  </si>
  <si>
    <t>COORD. CONSERV. Y M.</t>
  </si>
  <si>
    <t>COORD. I   139</t>
  </si>
  <si>
    <t>COORD. II  139</t>
  </si>
  <si>
    <t>COORD. III 139</t>
  </si>
  <si>
    <t>COORD. IV  139</t>
  </si>
  <si>
    <t>COORD. V   139</t>
  </si>
  <si>
    <t>COORD. VI  139</t>
  </si>
  <si>
    <t>COORD.EDUC.RURAL</t>
  </si>
  <si>
    <t>COORD. DOCENTE 77</t>
  </si>
  <si>
    <t>COORD. DOCENTE I   77</t>
  </si>
  <si>
    <t>COORD. DOCENTE II  77</t>
  </si>
  <si>
    <t>COORD. DOCENTE III 77</t>
  </si>
  <si>
    <t>COORD. DOCENTE IV  77</t>
  </si>
  <si>
    <t>COORD. DOCENTE V   77</t>
  </si>
  <si>
    <t>COORD. DOCENTE VI  77</t>
  </si>
  <si>
    <t>COORD.DIF.C.CUL.VI 139</t>
  </si>
  <si>
    <t>DIRECTOR I   139</t>
  </si>
  <si>
    <t>DIRECTOR II  139</t>
  </si>
  <si>
    <t>DIRECTOR III 139</t>
  </si>
  <si>
    <t>DIRECTOR IV  139</t>
  </si>
  <si>
    <t>DIRECTOR V   139</t>
  </si>
  <si>
    <t>DIRECTOR VI  139</t>
  </si>
  <si>
    <t>DIRECTOR I   77</t>
  </si>
  <si>
    <t>DIRECTOR II  77</t>
  </si>
  <si>
    <t>DIRECTOR III 77</t>
  </si>
  <si>
    <t>DIRECTOR IV  77</t>
  </si>
  <si>
    <t>DIRECTOR V   77</t>
  </si>
  <si>
    <t>DIRECTOR VI  77</t>
  </si>
  <si>
    <t>INSTRUCTOR I   77</t>
  </si>
  <si>
    <t>INSTRUCTOR II  77</t>
  </si>
  <si>
    <t>INSTRUCTOR III 77</t>
  </si>
  <si>
    <t>INSTRUCTOR IV  77</t>
  </si>
  <si>
    <t>INSTRUCTOR V   77</t>
  </si>
  <si>
    <t>INSTRUCTOR VI  77</t>
  </si>
  <si>
    <t>INSTRUCTOR I   139</t>
  </si>
  <si>
    <t>INSTRUCTOR II  139</t>
  </si>
  <si>
    <t>INSTRUCTOR III 139</t>
  </si>
  <si>
    <t>INSTRUCTOR IV  139</t>
  </si>
  <si>
    <t>INSTRUCTOR V   139</t>
  </si>
  <si>
    <t>INSTRUCTOR VI  139</t>
  </si>
  <si>
    <t>DOCENTE ORIENTADOR</t>
  </si>
  <si>
    <t>DOC. ORIENTADOR 77 TC IV</t>
  </si>
  <si>
    <t>DOC. ORIENTADOR 77 TC V</t>
  </si>
  <si>
    <t>PROF. CLARINETE II  77</t>
  </si>
  <si>
    <t>PROF. DE PIANO  IV  139</t>
  </si>
  <si>
    <t>PROF. DE PIANO III  77</t>
  </si>
  <si>
    <t>PROF. DIB. Y DEC. G.III 77</t>
  </si>
  <si>
    <t>PROF. DIBUJO Y DEC. VI 77</t>
  </si>
  <si>
    <t>PROF. HIST. MUSICA VI  139</t>
  </si>
  <si>
    <t>PROF. HISTORIA DEL A.IV 77</t>
  </si>
  <si>
    <t>PROF. HISTORIA DEL A.VI 77</t>
  </si>
  <si>
    <t>PROF. KINDER MUSICAL VI 77</t>
  </si>
  <si>
    <t>PROF. LANG. PLASTICO I 77</t>
  </si>
  <si>
    <t>PROF. PIANO PRINCIPAL III 77</t>
  </si>
  <si>
    <t>PROF. PINTURA INFAN. V 77</t>
  </si>
  <si>
    <t>PROF. VIOLA III 77</t>
  </si>
  <si>
    <t>PROF. VIOLIN III 77</t>
  </si>
  <si>
    <t>PROF. VIOLONCELLO III 77</t>
  </si>
  <si>
    <t>PROF. GUITARRA VI 139</t>
  </si>
  <si>
    <t>INSTRUCTOR I</t>
  </si>
  <si>
    <t>INTRUCTOR DEPORTIVO</t>
  </si>
  <si>
    <t>PROF. FOTOGRAFIA  VI  139</t>
  </si>
  <si>
    <t>PROF. MUSICA POP. VI   77</t>
  </si>
  <si>
    <t>PROF. HISTORIA EST.III 77</t>
  </si>
  <si>
    <t>DOC. PRE-ESC TSE TID I</t>
  </si>
  <si>
    <t>DOC. PRE-ESC TSE TID II</t>
  </si>
  <si>
    <t>DOC. PRE-ESC TSE TID III</t>
  </si>
  <si>
    <t>DOC. PRE-ESC TSE TID IV</t>
  </si>
  <si>
    <t>DOC. PRE-ESC TSE TID V</t>
  </si>
  <si>
    <t>DOC. PRE-ESC TSE TID VI</t>
  </si>
  <si>
    <t>DOC. DIRECTOR BASICO I  T.S.E.</t>
  </si>
  <si>
    <t>DOC. DIRECTOR BASICO II  T.S.E.</t>
  </si>
  <si>
    <t>DOC. DIRECTOR BASICO III  T.S.E.</t>
  </si>
  <si>
    <t>DOC. DIRECTOR BASICO IV  T.S.E.</t>
  </si>
  <si>
    <t>DOC. DIRECTOR BASICO V  T.S.E.</t>
  </si>
  <si>
    <t>DOC. DIRECTOR BASICO VI  T.S.E.</t>
  </si>
  <si>
    <t>DOC. SUB DIRECTOR BASICO I  T.S.E.</t>
  </si>
  <si>
    <t>DOC. SUB DIRECTOR BASICO IV  T.S.E.</t>
  </si>
  <si>
    <t>DOC. SUB DIRECTOR BASICO V  T.S.E.</t>
  </si>
  <si>
    <t>DOC. SUB DIRECTOR BASICA IV  T.S.E</t>
  </si>
  <si>
    <t>DOC. SUB DIRECTOR BASICO VI T.S.E.</t>
  </si>
  <si>
    <t>DOC. BASICA 16-TSE TID I</t>
  </si>
  <si>
    <t>DOC. BASICA 16-TSE TID II</t>
  </si>
  <si>
    <t>DOC. BASICA 16-TSE TID III</t>
  </si>
  <si>
    <t>DOC. BASICA 16-TSE TID IV</t>
  </si>
  <si>
    <t>DOC. BASICA 16-TSE TID V</t>
  </si>
  <si>
    <t>DOC. BASICA 16- TSE TID VI</t>
  </si>
  <si>
    <t>DOC. BASICA 789-TSE TCVD I</t>
  </si>
  <si>
    <t>DOC. BASICA 789-TSE TCVD II</t>
  </si>
  <si>
    <t>DOC. BASICA 789-TSE TCVD III</t>
  </si>
  <si>
    <t>DOC. BASICA 789-TSE TCVD IV</t>
  </si>
  <si>
    <t>DOC. BASICA 789-TSE TCVD V</t>
  </si>
  <si>
    <t>DOC. BASICA 789-TSE TCVD VI</t>
  </si>
  <si>
    <t>DOC. BASICA 16-789 TSE TCVD I</t>
  </si>
  <si>
    <t>DOC. BASICA 16-789 TSE TCVD II</t>
  </si>
  <si>
    <t>DOC. BASICA 16-789 TSE TCVD III</t>
  </si>
  <si>
    <t>DOC. BASICA 16-789 TSE TCVD IV</t>
  </si>
  <si>
    <t>DOC. BASICA 16-789 TSE TCVD V</t>
  </si>
  <si>
    <t>DOC. BASICA 16-789 TSE TCVD VI</t>
  </si>
  <si>
    <t>DOC. BASICO I  T.S.E. TCVNMA</t>
  </si>
  <si>
    <t>DOC. BASICO II  T.S.E. TCVNMA</t>
  </si>
  <si>
    <t>DOC. BASICO III T.S.E. TCVNMA</t>
  </si>
  <si>
    <t>DOC. BASICO IV  T.S.E. TCVNMA</t>
  </si>
  <si>
    <t>DOC. BASCO V  T.S.E. TCVNMA</t>
  </si>
  <si>
    <t>DOC. BASICO  VI  T.S.E. TCVNMA</t>
  </si>
  <si>
    <t>DOC. DIRECTOR BASICA IV T.S.E TID</t>
  </si>
  <si>
    <t>DOC. DIRECTOR BASICA  V T.S.E TID</t>
  </si>
  <si>
    <t>PROF. CLARINETE VI</t>
  </si>
  <si>
    <t>SUB DIRECTOR VI 139</t>
  </si>
  <si>
    <t>INSTRUCTOR MANUALIDADES I</t>
  </si>
  <si>
    <t>INSTRUCTOR MANUALIDADES III</t>
  </si>
  <si>
    <t>INSTRUCTOR MANUALIDADES II</t>
  </si>
  <si>
    <t>INST.CORT.Y CONFECC. N.G.</t>
  </si>
  <si>
    <t>INST. MUSICAL N.G.</t>
  </si>
  <si>
    <t>INSTRUCTOR</t>
  </si>
  <si>
    <t>INST.BALLET Y DANZAS N.G.</t>
  </si>
  <si>
    <t>INST.DANZAS III N.G.</t>
  </si>
  <si>
    <t>INST.REPOSTERIA C. N.G.</t>
  </si>
  <si>
    <t>INST.PINTURA 77 III</t>
  </si>
  <si>
    <t>INST.DIBUJO INFANTIL N.G.</t>
  </si>
  <si>
    <t>INST.PINTURA Y DIB. VI 139</t>
  </si>
  <si>
    <t>DIRECTOR ESCUELA 139 III</t>
  </si>
  <si>
    <t>INST.CERAMICA Y ESC. N.G.</t>
  </si>
  <si>
    <t>COORD.DOCENTE N.G.</t>
  </si>
  <si>
    <t>INST.TEATRO-TITERES 139 III</t>
  </si>
  <si>
    <t>INST.TEJIDO E HILADO 77 IV</t>
  </si>
  <si>
    <t>INST.PINTURA Y D. N.G.</t>
  </si>
  <si>
    <t>DIRECTOR ESCUELA N.G.</t>
  </si>
  <si>
    <t>PROF.CERAMICA ARTISTICA N.G.</t>
  </si>
  <si>
    <t>INST.DANZAS FOLKLORICAS N.G.</t>
  </si>
  <si>
    <t>ALFABETIZADOR N.G.</t>
  </si>
  <si>
    <t>INST.CORTE Y CONF. 77 VI</t>
  </si>
  <si>
    <t>INST.BORDADO A MAQUINA N.G.</t>
  </si>
  <si>
    <t>INST.DE PELUQUERIA N.G.</t>
  </si>
  <si>
    <t>PROF.TEATRO N.G.</t>
  </si>
  <si>
    <t>ASISTENTE DE TALLER N.G.</t>
  </si>
  <si>
    <t>PROFESOR DE VIOLA N.G.</t>
  </si>
  <si>
    <t>PROFESOR DE VIOLIN N.G.</t>
  </si>
  <si>
    <t>PROF. MANUALIDADES 77 II</t>
  </si>
  <si>
    <t>AUX. BIBLIOTECA PUB. N.G.</t>
  </si>
  <si>
    <t>DIRECTOR DE ESCUELA 139 III</t>
  </si>
  <si>
    <t>INST.MANUALIDADES N.G.</t>
  </si>
  <si>
    <t>ASIST. DE TALLER II</t>
  </si>
  <si>
    <t>ASIST.COORD.RED.B. IV 77</t>
  </si>
  <si>
    <t>PROF. CLARINETE N.G.</t>
  </si>
  <si>
    <t>PROF. TROMPETA N.G.</t>
  </si>
  <si>
    <t>PROF. KINDER MUSICAL N.G.</t>
  </si>
  <si>
    <t>PROF. FORMACION CORAL</t>
  </si>
  <si>
    <t>PROF. PIANO COMPLEMENTARIO</t>
  </si>
  <si>
    <t>PROF. CORNO I</t>
  </si>
  <si>
    <t>PROF. TEORIA Y SOLFEO</t>
  </si>
  <si>
    <t>PROF. ARMONIA COMPLEMENTARIA</t>
  </si>
  <si>
    <t>PROF. HISTORIA ESTETICA</t>
  </si>
  <si>
    <t>PROF. FLAUTA</t>
  </si>
  <si>
    <t>PROF. OBOE</t>
  </si>
  <si>
    <t>PROF. MANUALIDADES III 77</t>
  </si>
  <si>
    <t>INST. CORTE Y CONF. 77 III</t>
  </si>
  <si>
    <t>INST. ARTES MANUALES N.G.</t>
  </si>
  <si>
    <t>PROF. ESCULTURA N.G.</t>
  </si>
  <si>
    <t>PROF. CORTE Y CONF. 77  IV</t>
  </si>
  <si>
    <t>PROF. BALLET Y DANZAS</t>
  </si>
  <si>
    <t>INST. TEATRO Y TITERES N.G.</t>
  </si>
  <si>
    <t>INST. B. Y DANZAS 77 III</t>
  </si>
  <si>
    <t>SUB DIRECTOR N.G.</t>
  </si>
  <si>
    <t>PROF. RECURSOS AUDIO N.G</t>
  </si>
  <si>
    <t>PROF. CERAMICA N.G.</t>
  </si>
  <si>
    <t>INST. MUSICAL 77 IV</t>
  </si>
  <si>
    <t>CLARINETE I</t>
  </si>
  <si>
    <t>COORD.DOCENTE BAS.16TC. VI 77</t>
  </si>
  <si>
    <t>COORD.DIF.Y PROM.DOC.BAS.16 TC.139</t>
  </si>
  <si>
    <t>COORD. INV. Y FLOK.</t>
  </si>
  <si>
    <t>COORD.MANT. Y CONSERV.</t>
  </si>
  <si>
    <t>PIANO COMPLEMENTARIO</t>
  </si>
  <si>
    <t>FLAUTA I</t>
  </si>
  <si>
    <t>CLARINETE II</t>
  </si>
  <si>
    <t>ARMONICA</t>
  </si>
  <si>
    <t>FORMAS MUSICALES</t>
  </si>
  <si>
    <t>GUITARRA</t>
  </si>
  <si>
    <t>CUATRO</t>
  </si>
  <si>
    <t>MANDOLINA</t>
  </si>
  <si>
    <t>FAGOT</t>
  </si>
  <si>
    <t>OBOE</t>
  </si>
  <si>
    <t>PERCUSION</t>
  </si>
  <si>
    <t>VIOLONCHELO</t>
  </si>
  <si>
    <t>VIOLA</t>
  </si>
  <si>
    <t>VIOLIN</t>
  </si>
  <si>
    <t>LENGUAJE MUSICAL</t>
  </si>
  <si>
    <t>PROF. HORAS DE BASICA(2746HRAS)</t>
  </si>
  <si>
    <t>PROF. HORAS EDUC MEDIA(1373 HRAS)</t>
  </si>
  <si>
    <t>INSTRUMENTO III</t>
  </si>
  <si>
    <t>INSTRUMENTO II</t>
  </si>
  <si>
    <t>INSTRUMENTO I</t>
  </si>
  <si>
    <t>SOLISTA</t>
  </si>
  <si>
    <t>VIOLINCILLO</t>
  </si>
  <si>
    <t>DOC. BASICA III 77 TCVN</t>
  </si>
  <si>
    <t>ASISTENTE ADMINISTRATIVO VI</t>
  </si>
  <si>
    <t>ADMINISTRADOR V</t>
  </si>
  <si>
    <t>ANALISTA CENTRAL ORGAN. Y SISTEMAS V</t>
  </si>
  <si>
    <t>ANALISTA DE PROYECTOS INDUSTRIALES III</t>
  </si>
  <si>
    <t>COCINERO</t>
  </si>
  <si>
    <t>HABILITADO IV</t>
  </si>
  <si>
    <t>OBRERO NO CLASIFICADO</t>
  </si>
  <si>
    <t>PROGRAMADOR V</t>
  </si>
  <si>
    <t>ANALISTA DE PROCESAMIENTO DE DATOS IV</t>
  </si>
  <si>
    <t>ANALISTA DE PROCESAMIENTO DE DATOS V</t>
  </si>
  <si>
    <t>REGISTRADOR DE BIENES Y MATERIAS V</t>
  </si>
  <si>
    <t>ANALISTA DE CONTROL FINANCIERO JEFE II</t>
  </si>
  <si>
    <t>NIÑERA</t>
  </si>
  <si>
    <t>MAESTRO(A)</t>
  </si>
  <si>
    <t>PRECEPTOR</t>
  </si>
  <si>
    <t>MAESTRA BIBLIOTECARIA</t>
  </si>
  <si>
    <t>PROF DE CUATRO</t>
  </si>
  <si>
    <t>DIRECTOR CENTRO DE CULTURA</t>
  </si>
  <si>
    <t>ALFABETIZADOR NG TCVDMA</t>
  </si>
  <si>
    <t>ALFABETIZADOR I TCVDMA</t>
  </si>
  <si>
    <t>ALFABETIZADOR II TCVDMA</t>
  </si>
  <si>
    <t>ALFABETIZADOR III TCVDMA</t>
  </si>
  <si>
    <t>ALFABETIZADOR IV TCVDMA</t>
  </si>
  <si>
    <t>ALFABETIZADOR V TCVDMA</t>
  </si>
  <si>
    <t>ALFABETIZADOR VI TCVDMA</t>
  </si>
  <si>
    <t>BIBLIOTECARIA</t>
  </si>
  <si>
    <t>COORD DOC VI 77 TID (36 HORAS) Y DOCENTE BASICO VI (06 HORAS)</t>
  </si>
  <si>
    <t>COORDINADOR DOCENTE BASICO VI 77 TID (36 HORAS) Y TCVD (7HORAS)</t>
  </si>
  <si>
    <t>COORDINADOR DOCENTE BASICO VI TC (36 HORAS) Y DOC. BAS. VI TC (11 HORAS)</t>
  </si>
  <si>
    <t>COORDINADORA DOCENTE V 77 Y DOCENTE BASICA V 77 TCVN Y DOCENTE AULA V (ZONA EDUCATIVA)</t>
  </si>
  <si>
    <t>DIRECTOR BASICO VI TID (36 HORAS) Y DOCENTE BASICO VI 77 TCVD (18 HORAS)</t>
  </si>
  <si>
    <t>DIRECTOR DE CULTURA Y PROFESOR PH NOCTURNO GR</t>
  </si>
  <si>
    <t>DIRECTORA DOCENTE BASICA VI 139 TID Y DOCENTE BASICA VI 139 TCVN</t>
  </si>
  <si>
    <t>DIRECTORA ESCUELA ANDRES BLANCO Y MAESTRA PH GR NOCTURNO VALERA</t>
  </si>
  <si>
    <t>DOC.DIRECTOR BASICA VI 139 TID (36HRS) Y ALFABETIZADOR V 139 (16HRS)</t>
  </si>
  <si>
    <t>DOCENTE BASICA 19-77 TID</t>
  </si>
  <si>
    <t>DOCENTE BASICA DIRECTORA 16-77 TID</t>
  </si>
  <si>
    <t>DOCENTE BASICA DIRECTORA V 77 TCVD (20 HORAS) Y TC (40 HORAS)</t>
  </si>
  <si>
    <t>DOCENTE BASICA I 77 TCVD  (12 HORAS) Y DOCENTE BASICA I 77 TCVD (08 HORAS)</t>
  </si>
  <si>
    <t>DOCENTE BASICA IV 77 TCVD (18 HORAS) Y DOCENTE BASICA IV 77 TID (33,33 HORAS)</t>
  </si>
  <si>
    <t>DOCENTE BASICA IV 77 TCVD (22 HORAS) Y DOCENTE BASICA IV 77 TID (33,33 HORAS)</t>
  </si>
  <si>
    <t>DOCENTE BASICA IV 77 TCVD Y DOCENTE IV 77 TCVD</t>
  </si>
  <si>
    <t>DOCENTE BASICA IV 77 TID (33,33 HORAS) Y ALFABETIZADORA (16 HORAS)</t>
  </si>
  <si>
    <t>DOCENTE BASICA IV 77 TID (33,33 HORAS) Y DOCENTE BASICA IV 77 TCVD (10 HORAS)</t>
  </si>
  <si>
    <t>DOCENTE BASICA IV 77 TID (33,33 HORAS) Y DOCENTE BASICA IV TCVD (14 HORAS)</t>
  </si>
  <si>
    <t>DOCENTE BASICA IV 77 TID (33,33 HORAS) Y TCVD (12 HORAS)</t>
  </si>
  <si>
    <t>DOCENTE BASICA IV 77 TID (33,33 HORAS) Y TCVD (20 HORAS)</t>
  </si>
  <si>
    <t>DOCENTE BASICA IV 77 TID Y DOCENTE DE AULA (ZONA EDUCATIVA)</t>
  </si>
  <si>
    <t>DOCENTE BASICA NG 16 TCVNMA (16 HORAS)</t>
  </si>
  <si>
    <t>DOCENTE BASICA III 77 TID/TCVD</t>
  </si>
  <si>
    <t>DOCENTE BASICA IV 139 TCVNMA (16 HORAS)</t>
  </si>
  <si>
    <t>DOCENTE BASICA IV 77 TID Y DOCENTE BASICA IV 77 TCVD</t>
  </si>
  <si>
    <t>DOCENTE BASICA NG TCVD (20 HORAS)</t>
  </si>
  <si>
    <t>DOCENTE BASICA NG TCVD (07 HORAS)</t>
  </si>
  <si>
    <t>DOCENTE BASICA NG TCVD (12 HORAS)</t>
  </si>
  <si>
    <t>DOCENTE BASICA NG TCVD (12 HR) Y INSTRUCTOR II (24 HR)</t>
  </si>
  <si>
    <t>DOCENTE BASICA SUPERVISORA VI 139 TC Y DOCENTE BASICA VI 139 TCVNM</t>
  </si>
  <si>
    <t>DOCENTE BASICA V  77 TID (33,33 HORAS) Y DOCENTE BASICA V 77 TCVD (19HORAS)</t>
  </si>
  <si>
    <t>DOCENTE BASICA V 139 TID Y DOCENTE BASICA V 139 TCVN</t>
  </si>
  <si>
    <t>DOCENTE BASICA V 77 TID (33,33 HORAS)  Y TCVNMA (16 HORAS)</t>
  </si>
  <si>
    <t>DOCENTE BASICA V 77 TID (33,33 HORAS) Y TCVD (02 HORAS)</t>
  </si>
  <si>
    <t>DOCENTE BASICA V 77 TID (33,33 HORAS) Y TCVD (08 HORAS)</t>
  </si>
  <si>
    <t>DOCENTE BASICA V 77 TID (33,33 HORAS) Y TCVD (17 HORAS)</t>
  </si>
  <si>
    <t>DOCENTE BASICA V 77 TID (33,33 HORAS) Y TCVD (19 HORAS)</t>
  </si>
  <si>
    <t>DOCENTE BASICA V 77 TID Y V 77 (33,33 HORAS) TCVD (10 HORAS)</t>
  </si>
  <si>
    <t>DOCENTE BASICA V 77 TID Y V 77 (33,33 HORAS) TCVD (20 HORAS)</t>
  </si>
  <si>
    <t>DOCENTE BASICA VI 139 TID (33.33 HORAS) Y DOCENTE BASICA VI 139 TCVD (16 HORAS)</t>
  </si>
  <si>
    <t>DOCENTE BASICA VI 139 TID Y COORDINADORA VI 139</t>
  </si>
  <si>
    <t>DOCENTE BASICA VI 139 TID Y DOCENTE BASICA VI 139 TCVD</t>
  </si>
  <si>
    <t>DOCENTE BASICA VI 139 TID Y DOCENTE BASICA VI 139 TCVNM</t>
  </si>
  <si>
    <t>DOCENTE BASICA VI 77 TCVD (13 HORAS) Y COORDINADORA VI (36 HORAS)</t>
  </si>
  <si>
    <t>DOCENTE BASICA VI 77 TCVNM, MAESTRA ALFABETIZADORA, DIRECTORA DOCENTE BASICA VI TCVN, DOCENTE BASICA</t>
  </si>
  <si>
    <t>DOCENTE BASICA VI 77 TID  (33.33 HORAS) Y TCVNMA  (16 HORAS)</t>
  </si>
  <si>
    <t>DOCENTE BASICA VI 77 TID  (33.33) / TCVD (12 HORAS)</t>
  </si>
  <si>
    <t>DOCENTE BASICA VI 77 TID (10 HORAS)  /TCVD (33,33 HORAS)</t>
  </si>
  <si>
    <t>DOCENTE BASICA VI 77 TID (33 HORAS) Y TCVD (07 HORAS)</t>
  </si>
  <si>
    <t>DOCENTE BASICA VI 77 TID (33 HORAS) Y TCVD (08 HORAS)</t>
  </si>
  <si>
    <t>DOCENTE BASICA VI 77 TID (33 HORAS), V 77 TCVD (08 HORAS)</t>
  </si>
  <si>
    <t>DOCENTE BASICA VI 77 TID (33,33 HORAS)  Y TCVD (20 HORAS)</t>
  </si>
  <si>
    <t>DOCENTE BASICA VI 77 TID (33,33 HORAS) /TCVNMA (15 HORAS)</t>
  </si>
  <si>
    <t>DOCENTE BASICA VI 77 TID (33,33 HORAS) Y  TCVD (6 HORAS)</t>
  </si>
  <si>
    <t>DOCENTE BASICA VI 77 TID (33,33 HORAS) Y ALFABETIZADORA VI 77 (16 HORAS)</t>
  </si>
  <si>
    <t>DOCENTE BASICA VI 77 TID (33,33 HORAS) Y TCVD (04 HORAS)</t>
  </si>
  <si>
    <t>DOCENTE BASICA VI 77 TID (33,33 HORAS) Y TCVD (11 HORAS)</t>
  </si>
  <si>
    <t>DOCENTE BASICA VI 77 TID (33,33 HORAS) Y TCVNMA (14 HORAS)</t>
  </si>
  <si>
    <t>DOC. BASICA V  77  TCVD  (10 HORAS) Y TCVNMA (16) HORAS</t>
  </si>
  <si>
    <t>DOCENTE BASICA VI 77 TID (33,33) Y DOCENTE BASICO VI 77 TCVD (12 HORAS)</t>
  </si>
  <si>
    <t>DOCENTE BASICA VI 77 TID (33,33) Y TCVD (14 HORAS)</t>
  </si>
  <si>
    <t>DOCENTE BASICA VI 77 TID (33.33 HORAS) Y TCVD (16 HORAS)</t>
  </si>
  <si>
    <t>DOCENTE BASICA VI 77 TID (33.33 HORAS) Y TCVD (19 HORAS)</t>
  </si>
  <si>
    <t>DOCENTE BASICA VI 77 TID (36 HORAS) Y DOCENTE BASICO TCVD (12 HORAS)</t>
  </si>
  <si>
    <t>DOCENTE BASICA VI 77 TID Y DOCENTE BASICA VI 77 TCNM</t>
  </si>
  <si>
    <t>DOCENTE BASICA VI 77 TID Y DOCENTE DE AULA (ZONA EDUCATIVA)</t>
  </si>
  <si>
    <t>DOCENTE BASICO 16-139 TCVN Y DOCENTE DIRECTOR BASICO 139 TID VI</t>
  </si>
  <si>
    <t>DOCENTE BASICO 16-77 TCVNM/MA VI Y DOCENTE SUB-DIRECTOR 16-77 TID VI Y PH (08 HORAS)</t>
  </si>
  <si>
    <t>DOCENTE BASICO 16-77 TCVNMA VI, Y SUPERVISOR BASICO</t>
  </si>
  <si>
    <t>DOCENTE BASICO IV 77 TID (33,33 HORAS) Y TCVD (08 HORAS)</t>
  </si>
  <si>
    <t>DOCENTE BASICO IV 77 TID (33,33 HORAS) Y TCVD (12 HORAS)</t>
  </si>
  <si>
    <t>DOCENTE BASICO IV 77 TID (33,33 HORAS) Y TCVD (16 HORAS)</t>
  </si>
  <si>
    <t>DOCENTE BASICO IV 77 TID (33,33 HORAS) Y TCVD (18 HORAS)</t>
  </si>
  <si>
    <t>DOCENTE BASICO IV 77 TID (33,33 HORAS) Y TCVD (20 HORAS)</t>
  </si>
  <si>
    <t>DOCENTE BASICO IV 77 TID (33,33 HORAS) Y TCVNMA (16 HORAS)</t>
  </si>
  <si>
    <t>DOCENTE BASICO V 77 TCVNMA (16 HORAS) Y DOCENTE SUPERVISOR BASICO V 77 TC (40 HORAS)</t>
  </si>
  <si>
    <t>DOCENTE BASICO V 77 TID (33 HORAS) Y TVCNMA (16 HORAS)</t>
  </si>
  <si>
    <t>DOCENTE BASICO V 77 TID (33,33 HORAS) Y TCVD (05 HORAS)</t>
  </si>
  <si>
    <t>DOCENTE BASICO V 77 TID (33,33 HORAS) Y TCVD (14 HORAS)</t>
  </si>
  <si>
    <t>DOCENTE BASICO V 77 TID (33,33 HORAS) Y TCVN (10 HORAS)</t>
  </si>
  <si>
    <t>DOCENTE BASICO V 77 TID (33,33 HORAS) Y TCVN (16 HORAS)</t>
  </si>
  <si>
    <t>DOCENTE BASICO V 77 TID (33,33 HORAS)Y TCVD (07 HORAS)</t>
  </si>
  <si>
    <t>DOCENTE BASICO V 77 TID (33.33 HORAS) Y TCVD (21 HORAS)</t>
  </si>
  <si>
    <t>DOCENTE BASICO V TID (33.33 HORAS), Y TCVD (11 HORAS)</t>
  </si>
  <si>
    <t>DOCENTE BASICO V TSE TCVNMA (16 HR)</t>
  </si>
  <si>
    <t>DOCENTE BASICO VI  77 TID (33,33 HORAS) Y TCVD (14 HORAS)</t>
  </si>
  <si>
    <t>DOCENTE BASICO VI 77 (33,33 HORAS)  TID Y TCVD (8 HORAS)</t>
  </si>
  <si>
    <t>DOCENTE BASICO VI 77 TCVD (33 HORAS) TID (17 HORAS)</t>
  </si>
  <si>
    <t>DOCENTE BASICO VI 77 TID (33,33 HORAS) Y DOCENTE BASICO VI 77 TCVD (8 HORAS)</t>
  </si>
  <si>
    <t>DOCENTE BASICO VI 77 TID (33,33 HORAS) Y TCVD (20 HORAS)</t>
  </si>
  <si>
    <t>DOCENTE BASICO VI 77 TID (33,33 HORAS) Y TCVD (6 HORAS)</t>
  </si>
  <si>
    <t>DOCENTE BASICO VI 77 TID (33,33)  / TCVNMA (11)</t>
  </si>
  <si>
    <t>DOCENTE BASICO VI 77 TID (33.33 HORAS) Y TCVD (6 HORAS)</t>
  </si>
  <si>
    <t>DOCENTE BASICO VI 77 TID Y DOCENTE BASICO VI 77 TCVD Y DOCENTE BASICO VI 77 TCVD Y 2 CARGOS MAS</t>
  </si>
  <si>
    <t>DOCENTE BASICO Y DIRECTOR 16-139 TID VI</t>
  </si>
  <si>
    <t>DOCENTE DIRECTOR BASICA IV 77 TCVD Y COORDINADOR DOCENTE</t>
  </si>
  <si>
    <t>DOCENTE DIRECTOR BASICA VI 77 TID (36 HORAS) Y TCVNMA (16 HORAS)</t>
  </si>
  <si>
    <t>DOCENTE DIRECTOR BASICA VI 77 TID (36HORAS) Y TCVD (10 HORAS)</t>
  </si>
  <si>
    <t>DOCENTE DIRECTOR BASICO V 77 TID (40 HORAS) Y DOCENTE BASICO V 77 TCVM (16 HORAS)</t>
  </si>
  <si>
    <t>DOCENTE DIRECTOR BASICO VI 139 TID (36 HORAS), Y DOCENTE DIRECTOR BASICO VI 139 TCVN (20 HORAS)</t>
  </si>
  <si>
    <t>DOCENTE DIRECTOR BASICO VI 77 TID (36 HORAS) Y DOC BASICO VI 77 TCVD (13 HORAS)</t>
  </si>
  <si>
    <t>DOCENTE DIRECTOR BASICO VI 77 TID (36 HORAS) Y TCVD (17 HORAS)</t>
  </si>
  <si>
    <t>DOCENTE DIRECTOR BASICO VI 77 TID (40 HORAS) Y DOC BASICO VI 77 TCVD (06 HORAS)</t>
  </si>
  <si>
    <t>DOCENTE DIRECTOR BASICO VI 77 TID (40 HORAS) Y DOCENTE BASICO VI 77 TCVNMA (16 HORAS)</t>
  </si>
  <si>
    <t>DOCENTE DIRECTOR PRE-ESCOLAR VI 77 TID (36 HORAS)</t>
  </si>
  <si>
    <t>DOCENTE DIRECTORA BASICA V 77 TCVNMA 20HRS</t>
  </si>
  <si>
    <t>DOCENTE DIRECTORA BASICA VI 139 (36 HORAS) TID Y ALFABETIZADORA VI 139</t>
  </si>
  <si>
    <t>DOCENTE DIRECTORA BASICA VI 77 TID (36 HORAS) Y DOCENTE BASICA V 77 TCVD (4 HORAS)</t>
  </si>
  <si>
    <t>DOCENTE ORIENTADOR V 77 1-6 TID (36 HORAS)</t>
  </si>
  <si>
    <t>DOCENTE PLANIFICADORA 16-77 VI (36 HORAS) Y DOC BAS VI 77 TCVMA (16 HORAS)</t>
  </si>
  <si>
    <t>DOCENTE PRE-ESCOLAR IV 77 TID (33,33 HORAS) Y DOCENTE BASICA IV 77 TCVD (06 HORAS)</t>
  </si>
  <si>
    <t>DOCENTE PREESCOLAR VI 77 TID (33.33 HORAS) Y DOCENTE BASICO V 77 TCVNMA (16 HORAS)</t>
  </si>
  <si>
    <t>DOCENTE SD BASICA VI 77 TID (40 HORAS) Y TCVD (14 HORAS)</t>
  </si>
  <si>
    <t>DOCENTE SUB-DIRECTOR BASICA IV 77 TID (36 HORAS)Y DOCENTE IV BASICO TCVD (16 HORAS)</t>
  </si>
  <si>
    <t>DOCENTE SUB-DIRECTOR BASICO IV 77 TID (40 HORAS) Y DOCENTE BASICO IV 77 TCVD (08 HORAS)</t>
  </si>
  <si>
    <t>DOCENTE SUB-DIRECTORA BASICA V 77 TID (36 HORAS) Y TCVD (08 HORAS)</t>
  </si>
  <si>
    <t>DOCENTE SUB-DIRECTORA BASICA V TSE (36 HORAS)</t>
  </si>
  <si>
    <t>DOCENTE SUB-DIRECTORA BASICA VI 77 TID (40 HORAS) Y (07 HORAS)</t>
  </si>
  <si>
    <t>DOCENTE SUB-DIRECTORA BASICO VI 77 TID (36 HORAS) Y (16 HORAS)</t>
  </si>
  <si>
    <t>DOCENTE SUP BASICA VI 77 TC (40 HORAS), DOCENTE BAS VI TCVN (16 HORAS) Y DOCENTE VI AULA (5 HORAS)</t>
  </si>
  <si>
    <t>DOCENTE SUPERVISOR V 77 TC</t>
  </si>
  <si>
    <t>DOCENTE SUPERVISOR BASICO V 77 TC Y DOCENTE BASICO V 77 TCVN Y DOCENTE DE AULA V (ZONA EDUC)</t>
  </si>
  <si>
    <t>DOCENTE SUPERVISOR BASICO VI 139 TC (40 HORAS) Y DOCENTE BASICO VI 139 TCVNMA (16 HORAS)</t>
  </si>
  <si>
    <t>DOCENTE SUPERVISOR BASICO VI 77 TC Y DOCENTE IV AULA (13 HORAS)</t>
  </si>
  <si>
    <t>DOCENTE V 77 TID (33,33 HORAS) Y TCVD (13 HORAS)</t>
  </si>
  <si>
    <t>EJECUTANTE DE CLARINETE</t>
  </si>
  <si>
    <t>FLAUTA 2/ INSTRUCTOR I 16HRS</t>
  </si>
  <si>
    <t>INSTRUCTOR I (16HRS) Y DOC NG (33.33HRS.)</t>
  </si>
  <si>
    <t>INSTRUCTOR III NG (33,33 HORAS) Y DOCENTE BASICO 16 TSE TCVD I (04 HR)</t>
  </si>
  <si>
    <t>INSTRUCTOR III NG (33,33 HORAS) Y ENTRENADOR DEPORTIVO (33,33 HORAS)</t>
  </si>
  <si>
    <t>INSTRUCTOR MUSICAL Y DOCENTE IV AULA</t>
  </si>
  <si>
    <t>INSTRUCTORA DE COCINA Y ARTE CULINARIA</t>
  </si>
  <si>
    <t>INSTRUCTORA III NG (16 HORAS) Y DOCENTE BASICA NG 1-6 TCVNM (33,33 HORAS)</t>
  </si>
  <si>
    <t>MAESTRA ALFABETIZADORA</t>
  </si>
  <si>
    <t>MAESTRA COORDINADORA</t>
  </si>
  <si>
    <t>MAESTRA N§ 10</t>
  </si>
  <si>
    <t>MAESTRA N§ 2</t>
  </si>
  <si>
    <t>MAESTRA NORMALISTA</t>
  </si>
  <si>
    <t>MAESTRA TIPO A</t>
  </si>
  <si>
    <t>PROFESOR DE CONTRABAJO</t>
  </si>
  <si>
    <t>PROFESOR DE ESCULTURA Y ARTES GRAFICAS Y DOCENTE AULA MEDIA PROFESIONAL NG</t>
  </si>
  <si>
    <t>PROFESOR DE MUSICA</t>
  </si>
  <si>
    <t>PROFESOR POR HORA (24 HORAS)</t>
  </si>
  <si>
    <t>PROFESORA DE CORTE Y COSTURA Y DIRECTORA DE LA ESCUELA ANDRES ELOY BLANCO</t>
  </si>
  <si>
    <t>PROFESORA DE MECANOGRAFIA</t>
  </si>
  <si>
    <t>PROFESORA DE PINTURA INFANTIL, PROFESORA DE EDUCACION ARTISTICA Y COORDINADORA DOCENTE.</t>
  </si>
  <si>
    <t>PROFESORA DE PINTURA Y DIBUJO (06 HORAS) Y DOCENTE IV COORDINADOR (24 HORAS)</t>
  </si>
  <si>
    <t>PROFESORA NOCTURNA (NACIONAL) Y COORDINADORA DOCENTE VI</t>
  </si>
  <si>
    <t>SUB-DIRECTOR (35 HORAS)  NG Y CLARINETE</t>
  </si>
  <si>
    <t>SUPERVISOR I</t>
  </si>
  <si>
    <t>SUPERVISOR II Y MAESTRO PH GR NOCTURNO</t>
  </si>
  <si>
    <t>SUPERVISORA III</t>
  </si>
  <si>
    <t>DOCENTE DE BASICA III TSE 16 H Y AUXILIAR DE BIBLIOTECA</t>
  </si>
  <si>
    <t>DOCENTE BASICO IV 77 TCVD (36 HORAS)</t>
  </si>
  <si>
    <t>DOCENTE BASICO IV 77 TID/TCVD</t>
  </si>
  <si>
    <t>DOCENTE BASICO VI 77 TCVD / TCVD</t>
  </si>
  <si>
    <t>DOCENTE DIRECTOR BASICA VI 139 TID (36 HORAS)</t>
  </si>
  <si>
    <t>DOCENTE DIRECTORA BASICA IV 77 TID (36 HORAS)</t>
  </si>
  <si>
    <t>DOCENTE SUB-DIRECTOR BASICA IV 77 TID (36 HORAS)</t>
  </si>
  <si>
    <t>INSTRUCTOR I Y III NG (16 H)</t>
  </si>
  <si>
    <t>DOC. BASICA V   77  TID (33.33 HORAS /TCVD (10 HORAS)</t>
  </si>
  <si>
    <t>DOC.BAS. VI 77 TID (36 HORAS) /TCVD (08 HORAS)</t>
  </si>
  <si>
    <t>DOC. SUB DIR. IV  77 TID /DOC BASICA IV 77 TCVNMA</t>
  </si>
  <si>
    <t>DOC. BAS. I 77 TID (33.33 HORAS)/TCVD (18 HORAS)</t>
  </si>
  <si>
    <t>DOC. SUP. BAS.  VI 77 TC (40 HORAS) TCVNMA (16 HORAS)</t>
  </si>
  <si>
    <t>DOC. N.G.  TCVID (10 HORAS)/ TCVNMA (09 HORAS)</t>
  </si>
  <si>
    <t>DOC. BAS. VI  TID (33.33 HORAS)/TCVD (14 HORAS)</t>
  </si>
  <si>
    <t>DOC. BASICA V 77 TID (33.33) TCVD (20 HORAS)</t>
  </si>
  <si>
    <t>DOC. BAS. IV 77 TID (33.33 HORAS)/TCVD (06 HORAS)</t>
  </si>
  <si>
    <t>DOC. BAS.V TCVD (16 HORAS) /TCVNMA (10 HORAS)</t>
  </si>
  <si>
    <t>DOC. BAS. VI 139 TID / INSTRUCTOR I (16 HORAS)</t>
  </si>
  <si>
    <t>DOC. BAS. VI  77  TID (33.33 HORAS)/TCVD (19 HORAS)</t>
  </si>
  <si>
    <t>DOC. BASICA IV 77 TCVD (19 HORAS) TID  (33.33 HORAS)</t>
  </si>
  <si>
    <t>DOC.BAS. VI 77 TID  (33.33 HORAS) /TCVD (05 HORAS)</t>
  </si>
  <si>
    <t>DOC.SUB.BAS.IV TID (36 HOTAS) /TCVD (4 HORAS) Y (8 HORAS)</t>
  </si>
  <si>
    <t>DOC. BAS. IV 77 TID (33.33 HORAS)/ TCVD (16 HORAS)</t>
  </si>
  <si>
    <t>DOC. BASICA V   77  TID (33.33 HORAS) /TCVD (13 HORAS)</t>
  </si>
  <si>
    <t>DOC.PRE-ESC. /TID (33.33) Y TCVD (17 HORAS)</t>
  </si>
  <si>
    <t>DOC.BAS. V 77 TID (33.33 HORAS) /TCVD (05 HORAS)</t>
  </si>
  <si>
    <t>DOC.BAS. V 77 TID (33.33 HORAS)-TCVD (05 HORAS)</t>
  </si>
  <si>
    <t>DOC. BAS. IV  77  TID (33.33 HORAS)/TCVD (14 HORAS)</t>
  </si>
  <si>
    <t>DOC.BAS. VI 77TID (33.33 HORAS) / TCVMNA (16 HORAS)</t>
  </si>
  <si>
    <t>DOC. BAS. V 77 TID (33.33 HORAS) /TCVD (10 HORAS)</t>
  </si>
  <si>
    <t>INSTRUCTOR I (16 HORAS) / DIREC.  BAND (16 HORAS)</t>
  </si>
  <si>
    <t>DOC.BAS VI 77 TID (33.33 HORAS) / TCVD (16 HORAS)</t>
  </si>
  <si>
    <t>DOC. BAS. VI 77 TID (33.33 HORAS) /TCVD (16 HORAS)</t>
  </si>
  <si>
    <t>DOC. BAS. I (03 HORAS) Y DOC BAS IV 77 TID (33 HORAS9 /TCVD (09 HORAS)</t>
  </si>
  <si>
    <t>DOC.BAS. VI 77 TID (33.33 HORAS) /TCVD (20 HORAS)</t>
  </si>
  <si>
    <t>DOC.BAS.VI 77 TID (33.33 HORAS) /TCVD (10 HORAS)</t>
  </si>
  <si>
    <t>DOC.BAS. VI 77 TID (36 HORAS) /TCVD (14 HORAS)</t>
  </si>
  <si>
    <t>DOC. BASICA VI 77 TID (33.33 HORAS) TCVNMA (11 HORAS)</t>
  </si>
  <si>
    <t>DOC.BAS.VI 77 TID (33 HORAS) /TCVD (14 HORAS)</t>
  </si>
  <si>
    <t>DOC. BASICA IV  77  TID  (33 HORAS) /TCVD (14 HORAS)</t>
  </si>
  <si>
    <t>DOC. SUB. DIR. BAS. VI 77 (36 HORAS) DOC BAS VI 77 TCVD (14 HORAS)</t>
  </si>
  <si>
    <t>DOC. BAS. V   77  TID (33,33 HORAS) /TCVD (13 HORAS)</t>
  </si>
  <si>
    <t>DOC.BAS. VI 77 TID (33,33 HORAS) / TCVD (20 HORAS)</t>
  </si>
  <si>
    <t>DOC. BAS. VI  77  TID (33.33 HORAS)/TCVD (12 HORAS)</t>
  </si>
  <si>
    <t>DOC. BAS. V   77  TID (33,33 HORAS) /TCVD (11 HORAS)</t>
  </si>
  <si>
    <t>DOC. BASICA VI 77 TID (33.33 HORAS) TCVN (12 HORAS)</t>
  </si>
  <si>
    <t>DOCENTE N.G 1-6 TCVD (33,33 HORAS) / DOC BASICA NG TCVD (14 HORAS)</t>
  </si>
  <si>
    <t>SUB DIRECTOR Y PROFESOR DE MANUALIDADES</t>
  </si>
  <si>
    <t>SUB-DIRECTOR</t>
  </si>
  <si>
    <t>COORD. DOCENTE IV 77 TC (36 HORAS) Y DOCENTE IV 77 TCVNMA (16 HORAS)</t>
  </si>
  <si>
    <t>DIRECTOR DE BANDA Y PROFESOR DE FLAUTA Y PIANO</t>
  </si>
  <si>
    <t>SUB-DIRECTOR Y MAESTRO TCVDNMA</t>
  </si>
  <si>
    <t>DOCENTE BASICO 16-139 TCVNMA</t>
  </si>
  <si>
    <t>DOC. DIRECTOR BASICA 77 TCVNMA</t>
  </si>
  <si>
    <t>DOCENTE PRE-ESCOLAR VI 139 TID (33,33 HORAS) Y DOC. BASICA VI 139 TCVNMA  (16 HORAS)</t>
  </si>
  <si>
    <t>DOCENTE PLANIFICADOR VI 77 TC (36 HORAS) Y DOCENTE BASICA VI 77 TCVNMA (16 HORAS)</t>
  </si>
  <si>
    <t>INSTRUCTOR III NG (33,33) Y DOCENTE BASICA NG TCVNMA (16 HORAS)</t>
  </si>
  <si>
    <t>DOCENTE BASICO NG TID (33,33 HORAS) Y DOCENTE BASICA NG TCVNMA (16 HORAS)</t>
  </si>
  <si>
    <t>DOCENTE COOD. 139 VI TID (33,33 HORAS) Y DOCENTE BASICO VI 139 TCVNMA (16 HORAS)</t>
  </si>
  <si>
    <t>CONTRABAJO I/ INST. I N.G. (16 HORAS)</t>
  </si>
  <si>
    <t>PROFESOR(A) DE CORTE Y CONFECCIÓN</t>
  </si>
  <si>
    <t>DOCENTE BASICO DE ADULTOS Y COORD PROM DIF CULT</t>
  </si>
  <si>
    <t>DOC. DIR. BASICA  VI 139 TID (36 HORAS) Y DOC. BAS. VI 139 TCVNMA (16 HORAS)</t>
  </si>
  <si>
    <t>DOC. SUBDIR. BAS. (36 HORAS) Y PROF. DE KINDER MUSICAL (16 HORAS)</t>
  </si>
  <si>
    <t>SUB DIRECTORA (36 HORAS) Y DIRECTORA (20 HORAS)</t>
  </si>
  <si>
    <t>SUBDIR. (36 HORAS) PROF. DE PIANO Y KINDER MUSICAL (26 HORAS)</t>
  </si>
  <si>
    <t>MAESTRA (33.33 HORAS) Y PROF. PH GR (20 HORAS)</t>
  </si>
  <si>
    <t>DOC. BAS. DIR. VI 77 T.C. V.N.</t>
  </si>
  <si>
    <t>DOC. BAS. 77 TCVNMA/DOC IV AULA ADULTOS/DIRECTOR DE EDUCACION</t>
  </si>
  <si>
    <t>DOCENTE BASICO VI 77 TID (33,33 HORAS) / TCVD (6 HORAS) / TCVD (12 HORAS)</t>
  </si>
  <si>
    <t>DOC. BASICO SUPERVISOR (40 HORAS) Y DIRECTOR VI 77 (16 HORAS)</t>
  </si>
  <si>
    <t>DOC. BAS. N.G. TCVNMA / AUXILIAR DE BIBLIOTECA</t>
  </si>
  <si>
    <t>DOC. BASICA V  77  TID/TCVNMA</t>
  </si>
  <si>
    <t>DOCENTE SUPERVISOR BASICO VI 77 TCVNMA</t>
  </si>
  <si>
    <t>PROFESOR DE MANUALIDADES</t>
  </si>
  <si>
    <t>MAESTRO TCVDNMA</t>
  </si>
  <si>
    <t>COORDINADOR DOCENTE BASICO VI TCVD</t>
  </si>
  <si>
    <t>TECNICO EN AGROALIMENTARIA</t>
  </si>
  <si>
    <t>SUPERVISOR DE TELEFONISTA</t>
  </si>
  <si>
    <t>INSPECTOR DE OBRAS DE INGENIERIA III</t>
  </si>
  <si>
    <t>ASISTENTE TECNICO DE INGENIERIA III</t>
  </si>
  <si>
    <t>DISEÑADOR GRAFICO</t>
  </si>
  <si>
    <t>DISEÑADOR GRAFICO II</t>
  </si>
  <si>
    <t>DISEÑADOR GRAFICO III</t>
  </si>
  <si>
    <t>DISEÑADOR GRAFICO IV</t>
  </si>
  <si>
    <t>FOTOGRAFO IV</t>
  </si>
  <si>
    <t>TECNICO DE REPARACION Y MANTENIMIENTO III</t>
  </si>
  <si>
    <t>INGENIERO INDUSTRIAL IV</t>
  </si>
  <si>
    <t>INGENIERO AGRICOLA I</t>
  </si>
  <si>
    <t>INGENIERO AGRICOLA II</t>
  </si>
  <si>
    <t>INGENIERO AGRICOLA III</t>
  </si>
  <si>
    <t>INGENIERO AGRICOLA IV</t>
  </si>
  <si>
    <t>INGENIERO AGRICOLA V</t>
  </si>
  <si>
    <t>INGENIERO EN CONSTRUCCION CIVIL I</t>
  </si>
  <si>
    <t>INGENIERO EN CONSTRUCCION CIVIL II</t>
  </si>
  <si>
    <t>INGENIERO EN CONSTRUCCION CIVIL III</t>
  </si>
  <si>
    <t>INGENIERO EN TELECOMUNICACIONES II</t>
  </si>
  <si>
    <t>INGENIERO EN INFORMATICA I</t>
  </si>
  <si>
    <t>SUPERVISOR I (171)</t>
  </si>
  <si>
    <t>COMANDANTE GENERAL</t>
  </si>
  <si>
    <t>CONDUCTORES DE 3RA</t>
  </si>
  <si>
    <t>CONDUCTORES DE 2DA</t>
  </si>
  <si>
    <t>CONDUCTORES DE 1RA</t>
  </si>
  <si>
    <t>ORDENANZA  I</t>
  </si>
  <si>
    <t>ORDENANZA II</t>
  </si>
  <si>
    <t>AGENTE</t>
  </si>
  <si>
    <t>ORDENANZA III</t>
  </si>
  <si>
    <t>AGENTE DISIP</t>
  </si>
  <si>
    <t>DISTINGUIDO</t>
  </si>
  <si>
    <t>CABO 1RO</t>
  </si>
  <si>
    <t>CABO 2DO</t>
  </si>
  <si>
    <t>SARGENTO 2DA</t>
  </si>
  <si>
    <t>SARGENTO 1RA</t>
  </si>
  <si>
    <t>SARGENTO MAYOR</t>
  </si>
  <si>
    <t>SUB INSPECTOR</t>
  </si>
  <si>
    <t>INSPECTOR</t>
  </si>
  <si>
    <t>INSPECTOR JEFE</t>
  </si>
  <si>
    <t>SUB COMISARIO</t>
  </si>
  <si>
    <t>COMISARIO</t>
  </si>
  <si>
    <t>COMISARIO JEFE</t>
  </si>
  <si>
    <t>COMISARIO GENERAL</t>
  </si>
  <si>
    <t>LCDO(A) EN GESTION AMBIENTAL</t>
  </si>
  <si>
    <t>COORDINADOR DE PROGRAMA (SAPNNAET)</t>
  </si>
  <si>
    <t>LCDO(A) EN GESTION SOCIAL</t>
  </si>
  <si>
    <t>JEFE DE ARTE Y FOLKLORE</t>
  </si>
  <si>
    <t>ALBAÑIL</t>
  </si>
  <si>
    <t>SUPERVISOR DE VIGILANCIA</t>
  </si>
  <si>
    <t>SUPERVISOR ASISTENCIAL</t>
  </si>
  <si>
    <t>JEFE DE SERVICIO (SALUD)</t>
  </si>
  <si>
    <t>ASEADOR DE MATERIALES DE LABORATORIO</t>
  </si>
  <si>
    <t>INSPECTOR AUXILIAR DE OBRAS</t>
  </si>
  <si>
    <t>CHOFER DE CISTERNA</t>
  </si>
  <si>
    <t>CRIMINOLOGO</t>
  </si>
  <si>
    <t>OFICIAL</t>
  </si>
  <si>
    <t>OFICIAL AGREGADO</t>
  </si>
  <si>
    <t>OFICIAL JEFE</t>
  </si>
  <si>
    <t>SUPERVISOR</t>
  </si>
  <si>
    <t>SUPERVISOR AGREGADO</t>
  </si>
  <si>
    <t>SUPERVISOR JEFE</t>
  </si>
  <si>
    <t>COMISIONADO AGREGADO</t>
  </si>
  <si>
    <t>DIRECTOR GENERAL</t>
  </si>
  <si>
    <t>COMISIONADO JEFE</t>
  </si>
  <si>
    <t>OFICIAL (GRADO 0)</t>
  </si>
  <si>
    <t>OFICIAL (GRADO 1)</t>
  </si>
  <si>
    <t>OFICIAL (GRADO 2)</t>
  </si>
  <si>
    <t>OFICIAL AGREGADO (GRADO 0)</t>
  </si>
  <si>
    <t>OFICIAL AGREGADO (GRADO 1)</t>
  </si>
  <si>
    <t>OFICIAL AGREGADO (GRADO 2)</t>
  </si>
  <si>
    <t>OFICIAL JEFE (GRADO 0)</t>
  </si>
  <si>
    <t>OFICIAL JEFE (GRADO 1)</t>
  </si>
  <si>
    <t>OFICIAL JEFE (GRADO 2)</t>
  </si>
  <si>
    <t>SUPERVISOR (GRADO 0)</t>
  </si>
  <si>
    <t>SUPERVISOR (GRADO 1)</t>
  </si>
  <si>
    <t>SUPERVISOR (GRADO 2)</t>
  </si>
  <si>
    <t>SUPERVISOR AGREGADO (GRADO 0)</t>
  </si>
  <si>
    <t>SUPERVISOR AGREGADO (GRADO 1)</t>
  </si>
  <si>
    <t>SUPERVISOR AGREGADO (GRADO 2)</t>
  </si>
  <si>
    <t>SUPERVISOR JEFE (GRADO 0)</t>
  </si>
  <si>
    <t>SUPERVISOR JEFE (GRADO 1)</t>
  </si>
  <si>
    <t>SUPERVISOR JEFE (GRADO 2)</t>
  </si>
  <si>
    <t>COMISIONADO (GRADO 0)</t>
  </si>
  <si>
    <t>COMISIONADO (GRADO 1)</t>
  </si>
  <si>
    <t>COMISIONADO (GRADO 2)</t>
  </si>
  <si>
    <t>COMISIONADO AGREGADO (GRADO 0)</t>
  </si>
  <si>
    <t>COMISIONADO AGREGADO (GRADO 1)</t>
  </si>
  <si>
    <t>COMISIONADO AGREGADO (GRADO 2)</t>
  </si>
  <si>
    <t>COMISIONADO JEFE (GRADO 0)</t>
  </si>
  <si>
    <t>COMISIONADO JEFE (GRADO 1)</t>
  </si>
  <si>
    <t>COMISIONADO JEFE (GRADO 2)</t>
  </si>
  <si>
    <t>COMISIONADO JEFE (GRADO 3)</t>
  </si>
  <si>
    <t>00011</t>
  </si>
  <si>
    <t>00012</t>
  </si>
  <si>
    <t>00013</t>
  </si>
  <si>
    <t>00014</t>
  </si>
  <si>
    <t>00015</t>
  </si>
  <si>
    <t>00016</t>
  </si>
  <si>
    <t>00021</t>
  </si>
  <si>
    <t>00030</t>
  </si>
  <si>
    <t>00031</t>
  </si>
  <si>
    <t>00032</t>
  </si>
  <si>
    <t>00033</t>
  </si>
  <si>
    <t>00034</t>
  </si>
  <si>
    <t>00041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</si>
  <si>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</si>
  <si>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</si>
  <si>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</si>
  <si>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</si>
  <si>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</si>
  <si>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</si>
  <si>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</si>
  <si>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</si>
  <si>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</si>
  <si>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</si>
  <si>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00061</t>
  </si>
  <si>
    <t>00062</t>
  </si>
  <si>
    <t>00066</t>
  </si>
  <si>
    <t>00070</t>
  </si>
  <si>
    <t>00071</t>
  </si>
  <si>
    <t>00072</t>
  </si>
  <si>
    <t>00073</t>
  </si>
  <si>
    <t>00076</t>
  </si>
  <si>
    <t>00077</t>
  </si>
  <si>
    <t>00078</t>
  </si>
  <si>
    <t>00079</t>
  </si>
  <si>
    <t>00081</t>
  </si>
  <si>
    <t>00084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</si>
  <si>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</si>
  <si>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</si>
  <si>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</si>
  <si>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</si>
  <si>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</si>
  <si>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</si>
  <si>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</si>
  <si>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</si>
  <si>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</si>
  <si>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</si>
  <si>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</si>
  <si>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</si>
  <si>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</si>
  <si>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00111</t>
  </si>
  <si>
    <t>00112</t>
  </si>
  <si>
    <t>00113</t>
  </si>
  <si>
    <t>00114</t>
  </si>
  <si>
    <t>00115</t>
  </si>
  <si>
    <t>00116</t>
  </si>
  <si>
    <t>00120</t>
  </si>
  <si>
    <t>00121</t>
  </si>
  <si>
    <t>00122</t>
  </si>
  <si>
    <t>00123</t>
  </si>
  <si>
    <t>00124</t>
  </si>
  <si>
    <t>00125</t>
  </si>
  <si>
    <t>00126</t>
  </si>
  <si>
    <t>00131</t>
  </si>
  <si>
    <t>00132</t>
  </si>
  <si>
    <t>00133</t>
  </si>
  <si>
    <t>00134</t>
  </si>
  <si>
    <t>00135</t>
  </si>
  <si>
    <t>00136</t>
  </si>
  <si>
    <t>00155</t>
  </si>
  <si>
    <t>00161</t>
  </si>
  <si>
    <t>00162</t>
  </si>
  <si>
    <t>00163</t>
  </si>
  <si>
    <t>00164</t>
  </si>
  <si>
    <t>00165</t>
  </si>
  <si>
    <t>00166</t>
  </si>
  <si>
    <t>00171</t>
  </si>
  <si>
    <t>00172</t>
  </si>
  <si>
    <t>00173</t>
  </si>
  <si>
    <t>00174</t>
  </si>
  <si>
    <t>00175</t>
  </si>
  <si>
    <t>00176</t>
  </si>
  <si>
    <t>00204</t>
  </si>
  <si>
    <t>00205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</si>
  <si>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</si>
  <si>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</si>
  <si>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</si>
  <si>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</si>
  <si>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</si>
  <si>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</si>
  <si>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</si>
  <si>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</si>
  <si>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</si>
  <si>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</si>
  <si>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00231</t>
  </si>
  <si>
    <t>00232</t>
  </si>
  <si>
    <t>00233</t>
  </si>
  <si>
    <t>00234</t>
  </si>
  <si>
    <t>00235</t>
  </si>
  <si>
    <t>00236</t>
  </si>
  <si>
    <t>00241</t>
  </si>
  <si>
    <t>00242</t>
  </si>
  <si>
    <t>00243</t>
  </si>
  <si>
    <t>00244</t>
  </si>
  <si>
    <t>00245</t>
  </si>
  <si>
    <t>00246</t>
  </si>
  <si>
    <t>00301</t>
  </si>
  <si>
    <t>00311</t>
  </si>
  <si>
    <t>00321</t>
  </si>
  <si>
    <t>00331</t>
  </si>
  <si>
    <t>00341</t>
  </si>
  <si>
    <t>00351</t>
  </si>
  <si>
    <t>00361</t>
  </si>
  <si>
    <t>00592</t>
  </si>
  <si>
    <t>00616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</si>
  <si>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</si>
  <si>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</si>
  <si>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</si>
  <si>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</si>
  <si>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</si>
  <si>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</si>
  <si>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</si>
  <si>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</si>
  <si>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</si>
  <si>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</si>
  <si>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</si>
  <si>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00634</t>
  </si>
  <si>
    <t>00635</t>
  </si>
  <si>
    <t>00636</t>
  </si>
  <si>
    <t>00640</t>
  </si>
  <si>
    <t>00641</t>
  </si>
  <si>
    <t>00642</t>
  </si>
  <si>
    <t>00643</t>
  </si>
  <si>
    <t>00644</t>
  </si>
  <si>
    <t>00645</t>
  </si>
  <si>
    <t>00646</t>
  </si>
  <si>
    <t>00651</t>
  </si>
  <si>
    <t>00652</t>
  </si>
  <si>
    <t>00653</t>
  </si>
  <si>
    <t>00654</t>
  </si>
  <si>
    <t>00655</t>
  </si>
  <si>
    <t>00656</t>
  </si>
  <si>
    <t>00666</t>
  </si>
  <si>
    <t>00704</t>
  </si>
  <si>
    <t>00712</t>
  </si>
  <si>
    <t>00721</t>
  </si>
  <si>
    <t>00722</t>
  </si>
  <si>
    <t>00723</t>
  </si>
  <si>
    <t>00724</t>
  </si>
  <si>
    <t>00725</t>
  </si>
  <si>
    <t>00726</t>
  </si>
  <si>
    <t>00728</t>
  </si>
  <si>
    <t>00733</t>
  </si>
  <si>
    <t>00734</t>
  </si>
  <si>
    <t>00735</t>
  </si>
  <si>
    <t>00736</t>
  </si>
  <si>
    <t>00740</t>
  </si>
  <si>
    <t>00741</t>
  </si>
  <si>
    <t>00742</t>
  </si>
  <si>
    <t>00743</t>
  </si>
  <si>
    <t>00744</t>
  </si>
  <si>
    <t>00745</t>
  </si>
  <si>
    <t>00746</t>
  </si>
  <si>
    <t>00753</t>
  </si>
  <si>
    <t>00754</t>
  </si>
  <si>
    <t>00755</t>
  </si>
  <si>
    <t>00756</t>
  </si>
  <si>
    <t>00761</t>
  </si>
  <si>
    <t>00763</t>
  </si>
  <si>
    <t>00764</t>
  </si>
  <si>
    <t>00765</t>
  </si>
  <si>
    <t>00766</t>
  </si>
  <si>
    <t>00771</t>
  </si>
  <si>
    <t>00774</t>
  </si>
  <si>
    <t>00775</t>
  </si>
  <si>
    <t>00776</t>
  </si>
  <si>
    <t>00789</t>
  </si>
  <si>
    <t>00806</t>
  </si>
  <si>
    <t>00862</t>
  </si>
  <si>
    <t>00863</t>
  </si>
  <si>
    <t>00864</t>
  </si>
  <si>
    <t>00865</t>
  </si>
  <si>
    <t>00866</t>
  </si>
  <si>
    <t>00868</t>
  </si>
  <si>
    <t>00870</t>
  </si>
  <si>
    <t>00874</t>
  </si>
  <si>
    <t>00875</t>
  </si>
  <si>
    <t>00876</t>
  </si>
  <si>
    <t>00877</t>
  </si>
  <si>
    <t>00930</t>
  </si>
  <si>
    <t>00931</t>
  </si>
  <si>
    <t>00945</t>
  </si>
  <si>
    <t>01101</t>
  </si>
  <si>
    <t>01102</t>
  </si>
  <si>
    <t>01103</t>
  </si>
  <si>
    <t>01104</t>
  </si>
  <si>
    <t>01105</t>
  </si>
  <si>
    <t>01106</t>
  </si>
  <si>
    <t>01111</t>
  </si>
  <si>
    <t>01112</t>
  </si>
  <si>
    <t>01113</t>
  </si>
  <si>
    <t>01114</t>
  </si>
  <si>
    <t>01115</t>
  </si>
  <si>
    <t>01116</t>
  </si>
  <si>
    <t>01126</t>
  </si>
  <si>
    <t>01130</t>
  </si>
  <si>
    <t>01146</t>
  </si>
  <si>
    <t>01150</t>
  </si>
  <si>
    <t>01201</t>
  </si>
  <si>
    <t>01202</t>
  </si>
  <si>
    <t>01203</t>
  </si>
  <si>
    <t>01204</t>
  </si>
  <si>
    <t>01205</t>
  </si>
  <si>
    <t>01206</t>
  </si>
  <si>
    <t>01211</t>
  </si>
  <si>
    <t>01212</t>
  </si>
  <si>
    <t>01213</t>
  </si>
  <si>
    <t>01214</t>
  </si>
  <si>
    <t>01215</t>
  </si>
  <si>
    <t>01216</t>
  </si>
  <si>
    <t>01301</t>
  </si>
  <si>
    <t>01302</t>
  </si>
  <si>
    <t>01303</t>
  </si>
  <si>
    <t>01304</t>
  </si>
  <si>
    <t>01305</t>
  </si>
  <si>
    <t>01306</t>
  </si>
  <si>
    <t>01310</t>
  </si>
  <si>
    <t>01311</t>
  </si>
  <si>
    <t>01312</t>
  </si>
  <si>
    <t>01313</t>
  </si>
  <si>
    <t>01314</t>
  </si>
  <si>
    <t>01315</t>
  </si>
  <si>
    <t>01316</t>
  </si>
  <si>
    <t>01317</t>
  </si>
  <si>
    <t>01320</t>
  </si>
  <si>
    <t>01321</t>
  </si>
  <si>
    <t>01322</t>
  </si>
  <si>
    <t>01323</t>
  </si>
  <si>
    <t>01324</t>
  </si>
  <si>
    <t>01325</t>
  </si>
  <si>
    <t>01326</t>
  </si>
  <si>
    <t>01327</t>
  </si>
  <si>
    <t>01331</t>
  </si>
  <si>
    <t>01332</t>
  </si>
  <si>
    <t>01333</t>
  </si>
  <si>
    <t>01334</t>
  </si>
  <si>
    <t>01335</t>
  </si>
  <si>
    <t>01336</t>
  </si>
  <si>
    <t>01341</t>
  </si>
  <si>
    <t>01342</t>
  </si>
  <si>
    <t>01343</t>
  </si>
  <si>
    <t>01344</t>
  </si>
  <si>
    <t>01345</t>
  </si>
  <si>
    <t>01346</t>
  </si>
  <si>
    <t>01361</t>
  </si>
  <si>
    <t>01362</t>
  </si>
  <si>
    <t>01363</t>
  </si>
  <si>
    <t>01364</t>
  </si>
  <si>
    <t>01365</t>
  </si>
  <si>
    <t>01366</t>
  </si>
  <si>
    <t>01371</t>
  </si>
  <si>
    <t>01372</t>
  </si>
  <si>
    <t>01373</t>
  </si>
  <si>
    <t>01374</t>
  </si>
  <si>
    <t>01375</t>
  </si>
  <si>
    <t>01376</t>
  </si>
  <si>
    <t>01403</t>
  </si>
  <si>
    <t>01404</t>
  </si>
  <si>
    <t>01405</t>
  </si>
  <si>
    <t>01412</t>
  </si>
  <si>
    <t>01424</t>
  </si>
  <si>
    <t>01433</t>
  </si>
  <si>
    <t>01443</t>
  </si>
  <si>
    <t>01446</t>
  </si>
  <si>
    <t>01453</t>
  </si>
  <si>
    <t>01454</t>
  </si>
  <si>
    <t>01456</t>
  </si>
  <si>
    <t>01466</t>
  </si>
  <si>
    <t>01471</t>
  </si>
  <si>
    <t>01483</t>
  </si>
  <si>
    <t>01495</t>
  </si>
  <si>
    <t>01513</t>
  </si>
  <si>
    <t>01523</t>
  </si>
  <si>
    <t>01533</t>
  </si>
  <si>
    <t>01534</t>
  </si>
  <si>
    <t>01535</t>
  </si>
  <si>
    <t>01536</t>
  </si>
  <si>
    <t>01546</t>
  </si>
  <si>
    <t>01556</t>
  </si>
  <si>
    <t>01563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</si>
  <si>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</si>
  <si>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</si>
  <si>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</si>
  <si>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</si>
  <si>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</si>
  <si>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</si>
  <si>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</si>
  <si>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</si>
  <si>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</si>
  <si>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</si>
  <si>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</si>
  <si>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</si>
  <si>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</si>
  <si>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</si>
  <si>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</si>
  <si>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01616</t>
  </si>
  <si>
    <t>01618</t>
  </si>
  <si>
    <t>01621</t>
  </si>
  <si>
    <t>01622</t>
  </si>
  <si>
    <t>01623</t>
  </si>
  <si>
    <t>01624</t>
  </si>
  <si>
    <t>01625</t>
  </si>
  <si>
    <t>01626</t>
  </si>
  <si>
    <t>01631</t>
  </si>
  <si>
    <t>01632</t>
  </si>
  <si>
    <t>01633</t>
  </si>
  <si>
    <t>01634</t>
  </si>
  <si>
    <t>01635</t>
  </si>
  <si>
    <t>01636</t>
  </si>
  <si>
    <t>01651</t>
  </si>
  <si>
    <t>01652</t>
  </si>
  <si>
    <t>01653</t>
  </si>
  <si>
    <t>01654</t>
  </si>
  <si>
    <t>01655</t>
  </si>
  <si>
    <t>01656</t>
  </si>
  <si>
    <t>01661</t>
  </si>
  <si>
    <t>01662</t>
  </si>
  <si>
    <t>01663</t>
  </si>
  <si>
    <t>01664</t>
  </si>
  <si>
    <t>01665</t>
  </si>
  <si>
    <t>01666</t>
  </si>
  <si>
    <t>01667</t>
  </si>
  <si>
    <t>01668</t>
  </si>
  <si>
    <t>01827</t>
  </si>
  <si>
    <t>01926</t>
  </si>
  <si>
    <t>02000</t>
  </si>
  <si>
    <t>02001</t>
  </si>
  <si>
    <t>02002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</si>
  <si>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</si>
  <si>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</si>
  <si>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</si>
  <si>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</si>
  <si>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</si>
  <si>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</si>
  <si>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</si>
  <si>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</si>
  <si>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</si>
  <si>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</si>
  <si>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02017</t>
  </si>
  <si>
    <t>02018</t>
  </si>
  <si>
    <t>02019</t>
  </si>
  <si>
    <t>02021</t>
  </si>
  <si>
    <t>02022</t>
  </si>
  <si>
    <t>02024</t>
  </si>
  <si>
    <t>02025</t>
  </si>
  <si>
    <t>02026</t>
  </si>
  <si>
    <t>02027</t>
  </si>
  <si>
    <t>02028</t>
  </si>
  <si>
    <t>02029</t>
  </si>
  <si>
    <t>02030</t>
  </si>
  <si>
    <t>02033</t>
  </si>
  <si>
    <t>02034</t>
  </si>
  <si>
    <t>02035</t>
  </si>
  <si>
    <t>02036</t>
  </si>
  <si>
    <t>02037</t>
  </si>
  <si>
    <t>02038</t>
  </si>
  <si>
    <t>02039</t>
  </si>
  <si>
    <t>02040</t>
  </si>
  <si>
    <t>02042</t>
  </si>
  <si>
    <t>02045</t>
  </si>
  <si>
    <t>02047</t>
  </si>
  <si>
    <t>02048</t>
  </si>
  <si>
    <t>02049</t>
  </si>
  <si>
    <t>02050</t>
  </si>
  <si>
    <t>02051</t>
  </si>
  <si>
    <t>02052</t>
  </si>
  <si>
    <t>02053</t>
  </si>
  <si>
    <t>02054</t>
  </si>
  <si>
    <t>02058</t>
  </si>
  <si>
    <t>02059</t>
  </si>
  <si>
    <t>02060</t>
  </si>
  <si>
    <t>02061</t>
  </si>
  <si>
    <t>02062</t>
  </si>
  <si>
    <t>02063</t>
  </si>
  <si>
    <t>02064</t>
  </si>
  <si>
    <t>02065</t>
  </si>
  <si>
    <t>02066</t>
  </si>
  <si>
    <t>02067</t>
  </si>
  <si>
    <t>02068</t>
  </si>
  <si>
    <t>02069</t>
  </si>
  <si>
    <t>02070</t>
  </si>
  <si>
    <t>02071</t>
  </si>
  <si>
    <t>02072</t>
  </si>
  <si>
    <t>02073</t>
  </si>
  <si>
    <t>02074</t>
  </si>
  <si>
    <t>02075</t>
  </si>
  <si>
    <t>02076</t>
  </si>
  <si>
    <t>02077</t>
  </si>
  <si>
    <t>02078</t>
  </si>
  <si>
    <t>02080</t>
  </si>
  <si>
    <t>02081</t>
  </si>
  <si>
    <t>02082</t>
  </si>
  <si>
    <t>02083</t>
  </si>
  <si>
    <t>03615</t>
  </si>
  <si>
    <t>03616</t>
  </si>
  <si>
    <t>03617</t>
  </si>
  <si>
    <t>03618</t>
  </si>
  <si>
    <t>03619</t>
  </si>
  <si>
    <t>03620</t>
  </si>
  <si>
    <t>03621</t>
  </si>
  <si>
    <t>03622</t>
  </si>
  <si>
    <t>03623</t>
  </si>
  <si>
    <t>03624</t>
  </si>
  <si>
    <t>03625</t>
  </si>
  <si>
    <t>03626</t>
  </si>
  <si>
    <t>03627</t>
  </si>
  <si>
    <t>03748</t>
  </si>
  <si>
    <t>03749</t>
  </si>
  <si>
    <t>03751</t>
  </si>
  <si>
    <t>03752</t>
  </si>
  <si>
    <t>03753</t>
  </si>
  <si>
    <t>03754</t>
  </si>
  <si>
    <t>03755</t>
  </si>
  <si>
    <t>09127</t>
  </si>
  <si>
    <t>12116</t>
  </si>
  <si>
    <t>12125</t>
  </si>
  <si>
    <t>13255</t>
  </si>
  <si>
    <t>13283</t>
  </si>
  <si>
    <t>21544</t>
  </si>
  <si>
    <t>23425</t>
  </si>
  <si>
    <t>23454</t>
  </si>
  <si>
    <t>23455</t>
  </si>
  <si>
    <t>25115</t>
  </si>
  <si>
    <t>25871</t>
  </si>
  <si>
    <t>40001</t>
  </si>
  <si>
    <t>40002</t>
  </si>
  <si>
    <t>40003</t>
  </si>
  <si>
    <t>40004</t>
  </si>
  <si>
    <t>40005</t>
  </si>
  <si>
    <t>40006</t>
  </si>
  <si>
    <t>40007</t>
  </si>
  <si>
    <t>40008</t>
  </si>
  <si>
    <t>40009</t>
  </si>
  <si>
    <t>40010</t>
  </si>
  <si>
    <t>40011</t>
  </si>
  <si>
    <t>40012</t>
  </si>
  <si>
    <t>40013</t>
  </si>
  <si>
    <t>40014</t>
  </si>
  <si>
    <t>40015</t>
  </si>
  <si>
    <t>40016</t>
  </si>
  <si>
    <t>40017</t>
  </si>
  <si>
    <t>40018</t>
  </si>
  <si>
    <t>40019</t>
  </si>
  <si>
    <t>40020</t>
  </si>
  <si>
    <t>40021</t>
  </si>
  <si>
    <t>40022</t>
  </si>
  <si>
    <t>40023</t>
  </si>
  <si>
    <t>40024</t>
  </si>
  <si>
    <t>40025</t>
  </si>
  <si>
    <t>40026</t>
  </si>
  <si>
    <t>40027</t>
  </si>
  <si>
    <t>40028</t>
  </si>
  <si>
    <t>40029</t>
  </si>
  <si>
    <t>40030</t>
  </si>
  <si>
    <t>40031</t>
  </si>
  <si>
    <t>40032</t>
  </si>
  <si>
    <t>40033</t>
  </si>
  <si>
    <t>40034</t>
  </si>
  <si>
    <t>40035</t>
  </si>
  <si>
    <t>40036</t>
  </si>
  <si>
    <t>40037</t>
  </si>
  <si>
    <t>40038</t>
  </si>
  <si>
    <t>40039</t>
  </si>
  <si>
    <t>40040</t>
  </si>
  <si>
    <t>40041</t>
  </si>
  <si>
    <t>40042</t>
  </si>
  <si>
    <t>40043</t>
  </si>
  <si>
    <t>40044</t>
  </si>
  <si>
    <t>40045</t>
  </si>
  <si>
    <t>40046</t>
  </si>
  <si>
    <t>40047</t>
  </si>
  <si>
    <t>40048</t>
  </si>
  <si>
    <t>40049</t>
  </si>
  <si>
    <t>40050</t>
  </si>
  <si>
    <t>40051</t>
  </si>
  <si>
    <t>40052</t>
  </si>
  <si>
    <t>40053</t>
  </si>
  <si>
    <t>40054</t>
  </si>
  <si>
    <t>40055</t>
  </si>
  <si>
    <t>40056</t>
  </si>
  <si>
    <t>40057</t>
  </si>
  <si>
    <t>40058</t>
  </si>
  <si>
    <t>40059</t>
  </si>
  <si>
    <t>40060</t>
  </si>
  <si>
    <t>40061</t>
  </si>
  <si>
    <t>40062</t>
  </si>
  <si>
    <t>40063</t>
  </si>
  <si>
    <t>40064</t>
  </si>
  <si>
    <t>40065</t>
  </si>
  <si>
    <t>40066</t>
  </si>
  <si>
    <t>40067</t>
  </si>
  <si>
    <t>40068</t>
  </si>
  <si>
    <t>40069</t>
  </si>
  <si>
    <t>40070</t>
  </si>
  <si>
    <t>40071</t>
  </si>
  <si>
    <t>40072</t>
  </si>
  <si>
    <t>40073</t>
  </si>
  <si>
    <t>40074</t>
  </si>
  <si>
    <t>40075</t>
  </si>
  <si>
    <t>40076</t>
  </si>
  <si>
    <t>40077</t>
  </si>
  <si>
    <t>40078</t>
  </si>
  <si>
    <t>40079</t>
  </si>
  <si>
    <t>40080</t>
  </si>
  <si>
    <t>40081</t>
  </si>
  <si>
    <t>40082</t>
  </si>
  <si>
    <t>40083</t>
  </si>
  <si>
    <t>40084</t>
  </si>
  <si>
    <t>40085</t>
  </si>
  <si>
    <t>40086</t>
  </si>
  <si>
    <t>40087</t>
  </si>
  <si>
    <t>40088</t>
  </si>
  <si>
    <t>40089</t>
  </si>
  <si>
    <t>40090</t>
  </si>
  <si>
    <t>40091</t>
  </si>
  <si>
    <t>40092</t>
  </si>
  <si>
    <t>40093</t>
  </si>
  <si>
    <t>40094</t>
  </si>
  <si>
    <t>40095</t>
  </si>
  <si>
    <t>40096</t>
  </si>
  <si>
    <t>40097</t>
  </si>
  <si>
    <t>40098</t>
  </si>
  <si>
    <t>40099</t>
  </si>
  <si>
    <t>40100</t>
  </si>
  <si>
    <t>40101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</si>
  <si>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</si>
  <si>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</si>
  <si>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</si>
  <si>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</si>
  <si>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</si>
  <si>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</si>
  <si>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</si>
  <si>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</si>
  <si>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</si>
  <si>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</si>
  <si>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</si>
  <si>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</si>
  <si>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40114</t>
  </si>
  <si>
    <t>40115</t>
  </si>
  <si>
    <t>40116</t>
  </si>
  <si>
    <t>40117</t>
  </si>
  <si>
    <t>40118</t>
  </si>
  <si>
    <t>40119</t>
  </si>
  <si>
    <t>40120</t>
  </si>
  <si>
    <t>40121</t>
  </si>
  <si>
    <t>40122</t>
  </si>
  <si>
    <t>40123</t>
  </si>
  <si>
    <t>40124</t>
  </si>
  <si>
    <t>40125</t>
  </si>
  <si>
    <t>40126</t>
  </si>
  <si>
    <t>40127</t>
  </si>
  <si>
    <t>40128</t>
  </si>
  <si>
    <t>40129</t>
  </si>
  <si>
    <t>40130</t>
  </si>
  <si>
    <t>40131</t>
  </si>
  <si>
    <t>40132</t>
  </si>
  <si>
    <t>40133</t>
  </si>
  <si>
    <t>40134</t>
  </si>
  <si>
    <t>40135</t>
  </si>
  <si>
    <t>40136</t>
  </si>
  <si>
    <t>40137</t>
  </si>
  <si>
    <t>40138</t>
  </si>
  <si>
    <t>40139</t>
  </si>
  <si>
    <t>40140</t>
  </si>
  <si>
    <t>40141</t>
  </si>
  <si>
    <t>40142</t>
  </si>
  <si>
    <t>40143</t>
  </si>
  <si>
    <t>40144</t>
  </si>
  <si>
    <t>40145</t>
  </si>
  <si>
    <t>40146</t>
  </si>
  <si>
    <t>40147</t>
  </si>
  <si>
    <t>40148</t>
  </si>
  <si>
    <t>40149</t>
  </si>
  <si>
    <t>40150</t>
  </si>
  <si>
    <t>40151</t>
  </si>
  <si>
    <t>40152</t>
  </si>
  <si>
    <t>40153</t>
  </si>
  <si>
    <t>40154</t>
  </si>
  <si>
    <t>40155</t>
  </si>
  <si>
    <t>40156</t>
  </si>
  <si>
    <t>40157</t>
  </si>
  <si>
    <t>40158</t>
  </si>
  <si>
    <t>40159</t>
  </si>
  <si>
    <t>40160</t>
  </si>
  <si>
    <t>40161</t>
  </si>
  <si>
    <t>40162</t>
  </si>
  <si>
    <t>40163</t>
  </si>
  <si>
    <t>40164</t>
  </si>
  <si>
    <t>40165</t>
  </si>
  <si>
    <t>40166</t>
  </si>
  <si>
    <t>40167</t>
  </si>
  <si>
    <t>40168</t>
  </si>
  <si>
    <t>40169</t>
  </si>
  <si>
    <t>40170</t>
  </si>
  <si>
    <t>40171</t>
  </si>
  <si>
    <t>40172</t>
  </si>
  <si>
    <t>40173</t>
  </si>
  <si>
    <t>40174</t>
  </si>
  <si>
    <t>40175</t>
  </si>
  <si>
    <t>40176</t>
  </si>
  <si>
    <t>40177</t>
  </si>
  <si>
    <t>40178</t>
  </si>
  <si>
    <t>40179</t>
  </si>
  <si>
    <t>40180</t>
  </si>
  <si>
    <t>40181</t>
  </si>
  <si>
    <t>40182</t>
  </si>
  <si>
    <t>40183</t>
  </si>
  <si>
    <t>40184</t>
  </si>
  <si>
    <t>40185</t>
  </si>
  <si>
    <t>40186</t>
  </si>
  <si>
    <t>40187</t>
  </si>
  <si>
    <t>40188</t>
  </si>
  <si>
    <t>40189</t>
  </si>
  <si>
    <t>40190</t>
  </si>
  <si>
    <t>40191</t>
  </si>
  <si>
    <t>40192</t>
  </si>
  <si>
    <t>40193</t>
  </si>
  <si>
    <t>40194</t>
  </si>
  <si>
    <t>40195</t>
  </si>
  <si>
    <t>40196</t>
  </si>
  <si>
    <t>40197</t>
  </si>
  <si>
    <t>40198</t>
  </si>
  <si>
    <t>40199</t>
  </si>
  <si>
    <t>40200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</si>
  <si>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</si>
  <si>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</si>
  <si>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</si>
  <si>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</si>
  <si>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</si>
  <si>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</si>
  <si>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</si>
  <si>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</si>
  <si>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</si>
  <si>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</si>
  <si>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</si>
  <si>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</si>
  <si>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</si>
  <si>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</si>
  <si>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</si>
  <si>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</si>
  <si>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</si>
  <si>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</si>
  <si>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</si>
  <si>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</si>
  <si>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</si>
  <si>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</si>
  <si>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</si>
  <si>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</si>
  <si>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</si>
  <si>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40226</t>
  </si>
  <si>
    <t>40227</t>
  </si>
  <si>
    <t>40228</t>
  </si>
  <si>
    <t>40229</t>
  </si>
  <si>
    <t>40230</t>
  </si>
  <si>
    <t>40231</t>
  </si>
  <si>
    <t>40232</t>
  </si>
  <si>
    <t>40233</t>
  </si>
  <si>
    <t>40234</t>
  </si>
  <si>
    <t>40235</t>
  </si>
  <si>
    <t>40236</t>
  </si>
  <si>
    <t>40237</t>
  </si>
  <si>
    <t>40238</t>
  </si>
  <si>
    <t>40239</t>
  </si>
  <si>
    <t>40240</t>
  </si>
  <si>
    <t>40241</t>
  </si>
  <si>
    <t>40242</t>
  </si>
  <si>
    <t>40243</t>
  </si>
  <si>
    <t>40244</t>
  </si>
  <si>
    <t>40245</t>
  </si>
  <si>
    <t>40246</t>
  </si>
  <si>
    <t>40300</t>
  </si>
  <si>
    <t>40301</t>
  </si>
  <si>
    <t>40302</t>
  </si>
  <si>
    <t>40303</t>
  </si>
  <si>
    <t>41121</t>
  </si>
  <si>
    <t>41815</t>
  </si>
  <si>
    <t>43473</t>
  </si>
  <si>
    <t>43493</t>
  </si>
  <si>
    <t>43725</t>
  </si>
  <si>
    <t>43726</t>
  </si>
  <si>
    <t>43727</t>
  </si>
  <si>
    <t>45254</t>
  </si>
  <si>
    <t>46123</t>
  </si>
  <si>
    <t>46614</t>
  </si>
  <si>
    <t>50001</t>
  </si>
  <si>
    <t>50002</t>
  </si>
  <si>
    <t>50003</t>
  </si>
  <si>
    <t>50004</t>
  </si>
  <si>
    <t>50005</t>
  </si>
  <si>
    <t>50011</t>
  </si>
  <si>
    <t>50012</t>
  </si>
  <si>
    <t>50013</t>
  </si>
  <si>
    <t>50014</t>
  </si>
  <si>
    <t>50015</t>
  </si>
  <si>
    <t>50020</t>
  </si>
  <si>
    <t>50030</t>
  </si>
  <si>
    <t>51214</t>
  </si>
  <si>
    <t>62162</t>
  </si>
  <si>
    <t>62211</t>
  </si>
  <si>
    <t>62212</t>
  </si>
  <si>
    <t>62213</t>
  </si>
  <si>
    <t>62221</t>
  </si>
  <si>
    <t>62222</t>
  </si>
  <si>
    <t>62223</t>
  </si>
  <si>
    <t>62224</t>
  </si>
  <si>
    <t>62225</t>
  </si>
  <si>
    <t>62231</t>
  </si>
  <si>
    <t>62240</t>
  </si>
  <si>
    <t>62241</t>
  </si>
  <si>
    <t>62251</t>
  </si>
  <si>
    <t>62252</t>
  </si>
  <si>
    <t>62253</t>
  </si>
  <si>
    <t>62261</t>
  </si>
  <si>
    <t>62262</t>
  </si>
  <si>
    <t>62263</t>
  </si>
  <si>
    <t>62271</t>
  </si>
  <si>
    <t>62272</t>
  </si>
  <si>
    <t>62273</t>
  </si>
  <si>
    <t>62274</t>
  </si>
  <si>
    <t>65000</t>
  </si>
  <si>
    <t>65001</t>
  </si>
  <si>
    <t>65002</t>
  </si>
  <si>
    <t>71211</t>
  </si>
  <si>
    <t>7360</t>
  </si>
  <si>
    <t>7361</t>
  </si>
  <si>
    <t>7362</t>
  </si>
  <si>
    <t>8528</t>
  </si>
  <si>
    <t>8529</t>
  </si>
  <si>
    <t>8530</t>
  </si>
  <si>
    <t>85321</t>
  </si>
  <si>
    <t>90000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</si>
  <si>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</si>
  <si>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</si>
  <si>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</si>
  <si>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</si>
  <si>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</si>
  <si>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</si>
  <si>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</si>
  <si>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</si>
  <si>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</si>
  <si>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</si>
  <si>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</si>
  <si>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</si>
  <si>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</si>
  <si>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</si>
  <si>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</si>
  <si>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</si>
  <si>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</si>
  <si>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</si>
  <si>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</si>
  <si>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</si>
  <si>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</si>
  <si>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</si>
  <si>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</si>
  <si>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</si>
  <si>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</si>
  <si>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</si>
  <si>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</si>
  <si>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</si>
  <si>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</si>
  <si>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</si>
  <si>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</si>
  <si>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</si>
  <si>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</si>
  <si>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</si>
  <si>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</si>
  <si>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</si>
  <si>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</si>
  <si>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/>
  </si>
  <si>
    <t>99</t>
  </si>
  <si>
    <t>DO</t>
  </si>
  <si>
    <t>15</t>
  </si>
  <si>
    <t>17</t>
  </si>
  <si>
    <t>19</t>
  </si>
  <si>
    <t>20</t>
  </si>
  <si>
    <t>21</t>
  </si>
  <si>
    <t>23</t>
  </si>
  <si>
    <t>24</t>
  </si>
  <si>
    <t>25</t>
  </si>
  <si>
    <t>22</t>
  </si>
  <si>
    <t>18</t>
  </si>
  <si>
    <t>26</t>
  </si>
  <si>
    <t>16</t>
  </si>
  <si>
    <t>11</t>
  </si>
  <si>
    <t>28</t>
  </si>
  <si>
    <t>13</t>
  </si>
  <si>
    <t>12</t>
  </si>
  <si>
    <t>14</t>
  </si>
  <si>
    <t>PO</t>
  </si>
  <si>
    <t>DE 0 A 2 AÑOS</t>
  </si>
  <si>
    <t>DE 3 A 5 AÑOS</t>
  </si>
  <si>
    <t>DE 6 A 8 AÑOS</t>
  </si>
  <si>
    <t>DE 9 A 11 AÑOS</t>
  </si>
  <si>
    <t>DE 12 A 14 AÑOS</t>
  </si>
  <si>
    <t>DE 15 A 17 AÑOS</t>
  </si>
  <si>
    <t>DE 18 EN ADELANTE</t>
  </si>
  <si>
    <t>PRESIDENTE</t>
  </si>
  <si>
    <t>61223</t>
  </si>
  <si>
    <t>VICEPRESIDENTE</t>
  </si>
  <si>
    <t>90101</t>
  </si>
  <si>
    <t>JEFE DE UNIDAD</t>
  </si>
  <si>
    <t>ASISTENTE AL PRESIDENTE</t>
  </si>
  <si>
    <t>90103</t>
  </si>
  <si>
    <t>BECAS PARA HIJOS/AS ESTUDIANTES</t>
  </si>
  <si>
    <t>BECAS PARA TRABAJADORES/AS ESTUDIANTES</t>
  </si>
  <si>
    <t>CONTRIBUCION PARA TRABAJADORES/AS CON DISCAPACIDAD</t>
  </si>
  <si>
    <t>CONTRIBUCION PARA HIJOS/AS CON DISCAPACIDAD</t>
  </si>
  <si>
    <t>DIA DE LA MADRE</t>
  </si>
  <si>
    <t>DIA DEL PADRE</t>
  </si>
  <si>
    <t>DIA DEL NIÑO</t>
  </si>
  <si>
    <t>AYUDA POR NACIMIENTO</t>
  </si>
  <si>
    <t>AYUDA POR MATRIMONIO</t>
  </si>
  <si>
    <t>C0100</t>
  </si>
  <si>
    <t>C0200</t>
  </si>
  <si>
    <t>C0300</t>
  </si>
  <si>
    <t>C0400</t>
  </si>
  <si>
    <t>PRIMA DE HIJOS</t>
  </si>
  <si>
    <t>AGUINALDOS</t>
  </si>
  <si>
    <t>TOTAL OBREROS FIJOS</t>
  </si>
  <si>
    <t>ALICUOTA VACACIONES</t>
  </si>
  <si>
    <t>ALICUOTA AGUINALDOS</t>
  </si>
  <si>
    <t>ASEADOR AREAS PUBLICAS</t>
  </si>
  <si>
    <t>7107</t>
  </si>
  <si>
    <t>AUXILIAR DE BIBLIOTECA N.G.</t>
  </si>
  <si>
    <t>AUXILIAR DE FARMACIA</t>
  </si>
  <si>
    <t>AUXILIAR DE LABORATORIO</t>
  </si>
  <si>
    <t>AUXILIAR DE MEZCLAS PRODUCTOS FARMACEUTICOS</t>
  </si>
  <si>
    <t>AUXILIAR DE OFICINA I</t>
  </si>
  <si>
    <t>10002</t>
  </si>
  <si>
    <t>AUXILIAR DE PRE-ESCOLAR</t>
  </si>
  <si>
    <t>AUXILIAR DE PRUEBAS PRODUCTOS FARMACEUTICOS</t>
  </si>
  <si>
    <t>AUXILIAR DE RAYOS X</t>
  </si>
  <si>
    <t>AUXILIAR DE TERAPIA N.G.</t>
  </si>
  <si>
    <t>AUXILIAR DE TERAPIA NG</t>
  </si>
  <si>
    <t>AYUDANTE DE ALBAÑIL</t>
  </si>
  <si>
    <t>7222</t>
  </si>
  <si>
    <t>CONTRALOR INTERNO</t>
  </si>
  <si>
    <t>10000</t>
  </si>
  <si>
    <t>COORDINADOR DE ASUNTOS CINEMATOGRAFICOS I</t>
  </si>
  <si>
    <t>COORDINADOR DE ASUNTOS CINEMATOGRAFICOS II</t>
  </si>
  <si>
    <t>COORDINADOR DE ASUNTOS CINEMATOGRAFICOS III</t>
  </si>
  <si>
    <t>COORDINADOR DE ASUNTOS INTERNACIONALES II</t>
  </si>
  <si>
    <t>COORDINADOR DE ASUNTOS INTERNACIONALES III</t>
  </si>
  <si>
    <t>COORDINADOR DE ASUNTOS LABORALES I</t>
  </si>
  <si>
    <t>COORDINADOR DE ASUNTOS LABORALES II</t>
  </si>
  <si>
    <t>COORDINADOR DE DESARROLLO DE RECURSOS HUMANOS I</t>
  </si>
  <si>
    <t>COORDINADOR DE MAQUINARIA PESADA</t>
  </si>
  <si>
    <t>7244</t>
  </si>
  <si>
    <t>COORDINADOR DEASUNTOS INTERNACIONALES JEFE</t>
  </si>
  <si>
    <t>COORDINADOR GENERAL DE PERSONAL</t>
  </si>
  <si>
    <t>10003</t>
  </si>
  <si>
    <t>DIRECTOR TOPOGRAFO</t>
  </si>
  <si>
    <t>10004</t>
  </si>
  <si>
    <t>FISCAL DE OBRAS I</t>
  </si>
  <si>
    <t>10006</t>
  </si>
  <si>
    <t>FISCAL I  (OBREROS)</t>
  </si>
  <si>
    <t>7240</t>
  </si>
  <si>
    <t>FISCAL II (OBREROS)</t>
  </si>
  <si>
    <t>7241</t>
  </si>
  <si>
    <t>GERENTE</t>
  </si>
  <si>
    <t>00932</t>
  </si>
  <si>
    <t>INGENIERO DE GAS I</t>
  </si>
  <si>
    <t>INGENIERO EN AGROSISTEMAS I</t>
  </si>
  <si>
    <t>INSPECTOR AUXILIAR DE OPERACIONES DE AREAS PUBLICAS</t>
  </si>
  <si>
    <t>7221</t>
  </si>
  <si>
    <t>00950</t>
  </si>
  <si>
    <t>MECANOGRAFA(O) II</t>
  </si>
  <si>
    <t>10001</t>
  </si>
  <si>
    <t>PAGADOR</t>
  </si>
  <si>
    <t>7224</t>
  </si>
  <si>
    <t>PERSONAL ADMINISTRATIVO NO CLASIFICADO</t>
  </si>
  <si>
    <t>10005</t>
  </si>
  <si>
    <t>SECRETARIA EJECUTIVA [SUB DIRECTORA]</t>
  </si>
  <si>
    <t>24344</t>
  </si>
  <si>
    <t>SECRETARIO(A) DE DESPACHO</t>
  </si>
  <si>
    <t>SUPERVISOR DE CAMIONES CISTERNA</t>
  </si>
  <si>
    <t>7243</t>
  </si>
  <si>
    <t>SUPERVISOR DE INSTRUCCION A DISTANCIA III</t>
  </si>
  <si>
    <t>SUPERVISOR DE MANTENIMIENTO DE PARQUES II</t>
  </si>
  <si>
    <t>SUPERVISOR DE MANTENIMIENTO DE PARQUES III</t>
  </si>
  <si>
    <t>SUPERVISOR DE MANTENIMIENTO DE PARQUES IV</t>
  </si>
  <si>
    <t>SUPERVISOR DE MANTENIMIENTO I (OPE)</t>
  </si>
  <si>
    <t>7242</t>
  </si>
  <si>
    <t>SUPERVISOR DE ZONA (OPE)</t>
  </si>
  <si>
    <t>7223</t>
  </si>
  <si>
    <t>SUPERVISOR OPERADOR EQUIPOS DE COMPUTACION</t>
  </si>
  <si>
    <t>EMPLEADOS FIJOS</t>
  </si>
  <si>
    <t>TOTAL EMPLEADOS FIJOS</t>
  </si>
  <si>
    <t>OBREROS FIJOS</t>
  </si>
  <si>
    <t>EVALUACION POR DESEMPEÑO</t>
  </si>
  <si>
    <t>BONO DIA OBRERO</t>
  </si>
  <si>
    <t>BONO DIA  EMPLEADO PUBLICO</t>
  </si>
  <si>
    <t>MES ACTUAL</t>
  </si>
  <si>
    <t>MONTO PRIMERA QUINCENA</t>
  </si>
  <si>
    <t>MONTO SEGUNDA QUINCENA</t>
  </si>
  <si>
    <t>SUELDO QUINCENAL</t>
  </si>
  <si>
    <t xml:space="preserve">SUELDO COBRADO EN OTRA INSTITUCION  </t>
  </si>
  <si>
    <t>SUELDO BASE A PAGAR MENSUAL</t>
  </si>
  <si>
    <t>INSTITUCION DONDE ESTA EN COMISIÓN DE SERVICIO</t>
  </si>
  <si>
    <t>TOTAL AÑOS DE SERVICIO</t>
  </si>
  <si>
    <t>DEDUCCIONES</t>
  </si>
  <si>
    <t>TOTAL DE DEDUCCIONES</t>
  </si>
  <si>
    <t>SS0                                (4%)</t>
  </si>
  <si>
    <t>PARO             FORZOSO                                           (0,5%)</t>
  </si>
  <si>
    <t>FAOV                            (1%)</t>
  </si>
  <si>
    <t>FECHA DE NACIMENTO</t>
  </si>
  <si>
    <t>SS0                 (9%)</t>
  </si>
  <si>
    <t>PARO             FORZOSO               (2%)</t>
  </si>
  <si>
    <t>FAOV                     (2%)</t>
  </si>
  <si>
    <r>
      <t xml:space="preserve">P3VI   </t>
    </r>
    <r>
      <rPr>
        <sz val="8"/>
        <color theme="1"/>
        <rFont val="Arial"/>
        <family val="2"/>
      </rPr>
      <t>(18 EN ADELANTE)</t>
    </r>
  </si>
  <si>
    <r>
      <t xml:space="preserve">P2V   </t>
    </r>
    <r>
      <rPr>
        <sz val="8"/>
        <color theme="1"/>
        <rFont val="Arial"/>
        <family val="2"/>
      </rPr>
      <t xml:space="preserve"> (18 EN ADELANTE)</t>
    </r>
  </si>
  <si>
    <r>
      <t xml:space="preserve">T2V  </t>
    </r>
    <r>
      <rPr>
        <sz val="8"/>
        <rFont val="Arial"/>
        <family val="2"/>
      </rPr>
      <t xml:space="preserve"> (18 EN ADELANTE)</t>
    </r>
  </si>
  <si>
    <r>
      <t xml:space="preserve">B3IV   </t>
    </r>
    <r>
      <rPr>
        <sz val="8"/>
        <rFont val="Arial"/>
        <family val="2"/>
      </rPr>
      <t>(18 EN ADELANTE)</t>
    </r>
  </si>
  <si>
    <r>
      <t xml:space="preserve">B1  </t>
    </r>
    <r>
      <rPr>
        <sz val="8"/>
        <rFont val="Arial"/>
        <family val="2"/>
      </rPr>
      <t xml:space="preserve"> (0-2 AÑOS)</t>
    </r>
  </si>
  <si>
    <r>
      <t xml:space="preserve">B2   </t>
    </r>
    <r>
      <rPr>
        <sz val="8"/>
        <rFont val="Arial"/>
        <family val="2"/>
      </rPr>
      <t>(3-5 AÑOS)</t>
    </r>
  </si>
  <si>
    <r>
      <t xml:space="preserve">B3   </t>
    </r>
    <r>
      <rPr>
        <sz val="8"/>
        <rFont val="Arial"/>
        <family val="2"/>
      </rPr>
      <t>(6-8 AÑOS)</t>
    </r>
  </si>
  <si>
    <r>
      <t xml:space="preserve">B3I  </t>
    </r>
    <r>
      <rPr>
        <sz val="8"/>
        <rFont val="Arial"/>
        <family val="2"/>
      </rPr>
      <t xml:space="preserve"> (9-11 AÑOS</t>
    </r>
    <r>
      <rPr>
        <sz val="11"/>
        <rFont val="Arial"/>
        <family val="2"/>
      </rPr>
      <t>)</t>
    </r>
  </si>
  <si>
    <r>
      <t xml:space="preserve">B3II   </t>
    </r>
    <r>
      <rPr>
        <sz val="8"/>
        <rFont val="Arial"/>
        <family val="2"/>
      </rPr>
      <t>(12-14 AÑOS)</t>
    </r>
  </si>
  <si>
    <r>
      <t xml:space="preserve">B3III   </t>
    </r>
    <r>
      <rPr>
        <sz val="8"/>
        <rFont val="Arial"/>
        <family val="2"/>
      </rPr>
      <t>(15-17 AÑOS)</t>
    </r>
  </si>
  <si>
    <r>
      <t xml:space="preserve">T1   </t>
    </r>
    <r>
      <rPr>
        <sz val="8"/>
        <rFont val="Arial"/>
        <family val="2"/>
      </rPr>
      <t>(0-2 AÑOS)</t>
    </r>
  </si>
  <si>
    <r>
      <t xml:space="preserve">T2   </t>
    </r>
    <r>
      <rPr>
        <sz val="8"/>
        <color theme="1"/>
        <rFont val="Arial"/>
        <family val="2"/>
      </rPr>
      <t>(3-5 AÑOS)</t>
    </r>
  </si>
  <si>
    <r>
      <t xml:space="preserve">T2I   </t>
    </r>
    <r>
      <rPr>
        <sz val="8"/>
        <color theme="1"/>
        <rFont val="Arial"/>
        <family val="2"/>
      </rPr>
      <t>(6-8 AÑOS)</t>
    </r>
  </si>
  <si>
    <r>
      <t xml:space="preserve">T2II   </t>
    </r>
    <r>
      <rPr>
        <sz val="8"/>
        <color theme="1"/>
        <rFont val="Arial"/>
        <family val="2"/>
      </rPr>
      <t>(9-11 AÑOS)</t>
    </r>
  </si>
  <si>
    <r>
      <t xml:space="preserve">T2III   </t>
    </r>
    <r>
      <rPr>
        <sz val="8"/>
        <color theme="1"/>
        <rFont val="Arial"/>
        <family val="2"/>
      </rPr>
      <t>(12-14 AÑOS)</t>
    </r>
  </si>
  <si>
    <r>
      <t xml:space="preserve">T2IV   </t>
    </r>
    <r>
      <rPr>
        <sz val="8"/>
        <color theme="1"/>
        <rFont val="Arial"/>
        <family val="2"/>
      </rPr>
      <t>(15-17 AÑOS)</t>
    </r>
  </si>
  <si>
    <r>
      <t xml:space="preserve">P1   </t>
    </r>
    <r>
      <rPr>
        <sz val="8"/>
        <color theme="1"/>
        <rFont val="Arial"/>
        <family val="2"/>
      </rPr>
      <t>(0-2 AÑOS)</t>
    </r>
  </si>
  <si>
    <r>
      <t xml:space="preserve">P2  </t>
    </r>
    <r>
      <rPr>
        <sz val="8"/>
        <color theme="1"/>
        <rFont val="Arial"/>
        <family val="2"/>
      </rPr>
      <t xml:space="preserve"> (3-5 AÑOS)</t>
    </r>
  </si>
  <si>
    <r>
      <t xml:space="preserve">P2I   </t>
    </r>
    <r>
      <rPr>
        <sz val="8"/>
        <color theme="1"/>
        <rFont val="Arial"/>
        <family val="2"/>
      </rPr>
      <t>(6-8 AÑOS)</t>
    </r>
  </si>
  <si>
    <r>
      <t xml:space="preserve">P2II   </t>
    </r>
    <r>
      <rPr>
        <sz val="8"/>
        <color theme="1"/>
        <rFont val="Arial"/>
        <family val="2"/>
      </rPr>
      <t xml:space="preserve">(9-11 AÑOS)  </t>
    </r>
  </si>
  <si>
    <r>
      <t xml:space="preserve">P2III   </t>
    </r>
    <r>
      <rPr>
        <sz val="8"/>
        <color theme="1"/>
        <rFont val="Arial"/>
        <family val="2"/>
      </rPr>
      <t>(12-14 AÑOS)</t>
    </r>
  </si>
  <si>
    <r>
      <t xml:space="preserve">P2IV   </t>
    </r>
    <r>
      <rPr>
        <sz val="8"/>
        <color theme="1"/>
        <rFont val="Arial"/>
        <family val="2"/>
      </rPr>
      <t>(15-17 AÑOS)</t>
    </r>
  </si>
  <si>
    <r>
      <t xml:space="preserve">P3   </t>
    </r>
    <r>
      <rPr>
        <sz val="8"/>
        <color theme="1"/>
        <rFont val="Arial"/>
        <family val="2"/>
      </rPr>
      <t xml:space="preserve"> (0-2 AÑOS)</t>
    </r>
  </si>
  <si>
    <r>
      <t xml:space="preserve">P3I </t>
    </r>
    <r>
      <rPr>
        <sz val="8"/>
        <color theme="1"/>
        <rFont val="Arial"/>
        <family val="2"/>
      </rPr>
      <t xml:space="preserve">    (3-5 AÑOS)</t>
    </r>
  </si>
  <si>
    <r>
      <t xml:space="preserve">P3II     </t>
    </r>
    <r>
      <rPr>
        <sz val="8"/>
        <color theme="1"/>
        <rFont val="Arial"/>
        <family val="2"/>
      </rPr>
      <t>(6-8 AÑOS)</t>
    </r>
  </si>
  <si>
    <r>
      <t xml:space="preserve">P3III    </t>
    </r>
    <r>
      <rPr>
        <sz val="8"/>
        <color theme="1"/>
        <rFont val="Arial"/>
        <family val="2"/>
      </rPr>
      <t xml:space="preserve">(9-11 AÑOS)    </t>
    </r>
  </si>
  <si>
    <r>
      <t xml:space="preserve">P3IV    </t>
    </r>
    <r>
      <rPr>
        <sz val="8"/>
        <color theme="1"/>
        <rFont val="Arial"/>
        <family val="2"/>
      </rPr>
      <t>(12-14 AÑOS)</t>
    </r>
  </si>
  <si>
    <r>
      <t xml:space="preserve">P3V    </t>
    </r>
    <r>
      <rPr>
        <sz val="8"/>
        <color theme="1"/>
        <rFont val="Arial"/>
        <family val="2"/>
      </rPr>
      <t>(15-17 AÑOS)</t>
    </r>
  </si>
  <si>
    <t>HIJOS</t>
  </si>
  <si>
    <t>MESES</t>
  </si>
  <si>
    <t>GRADO DE INSTRUCCIÓN (CARRERA)</t>
  </si>
  <si>
    <t>0</t>
  </si>
  <si>
    <t>((SN*4/12)+SN)/30*180</t>
  </si>
  <si>
    <t>MONTO TOTAL DE BECAS Y/O CONTRIB. X DISCAPAC</t>
  </si>
  <si>
    <t>CANT. LUNES DEL MES</t>
  </si>
  <si>
    <t>NACIONALIDAD</t>
  </si>
  <si>
    <t>F</t>
  </si>
  <si>
    <t>M</t>
  </si>
  <si>
    <t>V</t>
  </si>
  <si>
    <t>GENERO</t>
  </si>
  <si>
    <t>AÑOS DE SERVICIOS RECONOCIDOS</t>
  </si>
  <si>
    <t>AÑOS SERVICIO (INSTITUCION)</t>
  </si>
  <si>
    <t>COLOCAR  QUINCENA PARA IMPRIMIR</t>
  </si>
  <si>
    <t>COMISION DE SERVICIO</t>
  </si>
  <si>
    <t>PRIMAS FRACCIONADAS</t>
  </si>
  <si>
    <t xml:space="preserve">1era Quincena Primas Fraccionadas </t>
  </si>
  <si>
    <t xml:space="preserve">2da Quincena Primas Fraccionadas </t>
  </si>
  <si>
    <t>VIGILANTE NOCTURNO</t>
  </si>
  <si>
    <t xml:space="preserve">MES DE </t>
  </si>
  <si>
    <t>DE</t>
  </si>
  <si>
    <t xml:space="preserve">              BECAS/CONTRIBUCION POR DISCAPACIDAD</t>
  </si>
  <si>
    <t>TOTAL DE APORTES</t>
  </si>
  <si>
    <t xml:space="preserve"> INSTITUCIÓN A LA QUE PERTENECE</t>
  </si>
  <si>
    <t>BONO DE EMERGENCIA</t>
  </si>
  <si>
    <t>(((SN*6/12)+SN)/30)*150</t>
  </si>
  <si>
    <t>NRO. DE HIJOS (EDAD ESCOLAR)</t>
  </si>
  <si>
    <t>NRO. DE HIJOS (DISCAPACIDAD)</t>
  </si>
  <si>
    <t>CANT. DIAS FERIADOS</t>
  </si>
  <si>
    <t>P2II</t>
  </si>
  <si>
    <t>P2I</t>
  </si>
  <si>
    <t>B3I</t>
  </si>
  <si>
    <t>T2II</t>
  </si>
  <si>
    <t>P1</t>
  </si>
  <si>
    <t>T2</t>
  </si>
  <si>
    <t>P2</t>
  </si>
  <si>
    <t>T1</t>
  </si>
  <si>
    <t>B1</t>
  </si>
  <si>
    <t>AÑOS SERVICIO</t>
  </si>
  <si>
    <t>AÑOS DE SERVICIOS PREVIOS</t>
  </si>
  <si>
    <t>VACANTE</t>
  </si>
  <si>
    <t>HORAS EXTRAS NOCTURNAS</t>
  </si>
  <si>
    <t>DÍAS FERIADO O DÍA DE DESCANSO</t>
  </si>
  <si>
    <t>CANTIDAD H. EXTRAS NOCTURNAS LABORADAS</t>
  </si>
  <si>
    <t>CANTIDAD DÍAS FERIADO O DE DESCANSO LABORADOS</t>
  </si>
  <si>
    <t>H.EXTRAS</t>
  </si>
  <si>
    <t>DIAS DESCANS</t>
  </si>
  <si>
    <t>CONCEPTOS ADICIONALES</t>
  </si>
  <si>
    <t>CESTA TICKET</t>
  </si>
  <si>
    <t xml:space="preserve">TOTAL DE DEDUCCIONES + APORTES </t>
  </si>
  <si>
    <t>CESTA T</t>
  </si>
  <si>
    <t>NOTA: el ciudadano MORENO SILVA ALFREDY JOSE C.I. 24.565.372 se encuentra en Comisión de Servicio no remunerada en otro organismo</t>
  </si>
  <si>
    <t>NOTA: La ciudadana Almazan Barragan Maria de los Angeles C.I. 19.591.141 se encuentra en Comisión de Servicio no remunerada</t>
  </si>
  <si>
    <t>Araujo Rivas Thaily Del Rosario</t>
  </si>
  <si>
    <t>Olmos Rodriguez Eberto De Jesus</t>
  </si>
  <si>
    <t>Perez Saavedra Isabel Teresa</t>
  </si>
  <si>
    <t>Perez Castellano Javier Horacio</t>
  </si>
  <si>
    <t>Rojo Sanchez Alexis O.</t>
  </si>
  <si>
    <t>Cabrera Muchacho Yencirley del Carmen</t>
  </si>
  <si>
    <t>Frias Aldana Maria Yaritza</t>
  </si>
  <si>
    <t>Vielma Jenifer</t>
  </si>
  <si>
    <t>Briceño Rangel Sudney Dayan</t>
  </si>
  <si>
    <t>Aponte Matheus Richard A.</t>
  </si>
  <si>
    <t>Rivero Zambrano Herluis Jose</t>
  </si>
  <si>
    <t>Rangel Rivas Ildemaro</t>
  </si>
  <si>
    <t>Araujo Manzanilla Carlos Antonio</t>
  </si>
  <si>
    <t>Viloria Montilla Gerardo</t>
  </si>
  <si>
    <t>Diaz Maldonado Anny Jackeline</t>
  </si>
  <si>
    <t>Delfin Bustos Jose Hercilio</t>
  </si>
  <si>
    <t>Coy Andara Darlin Gabriela</t>
  </si>
  <si>
    <t>Triviño de Bastidas Dioni de la Coromoto</t>
  </si>
  <si>
    <t>Delduca Adriana Del Valle</t>
  </si>
  <si>
    <t>Campos de Velazquez Nilda Carolina</t>
  </si>
  <si>
    <t>Urbina Cuellar Tannessy Lenery</t>
  </si>
  <si>
    <t>Berrios Gomez Neida Marina</t>
  </si>
  <si>
    <t>Sulbaran Campos Yusneida Ayarith</t>
  </si>
  <si>
    <t>Mejia Linares Alexis de Jesus</t>
  </si>
  <si>
    <t>Balestrini Nuñez Ulises Ramon</t>
  </si>
  <si>
    <t>Aldana Duran Delia Mercedes</t>
  </si>
  <si>
    <t>Linares Araujo Adolfo Jose</t>
  </si>
  <si>
    <t>Ynfante Castellanos Josefina Del C.</t>
  </si>
  <si>
    <t>Castellanos de Araujo Maria Eustoquia</t>
  </si>
  <si>
    <t>Aguilera Carroz Gerardo Raul</t>
  </si>
  <si>
    <t>Pacheco Bermudez Bebsabeth Coromoto</t>
  </si>
  <si>
    <t>Duarte de Bastidas Gladys M.</t>
  </si>
  <si>
    <t>Valera Borrero Marcos Tulio</t>
  </si>
  <si>
    <t>Torres Gonzalez Meris Del Carmen</t>
  </si>
  <si>
    <t>Simancas De Mendoza Alix Josefina</t>
  </si>
  <si>
    <t>Saavedra Juan Jose</t>
  </si>
  <si>
    <t>Manzanilla Molina Alfredo Jose</t>
  </si>
  <si>
    <t>Palma de Briceño Sonia Josefina</t>
  </si>
  <si>
    <t>Gonzalez Hernandez Marianela</t>
  </si>
  <si>
    <t>Sanchez Barrios Magalis del Carmen</t>
  </si>
  <si>
    <t>Cardozo Garcia Jorge Antonio</t>
  </si>
  <si>
    <t>Garcia Araujo Jose Domingo</t>
  </si>
  <si>
    <t>Perez Salas Olga Margarita</t>
  </si>
  <si>
    <t>Abreu Araujo Omar Antonio</t>
  </si>
  <si>
    <t>Hernandez Valero Jose Alfredo</t>
  </si>
  <si>
    <t>Mendoza Vieras Pedro Luis</t>
  </si>
  <si>
    <t>Artigas de Hernandez Ana Maria</t>
  </si>
  <si>
    <t xml:space="preserve">Linares Linares Emma Teresa </t>
  </si>
  <si>
    <t>Aguial Carrillo Deris M.</t>
  </si>
  <si>
    <t>Carrillo Prato Blanca Isabel</t>
  </si>
  <si>
    <t>Torres Dulma Ramona</t>
  </si>
  <si>
    <t>Frias Jacson Daniel</t>
  </si>
  <si>
    <t>Marquez Marquez Maribel del Valle</t>
  </si>
  <si>
    <t>Ruiz Luis Alfonzo</t>
  </si>
  <si>
    <t>Briceño Pirela Carmen Violeta</t>
  </si>
  <si>
    <t>Santana Briceño Jose Gregorio</t>
  </si>
  <si>
    <t>Perdomo Perdomo Angela Aurora</t>
  </si>
  <si>
    <t>Bastidas Yanitza Del Valle</t>
  </si>
  <si>
    <t>Briceño Ruiz Sara Josefina</t>
  </si>
  <si>
    <t xml:space="preserve">Carrizo Carmona Douglas Jose </t>
  </si>
  <si>
    <t>Ramirez Vergara Graciela De Jesus</t>
  </si>
  <si>
    <t>Cruz de Rodriguez Yanet Coromoto</t>
  </si>
  <si>
    <t>Castro de Vielma Yanira Rosa</t>
  </si>
  <si>
    <t>Delduca Moreno Luisa</t>
  </si>
  <si>
    <t>Rangel Briceño Marcial Segundo</t>
  </si>
  <si>
    <t>Montilla Cegarra Pablo Javier</t>
  </si>
  <si>
    <t>Angarita Hernandez Ana Del Carmen</t>
  </si>
  <si>
    <t>Garcia Moreno Iris Josefina</t>
  </si>
  <si>
    <t>Contreras Rojo Gerardo Alexander</t>
  </si>
  <si>
    <t>Rojas Hernandez Morela Del Carmen</t>
  </si>
  <si>
    <t>Carrillo Altuve Maria Mercedes</t>
  </si>
  <si>
    <t>Delgado Araujo Siria Coromoto</t>
  </si>
  <si>
    <t>Materano Delgado Yoleida Josefina</t>
  </si>
  <si>
    <t>Olivar Santana Maria Valbina</t>
  </si>
  <si>
    <t>Chacin Sanchez Eduard Fabian</t>
  </si>
  <si>
    <t>Perdomo Rosales Modesto Ramon</t>
  </si>
  <si>
    <t>Sardi Hernandez Gladis J.</t>
  </si>
  <si>
    <t>Peña Villegas Lisette Carolina</t>
  </si>
  <si>
    <t>Suarez Chiquin Yaritza Josefina</t>
  </si>
  <si>
    <t>Rivas Albarran Martin Antonio</t>
  </si>
  <si>
    <t>Saez de Mejias Maria del Rosario</t>
  </si>
  <si>
    <t>Perdomo Orlando Jose</t>
  </si>
  <si>
    <t>Teran Torres Olga Del Carmen</t>
  </si>
  <si>
    <t>Justo Angel Jannessy</t>
  </si>
  <si>
    <t>Linares Hernandez Thaiz Yoconda</t>
  </si>
  <si>
    <t>Sulbaran Campos Jesus Alberto</t>
  </si>
  <si>
    <t>Alvarado Marquina Yaritza Del Carmen</t>
  </si>
  <si>
    <t>Alburguez  Manzanilla Neira Josefina</t>
  </si>
  <si>
    <t>Montilla Lamus Ana Cristina</t>
  </si>
  <si>
    <t>Sanchez Olivar Denis Josefina</t>
  </si>
  <si>
    <t>Mendez Olmos Tulio Enrique</t>
  </si>
  <si>
    <t>Escalona Ruiz Luis Alberto</t>
  </si>
  <si>
    <t>Segovia Rondon Milagros Del Valle</t>
  </si>
  <si>
    <t>Diaz Albarran Jose Edwar</t>
  </si>
  <si>
    <t>Mejia de Briceño Maryory Lucia</t>
  </si>
  <si>
    <t>Camacho Gomez Trina Margarita</t>
  </si>
  <si>
    <t>Gonzalez Pabon Marianela</t>
  </si>
  <si>
    <t>Velazquez Yaneht Coromoto</t>
  </si>
  <si>
    <t>Mendez de Viloria Yelitza Del Valle</t>
  </si>
  <si>
    <t>Torres de Gonzalez Milangela Maria</t>
  </si>
  <si>
    <t>Villegas Jaime Antonio</t>
  </si>
  <si>
    <t>Bastidas Guerra Soralis del Valle</t>
  </si>
  <si>
    <t>Macias Briceño Alejandra Coromoto</t>
  </si>
  <si>
    <t>Henry Peña Yokary Nakary</t>
  </si>
  <si>
    <t>Abreu Rodriguez Eva Del Carmen</t>
  </si>
  <si>
    <t>Santos Hernandez Karine Yenilet</t>
  </si>
  <si>
    <t>Ramirez Ayala Jenny Marisela</t>
  </si>
  <si>
    <t>Altuve Diaz Jose Antonio</t>
  </si>
  <si>
    <t>Zambrano Castellanos Maria Alejandra</t>
  </si>
  <si>
    <t>Yusti Godoy Andry Isaac</t>
  </si>
  <si>
    <t>Materan Riveros Yorvis Alexis</t>
  </si>
  <si>
    <t xml:space="preserve">Diaz Ramirez Mileyda Del Valle </t>
  </si>
  <si>
    <t>Carrizo Blanco Belquis Cecilia</t>
  </si>
  <si>
    <t>Araujo Ruiz Ramon Alfonso</t>
  </si>
  <si>
    <t>Artigas Sanchez Mireya Carolina</t>
  </si>
  <si>
    <t>Araujo Matheus Alba Mariela</t>
  </si>
  <si>
    <t>Perez Barrios Helenmar</t>
  </si>
  <si>
    <t>Aguilar Flores Heidy Coromoto</t>
  </si>
  <si>
    <t>Leal Mejia Jociany Trinny</t>
  </si>
  <si>
    <t>Aguilar Sandra del Valle</t>
  </si>
  <si>
    <t>Sarmiento Suarez Karem</t>
  </si>
  <si>
    <t>Martinez Leal Deyanira Yusissan</t>
  </si>
  <si>
    <t>Rendon Utrilla Gerson Paul</t>
  </si>
  <si>
    <t>Godoy Bracamonte Juan Carlos</t>
  </si>
  <si>
    <t>Franco Mendoza Ana Cecilia</t>
  </si>
  <si>
    <t>Barreto Oswaldo Enrique</t>
  </si>
  <si>
    <t>Peña Briceño Reina Lisbeth</t>
  </si>
  <si>
    <t>Peña Rosales Marinela</t>
  </si>
  <si>
    <t>Briceño Hernandez Yeny Del Carmen</t>
  </si>
  <si>
    <t>Ramirez Palomares Mariana Teresa</t>
  </si>
  <si>
    <t>Rivas Ana Lucila</t>
  </si>
  <si>
    <t>Alvarran Arjona Ismenia Del Carmen</t>
  </si>
  <si>
    <t>Linares Villarreal Rosmely del Carmen</t>
  </si>
  <si>
    <t>Segovia de Santiago Malvelis Dayana</t>
  </si>
  <si>
    <t>Becerra Marin Fran Reinaldo</t>
  </si>
  <si>
    <t>Briceño Araujo Alexander Javier</t>
  </si>
  <si>
    <t>Blanco de Matheus Carol Carolina</t>
  </si>
  <si>
    <t>Castellano de Gonzalez Annyzabeth</t>
  </si>
  <si>
    <t>Briceño Lozada Maraiby Coromoto</t>
  </si>
  <si>
    <t>Villegas Gonzalez Mileide Karine</t>
  </si>
  <si>
    <t>Gonzalez Torres Damarys Coromoto</t>
  </si>
  <si>
    <t>Yndriago Blanco Lismiley Andreina</t>
  </si>
  <si>
    <t>Araujo Peña Yamileth Cesilia</t>
  </si>
  <si>
    <t>Moreno Maria Angelica</t>
  </si>
  <si>
    <t>Sifontes Sosa Mayulis Dayana</t>
  </si>
  <si>
    <t>Briceño Doris Elena</t>
  </si>
  <si>
    <t>Paredes de Rendon Zuly Josefina</t>
  </si>
  <si>
    <t>Gonzalez Pineda Eduardo Manuel</t>
  </si>
  <si>
    <t>Carmona Peñaloza Yaneth Coromoto</t>
  </si>
  <si>
    <t>Gonzalez Huerta Maria Josefina</t>
  </si>
  <si>
    <t>Montilla de Davila Nileidy del Valle</t>
  </si>
  <si>
    <t>Rincon Quevedo Angela Adriana</t>
  </si>
  <si>
    <t>Araujo Moreno Elisaelith</t>
  </si>
  <si>
    <t>Perez Martinez Leonel Jose</t>
  </si>
  <si>
    <t>Lugo Moreno Yenny Katiuska</t>
  </si>
  <si>
    <t>Barreto Maldonado Jose Luis</t>
  </si>
  <si>
    <t>Carrillo Uzcategui Tahiyuani Carolina</t>
  </si>
  <si>
    <t>Perdomo Linares Alejandra Carolina</t>
  </si>
  <si>
    <t>Peña Nava Maria Gabriela</t>
  </si>
  <si>
    <t>Moron Rafael Ramon</t>
  </si>
  <si>
    <t>Materan Gallardo Vivian Katiana</t>
  </si>
  <si>
    <t>Serrada Bustos Gladys Magaly</t>
  </si>
  <si>
    <t>Albarran Araujo Yely Coromoto</t>
  </si>
  <si>
    <t>Perez Ramirez Yonathan Jesus</t>
  </si>
  <si>
    <t>Mejia Araujo Sandra Coromoto</t>
  </si>
  <si>
    <t>Matheus Rondon Aida</t>
  </si>
  <si>
    <t>Bastidas Yelitza Del Carmen</t>
  </si>
  <si>
    <t>Aponte Rivera Lenismar del Valle</t>
  </si>
  <si>
    <t>Manzanilla Araujo Richard Jose</t>
  </si>
  <si>
    <t>Leon Valero Ceila Maria</t>
  </si>
  <si>
    <t>Carrizo Mary Alejandra</t>
  </si>
  <si>
    <t>Urdaneta Soto Katherine Esther</t>
  </si>
  <si>
    <t>Torres Aranguren Lilibeth del Valle</t>
  </si>
  <si>
    <t>Torres Briceño Yarelis Del Carmen</t>
  </si>
  <si>
    <t>Nuñez Maria Gusmara</t>
  </si>
  <si>
    <t>Duarte Portillo Dani Vicente</t>
  </si>
  <si>
    <t>Rivera Gil Christian Rafael</t>
  </si>
  <si>
    <t>Aguial Dayana Carolina</t>
  </si>
  <si>
    <t>Briceño Briceño Naibely Carolina</t>
  </si>
  <si>
    <t>Duran Rangel Karoly Coromoto</t>
  </si>
  <si>
    <t>Rojas Aguilar Manuel Alejandro</t>
  </si>
  <si>
    <t>Bastidas Franco Dianellys Sarain</t>
  </si>
  <si>
    <t>Blanco Torres Beixy Coromoto</t>
  </si>
  <si>
    <t>Nieve Briceño Glorys Carolina</t>
  </si>
  <si>
    <t>Pulido Sanchez Joalina Vanessa</t>
  </si>
  <si>
    <t>Serrano Ingrid Maria</t>
  </si>
  <si>
    <t>Villegas Daboin Mayte Yelitza</t>
  </si>
  <si>
    <t>Lozada Bencomo Daniela Carolina</t>
  </si>
  <si>
    <t>Caridad Valera Neliana Maritza</t>
  </si>
  <si>
    <t>Villarreal Prada Yoriangela Nataly</t>
  </si>
  <si>
    <t>Abreu Araujo Gilmer Francisco</t>
  </si>
  <si>
    <t>Villarreal Lusana Carolina</t>
  </si>
  <si>
    <t>Godoy Linares Amenaida del Valle</t>
  </si>
  <si>
    <t>Castellanos Moncada Betty Johana</t>
  </si>
  <si>
    <t>Quintero Paradas Ilse Maria</t>
  </si>
  <si>
    <t>Peñaloza Olmos Eduardo Jose</t>
  </si>
  <si>
    <t>Quintero Duran Emilio Alfonso</t>
  </si>
  <si>
    <t>Briceño Uzcategui Maria Esperanza</t>
  </si>
  <si>
    <t>Gervasi De Valera Solanye Dairilyn</t>
  </si>
  <si>
    <t>Rodriguez Salas Mary Carmen</t>
  </si>
  <si>
    <t>Ramirez Rodriguez Rudys Arelys</t>
  </si>
  <si>
    <t>Uzcategui Urbina Madeley Tatiana</t>
  </si>
  <si>
    <t>Morillo Barrios Yurbelys Andreina</t>
  </si>
  <si>
    <t>Plaza Quintero Orelis Maria</t>
  </si>
  <si>
    <t>Hernandez Graterol Gleidys Coromoto</t>
  </si>
  <si>
    <t>Valero Sanchez Zulay Del Valle</t>
  </si>
  <si>
    <t>Duran Benitez Randy Regori</t>
  </si>
  <si>
    <t>Guillen Briceño Humarly Zolandy</t>
  </si>
  <si>
    <t>Mejia Rosales Katiusca Josefina</t>
  </si>
  <si>
    <t>Leal Mejia Fraineli Yoset</t>
  </si>
  <si>
    <t>Santos Saavedra Greosmar Johan</t>
  </si>
  <si>
    <t>Uzcategui Uzcategui Saray Cristina</t>
  </si>
  <si>
    <t>Santiago Edwin Alexander</t>
  </si>
  <si>
    <t>Valero Mejia Aleidy Rosana</t>
  </si>
  <si>
    <t>Villa Daniela Carolina</t>
  </si>
  <si>
    <t>Mejia Aldana Norbelys Carolina</t>
  </si>
  <si>
    <t>Suarez Leal Betzabeth Daimar</t>
  </si>
  <si>
    <t>Rondon Ramos Genesis Franmelly</t>
  </si>
  <si>
    <t>Olivares de Abreu Iribeth Walesca</t>
  </si>
  <si>
    <t>Ramirez Bolaño Hermes Jose</t>
  </si>
  <si>
    <t>Piña Valera Marianni Dayana</t>
  </si>
  <si>
    <t>Mendez Giro Maryely Roxana</t>
  </si>
  <si>
    <t>Morillo Garces Yeniree Lourdes</t>
  </si>
  <si>
    <t>Lomelli Perez  Diana Patricia</t>
  </si>
  <si>
    <t>Saavedra Valera Keila Andreina</t>
  </si>
  <si>
    <t xml:space="preserve">Viloria Jessica del Carmen </t>
  </si>
  <si>
    <t>Mejias Valera Yusbelys Karina</t>
  </si>
  <si>
    <t xml:space="preserve">Suarez Briceño Daiver Jose </t>
  </si>
  <si>
    <t>Calderon Vetencourt Yamardi Carolina</t>
  </si>
  <si>
    <t>Daboin Piña Jesus Manuel</t>
  </si>
  <si>
    <t>Manzanilla Gonzalez Landkler Josue</t>
  </si>
  <si>
    <t>Gallardo Abreu Daniel David</t>
  </si>
  <si>
    <t>Perez Araujo Dulce Marina</t>
  </si>
  <si>
    <t xml:space="preserve">Barrios Olivar Geraldine Katiusca </t>
  </si>
  <si>
    <t>Delduca Garcia Monica Estefania</t>
  </si>
  <si>
    <t>Rivera Sandoval Ilva Azucena</t>
  </si>
  <si>
    <t>Molina Briceño Maria de los Angeles</t>
  </si>
  <si>
    <t>Rivas Hurtado Orleidys Betania</t>
  </si>
  <si>
    <t>Cardozo Cañizalez Edder Eli</t>
  </si>
  <si>
    <t xml:space="preserve">Viloria Maldonado Gerardo Jesus </t>
  </si>
  <si>
    <t>Moreno Silva Alfredy Jose</t>
  </si>
  <si>
    <t>Villarreal Quintero Patricia Alejandra</t>
  </si>
  <si>
    <t>Ramirez Palomares Carmen Beatriz</t>
  </si>
  <si>
    <t>Coello Diaz Yormileidys del Carmen</t>
  </si>
  <si>
    <t>Guanda Barazarte Roxely Andreina</t>
  </si>
  <si>
    <t>Graterol Castillo Yoselyn Zunedy</t>
  </si>
  <si>
    <t>Nava Carrillo Oriana Daniela</t>
  </si>
  <si>
    <t xml:space="preserve">Balza Vetencourt Maria Gabriela </t>
  </si>
  <si>
    <t>Andara Moreno Marielena Nathaly</t>
  </si>
  <si>
    <t>Moncayo Perez Ruddy Bellaliz</t>
  </si>
  <si>
    <t>Briceño Espinoza Brayhan Jose</t>
  </si>
  <si>
    <t>Molina Rojas Genesis Angely</t>
  </si>
  <si>
    <t>Delgado Cabezas Rosa Magdalena</t>
  </si>
  <si>
    <t>Segovia Lisbeira del Carmen</t>
  </si>
  <si>
    <t>Rubio Briceño Diana Carolina</t>
  </si>
  <si>
    <t>Moreno Bastidas Rixnelly Maria</t>
  </si>
  <si>
    <t>Rivas Torres Rosa Alba</t>
  </si>
  <si>
    <t>Perdomo Juarez Jose De Jesus</t>
  </si>
  <si>
    <t>Moreno Andreina del Valle</t>
  </si>
  <si>
    <t>Ramirez Valderrama Yesire Daniela</t>
  </si>
  <si>
    <t>Mendoza Cardozo Josue Vicensio</t>
  </si>
  <si>
    <t>Quintero Peña Maria Alejandra</t>
  </si>
  <si>
    <t>Castillo Carrizo Katherine Cecilia</t>
  </si>
  <si>
    <t>Gil Ruiz Marianyeli Sarait</t>
  </si>
  <si>
    <t>Zambrano Briceño Elio Jesus</t>
  </si>
  <si>
    <t>Gonzalez Justo Jariana Roxanny</t>
  </si>
  <si>
    <t>GOBERNACION</t>
  </si>
  <si>
    <t>Acuero Aguilar Yazmin Elsy</t>
  </si>
  <si>
    <t>B3III</t>
  </si>
  <si>
    <t>P2V</t>
  </si>
  <si>
    <t>T2IV</t>
  </si>
  <si>
    <t>B3IV</t>
  </si>
  <si>
    <t>Aguana Sanchez Yraida Josefina</t>
  </si>
  <si>
    <t>Villegas Leon Sonia J.</t>
  </si>
  <si>
    <t>P2IV</t>
  </si>
  <si>
    <t>T2V</t>
  </si>
  <si>
    <t>P2III</t>
  </si>
  <si>
    <t>B3II</t>
  </si>
  <si>
    <t>P3</t>
  </si>
  <si>
    <t>T2III</t>
  </si>
  <si>
    <t>B2</t>
  </si>
  <si>
    <t>P3VI</t>
  </si>
  <si>
    <t>P3I</t>
  </si>
  <si>
    <t>Querales Guillen Franklin Jose</t>
  </si>
  <si>
    <t>T2I</t>
  </si>
  <si>
    <t>P3V</t>
  </si>
  <si>
    <t>B3</t>
  </si>
  <si>
    <t>Contreras Nava Raul Jose</t>
  </si>
  <si>
    <t>Portillo Soto Luis Eduardo</t>
  </si>
  <si>
    <t>P3IV</t>
  </si>
  <si>
    <t>ENTRENADOR DEPORTIVO II</t>
  </si>
  <si>
    <t>Montilla Briceño Yorgelis Fabiola</t>
  </si>
  <si>
    <t>AGUIAL CARRILLO GREGORIA COROMOTO</t>
  </si>
  <si>
    <t>Paredes Marquez Eduardo Jesus</t>
  </si>
  <si>
    <t>Ramirez Garcia Maria Perpetua</t>
  </si>
  <si>
    <t>Salas Quintero Jose Gregorio</t>
  </si>
  <si>
    <t>Flores Diana Yamilet</t>
  </si>
  <si>
    <t>Santiago Torres Jose Ramon</t>
  </si>
  <si>
    <t>Rivas Rivas Jose Gerardo</t>
  </si>
  <si>
    <t>Mejia HIlario Jose</t>
  </si>
  <si>
    <t>Toro Margi Enrique</t>
  </si>
  <si>
    <t>Alarcon Argenio</t>
  </si>
  <si>
    <t>Hernandez de Villegas Zoraida Elodia</t>
  </si>
  <si>
    <t>Ruiz Alberto Jose</t>
  </si>
  <si>
    <t>Rodriguez Fernandez Carlos Eduardo</t>
  </si>
  <si>
    <t>Gutierrez Briceño Jose Justimiano</t>
  </si>
  <si>
    <t>Figueroa Roa Yudith Griselda</t>
  </si>
  <si>
    <t>Campos Muchacho Rafael Angel</t>
  </si>
  <si>
    <t>Vargas Benitez Jose Nerio</t>
  </si>
  <si>
    <t>Lobo Mendoza Luz Marina</t>
  </si>
  <si>
    <t>Paredes Quintero Jose Benigno</t>
  </si>
  <si>
    <t>Milla Ana Julia</t>
  </si>
  <si>
    <t>Hidalgo Linares Gloria Margarita</t>
  </si>
  <si>
    <t>Gonzalez Torres Orangel Ramon</t>
  </si>
  <si>
    <t>Rivero Carrizo Jose Agustin</t>
  </si>
  <si>
    <t>Araujo Moreno Luigi Enrique</t>
  </si>
  <si>
    <t>Viloria Garcia Karina Liseth</t>
  </si>
  <si>
    <t>Quintero Eric Ludwig</t>
  </si>
  <si>
    <t>Delgado Jose Argenis</t>
  </si>
  <si>
    <t>Carrizo Jose Waldo</t>
  </si>
  <si>
    <t>Gutierrez Briceño Jose Orangel</t>
  </si>
  <si>
    <t>Montilla Vergara Belkys Josefina</t>
  </si>
  <si>
    <t xml:space="preserve">Luque Azuaje Rigoberto </t>
  </si>
  <si>
    <t>Barreto Maria Ramona</t>
  </si>
  <si>
    <t>Bentancourt Rivas Luis Enrique</t>
  </si>
  <si>
    <t>Flores Camacho Maria Zoraida</t>
  </si>
  <si>
    <t xml:space="preserve">Sulbaran De Araujo Magaly </t>
  </si>
  <si>
    <t>Aldana Olivar Maria del Carmen</t>
  </si>
  <si>
    <t>Rodriguez Maria Ibel</t>
  </si>
  <si>
    <t>Amaya Perez Carmen Elena</t>
  </si>
  <si>
    <t>Avila Salvio Rodolfo</t>
  </si>
  <si>
    <t>Rivas Carlos Luis</t>
  </si>
  <si>
    <t>Briceño Graterol Oscar Antonio</t>
  </si>
  <si>
    <t>Perez Montilla William Jose</t>
  </si>
  <si>
    <t>Lozada de Estenoz Maria Edicta</t>
  </si>
  <si>
    <t>Mendoza Rangel Ana Beatriz</t>
  </si>
  <si>
    <t>Carrizo Blanco Doris Coromoto</t>
  </si>
  <si>
    <t>Gutierrez Briceño Jose Gabriel</t>
  </si>
  <si>
    <t>Artigas Sanchez Mereldes Corina</t>
  </si>
  <si>
    <t>Zerpa Silva Frank Michael</t>
  </si>
  <si>
    <t>Briceño Aldana Yhon Mario</t>
  </si>
  <si>
    <t>Briceño Leal Ana Edelmira</t>
  </si>
  <si>
    <t>Arroyo Williams Jose</t>
  </si>
  <si>
    <t>Perez Montilla Yosmer Alexander</t>
  </si>
  <si>
    <t>Pulido Rojo Wilmer Jose</t>
  </si>
  <si>
    <t>Rivera Virginia del Carmen</t>
  </si>
  <si>
    <t>Umbria de Segovia Alexandra del Carmen</t>
  </si>
  <si>
    <t>Andara Briceño Jean Carlos</t>
  </si>
  <si>
    <t>Pacheco Yudith Del Valle</t>
  </si>
  <si>
    <t>Frias Aldana Yhonny Ramon</t>
  </si>
  <si>
    <t>Chinchilla Perez Jean Carlos</t>
  </si>
  <si>
    <t>Linares Montilla Gerardo Enrique</t>
  </si>
  <si>
    <t>Perez Gonzalez Reinaldo Andre</t>
  </si>
  <si>
    <t>Becerra Teran Maria Alejandra</t>
  </si>
  <si>
    <t>Mecias Nuñez Shirly Ygnacia</t>
  </si>
  <si>
    <t>Garcia Briceño Wuiston Andres</t>
  </si>
  <si>
    <t>Graterol Gonzalez Maria Ysela</t>
  </si>
  <si>
    <t>Briceño Salas Jose Leonardo</t>
  </si>
  <si>
    <t>Briceño Gonzalez Mirla Carolina</t>
  </si>
  <si>
    <t>Zambrano Rodriguez Yajaira Karina</t>
  </si>
  <si>
    <t>Montilla Mendoza Addy Coromoto</t>
  </si>
  <si>
    <t>Torres Villarreal Yenny del Carmen</t>
  </si>
  <si>
    <t>Gonzalez Simancas Yulimar del Valle</t>
  </si>
  <si>
    <t>Torres Alvarez Olga Josefina</t>
  </si>
  <si>
    <t>Ojeda Teran Julio Cesar</t>
  </si>
  <si>
    <t>Ramirez Manzanilla Jose Jesus</t>
  </si>
  <si>
    <t>Frias Aldana Giovanny Jacinto</t>
  </si>
  <si>
    <t>Olmos Linares Luis Alberto</t>
  </si>
  <si>
    <t>Barreto Manzanilla Yukeysi del Valle</t>
  </si>
  <si>
    <t>Torres Villarreal Lisbeth Carolina</t>
  </si>
  <si>
    <t>Isarra Materan Jose de La Paz</t>
  </si>
  <si>
    <t>Azuaje Espinoza Erick Enrique</t>
  </si>
  <si>
    <t>Castellanos Paredes Luis Gregorio</t>
  </si>
  <si>
    <t>Davila Sanchez Eduar Alexander</t>
  </si>
  <si>
    <t>Barrios Briceño Christian Xavier</t>
  </si>
  <si>
    <t>Rivero Lamus Ninoska del Valle</t>
  </si>
  <si>
    <t>Barreto Rivero Luis Diego</t>
  </si>
  <si>
    <t>Gonzalez Castellanos Yusberly Yohandri</t>
  </si>
  <si>
    <t>Rojas Carrillo Laureano Augusto</t>
  </si>
  <si>
    <t>Quintero Rangel Jose Arsenio</t>
  </si>
  <si>
    <t>Hernandez Gomez Carmen Elena</t>
  </si>
  <si>
    <t>ESPECIFICACION DE CARGO</t>
  </si>
  <si>
    <t xml:space="preserve">Directora General (E) </t>
  </si>
  <si>
    <t>Jefe (E) de la Direccion de Talento Humano</t>
  </si>
  <si>
    <t>Coordinador de Centro</t>
  </si>
  <si>
    <t>GUIA DE CENTRO I  (NOCTURNO)</t>
  </si>
  <si>
    <t>GUIA DE CENTRO II  (NOCTURNO)</t>
  </si>
  <si>
    <t xml:space="preserve">TABULADOR DE SUELDOS GOBERNACION </t>
  </si>
  <si>
    <t>EMPLEADOS</t>
  </si>
  <si>
    <t>GRUPOS O CLASES DE CARGOS</t>
  </si>
  <si>
    <t>I                      0-2 años</t>
  </si>
  <si>
    <t>II                              3-5 años</t>
  </si>
  <si>
    <t>III                    6-8 años</t>
  </si>
  <si>
    <t>IV                   9-11 años</t>
  </si>
  <si>
    <t>V                   12-14 años</t>
  </si>
  <si>
    <t>VI                 15-17 años</t>
  </si>
  <si>
    <t>VII                 18 años mas</t>
  </si>
  <si>
    <t>VII                    18 años mas</t>
  </si>
  <si>
    <t>PERSONAL ADMINISTRATIVO  O BACHILERES</t>
  </si>
  <si>
    <t>grados 1 al 11</t>
  </si>
  <si>
    <t xml:space="preserve">B I     </t>
  </si>
  <si>
    <t>B II</t>
  </si>
  <si>
    <t>B III</t>
  </si>
  <si>
    <t>PERSONAL TECNICO SUPERIOR UNIVERSITARIO</t>
  </si>
  <si>
    <t>grados 15 al 16</t>
  </si>
  <si>
    <t xml:space="preserve"> T I </t>
  </si>
  <si>
    <t>T II</t>
  </si>
  <si>
    <t>PERSONAL PROFESIONAL UNIVERSITARIO</t>
  </si>
  <si>
    <t>grados 17 en adelante</t>
  </si>
  <si>
    <t>P I</t>
  </si>
  <si>
    <t>PII</t>
  </si>
  <si>
    <t>maestrias-especialidades posgrados-doctorados</t>
  </si>
  <si>
    <t>PIII</t>
  </si>
  <si>
    <t>BNO NOCT</t>
  </si>
  <si>
    <t>NOCTURN</t>
  </si>
  <si>
    <t>TURNO</t>
  </si>
  <si>
    <t>Ramirez Ramirez Natali Gabriela</t>
  </si>
  <si>
    <t>Bastidas Rivera Franklin Enrique</t>
  </si>
  <si>
    <t>Ayudante de Servicios Generales</t>
  </si>
  <si>
    <t>Cocinera</t>
  </si>
  <si>
    <t>Mensajero</t>
  </si>
  <si>
    <t>Aseadora</t>
  </si>
  <si>
    <t>Ayudante de Almacen</t>
  </si>
  <si>
    <t>Ayudante Agropecuario</t>
  </si>
  <si>
    <t>Chofer De Transporte</t>
  </si>
  <si>
    <t>Cocinero</t>
  </si>
  <si>
    <t>Aseador</t>
  </si>
  <si>
    <t>Vigilante</t>
  </si>
  <si>
    <t>Chofer</t>
  </si>
  <si>
    <t>Ayudante De Almacen</t>
  </si>
  <si>
    <t>Ayud. Serv. De Cocina</t>
  </si>
  <si>
    <t xml:space="preserve">Cocinera </t>
  </si>
  <si>
    <t>Barroeta Cardozo Leonid Andrei</t>
  </si>
  <si>
    <t>SURTRAPPS</t>
  </si>
  <si>
    <t>SUODE</t>
  </si>
  <si>
    <t>Nº CUENTA</t>
  </si>
  <si>
    <t>01020369460000170309</t>
  </si>
  <si>
    <t>01020373230000439626</t>
  </si>
  <si>
    <t>01020373250000439639</t>
  </si>
  <si>
    <t>01020373220000457925</t>
  </si>
  <si>
    <t>01020494140100019952</t>
  </si>
  <si>
    <t>01020373250000677572</t>
  </si>
  <si>
    <t>01020373290000439024</t>
  </si>
  <si>
    <t>01020373200000441203</t>
  </si>
  <si>
    <t>01020373230000441232</t>
  </si>
  <si>
    <t>01020373250000441245</t>
  </si>
  <si>
    <t>01020373200000663269</t>
  </si>
  <si>
    <t>01020747950000338701</t>
  </si>
  <si>
    <t>01020373220000636076</t>
  </si>
  <si>
    <t>01020373210000439121</t>
  </si>
  <si>
    <t>01020373220100088447</t>
  </si>
  <si>
    <t>01020373210000627881</t>
  </si>
  <si>
    <t>01020373270000771465</t>
  </si>
  <si>
    <t>01020373260000438708</t>
  </si>
  <si>
    <t>01020373200000438737</t>
  </si>
  <si>
    <t>01020373250000442105</t>
  </si>
  <si>
    <t>01020373210000442231</t>
  </si>
  <si>
    <t>01020373240000442257</t>
  </si>
  <si>
    <t>01020373210000629274</t>
  </si>
  <si>
    <t>01020373200000573359</t>
  </si>
  <si>
    <t>01020494110100021350</t>
  </si>
  <si>
    <t>01020373240000917180</t>
  </si>
  <si>
    <t>01020373240000441481</t>
  </si>
  <si>
    <t>01020373210000441533</t>
  </si>
  <si>
    <t>01020373250001007549</t>
  </si>
  <si>
    <t>01020373210000632070</t>
  </si>
  <si>
    <t>01020373260000439969</t>
  </si>
  <si>
    <t>01020373290000645766</t>
  </si>
  <si>
    <t>01020373220000440039</t>
  </si>
  <si>
    <t>01020373280000440084</t>
  </si>
  <si>
    <t>01020373290000795425</t>
  </si>
  <si>
    <t>01020373220000534194</t>
  </si>
  <si>
    <t>01020373240000440136</t>
  </si>
  <si>
    <t>01020494190000306652</t>
  </si>
  <si>
    <t>01020373210000585499</t>
  </si>
  <si>
    <t>01020494180000215387</t>
  </si>
  <si>
    <t>01020373210000462826</t>
  </si>
  <si>
    <t>01020747950000378907</t>
  </si>
  <si>
    <t>01020373230000440369</t>
  </si>
  <si>
    <t>01020369430000456395</t>
  </si>
  <si>
    <t>01020589150000132185</t>
  </si>
  <si>
    <t>01020747910000502511</t>
  </si>
  <si>
    <t>01020103970000402006</t>
  </si>
  <si>
    <t>01020373220000439862</t>
  </si>
  <si>
    <t>01020493340100014013</t>
  </si>
  <si>
    <t>01020494160100025880</t>
  </si>
  <si>
    <t>01020373210000457747</t>
  </si>
  <si>
    <t>01020373290000440819</t>
  </si>
  <si>
    <t>01020494180000228866</t>
  </si>
  <si>
    <t>01020373210000440835</t>
  </si>
  <si>
    <t>01020373260100101629</t>
  </si>
  <si>
    <t>01020373260000274263</t>
  </si>
  <si>
    <t>01020373260000440233</t>
  </si>
  <si>
    <t>01020373210000440275</t>
  </si>
  <si>
    <t>01020373200000441041</t>
  </si>
  <si>
    <t>01020747960000205931</t>
  </si>
  <si>
    <t>01020747950000258959</t>
  </si>
  <si>
    <t>01020373210000442477</t>
  </si>
  <si>
    <t>01020373290000785655</t>
  </si>
  <si>
    <t>01020373210000785668</t>
  </si>
  <si>
    <t>01020373260000442516</t>
  </si>
  <si>
    <t>01020373220000441630</t>
  </si>
  <si>
    <t>01020373280000525734</t>
  </si>
  <si>
    <t>01020373220000845155</t>
  </si>
  <si>
    <t>01020373230000441876</t>
  </si>
  <si>
    <t>01020261260000181699</t>
  </si>
  <si>
    <t>01020747980000545675</t>
  </si>
  <si>
    <t>01020494170000348238</t>
  </si>
  <si>
    <t>01020369410000550576</t>
  </si>
  <si>
    <t>01020373280000814869</t>
  </si>
  <si>
    <t>01020747950000559263</t>
  </si>
  <si>
    <t>01020369460000565008</t>
  </si>
  <si>
    <t>01020747900000537395</t>
  </si>
  <si>
    <t>01020369480000637842</t>
  </si>
  <si>
    <t>01020373280000573346</t>
  </si>
  <si>
    <t>01020373230000793906</t>
  </si>
  <si>
    <t>DIFERENCIA</t>
  </si>
  <si>
    <t>Aguial Carrillo Gregoria Coromoto</t>
  </si>
  <si>
    <t>01020373290000440013</t>
  </si>
  <si>
    <t>01020373220000438999</t>
  </si>
  <si>
    <t>01020373260000442189</t>
  </si>
  <si>
    <t>01020373290000440657</t>
  </si>
  <si>
    <t>01020345720000067289</t>
  </si>
  <si>
    <t>01020373210000440521</t>
  </si>
  <si>
    <t>01020369440000056960</t>
  </si>
  <si>
    <t>01020373200000439435</t>
  </si>
  <si>
    <t>01020373280000441669</t>
  </si>
  <si>
    <t>01020373250000478991</t>
  </si>
  <si>
    <t>01020494110000059129</t>
  </si>
  <si>
    <t>01020373200000925677</t>
  </si>
  <si>
    <t>01020373260000439244</t>
  </si>
  <si>
    <t>01020747950000327987</t>
  </si>
  <si>
    <t>01020369460001033238</t>
  </si>
  <si>
    <t>01020373240100092027</t>
  </si>
  <si>
    <t>01020373200000442299</t>
  </si>
  <si>
    <t>01020373220000439053</t>
  </si>
  <si>
    <t>01020493380000044516</t>
  </si>
  <si>
    <t>01020373270000678283</t>
  </si>
  <si>
    <t>01020118700000111203</t>
  </si>
  <si>
    <t>01020373220000439781</t>
  </si>
  <si>
    <t>Almazan Barragan Maria de los Angeles</t>
  </si>
  <si>
    <t>Mendoza Mendoza Mirian Del Milagro</t>
  </si>
  <si>
    <t>Montilla Macias Lucy Margarita</t>
  </si>
  <si>
    <t>01020876910000061829</t>
  </si>
  <si>
    <t>01020373280000439419</t>
  </si>
  <si>
    <t>01020369470000060626</t>
  </si>
  <si>
    <t>Abogado I</t>
  </si>
  <si>
    <t>Promotor Cultural I</t>
  </si>
  <si>
    <t>Jefe de Centro</t>
  </si>
  <si>
    <t>Asistente Administrativo III</t>
  </si>
  <si>
    <t>Asistente de Analista III</t>
  </si>
  <si>
    <t>Guia de Centro II</t>
  </si>
  <si>
    <t>Guia de Centro I</t>
  </si>
  <si>
    <t>Asistente Administrativo IV</t>
  </si>
  <si>
    <t>Tecnico Superior en Trabajo Social I</t>
  </si>
  <si>
    <t>Analista de Presupuesto III</t>
  </si>
  <si>
    <t>Tecnico Agropecuario III</t>
  </si>
  <si>
    <t>Ingeniero Industrial II</t>
  </si>
  <si>
    <t>Tutor Facilitador I</t>
  </si>
  <si>
    <t>Medico jefe I</t>
  </si>
  <si>
    <t>Tutor Facilitador II</t>
  </si>
  <si>
    <t>Secretaria Ejecutiva I</t>
  </si>
  <si>
    <t>Entrenador Deportivo I</t>
  </si>
  <si>
    <t>Supervisor de Servicios Generales IV</t>
  </si>
  <si>
    <t>Analista de Procesamiento de Datos I</t>
  </si>
  <si>
    <t>Asistente Administrativo I</t>
  </si>
  <si>
    <t>Asistente de Servicio Social</t>
  </si>
  <si>
    <t>Tutor Facilitador III</t>
  </si>
  <si>
    <t>Morillo Valero Ender Ramon</t>
  </si>
  <si>
    <t>Delegado de Prueba II</t>
  </si>
  <si>
    <t>Almacenista I</t>
  </si>
  <si>
    <t>Administrador IV</t>
  </si>
  <si>
    <t>Supervisor de Servicios Generales III</t>
  </si>
  <si>
    <t>Enfermera Jefe I</t>
  </si>
  <si>
    <t>Especialista en Informatica I</t>
  </si>
  <si>
    <t>Medico Especialista I</t>
  </si>
  <si>
    <t>Analista de Presupuesto Jefe</t>
  </si>
  <si>
    <t>Entrenador Deportivo IV</t>
  </si>
  <si>
    <t>Analista de Personal VI</t>
  </si>
  <si>
    <t>Administrador III</t>
  </si>
  <si>
    <t>Entrenador Deportivo V</t>
  </si>
  <si>
    <t>Técnico Superior en Trabajo Social II</t>
  </si>
  <si>
    <t>Planificador V</t>
  </si>
  <si>
    <t>Administrador I</t>
  </si>
  <si>
    <t>Tecnico Superior en Trabajo Social II</t>
  </si>
  <si>
    <t>Contador II</t>
  </si>
  <si>
    <t xml:space="preserve">Tecnico Superior en Trabajo Social I                 </t>
  </si>
  <si>
    <t xml:space="preserve">Coy de Dorante Sandra Liliana </t>
  </si>
  <si>
    <t>Trabajador Social III</t>
  </si>
  <si>
    <t>Analista de Personal V</t>
  </si>
  <si>
    <t>Trabajador Social II</t>
  </si>
  <si>
    <t>Auditor IV</t>
  </si>
  <si>
    <t>Instructor Agropecuario III</t>
  </si>
  <si>
    <t>Analista de Presupuesto IV</t>
  </si>
  <si>
    <t>Ingeniero Electricista II</t>
  </si>
  <si>
    <t>Analista de Personal I</t>
  </si>
  <si>
    <t>Tecnico en Reparacion y Mantenimiento I</t>
  </si>
  <si>
    <t>Psicologo I</t>
  </si>
  <si>
    <t>Planificador I</t>
  </si>
  <si>
    <t>Economo I</t>
  </si>
  <si>
    <t>Entrenador Deportivo II</t>
  </si>
  <si>
    <t>Asistente de Relaciones Publicas</t>
  </si>
  <si>
    <t>Psicologo II</t>
  </si>
  <si>
    <t>Asistente de servicio Social</t>
  </si>
  <si>
    <t>01020494120000043575</t>
  </si>
  <si>
    <t>01020373290000399740</t>
  </si>
  <si>
    <t>01020373250000439642</t>
  </si>
  <si>
    <t>01020373210000439684</t>
  </si>
  <si>
    <t>01020373250000439723</t>
  </si>
  <si>
    <t>01020427590000460213</t>
  </si>
  <si>
    <t>01020373290000438973</t>
  </si>
  <si>
    <t>01020373210000441287</t>
  </si>
  <si>
    <t>01020373210000441290</t>
  </si>
  <si>
    <t>01020373270000441342</t>
  </si>
  <si>
    <t>01020373210000441449</t>
  </si>
  <si>
    <t>01020373210000441452</t>
  </si>
  <si>
    <t>01020373240000440699</t>
  </si>
  <si>
    <t>01020373250000440709</t>
  </si>
  <si>
    <t>01020369460000055631</t>
  </si>
  <si>
    <t>01020373220000439134</t>
  </si>
  <si>
    <t>01020373200000439192</t>
  </si>
  <si>
    <t>01020373220000439215</t>
  </si>
  <si>
    <t>01020373240000439228</t>
  </si>
  <si>
    <t>01020373250000676955</t>
  </si>
  <si>
    <t>01020373280000439260</t>
  </si>
  <si>
    <t>01020373290000479961</t>
  </si>
  <si>
    <t>01020373290000539432</t>
  </si>
  <si>
    <t>01020373200000438656</t>
  </si>
  <si>
    <t>01020501840006794750</t>
  </si>
  <si>
    <t>01020373210000438672</t>
  </si>
  <si>
    <t>01020373250000438698</t>
  </si>
  <si>
    <t>01020373260000438711</t>
  </si>
  <si>
    <t>01020373280000908380</t>
  </si>
  <si>
    <t>01020373290000241267</t>
  </si>
  <si>
    <t>01020373270000442040</t>
  </si>
  <si>
    <t>01020373220000442079</t>
  </si>
  <si>
    <t>01020373220000442082</t>
  </si>
  <si>
    <t>01020373240000442095</t>
  </si>
  <si>
    <t>01020373230000232797</t>
  </si>
  <si>
    <t>01020373220000442244</t>
  </si>
  <si>
    <t>01020373240000442260</t>
  </si>
  <si>
    <t>01020346550106621985</t>
  </si>
  <si>
    <t>01020373210000442312</t>
  </si>
  <si>
    <t>01020373210000442309</t>
  </si>
  <si>
    <t>01020373220000442325</t>
  </si>
  <si>
    <t>01020373280000536121</t>
  </si>
  <si>
    <t>01020373240000678911</t>
  </si>
  <si>
    <t>01020747930000123398</t>
  </si>
  <si>
    <t>01020373270000441504</t>
  </si>
  <si>
    <t>01020373290000441517</t>
  </si>
  <si>
    <t>01020373290000441520</t>
  </si>
  <si>
    <t>01020373270000678607</t>
  </si>
  <si>
    <t>01020373260000441575</t>
  </si>
  <si>
    <t>01020373290000439914</t>
  </si>
  <si>
    <t>01020373220000439943</t>
  </si>
  <si>
    <t>01020373280000439985</t>
  </si>
  <si>
    <t>01020373290000553900</t>
  </si>
  <si>
    <t>01020373220000440042</t>
  </si>
  <si>
    <t>01020494190100020863</t>
  </si>
  <si>
    <t>01020494110100027091</t>
  </si>
  <si>
    <t>01020373260000440149</t>
  </si>
  <si>
    <t>01020373210100087140</t>
  </si>
  <si>
    <t>01020373260000440152</t>
  </si>
  <si>
    <t>01020373240000102199</t>
  </si>
  <si>
    <t>01020373260000439406</t>
  </si>
  <si>
    <t>01020373210000439448</t>
  </si>
  <si>
    <t>01020373210000439451</t>
  </si>
  <si>
    <t>01020369420000374529</t>
  </si>
  <si>
    <t>01020369410100085388</t>
  </si>
  <si>
    <t>01020373290100099144</t>
  </si>
  <si>
    <t>01020373280000440408</t>
  </si>
  <si>
    <t>01020373250100082685</t>
  </si>
  <si>
    <t>01020373230000440453</t>
  </si>
  <si>
    <t>01020373200000573362</t>
  </si>
  <si>
    <t>01020747950100000700</t>
  </si>
  <si>
    <t>01020373230000440534</t>
  </si>
  <si>
    <t>01020373210000440602</t>
  </si>
  <si>
    <t>01020494100000117605</t>
  </si>
  <si>
    <t>01020373240000439794</t>
  </si>
  <si>
    <t>01020373250000439804</t>
  </si>
  <si>
    <t>01020373270000439817</t>
  </si>
  <si>
    <t>01020373210000439846</t>
  </si>
  <si>
    <t>01020494110000176662</t>
  </si>
  <si>
    <t>01020369400000057134</t>
  </si>
  <si>
    <t>01020494160100019464</t>
  </si>
  <si>
    <t>01020373260000608033</t>
  </si>
  <si>
    <t>01020373290000030960</t>
  </si>
  <si>
    <t>01020747990100002783</t>
  </si>
  <si>
    <t>01020373290000440822</t>
  </si>
  <si>
    <t>01020373240000440864</t>
  </si>
  <si>
    <t>01020373260000440877</t>
  </si>
  <si>
    <t>01020373290100097099</t>
  </si>
  <si>
    <t>01020373260000435811</t>
  </si>
  <si>
    <t>01020373240000483892</t>
  </si>
  <si>
    <t>01020373240000440945</t>
  </si>
  <si>
    <t>01020373260000441009</t>
  </si>
  <si>
    <t>01020373260000441012</t>
  </si>
  <si>
    <t>01020373280000441025</t>
  </si>
  <si>
    <t>01020373200000440990</t>
  </si>
  <si>
    <t>01020493370100014857</t>
  </si>
  <si>
    <t>01020373210000234339</t>
  </si>
  <si>
    <t>01020373210000440194</t>
  </si>
  <si>
    <t>01020373220000457763</t>
  </si>
  <si>
    <t>01020494180000329969</t>
  </si>
  <si>
    <t>01020373200000438575</t>
  </si>
  <si>
    <t>01020373260000439325</t>
  </si>
  <si>
    <t>01020373290000439752</t>
  </si>
  <si>
    <t>01020747920100003199</t>
  </si>
  <si>
    <t>01020373210100092331</t>
  </si>
  <si>
    <t>01020373240000634942</t>
  </si>
  <si>
    <t>01020494170000072627</t>
  </si>
  <si>
    <t>01020373240000442338</t>
  </si>
  <si>
    <t>01020494100000133948</t>
  </si>
  <si>
    <t>01020373220000686055</t>
  </si>
  <si>
    <t>01020373280000442370</t>
  </si>
  <si>
    <t>01020494150000238694</t>
  </si>
  <si>
    <t>01020747920000010236</t>
  </si>
  <si>
    <t>01020373230000462839</t>
  </si>
  <si>
    <t>01020369470000056821</t>
  </si>
  <si>
    <t>01020369460000427243</t>
  </si>
  <si>
    <t>01020373280000442451</t>
  </si>
  <si>
    <t>01020373200000442464</t>
  </si>
  <si>
    <t>01020373240000541323</t>
  </si>
  <si>
    <t>01020373230000442493</t>
  </si>
  <si>
    <t>01020373280000635912</t>
  </si>
  <si>
    <t>01020373210000665649</t>
  </si>
  <si>
    <t>01020373240000968498</t>
  </si>
  <si>
    <t>01020373260000525718</t>
  </si>
  <si>
    <t>01020373200000442545</t>
  </si>
  <si>
    <t>01020373260000670919</t>
  </si>
  <si>
    <t>01020373210000442561</t>
  </si>
  <si>
    <t>01020369400000075679</t>
  </si>
  <si>
    <t>01020373220100097990</t>
  </si>
  <si>
    <t>01020373220000553926</t>
  </si>
  <si>
    <t>01020373250000671853</t>
  </si>
  <si>
    <t>01020494100100024354</t>
  </si>
  <si>
    <t>01020373220000849559</t>
  </si>
  <si>
    <t>01020494190000149110</t>
  </si>
  <si>
    <t>01020373280100092834</t>
  </si>
  <si>
    <t>01020747910000505657</t>
  </si>
  <si>
    <t>01020373230000536163</t>
  </si>
  <si>
    <t>01020373240100092366</t>
  </si>
  <si>
    <t>01020373280000308605</t>
  </si>
  <si>
    <t>01020494160000440149</t>
  </si>
  <si>
    <t>01020373210000594095</t>
  </si>
  <si>
    <t>01020373230000787488</t>
  </si>
  <si>
    <t>01020493310000189934</t>
  </si>
  <si>
    <t>01020373220000660880</t>
  </si>
  <si>
    <t>01020373270000378596</t>
  </si>
  <si>
    <t>01020747990000214375</t>
  </si>
  <si>
    <t>01020373200000441766</t>
  </si>
  <si>
    <t>01020494140000224190</t>
  </si>
  <si>
    <t>01020493360000196927</t>
  </si>
  <si>
    <t>01020493390000326470</t>
  </si>
  <si>
    <t>01020747910000270144</t>
  </si>
  <si>
    <t>01020373290000652636</t>
  </si>
  <si>
    <t>01020501860002859343</t>
  </si>
  <si>
    <t>01020747920000079413</t>
  </si>
  <si>
    <t>01020369410000487843</t>
  </si>
  <si>
    <t>01020373210000102500</t>
  </si>
  <si>
    <t>01020373250000441083</t>
  </si>
  <si>
    <t>01020373270000957409</t>
  </si>
  <si>
    <t>01020747940000520519</t>
  </si>
  <si>
    <t>01020373230000787491</t>
  </si>
  <si>
    <t>01020373230000797096</t>
  </si>
  <si>
    <t>01020373230000441960</t>
  </si>
  <si>
    <t>01020373270000623364</t>
  </si>
  <si>
    <t>01020373200100101062</t>
  </si>
  <si>
    <t>01020747920000495848</t>
  </si>
  <si>
    <t>01020494180000240158</t>
  </si>
  <si>
    <t>01020373290000623377</t>
  </si>
  <si>
    <t>01020678260100005277</t>
  </si>
  <si>
    <t>01020369490000687261</t>
  </si>
  <si>
    <t>01020373290000674300</t>
  </si>
  <si>
    <t>01020493370100017998</t>
  </si>
  <si>
    <t>01020747980000531498</t>
  </si>
  <si>
    <t>01020747990000438164</t>
  </si>
  <si>
    <t>01020373280000915331</t>
  </si>
  <si>
    <t>01020747940100002455</t>
  </si>
  <si>
    <t>01020373220000704571</t>
  </si>
  <si>
    <t>01020373280000632203</t>
  </si>
  <si>
    <t>01020373240000704584</t>
  </si>
  <si>
    <t>01020865310000253527</t>
  </si>
  <si>
    <t>01020373260000797122</t>
  </si>
  <si>
    <t>01020747920100002151</t>
  </si>
  <si>
    <t>01020373290000806990</t>
  </si>
  <si>
    <t>01020373220000793896</t>
  </si>
  <si>
    <t>01020494170100027913</t>
  </si>
  <si>
    <t>01020373260100100853</t>
  </si>
  <si>
    <t>01020373290000623380</t>
  </si>
  <si>
    <t>P1   (0-2 AÑOS)</t>
  </si>
  <si>
    <t>B3III   (15-17 AÑOS)</t>
  </si>
  <si>
    <t>P2V    (18 EN ADELANTE)</t>
  </si>
  <si>
    <t>T2III   (12-14 AÑOS)</t>
  </si>
  <si>
    <t>P2IV   (15-17 AÑOS)</t>
  </si>
  <si>
    <t>T2IV   (15-17 AÑOS)</t>
  </si>
  <si>
    <t>T1   (0-2 AÑOS)</t>
  </si>
  <si>
    <t>B3IV   (18 EN ADELANTE)</t>
  </si>
  <si>
    <t>B3II   (12-14 AÑOS)</t>
  </si>
  <si>
    <t>B3I   (9-11 AÑOS)</t>
  </si>
  <si>
    <t>P2III   (12-14 AÑOS)</t>
  </si>
  <si>
    <t>P2   (3-5 AÑOS)</t>
  </si>
  <si>
    <t>T2   (3-5 AÑOS)</t>
  </si>
  <si>
    <t>P3    (0-2 AÑOS)</t>
  </si>
  <si>
    <t>B1   (0-2 AÑOS)</t>
  </si>
  <si>
    <t>T2V   (18 EN ADELANTE)</t>
  </si>
  <si>
    <t>T2II   (9-11 AÑOS)</t>
  </si>
  <si>
    <t xml:space="preserve">P2II   (9-11 AÑOS)  </t>
  </si>
  <si>
    <t>P3VI   (18 EN ADELANTE)</t>
  </si>
  <si>
    <t>P2I   (6-8 AÑOS)</t>
  </si>
  <si>
    <t>P3I     (3-5 AÑOS)</t>
  </si>
  <si>
    <t>B2   (3-5 AÑOS)</t>
  </si>
  <si>
    <t>T2I   (6-8 AÑOS)</t>
  </si>
  <si>
    <t>P3V    (15-17 AÑOS)</t>
  </si>
  <si>
    <t>B3   (6-8 AÑOS)</t>
  </si>
  <si>
    <t>P3II     (6-8 AÑOS)</t>
  </si>
  <si>
    <t>Administrador Jefe</t>
  </si>
  <si>
    <t>Ingeniero Agronomo III</t>
  </si>
  <si>
    <t>Abogado Jefe</t>
  </si>
  <si>
    <t>Fernandez Garcia Rafael Ramon</t>
  </si>
  <si>
    <t>01020747940000526241</t>
  </si>
  <si>
    <t>VACANTES EMPLEADOS</t>
  </si>
  <si>
    <t>PRIMAS MENSUALES</t>
  </si>
  <si>
    <t>TOTAL DE PRIMAS
MENSUAL</t>
  </si>
  <si>
    <t>SAREN</t>
  </si>
  <si>
    <t>TXT</t>
  </si>
  <si>
    <t>Monto total Fisicos</t>
  </si>
  <si>
    <t>1RA QUINCENA</t>
  </si>
  <si>
    <t>2DA QUINCENA</t>
  </si>
  <si>
    <t>DIAS FERIADOS LABORADOS</t>
  </si>
  <si>
    <r>
      <t xml:space="preserve">DIAS FERIADOS </t>
    </r>
    <r>
      <rPr>
        <b/>
        <sz val="12"/>
        <color rgb="FFFF0000"/>
        <rFont val="Arial"/>
        <family val="2"/>
      </rPr>
      <t>NO</t>
    </r>
    <r>
      <rPr>
        <b/>
        <sz val="12"/>
        <rFont val="Arial"/>
        <family val="2"/>
      </rPr>
      <t xml:space="preserve"> LABORADOS</t>
    </r>
  </si>
  <si>
    <t>TXT BONO NOCTURNO</t>
  </si>
  <si>
    <t>TXT CONTRIBUCION POR DISCAPACIDAD</t>
  </si>
  <si>
    <t>TXT VACACIONES</t>
  </si>
  <si>
    <t>APORTES + DEDUCCIONES</t>
  </si>
  <si>
    <t>TXT CESTA TICKET</t>
  </si>
  <si>
    <t>RESUMEN</t>
  </si>
  <si>
    <t>ALTO NIVEL</t>
  </si>
  <si>
    <t>TOTAL PERSONAL COMISION DE SERVICIO</t>
  </si>
  <si>
    <t>TOTAL PERSONAL ALTO NIVEL</t>
  </si>
  <si>
    <t>Bastidas Rivera Junior Antonio</t>
  </si>
  <si>
    <t>01020369410000923705</t>
  </si>
  <si>
    <t>01020373260001158317</t>
  </si>
  <si>
    <t>Rosales Ruiz Jesus Alberto</t>
  </si>
  <si>
    <t>01020494160000531485</t>
  </si>
  <si>
    <t>Fernandez Romero Numa Manuel</t>
  </si>
  <si>
    <t>01020373290000659053</t>
  </si>
  <si>
    <t>Briceño Aguilar Rebeca Andreina</t>
  </si>
  <si>
    <t xml:space="preserve">UBICACIÓN </t>
  </si>
  <si>
    <t>Direccion General</t>
  </si>
  <si>
    <t>Direccion de Administracion</t>
  </si>
  <si>
    <t>Direccion de Talento Humano</t>
  </si>
  <si>
    <t>Oficina De Consultoria Juridica</t>
  </si>
  <si>
    <t>Division compras y suministro (Direccion De Administracion)</t>
  </si>
  <si>
    <t>Division Servicios Gen. (Direccion De Administracion)</t>
  </si>
  <si>
    <t>Coord. del Programa Socio educativo / CARESA Valera</t>
  </si>
  <si>
    <t xml:space="preserve">Coord. del Programa Socio Educativo </t>
  </si>
  <si>
    <t>Coordinacion de Apoyo y Orientacion</t>
  </si>
  <si>
    <t>Direccion De Administracion</t>
  </si>
  <si>
    <t>Casa Hogar Niño Simon</t>
  </si>
  <si>
    <t>Coordinacion De Formacion, Adiestramiento Y Capacitacion</t>
  </si>
  <si>
    <t>CACNNA El Milagro</t>
  </si>
  <si>
    <t>Casa Hogar Maternal</t>
  </si>
  <si>
    <t>CREDNNA Pampan</t>
  </si>
  <si>
    <t>CREDNNA Valera</t>
  </si>
  <si>
    <t>CACNNA San Luis</t>
  </si>
  <si>
    <t>Coordinacion De Cultura, Deporte Y Recreacion</t>
  </si>
  <si>
    <t xml:space="preserve">Direccion De Planificacion Y Programas </t>
  </si>
  <si>
    <t>Direccion De Planificacion Y Programas</t>
  </si>
  <si>
    <t xml:space="preserve">Casa Hogar Adolescentes Hembras/ Barbarita de la Torre                              </t>
  </si>
  <si>
    <t>Casa Hogar Adolescentes Varones</t>
  </si>
  <si>
    <t>Direccion De Talento Humano</t>
  </si>
  <si>
    <t>Division De Compras Y Suministros (Direccion De Administracion)</t>
  </si>
  <si>
    <t>CREDNNA Betijoque</t>
  </si>
  <si>
    <t>Oficina De Auditoria Interna</t>
  </si>
  <si>
    <t>Coordinacion Programa Abrigo</t>
  </si>
  <si>
    <t>CACNNA Bocono</t>
  </si>
  <si>
    <t>Coordinacion De Nutricion Y Comedores</t>
  </si>
  <si>
    <t>Division De Servicios Generales (Direccion De Administracion)</t>
  </si>
  <si>
    <t>Direccion De Planificacion Y Programas - Programa Abrigo</t>
  </si>
  <si>
    <t>Centro de Responsabilidad Adolescentes Varones</t>
  </si>
  <si>
    <t xml:space="preserve">Casa Hogar Maternal                      </t>
  </si>
  <si>
    <t>Colocaciones Familiares</t>
  </si>
  <si>
    <t>Division De Servicios Generales (Direcc. De Administracion)</t>
  </si>
  <si>
    <t>Coordinacion de Nutricion y Comedores</t>
  </si>
  <si>
    <t>Gobernación Socialista del Estado Trujillo</t>
  </si>
  <si>
    <t>Servicio Administrativo de Protección del Niño, Niña y Adolescente del Estado Trujillo</t>
  </si>
  <si>
    <t>Dirección de Talento Humano</t>
  </si>
  <si>
    <t>CEDULA DE</t>
  </si>
  <si>
    <t>N°</t>
  </si>
  <si>
    <t>HIJO(S)</t>
  </si>
  <si>
    <t>SEXO</t>
  </si>
  <si>
    <t>FECHA DE</t>
  </si>
  <si>
    <t>EDAD</t>
  </si>
  <si>
    <t>IDENTIDAD</t>
  </si>
  <si>
    <t>CARGOS</t>
  </si>
  <si>
    <t>APELLIDOS Y NOMBRES</t>
  </si>
  <si>
    <t>NACIMIENTO</t>
  </si>
  <si>
    <t>Garcia Viloria Roberto Alejandro</t>
  </si>
  <si>
    <t>Garcia Viloria Daniela Sabrina</t>
  </si>
  <si>
    <t>Viloria Marquez Angel</t>
  </si>
  <si>
    <t>Chacin Datica Fabiana Victoria</t>
  </si>
  <si>
    <t>Barrios Suarez Nhayelli Vanessa</t>
  </si>
  <si>
    <t>Barrios Suarez Natasha Valentina</t>
  </si>
  <si>
    <t>Sulbaran Abreu Alberlyn</t>
  </si>
  <si>
    <t xml:space="preserve">Valera Montilla Gabriel Josue </t>
  </si>
  <si>
    <t>Rojas Sanchez Maria Jose</t>
  </si>
  <si>
    <t>Rojas Sanchez Javier De Jesus</t>
  </si>
  <si>
    <t>Mendez Castillo Marien Gabriela</t>
  </si>
  <si>
    <t>Escalona Godoy Luis Alfonso</t>
  </si>
  <si>
    <t>Garcia Segovia Camila Valentina</t>
  </si>
  <si>
    <t>Hernandez Camacho Glaismar</t>
  </si>
  <si>
    <t>Osuna gonzalez Ricardo</t>
  </si>
  <si>
    <t>Moreno Gonzalez Marian</t>
  </si>
  <si>
    <t>SUSPENDIDA</t>
  </si>
  <si>
    <t>Viloria Mendez Victor Eduardo</t>
  </si>
  <si>
    <t>Viloria Mendez Vicmary Andreina</t>
  </si>
  <si>
    <t>Villegas G. Estefania del Carmen</t>
  </si>
  <si>
    <t>Romero Macias Juan Vicente</t>
  </si>
  <si>
    <t>Romero Macias Miranda Sofia</t>
  </si>
  <si>
    <t>Pirela Abreu Marlon</t>
  </si>
  <si>
    <t>SUSPENDIDA OCT 2021</t>
  </si>
  <si>
    <t>Abreu Rodriguez Franccesco</t>
  </si>
  <si>
    <t>Altuve Lopez Mariangel</t>
  </si>
  <si>
    <t>Altuve Lopez Lucia</t>
  </si>
  <si>
    <t>Aldana Zambrano Javier Alejandro</t>
  </si>
  <si>
    <t>Aldana Zambrano Matheo Josue</t>
  </si>
  <si>
    <t>Simancas Araujo Glorimar Lucia</t>
  </si>
  <si>
    <t>Simancas Araujo Cesar Roman</t>
  </si>
  <si>
    <t>Vergara Perez Victor Alejandro</t>
  </si>
  <si>
    <t>Vergara Perez Albert Halkinson</t>
  </si>
  <si>
    <t>Paredes Aguilar Fabian Helí</t>
  </si>
  <si>
    <t>Barrios Martinez Samanta Valentina</t>
  </si>
  <si>
    <t>Barrios Martinez Fabricio Sebastian</t>
  </si>
  <si>
    <t>Rendon Paredes Brayan</t>
  </si>
  <si>
    <t>Durante Coy Diego Alejandro</t>
  </si>
  <si>
    <t>Durante Coy Michelle Alessandra</t>
  </si>
  <si>
    <t>Valecillos Briceño Arianna Isabella</t>
  </si>
  <si>
    <t>Duarte Rivas Richard Emmanuel</t>
  </si>
  <si>
    <t>Chacon Alvarran Ismargy</t>
  </si>
  <si>
    <t>Chacon Alvarran Ariangy</t>
  </si>
  <si>
    <t>Paradas Briceño Victor Alonso</t>
  </si>
  <si>
    <t>Paradas Briceño Franklin Jose</t>
  </si>
  <si>
    <t>Briceño Villegas Diego Andres</t>
  </si>
  <si>
    <t>Briceño Villegas Sebastian Andres</t>
  </si>
  <si>
    <t>Sayago Gonzalez Kamila Katerine</t>
  </si>
  <si>
    <t>Sayago Gonzalez Claudia</t>
  </si>
  <si>
    <t>Torres Sifontes Nayily Dayana</t>
  </si>
  <si>
    <t>Torres Sifontes Yahir Alberto</t>
  </si>
  <si>
    <t>Torres Sifontes Yino Camilo</t>
  </si>
  <si>
    <t>Villegas Briceño Luis Enrique</t>
  </si>
  <si>
    <t>Villegas Briceño Dorianny</t>
  </si>
  <si>
    <t>Rendon Paredes Abrahan</t>
  </si>
  <si>
    <t>Hernandez Carmona Fernando</t>
  </si>
  <si>
    <t>Hernandez Carmona Maria F.</t>
  </si>
  <si>
    <t>Hernandez Carmona Yanelly</t>
  </si>
  <si>
    <t>Hernandez Carmona Maikol</t>
  </si>
  <si>
    <t>Godoy Gonzalez Joel David</t>
  </si>
  <si>
    <t>Godoy Gonzalez Ana Maria</t>
  </si>
  <si>
    <t>Torres Rincon Emily</t>
  </si>
  <si>
    <t>Torres Rincon Yeslany</t>
  </si>
  <si>
    <t>Rivera Rincon Adrian</t>
  </si>
  <si>
    <t>Mendoza Araujo Ariana Valeria</t>
  </si>
  <si>
    <t>Avila Lugo Arianny</t>
  </si>
  <si>
    <t>SUSPENDIDA OCT 22</t>
  </si>
  <si>
    <t>Avila Lugo Michell</t>
  </si>
  <si>
    <t>Briceño Perdomo Michelle</t>
  </si>
  <si>
    <t>Lezama Perdomo Angel G</t>
  </si>
  <si>
    <t>MOROCHOS</t>
  </si>
  <si>
    <t>Briceño Serrada Maria Victoria</t>
  </si>
  <si>
    <t>Mendoza Albarran Yemily Patricia</t>
  </si>
  <si>
    <t xml:space="preserve">Mendoza Albarran Emiyerlin </t>
  </si>
  <si>
    <t>Paredes Mejia Rainer Andres</t>
  </si>
  <si>
    <t>Matheus Briceño Cesar Miguel</t>
  </si>
  <si>
    <t>Ramirez Bastidas Diego Armando</t>
  </si>
  <si>
    <t>Ramirez Bastidas Veruzka</t>
  </si>
  <si>
    <t>Collantes Leon Jesus Alejandro</t>
  </si>
  <si>
    <t>Collantes Leon Victor Gabriel</t>
  </si>
  <si>
    <t>Collantes Leon Victoria Alejandra</t>
  </si>
  <si>
    <t>Delgado Carrizo Antonella</t>
  </si>
  <si>
    <t>Alvarez Carrizo Wuilkendery</t>
  </si>
  <si>
    <t>Briceño Urdaneta Katherin Valeria</t>
  </si>
  <si>
    <t>Briceño Urdaneta Jessika</t>
  </si>
  <si>
    <t>Briceño Urdaneta Maira</t>
  </si>
  <si>
    <t>Garcia Torres Wikleman</t>
  </si>
  <si>
    <t>Garcia Torres Wandaly</t>
  </si>
  <si>
    <t>Rivera Villarreal Santiago</t>
  </si>
  <si>
    <t>Rivera Villarreal Mathias</t>
  </si>
  <si>
    <t>Teran Briceño Yosmer</t>
  </si>
  <si>
    <t>Mendoza Briceño Joneiber</t>
  </si>
  <si>
    <t>Blanco Pulido Joerly</t>
  </si>
  <si>
    <t>Blanco Pulido Eloy</t>
  </si>
  <si>
    <t>Blanco Pulido Joel</t>
  </si>
  <si>
    <t>Monsalve Lozada Isabella</t>
  </si>
  <si>
    <t>Pulido Villarreal Rebeca</t>
  </si>
  <si>
    <t>Paredes Villarreal Rubi</t>
  </si>
  <si>
    <t>Paredes Villarreal Mathias</t>
  </si>
  <si>
    <t>Abreu Gonzalez Diego Andres</t>
  </si>
  <si>
    <t>Hernandez Villarreal Stephany Yussield</t>
  </si>
  <si>
    <t>Rivero Quintero Elena Isabella</t>
  </si>
  <si>
    <t>Carrizo Rodriguez Daneyquer David</t>
  </si>
  <si>
    <t>Carrizo Rodriguez Dangelver</t>
  </si>
  <si>
    <t>Villarreal Ramirez Rocio A.</t>
  </si>
  <si>
    <t>Mazz Uzcategui Adrian</t>
  </si>
  <si>
    <t>Urbina Uzcategui Diego</t>
  </si>
  <si>
    <t>Garcia Hernandez Dylan Mathias</t>
  </si>
  <si>
    <t>Castellanos Hernandez Monzerrath Valentina</t>
  </si>
  <si>
    <t>Cestari Valero Aquiles Ramses</t>
  </si>
  <si>
    <t>Mejia Mejia Maikel Javier</t>
  </si>
  <si>
    <t>Perez Mejia Mía Isabella</t>
  </si>
  <si>
    <t>Perez Mejia Marley Arami</t>
  </si>
  <si>
    <t>Ramirez Valero Jose Andres</t>
  </si>
  <si>
    <t>Lesel Villa Danismar</t>
  </si>
  <si>
    <t>Lesel Villa Nehemias</t>
  </si>
  <si>
    <t>Gualda Mejia Gabriela</t>
  </si>
  <si>
    <t>Gualda Mejia Ezequiel</t>
  </si>
  <si>
    <t>Berrios Morillo Abraham</t>
  </si>
  <si>
    <t>Berrios Morillo Barbara</t>
  </si>
  <si>
    <t>Villa Barrios Luciana</t>
  </si>
  <si>
    <t>Villa Barrios Luisany</t>
  </si>
  <si>
    <t>Silva Rivas Yoneiver</t>
  </si>
  <si>
    <t>Rivas Hurtado Yoxneider</t>
  </si>
  <si>
    <t>Viloria Medina Bianca Analie</t>
  </si>
  <si>
    <t>Ramirez Enderson Gabriel</t>
  </si>
  <si>
    <t>Quero Coello Eddianny S</t>
  </si>
  <si>
    <t>Fernandez Linares Nelmary Rashell</t>
  </si>
  <si>
    <t>Gil Guanda Isabella</t>
  </si>
  <si>
    <t>Valenzuela Graterol Elianny</t>
  </si>
  <si>
    <t>Valenzuela Graterol Aaron</t>
  </si>
  <si>
    <t>Daboin Molina Moises</t>
  </si>
  <si>
    <t>Daboin Molina Mia</t>
  </si>
  <si>
    <t>Vergara Segovia Kenyerver</t>
  </si>
  <si>
    <t>Rubio Briceño Salem Farid</t>
  </si>
  <si>
    <t>Valero Moreno Nathalia Valentina</t>
  </si>
  <si>
    <t>Rivero Gil Miguel A.</t>
  </si>
  <si>
    <t xml:space="preserve">Perez Silva Justino Javier </t>
  </si>
  <si>
    <t>DELDUCA ADRIANA DEL VALLE</t>
  </si>
  <si>
    <t>Albarran Delduca Luis Yonaiber</t>
  </si>
  <si>
    <t>Albarran Delduca Jose Angel</t>
  </si>
  <si>
    <t>RIVERO HERLUIS</t>
  </si>
  <si>
    <t>YARITZA FRIAS</t>
  </si>
  <si>
    <t>Paredes Frias Luis Alejandro</t>
  </si>
  <si>
    <t>Paredes Frias Luisana Ahyarit</t>
  </si>
  <si>
    <t>Aponte Briceño Richney Sthefanny</t>
  </si>
  <si>
    <t>Aponte Briceño Richard Alexander</t>
  </si>
  <si>
    <t>Aponte Briceño Ricardo Alfonso</t>
  </si>
  <si>
    <t>Aponte Briceño Ricney</t>
  </si>
  <si>
    <t>EBERTO OLMOS</t>
  </si>
  <si>
    <t>Olmos Parra Maria Ines</t>
  </si>
  <si>
    <t>Olmos Parra Diego Andres</t>
  </si>
  <si>
    <t>Frias Sulbaran Yhonairith</t>
  </si>
  <si>
    <t>COY ANDARA DARLIN GABRIELA</t>
  </si>
  <si>
    <t>COORDINADOR (E) DE PROGRAMA</t>
  </si>
  <si>
    <t>Duran Coy Wilder</t>
  </si>
  <si>
    <t>Suarez Urbina Zara Victoria</t>
  </si>
  <si>
    <t xml:space="preserve">                 República Bolivariana de Venezuela</t>
  </si>
  <si>
    <t>Fernadez Viloria Manuel Ignacio</t>
  </si>
  <si>
    <t>Ferndez Viloria Daymari Zayrith</t>
  </si>
  <si>
    <t>01020747990000341921</t>
  </si>
  <si>
    <t>Olivar Nava Robinson de Jesus</t>
  </si>
  <si>
    <t>Gutierrez Betania Belsally</t>
  </si>
  <si>
    <t>Villegas Gonzalez Santiago David</t>
  </si>
  <si>
    <t>01020279560000059585</t>
  </si>
  <si>
    <t>Valecillos Duran Brando Jose</t>
  </si>
  <si>
    <t>SUSPENDIDO</t>
  </si>
  <si>
    <t>TOTAL EMPLEADOS</t>
  </si>
  <si>
    <t>PERSONAL OBRERO</t>
  </si>
  <si>
    <t>RAMIREZ MANZANILLA JOSE JESUS</t>
  </si>
  <si>
    <t>RIVERA VIRGINIA DEL CARMEN</t>
  </si>
  <si>
    <t>TORRES VILLARREAL LISBETH</t>
  </si>
  <si>
    <t>CHINCHILLA PEREZ JEAN CARLOS</t>
  </si>
  <si>
    <t>RIVAS CARLOS LUIS</t>
  </si>
  <si>
    <t>TORRES VILLARREAL YENNY DEL C.</t>
  </si>
  <si>
    <t>BRICEÑO SALAS JOSE LEONARDO</t>
  </si>
  <si>
    <t>BRICEÑO GONZALEZ MIRLA CAROLINA</t>
  </si>
  <si>
    <t>BRICEÑO ALDANA YHON MARIO</t>
  </si>
  <si>
    <t>FRIAS ALDANA GIOVANNY JACINTO</t>
  </si>
  <si>
    <t xml:space="preserve">DORIS CARRIZO BLANCO </t>
  </si>
  <si>
    <t>FRIAS ALDANA YHONNY RAMON</t>
  </si>
  <si>
    <t>PEREZ MONTILLA WILLIAM JOSE</t>
  </si>
  <si>
    <t>Gutierrez Betania Belsaye</t>
  </si>
  <si>
    <t>AYUD. SERV. GENERALES</t>
  </si>
  <si>
    <t>ASEADORA</t>
  </si>
  <si>
    <t>COCINERA</t>
  </si>
  <si>
    <t>Ayud. Serv. Generales</t>
  </si>
  <si>
    <t>cocinero</t>
  </si>
  <si>
    <t>Olmos Rangel Albert</t>
  </si>
  <si>
    <t>Santiago Andara Nathalia Nicol</t>
  </si>
  <si>
    <t>Perez Azuaje Valeria Alexandra</t>
  </si>
  <si>
    <t>Perez Azuaje Lismar Paola</t>
  </si>
  <si>
    <t>Castellanos Landiñez Nathalia Carolina</t>
  </si>
  <si>
    <t>TOTAL OBREROS</t>
  </si>
  <si>
    <t>Castellano Rivera Maria Antonina</t>
  </si>
  <si>
    <t>01020373290000101381</t>
  </si>
  <si>
    <t>Instructor De Formacion Empresarial</t>
  </si>
  <si>
    <t>Mendoza Mendoza Kelasky Kixuy</t>
  </si>
  <si>
    <t>01020373210000632229</t>
  </si>
  <si>
    <t>01020494170000556541</t>
  </si>
  <si>
    <t>Ramirez Torres Darwin Jose</t>
  </si>
  <si>
    <t>01020494170000536998</t>
  </si>
  <si>
    <t>Instructor De Formacion Emp.</t>
  </si>
  <si>
    <t>TOTAL COMISION DE SERVICIO</t>
  </si>
  <si>
    <t>TOTAL ALTO NIVEL</t>
  </si>
  <si>
    <t>Soto Lopez Rafael Maria</t>
  </si>
  <si>
    <t>TOTAL GENERAL</t>
  </si>
  <si>
    <t>Suspendia</t>
  </si>
  <si>
    <t>Suspendida</t>
  </si>
  <si>
    <t>No trajo papeles</t>
  </si>
  <si>
    <t>Suspendido</t>
  </si>
  <si>
    <t>01020369420000056300</t>
  </si>
  <si>
    <t>Soto Nuñez Gabriela Yamali</t>
  </si>
  <si>
    <t>Cruz Castellano Mathias Alejandro</t>
  </si>
  <si>
    <t>Mendoza Mendoza Thiago Alessandro</t>
  </si>
  <si>
    <t>Mendoza Osuna Zaida Liseth</t>
  </si>
  <si>
    <t>BONO ENERGENCIA</t>
  </si>
  <si>
    <t>SUELDO</t>
  </si>
  <si>
    <t>SE LE DESCUENTAN LOS SIGUIENTES CONCEPTOS A:</t>
  </si>
  <si>
    <t>OBR</t>
  </si>
  <si>
    <t>EMP</t>
  </si>
  <si>
    <t>CS</t>
  </si>
  <si>
    <t>Torres Santiago Eduardo David</t>
  </si>
  <si>
    <t>Gil Molina Maite Karina</t>
  </si>
  <si>
    <t>01020373240001215603</t>
  </si>
  <si>
    <t>Gil Molina Marciel Anyeline</t>
  </si>
  <si>
    <t>(Oct 2023)</t>
  </si>
  <si>
    <t>01020494160000442435</t>
  </si>
  <si>
    <t>01020373290000703200</t>
  </si>
  <si>
    <t>01020494130000428271</t>
  </si>
  <si>
    <t>DIAS DE VACACIONES</t>
  </si>
  <si>
    <t>DIAS DE AGUINALDOS</t>
  </si>
  <si>
    <t>ALICUOTA VACAC</t>
  </si>
  <si>
    <t>ALICUOTA AGUINALD</t>
  </si>
  <si>
    <t>CALCULO DE AGUINALDOS</t>
  </si>
  <si>
    <t>CALCULO TOTAL DE AGUINALDOS</t>
  </si>
  <si>
    <t>NO</t>
  </si>
  <si>
    <t>SI</t>
  </si>
  <si>
    <t>REPÚBLICA BOLIVARIANA DE VENEZUELA</t>
  </si>
  <si>
    <t>GOBIERNO BOLIVARIANO DEL ESTADO TRUJILLO</t>
  </si>
  <si>
    <t xml:space="preserve">SERVICIO ADMINISTRATIVO DE PROTECCIÓN DEL NIÑO, </t>
  </si>
  <si>
    <t>NIÑA Y ADOLESCENTE</t>
  </si>
  <si>
    <t>DIRECCIÓN DE TALENTO HUMANO</t>
  </si>
  <si>
    <t>Aportes Patronales (F.A.O.V.)</t>
  </si>
  <si>
    <t>Cedula</t>
  </si>
  <si>
    <t>Nombres y Apellidos</t>
  </si>
  <si>
    <t>Cargo</t>
  </si>
  <si>
    <t>Fecha Ingreso</t>
  </si>
  <si>
    <t>F.A.O.V.</t>
  </si>
  <si>
    <t>ALTO NIVEL Y DIRECCION</t>
  </si>
  <si>
    <t>SUB TOTAL ALTO NIVEL</t>
  </si>
  <si>
    <t>Revisado por:</t>
  </si>
  <si>
    <t>Aprobado por:</t>
  </si>
  <si>
    <t>Abg.Lucy M. Montilla Macias</t>
  </si>
  <si>
    <t>My. Maria de los Angeles Almazan</t>
  </si>
  <si>
    <t>Jefe(E) Dirección Talento Humano</t>
  </si>
  <si>
    <t xml:space="preserve">Directora General </t>
  </si>
  <si>
    <t>SUB-TOTAL EMPLEADOS FIJOS</t>
  </si>
  <si>
    <t>SUB-TOTAL OBREROS FIJOS</t>
  </si>
  <si>
    <t>Total GENERAL</t>
  </si>
  <si>
    <t>SAPNNAET</t>
  </si>
  <si>
    <t>Aportes Patronales (S.S.O. - S.P.F.)</t>
  </si>
  <si>
    <t>S.P.F.</t>
  </si>
  <si>
    <t>Cap. Maria de los Angeles Almazan</t>
  </si>
  <si>
    <t>Aportes del Trabajador (F.A.O.V.)</t>
  </si>
  <si>
    <t>Aportes del Trabajador (S.S.O. - S.P.F.)</t>
  </si>
  <si>
    <t>DIAS FERIADOS NO LABORADOS</t>
  </si>
  <si>
    <t>TXT BECAS</t>
  </si>
  <si>
    <t>TXT BECAS + CONTRIBUCION POR DISCAPACIDAD</t>
  </si>
  <si>
    <t>ELABORADO POR:</t>
  </si>
  <si>
    <t>REVISADO POR:</t>
  </si>
  <si>
    <t>APROBADO POR:</t>
  </si>
  <si>
    <t>Abog. Lucy M. Montilla Macias</t>
  </si>
  <si>
    <t>My. Maria Almazan B.</t>
  </si>
  <si>
    <t>C.I. N° 15.827.671</t>
  </si>
  <si>
    <t>C.I. Nº 19.591.141</t>
  </si>
  <si>
    <t>Jefe (E) Dirección Talento Humano</t>
  </si>
  <si>
    <t>Directora General</t>
  </si>
  <si>
    <t>SUELDO BASE QUINCENAL</t>
  </si>
  <si>
    <t>PRIMA ANTIGÜEDAD QUINCENAL</t>
  </si>
  <si>
    <t>PRIMA TRANSPORTE QUINCENAL</t>
  </si>
  <si>
    <t>PRIMAS POR PROFESIONA-LIZACION QUINCENAL</t>
  </si>
  <si>
    <t>SUB TOTAL COMISION DE SERVICIO</t>
  </si>
  <si>
    <t>My. Maria de los A. Almazan B.</t>
  </si>
  <si>
    <t>PRIMAS POR PROFESIONALIZACION QUINCENAL</t>
  </si>
  <si>
    <t>NOMINA</t>
  </si>
  <si>
    <t>MAQUETA</t>
  </si>
  <si>
    <t>TÉCNICO SUPERIOR UNIVERSITARIO</t>
  </si>
  <si>
    <t>PROFESIONAL</t>
  </si>
  <si>
    <t>MAGISTER</t>
  </si>
  <si>
    <t>DOCTORADO</t>
  </si>
  <si>
    <t xml:space="preserve">P3III    (9-11 AÑOS)    </t>
  </si>
  <si>
    <t>P3IV    (12-14 AÑOS)</t>
  </si>
  <si>
    <t>PI</t>
  </si>
  <si>
    <t>BI</t>
  </si>
  <si>
    <t>BI - II</t>
  </si>
  <si>
    <t>BI - III</t>
  </si>
  <si>
    <t>BI - IV</t>
  </si>
  <si>
    <t>BI - V</t>
  </si>
  <si>
    <t>BI - VI</t>
  </si>
  <si>
    <t>BI - VII</t>
  </si>
  <si>
    <t>BII</t>
  </si>
  <si>
    <t>BII - II</t>
  </si>
  <si>
    <t>BII - III</t>
  </si>
  <si>
    <t>BII - IV</t>
  </si>
  <si>
    <t>BII - V</t>
  </si>
  <si>
    <t>BII - VI</t>
  </si>
  <si>
    <t>BII - VII</t>
  </si>
  <si>
    <t>BIII</t>
  </si>
  <si>
    <t>BIII - II</t>
  </si>
  <si>
    <t>BIII - III</t>
  </si>
  <si>
    <t>BIII - IV</t>
  </si>
  <si>
    <t>BIII - V</t>
  </si>
  <si>
    <t>BIII - VI</t>
  </si>
  <si>
    <t>BIII - VII</t>
  </si>
  <si>
    <t>TI</t>
  </si>
  <si>
    <t>TI - II</t>
  </si>
  <si>
    <t>TI - III</t>
  </si>
  <si>
    <t>TI - IV</t>
  </si>
  <si>
    <t>TI - V</t>
  </si>
  <si>
    <t>TI - VI</t>
  </si>
  <si>
    <t>TI - VII</t>
  </si>
  <si>
    <t>TII</t>
  </si>
  <si>
    <t>TII - II</t>
  </si>
  <si>
    <t>TII - III</t>
  </si>
  <si>
    <t>TII - IV</t>
  </si>
  <si>
    <t>TII - V</t>
  </si>
  <si>
    <t>TII - VI</t>
  </si>
  <si>
    <t>TII - VII</t>
  </si>
  <si>
    <t>PI - II</t>
  </si>
  <si>
    <t>PI - III</t>
  </si>
  <si>
    <t>PI - IV</t>
  </si>
  <si>
    <t>PI - V</t>
  </si>
  <si>
    <t>PI - VI</t>
  </si>
  <si>
    <t>PI - VII</t>
  </si>
  <si>
    <t>PII - II</t>
  </si>
  <si>
    <t>PII - III</t>
  </si>
  <si>
    <t>PII - IV</t>
  </si>
  <si>
    <t>PII - V</t>
  </si>
  <si>
    <t>PII - VI</t>
  </si>
  <si>
    <t>PII - VII</t>
  </si>
  <si>
    <t>PIII - II</t>
  </si>
  <si>
    <t>PIII - III</t>
  </si>
  <si>
    <t>PIII - IV</t>
  </si>
  <si>
    <t>PIII - V</t>
  </si>
  <si>
    <t>PIII - VI</t>
  </si>
  <si>
    <t>PIII - VII</t>
  </si>
  <si>
    <t>GRADO (2) - MÁX</t>
  </si>
  <si>
    <t>GRADO (3) - MÁX</t>
  </si>
  <si>
    <t>GRADO (4) - MÁX</t>
  </si>
  <si>
    <t>GRADO (5) - MÁX</t>
  </si>
  <si>
    <t>GRADO (6) - MÁX</t>
  </si>
  <si>
    <t>GRADO (7) - MÁX</t>
  </si>
  <si>
    <t>GRADO (8) - MÁX</t>
  </si>
  <si>
    <t>GRADO (9) - MÁX</t>
  </si>
  <si>
    <t>GRADO (10) - MÁX</t>
  </si>
  <si>
    <t>JEFE DE DIVISIÓN</t>
  </si>
  <si>
    <t>COORDINADOR DE ÁREA</t>
  </si>
  <si>
    <t>GRADO
MAQUETA</t>
  </si>
  <si>
    <t>GRADO (1) - MIN</t>
  </si>
  <si>
    <t>BONO NOCTURNO
MAQUETA</t>
  </si>
  <si>
    <t>SSO</t>
  </si>
  <si>
    <t>PF</t>
  </si>
  <si>
    <t>FAOV</t>
  </si>
  <si>
    <t>AN</t>
  </si>
  <si>
    <t>SEXO
MAQUETA</t>
  </si>
  <si>
    <t>HIJOS DE 0 A 12</t>
  </si>
  <si>
    <t>Leon Artigas Jeancarli Carolina</t>
  </si>
  <si>
    <t>Leon Artigas Katherine Carolina</t>
  </si>
  <si>
    <t>MONTO A SOLICITAR      
(4 MES DE AGUINALDOS)</t>
  </si>
  <si>
    <t>Manzanilla Rincon Ema Lucia</t>
  </si>
  <si>
    <t>PRIMA ANTIG. QUINCENAL</t>
  </si>
  <si>
    <t>PRIMA TRANSP. QUINCENAL</t>
  </si>
  <si>
    <t>PRIMA ANTIGÜEDAD
1a QNA</t>
  </si>
  <si>
    <t>PRIMA ANTIGÜEDAD
2a QNA</t>
  </si>
  <si>
    <t>PRIMA TRANSPORTE
1a QNA</t>
  </si>
  <si>
    <t>PRIMA TRANSPORTE
2a QNA</t>
  </si>
  <si>
    <t>PRIMAS POR PROFESIONALIZACION
2a QNA</t>
  </si>
  <si>
    <t>PRIMAS POR PROFESIONALIZACION
1a QNA</t>
  </si>
  <si>
    <t>Jefe (E) de la Direccion de Planificacion y Programas / Administrador Jefe</t>
  </si>
  <si>
    <t>Jefe (E) de la Oficina Consultoria Juridica / Abogado Jefe</t>
  </si>
  <si>
    <t>Jefe (E) de la Division de Compras y Suministros / Administrador IV</t>
  </si>
  <si>
    <t>Jefe (E) de la Division de Servicios Generales / Asistente Administrativo III</t>
  </si>
  <si>
    <t>Coordinador (e) de Programa / Administrador Jefe</t>
  </si>
  <si>
    <t>Coordinador (e) de Programa / Guia de Centro II</t>
  </si>
  <si>
    <t>Coordinador (e) de Centro / Jefe de Centro</t>
  </si>
  <si>
    <t>Coordinador (e) de Centro / Guia de Centro II</t>
  </si>
  <si>
    <t>Coordinador (e) de Centro / Asistente Administrativo III</t>
  </si>
  <si>
    <t>Coordinador (e) de Centro / Analista de Presupuesto IV</t>
  </si>
  <si>
    <t>Recreador</t>
  </si>
  <si>
    <t>VACANTE RAC 2023</t>
  </si>
  <si>
    <t>VACANTE RAC 2024</t>
  </si>
  <si>
    <t>Secretario I</t>
  </si>
  <si>
    <t>Nutricionista I</t>
  </si>
  <si>
    <t>Hernandez Villarreal Jonas Jahir</t>
  </si>
  <si>
    <t>Rivera Hermes Edixon</t>
  </si>
  <si>
    <t>Rivera Vasquez Edixon Alexander</t>
  </si>
  <si>
    <t>Linares Prato Yraima Gregoria</t>
  </si>
  <si>
    <t>01020494190100024136</t>
  </si>
  <si>
    <t>Ruiz Olmos Diana Carolina</t>
  </si>
  <si>
    <t>01020494110000293626</t>
  </si>
  <si>
    <t>Godoy Padilla Darcy Yaneth</t>
  </si>
  <si>
    <t>Viloria Ramirez Gerardo Rafel</t>
  </si>
  <si>
    <t>Sarache Ramirez Maryelis Stefani</t>
  </si>
  <si>
    <t>TOTAL ALTO NIVEL Y DIRECCION</t>
  </si>
  <si>
    <t>AÑOS DE SERVICIOS RECONO-CIDOS</t>
  </si>
  <si>
    <t>01020373250000457705</t>
  </si>
  <si>
    <t>Vielma Viloria Dublasca del Valle</t>
  </si>
  <si>
    <t>01020494110100024997</t>
  </si>
  <si>
    <t>Meza Godoy Dairana Pierina</t>
  </si>
  <si>
    <t>Meza Godoy Ainara Guadalupe</t>
  </si>
  <si>
    <t>01020373280000417596</t>
  </si>
  <si>
    <t>Araujo Sarache Mairelys de los Angeles</t>
  </si>
  <si>
    <t>Araujo Sarache Mairet Sofia</t>
  </si>
  <si>
    <t>Olmos Aguana Abraham de Jesus</t>
  </si>
  <si>
    <t>VACANTE ALTO NIVEL</t>
  </si>
  <si>
    <t>ENCARGADOS EMPLEADOS</t>
  </si>
  <si>
    <t>VACANTES OBREROS</t>
  </si>
  <si>
    <t>NOTA: El ciudadano MORENO SILVA ALFREDY JOSE C.I. 24.565.372 se encuentra en Comisión de Servicio no remunerada en otro organismo</t>
  </si>
  <si>
    <t>TOTAL PERSONAL EN COMISION DE SERVICIO</t>
  </si>
  <si>
    <t>VACANTE 2023</t>
  </si>
  <si>
    <t>Godoy Mecias Isaias Ederson Javier</t>
  </si>
  <si>
    <t>Godoy Mecias Moises David</t>
  </si>
  <si>
    <t>Godoy Mecias Maria Elena Alejandra</t>
  </si>
  <si>
    <t>Tijera Vielma Aby Nazareth</t>
  </si>
  <si>
    <t>Rangel Carrizo Ildemaro Jose</t>
  </si>
  <si>
    <t>Araujo Castellanos Luis A</t>
  </si>
  <si>
    <t>Araujo Castellanos Carlos A.</t>
  </si>
  <si>
    <t>Ruiz Diaz Jesus Alberto</t>
  </si>
  <si>
    <t>Velazquez Campos Anyimar Victoria</t>
  </si>
  <si>
    <t>Rodriguez Cruz Daniel</t>
  </si>
  <si>
    <t>Barrios Olivar Andrea</t>
  </si>
  <si>
    <t>Ramirez Leal Gustavo</t>
  </si>
  <si>
    <t>Rendon Paredes Abraham</t>
  </si>
  <si>
    <t>Godoy Tronconis Juan David</t>
  </si>
  <si>
    <t>Araujo Linares Roibert</t>
  </si>
  <si>
    <t>Gallardo Linares Dyland</t>
  </si>
  <si>
    <t>Andrade Moreno Jeancarlos</t>
  </si>
  <si>
    <t>Andrade Moreno Carlos Daniel</t>
  </si>
  <si>
    <t>Davila Montilla Nicol</t>
  </si>
  <si>
    <t>Davila Montilla Michell</t>
  </si>
  <si>
    <t>Davila Montilla Eva</t>
  </si>
  <si>
    <t>Araujo Moreno Neil Samuel</t>
  </si>
  <si>
    <t>Barreto Rivero Karla</t>
  </si>
  <si>
    <t>Barreto Rivero Jesus Lionel</t>
  </si>
  <si>
    <t>Carrillo Angel A.</t>
  </si>
  <si>
    <t>Carrillo Angelo A.</t>
  </si>
  <si>
    <t>Arellano Carrillo Alan</t>
  </si>
  <si>
    <t>Barreto Rivero Jose Luis</t>
  </si>
  <si>
    <t>Sulbaran Peña Mateo</t>
  </si>
  <si>
    <t>Colina Peña Luis Carlos</t>
  </si>
  <si>
    <t>Ortegano Materan Vivian V.</t>
  </si>
  <si>
    <t>Ortegano Materan Marco A.</t>
  </si>
  <si>
    <t>Angulo Materan Noha Valeria</t>
  </si>
  <si>
    <t>Linares Materan Leonel A.</t>
  </si>
  <si>
    <t>Arraiz Aponte Andrimar</t>
  </si>
  <si>
    <t>Uzcategui Briceño Yaimireth Andreina</t>
  </si>
  <si>
    <t>Uzcategui Briceño Jose Andres</t>
  </si>
  <si>
    <t>Uzcategui Briceño Felixmar</t>
  </si>
  <si>
    <t>Mora Torres Carla Valentina</t>
  </si>
  <si>
    <t>Mora Torres Carlos</t>
  </si>
  <si>
    <t>Hoyo Nuñez Sebastian</t>
  </si>
  <si>
    <t>Hoyo Nuñez Elierth</t>
  </si>
  <si>
    <t>Valero Godoy Jorge</t>
  </si>
  <si>
    <t>Quintero Marriaga Sebastian</t>
  </si>
  <si>
    <t>Quintero Marriaga Sherezade</t>
  </si>
  <si>
    <t>Quintero Marriaga Mia</t>
  </si>
  <si>
    <t>Perez Briceño Sabrina</t>
  </si>
  <si>
    <t>Perez Briceño Camila</t>
  </si>
  <si>
    <t>Plaza Quintero Miguel Angel</t>
  </si>
  <si>
    <t>Lamus Plaza Santiago</t>
  </si>
  <si>
    <t>Azyza Akyra Contreras Valero</t>
  </si>
  <si>
    <t>Mendoza Leal Mariana</t>
  </si>
  <si>
    <t>Cañizalez Leal Franchesco</t>
  </si>
  <si>
    <t>Santos Hernandez Greiner</t>
  </si>
  <si>
    <t>Mejia Uzcategui Derick</t>
  </si>
  <si>
    <t>Mejia Uzcategui Rossibet</t>
  </si>
  <si>
    <t>Carpio Suarez Isabella</t>
  </si>
  <si>
    <t>Briceño Mendez Santiago</t>
  </si>
  <si>
    <t>Mendez Giro Dylan Alejandro</t>
  </si>
  <si>
    <t>Vielma Viloria Mateo</t>
  </si>
  <si>
    <t>Polanco Balza Abrahan A.</t>
  </si>
  <si>
    <t>Polanco Balza Gabriel A</t>
  </si>
  <si>
    <t>Polanco Balza Emperatriz</t>
  </si>
  <si>
    <t>Balza Vetencourt Santiago</t>
  </si>
  <si>
    <t>Delgado Cabezas Rodrigo D.</t>
  </si>
  <si>
    <t>Rivas Ramirez Moises D.</t>
  </si>
  <si>
    <t>Briceño Moreno Lorismar Andreina</t>
  </si>
  <si>
    <t>Graterol Mendoza Jesus Andres</t>
  </si>
  <si>
    <t>Gutierrez Rivas Kerlin De Los Angeles</t>
  </si>
  <si>
    <t>Briceño Araujo Jhonangel</t>
  </si>
  <si>
    <t>Perez Rodriguez Ashly Sophia</t>
  </si>
  <si>
    <t>Perez Rodriguez Mariangel Patricia</t>
  </si>
  <si>
    <t>Carrizo Dorismar Katiuska</t>
  </si>
  <si>
    <t>Carrizo Emili Daniela</t>
  </si>
  <si>
    <t>Arroyo Contreras Jose Abraham</t>
  </si>
  <si>
    <t>Hernandez Rivera Elisbeth Del C.</t>
  </si>
  <si>
    <t>Segovia Umbria Cesar Luis</t>
  </si>
  <si>
    <t>Chinchilla Ana Maria</t>
  </si>
  <si>
    <t>Frias Sanchez Yulianny Yoximar</t>
  </si>
  <si>
    <t>Briceños Ramos Sebastian Leonardo</t>
  </si>
  <si>
    <t>Briceño Ramos Leoverlis Alejandra</t>
  </si>
  <si>
    <t>Briceño Ramos Kamila V.</t>
  </si>
  <si>
    <t>Fontana Briceño Luis Fernando</t>
  </si>
  <si>
    <t>Briceño Gonzalez Camila Valentina</t>
  </si>
  <si>
    <t>Linares Espnoza Jhoelvis Alexander</t>
  </si>
  <si>
    <t>Linares Espinoza Diosangely Germaric</t>
  </si>
  <si>
    <t>Linares Espinoza Diosmari Geraldine</t>
  </si>
  <si>
    <t xml:space="preserve">Mejia Ramirez Nicolle S. </t>
  </si>
  <si>
    <t>Mejia Ramirez Brayan Jose</t>
  </si>
  <si>
    <t>Mejia Ramirez Natalia Valentina</t>
  </si>
  <si>
    <t>Perez Montilla Adismar Yulibeth</t>
  </si>
  <si>
    <t>Perez Montilla Anyimar Yulibeth</t>
  </si>
  <si>
    <t>Briceño Montilla Alexandra Nicol</t>
  </si>
  <si>
    <t>Delgado Torres Jeikol Daniel</t>
  </si>
  <si>
    <t>Delgado Torres Dariannys V.</t>
  </si>
  <si>
    <t>Bastidas Villarreal Yalimar</t>
  </si>
  <si>
    <t>Bastidas Villarreal Franklin E.</t>
  </si>
  <si>
    <t>Ramirez Moreno Yahirianny</t>
  </si>
  <si>
    <t>Ramirez Moreno Maria Jose</t>
  </si>
  <si>
    <t>Ramirez Moreno Valeria</t>
  </si>
  <si>
    <t>Frias Yanelis Valentina</t>
  </si>
  <si>
    <t>Quintero Gonzalez Fernando Alonso</t>
  </si>
  <si>
    <t>Quintero Gonzalez Freiliana Alexandra</t>
  </si>
  <si>
    <t>Quintero Gonzalez Fiorela Katiuzca</t>
  </si>
  <si>
    <t>Quintero Gonzalez Maria Fernanda</t>
  </si>
  <si>
    <t>Quitero Gonzalez Fabian Andres</t>
  </si>
  <si>
    <t>Olmos Rangel Alberlis Daniela</t>
  </si>
  <si>
    <t>Bracamonte Torres Andrea Carolina</t>
  </si>
  <si>
    <t>Bracamonte Torres Eylimar Valeria</t>
  </si>
  <si>
    <t>Azuaje Perez Eileen Nicole</t>
  </si>
  <si>
    <t>Davila Materan Stheban</t>
  </si>
  <si>
    <t>Davila Materan Kihara Anthonella</t>
  </si>
  <si>
    <t>Isarra Salas Johangerly Diosymar</t>
  </si>
  <si>
    <t>Isarra Salas Christian Jose</t>
  </si>
  <si>
    <t>Isarra Barreto Jhosue Sebastian</t>
  </si>
  <si>
    <t>Isarra Salas Joselys Chrismar</t>
  </si>
  <si>
    <t>Isarra Ruiz Sofia Valentina</t>
  </si>
  <si>
    <t>Araujo Rivero Ninoska del Valle</t>
  </si>
  <si>
    <t>Araujo Rivero Oscarli Valentina</t>
  </si>
  <si>
    <t>Araujo Rivero Vairon Jose</t>
  </si>
  <si>
    <t>Frias Gonzalez Yanethlis Valentina</t>
  </si>
  <si>
    <t>Gutierrez Gutierrez Cristofer Alexander</t>
  </si>
  <si>
    <t>Gutierrez Gutierrez Analeticia</t>
  </si>
  <si>
    <t>Gonzalez Gutierrez Samantha Samadhi</t>
  </si>
  <si>
    <t>Cordova Rivero Gissel Sofia</t>
  </si>
  <si>
    <t>Coord. del Programa Socio educativo</t>
  </si>
  <si>
    <t xml:space="preserve">Casa Hogar Adolescentes Hembras/ Barbarita de la Torre  </t>
  </si>
  <si>
    <t>Segovia Segovia Freylu Margarita</t>
  </si>
  <si>
    <t xml:space="preserve">Casa Hogar Adolescentes Hembras/ Barbarita de la Torre </t>
  </si>
  <si>
    <t>01020747920100003901</t>
  </si>
  <si>
    <t>Mendez Segovia Emiliano David</t>
  </si>
  <si>
    <t>Lcda. Darcy Godoy</t>
  </si>
  <si>
    <t>C.I. N° 17.391.892</t>
  </si>
  <si>
    <t>N° Contacto</t>
  </si>
  <si>
    <t>Municipio</t>
  </si>
  <si>
    <t>Parroquia</t>
  </si>
  <si>
    <t>Centro Electoral</t>
  </si>
  <si>
    <t>0426-5704242</t>
  </si>
  <si>
    <t>TRUJILLO</t>
  </si>
  <si>
    <t>CRUZ CARRILLO</t>
  </si>
  <si>
    <t>ESCUELA BOLIVARIANA PADRE RASQUIN</t>
  </si>
  <si>
    <t>0414-7551703</t>
  </si>
  <si>
    <t>Motatan</t>
  </si>
  <si>
    <t>Jalisco</t>
  </si>
  <si>
    <t>Simoncito Brisas de Jalisco</t>
  </si>
  <si>
    <t>0414-7104651</t>
  </si>
  <si>
    <t xml:space="preserve">Valera </t>
  </si>
  <si>
    <t>La Beatriz</t>
  </si>
  <si>
    <t>MOTATAN</t>
  </si>
  <si>
    <t>0416/9722440</t>
  </si>
  <si>
    <t>VALERA</t>
  </si>
  <si>
    <t>0414-9782796</t>
  </si>
  <si>
    <t>RAFAEL RANGEL</t>
  </si>
  <si>
    <t>BETIJOQUE</t>
  </si>
  <si>
    <t>0412-0604206</t>
  </si>
  <si>
    <t>EL BAÑO</t>
  </si>
  <si>
    <t>0416-4421736</t>
  </si>
  <si>
    <t>PAMPANITO</t>
  </si>
  <si>
    <t xml:space="preserve">PAMPANITO </t>
  </si>
  <si>
    <t>COLEGIO SANTIAGO SÁNCHEZ</t>
  </si>
  <si>
    <t>0424-7825771</t>
  </si>
  <si>
    <t>0412-4094803</t>
  </si>
  <si>
    <t>SAN LUIS</t>
  </si>
  <si>
    <t>0424-7573558</t>
  </si>
  <si>
    <t>0414-6604149</t>
  </si>
  <si>
    <t>Valera</t>
  </si>
  <si>
    <t>0412-7924833</t>
  </si>
  <si>
    <t>LICEO HILARIO PIZANI ANSELMI</t>
  </si>
  <si>
    <t xml:space="preserve">ESCUQUE </t>
  </si>
  <si>
    <t>LA UNION</t>
  </si>
  <si>
    <t>0424-7142947</t>
  </si>
  <si>
    <t>Rafael Rangel</t>
  </si>
  <si>
    <t>0412-1435240</t>
  </si>
  <si>
    <t xml:space="preserve">VALERA </t>
  </si>
  <si>
    <t xml:space="preserve">LA BEATRIZ </t>
  </si>
  <si>
    <t xml:space="preserve">JARDIN DE INFANCIA NUESTRA SEÑORA DE LA CANDELARIA </t>
  </si>
  <si>
    <t>0416-9762369</t>
  </si>
  <si>
    <t>MERCEDES DIAZ</t>
  </si>
  <si>
    <t>0426-2467147</t>
  </si>
  <si>
    <t>0414-7447075</t>
  </si>
  <si>
    <t xml:space="preserve">San Rafael de Carvajal </t>
  </si>
  <si>
    <t>Antonio Nicolas Briceño</t>
  </si>
  <si>
    <t>0416-7633764</t>
  </si>
  <si>
    <t>Pampanito</t>
  </si>
  <si>
    <t>0424-7101644</t>
  </si>
  <si>
    <t>0424-7544053</t>
  </si>
  <si>
    <t>LA BEATRIZ</t>
  </si>
  <si>
    <t>JARDIN DE INFANCIA NUESTRA SEÑORA DE LA CANDELARIA</t>
  </si>
  <si>
    <t>0416-7706677</t>
  </si>
  <si>
    <t>PAMPAN</t>
  </si>
  <si>
    <t>ESCUELA BOLIVARIANA FRANCISCO DE SALES PÉREZ</t>
  </si>
  <si>
    <t>0414-1747087</t>
  </si>
  <si>
    <t xml:space="preserve">MERCEDES DIAS </t>
  </si>
  <si>
    <t>0416-7721843</t>
  </si>
  <si>
    <t xml:space="preserve">Bocono </t>
  </si>
  <si>
    <t>Bocono</t>
  </si>
  <si>
    <t>U.E Doctor Leonardo Ruiz Pineda</t>
  </si>
  <si>
    <t>0426-278100</t>
  </si>
  <si>
    <t>0426-7721544</t>
  </si>
  <si>
    <t>0412-0630235</t>
  </si>
  <si>
    <t>El Carmen</t>
  </si>
  <si>
    <t>0426-6707314</t>
  </si>
  <si>
    <t>San Luis</t>
  </si>
  <si>
    <t>0412-1043192</t>
  </si>
  <si>
    <t>0424-7083007</t>
  </si>
  <si>
    <t>0416-0973336</t>
  </si>
  <si>
    <t>0416-5277534</t>
  </si>
  <si>
    <t>JUAN IGNACIO MONTILLA</t>
  </si>
  <si>
    <t>UNIDAD EDUCATIVA EL CUMBE</t>
  </si>
  <si>
    <t>0416-7777883</t>
  </si>
  <si>
    <t>CARVAJAL</t>
  </si>
  <si>
    <t>CAMPO ALEGRE</t>
  </si>
  <si>
    <t>0424-7227046</t>
  </si>
  <si>
    <t>JOSE LEONARDO SUAREZ</t>
  </si>
  <si>
    <t>SAN RAFAEL CARVAJAL</t>
  </si>
  <si>
    <t>ANTONIO N BRICEÑO</t>
  </si>
  <si>
    <t>ESCUELA INTEGRAL BOLIVARIANA JULIO SÁNCHEZ VIVAS</t>
  </si>
  <si>
    <t>0416-3740837</t>
  </si>
  <si>
    <t>UNIDAD EDUCATIVA DR. JOSE GREGORIO HERNANDEZ</t>
  </si>
  <si>
    <t>0424-7067915</t>
  </si>
  <si>
    <t>0424-7004935</t>
  </si>
  <si>
    <t xml:space="preserve">JUAN IGNACIO MONTILLA </t>
  </si>
  <si>
    <t>0424-7266973</t>
  </si>
  <si>
    <t>SANTA RITA</t>
  </si>
  <si>
    <t>0424-7581844</t>
  </si>
  <si>
    <t>ESCUELA BOLIVARIANA LA LLANADA</t>
  </si>
  <si>
    <t>0412-0496562</t>
  </si>
  <si>
    <t>UNIDAD EDUCATIVA MONSEÑOR ARIAS BLANCO</t>
  </si>
  <si>
    <t>0426-9737646</t>
  </si>
  <si>
    <t xml:space="preserve">SAN RAFAEL DE CARVAJA </t>
  </si>
  <si>
    <t>ANTONIO NICOLAS BRICEÑO</t>
  </si>
  <si>
    <t>0414-7279732</t>
  </si>
  <si>
    <t>LA PUEBLITA</t>
  </si>
  <si>
    <t>LICEO EMIRO FUENMAYOR</t>
  </si>
  <si>
    <t>0424-7679732</t>
  </si>
  <si>
    <t>0426-7393666</t>
  </si>
  <si>
    <t>0424-7628375</t>
  </si>
  <si>
    <t xml:space="preserve">MERCEDES DIAZ </t>
  </si>
  <si>
    <t>UNIDAD EDUCATIVA RICARDO LABASTIDAS</t>
  </si>
  <si>
    <t>0424-7004243</t>
  </si>
  <si>
    <t xml:space="preserve">SANTA RITA </t>
  </si>
  <si>
    <t>0414-3716406</t>
  </si>
  <si>
    <t>0424-7454146</t>
  </si>
  <si>
    <t>UNIDAD EDUCATIVA BOLIVARIANA PRE-VOCACIONAL AGUA CLARA</t>
  </si>
  <si>
    <t>0414-7499962</t>
  </si>
  <si>
    <t xml:space="preserve">CAMPO ALEGRE </t>
  </si>
  <si>
    <t>0414-7307572</t>
  </si>
  <si>
    <t>0412-2136057</t>
  </si>
  <si>
    <t xml:space="preserve">SAN LUIS </t>
  </si>
  <si>
    <t>UNIVERSIDAD NACIONAL EXPERIMENTAL SIMÓN RODRIGUEZ</t>
  </si>
  <si>
    <t>0426-6973580</t>
  </si>
  <si>
    <t xml:space="preserve">PAMPAN </t>
  </si>
  <si>
    <t xml:space="preserve">FLOR DE PATRIA </t>
  </si>
  <si>
    <t>0426-1006349</t>
  </si>
  <si>
    <t xml:space="preserve">ESCUELA BOLIVARIANA ESPECIAL PAMPAN </t>
  </si>
  <si>
    <t>MERCEDEZ DIAZ</t>
  </si>
  <si>
    <t>0424 7012228</t>
  </si>
  <si>
    <t>0424 7052017</t>
  </si>
  <si>
    <t>0424-7264601</t>
  </si>
  <si>
    <t>Juan Ignacio Montilla</t>
  </si>
  <si>
    <t>FLOR DE PATRIA</t>
  </si>
  <si>
    <t>0414 9799031</t>
  </si>
  <si>
    <t>MENDOZA</t>
  </si>
  <si>
    <t>0414 0813287</t>
  </si>
  <si>
    <t xml:space="preserve">MATRIZ </t>
  </si>
  <si>
    <t>LICEO BOLIVARIANO  RAMON IGNACIO MENDEZ</t>
  </si>
  <si>
    <t>0424 7135203</t>
  </si>
  <si>
    <t>0414-7348796</t>
  </si>
  <si>
    <t>Carvajal</t>
  </si>
  <si>
    <t>Jose Leonardo Suarez</t>
  </si>
  <si>
    <t>ESCUQUE</t>
  </si>
  <si>
    <t>SABANA LIBRE</t>
  </si>
  <si>
    <t>Mercedes Diaz</t>
  </si>
  <si>
    <t>ESCUELA NACIONAL BOLIVARIANA CAJA DE AGUA</t>
  </si>
  <si>
    <t>0426-3631927</t>
  </si>
  <si>
    <t>0412-7609567</t>
  </si>
  <si>
    <t>LICEO HILARIO PISANI ALSEMI</t>
  </si>
  <si>
    <t>0416-6747489</t>
  </si>
  <si>
    <t xml:space="preserve">U.E. COLEGIO MADRE RAFOLS </t>
  </si>
  <si>
    <t>0424-7464205</t>
  </si>
  <si>
    <t>ESCUELA BOLIVARIANA MONSEÑOR LUCAS GUILLERMO CASTILLO</t>
  </si>
  <si>
    <t>0424-7074586</t>
  </si>
  <si>
    <t xml:space="preserve">LICEO BOLIAVARIANO RAFAEL BENITO PERDOMO </t>
  </si>
  <si>
    <t>0424-7361583</t>
  </si>
  <si>
    <t>0414-7002431</t>
  </si>
  <si>
    <t>0412-6554432</t>
  </si>
  <si>
    <t xml:space="preserve">ANTONIO NICOLAS BRICEÑO </t>
  </si>
  <si>
    <t>0414-7402090</t>
  </si>
  <si>
    <t>SAN RAFAEL DE CARVAJAL</t>
  </si>
  <si>
    <t>0424-7520590</t>
  </si>
  <si>
    <t>ESCUELA ROMULO GALLEGOS</t>
  </si>
  <si>
    <t>0414-7178328</t>
  </si>
  <si>
    <t>0424-7585663</t>
  </si>
  <si>
    <t>0424-7277351</t>
  </si>
  <si>
    <t>LICEO BOLIVARIANO JULIO SANCHEZ VIVAS</t>
  </si>
  <si>
    <t>0414-7008238</t>
  </si>
  <si>
    <t xml:space="preserve">LA CONCEPCIÓN </t>
  </si>
  <si>
    <t>0414-7343556</t>
  </si>
  <si>
    <t>0424-7355590</t>
  </si>
  <si>
    <t>LICEO CULTURAL BOLIVARIANO MONSEÑOR JOSÉ HUMBERTO CONTRERAS</t>
  </si>
  <si>
    <t>0416-9027201</t>
  </si>
  <si>
    <t>0424-7303257</t>
  </si>
  <si>
    <t xml:space="preserve">LICEO BOLIVARIANO RAFAEL QUEVEDO URBINA </t>
  </si>
  <si>
    <t>0424-7259805</t>
  </si>
  <si>
    <t>0424-7067958</t>
  </si>
  <si>
    <t xml:space="preserve">UNIDAD EDUCATIVA COLEGIO MADRE RAFOLS </t>
  </si>
  <si>
    <t>0412-2153445</t>
  </si>
  <si>
    <t>Juan I. Montilla</t>
  </si>
  <si>
    <t>0412-1136707</t>
  </si>
  <si>
    <t>La Betariz</t>
  </si>
  <si>
    <t>0426-3283848</t>
  </si>
  <si>
    <t>0424-7264403</t>
  </si>
  <si>
    <t>San Rafael de Carvajal</t>
  </si>
  <si>
    <t>0416-2777399</t>
  </si>
  <si>
    <t>0424-7254610</t>
  </si>
  <si>
    <t>Pampan</t>
  </si>
  <si>
    <t>Flor de Patria</t>
  </si>
  <si>
    <t>0412-3967175</t>
  </si>
  <si>
    <t>0412-0262966</t>
  </si>
  <si>
    <t>0424-7111063</t>
  </si>
  <si>
    <t>0414-7354637</t>
  </si>
  <si>
    <t>0416-9789426</t>
  </si>
  <si>
    <t>UNIDAD EDUCATIVA NUESTRA SEÑORA DE LA CANDELARIA</t>
  </si>
  <si>
    <t>0412-7504508</t>
  </si>
  <si>
    <t>0412-6937054</t>
  </si>
  <si>
    <t>0414-9637216</t>
  </si>
  <si>
    <t>LICEO IGNACIO CARRASQUERO</t>
  </si>
  <si>
    <t>0424-7177781</t>
  </si>
  <si>
    <t>0414-7364481</t>
  </si>
  <si>
    <t>0416-0976440</t>
  </si>
  <si>
    <t>URDANETA</t>
  </si>
  <si>
    <t>JAJO</t>
  </si>
  <si>
    <t>0424-7529634</t>
  </si>
  <si>
    <t>0426-9591671</t>
  </si>
  <si>
    <t>0424-7055244</t>
  </si>
  <si>
    <t>0412-0974688</t>
  </si>
  <si>
    <t>0424-7057295</t>
  </si>
  <si>
    <t>Mercedez Diaz</t>
  </si>
  <si>
    <t>0424-7742836</t>
  </si>
  <si>
    <t>0414-7171004</t>
  </si>
  <si>
    <t>Campo Alegre</t>
  </si>
  <si>
    <t>0424-7379514</t>
  </si>
  <si>
    <t>0426-3696188</t>
  </si>
  <si>
    <t>ESCUELA UNITARIA EL QUEBRADON</t>
  </si>
  <si>
    <t>0412-0608338</t>
  </si>
  <si>
    <t>0426-2759650</t>
  </si>
  <si>
    <t>0424-7261877</t>
  </si>
  <si>
    <t>0424-6223692</t>
  </si>
  <si>
    <t>UNIDAD EDUCATIVA RAFAEL QUEVEDO URBINA</t>
  </si>
  <si>
    <t>0414-0784698</t>
  </si>
  <si>
    <t>0424-9186198</t>
  </si>
  <si>
    <t>0426-5722714</t>
  </si>
  <si>
    <t>0426-2664489</t>
  </si>
  <si>
    <t>0412-1738152</t>
  </si>
  <si>
    <t>0416-7286054</t>
  </si>
  <si>
    <t>0414-7553890</t>
  </si>
  <si>
    <t>0424-7460153</t>
  </si>
  <si>
    <t>0416-5188414</t>
  </si>
  <si>
    <t>Mercedes Díaz</t>
  </si>
  <si>
    <t>0424-7546873</t>
  </si>
  <si>
    <t>Mendoza</t>
  </si>
  <si>
    <t>0414-7049993</t>
  </si>
  <si>
    <t>Liceo Bolivariano Ciudad de Valera</t>
  </si>
  <si>
    <t>0424-7226005</t>
  </si>
  <si>
    <t>0424-7489162</t>
  </si>
  <si>
    <t>0414-0821297</t>
  </si>
  <si>
    <t>JOSE G. HERNANDEZ</t>
  </si>
  <si>
    <t>ESCUELA BASICA LAS RURALES</t>
  </si>
  <si>
    <t>0424-7207247</t>
  </si>
  <si>
    <t>0414-3718957</t>
  </si>
  <si>
    <t>LIC EMIRO FUENMAYOR</t>
  </si>
  <si>
    <t>0416-7764668</t>
  </si>
  <si>
    <t>0414-0603252</t>
  </si>
  <si>
    <t>EL CEDRO</t>
  </si>
  <si>
    <t>UNIDAD EDUCATIVA FRANCISCA ARÉVALO</t>
  </si>
  <si>
    <t>ESCUELA BOLIVARIANA LA CANTARRANA</t>
  </si>
  <si>
    <t>CHIQUINQUIRA</t>
  </si>
  <si>
    <t>UNIDAD EDUCATIVA ROSARIO CARRILLO HEREDIA</t>
  </si>
  <si>
    <t>0426-7899488</t>
  </si>
  <si>
    <t>TRES ESQUINAS</t>
  </si>
  <si>
    <t>UNIDAD EDUCATIVA DOCTOR ANDRÉS LOMELLI ROSARIO</t>
  </si>
  <si>
    <t>0272-6781095</t>
  </si>
  <si>
    <t xml:space="preserve">PAMPÁN </t>
  </si>
  <si>
    <t>0414-7333253</t>
  </si>
  <si>
    <t>SOMINCITO LA MURALLA</t>
  </si>
  <si>
    <t>0416-4639295</t>
  </si>
  <si>
    <t>0414-7061142</t>
  </si>
  <si>
    <t>UNIDAD EDUCATIVA ELVIA MONTILLA DE SANTOS</t>
  </si>
  <si>
    <t>ESCUELA BOLIVARIANA DE EDUCACION ESPECIAL</t>
  </si>
  <si>
    <t>0426-8183627</t>
  </si>
  <si>
    <t>0424-7694677</t>
  </si>
  <si>
    <t>CENTRO RECREACIONAL Y DEPOTIVO PAMPÁN (PARQUE)</t>
  </si>
  <si>
    <t>0426-7791808</t>
  </si>
  <si>
    <t>0414-7458965</t>
  </si>
  <si>
    <t>0412-0789717</t>
  </si>
  <si>
    <t>MATRIZ</t>
  </si>
  <si>
    <t>ESCUELA BOLIVARIANA ROSARIO ALMARZA</t>
  </si>
  <si>
    <t>0414-9787210</t>
  </si>
  <si>
    <t>COLEGIO SANTO TOMÁS DE AQUINO
(SALESIANOS)</t>
  </si>
  <si>
    <t>CENTRO DE EDUCACIÓN INICIAL REINA BARRETO DE MOLINA</t>
  </si>
  <si>
    <t>0416-1048153</t>
  </si>
  <si>
    <t>0426-5629815</t>
  </si>
  <si>
    <t>ESCUELA BOLIVARIANA SAN RAFAEL</t>
  </si>
  <si>
    <t>0424-7770162</t>
  </si>
  <si>
    <t>0424-7502659</t>
  </si>
  <si>
    <t>ESCUELA RURAL EL QUEBRADON</t>
  </si>
  <si>
    <t>0424-5553862</t>
  </si>
  <si>
    <t>0426-4296943</t>
  </si>
  <si>
    <t>JALISCO</t>
  </si>
  <si>
    <t>UNIDAD EDUCATIVA PROFESOR SANTIAGO SANCHEZ</t>
  </si>
  <si>
    <t>0416-1839568</t>
  </si>
  <si>
    <t>0424-7671251</t>
  </si>
  <si>
    <t>LA CONCEPCION</t>
  </si>
  <si>
    <t>SEDE PRINCIPAL DE PROTECCIÓN CIVIL</t>
  </si>
  <si>
    <t>0424-7452626</t>
  </si>
  <si>
    <t>0424-7215888</t>
  </si>
  <si>
    <t>0272-2361968</t>
  </si>
  <si>
    <t>CRISTOBAL MENDOZA</t>
  </si>
  <si>
    <t>ESCUELA BOLIVARIANA CARRILLO GUERRA</t>
  </si>
  <si>
    <t>0424-7520289</t>
  </si>
  <si>
    <t>ESCUELA BOLIVARIANA MONSEÑOR
 LUCAS GUILLERMO CASTILLO</t>
  </si>
  <si>
    <t>0414-6291538</t>
  </si>
  <si>
    <t>0424-7827104</t>
  </si>
  <si>
    <t>0426-3476217</t>
  </si>
  <si>
    <t>0412-3859115</t>
  </si>
  <si>
    <t>0424-7270188</t>
  </si>
  <si>
    <t>0424-7399107</t>
  </si>
  <si>
    <t>0416-7008391</t>
  </si>
  <si>
    <t>0416-0929947</t>
  </si>
  <si>
    <t>0426-4625474</t>
  </si>
  <si>
    <t>SUCRE</t>
  </si>
  <si>
    <t>VALMORE RODRIGUEZ</t>
  </si>
  <si>
    <t>COLEGIO MARISCAL ANTONIO JOSÉ DE SUCRE</t>
  </si>
  <si>
    <t>0412-1714374</t>
  </si>
  <si>
    <t>0424/7398679</t>
  </si>
  <si>
    <t>ESCUELA EL CUMBE</t>
  </si>
  <si>
    <t>0414-0361731</t>
  </si>
  <si>
    <t>0416/4706298</t>
  </si>
  <si>
    <t>0271-2317545</t>
  </si>
  <si>
    <t>UNIDAD EDUCATIVA ESTADAL RICARDO LABASTIDAS</t>
  </si>
  <si>
    <t>0414-9711243</t>
  </si>
  <si>
    <t>0426-1504898</t>
  </si>
  <si>
    <t>0424-7424387</t>
  </si>
  <si>
    <t>0426-3782446</t>
  </si>
  <si>
    <t>ESCUELA BOLIVARIANA ESTADO CARABOBO</t>
  </si>
  <si>
    <t>0426-1653521</t>
  </si>
  <si>
    <t>0426-7132275</t>
  </si>
  <si>
    <t>0412-0317482</t>
  </si>
  <si>
    <t>0412-6571263</t>
  </si>
  <si>
    <t>0414-7281344</t>
  </si>
  <si>
    <t>0271-2250697</t>
  </si>
  <si>
    <t>0424-7068746</t>
  </si>
  <si>
    <t>0424-7484876</t>
  </si>
  <si>
    <t>0424-7364368</t>
  </si>
  <si>
    <t>0416-1460612</t>
  </si>
  <si>
    <t>0414-1760443</t>
  </si>
  <si>
    <t>0426-0565406</t>
  </si>
  <si>
    <t>0414-7495243</t>
  </si>
  <si>
    <t>0424-1415968</t>
  </si>
  <si>
    <t>0424-7837147</t>
  </si>
  <si>
    <t>0416-5755106</t>
  </si>
  <si>
    <t>0426-4274455</t>
  </si>
  <si>
    <t>0416-6709442</t>
  </si>
  <si>
    <t>0424-3662813</t>
  </si>
  <si>
    <t>SIMONCITO BRISAS DE JALISCO</t>
  </si>
  <si>
    <t>0424-7070132</t>
  </si>
  <si>
    <t>0426-3312575</t>
  </si>
  <si>
    <t xml:space="preserve">TRUJILLO </t>
  </si>
  <si>
    <t xml:space="preserve">CHIQUINQUIRÁ </t>
  </si>
  <si>
    <t>0424-7202407</t>
  </si>
  <si>
    <t>0416-3734616</t>
  </si>
  <si>
    <t>0412-6888547</t>
  </si>
  <si>
    <t>0426-2559284</t>
  </si>
  <si>
    <t>0426-3667682</t>
  </si>
  <si>
    <t>0426-0470659</t>
  </si>
  <si>
    <t>0424-7770224</t>
  </si>
  <si>
    <t>0426-3389506</t>
  </si>
  <si>
    <t>0416-9393582</t>
  </si>
  <si>
    <t>0414-0799359/   0416-4297414</t>
  </si>
  <si>
    <t>UNIVERSIDAD POLITÉCNICA TERRITORIAL DEL ESTADO TRUJILLO MARIO BRICEÑO IRAGORRY UPTT SEDE SAN LUIS</t>
  </si>
  <si>
    <t>0424-7654659</t>
  </si>
  <si>
    <t>0416-1387107</t>
  </si>
  <si>
    <t>0424-7155023</t>
  </si>
  <si>
    <t>BEATRIZ</t>
  </si>
  <si>
    <t>UE NUESTRA SEÑORA DE LA CANDELARIA</t>
  </si>
  <si>
    <t>0424-7840245</t>
  </si>
  <si>
    <t>0416-9742828</t>
  </si>
  <si>
    <t>0412-4246050</t>
  </si>
  <si>
    <t>0424-6978265</t>
  </si>
  <si>
    <t>0416-7876599</t>
  </si>
  <si>
    <t>0424-7044210</t>
  </si>
  <si>
    <t>0424-7130438</t>
  </si>
  <si>
    <t>0416-0820801</t>
  </si>
  <si>
    <t>0426-4696012</t>
  </si>
  <si>
    <t>0426-0363596</t>
  </si>
  <si>
    <t>Fray Ignacio Montilla</t>
  </si>
  <si>
    <t>0424-7023795</t>
  </si>
  <si>
    <t>Quintero Montilla Merly Paula</t>
  </si>
  <si>
    <t>01020747920000446570</t>
  </si>
  <si>
    <t>Mendoza Vieras Maria Elena</t>
  </si>
  <si>
    <t xml:space="preserve">GRADO DE INSTRUCCION </t>
  </si>
  <si>
    <t>ESCUELA BOLIVARIANA PASCUAL IGNACIO VILLASMIL</t>
  </si>
  <si>
    <t xml:space="preserve">MENDOZA </t>
  </si>
  <si>
    <t>LICEO BOLIVARIANO ANTONIO NICOLÁS BRICEÑO</t>
  </si>
  <si>
    <t>ESCUELA BOLIVARIANA PADRE ROSARIO</t>
  </si>
  <si>
    <t>ESCUELA CONCENTRADA LA CONCEPCIÓN</t>
  </si>
  <si>
    <t>ESCUELA ESTADAL CONCENTRADA SIN NÚMERO ALTO DE SAN JUAN</t>
  </si>
  <si>
    <t>ESCUELA CONCENTRADA SABANA DE CUBA</t>
  </si>
  <si>
    <t>CASA DE ALIMENTACION NUESTRA SEÑORA DE LOURDES</t>
  </si>
  <si>
    <t> ANTONIO N BRICEÑO</t>
  </si>
  <si>
    <t>0412-0168191</t>
  </si>
  <si>
    <t>LICEO BOLIVARIANO HILARIO PIZANI ANSELMI</t>
  </si>
  <si>
    <t>SAN RAFEL CARVAJAL</t>
  </si>
  <si>
    <t>ESCUELA CONCENTRADA NACIONAL LA HOYADA</t>
  </si>
  <si>
    <t>ESCUELA BOLIVARIANA ESTEBAN RASQUIN</t>
  </si>
  <si>
    <t>UNIDAD EDUCATIVA MANUEL MARIA CARRASQUERO</t>
  </si>
  <si>
    <t>0271-2258164</t>
  </si>
  <si>
    <t>0412-0232443</t>
  </si>
  <si>
    <t>0426-3282556</t>
  </si>
  <si>
    <t>0416-1326939</t>
  </si>
  <si>
    <t>0416-7729380 0412-0215133</t>
  </si>
  <si>
    <t>0424-7290292</t>
  </si>
  <si>
    <t>0424-7188163</t>
  </si>
  <si>
    <t>0424-7849955</t>
  </si>
  <si>
    <t>0412-9319053</t>
  </si>
  <si>
    <t>0414-7411152</t>
  </si>
  <si>
    <t>0416-1755408</t>
  </si>
  <si>
    <t>0424-7489638</t>
  </si>
  <si>
    <t>0424-7810737</t>
  </si>
  <si>
    <t>0416-2457305</t>
  </si>
  <si>
    <t>0414-7307312</t>
  </si>
  <si>
    <t>0412-9336578</t>
  </si>
  <si>
    <t>0414-7264772</t>
  </si>
  <si>
    <t>0414-7009271</t>
  </si>
  <si>
    <t>JARDÍN DE INFANCIA NUESTRA SEÑORA DE LA CANDELARIA</t>
  </si>
  <si>
    <t>UNIDAD EDUCATIVA ESTADAL ROMULO GALLEGOS</t>
  </si>
  <si>
    <t>COMPLEJO EDUCATIVAO ESTADAL JOSEFA ESPINOZA DEL GALLEGO</t>
  </si>
  <si>
    <t>RAFAEL CARVAJAL</t>
  </si>
  <si>
    <t>CENTRO DE EDUCACION INTEGRAL RAFAEL QUEVEDO URBINA</t>
  </si>
  <si>
    <t>UNIDAD EDUCATIVA COLEGIO MADRE RAFOLS</t>
  </si>
  <si>
    <t>0424-7836168</t>
  </si>
  <si>
    <t>0412-0798558</t>
  </si>
  <si>
    <t>0424-7479423</t>
  </si>
  <si>
    <t>UNIDAD EDUCATIVA SIMON BOLIVAR</t>
  </si>
  <si>
    <t>MONSEÑOR CARRILLO</t>
  </si>
  <si>
    <t>UNIDAD EDUCATIVA MARÍA BARTOLA BECERRA</t>
  </si>
  <si>
    <t>ESCUELA BOLIVARIANA PARA LA DIVERSIDAD FUNCIONAL INTELECTUAL FRAY IGNACIO ALVAREZ</t>
  </si>
  <si>
    <t>CASA DEL NIÑO Y ADOLESCENTE TRABAJADOR EL MILAGRO</t>
  </si>
  <si>
    <t>ESCUELA CONCENTRADA SAN PABLO</t>
  </si>
  <si>
    <t>LICEO BOLIVARIANO ANTONIO JOSÉ PACHECO</t>
  </si>
  <si>
    <t>0426-2664314</t>
  </si>
  <si>
    <t>UNIDAD EDUCATIVA SAN VICENTE DE PAÚL</t>
  </si>
  <si>
    <t>ESCUELA ESTADAL EL CACAO</t>
  </si>
  <si>
    <t>GRUPO ESCOLAR EDUARDO BLANCO</t>
  </si>
  <si>
    <t>CENTRO DE EDUCACION INTEGRAL RÓMULO GALLEGOS</t>
  </si>
  <si>
    <t>GRUPO ESCOLAR DIEGO BUSTILLOS</t>
  </si>
  <si>
    <t>CENTRO INTEGRAL BOLIVARIANO REINA BARRETO DE MOLINA</t>
  </si>
  <si>
    <t>ESCUELA BOLIVARIANA ELOISA FONSECA</t>
  </si>
  <si>
    <t>CENTRO DE EDUCACION INICIAL BOLIVARIANO REINA BARRETO</t>
  </si>
  <si>
    <t>UNIDAD EDUCATIVA JOSÉ ANTONIO VELASCO</t>
  </si>
  <si>
    <t>UNIDAD EDUCATIVA NACIONAL PADRE BLANCO</t>
  </si>
  <si>
    <t>LICEO BOLIVARIANO ANDRES LOMELLI ROSARIO</t>
  </si>
  <si>
    <t>ESCUELA BOLIVARIANA FRANCISCO JAVIER URBINA</t>
  </si>
  <si>
    <t>UNIDAD EDUCATIVA SAN JOSÉ</t>
  </si>
  <si>
    <t xml:space="preserve">SAN RAFAEL CARVAJA </t>
  </si>
  <si>
    <t>SAN RAFAEL CARVAJAl</t>
  </si>
  <si>
    <t>UNIDAD EDUCATIVA ESTADAL EMIRO FUENMAYOR</t>
  </si>
  <si>
    <t>UNIDAD EDUCATIVA LAS MERCEDES</t>
  </si>
  <si>
    <t>MERCEDES DÍAZ</t>
  </si>
  <si>
    <t>PAMPANITO II</t>
  </si>
  <si>
    <t>ESCUELA BOLIVARIANA ALICIA PRIETI DE CALDERA</t>
  </si>
  <si>
    <t>SAN  RAFAEL CARVAJAL</t>
  </si>
  <si>
    <t>ESCUELA BOLIVARIANA JUAN IGNACIO MONTILLA</t>
  </si>
  <si>
    <t> LA PUEBLITA</t>
  </si>
  <si>
    <t>UNIDAD EDUCATIVA FRANCISCO DE MIRANDA</t>
  </si>
  <si>
    <t xml:space="preserve">SAN RAFAEL CARVAJAL </t>
  </si>
  <si>
    <t>0426-1780651</t>
  </si>
  <si>
    <t>INSTITUTO NACIONAL DE TIERRAS (INTI)</t>
  </si>
  <si>
    <t>San Rafael Carvajal</t>
  </si>
  <si>
    <t>0424-7636281</t>
  </si>
  <si>
    <t>0424-7349587</t>
  </si>
  <si>
    <t>0271-2313902</t>
  </si>
  <si>
    <t>0416-4793489</t>
  </si>
  <si>
    <t>0414-7095339</t>
  </si>
  <si>
    <t>NO TIENE</t>
  </si>
  <si>
    <t>0414-0754524</t>
  </si>
  <si>
    <t>0426-3779437</t>
  </si>
  <si>
    <t>0424-7767703</t>
  </si>
  <si>
    <t>0414-9760860</t>
  </si>
  <si>
    <t>0416-8101311</t>
  </si>
  <si>
    <t>0414-7241977</t>
  </si>
  <si>
    <t>0414-9780233</t>
  </si>
  <si>
    <t>0416-3781367</t>
  </si>
  <si>
    <t>0412-5376792</t>
  </si>
  <si>
    <t>0412-4132997</t>
  </si>
  <si>
    <t>0424-7283964</t>
  </si>
  <si>
    <t>0424-7154183</t>
  </si>
  <si>
    <t>0414-5929363</t>
  </si>
  <si>
    <t>0416-2733136</t>
  </si>
  <si>
    <t>0424-7455474</t>
  </si>
  <si>
    <t>0424-7563625</t>
  </si>
  <si>
    <t>0426-2411709</t>
  </si>
  <si>
    <t>0416-1804428</t>
  </si>
  <si>
    <t>0414-7018579</t>
  </si>
  <si>
    <t>0416-1324419</t>
  </si>
  <si>
    <t>0424-7776632</t>
  </si>
  <si>
    <t>0416-1694654</t>
  </si>
  <si>
    <t>0412-3647315</t>
  </si>
  <si>
    <t>0412-6932491</t>
  </si>
  <si>
    <t>0414-9757064</t>
  </si>
  <si>
    <t>UNIDAD EDUCATIVA RURAL LA MATA</t>
  </si>
  <si>
    <t>UNIDAD EDUCATIVA NACIONAL SALOMÓN BRICEÑO GABALDON</t>
  </si>
  <si>
    <t>ESCUELA GRADUADA CUBITA</t>
  </si>
  <si>
    <t>ESCUELA CONCENTRADA RETOÑITOS EL PENCIL</t>
  </si>
  <si>
    <t>ESCUELA ESTADAL BISNACA NER 463</t>
  </si>
  <si>
    <t>01020373280000440411</t>
  </si>
  <si>
    <t>Gonzalez Mendoza Valentina Alexandra</t>
  </si>
  <si>
    <t>Gonzalez Mendoza Vanessa Alejandra</t>
  </si>
  <si>
    <t>0426-2755203</t>
  </si>
  <si>
    <t>ESCUELA INTEGRAL BOLIVARIANA MARIA DOLORES ARAUJO</t>
  </si>
  <si>
    <t>ESCUELA BOLIVARIANA LA CABAÑA</t>
  </si>
  <si>
    <t>ESCUELA BOLIVARIANA CIUDAD DE VALERA</t>
  </si>
  <si>
    <t>UNIDAD EDUCATIVA ANTONIO NICOLÁS BRICEÑO</t>
  </si>
  <si>
    <t> IRIBARREN</t>
  </si>
  <si>
    <t>LICEO BOLIVARIANO RAFAEL MARIA URRECHEAGA</t>
  </si>
  <si>
    <t>LICEO BOLIVARIANO RAFAEL RANGEL</t>
  </si>
  <si>
    <t>ESCUELA CONCENTRADA EL TURAGUAL</t>
  </si>
  <si>
    <t>BRIGADA DE RESCATE Y SALVAMENTO LA CEJITA 20</t>
  </si>
  <si>
    <t>ESCUELA NACIONAL CONCENTRADA BOLIVARIANA LAS TRAVESIAS</t>
  </si>
  <si>
    <t>CEI LAS ESPERANZAS</t>
  </si>
  <si>
    <t>UNIDAD EDUCATIVA RURAL JOSE FELIX RIBAS</t>
  </si>
  <si>
    <t>ESCUELA BÁSICA BARRIO NUEVO</t>
  </si>
  <si>
    <t>LICEO BOLIVARIANO IGNACIO CARRASQUERO</t>
  </si>
  <si>
    <t>UNIDAD EDUCATIVA FE Y ALEGRÍA GONZALO SENIOR</t>
  </si>
  <si>
    <t>LICEO BOLVARIANO RAFAEL RANGEL</t>
  </si>
  <si>
    <t>LICEO BOLIVARIANO PROFESOR ALFREDO RAMON DELGADO MEJIAS</t>
  </si>
  <si>
    <t>01020373290000806987</t>
  </si>
  <si>
    <t>Perez Gonzalez Maria Ines</t>
  </si>
  <si>
    <t>01020494150000542995</t>
  </si>
  <si>
    <t>0414-7241438 0416-4164474</t>
  </si>
  <si>
    <t>Olmos Perez Emma Lucia</t>
  </si>
  <si>
    <t>Barrozo Godoy Kellem Daniela</t>
  </si>
  <si>
    <t>01020373260001322570</t>
  </si>
  <si>
    <t>0424-7415976</t>
  </si>
  <si>
    <t>Barrozo Godoy Khloe Valentina</t>
  </si>
  <si>
    <t>Valera Briceño Jesus Enrique</t>
  </si>
  <si>
    <t>01020373200001290961</t>
  </si>
  <si>
    <t>0414-7577714 0424-1361825</t>
  </si>
  <si>
    <t>Guiade Centro I</t>
  </si>
  <si>
    <t>Valera Urbina Jesus Daniel</t>
  </si>
  <si>
    <t>Valero Sulbaran Urquia Del Mar</t>
  </si>
  <si>
    <t>01020373210001331040</t>
  </si>
  <si>
    <t>0424-7048745 0424-7145209</t>
  </si>
  <si>
    <t>Mendoza Valero Ignacio David</t>
  </si>
  <si>
    <t>Villalobos Javier Jose</t>
  </si>
  <si>
    <t>01020747940000128267</t>
  </si>
  <si>
    <t>0424-6314833 0416-7281691</t>
  </si>
  <si>
    <t xml:space="preserve">Entrenador Deportivo IV </t>
  </si>
  <si>
    <t>Villalobos Rojas Fabiana Valentina</t>
  </si>
  <si>
    <t>Ocanto Ramirez Maria Alejandra</t>
  </si>
  <si>
    <t>01020494150000449247</t>
  </si>
  <si>
    <t>0416-2625900 0412-7563750</t>
  </si>
  <si>
    <t xml:space="preserve">Ocanto Ramirez Maria Alejandra </t>
  </si>
  <si>
    <t>Briceño Ocanto Gabriel Alejandro</t>
  </si>
  <si>
    <t>Araujo Mendoza Mirelis Carolina</t>
  </si>
  <si>
    <t>01020373200001240254</t>
  </si>
  <si>
    <t>0416-4484387</t>
  </si>
  <si>
    <t xml:space="preserve">Araujo Mendoza Mirelis Carolina </t>
  </si>
  <si>
    <t>Montilla Araujo Marianny Valentina</t>
  </si>
  <si>
    <t>Colmenares Jorge Luis</t>
  </si>
  <si>
    <t>01020369440100086019</t>
  </si>
  <si>
    <t>0426-4637683</t>
  </si>
  <si>
    <t>Colmenares Andrade Jonas Adolfo</t>
  </si>
  <si>
    <t>Colmenares Andrade Janny Antonella</t>
  </si>
  <si>
    <t>Malpica Rivas Julio Enrique</t>
  </si>
  <si>
    <t>01020747950000526652</t>
  </si>
  <si>
    <t>0416-5337192</t>
  </si>
  <si>
    <t>ESCUELA BOLIVARIANA VIVIENDA RURAL</t>
  </si>
  <si>
    <t>UNIDAD EDUCATIVA RURAL JOSE FELIZ RIVAS</t>
  </si>
  <si>
    <t>UNIDAD EDUCATIVA LAS MERCEDEZ</t>
  </si>
  <si>
    <t>Guillen Mendoza Edgar Daniel</t>
  </si>
  <si>
    <t xml:space="preserve">Coordinador de Programa </t>
  </si>
  <si>
    <t>MERCEDEZ DIAS</t>
  </si>
  <si>
    <t>01020373240000441562</t>
  </si>
  <si>
    <t>0412-0885545</t>
  </si>
  <si>
    <t>Vazquez Hernandez Doris Mercedes</t>
  </si>
  <si>
    <t>01020373230100096328</t>
  </si>
  <si>
    <t>Maldonado Vazquez Dylan Josue</t>
  </si>
  <si>
    <t>Maldonado vazquez Santiago David</t>
  </si>
  <si>
    <t>Rivas Briceño Nathaly Del Carmen</t>
  </si>
  <si>
    <t>01020747910000305006</t>
  </si>
  <si>
    <t xml:space="preserve">Tecnico Superior en Trabajo Social I   </t>
  </si>
  <si>
    <t>Paredes Rivas Fernanda Isabella</t>
  </si>
  <si>
    <t>Gonzalez De Briceño Yasmin Coromoto</t>
  </si>
  <si>
    <t>01020747960000378350</t>
  </si>
  <si>
    <t>Yepes Caceres Mervis Javier</t>
  </si>
  <si>
    <t>01020334140000261823</t>
  </si>
  <si>
    <t>Yepes Fernandez Isaias Javier</t>
  </si>
  <si>
    <t>Yepes Gil Rafael Josue</t>
  </si>
  <si>
    <t>0414-7308160</t>
  </si>
  <si>
    <t>0424-7586076</t>
  </si>
  <si>
    <t>0426-4614544</t>
  </si>
  <si>
    <t>ESCUELA BÁSICA LA CONCENTRADA LA BETICÓ</t>
  </si>
  <si>
    <t>0412-5372113</t>
  </si>
  <si>
    <t>Barrios De Di Fiore Jhulian Del Valle</t>
  </si>
  <si>
    <t xml:space="preserve">Daboin Piña Jesus Manuel </t>
  </si>
  <si>
    <t xml:space="preserve">(01 Agosto 2024) CREDNNA Pampan </t>
  </si>
  <si>
    <t>(31 Julio 2024)</t>
  </si>
  <si>
    <t>Godoy Suarez Nelson Jose</t>
  </si>
  <si>
    <t>01020457770000172721</t>
  </si>
  <si>
    <t>0424-7671025</t>
  </si>
  <si>
    <t>Godoy Quintero Valeria Lucia</t>
  </si>
  <si>
    <t>Godoy Blanco Emily Antonella</t>
  </si>
  <si>
    <t>Briceño Ana Beatriz</t>
  </si>
  <si>
    <t>01020373250001425383</t>
  </si>
  <si>
    <t>0424-7737146</t>
  </si>
  <si>
    <t>Briceño Briceño Sarahi Elesmar</t>
  </si>
  <si>
    <t>JENIFER VIELMA</t>
  </si>
  <si>
    <t>Jefe (E) de la Oficina Auditiria Interna / Planificador I</t>
  </si>
  <si>
    <t>Viloria Albornoz Arelis Andreina</t>
  </si>
  <si>
    <t>Contabilista III</t>
  </si>
  <si>
    <t>Linares Barreto Jorge Luis</t>
  </si>
  <si>
    <t>01020369430000174855</t>
  </si>
  <si>
    <t>Manzanilla Rodriguez Melanny Fabiola</t>
  </si>
  <si>
    <t>CREDNNA VALERA</t>
  </si>
  <si>
    <t>EJEMPLO</t>
  </si>
  <si>
    <t>TIPO PERSONAL</t>
  </si>
  <si>
    <t>CÉDULA</t>
  </si>
  <si>
    <t>AÑOS DE SERVICIO</t>
  </si>
  <si>
    <t>SUELDO BASE MENSUAL</t>
  </si>
  <si>
    <t>PRIMA HIJO</t>
  </si>
  <si>
    <t>PRIMA DE TRANSPORTE</t>
  </si>
  <si>
    <t>PRIMA PROFESIONAL</t>
  </si>
  <si>
    <t>TOTAL PRIMAS</t>
  </si>
  <si>
    <t>SUELDO NORMAL</t>
  </si>
  <si>
    <t>BONO FIN DE AÑO (AGUINALDOS)</t>
  </si>
  <si>
    <t>CALCULO         (1 MESES)                   37,5 dias</t>
  </si>
  <si>
    <t>MONTO A SOLICITAR        (1 MES DE AGUINALDOS)</t>
  </si>
  <si>
    <t>DIRECTIVO</t>
  </si>
  <si>
    <t>LUIS LOPEZ</t>
  </si>
  <si>
    <t xml:space="preserve">EMPLEADO </t>
  </si>
  <si>
    <t>ROSA MENDEZ</t>
  </si>
  <si>
    <t>ANALISTA DE PERSONALII</t>
  </si>
  <si>
    <t>JOSE LUIS PEREZ</t>
  </si>
  <si>
    <t>125</t>
  </si>
  <si>
    <t>DAIVELIS PEÑA</t>
  </si>
  <si>
    <t>100</t>
  </si>
  <si>
    <t>FRACCIONADOS</t>
  </si>
  <si>
    <r>
      <rPr>
        <b/>
        <sz val="12"/>
        <color indexed="8"/>
        <rFont val="Calibri"/>
        <family val="2"/>
      </rPr>
      <t>150 dias</t>
    </r>
    <r>
      <rPr>
        <sz val="12"/>
        <color indexed="8"/>
        <rFont val="Calibri"/>
        <family val="2"/>
      </rPr>
      <t xml:space="preserve"> dividido en 4 partes</t>
    </r>
  </si>
  <si>
    <t> Alicuotas VACACIONES </t>
  </si>
  <si>
    <t>Alicuotas AGUINALDOS </t>
  </si>
  <si>
    <t>dias</t>
  </si>
  <si>
    <t>MES INGRESO</t>
  </si>
  <si>
    <t>MESES TRABAJADOS</t>
  </si>
  <si>
    <t>VACACIONES FRACCIONADOS</t>
  </si>
  <si>
    <t>AGUINALDOS FRACCIONADOS</t>
  </si>
  <si>
    <t>FORMULA DIAS VACACIONES FRACCIONADOS </t>
  </si>
  <si>
    <t>FORMULA DIAS AGUINALDOS  FRACCIONADOS </t>
  </si>
  <si>
    <t>180/12*MESES TRABAJADO</t>
  </si>
  <si>
    <t>150/12*MESES TRABAJADO</t>
  </si>
  <si>
    <t>alicuotas ejemplo poa</t>
  </si>
  <si>
    <t>((T12/30)*(120/12))</t>
  </si>
  <si>
    <t>VAC</t>
  </si>
  <si>
    <t>AGU</t>
  </si>
  <si>
    <t>(((SN))/30*180/12+(SN))/30*120</t>
  </si>
  <si>
    <t>Saavedra Valera Oriana Andreina</t>
  </si>
  <si>
    <t>Garcia Saavedra Emily Milena</t>
  </si>
  <si>
    <t>Ing. Tulio Mendez</t>
  </si>
  <si>
    <t>C.I. N° 12.045.934</t>
  </si>
  <si>
    <t>Especialista en Informatica I         Analista de Personal I</t>
  </si>
  <si>
    <t>C.I. N° 12.045.934                         C.I. N° 17.391.892</t>
  </si>
  <si>
    <t>Ing. Tulio Mendez                           Lcda. Darcy Godoy</t>
  </si>
  <si>
    <t>Jefe (E) de la Direccion de Administracion / Administrador Jefe</t>
  </si>
  <si>
    <t>Montilla Rivas Victoria Guadalupe</t>
  </si>
  <si>
    <t>Manzanilla Juan Roberto Antonio</t>
  </si>
  <si>
    <t>01020494150000229946</t>
  </si>
  <si>
    <t>0414-9749557</t>
  </si>
  <si>
    <t>Manzanilla Moreno Geliahny Ryleet</t>
  </si>
  <si>
    <t>Manzanilla Cordero Daninyer Mathias</t>
  </si>
  <si>
    <t>Graterol Graterol Isidro Antonio</t>
  </si>
  <si>
    <t>01020758460000003573</t>
  </si>
  <si>
    <t>0414-7527558</t>
  </si>
  <si>
    <t>Graterol Vasquez Franleidys Isamar</t>
  </si>
  <si>
    <t>Graterol Teran Mathias Arturo</t>
  </si>
  <si>
    <t>Quiroga Valdes Nayla Carolina</t>
  </si>
  <si>
    <t>01020373250000084262</t>
  </si>
  <si>
    <t>0424-1448338</t>
  </si>
  <si>
    <t>Direccion De Atencion al Ciudadano</t>
  </si>
  <si>
    <t xml:space="preserve">Casa Hogar Adolescentes Hembras/ Barbarita de la Torre   </t>
  </si>
  <si>
    <t>BONO DIA DEL OBRERO</t>
  </si>
  <si>
    <t>Ruiz Vasquez Endri Ramon</t>
  </si>
  <si>
    <t>01020373260000240310</t>
  </si>
  <si>
    <t>0412-7826640</t>
  </si>
  <si>
    <t>Cordova Rivero Liseth Carolina</t>
  </si>
  <si>
    <t>Albornoz Montilla Daniel Enrique</t>
  </si>
  <si>
    <t>01020373260001424287</t>
  </si>
  <si>
    <t>0412-6553234</t>
  </si>
  <si>
    <t>Viloria Garcia Kieny Keyvit</t>
  </si>
  <si>
    <t>01020747950000398851</t>
  </si>
  <si>
    <t>Viloria Mavares  Matheo Alessandro</t>
  </si>
  <si>
    <t>0426-4055071</t>
  </si>
  <si>
    <t>Ramirez Araujo Teresa Maria</t>
  </si>
  <si>
    <t>01020747950000203153</t>
  </si>
  <si>
    <t>Rojas Telles Lisbeth Josefina</t>
  </si>
  <si>
    <t>01020392960103938564</t>
  </si>
  <si>
    <t xml:space="preserve">Villalobos Rojas Fabiana Valentina </t>
  </si>
  <si>
    <t>0416-7281691</t>
  </si>
  <si>
    <t xml:space="preserve">Carvajal </t>
  </si>
  <si>
    <t>01020373290000068592</t>
  </si>
  <si>
    <t>Manzanilla Cabello Juan David</t>
  </si>
  <si>
    <t>0412-2130343</t>
  </si>
  <si>
    <t>Jerez Rangel Gleidy Andreina</t>
  </si>
  <si>
    <t>Pichardo Jerez Victoria de los Angeles</t>
  </si>
  <si>
    <t>Lucy</t>
  </si>
  <si>
    <t>Olmos</t>
  </si>
  <si>
    <t>Eberto</t>
  </si>
  <si>
    <t>Perez</t>
  </si>
  <si>
    <t>Darlin</t>
  </si>
  <si>
    <t>Soralis</t>
  </si>
  <si>
    <t>Frias</t>
  </si>
  <si>
    <t>Maria</t>
  </si>
  <si>
    <t>Rivero</t>
  </si>
  <si>
    <t>Rangel</t>
  </si>
  <si>
    <t>Ildemaro</t>
  </si>
  <si>
    <t>Aguial</t>
  </si>
  <si>
    <t>Gerardo</t>
  </si>
  <si>
    <t>Yaritza</t>
  </si>
  <si>
    <t>Delfin</t>
  </si>
  <si>
    <t>Jose</t>
  </si>
  <si>
    <t>Triviño</t>
  </si>
  <si>
    <t>Yely</t>
  </si>
  <si>
    <t>Bastidas</t>
  </si>
  <si>
    <t xml:space="preserve">Araujo </t>
  </si>
  <si>
    <t>Neida</t>
  </si>
  <si>
    <t>Mejia</t>
  </si>
  <si>
    <t>Aldana</t>
  </si>
  <si>
    <t>Aguana</t>
  </si>
  <si>
    <t>Yraida</t>
  </si>
  <si>
    <t>Duarte</t>
  </si>
  <si>
    <t>Saavedra</t>
  </si>
  <si>
    <t>Palma</t>
  </si>
  <si>
    <t>Marianela</t>
  </si>
  <si>
    <t>Torres</t>
  </si>
  <si>
    <t>Ruiz</t>
  </si>
  <si>
    <t>Briceño</t>
  </si>
  <si>
    <t>Graciela</t>
  </si>
  <si>
    <t>Yraima</t>
  </si>
  <si>
    <t>Cruz</t>
  </si>
  <si>
    <t>Luisa</t>
  </si>
  <si>
    <t>Contreras</t>
  </si>
  <si>
    <t>Yoleida</t>
  </si>
  <si>
    <t>Lisette</t>
  </si>
  <si>
    <t>Orlando</t>
  </si>
  <si>
    <t>AGUINALDOS + BONO NAVIDEÑO</t>
  </si>
  <si>
    <t>Linares</t>
  </si>
  <si>
    <t>Montilla</t>
  </si>
  <si>
    <t>Denis</t>
  </si>
  <si>
    <t>Rojas</t>
  </si>
  <si>
    <t>Aponte</t>
  </si>
  <si>
    <t>Villegas</t>
  </si>
  <si>
    <t>Jenifer</t>
  </si>
  <si>
    <t>Diaz</t>
  </si>
  <si>
    <t>Mileyda</t>
  </si>
  <si>
    <t>Carrizo</t>
  </si>
  <si>
    <t>Yusneida</t>
  </si>
  <si>
    <t>Mireya</t>
  </si>
  <si>
    <t>Alba</t>
  </si>
  <si>
    <t>Helenmar</t>
  </si>
  <si>
    <t>Sarmiento</t>
  </si>
  <si>
    <t>Karem</t>
  </si>
  <si>
    <t>Martinez</t>
  </si>
  <si>
    <t>Rendon</t>
  </si>
  <si>
    <t>Ana</t>
  </si>
  <si>
    <t>Mariana</t>
  </si>
  <si>
    <t>Alvarran</t>
  </si>
  <si>
    <t>Mecias</t>
  </si>
  <si>
    <t>Shirly</t>
  </si>
  <si>
    <t>Villalobos</t>
  </si>
  <si>
    <t>Javier</t>
  </si>
  <si>
    <t>Delduca</t>
  </si>
  <si>
    <t>Gonzalez</t>
  </si>
  <si>
    <t>Mayulis</t>
  </si>
  <si>
    <t>Doris</t>
  </si>
  <si>
    <t>Zuly</t>
  </si>
  <si>
    <t>Yaneth</t>
  </si>
  <si>
    <t>Angela</t>
  </si>
  <si>
    <t>Elisaelith</t>
  </si>
  <si>
    <t>Carrillo</t>
  </si>
  <si>
    <t>Perdomo</t>
  </si>
  <si>
    <t>Nathaly</t>
  </si>
  <si>
    <t>Yonathan</t>
  </si>
  <si>
    <t>Sandra</t>
  </si>
  <si>
    <t>Matheus</t>
  </si>
  <si>
    <t>Aida</t>
  </si>
  <si>
    <t>Yelitza</t>
  </si>
  <si>
    <t>Rivas</t>
  </si>
  <si>
    <t>Albarran</t>
  </si>
  <si>
    <t>Serrada</t>
  </si>
  <si>
    <t>Valero</t>
  </si>
  <si>
    <t>Materan</t>
  </si>
  <si>
    <t>Peña</t>
  </si>
  <si>
    <t>Viloria</t>
  </si>
  <si>
    <t>Barreto</t>
  </si>
  <si>
    <t>Lugo</t>
  </si>
  <si>
    <t>Henry</t>
  </si>
  <si>
    <t>Gladys</t>
  </si>
  <si>
    <t>Urquia</t>
  </si>
  <si>
    <t>Vivian</t>
  </si>
  <si>
    <t>Alejandra</t>
  </si>
  <si>
    <t>Tahiyuani</t>
  </si>
  <si>
    <t>Yenny</t>
  </si>
  <si>
    <t>Lenismar</t>
  </si>
  <si>
    <t>Manzanilla</t>
  </si>
  <si>
    <t>Richard</t>
  </si>
  <si>
    <t>Leon</t>
  </si>
  <si>
    <t>Ceila</t>
  </si>
  <si>
    <t>Vielma</t>
  </si>
  <si>
    <t>Rebeca</t>
  </si>
  <si>
    <t>Mary</t>
  </si>
  <si>
    <t>Urdaneta</t>
  </si>
  <si>
    <t>Katherine</t>
  </si>
  <si>
    <t>Lilibeth</t>
  </si>
  <si>
    <t>Godoy</t>
  </si>
  <si>
    <t>Darcy</t>
  </si>
  <si>
    <t>Yarelis</t>
  </si>
  <si>
    <t>Nuñez</t>
  </si>
  <si>
    <t>Colmenares</t>
  </si>
  <si>
    <t>Jorge</t>
  </si>
  <si>
    <t>Dani</t>
  </si>
  <si>
    <t>Rivera</t>
  </si>
  <si>
    <t>Christian</t>
  </si>
  <si>
    <t>Dayana</t>
  </si>
  <si>
    <t>Naibely</t>
  </si>
  <si>
    <t>Castellano</t>
  </si>
  <si>
    <t>Dianellys</t>
  </si>
  <si>
    <t>Jesus</t>
  </si>
  <si>
    <t>Pulido</t>
  </si>
  <si>
    <t>Joalina</t>
  </si>
  <si>
    <t>Serrano</t>
  </si>
  <si>
    <t>Ingrid</t>
  </si>
  <si>
    <t>Yepes</t>
  </si>
  <si>
    <t>Mervis</t>
  </si>
  <si>
    <t>Endri</t>
  </si>
  <si>
    <t>Lozada</t>
  </si>
  <si>
    <t>Daniela</t>
  </si>
  <si>
    <t>Anny</t>
  </si>
  <si>
    <t>Nelson</t>
  </si>
  <si>
    <t>Villarreal</t>
  </si>
  <si>
    <t>Yoriangela</t>
  </si>
  <si>
    <t>Abreu</t>
  </si>
  <si>
    <t>Gilmer</t>
  </si>
  <si>
    <t>Lusana</t>
  </si>
  <si>
    <t>Amenaida</t>
  </si>
  <si>
    <t>Quiroga</t>
  </si>
  <si>
    <t>Nayla</t>
  </si>
  <si>
    <t>Araujo</t>
  </si>
  <si>
    <t>Mirelis</t>
  </si>
  <si>
    <t>Quintero</t>
  </si>
  <si>
    <t>Ilse</t>
  </si>
  <si>
    <t>Peñaloza</t>
  </si>
  <si>
    <t>Eduardo</t>
  </si>
  <si>
    <t>Emilio</t>
  </si>
  <si>
    <t>Herluis</t>
  </si>
  <si>
    <t>Ocanto</t>
  </si>
  <si>
    <t>Rodriguez</t>
  </si>
  <si>
    <t>Ramirez</t>
  </si>
  <si>
    <t>Rudys</t>
  </si>
  <si>
    <t>Uzcategui</t>
  </si>
  <si>
    <t>Madeley</t>
  </si>
  <si>
    <t>Gil</t>
  </si>
  <si>
    <t>Maite</t>
  </si>
  <si>
    <t>Morillo</t>
  </si>
  <si>
    <t>Plaza</t>
  </si>
  <si>
    <t>Orelis</t>
  </si>
  <si>
    <t>Hernandez</t>
  </si>
  <si>
    <t>Gleidys</t>
  </si>
  <si>
    <t>Zulay</t>
  </si>
  <si>
    <t>Katiusca</t>
  </si>
  <si>
    <t>Leal</t>
  </si>
  <si>
    <t>Fraineli</t>
  </si>
  <si>
    <t>Santos</t>
  </si>
  <si>
    <t>Greosmar</t>
  </si>
  <si>
    <t>Saray</t>
  </si>
  <si>
    <t>Aleidy</t>
  </si>
  <si>
    <t>Vazquez</t>
  </si>
  <si>
    <t>Villa</t>
  </si>
  <si>
    <t>Norbelys</t>
  </si>
  <si>
    <t>Suarez</t>
  </si>
  <si>
    <t>Betzabeth</t>
  </si>
  <si>
    <t>Sarache</t>
  </si>
  <si>
    <t>Maryelis</t>
  </si>
  <si>
    <t>Mendez</t>
  </si>
  <si>
    <t>Maryely</t>
  </si>
  <si>
    <t>Roberto</t>
  </si>
  <si>
    <t>Diana</t>
  </si>
  <si>
    <t>Yeniree</t>
  </si>
  <si>
    <t>Keila</t>
  </si>
  <si>
    <t>Jessica</t>
  </si>
  <si>
    <t>Urbina</t>
  </si>
  <si>
    <t>Tannessy</t>
  </si>
  <si>
    <t>Olivar</t>
  </si>
  <si>
    <t>Robinson</t>
  </si>
  <si>
    <t>Daiver</t>
  </si>
  <si>
    <t>Landkler</t>
  </si>
  <si>
    <t>Coy</t>
  </si>
  <si>
    <t>Barrios</t>
  </si>
  <si>
    <t>Geraldine</t>
  </si>
  <si>
    <t>Ilva</t>
  </si>
  <si>
    <t>Molina</t>
  </si>
  <si>
    <t>Orleidys</t>
  </si>
  <si>
    <t>Castellanos</t>
  </si>
  <si>
    <t>Luis</t>
  </si>
  <si>
    <t>Merly</t>
  </si>
  <si>
    <t>Moreno</t>
  </si>
  <si>
    <t>Alfredy</t>
  </si>
  <si>
    <t>Carmen</t>
  </si>
  <si>
    <t>Fernandez</t>
  </si>
  <si>
    <t>Rafael</t>
  </si>
  <si>
    <t>Coello</t>
  </si>
  <si>
    <t>Yormileidys</t>
  </si>
  <si>
    <t>Guanda</t>
  </si>
  <si>
    <t>Roxely</t>
  </si>
  <si>
    <t>Graterol</t>
  </si>
  <si>
    <t>Yoselyn</t>
  </si>
  <si>
    <t>Nava</t>
  </si>
  <si>
    <t>Oriana</t>
  </si>
  <si>
    <t>Balza</t>
  </si>
  <si>
    <t>Andara</t>
  </si>
  <si>
    <t>Marielena</t>
  </si>
  <si>
    <t>Numa</t>
  </si>
  <si>
    <t>Moncayo</t>
  </si>
  <si>
    <t>Ruddy</t>
  </si>
  <si>
    <t>Brayhan</t>
  </si>
  <si>
    <t>Segovia</t>
  </si>
  <si>
    <t>Freylu</t>
  </si>
  <si>
    <t>Genesis</t>
  </si>
  <si>
    <t>Delgado</t>
  </si>
  <si>
    <t>Rosa</t>
  </si>
  <si>
    <t>Lisbeira</t>
  </si>
  <si>
    <t>Rubio</t>
  </si>
  <si>
    <t>Barrozo</t>
  </si>
  <si>
    <t>Kellem</t>
  </si>
  <si>
    <t>Kelasky</t>
  </si>
  <si>
    <t>Darwin</t>
  </si>
  <si>
    <t>Andreina</t>
  </si>
  <si>
    <t>Josue</t>
  </si>
  <si>
    <t>Castillo</t>
  </si>
  <si>
    <t>Marianyeli</t>
  </si>
  <si>
    <t>Gonzalez de Sayago Damarys Coromoto</t>
  </si>
  <si>
    <t>Almazan</t>
  </si>
  <si>
    <t>Isabel</t>
  </si>
  <si>
    <t>Mirian</t>
  </si>
  <si>
    <t>Rojo</t>
  </si>
  <si>
    <t>Alexis</t>
  </si>
  <si>
    <t>Gregoria</t>
  </si>
  <si>
    <t>Campos</t>
  </si>
  <si>
    <t>Berrios</t>
  </si>
  <si>
    <t>Sulbaran</t>
  </si>
  <si>
    <t>Balestrini</t>
  </si>
  <si>
    <t>Aguilera</t>
  </si>
  <si>
    <t>Pacheco</t>
  </si>
  <si>
    <t>Simancas</t>
  </si>
  <si>
    <t>Sanchez</t>
  </si>
  <si>
    <t>Cardozo</t>
  </si>
  <si>
    <t>Garcia</t>
  </si>
  <si>
    <t>Artigas</t>
  </si>
  <si>
    <t>Marquez</t>
  </si>
  <si>
    <t>Santana</t>
  </si>
  <si>
    <t>Castro</t>
  </si>
  <si>
    <t>Angarita</t>
  </si>
  <si>
    <t>Soto</t>
  </si>
  <si>
    <t>Materano</t>
  </si>
  <si>
    <t>Chacin</t>
  </si>
  <si>
    <t>Sardi</t>
  </si>
  <si>
    <t>Teran</t>
  </si>
  <si>
    <t>Alburguez</t>
  </si>
  <si>
    <t>Escalona</t>
  </si>
  <si>
    <t>Camacho</t>
  </si>
  <si>
    <t>Macias</t>
  </si>
  <si>
    <t>Altuve</t>
  </si>
  <si>
    <t>Zambrano</t>
  </si>
  <si>
    <t>Aguilar</t>
  </si>
  <si>
    <t>Yndriago</t>
  </si>
  <si>
    <t>Sifontes</t>
  </si>
  <si>
    <t>Paredes</t>
  </si>
  <si>
    <t>Carmona</t>
  </si>
  <si>
    <t>Rincon</t>
  </si>
  <si>
    <t>Carlos</t>
  </si>
  <si>
    <t>Dioni</t>
  </si>
  <si>
    <t>Nilda</t>
  </si>
  <si>
    <t>Adriana</t>
  </si>
  <si>
    <t>Ulises</t>
  </si>
  <si>
    <t>Delia</t>
  </si>
  <si>
    <t>Adolfo</t>
  </si>
  <si>
    <t>Bebsabeth</t>
  </si>
  <si>
    <t>Marcos</t>
  </si>
  <si>
    <t>Meris</t>
  </si>
  <si>
    <t>Alix</t>
  </si>
  <si>
    <t>Juan</t>
  </si>
  <si>
    <t>Alfredo</t>
  </si>
  <si>
    <t>Sonia</t>
  </si>
  <si>
    <t>Magalis</t>
  </si>
  <si>
    <t>Olga</t>
  </si>
  <si>
    <t>Omar</t>
  </si>
  <si>
    <t>Pedro</t>
  </si>
  <si>
    <t>Emma</t>
  </si>
  <si>
    <t>Deris</t>
  </si>
  <si>
    <t>Blanca</t>
  </si>
  <si>
    <t>Dulma</t>
  </si>
  <si>
    <t>Jacson</t>
  </si>
  <si>
    <t>Maribel</t>
  </si>
  <si>
    <t>Yanitza</t>
  </si>
  <si>
    <t>Sara</t>
  </si>
  <si>
    <t>Yanet</t>
  </si>
  <si>
    <t>Yanira</t>
  </si>
  <si>
    <t>Marcial</t>
  </si>
  <si>
    <t>Iris</t>
  </si>
  <si>
    <t>Morela</t>
  </si>
  <si>
    <t>Ender</t>
  </si>
  <si>
    <t>Eduard</t>
  </si>
  <si>
    <t>Modesto</t>
  </si>
  <si>
    <t>Gladis</t>
  </si>
  <si>
    <t>Martin</t>
  </si>
  <si>
    <t>Thaiz</t>
  </si>
  <si>
    <t>Neira</t>
  </si>
  <si>
    <t>Yasmin</t>
  </si>
  <si>
    <t>Tulio</t>
  </si>
  <si>
    <t>Milagros</t>
  </si>
  <si>
    <t>Lisbeth</t>
  </si>
  <si>
    <t>Trina</t>
  </si>
  <si>
    <t>Milangela</t>
  </si>
  <si>
    <t>Jaime</t>
  </si>
  <si>
    <t>Yokary</t>
  </si>
  <si>
    <t>Eva</t>
  </si>
  <si>
    <t>Jenny</t>
  </si>
  <si>
    <t>Belquis</t>
  </si>
  <si>
    <t>Heidy</t>
  </si>
  <si>
    <t>Jociany</t>
  </si>
  <si>
    <t>Deyanira</t>
  </si>
  <si>
    <t>Gerson</t>
  </si>
  <si>
    <t>Yeny</t>
  </si>
  <si>
    <t>Ismenia</t>
  </si>
  <si>
    <t>Rosmely</t>
  </si>
  <si>
    <t>Alexander</t>
  </si>
  <si>
    <t>Maraiby</t>
  </si>
  <si>
    <t>Sudney</t>
  </si>
  <si>
    <t>Mileide</t>
  </si>
  <si>
    <t>Damarys</t>
  </si>
  <si>
    <t>Lismiley</t>
  </si>
  <si>
    <t xml:space="preserve"> Nileidy</t>
  </si>
  <si>
    <t>Zaida</t>
  </si>
  <si>
    <t>Marihangeli</t>
  </si>
  <si>
    <t>Salas</t>
  </si>
  <si>
    <t>Flores</t>
  </si>
  <si>
    <t>Santiago</t>
  </si>
  <si>
    <t>Toro</t>
  </si>
  <si>
    <t>Margi</t>
  </si>
  <si>
    <t>Alarcon</t>
  </si>
  <si>
    <t>Argenio</t>
  </si>
  <si>
    <t>Zoraida</t>
  </si>
  <si>
    <t>Alberto</t>
  </si>
  <si>
    <t>Gutierrez</t>
  </si>
  <si>
    <t>Vargas</t>
  </si>
  <si>
    <t>Lobo</t>
  </si>
  <si>
    <t>Luz</t>
  </si>
  <si>
    <t>Figueroa</t>
  </si>
  <si>
    <t>Yudith</t>
  </si>
  <si>
    <t>Milla</t>
  </si>
  <si>
    <t>Hidalgo</t>
  </si>
  <si>
    <t>Gloria</t>
  </si>
  <si>
    <t>Teresa</t>
  </si>
  <si>
    <t>Orangel</t>
  </si>
  <si>
    <t>Karina</t>
  </si>
  <si>
    <t>Eric</t>
  </si>
  <si>
    <t>Belkys</t>
  </si>
  <si>
    <t>Luque</t>
  </si>
  <si>
    <t>Rigoberto</t>
  </si>
  <si>
    <t>Bentancourt</t>
  </si>
  <si>
    <t>Magaly</t>
  </si>
  <si>
    <t>Amaya</t>
  </si>
  <si>
    <t>Barroeta</t>
  </si>
  <si>
    <t>Leonid</t>
  </si>
  <si>
    <t>Avila</t>
  </si>
  <si>
    <t>Rodolfo</t>
  </si>
  <si>
    <t>Oscar</t>
  </si>
  <si>
    <t>William</t>
  </si>
  <si>
    <t>Mereldes</t>
  </si>
  <si>
    <t>Yhon</t>
  </si>
  <si>
    <t>Malpica</t>
  </si>
  <si>
    <t>Julio</t>
  </si>
  <si>
    <t>Arroyo</t>
  </si>
  <si>
    <t>Williams</t>
  </si>
  <si>
    <t>Yosmer</t>
  </si>
  <si>
    <t>Wilmer</t>
  </si>
  <si>
    <t>Virginia</t>
  </si>
  <si>
    <t>Umbria</t>
  </si>
  <si>
    <t>Alexandra</t>
  </si>
  <si>
    <t>Jean</t>
  </si>
  <si>
    <t>Yhonny</t>
  </si>
  <si>
    <t>Chinchilla</t>
  </si>
  <si>
    <t>Reinaldo</t>
  </si>
  <si>
    <t>Becerra</t>
  </si>
  <si>
    <t>Hermes</t>
  </si>
  <si>
    <t>Wuiston</t>
  </si>
  <si>
    <t>Rosales</t>
  </si>
  <si>
    <t>Mirla</t>
  </si>
  <si>
    <t>Natali</t>
  </si>
  <si>
    <t>Addy</t>
  </si>
  <si>
    <t>Junior</t>
  </si>
  <si>
    <t>Yulimar</t>
  </si>
  <si>
    <t>Franklin</t>
  </si>
  <si>
    <t>Isidro</t>
  </si>
  <si>
    <t>Giovanny</t>
  </si>
  <si>
    <t>Isarra</t>
  </si>
  <si>
    <t>Azuaje</t>
  </si>
  <si>
    <t>Erick</t>
  </si>
  <si>
    <t>Albornoz</t>
  </si>
  <si>
    <t>Daniel</t>
  </si>
  <si>
    <t>Davila</t>
  </si>
  <si>
    <t>Eduar</t>
  </si>
  <si>
    <t>Ninoska</t>
  </si>
  <si>
    <t>Kieny</t>
  </si>
  <si>
    <t>Valecillos</t>
  </si>
  <si>
    <t>Brando</t>
  </si>
  <si>
    <t>Yusberly</t>
  </si>
  <si>
    <t>Laureano</t>
  </si>
  <si>
    <t>01020373250000448390</t>
  </si>
  <si>
    <t>Jerez</t>
  </si>
  <si>
    <t>Gleidy</t>
  </si>
  <si>
    <t>0412-7868415</t>
  </si>
  <si>
    <t>Educacion Inicial</t>
  </si>
  <si>
    <t>FAOV
1ER APELLIDO</t>
  </si>
  <si>
    <t>FAOV
1ER 
NOMBRE</t>
  </si>
  <si>
    <t>SUELDO COBRADO EN OTRA INSTITUCION  
MENSUAL</t>
  </si>
  <si>
    <t>PRIMA ANTIGÜEDAD MENSUAL</t>
  </si>
  <si>
    <t>PRIMA TRANSPORTE MENSUAL</t>
  </si>
  <si>
    <t>PRIMA DE HIJOS
MENSUAL</t>
  </si>
  <si>
    <t>PRIMAS POR PROFESIONA-LIZACION MENSUAL</t>
  </si>
  <si>
    <t>TOTAL 
AGUINALDOS + BONO NAVIDEÑO</t>
  </si>
  <si>
    <t>El monto de aguinaldos se le fracciona en 2 partes.</t>
  </si>
  <si>
    <t>Centro de Responsabilidad Adolescentes Hembras</t>
  </si>
  <si>
    <t>Pichardo Jerez Juan Diego</t>
  </si>
  <si>
    <t>(01 Oct 2024) -  TH</t>
  </si>
  <si>
    <t>Padilla Blanco Melany Marian</t>
  </si>
  <si>
    <t>01020373210001984497</t>
  </si>
  <si>
    <t>Padilla</t>
  </si>
  <si>
    <t>Melany</t>
  </si>
  <si>
    <t>0412-3963950</t>
  </si>
  <si>
    <t>BONO NAVIDAD</t>
  </si>
  <si>
    <t>Baptista Finol Violexy del Valle</t>
  </si>
  <si>
    <t>01020494140000237831</t>
  </si>
  <si>
    <t>Rengifo Baptista Edgar Alexander</t>
  </si>
  <si>
    <t>Marin Baptista Reichell Antonella</t>
  </si>
  <si>
    <t>Gonzalez Torres Klerwin Alfonso</t>
  </si>
  <si>
    <t>01020493350000176413</t>
  </si>
  <si>
    <t>Gonzalez Roman Iker Santiago</t>
  </si>
  <si>
    <t>4TO PAGO DE AGUINALDOS</t>
  </si>
  <si>
    <t>Duarte de Bastidas Gladys Margarita</t>
  </si>
  <si>
    <t>Aguial Carrillo Deris Margarita</t>
  </si>
  <si>
    <t>Sardi Hernandez Gladis Josefina</t>
  </si>
  <si>
    <t>Aponte Matheus Richard Alexander</t>
  </si>
  <si>
    <t>Sarmiento Suarez Karem Yanira</t>
  </si>
  <si>
    <t>Reveron Araujo Andreina Oscarelis</t>
  </si>
  <si>
    <t>Reveron Araujo Pablo De Jesus</t>
  </si>
  <si>
    <t>Olmos Rodriguez Eberto de Jesus</t>
  </si>
  <si>
    <t>Gervasi de Valera Solanye Dairilyn</t>
  </si>
  <si>
    <t>Ingeniero en Sistema</t>
  </si>
  <si>
    <t>TOTAL RAC 2025</t>
  </si>
  <si>
    <t>RAC AN 2025</t>
  </si>
  <si>
    <t>RAC EMP 2025</t>
  </si>
  <si>
    <t>RAC OBR 2025</t>
  </si>
  <si>
    <t>Mendoza Mendoza Mirian del Milagro</t>
  </si>
  <si>
    <t>Coordinacion de Medicina</t>
  </si>
  <si>
    <t>Abogado II</t>
  </si>
  <si>
    <t>Secretaria Ejecutiva III</t>
  </si>
  <si>
    <t>Secretario Ejecutivo III</t>
  </si>
  <si>
    <t>Asistente Administrativo II</t>
  </si>
  <si>
    <t>Delegado de Prueba III</t>
  </si>
  <si>
    <t>Almacenista II</t>
  </si>
  <si>
    <t>Teran Torres Olga del Carmen</t>
  </si>
  <si>
    <t>Medico Especialista II</t>
  </si>
  <si>
    <t>Contador III</t>
  </si>
  <si>
    <t>Administrador II</t>
  </si>
  <si>
    <t>Entrenador Deportivo VI</t>
  </si>
  <si>
    <t>Ingeniero Electricista Jefe</t>
  </si>
  <si>
    <t>Analista de Personal IV</t>
  </si>
  <si>
    <t>Asistente Administrativo V</t>
  </si>
  <si>
    <t>Abogado III</t>
  </si>
  <si>
    <t>Analista de Procesamiento de Datos II</t>
  </si>
  <si>
    <t>Coordinador (e) de Programa / Ingeniero Agronomo IV</t>
  </si>
  <si>
    <t>Ingeniero Agronomo IV</t>
  </si>
  <si>
    <t>Valero Sanchez Zulay del Valle</t>
  </si>
  <si>
    <t>Economo II</t>
  </si>
  <si>
    <t>Economa II</t>
  </si>
  <si>
    <t>Coordinador (e) de Centro / Asistente Administrativo IV</t>
  </si>
  <si>
    <t>Klerwin</t>
  </si>
  <si>
    <t>Coordinador de Programa</t>
  </si>
  <si>
    <t>CHAH</t>
  </si>
  <si>
    <t>Auditor III</t>
  </si>
  <si>
    <t>Coordinador de (e) Programa / Entrenador Deportivo II</t>
  </si>
  <si>
    <t>Coordinador (e) de Programa / Abogado I</t>
  </si>
  <si>
    <t>Perdomo Bravo Jimena Susej</t>
  </si>
  <si>
    <t>(20 Enero 2025)-Maternal</t>
  </si>
  <si>
    <t>suspendido</t>
  </si>
  <si>
    <t>1 ERA QUINC</t>
  </si>
  <si>
    <t>2 DA QUINC</t>
  </si>
  <si>
    <t>CANT. OPERACIONES</t>
  </si>
  <si>
    <t>AIDA</t>
  </si>
  <si>
    <t>PEDRO</t>
  </si>
  <si>
    <t>FEBRERO 2025</t>
  </si>
  <si>
    <t>Ente</t>
  </si>
  <si>
    <t xml:space="preserve">1ERA QUINC DE NOVIEMBRE  </t>
  </si>
  <si>
    <t xml:space="preserve">2DA QUINC DE NOVIEMBRE </t>
  </si>
  <si>
    <r>
      <t xml:space="preserve">OPERACIONES </t>
    </r>
    <r>
      <rPr>
        <b/>
        <sz val="18"/>
        <color rgb="FFFF0000"/>
        <rFont val="Arial"/>
        <family val="2"/>
      </rPr>
      <t>(+ 550)</t>
    </r>
  </si>
  <si>
    <r>
      <t xml:space="preserve">TOTAL PERSONAS </t>
    </r>
    <r>
      <rPr>
        <b/>
        <sz val="17"/>
        <color rgb="FFFF0000"/>
        <rFont val="Arial"/>
        <family val="2"/>
      </rPr>
      <t>(ACTIVAS SIN MONTO "0")</t>
    </r>
  </si>
  <si>
    <t>TOTAL OPERACIONES</t>
  </si>
  <si>
    <t>1ERA QUINC DE NOVIEMBRE  (SUELDO + PRIMAS-DEDUC)</t>
  </si>
  <si>
    <t>2DA QUINC DE NOVIEMBRE (SUELDO + PRIMAS)</t>
  </si>
  <si>
    <t>CARGOS 99</t>
  </si>
  <si>
    <t>OBREROS</t>
  </si>
  <si>
    <t>TOTAL PERSONAS (cobran bono)</t>
  </si>
  <si>
    <t>CARGOS EN NOMINA</t>
  </si>
  <si>
    <t>NO COBRAN BONO</t>
  </si>
  <si>
    <t>CALCULO COMPLETO AGUINALDOS</t>
  </si>
  <si>
    <t>1 MES DE AGUINALDOS</t>
  </si>
  <si>
    <t>MONTO CERO</t>
  </si>
  <si>
    <t xml:space="preserve"> 81 FRAC</t>
  </si>
  <si>
    <t>UPSA EL CARMEN</t>
  </si>
  <si>
    <t>SEDAGROET</t>
  </si>
  <si>
    <t>SEMILLAS KOYKAS, S.A</t>
  </si>
  <si>
    <t>UPSA BUENOS AIRES CA</t>
  </si>
  <si>
    <t>UPSA COROZAL</t>
  </si>
  <si>
    <t>UPSA EL DIVIVIDE</t>
  </si>
  <si>
    <t>UPSA HOYANCAL</t>
  </si>
  <si>
    <t xml:space="preserve">UPSA INDIO BUTAQUE </t>
  </si>
  <si>
    <t>UPSA LA ORQUIDEA</t>
  </si>
  <si>
    <t>UPSA SAN FELIPEII</t>
  </si>
  <si>
    <t>BIOINSUMOS LA FUENTE SA</t>
  </si>
  <si>
    <t>1ERA QUINC</t>
  </si>
  <si>
    <t>2DA QUINC</t>
  </si>
  <si>
    <r>
      <t>BUENOS DÍAS; ADJUNTO LES ENVÍO LA NÓMINA VERIFICADA Y APROBADA DEL MES DE FEBRERO, LES INFORMO QUE EN LA PARTE DONDE ESTÁ EL DESGLOSE QUE REALIZÓ PARA LOS TXT, LE INSERTE UNA CELDA CON LA </t>
    </r>
    <r>
      <rPr>
        <b/>
        <u/>
        <sz val="12"/>
        <color rgb="FF222222"/>
        <rFont val="Arial"/>
        <family val="2"/>
      </rPr>
      <t>CANTIDAD DE OPERACIONES </t>
    </r>
    <r>
      <rPr>
        <sz val="12"/>
        <color rgb="FF222222"/>
        <rFont val="Arial"/>
        <family val="2"/>
      </rPr>
      <t>QUE SE  DEBERÍAN HACER, ESO CON RELACIÓN A LAS PERSONAS QUE EL MONTO LES PASA DE</t>
    </r>
    <r>
      <rPr>
        <b/>
        <sz val="12"/>
        <color rgb="FF222222"/>
        <rFont val="Arial"/>
        <family val="2"/>
      </rPr>
      <t> 559</t>
    </r>
    <r>
      <rPr>
        <sz val="12"/>
        <color rgb="FF222222"/>
        <rFont val="Arial"/>
        <family val="2"/>
      </rPr>
      <t> </t>
    </r>
    <r>
      <rPr>
        <b/>
        <sz val="12"/>
        <color rgb="FF222222"/>
        <rFont val="Arial"/>
        <family val="2"/>
      </rPr>
      <t>ES EL LIMITE PARA GENERAR 1 SOLO TX</t>
    </r>
    <r>
      <rPr>
        <sz val="12"/>
        <color rgb="FF222222"/>
        <rFont val="Arial"/>
        <family val="2"/>
      </rPr>
      <t>T, DE LO CONTRARIO LOS QUE SE EXCEDEN DE ESE MONTO, HACERLE </t>
    </r>
    <r>
      <rPr>
        <b/>
        <sz val="12"/>
        <color rgb="FF222222"/>
        <rFont val="Arial"/>
        <family val="2"/>
      </rPr>
      <t>2 TXT(EMPLEADOS) Y EN EL CASO DE LOS PRESIDENTES 6 TXT. (VERIFICAR BIEN Y CUALQUIER DUDA ME COMUNICAN).</t>
    </r>
  </si>
  <si>
    <t>POR OTRO LADO LES HAGO EL LLAMADO NUEVAMENTE, QUE NO DEBEN MODIFICAR EL FORMATO DE LA NÓMINA, YA QUE TODO ESTÁ DEBIDAMENTE FORMULADO  Y ENLAZADO CON OTRAS CELDAS, HOJAS Y ASU VEZ CON CÁLCULOS QUE DEBO REALIZAR PARA EL BONO Y AHORA PARA LAS CANTIDAD DE OPERACIONES QUE TODO DEBE CUADRAR Y LOS ÚLTIMOS MESES ME HA TOCADO ELIMINAR COLUMNAS QUE USTEDES HAN AGREGADO Y ME DESCUADRA LOS CÁLCULOS FINALES.</t>
  </si>
  <si>
    <t>POR TAL RAZÓN SI TIENEN QUE HACER ALGÚN CÁLCULO PARA GENERAR TXT O CUALQUIER OTRA COSA, HAGAN APARTE UNA COPIA DE LA NÓMINA  QUE LES ESTOY ENVIANDO Y LOS REALIZAN SIN PROBLEMA. </t>
  </si>
  <si>
    <t xml:space="preserve">Coordinador de Centro </t>
  </si>
  <si>
    <t>(05 Febrero 2025)</t>
  </si>
  <si>
    <t>(07/02/2025) - Compras</t>
  </si>
  <si>
    <t>Lopez Padilla Angela Maria</t>
  </si>
  <si>
    <t>Lopez</t>
  </si>
  <si>
    <t>Montilla Gonzalez Maria Alexandra</t>
  </si>
  <si>
    <t>01020369410001110517</t>
  </si>
  <si>
    <t>0412-0462851</t>
  </si>
  <si>
    <t>01020494150000544553</t>
  </si>
  <si>
    <t>(06-03-2025) Renuncia</t>
  </si>
  <si>
    <t>Coordinador de Programa (Marzo 2025)</t>
  </si>
  <si>
    <t xml:space="preserve">Coordinador de Programa (01-09-2024) </t>
  </si>
  <si>
    <t>CRAV VARONES</t>
  </si>
  <si>
    <t>Calles Villarreal Jose Bertilio</t>
  </si>
  <si>
    <t>Calles</t>
  </si>
  <si>
    <t>0424-7543105</t>
  </si>
  <si>
    <t>,</t>
  </si>
  <si>
    <t>01020494140000124834</t>
  </si>
  <si>
    <t>Rivas Gonzalez Eddy Carolina</t>
  </si>
  <si>
    <t>01020373240002115757</t>
  </si>
  <si>
    <t>Quintero Gonzalez Anny Duverlys</t>
  </si>
  <si>
    <t>Eddy</t>
  </si>
  <si>
    <t>Mendoza Fria</t>
  </si>
  <si>
    <t>Linares Linares Emma Teresa</t>
  </si>
  <si>
    <t>Luque Azuaje Rigoberto</t>
  </si>
  <si>
    <t>Coy de Dorante Sandra Liliana</t>
  </si>
  <si>
    <t>Viloria Jessica del Carmen</t>
  </si>
  <si>
    <t>Suarez Briceño Daiver Jose</t>
  </si>
  <si>
    <t>Barrios Olivar Geraldine Katiusca</t>
  </si>
  <si>
    <t>Viloria Maldonado Gerardo Jesus</t>
  </si>
  <si>
    <t>Balza Vetencourt Maria Gabriela</t>
  </si>
  <si>
    <t>Teran Araujo Marihangeli Nicoll</t>
  </si>
  <si>
    <t>01020373270002187743</t>
  </si>
  <si>
    <t>Cabrera Duran Albert Josue</t>
  </si>
  <si>
    <t>Cabrera</t>
  </si>
  <si>
    <t>Albert</t>
  </si>
  <si>
    <t>SECTOR LOS POTRERITOS</t>
  </si>
  <si>
    <t>0412-078.28.07
0424-734,19,46</t>
  </si>
  <si>
    <t>01020493310000151904</t>
  </si>
  <si>
    <t>Meza</t>
  </si>
  <si>
    <t>Alpio</t>
  </si>
  <si>
    <t>0426-269.88.78</t>
  </si>
  <si>
    <t>Briceño Matheus Yhonny Alberto</t>
  </si>
  <si>
    <t>0412-064.85.71
0271-225.14.20</t>
  </si>
  <si>
    <t>(31/07/2024) - Milagro</t>
  </si>
  <si>
    <t>Cabrera Olmos Mia AntonelLa</t>
  </si>
  <si>
    <t>Cabrera Olmos Mia Isabella</t>
  </si>
  <si>
    <t>01020373210000102908</t>
  </si>
  <si>
    <t>Direccion</t>
  </si>
  <si>
    <t>El Turagual Brisas de Araguaney Bloque 34 PB-C</t>
  </si>
  <si>
    <t xml:space="preserve">San Luis parte Alta  Calle Principal </t>
  </si>
  <si>
    <t>Jardín de Infancia</t>
  </si>
  <si>
    <t xml:space="preserve"> U.E José María España</t>
  </si>
  <si>
    <t>Carmania Sector El Quebradon parte baja</t>
  </si>
  <si>
    <t>U.E José María España</t>
  </si>
  <si>
    <t>Agua Clara</t>
  </si>
  <si>
    <t>U.E pascual Ignacio Villasmil</t>
  </si>
  <si>
    <t>El Milagro avenida principal Pasarela</t>
  </si>
  <si>
    <t>Urbanización Morón</t>
  </si>
  <si>
    <t xml:space="preserve">capacitacion </t>
  </si>
  <si>
    <t xml:space="preserve">ESCUELA BOLIVARIANA PARA LA DIVERSIDAD FUNCIONAL INTELECTUAL FRAY IGNACIO ALVAREZ </t>
  </si>
  <si>
    <t>IV Etapa La Beatriz Vereda 6 casa  n-04</t>
  </si>
  <si>
    <t xml:space="preserve">La floresta sector Don Rómulo Betancourt </t>
  </si>
  <si>
    <t>CEI Dolores Dionisia Santos Moreno o Niño Simón</t>
  </si>
  <si>
    <t>Urb. Brisas de Jalisco manzana 20 casa 2</t>
  </si>
  <si>
    <t>0424-7642904</t>
  </si>
  <si>
    <t>Escuela Unitaria El Quebradon (Santiago Mariño)</t>
  </si>
  <si>
    <t>0424-7565567-0416-9760029</t>
  </si>
  <si>
    <t>Escuela Ramon David Sánchez Palomares</t>
  </si>
  <si>
    <t>Carretera vieja vía a Escuque Sector La Honda Escalera N°7</t>
  </si>
  <si>
    <t>0426-2730993</t>
  </si>
  <si>
    <t xml:space="preserve">ESCUELA NUMERO 1275 LAS CRUCES </t>
  </si>
  <si>
    <t>Las Cruces de La Unión Municipio Escuque</t>
  </si>
  <si>
    <t>C.E. Dolores Dionisia Santos Moreno o Niño Simón</t>
  </si>
  <si>
    <t>Motatan Jalisco. Urb. Brisas de Jalisco 3ra etapa</t>
  </si>
  <si>
    <t>0426-1098903</t>
  </si>
  <si>
    <t>0426-1268939</t>
  </si>
  <si>
    <t>ESCUELA BOLIVARIANA MONSEÑOR LUCAS GUILLERMO CASTILLO PLATA II</t>
  </si>
  <si>
    <t>0424-7375182</t>
  </si>
  <si>
    <t>0412-1602051</t>
  </si>
  <si>
    <t>0424-7216611</t>
  </si>
  <si>
    <t>CENTRO DE ATENCION INTEGRAL AL
 CIEGO Y DEFICIENTE VISUAL VALERA PLATA III</t>
  </si>
  <si>
    <t>0414-7465813</t>
  </si>
  <si>
    <t>0424-7447703</t>
  </si>
  <si>
    <t>LICEO BOLIVARIANO RAMON IGNACIO MENDEZ</t>
  </si>
  <si>
    <t>0414-7032561</t>
  </si>
  <si>
    <t>0414-7382762</t>
  </si>
  <si>
    <t>0414-7412847</t>
  </si>
  <si>
    <t xml:space="preserve">ESCUELA BOLIVARIANA MONSEÑOR
 LUCAS GUILLERMO CASTILLO </t>
  </si>
  <si>
    <t>Urb. La Beatriz, Bloque Nro 9. Apto. A-14</t>
  </si>
  <si>
    <t>Urb. Morón, Sector 1, Vda. 5 Casa N° 33</t>
  </si>
  <si>
    <t xml:space="preserve">CAJA DE AGUA PARTE BAJA </t>
  </si>
  <si>
    <t>Sabaneta, vía San Lazaro</t>
  </si>
  <si>
    <t>URBANIZACION LOS RIOS</t>
  </si>
  <si>
    <t>U.B. SANTIAGO SANCHEZ</t>
  </si>
  <si>
    <t>SECTOR LA MARCHANTICA</t>
  </si>
  <si>
    <t>ESCUELA SISO MARTINEZ</t>
  </si>
  <si>
    <t>SECTOR SAN LUIS PARTE ALTA</t>
  </si>
  <si>
    <t>UNIDAD EDUCATIVA HUGO RAFAEL CHAVEZ FRIAS LA COMUNA</t>
  </si>
  <si>
    <t>U.E. CESAR RENGIFO</t>
  </si>
  <si>
    <t xml:space="preserve">UNIDAD EDUCATIVA MANUEL MARIA CARRASQUERO </t>
  </si>
  <si>
    <t xml:space="preserve">CACNNA El Milagro                       </t>
  </si>
  <si>
    <t>U.E. JOSÉ MARIA ESPAÑA</t>
  </si>
  <si>
    <t>0412-1245410</t>
  </si>
  <si>
    <t>0424-7163627</t>
  </si>
  <si>
    <t xml:space="preserve">LA FLORESTA </t>
  </si>
  <si>
    <t>U.E BURELIS RIVAS</t>
  </si>
  <si>
    <t xml:space="preserve">MENDOZA FRIA </t>
  </si>
  <si>
    <t>U.E JOSÉ FORTOUL (BARQUISIMETO)</t>
  </si>
  <si>
    <t>ESCUELA PRIMARIA SISO MARTINEZ</t>
  </si>
  <si>
    <t>LA MARCHANTICA</t>
  </si>
  <si>
    <t>LA FLORESTA</t>
  </si>
  <si>
    <t>ESCUELA RAFAEL URDANETA</t>
  </si>
  <si>
    <t xml:space="preserve"> SAN PABLO</t>
  </si>
  <si>
    <t xml:space="preserve"> U.E EZEQUIEL ZAMORA</t>
  </si>
  <si>
    <t xml:space="preserve"> TRAVESIAS</t>
  </si>
  <si>
    <t>0424-7415563</t>
  </si>
  <si>
    <t>ESCUELA ANDRES BELLO -CAJA DE AGUA</t>
  </si>
  <si>
    <t xml:space="preserve"> LA MATA</t>
  </si>
  <si>
    <t>UNIDAD EDUCATIVA MONSEÑOR IGNACIO CAMARGO</t>
  </si>
  <si>
    <t>0424-6248450</t>
  </si>
  <si>
    <t>NO ESTA INSCRITA EN EL CNE- EN PROCESO DE INSCRIPCIÓN</t>
  </si>
  <si>
    <t>C.D.I FRAY IGNACIO ALVAREZ MONTILLA -LA BETRIZ</t>
  </si>
  <si>
    <t>LICEO BOLIVARIANO JULIO SANCHEZ VIVAS ( LA CEJITA)</t>
  </si>
  <si>
    <t>U. E RAMON DAVID SANCHEZ PALOMARES- SECTOR LA HONDA</t>
  </si>
  <si>
    <t>C.D.I ANTONIO JOSÉ SALAS GARCIAS- LA BEATRIZ</t>
  </si>
  <si>
    <t>0414-7403147</t>
  </si>
  <si>
    <t>LICEO BOLIVARIANO CUIDAD DE VALERA- EL CONTRY,</t>
  </si>
  <si>
    <t>LICEO NUESTRA SEÑORA DE LA CANDELARIA</t>
  </si>
  <si>
    <t>0414-7320962</t>
  </si>
  <si>
    <t>ESCUELA SIMON BOLIVAR-SABANA LIBRE</t>
  </si>
  <si>
    <t>0424-7594916</t>
  </si>
  <si>
    <t>0424-7660454</t>
  </si>
  <si>
    <t xml:space="preserve"> U.E. JOSE MARIA ESPAÑA/AGUA CLARA</t>
  </si>
  <si>
    <t>U.E. JOSE MARIA ESPAÑA/AGUA CLARA</t>
  </si>
  <si>
    <t>0424-7696734</t>
  </si>
  <si>
    <t>0412-1703587</t>
  </si>
  <si>
    <t>0426-2550845</t>
  </si>
  <si>
    <t>ESCUELA PADRE  ROSARIO-SAN ISIDRO</t>
  </si>
  <si>
    <t>SAN ISIDRO</t>
  </si>
  <si>
    <t>CONCHEMIRA DE LA G.M.V.V. I ETAPA VEREDA BARBARITA DE LA TORRE</t>
  </si>
  <si>
    <t>MENDOZA FRIA</t>
  </si>
  <si>
    <t>ESCUELA ANDRES BELLO</t>
  </si>
  <si>
    <t xml:space="preserve">CAJA DE AGUA PARTE MEDIA </t>
  </si>
  <si>
    <t xml:space="preserve">Casa Hogar Adolescentes Hembras/ Barbarita de la Torre    </t>
  </si>
  <si>
    <t>ESCUELA SANTO DOMINGO DE PAMPANITO</t>
  </si>
  <si>
    <t>ESCUELA GENERAL MANUEL GOGORZA-PAMPANITO</t>
  </si>
  <si>
    <t>0416-2212204</t>
  </si>
  <si>
    <t>0412-8347788</t>
  </si>
  <si>
    <t>UBICACIÓN</t>
  </si>
  <si>
    <t>EL PALACETE-CARMANIA</t>
  </si>
  <si>
    <t>ESCUELA JOSE MARIA ESPAÑA</t>
  </si>
  <si>
    <t>0412-5835337</t>
  </si>
  <si>
    <t>0424-7038333</t>
  </si>
  <si>
    <t>U.E NUESTRA SEÑORA DE LA CANDELARIA</t>
  </si>
  <si>
    <t>U.E FELIX SERRANO</t>
  </si>
  <si>
    <t>0424-7022528</t>
  </si>
  <si>
    <t>ESCUELA BOLIVARIANA ANDRES BELLO</t>
  </si>
  <si>
    <t xml:space="preserve">ESCUALA BOLIVARIANA ANDRES BELLO </t>
  </si>
  <si>
    <t xml:space="preserve">CAJA DE AGUA PARTE ALTA </t>
  </si>
  <si>
    <t>0412-5484060</t>
  </si>
  <si>
    <t>0412-1315801</t>
  </si>
  <si>
    <t>LICEO MARIA RAFAEL URRECHAGA PAMPAN</t>
  </si>
  <si>
    <t xml:space="preserve">LA REPRESA - PAMPAN </t>
  </si>
  <si>
    <t xml:space="preserve">ESCUELA FRAY IGNACIO ALVAREZ </t>
  </si>
  <si>
    <t xml:space="preserve">BETIJOQUE </t>
  </si>
  <si>
    <t xml:space="preserve">U.E. RAFAEL RANGEL </t>
  </si>
  <si>
    <t xml:space="preserve">ESCUELA GRADUADA CUBITA </t>
  </si>
  <si>
    <t>0414-7590532</t>
  </si>
  <si>
    <t xml:space="preserve">COMEDOR </t>
  </si>
  <si>
    <t>Escuela del CUMBE</t>
  </si>
  <si>
    <t>0426-0866910</t>
  </si>
  <si>
    <t>0412-4946623</t>
  </si>
  <si>
    <t xml:space="preserve"> ESCU. CON. RAFAEL URDANETA SAN PABLO</t>
  </si>
  <si>
    <t>AGUA CLARA</t>
  </si>
  <si>
    <t>0424-7086531</t>
  </si>
  <si>
    <t>0414-7435499</t>
  </si>
  <si>
    <t>0424-7615179</t>
  </si>
  <si>
    <t>0424-7399435</t>
  </si>
  <si>
    <t>URBANIZACION AERO-CLUB SECTOR COLON MUNICIPIO CARVAJAL.</t>
  </si>
  <si>
    <t>EL COROZAL AV PRINCIPAL MUNP CARVAJAL</t>
  </si>
  <si>
    <t>U.E JOSE ANTONIO VELAZCO</t>
  </si>
  <si>
    <t xml:space="preserve">CARVAJAL </t>
  </si>
  <si>
    <t>SAN LUIS CARLOS ANDRES PEREZ</t>
  </si>
  <si>
    <t>CRAV</t>
  </si>
  <si>
    <t>FINAL CALLE  VALERA CASA Nº 6-91, VALERA</t>
  </si>
  <si>
    <t>0424-7445725</t>
  </si>
  <si>
    <t>E.U LA TUNITA</t>
  </si>
  <si>
    <t>URBANIZACION LAS MORAS PARROQUIA LA CONSECCION</t>
  </si>
  <si>
    <t>BARRIO LIBERTAD PARTE BAJA, VEREDA 1 CASA Nº 34, LA FLORESTA</t>
  </si>
  <si>
    <t>U.E. EZEQUIEL ZAMORA</t>
  </si>
  <si>
    <t>ESCUELA SIMON BOLIVAR</t>
  </si>
  <si>
    <t>SABANA  DE MENDOZA MUNICIPIO SUCRE</t>
  </si>
  <si>
    <t>SECTOR EL CUCHARITO, VIA MENDOZA FRIA, CASA S/N, VALERA</t>
  </si>
  <si>
    <t>U.E. BURELIS RIVAS, PARROQUIA MENDOZA FRIA, VALERA</t>
  </si>
  <si>
    <t>U.E FRANCISCO JAVIER URBINA FLOR DE PATRIA</t>
  </si>
  <si>
    <t>FLOR DE PATRIA LOS CERRILLOS  MUNICIPIO PAMPAN</t>
  </si>
  <si>
    <t>FLOR DER PATRIA MUNICIPIO PAMPAN</t>
  </si>
  <si>
    <t>LICEO ANTONIO NICOLAS BRICEÑO</t>
  </si>
  <si>
    <t>URBANIZACION BRISAS DEL ARAGUANEY EDF.18 APT.3-D SAN RAFAEL DE CARVAJAL</t>
  </si>
  <si>
    <t>ESCUELA GUSTAVO DOMINGUEZ</t>
  </si>
  <si>
    <t>ESCUELA GERONIMO BRICEÑO</t>
  </si>
  <si>
    <t xml:space="preserve">UNIDAD EDUCATIVA CIUDAD DE VALERA </t>
  </si>
  <si>
    <t xml:space="preserve">U.E RAMON DAVID SANCHEZ PALOMARES </t>
  </si>
  <si>
    <t xml:space="preserve">ESCUELA ELOISA FONSECA </t>
  </si>
  <si>
    <t>ESCUELA ELOISA FONSECA</t>
  </si>
  <si>
    <t xml:space="preserve">ESCUELA ROMULO GALLEGOS </t>
  </si>
  <si>
    <t>MODULO DE SERVICIO FONDO COMUNAL SAN LUIS</t>
  </si>
  <si>
    <t xml:space="preserve">ESCUELA BOLIVARIANA RAMON DAVID SANCHEZ PALOMARES </t>
  </si>
  <si>
    <t xml:space="preserve">ESCUELA RAFAEL URDANETA </t>
  </si>
  <si>
    <t xml:space="preserve">U.E FRANCISCO DE MIRANDA </t>
  </si>
  <si>
    <t>UNIDAD EDUCATIVA LA CANTARRANA</t>
  </si>
  <si>
    <t xml:space="preserve">U.E LAS RURALES </t>
  </si>
  <si>
    <t>U.E. FRANCISCO DE MIRANDA</t>
  </si>
  <si>
    <t xml:space="preserve">UNIDAD EDUCATIVA LA CAÑADA </t>
  </si>
  <si>
    <t xml:space="preserve">U.E BLAS IGNACIO SALCEDO </t>
  </si>
  <si>
    <t xml:space="preserve">U.E DOLORES DIONISES SANTOS MORENO </t>
  </si>
  <si>
    <t>C,S</t>
  </si>
  <si>
    <t>REVISAR</t>
  </si>
  <si>
    <t xml:space="preserve">REVISAR NO ESTA EN LISTADO QUE PASO PAMPAN </t>
  </si>
  <si>
    <t>REISAR</t>
  </si>
  <si>
    <t>C.S</t>
  </si>
  <si>
    <t xml:space="preserve">INCAPACIDAD </t>
  </si>
  <si>
    <t>(25/04/2025) CREDNNA PAMPAN</t>
  </si>
  <si>
    <t>01020494130000304078</t>
  </si>
  <si>
    <t>BONO DIA DEL PADRE</t>
  </si>
  <si>
    <t>Aldea Mon. Carrillo Carvajal Edo. Trujillo</t>
  </si>
  <si>
    <t>Consejo Legislativo CLET</t>
  </si>
  <si>
    <t>Secretaria Privada de Gobernación Direccion General de Politica</t>
  </si>
  <si>
    <t>Instituto De Las Artes Del Edo. Trujillo (Edgar Barreto)</t>
  </si>
  <si>
    <t>Administrac. Del Despacho Del Gobernador</t>
  </si>
  <si>
    <t>Textiles Trujillo C.A.</t>
  </si>
  <si>
    <t>Fundacion Del Niño</t>
  </si>
  <si>
    <t>Direccion De Politica</t>
  </si>
  <si>
    <t>Escuela Vicente De La Torre, Carvajal</t>
  </si>
  <si>
    <t>Meza Alipio Jose</t>
  </si>
  <si>
    <t>Torres Gonzalez Meris del Carmen</t>
  </si>
  <si>
    <t>Simancas de Mendoza Alix Josefina</t>
  </si>
  <si>
    <t>Rojo Sanchez Alexis Omar</t>
  </si>
  <si>
    <t>Bastidas Yanitza del Valle</t>
  </si>
  <si>
    <t>Ramirez Vergara Graciela de Jesus</t>
  </si>
  <si>
    <t>Angarita Hernandez Ana del Carmen</t>
  </si>
  <si>
    <t>Rojas Hernandez Morela del Carmen</t>
  </si>
  <si>
    <t>Segovia Rondon Milagros del Valle</t>
  </si>
  <si>
    <t>Abreu Rodriguez Eva del Carmen</t>
  </si>
  <si>
    <t>Pacheco Yudith del Valle</t>
  </si>
  <si>
    <t>Briceño Hernandez Yeny del Carmen</t>
  </si>
  <si>
    <t>Alvarran Arjona Ismenia del Carmen</t>
  </si>
  <si>
    <t>Delduca Adriana del Valle</t>
  </si>
  <si>
    <t>Bastidas Yelitza del Carmen</t>
  </si>
  <si>
    <t>Torres Briceño Yarelis del Carmen</t>
  </si>
  <si>
    <t>Betania</t>
  </si>
  <si>
    <t>Granja - Division de Servicios Generales</t>
  </si>
  <si>
    <t>Coordinador (e) de Centro / Asistente Administrativo II</t>
  </si>
  <si>
    <t>Ruendes</t>
  </si>
  <si>
    <t>Ruendes Araujo Omaira del Carmen</t>
  </si>
  <si>
    <t>01020119590000037303</t>
  </si>
  <si>
    <t>Omaira</t>
  </si>
  <si>
    <t>0412-1041940</t>
  </si>
  <si>
    <t>Cano Blanco Juan Carlos</t>
  </si>
  <si>
    <t>01020373200000439273</t>
  </si>
  <si>
    <t>Cano</t>
  </si>
  <si>
    <t>0424-7828109</t>
  </si>
  <si>
    <t>BAPTITAS RUENDEZ LUIS Josue</t>
  </si>
  <si>
    <t>BAPTITAS RUENDEZ JOISIMAR Jakelin</t>
  </si>
  <si>
    <t>Escuela Jose Barrueta Paolini</t>
  </si>
  <si>
    <t>(Jun 2025)</t>
  </si>
  <si>
    <t>Sulbaran de Araujo Magaly</t>
  </si>
  <si>
    <t>Mendez de Viloria Yelitza del Valle</t>
  </si>
  <si>
    <t>Diaz Ramirez Mileyda del Valle</t>
  </si>
  <si>
    <t>Andara Hernandez Giankarlys Elena</t>
  </si>
  <si>
    <t>Coordinador (e) de Programa / Asistente Administrativo III</t>
  </si>
  <si>
    <t>Coordinador (e) de Programa / Administrador IV</t>
  </si>
  <si>
    <t>Ruendez Araujo Omaira del Carmen</t>
  </si>
  <si>
    <t>Coord. del Programa Socio Educativo</t>
  </si>
  <si>
    <t>Perdomo Juarez Jose de Jesus</t>
  </si>
  <si>
    <t>01020373230000392226</t>
  </si>
  <si>
    <t>0424-7352361</t>
  </si>
  <si>
    <t>Sanchez Sulbaran Kamila Victoria</t>
  </si>
  <si>
    <t>Sanchez Sulbaran Yencarly Paola</t>
  </si>
  <si>
    <t>Fernandez Mendoza Maria Alejandra</t>
  </si>
  <si>
    <t>01020369460000055712</t>
  </si>
  <si>
    <t>Montilla Fernandez Alexa Ruby</t>
  </si>
  <si>
    <t>0426-2276425</t>
  </si>
  <si>
    <t>Sulbaran Baptista Yenny del Carmen</t>
  </si>
  <si>
    <t>Linares Briceño Luis Yadiel</t>
  </si>
  <si>
    <t>RECREADOR</t>
  </si>
  <si>
    <t>90124</t>
  </si>
  <si>
    <r>
      <t xml:space="preserve">BONO VACACIONAL </t>
    </r>
    <r>
      <rPr>
        <b/>
        <sz val="13"/>
        <color theme="1"/>
        <rFont val="Arial"/>
        <family val="2"/>
      </rPr>
      <t>MAQUETA</t>
    </r>
  </si>
  <si>
    <t>(18/07/2025) Renuncia</t>
  </si>
  <si>
    <t>CONTRIBUCION PARA TRABAJA-DORES/AS CON DISCAPACIDAD</t>
  </si>
  <si>
    <t>1a PARTE
2A QNA</t>
  </si>
  <si>
    <t>2a PARTE
2A QNA</t>
  </si>
  <si>
    <t>SUPENDIDA</t>
  </si>
  <si>
    <t>Muchaco Ramirez Eliana Guadalupe</t>
  </si>
  <si>
    <t>Rivero Quintero Aurora Juliette</t>
  </si>
  <si>
    <t>Criminologo</t>
  </si>
  <si>
    <t>JEFE DE CENTRO</t>
  </si>
  <si>
    <t>SUPERVISOR DE SERVICIOS GENERALES IV</t>
  </si>
  <si>
    <t>(13-08-2025) Renuncia</t>
  </si>
  <si>
    <t>Guia I</t>
  </si>
  <si>
    <t>REMOCION / AGOSTO</t>
  </si>
  <si>
    <t>Rivero Fajardo Nohely Gabriela</t>
  </si>
  <si>
    <t>01020373260002197018</t>
  </si>
  <si>
    <t>Nohely</t>
  </si>
  <si>
    <t>0424-7237198</t>
  </si>
  <si>
    <t>BONO DIA DEL EMPLEADO PUBLICO</t>
  </si>
  <si>
    <t>Coordinador de Programa 25-08-2025</t>
  </si>
  <si>
    <t>RENUNCIA (04-09-2025)</t>
  </si>
  <si>
    <t>TXT CONTRIBUCION - BECAS (BENEFICIOS APN) + BONO EMPLEADO PUBLICO</t>
  </si>
  <si>
    <t>BONO EMPLEADO PÚBLICO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</si>
</sst>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 * #,##0_ ;_ * \-#,##0_ ;_ * &quot;-&quot;_ ;_ @_ "/>
    <numFmt numFmtId="43" formatCode="_ * #,##0.00_ ;_ * \-#,##0.00_ ;_ * &quot;-&quot;??_ ;_ @_ "/>
    <numFmt numFmtId="164" formatCode="_-* #,##0.00\ &quot;€&quot;_-;\-* #,##0.00\ &quot;€&quot;_-;_-* &quot;-&quot;??\ &quot;€&quot;_-;_-@_-"/>
    <numFmt numFmtId="165" formatCode="_-* #,##0.00\ _€_-;\-* #,##0.00\ _€_-;_-* &quot;-&quot;??\ _€_-;_-@_-"/>
    <numFmt numFmtId="166" formatCode="00"/>
    <numFmt numFmtId="167" formatCode="#,##0.00_ ;\-#,##0.00\ "/>
    <numFmt numFmtId="168" formatCode="0.00;[Red]0.00"/>
    <numFmt numFmtId="169" formatCode="_-* #,##0\ _€_-;\-* #,##0\ _€_-;_-* &quot;-&quot;??\ _€_-;_-@_-"/>
    <numFmt numFmtId="170" formatCode="dd/mm/yyyy;@"/>
    <numFmt numFmtId="171" formatCode="#,##0_ ;\-#,##0\ "/>
  </numFmts>
  <fonts count="17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Arial"/>
      <family val="2"/>
    </font>
    <font>
      <sz val="11"/>
      <color indexed="8"/>
      <name val="Calibri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22"/>
      <color theme="1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22"/>
      <color rgb="FFFF0000"/>
      <name val="Arial"/>
      <family val="2"/>
    </font>
    <font>
      <sz val="12"/>
      <color rgb="FF000000"/>
      <name val="Arial"/>
      <family val="2"/>
    </font>
    <font>
      <b/>
      <sz val="8"/>
      <color theme="1"/>
      <name val="Arial"/>
      <family val="2"/>
    </font>
    <font>
      <b/>
      <sz val="11"/>
      <color theme="0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color theme="0" tint="-0.14999847407452621"/>
      <name val="arial"/>
      <family val="2"/>
    </font>
    <font>
      <sz val="12"/>
      <color rgb="FFFF0000"/>
      <name val="Arial"/>
      <family val="2"/>
    </font>
    <font>
      <b/>
      <sz val="9"/>
      <color theme="0"/>
      <name val="Arial"/>
      <family val="2"/>
    </font>
    <font>
      <sz val="10"/>
      <color theme="0" tint="-0.1499984740745262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sz val="13"/>
      <color theme="1"/>
      <name val="arial"/>
      <family val="2"/>
    </font>
    <font>
      <sz val="7"/>
      <color theme="9" tint="0.79998168889431442"/>
      <name val="arial"/>
      <family val="2"/>
    </font>
    <font>
      <b/>
      <sz val="8"/>
      <color theme="0"/>
      <name val="Arial"/>
      <family val="2"/>
    </font>
    <font>
      <b/>
      <sz val="9"/>
      <color theme="9" tint="0.79998168889431442"/>
      <name val="arial"/>
      <family val="2"/>
    </font>
    <font>
      <b/>
      <sz val="14"/>
      <color theme="0" tint="-0.34998626667073579"/>
      <name val="Arial"/>
      <family val="2"/>
    </font>
    <font>
      <b/>
      <sz val="11"/>
      <color theme="1"/>
      <name val="Calibri"/>
      <family val="2"/>
      <scheme val="minor"/>
    </font>
    <font>
      <sz val="11"/>
      <name val="Tahoma"/>
      <family val="2"/>
    </font>
    <font>
      <sz val="10"/>
      <name val="Tahoma"/>
      <family val="2"/>
    </font>
    <font>
      <sz val="12"/>
      <name val="Tahoma"/>
      <family val="2"/>
    </font>
    <font>
      <sz val="10"/>
      <name val="Calibri"/>
      <family val="2"/>
    </font>
    <font>
      <sz val="10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  <charset val="1"/>
    </font>
    <font>
      <b/>
      <sz val="13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0"/>
      <name val="MS Sans Serif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rgb="FF000000"/>
      <name val="Arial"/>
      <family val="2"/>
      <charset val="1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6"/>
      <color theme="1"/>
      <name val="Arial"/>
      <family val="2"/>
    </font>
    <font>
      <sz val="14"/>
      <name val="Calibri"/>
      <family val="2"/>
      <scheme val="minor"/>
    </font>
    <font>
      <sz val="9"/>
      <name val="Calibri"/>
      <family val="2"/>
    </font>
    <font>
      <sz val="20"/>
      <color theme="1"/>
      <name val="Arial"/>
      <family val="2"/>
    </font>
    <font>
      <sz val="16"/>
      <color theme="0" tint="-4.9989318521683403E-2"/>
      <name val="arial"/>
      <family val="2"/>
    </font>
    <font>
      <b/>
      <sz val="12"/>
      <color indexed="8"/>
      <name val="Arial"/>
      <family val="2"/>
    </font>
    <font>
      <sz val="8"/>
      <name val="Tahoma"/>
      <family val="2"/>
    </font>
    <font>
      <b/>
      <sz val="12"/>
      <color rgb="FFFF0000"/>
      <name val="Arial"/>
      <family val="2"/>
    </font>
    <font>
      <sz val="11"/>
      <color rgb="FF00B0F0"/>
      <name val="Calibri"/>
      <family val="2"/>
      <scheme val="minor"/>
    </font>
    <font>
      <sz val="12"/>
      <color theme="1"/>
      <name val="Tahoma"/>
      <family val="2"/>
    </font>
    <font>
      <sz val="12"/>
      <color theme="0"/>
      <name val="Arial"/>
      <family val="2"/>
    </font>
    <font>
      <sz val="14"/>
      <color theme="1"/>
      <name val="Arial"/>
      <family val="2"/>
    </font>
    <font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name val="Tahoma"/>
      <family val="2"/>
    </font>
    <font>
      <b/>
      <sz val="11"/>
      <name val="Arial"/>
      <family val="2"/>
    </font>
    <font>
      <sz val="11"/>
      <color rgb="FF000000"/>
      <name val="Calibri"/>
      <family val="2"/>
      <charset val="1"/>
    </font>
    <font>
      <sz val="16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name val="Tahoma"/>
      <family val="2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0"/>
      <name val="Arial"/>
      <family val="2"/>
    </font>
    <font>
      <sz val="8"/>
      <color theme="1"/>
      <name val="Tahoma"/>
      <family val="2"/>
    </font>
    <font>
      <b/>
      <sz val="7"/>
      <color theme="1"/>
      <name val="Tahoma"/>
      <family val="2"/>
    </font>
    <font>
      <b/>
      <sz val="14"/>
      <name val="Tahoma"/>
      <family val="2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2"/>
      <name val="Tahoma"/>
      <family val="2"/>
    </font>
    <font>
      <sz val="7"/>
      <color theme="1"/>
      <name val="arial"/>
      <family val="2"/>
    </font>
    <font>
      <sz val="10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sz val="14"/>
      <color theme="3"/>
      <name val="Arial"/>
      <family val="2"/>
    </font>
    <font>
      <sz val="9"/>
      <color theme="0"/>
      <name val="Arial"/>
      <family val="2"/>
    </font>
    <font>
      <sz val="10"/>
      <color rgb="FFFF0000"/>
      <name val="Arial"/>
      <family val="2"/>
    </font>
    <font>
      <b/>
      <sz val="12"/>
      <color theme="1"/>
      <name val="Tahoma"/>
      <family val="2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u/>
      <sz val="11"/>
      <color theme="1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sz val="14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b/>
      <sz val="14"/>
      <color rgb="FFFF0000"/>
      <name val="Arial"/>
      <family val="2"/>
    </font>
    <font>
      <sz val="16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Arial"/>
      <family val="2"/>
    </font>
    <font>
      <b/>
      <sz val="18"/>
      <color rgb="FFFF0000"/>
      <name val="Arial"/>
      <family val="2"/>
    </font>
    <font>
      <b/>
      <sz val="17"/>
      <color theme="1"/>
      <name val="Arial"/>
      <family val="2"/>
    </font>
    <font>
      <b/>
      <sz val="17"/>
      <color rgb="FFFF0000"/>
      <name val="Arial"/>
      <family val="2"/>
    </font>
    <font>
      <b/>
      <sz val="22"/>
      <color theme="1"/>
      <name val="Arial"/>
      <family val="2"/>
    </font>
    <font>
      <b/>
      <sz val="20"/>
      <name val="Arial"/>
      <family val="2"/>
    </font>
    <font>
      <b/>
      <sz val="27"/>
      <color theme="1"/>
      <name val="Calibri"/>
      <family val="2"/>
      <scheme val="minor"/>
    </font>
    <font>
      <b/>
      <sz val="28"/>
      <color theme="1"/>
      <name val="Arial"/>
      <family val="2"/>
    </font>
    <font>
      <b/>
      <sz val="28"/>
      <color theme="1"/>
      <name val="Calibri"/>
      <family val="2"/>
      <scheme val="minor"/>
    </font>
    <font>
      <b/>
      <sz val="28"/>
      <color rgb="FFFF0000"/>
      <name val="Arial"/>
      <family val="2"/>
    </font>
    <font>
      <b/>
      <sz val="28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8"/>
      <name val="Calibri"/>
      <family val="2"/>
      <scheme val="minor"/>
    </font>
    <font>
      <b/>
      <sz val="20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2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rgb="FF222222"/>
      <name val="Arial"/>
      <family val="2"/>
    </font>
    <font>
      <b/>
      <sz val="12"/>
      <color rgb="FF222222"/>
      <name val="Arial"/>
      <family val="2"/>
    </font>
    <font>
      <b/>
      <u/>
      <sz val="12"/>
      <color rgb="FF222222"/>
      <name val="Arial"/>
      <family val="2"/>
    </font>
    <font>
      <b/>
      <sz val="16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9999FF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rgb="FFCCCCFF"/>
      </patternFill>
    </fill>
    <fill>
      <patternFill patternType="solid">
        <fgColor rgb="FFFFFF00"/>
        <bgColor rgb="FFCCCCFF"/>
      </patternFill>
    </fill>
    <fill>
      <patternFill patternType="solid">
        <fgColor theme="5" tint="0.39997558519241921"/>
        <bgColor rgb="FF9999FF"/>
      </patternFill>
    </fill>
    <fill>
      <patternFill patternType="solid">
        <fgColor theme="4" tint="0.59999389629810485"/>
        <bgColor rgb="FFCCCCFF"/>
      </patternFill>
    </fill>
    <fill>
      <patternFill patternType="solid">
        <fgColor rgb="FFE6B9B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34">
    <xf numFmtId="0" fontId="0" fillId="0" borderId="0"/>
    <xf numFmtId="165" fontId="8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11" fillId="0" borderId="0"/>
    <xf numFmtId="0" fontId="9" fillId="0" borderId="0"/>
    <xf numFmtId="0" fontId="8" fillId="0" borderId="0"/>
    <xf numFmtId="165" fontId="53" fillId="0" borderId="0" applyFont="0" applyFill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2" borderId="0" applyNumberFormat="0" applyBorder="0" applyAlignment="0" applyProtection="0"/>
    <xf numFmtId="0" fontId="11" fillId="25" borderId="0" applyNumberFormat="0" applyBorder="0" applyAlignment="0" applyProtection="0"/>
    <xf numFmtId="0" fontId="11" fillId="28" borderId="0" applyNumberFormat="0" applyBorder="0" applyAlignment="0" applyProtection="0"/>
    <xf numFmtId="0" fontId="57" fillId="29" borderId="0" applyNumberFormat="0" applyBorder="0" applyAlignment="0" applyProtection="0"/>
    <xf numFmtId="0" fontId="57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58" fillId="21" borderId="0" applyNumberFormat="0" applyBorder="0" applyAlignment="0" applyProtection="0"/>
    <xf numFmtId="0" fontId="59" fillId="33" borderId="51" applyNumberFormat="0" applyAlignment="0" applyProtection="0"/>
    <xf numFmtId="0" fontId="60" fillId="34" borderId="52" applyNumberFormat="0" applyAlignment="0" applyProtection="0"/>
    <xf numFmtId="0" fontId="61" fillId="0" borderId="53" applyNumberFormat="0" applyFill="0" applyAlignment="0" applyProtection="0"/>
    <xf numFmtId="0" fontId="11" fillId="0" borderId="0" applyNumberFormat="0" applyFont="0" applyFill="0" applyBorder="0" applyAlignment="0" applyProtection="0"/>
    <xf numFmtId="0" fontId="62" fillId="0" borderId="0" applyNumberFormat="0" applyFill="0" applyBorder="0" applyAlignment="0" applyProtection="0"/>
    <xf numFmtId="0" fontId="57" fillId="35" borderId="0" applyNumberFormat="0" applyBorder="0" applyAlignment="0" applyProtection="0"/>
    <xf numFmtId="0" fontId="57" fillId="36" borderId="0" applyNumberFormat="0" applyBorder="0" applyAlignment="0" applyProtection="0"/>
    <xf numFmtId="0" fontId="57" fillId="37" borderId="0" applyNumberFormat="0" applyBorder="0" applyAlignment="0" applyProtection="0"/>
    <xf numFmtId="0" fontId="5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8" borderId="0" applyNumberFormat="0" applyBorder="0" applyAlignment="0" applyProtection="0"/>
    <xf numFmtId="0" fontId="63" fillId="24" borderId="51" applyNumberFormat="0" applyAlignment="0" applyProtection="0"/>
    <xf numFmtId="164" fontId="9" fillId="0" borderId="0" applyFont="0" applyFill="0" applyBorder="0" applyAlignment="0" applyProtection="0"/>
    <xf numFmtId="0" fontId="11" fillId="0" borderId="0"/>
    <xf numFmtId="0" fontId="64" fillId="20" borderId="0" applyNumberFormat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66" fillId="3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11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40" borderId="54" applyNumberFormat="0" applyFont="0" applyAlignment="0" applyProtection="0"/>
    <xf numFmtId="0" fontId="67" fillId="33" borderId="55" applyNumberFormat="0" applyAlignment="0" applyProtection="0"/>
    <xf numFmtId="0" fontId="68" fillId="0" borderId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56" applyNumberFormat="0" applyFill="0" applyAlignment="0" applyProtection="0"/>
    <xf numFmtId="0" fontId="72" fillId="0" borderId="57" applyNumberFormat="0" applyFill="0" applyAlignment="0" applyProtection="0"/>
    <xf numFmtId="0" fontId="62" fillId="0" borderId="58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59" applyNumberFormat="0" applyFill="0" applyAlignment="0" applyProtection="0"/>
    <xf numFmtId="0" fontId="59" fillId="33" borderId="68" applyNumberFormat="0" applyAlignment="0" applyProtection="0"/>
    <xf numFmtId="0" fontId="63" fillId="24" borderId="68" applyNumberFormat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9" fillId="40" borderId="69" applyNumberFormat="0" applyFont="0" applyAlignment="0" applyProtection="0"/>
    <xf numFmtId="0" fontId="67" fillId="33" borderId="70" applyNumberFormat="0" applyAlignment="0" applyProtection="0"/>
    <xf numFmtId="0" fontId="74" fillId="0" borderId="71" applyNumberFormat="0" applyFill="0" applyAlignment="0" applyProtection="0"/>
    <xf numFmtId="0" fontId="94" fillId="0" borderId="0"/>
    <xf numFmtId="0" fontId="8" fillId="0" borderId="0"/>
    <xf numFmtId="0" fontId="9" fillId="0" borderId="0"/>
    <xf numFmtId="43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165" fontId="1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9" fillId="0" borderId="0"/>
    <xf numFmtId="0" fontId="9" fillId="0" borderId="0"/>
  </cellStyleXfs>
  <cellXfs count="1883">
    <xf numFmtId="0" fontId="0" fillId="0" borderId="0" xfId="0"/>
    <xf numFmtId="4" fontId="10" fillId="3" borderId="7" xfId="0" applyNumberFormat="1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left" vertical="center"/>
    </xf>
    <xf numFmtId="0" fontId="12" fillId="4" borderId="18" xfId="0" applyFont="1" applyFill="1" applyBorder="1" applyAlignment="1">
      <alignment horizontal="left" vertical="center"/>
    </xf>
    <xf numFmtId="49" fontId="12" fillId="4" borderId="1" xfId="0" applyNumberFormat="1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/>
    </xf>
    <xf numFmtId="49" fontId="12" fillId="4" borderId="9" xfId="0" applyNumberFormat="1" applyFont="1" applyFill="1" applyBorder="1" applyAlignment="1">
      <alignment horizontal="left" vertical="center"/>
    </xf>
    <xf numFmtId="0" fontId="12" fillId="4" borderId="1" xfId="0" applyNumberFormat="1" applyFont="1" applyFill="1" applyBorder="1" applyAlignment="1">
      <alignment horizontal="left" vertical="center"/>
    </xf>
    <xf numFmtId="49" fontId="12" fillId="4" borderId="9" xfId="0" quotePrefix="1" applyNumberFormat="1" applyFont="1" applyFill="1" applyBorder="1" applyAlignment="1">
      <alignment horizontal="left" vertical="center"/>
    </xf>
    <xf numFmtId="49" fontId="12" fillId="4" borderId="1" xfId="0" quotePrefix="1" applyNumberFormat="1" applyFont="1" applyFill="1" applyBorder="1" applyAlignment="1">
      <alignment horizontal="left" vertical="center"/>
    </xf>
    <xf numFmtId="1" fontId="12" fillId="4" borderId="18" xfId="0" applyNumberFormat="1" applyFont="1" applyFill="1" applyBorder="1" applyAlignment="1">
      <alignment horizontal="left" vertical="center"/>
    </xf>
    <xf numFmtId="1" fontId="12" fillId="4" borderId="1" xfId="0" applyNumberFormat="1" applyFont="1" applyFill="1" applyBorder="1" applyAlignment="1">
      <alignment horizontal="left" vertical="center"/>
    </xf>
    <xf numFmtId="49" fontId="12" fillId="4" borderId="0" xfId="0" applyNumberFormat="1" applyFont="1" applyFill="1" applyAlignment="1">
      <alignment horizontal="left" vertical="center"/>
    </xf>
    <xf numFmtId="0" fontId="17" fillId="2" borderId="6" xfId="0" applyFont="1" applyFill="1" applyBorder="1" applyAlignment="1">
      <alignment horizontal="center" vertical="center"/>
    </xf>
    <xf numFmtId="49" fontId="17" fillId="2" borderId="7" xfId="0" applyNumberFormat="1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49" fontId="17" fillId="2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7" fillId="4" borderId="0" xfId="0" applyFont="1" applyFill="1"/>
    <xf numFmtId="0" fontId="7" fillId="4" borderId="0" xfId="0" applyNumberFormat="1" applyFont="1" applyFill="1" applyAlignment="1">
      <alignment horizontal="center"/>
    </xf>
    <xf numFmtId="0" fontId="7" fillId="4" borderId="0" xfId="1" applyNumberFormat="1" applyFont="1" applyFill="1" applyBorder="1" applyAlignment="1">
      <alignment horizontal="center"/>
    </xf>
    <xf numFmtId="0" fontId="19" fillId="4" borderId="0" xfId="0" applyFont="1" applyFill="1" applyAlignment="1">
      <alignment vertical="center"/>
    </xf>
    <xf numFmtId="14" fontId="16" fillId="2" borderId="8" xfId="0" applyNumberFormat="1" applyFont="1" applyFill="1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left" vertical="center"/>
    </xf>
    <xf numFmtId="0" fontId="13" fillId="4" borderId="16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0" fontId="13" fillId="4" borderId="12" xfId="0" applyNumberFormat="1" applyFont="1" applyFill="1" applyBorder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7" fillId="4" borderId="18" xfId="0" applyFont="1" applyFill="1" applyBorder="1" applyAlignment="1">
      <alignment horizontal="left" vertical="center"/>
    </xf>
    <xf numFmtId="0" fontId="13" fillId="4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/>
    </xf>
    <xf numFmtId="0" fontId="7" fillId="4" borderId="15" xfId="0" applyFont="1" applyFill="1" applyBorder="1" applyAlignment="1">
      <alignment horizontal="left" vertical="center"/>
    </xf>
    <xf numFmtId="9" fontId="7" fillId="4" borderId="19" xfId="0" applyNumberFormat="1" applyFont="1" applyFill="1" applyBorder="1" applyAlignment="1">
      <alignment horizontal="left" vertical="center"/>
    </xf>
    <xf numFmtId="0" fontId="7" fillId="4" borderId="19" xfId="0" applyFont="1" applyFill="1" applyBorder="1" applyAlignment="1">
      <alignment horizontal="left" vertical="center"/>
    </xf>
    <xf numFmtId="0" fontId="13" fillId="4" borderId="1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left" vertical="center" wrapText="1"/>
    </xf>
    <xf numFmtId="10" fontId="7" fillId="4" borderId="1" xfId="0" applyNumberFormat="1" applyFont="1" applyFill="1" applyBorder="1" applyAlignment="1">
      <alignment horizontal="left" vertical="center"/>
    </xf>
    <xf numFmtId="10" fontId="13" fillId="4" borderId="1" xfId="0" applyNumberFormat="1" applyFont="1" applyFill="1" applyBorder="1" applyAlignment="1">
      <alignment horizontal="left" vertical="center"/>
    </xf>
    <xf numFmtId="0" fontId="13" fillId="4" borderId="12" xfId="0" applyFont="1" applyFill="1" applyBorder="1" applyAlignment="1">
      <alignment horizontal="left" vertical="center" wrapText="1"/>
    </xf>
    <xf numFmtId="0" fontId="13" fillId="4" borderId="12" xfId="0" applyFont="1" applyFill="1" applyBorder="1" applyAlignment="1">
      <alignment horizontal="left" vertical="center"/>
    </xf>
    <xf numFmtId="10" fontId="7" fillId="4" borderId="12" xfId="0" applyNumberFormat="1" applyFont="1" applyFill="1" applyBorder="1" applyAlignment="1">
      <alignment horizontal="left" vertical="center"/>
    </xf>
    <xf numFmtId="0" fontId="18" fillId="6" borderId="8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 wrapText="1"/>
    </xf>
    <xf numFmtId="0" fontId="16" fillId="2" borderId="6" xfId="0" applyNumberFormat="1" applyFont="1" applyFill="1" applyBorder="1" applyAlignment="1">
      <alignment horizontal="center" vertical="center"/>
    </xf>
    <xf numFmtId="0" fontId="7" fillId="4" borderId="0" xfId="0" applyNumberFormat="1" applyFont="1" applyFill="1"/>
    <xf numFmtId="166" fontId="7" fillId="4" borderId="16" xfId="0" applyNumberFormat="1" applyFont="1" applyFill="1" applyBorder="1" applyAlignment="1">
      <alignment horizontal="center" vertical="center"/>
    </xf>
    <xf numFmtId="166" fontId="7" fillId="4" borderId="2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left" vertical="center"/>
    </xf>
    <xf numFmtId="0" fontId="13" fillId="4" borderId="21" xfId="0" applyNumberFormat="1" applyFont="1" applyFill="1" applyBorder="1" applyAlignment="1">
      <alignment horizontal="left" vertical="center"/>
    </xf>
    <xf numFmtId="0" fontId="13" fillId="4" borderId="25" xfId="0" applyNumberFormat="1" applyFont="1" applyFill="1" applyBorder="1" applyAlignment="1">
      <alignment horizontal="left" vertical="center"/>
    </xf>
    <xf numFmtId="0" fontId="13" fillId="4" borderId="24" xfId="0" applyNumberFormat="1" applyFont="1" applyFill="1" applyBorder="1" applyAlignment="1">
      <alignment horizontal="left" vertical="center"/>
    </xf>
    <xf numFmtId="0" fontId="14" fillId="6" borderId="25" xfId="0" applyFont="1" applyFill="1" applyBorder="1" applyAlignment="1">
      <alignment horizontal="left" vertical="center"/>
    </xf>
    <xf numFmtId="0" fontId="14" fillId="6" borderId="25" xfId="0" applyFont="1" applyFill="1" applyBorder="1" applyAlignment="1">
      <alignment horizontal="center" vertical="center"/>
    </xf>
    <xf numFmtId="0" fontId="14" fillId="6" borderId="24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 wrapText="1"/>
    </xf>
    <xf numFmtId="49" fontId="7" fillId="4" borderId="9" xfId="0" applyNumberFormat="1" applyFont="1" applyFill="1" applyBorder="1" applyAlignment="1">
      <alignment horizontal="left" vertical="center"/>
    </xf>
    <xf numFmtId="0" fontId="23" fillId="4" borderId="0" xfId="5" applyFont="1" applyFill="1" applyAlignment="1">
      <alignment horizontal="center" vertical="center"/>
    </xf>
    <xf numFmtId="0" fontId="23" fillId="4" borderId="0" xfId="5" applyFont="1" applyFill="1" applyAlignment="1">
      <alignment horizontal="center" vertical="center" wrapText="1"/>
    </xf>
    <xf numFmtId="165" fontId="23" fillId="4" borderId="0" xfId="1" applyFont="1" applyFill="1" applyAlignment="1">
      <alignment horizontal="center" vertical="center"/>
    </xf>
    <xf numFmtId="4" fontId="12" fillId="4" borderId="0" xfId="0" applyNumberFormat="1" applyFont="1" applyFill="1" applyAlignment="1">
      <alignment horizontal="center" vertical="center"/>
    </xf>
    <xf numFmtId="0" fontId="4" fillId="4" borderId="18" xfId="0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49" fontId="4" fillId="4" borderId="9" xfId="0" applyNumberFormat="1" applyFont="1" applyFill="1" applyBorder="1" applyAlignment="1">
      <alignment horizontal="left" vertical="center"/>
    </xf>
    <xf numFmtId="0" fontId="3" fillId="4" borderId="18" xfId="0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49" fontId="3" fillId="4" borderId="9" xfId="0" applyNumberFormat="1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18" xfId="0" applyFont="1" applyFill="1" applyBorder="1" applyAlignment="1">
      <alignment horizontal="left" vertical="center"/>
    </xf>
    <xf numFmtId="0" fontId="7" fillId="4" borderId="0" xfId="0" applyFont="1" applyFill="1" applyAlignment="1">
      <alignment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 wrapText="1"/>
    </xf>
    <xf numFmtId="0" fontId="1" fillId="0" borderId="22" xfId="0" applyFont="1" applyFill="1" applyBorder="1"/>
    <xf numFmtId="0" fontId="1" fillId="0" borderId="1" xfId="0" applyFont="1" applyFill="1" applyBorder="1"/>
    <xf numFmtId="0" fontId="1" fillId="0" borderId="12" xfId="0" applyFont="1" applyFill="1" applyBorder="1"/>
    <xf numFmtId="0" fontId="7" fillId="4" borderId="32" xfId="0" applyFont="1" applyFill="1" applyBorder="1" applyAlignment="1">
      <alignment horizontal="left" vertical="center"/>
    </xf>
    <xf numFmtId="0" fontId="1" fillId="4" borderId="33" xfId="0" applyFont="1" applyFill="1" applyBorder="1" applyAlignment="1">
      <alignment horizontal="left" vertical="center"/>
    </xf>
    <xf numFmtId="0" fontId="7" fillId="4" borderId="33" xfId="0" applyFont="1" applyFill="1" applyBorder="1" applyAlignment="1">
      <alignment horizontal="left" vertical="center"/>
    </xf>
    <xf numFmtId="0" fontId="21" fillId="8" borderId="30" xfId="0" applyFont="1" applyFill="1" applyBorder="1" applyAlignment="1">
      <alignment horizontal="center" vertical="center"/>
    </xf>
    <xf numFmtId="0" fontId="25" fillId="5" borderId="24" xfId="0" applyFont="1" applyFill="1" applyBorder="1" applyAlignment="1">
      <alignment horizontal="center" vertical="center"/>
    </xf>
    <xf numFmtId="4" fontId="28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24" fillId="4" borderId="16" xfId="0" applyFont="1" applyFill="1" applyBorder="1" applyAlignment="1">
      <alignment horizontal="left" vertical="center"/>
    </xf>
    <xf numFmtId="4" fontId="31" fillId="4" borderId="9" xfId="5" applyNumberFormat="1" applyFont="1" applyFill="1" applyBorder="1" applyAlignment="1">
      <alignment horizontal="center" vertical="center"/>
    </xf>
    <xf numFmtId="4" fontId="31" fillId="4" borderId="0" xfId="5" applyNumberFormat="1" applyFont="1" applyFill="1" applyAlignment="1">
      <alignment horizontal="center" vertical="center"/>
    </xf>
    <xf numFmtId="0" fontId="24" fillId="4" borderId="18" xfId="0" applyFont="1" applyFill="1" applyBorder="1" applyAlignment="1">
      <alignment horizontal="left" vertical="center"/>
    </xf>
    <xf numFmtId="0" fontId="23" fillId="4" borderId="18" xfId="0" applyFont="1" applyFill="1" applyBorder="1" applyAlignment="1">
      <alignment horizontal="left" vertical="center"/>
    </xf>
    <xf numFmtId="0" fontId="23" fillId="4" borderId="18" xfId="5" applyFont="1" applyFill="1" applyBorder="1" applyAlignment="1">
      <alignment horizontal="left" vertical="center"/>
    </xf>
    <xf numFmtId="0" fontId="23" fillId="4" borderId="15" xfId="5" applyFont="1" applyFill="1" applyBorder="1" applyAlignment="1">
      <alignment horizontal="left" vertical="center"/>
    </xf>
    <xf numFmtId="0" fontId="23" fillId="4" borderId="0" xfId="5" applyFont="1" applyFill="1" applyAlignment="1">
      <alignment horizontal="left" vertical="center"/>
    </xf>
    <xf numFmtId="4" fontId="31" fillId="4" borderId="9" xfId="5" applyNumberFormat="1" applyFont="1" applyFill="1" applyBorder="1" applyAlignment="1">
      <alignment horizontal="left" vertical="center"/>
    </xf>
    <xf numFmtId="4" fontId="31" fillId="4" borderId="20" xfId="5" applyNumberFormat="1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4" fontId="1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49" fontId="1" fillId="4" borderId="1" xfId="0" applyNumberFormat="1" applyFont="1" applyFill="1" applyBorder="1" applyAlignment="1">
      <alignment horizontal="left" vertical="center"/>
    </xf>
    <xf numFmtId="165" fontId="23" fillId="4" borderId="0" xfId="5" applyNumberFormat="1" applyFont="1" applyFill="1" applyAlignment="1">
      <alignment horizontal="center" vertical="center"/>
    </xf>
    <xf numFmtId="43" fontId="23" fillId="4" borderId="0" xfId="5" applyNumberFormat="1" applyFont="1" applyFill="1" applyAlignment="1">
      <alignment horizontal="center" vertical="center"/>
    </xf>
    <xf numFmtId="10" fontId="1" fillId="2" borderId="12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2" fontId="13" fillId="4" borderId="1" xfId="0" applyNumberFormat="1" applyFont="1" applyFill="1" applyBorder="1" applyAlignment="1">
      <alignment horizontal="left" vertical="center"/>
    </xf>
    <xf numFmtId="2" fontId="18" fillId="6" borderId="25" xfId="0" applyNumberFormat="1" applyFont="1" applyFill="1" applyBorder="1" applyAlignment="1">
      <alignment horizontal="center" vertical="center"/>
    </xf>
    <xf numFmtId="2" fontId="7" fillId="4" borderId="12" xfId="0" applyNumberFormat="1" applyFont="1" applyFill="1" applyBorder="1" applyAlignment="1">
      <alignment horizontal="left" vertical="center"/>
    </xf>
    <xf numFmtId="2" fontId="7" fillId="4" borderId="1" xfId="0" applyNumberFormat="1" applyFont="1" applyFill="1" applyBorder="1" applyAlignment="1">
      <alignment horizontal="left" vertical="center"/>
    </xf>
    <xf numFmtId="2" fontId="1" fillId="4" borderId="1" xfId="0" applyNumberFormat="1" applyFont="1" applyFill="1" applyBorder="1" applyAlignment="1">
      <alignment horizontal="left" vertical="center"/>
    </xf>
    <xf numFmtId="2" fontId="7" fillId="4" borderId="19" xfId="0" applyNumberFormat="1" applyFont="1" applyFill="1" applyBorder="1" applyAlignment="1">
      <alignment horizontal="left" vertical="center"/>
    </xf>
    <xf numFmtId="2" fontId="7" fillId="4" borderId="0" xfId="0" applyNumberFormat="1" applyFont="1" applyFill="1" applyAlignment="1">
      <alignment horizontal="left" vertical="center"/>
    </xf>
    <xf numFmtId="2" fontId="10" fillId="6" borderId="28" xfId="0" applyNumberFormat="1" applyFont="1" applyFill="1" applyBorder="1" applyAlignment="1">
      <alignment horizontal="center" vertical="center"/>
    </xf>
    <xf numFmtId="167" fontId="26" fillId="9" borderId="1" xfId="1" applyNumberFormat="1" applyFont="1" applyFill="1" applyBorder="1" applyAlignment="1">
      <alignment horizontal="center" vertical="center"/>
    </xf>
    <xf numFmtId="2" fontId="13" fillId="2" borderId="1" xfId="0" applyNumberFormat="1" applyFont="1" applyFill="1" applyBorder="1" applyAlignment="1">
      <alignment horizontal="left" vertical="center"/>
    </xf>
    <xf numFmtId="1" fontId="1" fillId="4" borderId="14" xfId="0" applyNumberFormat="1" applyFont="1" applyFill="1" applyBorder="1" applyAlignment="1">
      <alignment horizontal="center" vertical="center"/>
    </xf>
    <xf numFmtId="2" fontId="12" fillId="4" borderId="0" xfId="0" applyNumberFormat="1" applyFont="1" applyFill="1" applyAlignment="1">
      <alignment horizontal="center" vertical="center"/>
    </xf>
    <xf numFmtId="0" fontId="1" fillId="0" borderId="0" xfId="0" applyFont="1" applyFill="1" applyBorder="1"/>
    <xf numFmtId="0" fontId="15" fillId="4" borderId="0" xfId="0" applyFont="1" applyFill="1" applyBorder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5" fillId="4" borderId="0" xfId="0" applyFont="1" applyFill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3" fontId="20" fillId="2" borderId="13" xfId="0" applyNumberFormat="1" applyFont="1" applyFill="1" applyBorder="1" applyAlignment="1" applyProtection="1">
      <alignment horizontal="center" vertical="center"/>
      <protection locked="0"/>
    </xf>
    <xf numFmtId="0" fontId="7" fillId="4" borderId="25" xfId="0" applyFont="1" applyFill="1" applyBorder="1" applyAlignment="1">
      <alignment horizontal="left" vertical="center"/>
    </xf>
    <xf numFmtId="10" fontId="10" fillId="4" borderId="12" xfId="0" applyNumberFormat="1" applyFont="1" applyFill="1" applyBorder="1" applyAlignment="1">
      <alignment horizontal="left" vertical="center"/>
    </xf>
    <xf numFmtId="0" fontId="10" fillId="4" borderId="12" xfId="0" applyFont="1" applyFill="1" applyBorder="1" applyAlignment="1">
      <alignment horizontal="left" vertical="center"/>
    </xf>
    <xf numFmtId="0" fontId="35" fillId="4" borderId="0" xfId="0" applyFont="1" applyFill="1" applyAlignment="1">
      <alignment horizontal="left" vertical="center"/>
    </xf>
    <xf numFmtId="0" fontId="32" fillId="4" borderId="0" xfId="0" applyFont="1" applyFill="1" applyAlignment="1">
      <alignment horizontal="left" vertical="center"/>
    </xf>
    <xf numFmtId="4" fontId="10" fillId="3" borderId="7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4" fontId="14" fillId="3" borderId="7" xfId="0" applyNumberFormat="1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4" fontId="10" fillId="3" borderId="25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" fontId="10" fillId="2" borderId="6" xfId="0" applyNumberFormat="1" applyFont="1" applyFill="1" applyBorder="1" applyAlignment="1">
      <alignment horizontal="center" vertical="center"/>
    </xf>
    <xf numFmtId="4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/>
    </xf>
    <xf numFmtId="2" fontId="1" fillId="10" borderId="1" xfId="0" applyNumberFormat="1" applyFont="1" applyFill="1" applyBorder="1" applyAlignment="1">
      <alignment horizontal="left" vertical="center"/>
    </xf>
    <xf numFmtId="0" fontId="2" fillId="10" borderId="1" xfId="0" applyNumberFormat="1" applyFont="1" applyFill="1" applyBorder="1" applyAlignment="1">
      <alignment horizontal="left" vertical="center"/>
    </xf>
    <xf numFmtId="165" fontId="1" fillId="4" borderId="9" xfId="1" applyFont="1" applyFill="1" applyBorder="1"/>
    <xf numFmtId="165" fontId="1" fillId="4" borderId="20" xfId="1" applyFont="1" applyFill="1" applyBorder="1"/>
    <xf numFmtId="14" fontId="10" fillId="3" borderId="7" xfId="0" applyNumberFormat="1" applyFont="1" applyFill="1" applyBorder="1" applyAlignment="1">
      <alignment horizontal="center" vertical="center" wrapText="1"/>
    </xf>
    <xf numFmtId="1" fontId="1" fillId="0" borderId="22" xfId="0" applyNumberFormat="1" applyFont="1" applyFill="1" applyBorder="1" applyAlignment="1">
      <alignment horizontal="center"/>
    </xf>
    <xf numFmtId="0" fontId="1" fillId="0" borderId="22" xfId="0" applyFont="1" applyFill="1" applyBorder="1" applyAlignment="1">
      <alignment horizontal="right"/>
    </xf>
    <xf numFmtId="1" fontId="1" fillId="0" borderId="1" xfId="0" applyNumberFormat="1" applyFont="1" applyFill="1" applyBorder="1" applyAlignment="1">
      <alignment horizontal="center"/>
    </xf>
    <xf numFmtId="1" fontId="1" fillId="0" borderId="12" xfId="0" applyNumberFormat="1" applyFont="1" applyFill="1" applyBorder="1" applyAlignment="1">
      <alignment horizontal="center"/>
    </xf>
    <xf numFmtId="0" fontId="1" fillId="0" borderId="12" xfId="0" applyNumberFormat="1" applyFont="1" applyFill="1" applyBorder="1"/>
    <xf numFmtId="0" fontId="1" fillId="0" borderId="1" xfId="0" applyNumberFormat="1" applyFont="1" applyFill="1" applyBorder="1" applyAlignment="1">
      <alignment horizontal="left"/>
    </xf>
    <xf numFmtId="4" fontId="12" fillId="4" borderId="0" xfId="0" applyNumberFormat="1" applyFont="1" applyFill="1" applyAlignment="1" applyProtection="1">
      <alignment horizontal="center" vertical="center"/>
      <protection locked="0"/>
    </xf>
    <xf numFmtId="2" fontId="12" fillId="4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4" fontId="1" fillId="4" borderId="0" xfId="0" applyNumberFormat="1" applyFont="1" applyFill="1" applyAlignment="1" applyProtection="1">
      <alignment horizontal="center" vertical="center"/>
      <protection locked="0"/>
    </xf>
    <xf numFmtId="4" fontId="10" fillId="3" borderId="7" xfId="0" applyNumberFormat="1" applyFont="1" applyFill="1" applyBorder="1" applyAlignment="1" applyProtection="1">
      <alignment horizontal="center" vertical="center" wrapText="1"/>
      <protection locked="0"/>
    </xf>
    <xf numFmtId="4" fontId="10" fillId="3" borderId="27" xfId="0" applyNumberFormat="1" applyFont="1" applyFill="1" applyBorder="1" applyAlignment="1" applyProtection="1">
      <alignment horizontal="center" vertical="center" wrapText="1"/>
      <protection locked="0"/>
    </xf>
    <xf numFmtId="4" fontId="40" fillId="4" borderId="0" xfId="0" applyNumberFormat="1" applyFont="1" applyFill="1" applyAlignment="1" applyProtection="1">
      <alignment horizontal="center" vertical="center"/>
      <protection locked="0"/>
    </xf>
    <xf numFmtId="4" fontId="1" fillId="11" borderId="11" xfId="0" applyNumberFormat="1" applyFont="1" applyFill="1" applyBorder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horizontal="center" vertical="center"/>
      <protection locked="0"/>
    </xf>
    <xf numFmtId="0" fontId="19" fillId="4" borderId="0" xfId="0" applyFont="1" applyFill="1" applyAlignment="1" applyProtection="1">
      <alignment vertical="center"/>
      <protection locked="0"/>
    </xf>
    <xf numFmtId="0" fontId="19" fillId="4" borderId="0" xfId="0" applyFont="1" applyFill="1" applyAlignment="1" applyProtection="1">
      <alignment horizontal="left" vertical="center"/>
      <protection locked="0"/>
    </xf>
    <xf numFmtId="0" fontId="19" fillId="4" borderId="0" xfId="0" applyFont="1" applyFill="1" applyBorder="1" applyAlignment="1" applyProtection="1">
      <alignment horizontal="center" vertical="center"/>
      <protection locked="0"/>
    </xf>
    <xf numFmtId="4" fontId="10" fillId="11" borderId="6" xfId="0" applyNumberFormat="1" applyFont="1" applyFill="1" applyBorder="1" applyAlignment="1" applyProtection="1">
      <alignment horizontal="center" vertical="center"/>
      <protection locked="0"/>
    </xf>
    <xf numFmtId="4" fontId="10" fillId="11" borderId="7" xfId="0" applyNumberFormat="1" applyFont="1" applyFill="1" applyBorder="1" applyAlignment="1" applyProtection="1">
      <alignment horizontal="center" vertical="center"/>
      <protection locked="0"/>
    </xf>
    <xf numFmtId="4" fontId="10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10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" fillId="11" borderId="6" xfId="0" applyNumberFormat="1" applyFont="1" applyFill="1" applyBorder="1" applyAlignment="1" applyProtection="1">
      <alignment horizontal="center" vertical="center" wrapText="1"/>
      <protection locked="0"/>
    </xf>
    <xf numFmtId="4" fontId="1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2" fillId="4" borderId="0" xfId="0" applyFont="1" applyFill="1" applyBorder="1" applyAlignment="1" applyProtection="1">
      <alignment horizontal="center" vertical="center"/>
      <protection locked="0"/>
    </xf>
    <xf numFmtId="4" fontId="1" fillId="4" borderId="0" xfId="0" applyNumberFormat="1" applyFont="1" applyFill="1" applyBorder="1" applyAlignment="1" applyProtection="1">
      <alignment horizontal="center" vertical="center"/>
      <protection locked="0"/>
    </xf>
    <xf numFmtId="4" fontId="12" fillId="4" borderId="0" xfId="0" applyNumberFormat="1" applyFont="1" applyFill="1" applyBorder="1" applyAlignment="1" applyProtection="1">
      <alignment horizontal="center" vertical="center"/>
      <protection locked="0"/>
    </xf>
    <xf numFmtId="2" fontId="12" fillId="4" borderId="0" xfId="0" applyNumberFormat="1" applyFont="1" applyFill="1" applyBorder="1" applyAlignment="1" applyProtection="1">
      <alignment horizontal="center" vertical="center"/>
      <protection locked="0"/>
    </xf>
    <xf numFmtId="0" fontId="17" fillId="4" borderId="0" xfId="0" applyFont="1" applyFill="1" applyBorder="1" applyAlignment="1" applyProtection="1">
      <alignment vertical="center"/>
      <protection locked="0"/>
    </xf>
    <xf numFmtId="0" fontId="17" fillId="4" borderId="0" xfId="0" applyFont="1" applyFill="1" applyBorder="1" applyAlignment="1" applyProtection="1">
      <alignment horizontal="center" vertical="center"/>
      <protection locked="0"/>
    </xf>
    <xf numFmtId="0" fontId="23" fillId="4" borderId="0" xfId="0" applyFont="1" applyFill="1" applyBorder="1" applyAlignment="1" applyProtection="1">
      <alignment horizontal="center" vertical="center"/>
      <protection locked="0"/>
    </xf>
    <xf numFmtId="0" fontId="23" fillId="4" borderId="0" xfId="0" applyFont="1" applyFill="1" applyBorder="1" applyAlignment="1" applyProtection="1">
      <alignment vertical="center"/>
      <protection locked="0"/>
    </xf>
    <xf numFmtId="0" fontId="23" fillId="4" borderId="5" xfId="0" applyFont="1" applyFill="1" applyBorder="1" applyAlignment="1" applyProtection="1">
      <alignment horizontal="center" vertical="center"/>
      <protection locked="0"/>
    </xf>
    <xf numFmtId="4" fontId="23" fillId="4" borderId="0" xfId="0" applyNumberFormat="1" applyFont="1" applyFill="1" applyBorder="1" applyAlignment="1" applyProtection="1">
      <alignment horizontal="center" vertical="center"/>
      <protection locked="0"/>
    </xf>
    <xf numFmtId="2" fontId="23" fillId="4" borderId="0" xfId="0" applyNumberFormat="1" applyFont="1" applyFill="1" applyBorder="1" applyAlignment="1" applyProtection="1">
      <alignment horizontal="center" vertical="center"/>
      <protection locked="0"/>
    </xf>
    <xf numFmtId="4" fontId="23" fillId="4" borderId="0" xfId="0" applyNumberFormat="1" applyFont="1" applyFill="1" applyAlignment="1" applyProtection="1">
      <alignment vertical="center"/>
      <protection locked="0"/>
    </xf>
    <xf numFmtId="0" fontId="23" fillId="4" borderId="0" xfId="0" applyFont="1" applyFill="1" applyAlignment="1" applyProtection="1">
      <alignment vertical="center"/>
      <protection locked="0"/>
    </xf>
    <xf numFmtId="0" fontId="23" fillId="4" borderId="0" xfId="0" applyFont="1" applyFill="1" applyAlignment="1" applyProtection="1">
      <alignment horizontal="center" vertical="center"/>
      <protection locked="0"/>
    </xf>
    <xf numFmtId="0" fontId="20" fillId="0" borderId="22" xfId="0" applyFont="1" applyFill="1" applyBorder="1" applyAlignment="1" applyProtection="1">
      <alignment horizontal="center" vertical="center"/>
      <protection locked="0"/>
    </xf>
    <xf numFmtId="4" fontId="20" fillId="3" borderId="25" xfId="0" applyNumberFormat="1" applyFont="1" applyFill="1" applyBorder="1" applyAlignment="1" applyProtection="1">
      <alignment horizontal="center" vertical="center"/>
      <protection locked="0"/>
    </xf>
    <xf numFmtId="3" fontId="20" fillId="3" borderId="25" xfId="0" applyNumberFormat="1" applyFont="1" applyFill="1" applyBorder="1" applyAlignment="1" applyProtection="1">
      <alignment horizontal="center" vertical="center"/>
      <protection locked="0"/>
    </xf>
    <xf numFmtId="0" fontId="38" fillId="11" borderId="11" xfId="0" applyFont="1" applyFill="1" applyBorder="1" applyAlignment="1" applyProtection="1">
      <alignment horizontal="center" vertical="center"/>
      <protection locked="0"/>
    </xf>
    <xf numFmtId="4" fontId="17" fillId="2" borderId="6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3" fontId="17" fillId="2" borderId="6" xfId="0" applyNumberFormat="1" applyFont="1" applyFill="1" applyBorder="1" applyAlignment="1" applyProtection="1">
      <alignment horizontal="center" vertical="center"/>
      <protection locked="0"/>
    </xf>
    <xf numFmtId="1" fontId="17" fillId="2" borderId="6" xfId="0" applyNumberFormat="1" applyFont="1" applyFill="1" applyBorder="1" applyAlignment="1" applyProtection="1">
      <alignment horizontal="center" vertical="center"/>
      <protection locked="0"/>
    </xf>
    <xf numFmtId="4" fontId="5" fillId="4" borderId="0" xfId="0" applyNumberFormat="1" applyFont="1" applyFill="1" applyAlignment="1" applyProtection="1">
      <alignment horizontal="center" vertical="center"/>
      <protection locked="0"/>
    </xf>
    <xf numFmtId="4" fontId="19" fillId="11" borderId="10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1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>
      <alignment horizontal="left" vertical="center"/>
    </xf>
    <xf numFmtId="3" fontId="38" fillId="2" borderId="2" xfId="0" applyNumberFormat="1" applyFont="1" applyFill="1" applyBorder="1" applyAlignment="1" applyProtection="1">
      <alignment horizontal="center" vertical="center"/>
    </xf>
    <xf numFmtId="3" fontId="38" fillId="2" borderId="1" xfId="0" applyNumberFormat="1" applyFont="1" applyFill="1" applyBorder="1" applyAlignment="1" applyProtection="1">
      <alignment horizontal="center" vertical="center"/>
    </xf>
    <xf numFmtId="165" fontId="7" fillId="4" borderId="1" xfId="1" applyFont="1" applyFill="1" applyBorder="1" applyAlignment="1">
      <alignment horizontal="left" vertical="center"/>
    </xf>
    <xf numFmtId="3" fontId="43" fillId="2" borderId="1" xfId="0" applyNumberFormat="1" applyFont="1" applyFill="1" applyBorder="1" applyAlignment="1" applyProtection="1">
      <alignment horizontal="center" vertical="center"/>
    </xf>
    <xf numFmtId="4" fontId="42" fillId="11" borderId="11" xfId="0" applyNumberFormat="1" applyFont="1" applyFill="1" applyBorder="1" applyAlignment="1" applyProtection="1">
      <alignment horizontal="center" vertical="center" wrapText="1"/>
      <protection locked="0"/>
    </xf>
    <xf numFmtId="2" fontId="41" fillId="11" borderId="4" xfId="0" applyNumberFormat="1" applyFont="1" applyFill="1" applyBorder="1" applyAlignment="1" applyProtection="1">
      <alignment horizontal="center" vertical="center" wrapText="1"/>
      <protection locked="0"/>
    </xf>
    <xf numFmtId="4" fontId="1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34" fillId="11" borderId="11" xfId="0" applyNumberFormat="1" applyFont="1" applyFill="1" applyBorder="1" applyAlignment="1" applyProtection="1">
      <alignment horizontal="center" vertical="center" wrapText="1"/>
      <protection locked="0"/>
    </xf>
    <xf numFmtId="3" fontId="46" fillId="0" borderId="1" xfId="0" applyNumberFormat="1" applyFont="1" applyFill="1" applyBorder="1" applyAlignment="1" applyProtection="1">
      <alignment horizontal="center"/>
    </xf>
    <xf numFmtId="0" fontId="46" fillId="0" borderId="1" xfId="0" applyFont="1" applyFill="1" applyBorder="1" applyAlignment="1" applyProtection="1"/>
    <xf numFmtId="14" fontId="46" fillId="0" borderId="1" xfId="0" applyNumberFormat="1" applyFont="1" applyFill="1" applyBorder="1" applyAlignment="1" applyProtection="1">
      <alignment horizontal="center"/>
    </xf>
    <xf numFmtId="4" fontId="17" fillId="11" borderId="7" xfId="0" applyNumberFormat="1" applyFont="1" applyFill="1" applyBorder="1" applyAlignment="1" applyProtection="1">
      <alignment horizontal="center" vertical="center" wrapText="1"/>
      <protection locked="0"/>
    </xf>
    <xf numFmtId="0" fontId="36" fillId="4" borderId="0" xfId="0" applyFont="1" applyFill="1" applyAlignment="1" applyProtection="1">
      <alignment vertical="center"/>
      <protection locked="0"/>
    </xf>
    <xf numFmtId="4" fontId="20" fillId="11" borderId="7" xfId="0" applyNumberFormat="1" applyFont="1" applyFill="1" applyBorder="1" applyAlignment="1" applyProtection="1">
      <alignment horizontal="center" vertical="center" wrapText="1"/>
      <protection locked="0"/>
    </xf>
    <xf numFmtId="0" fontId="20" fillId="4" borderId="0" xfId="0" applyFont="1" applyFill="1" applyBorder="1" applyAlignment="1" applyProtection="1">
      <alignment vertical="center"/>
      <protection locked="0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vertical="center"/>
    </xf>
    <xf numFmtId="14" fontId="19" fillId="0" borderId="0" xfId="0" applyNumberFormat="1" applyFont="1" applyFill="1" applyAlignment="1">
      <alignment vertical="center"/>
    </xf>
    <xf numFmtId="0" fontId="10" fillId="0" borderId="0" xfId="0" applyFont="1" applyFill="1" applyBorder="1" applyAlignment="1"/>
    <xf numFmtId="14" fontId="1" fillId="0" borderId="0" xfId="0" applyNumberFormat="1" applyFont="1" applyFill="1" applyBorder="1"/>
    <xf numFmtId="0" fontId="1" fillId="0" borderId="0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0" fillId="0" borderId="22" xfId="0" applyFont="1" applyFill="1" applyBorder="1" applyAlignment="1">
      <alignment horizontal="center" vertical="center"/>
    </xf>
    <xf numFmtId="3" fontId="1" fillId="0" borderId="22" xfId="0" applyNumberFormat="1" applyFont="1" applyFill="1" applyBorder="1" applyAlignment="1"/>
    <xf numFmtId="14" fontId="1" fillId="0" borderId="22" xfId="0" applyNumberFormat="1" applyFont="1" applyFill="1" applyBorder="1"/>
    <xf numFmtId="4" fontId="1" fillId="0" borderId="22" xfId="0" applyNumberFormat="1" applyFont="1" applyFill="1" applyBorder="1" applyAlignment="1">
      <alignment horizontal="right" vertical="center"/>
    </xf>
    <xf numFmtId="3" fontId="1" fillId="0" borderId="1" xfId="0" applyNumberFormat="1" applyFont="1" applyFill="1" applyBorder="1" applyAlignment="1"/>
    <xf numFmtId="14" fontId="1" fillId="0" borderId="1" xfId="0" applyNumberFormat="1" applyFont="1" applyFill="1" applyBorder="1"/>
    <xf numFmtId="4" fontId="1" fillId="0" borderId="1" xfId="0" applyNumberFormat="1" applyFont="1" applyFill="1" applyBorder="1" applyAlignment="1">
      <alignment horizontal="right" vertical="center"/>
    </xf>
    <xf numFmtId="14" fontId="1" fillId="0" borderId="39" xfId="0" applyNumberFormat="1" applyFont="1" applyFill="1" applyBorder="1"/>
    <xf numFmtId="0" fontId="10" fillId="0" borderId="19" xfId="0" applyFont="1" applyFill="1" applyBorder="1" applyAlignment="1">
      <alignment horizontal="center" vertical="center"/>
    </xf>
    <xf numFmtId="3" fontId="1" fillId="0" borderId="19" xfId="0" applyNumberFormat="1" applyFont="1" applyFill="1" applyBorder="1" applyAlignment="1"/>
    <xf numFmtId="0" fontId="1" fillId="0" borderId="19" xfId="0" applyFont="1" applyFill="1" applyBorder="1"/>
    <xf numFmtId="14" fontId="1" fillId="0" borderId="19" xfId="0" applyNumberFormat="1" applyFont="1" applyFill="1" applyBorder="1"/>
    <xf numFmtId="1" fontId="1" fillId="0" borderId="19" xfId="0" applyNumberFormat="1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/>
    </xf>
    <xf numFmtId="4" fontId="1" fillId="0" borderId="19" xfId="0" applyNumberFormat="1" applyFont="1" applyFill="1" applyBorder="1" applyAlignment="1">
      <alignment horizontal="right" vertic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Border="1" applyAlignment="1"/>
    <xf numFmtId="14" fontId="1" fillId="3" borderId="0" xfId="0" applyNumberFormat="1" applyFont="1" applyFill="1" applyBorder="1"/>
    <xf numFmtId="0" fontId="1" fillId="3" borderId="0" xfId="0" applyFont="1" applyFill="1" applyBorder="1" applyAlignment="1">
      <alignment horizontal="center"/>
    </xf>
    <xf numFmtId="0" fontId="1" fillId="3" borderId="0" xfId="0" applyFont="1" applyFill="1" applyBorder="1"/>
    <xf numFmtId="0" fontId="1" fillId="3" borderId="3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/>
    </xf>
    <xf numFmtId="0" fontId="1" fillId="0" borderId="22" xfId="0" applyNumberFormat="1" applyFont="1" applyFill="1" applyBorder="1"/>
    <xf numFmtId="4" fontId="1" fillId="0" borderId="12" xfId="0" applyNumberFormat="1" applyFont="1" applyFill="1" applyBorder="1" applyAlignment="1">
      <alignment horizontal="right" vertical="center"/>
    </xf>
    <xf numFmtId="14" fontId="1" fillId="0" borderId="12" xfId="0" applyNumberFormat="1" applyFont="1" applyFill="1" applyBorder="1"/>
    <xf numFmtId="0" fontId="1" fillId="0" borderId="1" xfId="0" applyFont="1" applyFill="1" applyBorder="1" applyAlignment="1" applyProtection="1"/>
    <xf numFmtId="0" fontId="1" fillId="3" borderId="29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0" borderId="22" xfId="0" applyNumberFormat="1" applyFont="1" applyFill="1" applyBorder="1" applyAlignment="1">
      <alignment horizontal="left"/>
    </xf>
    <xf numFmtId="166" fontId="13" fillId="0" borderId="22" xfId="0" quotePrefix="1" applyNumberFormat="1" applyFont="1" applyFill="1" applyBorder="1" applyAlignment="1">
      <alignment horizontal="center" vertical="center"/>
    </xf>
    <xf numFmtId="166" fontId="13" fillId="0" borderId="1" xfId="0" quotePrefix="1" applyNumberFormat="1" applyFont="1" applyFill="1" applyBorder="1" applyAlignment="1">
      <alignment horizontal="center" vertical="center"/>
    </xf>
    <xf numFmtId="0" fontId="48" fillId="0" borderId="1" xfId="0" applyFont="1" applyFill="1" applyBorder="1"/>
    <xf numFmtId="14" fontId="49" fillId="0" borderId="1" xfId="0" applyNumberFormat="1" applyFont="1" applyFill="1" applyBorder="1" applyAlignment="1">
      <alignment horizontal="right"/>
    </xf>
    <xf numFmtId="0" fontId="10" fillId="0" borderId="42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/>
    <xf numFmtId="0" fontId="1" fillId="0" borderId="0" xfId="0" applyFont="1" applyFill="1"/>
    <xf numFmtId="0" fontId="10" fillId="0" borderId="11" xfId="0" applyFont="1" applyFill="1" applyBorder="1" applyAlignment="1">
      <alignment horizontal="center" vertical="center"/>
    </xf>
    <xf numFmtId="14" fontId="1" fillId="0" borderId="0" xfId="0" applyNumberFormat="1" applyFont="1" applyFill="1"/>
    <xf numFmtId="4" fontId="1" fillId="8" borderId="0" xfId="0" applyNumberFormat="1" applyFont="1" applyFill="1" applyAlignment="1">
      <alignment horizontal="center" vertical="center"/>
    </xf>
    <xf numFmtId="4" fontId="1" fillId="15" borderId="0" xfId="0" applyNumberFormat="1" applyFont="1" applyFill="1" applyAlignment="1">
      <alignment horizontal="center" vertical="center"/>
    </xf>
    <xf numFmtId="4" fontId="10" fillId="3" borderId="7" xfId="0" applyNumberFormat="1" applyFont="1" applyFill="1" applyBorder="1" applyAlignment="1">
      <alignment vertical="center"/>
    </xf>
    <xf numFmtId="4" fontId="50" fillId="11" borderId="8" xfId="0" applyNumberFormat="1" applyFont="1" applyFill="1" applyBorder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horizontal="left" vertical="center" wrapText="1"/>
      <protection locked="0"/>
    </xf>
    <xf numFmtId="0" fontId="23" fillId="4" borderId="0" xfId="0" applyFont="1" applyFill="1" applyBorder="1" applyAlignment="1" applyProtection="1">
      <alignment horizontal="left" vertical="center" wrapText="1"/>
      <protection locked="0"/>
    </xf>
    <xf numFmtId="0" fontId="44" fillId="0" borderId="0" xfId="5" applyFont="1" applyFill="1" applyAlignment="1">
      <alignment horizontal="center" vertical="center"/>
    </xf>
    <xf numFmtId="0" fontId="44" fillId="0" borderId="0" xfId="5" applyFont="1" applyFill="1" applyAlignment="1">
      <alignment horizontal="center"/>
    </xf>
    <xf numFmtId="0" fontId="44" fillId="8" borderId="0" xfId="5" applyFont="1" applyFill="1" applyAlignment="1">
      <alignment horizontal="center"/>
    </xf>
    <xf numFmtId="0" fontId="44" fillId="4" borderId="0" xfId="5" applyFont="1" applyFill="1" applyAlignment="1">
      <alignment horizontal="center"/>
    </xf>
    <xf numFmtId="0" fontId="8" fillId="8" borderId="48" xfId="5" applyFill="1" applyBorder="1" applyAlignment="1">
      <alignment vertical="top"/>
    </xf>
    <xf numFmtId="0" fontId="8" fillId="0" borderId="0" xfId="5" applyFill="1"/>
    <xf numFmtId="0" fontId="51" fillId="0" borderId="0" xfId="5" applyFont="1" applyFill="1" applyBorder="1" applyAlignment="1"/>
    <xf numFmtId="0" fontId="52" fillId="0" borderId="0" xfId="5" applyFont="1" applyFill="1" applyBorder="1" applyAlignment="1"/>
    <xf numFmtId="0" fontId="51" fillId="0" borderId="0" xfId="5" applyFont="1" applyFill="1" applyBorder="1" applyAlignment="1">
      <alignment horizontal="center"/>
    </xf>
    <xf numFmtId="0" fontId="52" fillId="0" borderId="0" xfId="5" applyFont="1" applyFill="1" applyBorder="1" applyAlignment="1">
      <alignment horizontal="center"/>
    </xf>
    <xf numFmtId="15" fontId="20" fillId="17" borderId="49" xfId="5" applyNumberFormat="1" applyFont="1" applyFill="1" applyBorder="1" applyAlignment="1">
      <alignment horizontal="center" vertical="center" wrapText="1"/>
    </xf>
    <xf numFmtId="15" fontId="20" fillId="8" borderId="49" xfId="5" applyNumberFormat="1" applyFont="1" applyFill="1" applyBorder="1" applyAlignment="1">
      <alignment horizontal="center" vertical="center" wrapText="1"/>
    </xf>
    <xf numFmtId="15" fontId="20" fillId="16" borderId="49" xfId="5" applyNumberFormat="1" applyFont="1" applyFill="1" applyBorder="1" applyAlignment="1">
      <alignment horizontal="center" vertical="center" wrapText="1"/>
    </xf>
    <xf numFmtId="15" fontId="17" fillId="8" borderId="49" xfId="5" applyNumberFormat="1" applyFont="1" applyFill="1" applyBorder="1" applyAlignment="1">
      <alignment horizontal="center" vertical="center" wrapText="1"/>
    </xf>
    <xf numFmtId="0" fontId="8" fillId="0" borderId="0" xfId="5" applyFill="1" applyAlignment="1">
      <alignment wrapText="1"/>
    </xf>
    <xf numFmtId="0" fontId="20" fillId="4" borderId="43" xfId="5" applyFont="1" applyFill="1" applyBorder="1" applyAlignment="1">
      <alignment horizontal="center" vertical="center" wrapText="1"/>
    </xf>
    <xf numFmtId="0" fontId="20" fillId="4" borderId="5" xfId="5" applyFont="1" applyFill="1" applyBorder="1" applyAlignment="1">
      <alignment horizontal="center" vertical="center" wrapText="1"/>
    </xf>
    <xf numFmtId="15" fontId="20" fillId="17" borderId="1" xfId="5" applyNumberFormat="1" applyFont="1" applyFill="1" applyBorder="1" applyAlignment="1">
      <alignment horizontal="center" vertical="center" wrapText="1"/>
    </xf>
    <xf numFmtId="15" fontId="20" fillId="8" borderId="1" xfId="5" applyNumberFormat="1" applyFont="1" applyFill="1" applyBorder="1" applyAlignment="1">
      <alignment horizontal="center" vertical="center" wrapText="1"/>
    </xf>
    <xf numFmtId="0" fontId="20" fillId="16" borderId="1" xfId="5" applyFont="1" applyFill="1" applyBorder="1" applyAlignment="1">
      <alignment horizontal="center" vertical="center" wrapText="1"/>
    </xf>
    <xf numFmtId="0" fontId="20" fillId="8" borderId="1" xfId="5" applyFont="1" applyFill="1" applyBorder="1" applyAlignment="1">
      <alignment horizontal="center" vertical="center" wrapText="1"/>
    </xf>
    <xf numFmtId="0" fontId="17" fillId="8" borderId="50" xfId="5" applyFont="1" applyFill="1" applyBorder="1" applyAlignment="1">
      <alignment horizontal="center" vertical="center" wrapText="1"/>
    </xf>
    <xf numFmtId="0" fontId="38" fillId="16" borderId="1" xfId="5" applyFont="1" applyFill="1" applyBorder="1" applyAlignment="1">
      <alignment horizontal="center" vertical="center" wrapText="1"/>
    </xf>
    <xf numFmtId="165" fontId="38" fillId="2" borderId="1" xfId="11" applyFont="1" applyFill="1" applyBorder="1" applyAlignment="1">
      <alignment horizontal="center" vertical="center"/>
    </xf>
    <xf numFmtId="165" fontId="38" fillId="8" borderId="1" xfId="11" applyFont="1" applyFill="1" applyBorder="1" applyAlignment="1">
      <alignment horizontal="center" vertical="center"/>
    </xf>
    <xf numFmtId="4" fontId="38" fillId="4" borderId="1" xfId="5" applyNumberFormat="1" applyFont="1" applyFill="1" applyBorder="1" applyAlignment="1">
      <alignment vertical="center"/>
    </xf>
    <xf numFmtId="4" fontId="38" fillId="8" borderId="1" xfId="5" applyNumberFormat="1" applyFont="1" applyFill="1" applyBorder="1" applyAlignment="1">
      <alignment vertical="center"/>
    </xf>
    <xf numFmtId="0" fontId="8" fillId="8" borderId="1" xfId="5" applyFill="1" applyBorder="1"/>
    <xf numFmtId="0" fontId="38" fillId="16" borderId="1" xfId="5" applyFont="1" applyFill="1" applyBorder="1" applyAlignment="1">
      <alignment horizontal="center" vertical="center"/>
    </xf>
    <xf numFmtId="4" fontId="17" fillId="8" borderId="1" xfId="5" applyNumberFormat="1" applyFont="1" applyFill="1" applyBorder="1" applyAlignment="1">
      <alignment vertical="center"/>
    </xf>
    <xf numFmtId="0" fontId="54" fillId="0" borderId="35" xfId="5" applyFont="1" applyFill="1" applyBorder="1" applyAlignment="1">
      <alignment horizontal="center" vertical="center" wrapText="1"/>
    </xf>
    <xf numFmtId="0" fontId="38" fillId="16" borderId="42" xfId="5" applyFont="1" applyFill="1" applyBorder="1" applyAlignment="1">
      <alignment horizontal="center" vertical="center"/>
    </xf>
    <xf numFmtId="165" fontId="38" fillId="2" borderId="12" xfId="11" applyFont="1" applyFill="1" applyBorder="1" applyAlignment="1">
      <alignment horizontal="center" vertical="center"/>
    </xf>
    <xf numFmtId="165" fontId="38" fillId="8" borderId="12" xfId="11" applyFont="1" applyFill="1" applyBorder="1" applyAlignment="1">
      <alignment horizontal="center" vertical="center"/>
    </xf>
    <xf numFmtId="4" fontId="17" fillId="8" borderId="35" xfId="5" applyNumberFormat="1" applyFont="1" applyFill="1" applyBorder="1" applyAlignment="1">
      <alignment vertical="center"/>
    </xf>
    <xf numFmtId="0" fontId="55" fillId="0" borderId="0" xfId="5" applyFont="1" applyFill="1" applyBorder="1" applyAlignment="1">
      <alignment horizontal="center" vertical="center"/>
    </xf>
    <xf numFmtId="4" fontId="56" fillId="0" borderId="0" xfId="5" applyNumberFormat="1" applyFont="1" applyFill="1" applyBorder="1" applyAlignment="1">
      <alignment vertical="center"/>
    </xf>
    <xf numFmtId="4" fontId="56" fillId="8" borderId="0" xfId="5" applyNumberFormat="1" applyFont="1" applyFill="1" applyBorder="1" applyAlignment="1">
      <alignment vertical="center"/>
    </xf>
    <xf numFmtId="4" fontId="56" fillId="0" borderId="0" xfId="5" applyNumberFormat="1" applyFont="1" applyFill="1" applyBorder="1"/>
    <xf numFmtId="4" fontId="56" fillId="8" borderId="0" xfId="5" applyNumberFormat="1" applyFont="1" applyFill="1" applyBorder="1"/>
    <xf numFmtId="4" fontId="56" fillId="4" borderId="0" xfId="5" applyNumberFormat="1" applyFont="1" applyFill="1" applyBorder="1"/>
    <xf numFmtId="0" fontId="8" fillId="8" borderId="48" xfId="5" applyFill="1" applyBorder="1"/>
    <xf numFmtId="0" fontId="8" fillId="4" borderId="0" xfId="5" applyFill="1"/>
    <xf numFmtId="0" fontId="8" fillId="8" borderId="0" xfId="5" applyFill="1"/>
    <xf numFmtId="0" fontId="31" fillId="4" borderId="37" xfId="5" applyFont="1" applyFill="1" applyBorder="1" applyAlignment="1">
      <alignment horizontal="center" vertical="center" wrapText="1"/>
    </xf>
    <xf numFmtId="0" fontId="31" fillId="4" borderId="37" xfId="5" applyFont="1" applyFill="1" applyBorder="1" applyAlignment="1">
      <alignment horizontal="center" vertical="center"/>
    </xf>
    <xf numFmtId="4" fontId="31" fillId="4" borderId="37" xfId="5" applyNumberFormat="1" applyFont="1" applyFill="1" applyBorder="1" applyAlignment="1">
      <alignment horizontal="center" vertical="center"/>
    </xf>
    <xf numFmtId="0" fontId="23" fillId="4" borderId="16" xfId="5" applyFont="1" applyFill="1" applyBorder="1" applyAlignment="1">
      <alignment horizontal="left" vertical="center"/>
    </xf>
    <xf numFmtId="167" fontId="26" fillId="9" borderId="12" xfId="1" applyNumberFormat="1" applyFont="1" applyFill="1" applyBorder="1" applyAlignment="1">
      <alignment horizontal="center" vertical="center"/>
    </xf>
    <xf numFmtId="4" fontId="31" fillId="4" borderId="21" xfId="5" applyNumberFormat="1" applyFont="1" applyFill="1" applyBorder="1" applyAlignment="1">
      <alignment horizontal="left" vertical="center"/>
    </xf>
    <xf numFmtId="0" fontId="23" fillId="4" borderId="17" xfId="5" applyFont="1" applyFill="1" applyBorder="1" applyAlignment="1">
      <alignment horizontal="left" vertical="center"/>
    </xf>
    <xf numFmtId="167" fontId="26" fillId="9" borderId="22" xfId="1" applyNumberFormat="1" applyFont="1" applyFill="1" applyBorder="1" applyAlignment="1">
      <alignment horizontal="center" vertical="center"/>
    </xf>
    <xf numFmtId="4" fontId="31" fillId="4" borderId="34" xfId="5" applyNumberFormat="1" applyFont="1" applyFill="1" applyBorder="1" applyAlignment="1">
      <alignment horizontal="center" vertical="center"/>
    </xf>
    <xf numFmtId="167" fontId="26" fillId="9" borderId="19" xfId="1" applyNumberFormat="1" applyFont="1" applyFill="1" applyBorder="1" applyAlignment="1">
      <alignment horizontal="center" vertical="center"/>
    </xf>
    <xf numFmtId="4" fontId="31" fillId="4" borderId="60" xfId="5" applyNumberFormat="1" applyFont="1" applyFill="1" applyBorder="1" applyAlignment="1">
      <alignment horizontal="center" vertical="center"/>
    </xf>
    <xf numFmtId="4" fontId="31" fillId="4" borderId="14" xfId="5" applyNumberFormat="1" applyFont="1" applyFill="1" applyBorder="1" applyAlignment="1">
      <alignment horizontal="center" vertical="center"/>
    </xf>
    <xf numFmtId="4" fontId="31" fillId="4" borderId="20" xfId="5" applyNumberFormat="1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left" vertical="center"/>
    </xf>
    <xf numFmtId="0" fontId="31" fillId="4" borderId="34" xfId="5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left" vertical="center"/>
    </xf>
    <xf numFmtId="0" fontId="31" fillId="4" borderId="60" xfId="5" applyFont="1" applyFill="1" applyBorder="1" applyAlignment="1">
      <alignment horizontal="center" vertical="center"/>
    </xf>
    <xf numFmtId="4" fontId="27" fillId="6" borderId="28" xfId="5" applyNumberFormat="1" applyFont="1" applyFill="1" applyBorder="1" applyAlignment="1">
      <alignment horizontal="center" vertical="center" wrapText="1"/>
    </xf>
    <xf numFmtId="2" fontId="16" fillId="6" borderId="27" xfId="0" applyNumberFormat="1" applyFont="1" applyFill="1" applyBorder="1" applyAlignment="1">
      <alignment horizontal="center" vertical="center"/>
    </xf>
    <xf numFmtId="49" fontId="24" fillId="4" borderId="15" xfId="0" applyNumberFormat="1" applyFont="1" applyFill="1" applyBorder="1" applyAlignment="1">
      <alignment horizontal="left" vertical="center"/>
    </xf>
    <xf numFmtId="0" fontId="36" fillId="4" borderId="0" xfId="5" applyFont="1" applyFill="1" applyAlignment="1">
      <alignment horizontal="center" vertical="center"/>
    </xf>
    <xf numFmtId="0" fontId="1" fillId="4" borderId="0" xfId="0" applyFont="1" applyFill="1" applyBorder="1" applyAlignment="1" applyProtection="1">
      <alignment horizontal="center" vertical="center"/>
      <protection locked="0"/>
    </xf>
    <xf numFmtId="4" fontId="10" fillId="3" borderId="25" xfId="0" applyNumberFormat="1" applyFont="1" applyFill="1" applyBorder="1" applyAlignment="1" applyProtection="1">
      <alignment horizontal="center" vertical="center"/>
      <protection locked="0"/>
    </xf>
    <xf numFmtId="4" fontId="10" fillId="2" borderId="6" xfId="0" applyNumberFormat="1" applyFont="1" applyFill="1" applyBorder="1" applyAlignment="1" applyProtection="1">
      <alignment horizontal="center" vertical="center"/>
      <protection locked="0"/>
    </xf>
    <xf numFmtId="4" fontId="50" fillId="11" borderId="10" xfId="0" applyNumberFormat="1" applyFont="1" applyFill="1" applyBorder="1" applyAlignment="1" applyProtection="1">
      <alignment horizontal="center" vertical="center" wrapText="1"/>
      <protection locked="0"/>
    </xf>
    <xf numFmtId="4" fontId="36" fillId="0" borderId="22" xfId="0" applyNumberFormat="1" applyFont="1" applyFill="1" applyBorder="1" applyAlignment="1" applyProtection="1">
      <alignment horizontal="center" vertical="center"/>
      <protection locked="0"/>
    </xf>
    <xf numFmtId="3" fontId="36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41" borderId="0" xfId="0" applyFont="1" applyFill="1" applyAlignment="1" applyProtection="1">
      <alignment horizontal="center" vertical="center"/>
      <protection locked="0"/>
    </xf>
    <xf numFmtId="4" fontId="79" fillId="4" borderId="0" xfId="0" applyNumberFormat="1" applyFont="1" applyFill="1" applyBorder="1" applyAlignment="1" applyProtection="1">
      <alignment horizontal="center" vertical="center"/>
      <protection locked="0"/>
    </xf>
    <xf numFmtId="0" fontId="80" fillId="8" borderId="1" xfId="0" applyFont="1" applyFill="1" applyBorder="1" applyAlignment="1">
      <alignment horizontal="center" vertical="center"/>
    </xf>
    <xf numFmtId="0" fontId="80" fillId="4" borderId="1" xfId="0" applyFont="1" applyFill="1" applyBorder="1" applyAlignment="1">
      <alignment horizontal="center" vertical="center"/>
    </xf>
    <xf numFmtId="0" fontId="22" fillId="0" borderId="0" xfId="0" applyFont="1" applyBorder="1" applyAlignment="1">
      <alignment vertical="center"/>
    </xf>
    <xf numFmtId="4" fontId="22" fillId="8" borderId="61" xfId="11" applyNumberFormat="1" applyFont="1" applyFill="1" applyBorder="1" applyAlignment="1">
      <alignment horizontal="center" vertical="center" wrapText="1"/>
    </xf>
    <xf numFmtId="4" fontId="82" fillId="8" borderId="61" xfId="11" applyNumberFormat="1" applyFont="1" applyFill="1" applyBorder="1" applyAlignment="1">
      <alignment horizontal="center" vertical="center" wrapText="1"/>
    </xf>
    <xf numFmtId="0" fontId="22" fillId="8" borderId="22" xfId="7" applyFont="1" applyFill="1" applyBorder="1" applyAlignment="1">
      <alignment horizontal="center" vertical="center" wrapText="1"/>
    </xf>
    <xf numFmtId="4" fontId="22" fillId="42" borderId="62" xfId="11" applyNumberFormat="1" applyFont="1" applyFill="1" applyBorder="1" applyAlignment="1">
      <alignment horizontal="center" vertical="center" wrapText="1"/>
    </xf>
    <xf numFmtId="4" fontId="22" fillId="12" borderId="61" xfId="11" applyNumberFormat="1" applyFont="1" applyFill="1" applyBorder="1" applyAlignment="1">
      <alignment horizontal="center" vertical="center" wrapText="1"/>
    </xf>
    <xf numFmtId="0" fontId="44" fillId="17" borderId="1" xfId="0" applyFont="1" applyFill="1" applyBorder="1"/>
    <xf numFmtId="3" fontId="0" fillId="0" borderId="0" xfId="0" applyNumberFormat="1"/>
    <xf numFmtId="3" fontId="44" fillId="17" borderId="1" xfId="0" applyNumberFormat="1" applyFont="1" applyFill="1" applyBorder="1"/>
    <xf numFmtId="3" fontId="44" fillId="17" borderId="33" xfId="0" applyNumberFormat="1" applyFont="1" applyFill="1" applyBorder="1"/>
    <xf numFmtId="0" fontId="44" fillId="17" borderId="33" xfId="0" applyFont="1" applyFill="1" applyBorder="1"/>
    <xf numFmtId="3" fontId="0" fillId="43" borderId="1" xfId="0" applyNumberFormat="1" applyFill="1" applyBorder="1"/>
    <xf numFmtId="0" fontId="0" fillId="43" borderId="1" xfId="0" applyFill="1" applyBorder="1"/>
    <xf numFmtId="0" fontId="44" fillId="43" borderId="1" xfId="0" applyFont="1" applyFill="1" applyBorder="1" applyAlignment="1">
      <alignment horizontal="center"/>
    </xf>
    <xf numFmtId="0" fontId="83" fillId="43" borderId="1" xfId="0" applyFont="1" applyFill="1" applyBorder="1"/>
    <xf numFmtId="0" fontId="0" fillId="0" borderId="0" xfId="0"/>
    <xf numFmtId="0" fontId="17" fillId="7" borderId="43" xfId="0" applyFont="1" applyFill="1" applyBorder="1" applyAlignment="1" applyProtection="1">
      <alignment vertical="center"/>
      <protection locked="0"/>
    </xf>
    <xf numFmtId="0" fontId="36" fillId="0" borderId="22" xfId="0" applyFont="1" applyFill="1" applyBorder="1" applyAlignment="1" applyProtection="1">
      <alignment horizontal="center" vertical="center"/>
      <protection locked="0"/>
    </xf>
    <xf numFmtId="4" fontId="36" fillId="0" borderId="41" xfId="0" applyNumberFormat="1" applyFont="1" applyFill="1" applyBorder="1" applyAlignment="1" applyProtection="1">
      <alignment horizontal="center" vertical="center"/>
      <protection locked="0"/>
    </xf>
    <xf numFmtId="4" fontId="36" fillId="2" borderId="41" xfId="0" applyNumberFormat="1" applyFont="1" applyFill="1" applyBorder="1" applyAlignment="1" applyProtection="1">
      <alignment horizontal="center" vertical="center"/>
    </xf>
    <xf numFmtId="4" fontId="36" fillId="14" borderId="41" xfId="0" applyNumberFormat="1" applyFont="1" applyFill="1" applyBorder="1" applyAlignment="1" applyProtection="1">
      <alignment horizontal="center" vertical="center"/>
      <protection locked="0"/>
    </xf>
    <xf numFmtId="3" fontId="0" fillId="43" borderId="63" xfId="0" applyNumberFormat="1" applyFill="1" applyBorder="1"/>
    <xf numFmtId="0" fontId="0" fillId="43" borderId="63" xfId="0" applyFill="1" applyBorder="1"/>
    <xf numFmtId="0" fontId="23" fillId="0" borderId="0" xfId="0" applyFont="1" applyFill="1" applyBorder="1" applyAlignment="1" applyProtection="1">
      <alignment vertical="center"/>
      <protection locked="0"/>
    </xf>
    <xf numFmtId="3" fontId="22" fillId="0" borderId="25" xfId="0" applyNumberFormat="1" applyFont="1" applyFill="1" applyBorder="1" applyAlignment="1" applyProtection="1">
      <alignment horizontal="center" vertical="center"/>
      <protection locked="0"/>
    </xf>
    <xf numFmtId="3" fontId="17" fillId="0" borderId="6" xfId="0" applyNumberFormat="1" applyFont="1" applyFill="1" applyBorder="1" applyAlignment="1" applyProtection="1">
      <alignment horizontal="center" vertical="center"/>
      <protection locked="0"/>
    </xf>
    <xf numFmtId="4" fontId="10" fillId="11" borderId="36" xfId="0" applyNumberFormat="1" applyFont="1" applyFill="1" applyBorder="1" applyAlignment="1" applyProtection="1">
      <alignment horizontal="center" vertical="center" wrapText="1"/>
      <protection locked="0"/>
    </xf>
    <xf numFmtId="0" fontId="0" fillId="43" borderId="1" xfId="0" applyFont="1" applyFill="1" applyBorder="1"/>
    <xf numFmtId="3" fontId="47" fillId="0" borderId="22" xfId="0" applyNumberFormat="1" applyFont="1" applyFill="1" applyBorder="1" applyAlignment="1" applyProtection="1">
      <alignment horizontal="center" vertical="center"/>
    </xf>
    <xf numFmtId="0" fontId="37" fillId="0" borderId="22" xfId="0" applyFont="1" applyFill="1" applyBorder="1" applyAlignment="1" applyProtection="1">
      <alignment vertical="center"/>
    </xf>
    <xf numFmtId="1" fontId="36" fillId="0" borderId="22" xfId="0" applyNumberFormat="1" applyFont="1" applyFill="1" applyBorder="1" applyAlignment="1" applyProtection="1">
      <alignment horizontal="center" vertical="center"/>
      <protection locked="0"/>
    </xf>
    <xf numFmtId="0" fontId="36" fillId="0" borderId="22" xfId="0" applyFont="1" applyFill="1" applyBorder="1" applyAlignment="1" applyProtection="1">
      <alignment vertical="center"/>
      <protection locked="0"/>
    </xf>
    <xf numFmtId="0" fontId="20" fillId="3" borderId="25" xfId="0" applyFont="1" applyFill="1" applyBorder="1" applyAlignment="1" applyProtection="1">
      <alignment horizontal="center" vertical="center"/>
      <protection locked="0"/>
    </xf>
    <xf numFmtId="4" fontId="22" fillId="3" borderId="25" xfId="0" applyNumberFormat="1" applyFont="1" applyFill="1" applyBorder="1" applyAlignment="1" applyProtection="1">
      <alignment horizontal="center" vertical="center"/>
      <protection locked="0"/>
    </xf>
    <xf numFmtId="4" fontId="22" fillId="0" borderId="25" xfId="0" applyNumberFormat="1" applyFont="1" applyFill="1" applyBorder="1" applyAlignment="1" applyProtection="1">
      <alignment horizontal="center" vertical="center"/>
      <protection locked="0"/>
    </xf>
    <xf numFmtId="4" fontId="14" fillId="3" borderId="25" xfId="0" applyNumberFormat="1" applyFont="1" applyFill="1" applyBorder="1" applyAlignment="1" applyProtection="1">
      <alignment horizontal="center" vertical="center"/>
      <protection locked="0"/>
    </xf>
    <xf numFmtId="4" fontId="22" fillId="3" borderId="24" xfId="0" applyNumberFormat="1" applyFont="1" applyFill="1" applyBorder="1" applyAlignment="1" applyProtection="1">
      <alignment horizontal="center" vertical="center"/>
      <protection locked="0"/>
    </xf>
    <xf numFmtId="0" fontId="36" fillId="0" borderId="63" xfId="0" applyFont="1" applyFill="1" applyBorder="1" applyAlignment="1" applyProtection="1">
      <alignment vertical="center"/>
      <protection locked="0"/>
    </xf>
    <xf numFmtId="0" fontId="36" fillId="0" borderId="19" xfId="0" applyFont="1" applyFill="1" applyBorder="1" applyAlignment="1" applyProtection="1">
      <alignment horizontal="center" vertical="center"/>
      <protection locked="0"/>
    </xf>
    <xf numFmtId="1" fontId="36" fillId="0" borderId="19" xfId="0" applyNumberFormat="1" applyFont="1" applyFill="1" applyBorder="1" applyAlignment="1" applyProtection="1">
      <alignment horizontal="center" vertical="center"/>
      <protection locked="0"/>
    </xf>
    <xf numFmtId="0" fontId="36" fillId="0" borderId="19" xfId="0" applyFont="1" applyFill="1" applyBorder="1" applyAlignment="1" applyProtection="1">
      <alignment vertical="center"/>
      <protection locked="0"/>
    </xf>
    <xf numFmtId="4" fontId="36" fillId="0" borderId="19" xfId="0" applyNumberFormat="1" applyFont="1" applyFill="1" applyBorder="1" applyAlignment="1" applyProtection="1">
      <alignment horizontal="center" vertical="center"/>
      <protection locked="0"/>
    </xf>
    <xf numFmtId="0" fontId="17" fillId="7" borderId="64" xfId="0" applyFont="1" applyFill="1" applyBorder="1" applyAlignment="1" applyProtection="1">
      <alignment vertical="center"/>
      <protection locked="0"/>
    </xf>
    <xf numFmtId="0" fontId="36" fillId="2" borderId="41" xfId="0" applyFont="1" applyFill="1" applyBorder="1" applyAlignment="1" applyProtection="1">
      <alignment horizontal="center" vertical="center"/>
      <protection locked="0"/>
    </xf>
    <xf numFmtId="0" fontId="36" fillId="0" borderId="41" xfId="0" applyFont="1" applyFill="1" applyBorder="1" applyAlignment="1" applyProtection="1">
      <alignment horizontal="center" vertical="center"/>
      <protection locked="0"/>
    </xf>
    <xf numFmtId="4" fontId="36" fillId="4" borderId="41" xfId="0" applyNumberFormat="1" applyFont="1" applyFill="1" applyBorder="1" applyAlignment="1" applyProtection="1">
      <alignment horizontal="center" vertical="center"/>
      <protection locked="0"/>
    </xf>
    <xf numFmtId="4" fontId="37" fillId="2" borderId="41" xfId="0" applyNumberFormat="1" applyFont="1" applyFill="1" applyBorder="1" applyAlignment="1" applyProtection="1">
      <alignment horizontal="center" vertical="center"/>
    </xf>
    <xf numFmtId="4" fontId="36" fillId="0" borderId="41" xfId="0" applyNumberFormat="1" applyFont="1" applyBorder="1" applyAlignment="1" applyProtection="1">
      <alignment horizontal="center" vertical="center"/>
      <protection locked="0"/>
    </xf>
    <xf numFmtId="3" fontId="36" fillId="0" borderId="41" xfId="0" applyNumberFormat="1" applyFont="1" applyBorder="1" applyAlignment="1" applyProtection="1">
      <alignment horizontal="center" vertical="center"/>
      <protection locked="0"/>
    </xf>
    <xf numFmtId="2" fontId="36" fillId="2" borderId="41" xfId="0" applyNumberFormat="1" applyFont="1" applyFill="1" applyBorder="1" applyAlignment="1" applyProtection="1">
      <alignment horizontal="center" vertical="center"/>
    </xf>
    <xf numFmtId="2" fontId="36" fillId="4" borderId="41" xfId="0" applyNumberFormat="1" applyFont="1" applyFill="1" applyBorder="1" applyAlignment="1" applyProtection="1">
      <alignment horizontal="center" vertical="center"/>
      <protection locked="0"/>
    </xf>
    <xf numFmtId="2" fontId="36" fillId="2" borderId="41" xfId="0" applyNumberFormat="1" applyFont="1" applyFill="1" applyBorder="1" applyAlignment="1" applyProtection="1">
      <alignment horizontal="center" vertical="center"/>
      <protection locked="0"/>
    </xf>
    <xf numFmtId="4" fontId="1" fillId="14" borderId="41" xfId="0" applyNumberFormat="1" applyFont="1" applyFill="1" applyBorder="1" applyAlignment="1" applyProtection="1">
      <alignment horizontal="center" vertical="center"/>
      <protection locked="0"/>
    </xf>
    <xf numFmtId="4" fontId="36" fillId="14" borderId="41" xfId="0" applyNumberFormat="1" applyFont="1" applyFill="1" applyBorder="1" applyAlignment="1" applyProtection="1">
      <alignment horizontal="center" vertical="center"/>
    </xf>
    <xf numFmtId="4" fontId="33" fillId="2" borderId="41" xfId="0" applyNumberFormat="1" applyFont="1" applyFill="1" applyBorder="1" applyAlignment="1" applyProtection="1">
      <alignment horizontal="center" vertical="center"/>
    </xf>
    <xf numFmtId="4" fontId="33" fillId="2" borderId="29" xfId="0" applyNumberFormat="1" applyFont="1" applyFill="1" applyBorder="1" applyAlignment="1" applyProtection="1">
      <alignment horizontal="center" vertical="center"/>
    </xf>
    <xf numFmtId="4" fontId="33" fillId="2" borderId="48" xfId="0" applyNumberFormat="1" applyFont="1" applyFill="1" applyBorder="1" applyAlignment="1" applyProtection="1">
      <alignment horizontal="center" vertical="center"/>
    </xf>
    <xf numFmtId="4" fontId="33" fillId="0" borderId="41" xfId="0" applyNumberFormat="1" applyFont="1" applyBorder="1" applyAlignment="1" applyProtection="1">
      <alignment horizontal="center" vertical="center"/>
      <protection locked="0"/>
    </xf>
    <xf numFmtId="4" fontId="20" fillId="13" borderId="66" xfId="0" applyNumberFormat="1" applyFont="1" applyFill="1" applyBorder="1" applyAlignment="1" applyProtection="1">
      <alignment horizontal="center" vertical="center"/>
      <protection locked="0"/>
    </xf>
    <xf numFmtId="0" fontId="20" fillId="3" borderId="12" xfId="0" applyFont="1" applyFill="1" applyBorder="1" applyAlignment="1" applyProtection="1">
      <alignment horizontal="center" vertical="center"/>
      <protection locked="0"/>
    </xf>
    <xf numFmtId="0" fontId="17" fillId="7" borderId="0" xfId="0" applyFont="1" applyFill="1" applyBorder="1" applyAlignment="1" applyProtection="1">
      <alignment vertical="center"/>
      <protection locked="0"/>
    </xf>
    <xf numFmtId="4" fontId="23" fillId="0" borderId="27" xfId="0" applyNumberFormat="1" applyFont="1" applyBorder="1" applyAlignment="1" applyProtection="1">
      <alignment horizontal="center" vertical="center"/>
      <protection locked="0"/>
    </xf>
    <xf numFmtId="0" fontId="20" fillId="3" borderId="42" xfId="0" applyFont="1" applyFill="1" applyBorder="1" applyAlignment="1" applyProtection="1">
      <alignment horizontal="center" vertical="center"/>
      <protection locked="0"/>
    </xf>
    <xf numFmtId="4" fontId="20" fillId="3" borderId="25" xfId="0" applyNumberFormat="1" applyFont="1" applyFill="1" applyBorder="1" applyAlignment="1" applyProtection="1">
      <alignment horizontal="center" vertical="center"/>
    </xf>
    <xf numFmtId="3" fontId="20" fillId="0" borderId="25" xfId="0" applyNumberFormat="1" applyFont="1" applyFill="1" applyBorder="1" applyAlignment="1" applyProtection="1">
      <alignment horizontal="center" vertical="center"/>
    </xf>
    <xf numFmtId="3" fontId="20" fillId="3" borderId="25" xfId="0" applyNumberFormat="1" applyFont="1" applyFill="1" applyBorder="1" applyAlignment="1" applyProtection="1">
      <alignment horizontal="center" vertical="center"/>
    </xf>
    <xf numFmtId="0" fontId="20" fillId="0" borderId="19" xfId="0" applyFont="1" applyFill="1" applyBorder="1" applyAlignment="1" applyProtection="1">
      <alignment horizontal="center" vertical="center"/>
      <protection locked="0"/>
    </xf>
    <xf numFmtId="3" fontId="36" fillId="0" borderId="19" xfId="0" applyNumberFormat="1" applyFont="1" applyFill="1" applyBorder="1" applyAlignment="1" applyProtection="1">
      <alignment horizontal="center" vertical="center"/>
      <protection locked="0"/>
    </xf>
    <xf numFmtId="166" fontId="37" fillId="0" borderId="22" xfId="0" quotePrefix="1" applyNumberFormat="1" applyFont="1" applyFill="1" applyBorder="1" applyAlignment="1" applyProtection="1">
      <alignment horizontal="center" vertical="center"/>
      <protection locked="0"/>
    </xf>
    <xf numFmtId="166" fontId="37" fillId="0" borderId="19" xfId="0" quotePrefix="1" applyNumberFormat="1" applyFont="1" applyFill="1" applyBorder="1" applyAlignment="1" applyProtection="1">
      <alignment horizontal="center" vertical="center"/>
      <protection locked="0"/>
    </xf>
    <xf numFmtId="0" fontId="17" fillId="7" borderId="13" xfId="0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14" fontId="36" fillId="0" borderId="22" xfId="0" applyNumberFormat="1" applyFont="1" applyFill="1" applyBorder="1" applyAlignment="1" applyProtection="1">
      <alignment horizontal="center" vertical="center"/>
      <protection locked="0"/>
    </xf>
    <xf numFmtId="14" fontId="36" fillId="0" borderId="19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Font="1" applyFill="1" applyBorder="1" applyAlignment="1" applyProtection="1">
      <alignment horizontal="center" vertical="center"/>
      <protection locked="0"/>
    </xf>
    <xf numFmtId="14" fontId="19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2" xfId="0" applyBorder="1"/>
    <xf numFmtId="14" fontId="0" fillId="0" borderId="0" xfId="0" applyNumberFormat="1" applyAlignment="1">
      <alignment horizontal="center" vertical="center"/>
    </xf>
    <xf numFmtId="14" fontId="44" fillId="17" borderId="1" xfId="0" applyNumberFormat="1" applyFont="1" applyFill="1" applyBorder="1" applyAlignment="1">
      <alignment horizontal="center" vertical="center"/>
    </xf>
    <xf numFmtId="14" fontId="44" fillId="17" borderId="33" xfId="0" applyNumberFormat="1" applyFont="1" applyFill="1" applyBorder="1" applyAlignment="1">
      <alignment horizontal="center" vertical="center"/>
    </xf>
    <xf numFmtId="14" fontId="0" fillId="43" borderId="1" xfId="0" applyNumberFormat="1" applyFill="1" applyBorder="1" applyAlignment="1">
      <alignment horizontal="center" vertical="center"/>
    </xf>
    <xf numFmtId="14" fontId="0" fillId="43" borderId="63" xfId="0" applyNumberFormat="1" applyFill="1" applyBorder="1" applyAlignment="1">
      <alignment horizontal="center" vertical="center"/>
    </xf>
    <xf numFmtId="3" fontId="87" fillId="0" borderId="1" xfId="0" applyNumberFormat="1" applyFont="1" applyFill="1" applyBorder="1"/>
    <xf numFmtId="0" fontId="87" fillId="0" borderId="1" xfId="0" applyFont="1" applyFill="1" applyBorder="1"/>
    <xf numFmtId="14" fontId="87" fillId="0" borderId="1" xfId="0" applyNumberFormat="1" applyFont="1" applyFill="1" applyBorder="1" applyAlignment="1">
      <alignment horizontal="center" vertical="center"/>
    </xf>
    <xf numFmtId="0" fontId="0" fillId="43" borderId="1" xfId="0" applyFill="1" applyBorder="1" applyAlignment="1">
      <alignment horizontal="center" vertical="center"/>
    </xf>
    <xf numFmtId="0" fontId="87" fillId="0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87" fillId="0" borderId="63" xfId="0" applyNumberFormat="1" applyFont="1" applyFill="1" applyBorder="1"/>
    <xf numFmtId="0" fontId="87" fillId="0" borderId="63" xfId="0" applyFont="1" applyFill="1" applyBorder="1"/>
    <xf numFmtId="14" fontId="87" fillId="0" borderId="63" xfId="0" applyNumberFormat="1" applyFont="1" applyFill="1" applyBorder="1" applyAlignment="1">
      <alignment horizontal="center" vertical="center"/>
    </xf>
    <xf numFmtId="0" fontId="87" fillId="0" borderId="63" xfId="0" applyFont="1" applyFill="1" applyBorder="1" applyAlignment="1">
      <alignment horizontal="center" vertical="center"/>
    </xf>
    <xf numFmtId="0" fontId="0" fillId="43" borderId="63" xfId="0" applyFill="1" applyBorder="1" applyAlignment="1">
      <alignment horizontal="center" vertical="center"/>
    </xf>
    <xf numFmtId="4" fontId="20" fillId="0" borderId="9" xfId="0" applyNumberFormat="1" applyFont="1" applyFill="1" applyBorder="1" applyAlignment="1" applyProtection="1">
      <alignment horizontal="center" vertical="center"/>
      <protection locked="0"/>
    </xf>
    <xf numFmtId="0" fontId="87" fillId="0" borderId="1" xfId="0" applyFont="1" applyFill="1" applyBorder="1" applyAlignment="1">
      <alignment horizontal="left"/>
    </xf>
    <xf numFmtId="0" fontId="87" fillId="0" borderId="63" xfId="0" applyFont="1" applyFill="1" applyBorder="1" applyAlignment="1">
      <alignment horizontal="left"/>
    </xf>
    <xf numFmtId="0" fontId="44" fillId="17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3" fontId="90" fillId="8" borderId="1" xfId="0" applyNumberFormat="1" applyFont="1" applyFill="1" applyBorder="1"/>
    <xf numFmtId="0" fontId="89" fillId="8" borderId="1" xfId="0" applyFont="1" applyFill="1" applyBorder="1"/>
    <xf numFmtId="0" fontId="0" fillId="8" borderId="63" xfId="0" applyFill="1" applyBorder="1"/>
    <xf numFmtId="0" fontId="88" fillId="8" borderId="63" xfId="0" applyFont="1" applyFill="1" applyBorder="1" applyAlignment="1">
      <alignment horizontal="center"/>
    </xf>
    <xf numFmtId="0" fontId="89" fillId="8" borderId="2" xfId="0" applyFont="1" applyFill="1" applyBorder="1"/>
    <xf numFmtId="0" fontId="88" fillId="8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4" fillId="17" borderId="33" xfId="0" applyFont="1" applyFill="1" applyBorder="1" applyAlignment="1">
      <alignment horizontal="center"/>
    </xf>
    <xf numFmtId="0" fontId="0" fillId="43" borderId="1" xfId="0" applyFill="1" applyBorder="1" applyAlignment="1">
      <alignment horizontal="center"/>
    </xf>
    <xf numFmtId="0" fontId="0" fillId="43" borderId="63" xfId="0" applyFill="1" applyBorder="1" applyAlignment="1">
      <alignment horizontal="center"/>
    </xf>
    <xf numFmtId="0" fontId="0" fillId="17" borderId="1" xfId="0" applyFill="1" applyBorder="1"/>
    <xf numFmtId="0" fontId="0" fillId="43" borderId="63" xfId="0" applyFont="1" applyFill="1" applyBorder="1"/>
    <xf numFmtId="0" fontId="91" fillId="8" borderId="0" xfId="0" applyFont="1" applyFill="1"/>
    <xf numFmtId="0" fontId="91" fillId="8" borderId="0" xfId="0" applyFont="1" applyFill="1" applyAlignment="1">
      <alignment horizontal="center"/>
    </xf>
    <xf numFmtId="0" fontId="90" fillId="8" borderId="63" xfId="0" applyFont="1" applyFill="1" applyBorder="1"/>
    <xf numFmtId="0" fontId="0" fillId="8" borderId="63" xfId="0" applyFill="1" applyBorder="1" applyAlignment="1">
      <alignment horizontal="center" vertical="center"/>
    </xf>
    <xf numFmtId="14" fontId="0" fillId="8" borderId="63" xfId="0" applyNumberFormat="1" applyFill="1" applyBorder="1" applyAlignment="1">
      <alignment horizontal="center" vertical="center"/>
    </xf>
    <xf numFmtId="0" fontId="0" fillId="43" borderId="1" xfId="0" applyFont="1" applyFill="1" applyBorder="1" applyAlignment="1">
      <alignment horizontal="center"/>
    </xf>
    <xf numFmtId="0" fontId="20" fillId="3" borderId="25" xfId="0" applyFont="1" applyFill="1" applyBorder="1" applyAlignment="1" applyProtection="1">
      <alignment horizontal="left" vertical="center"/>
      <protection locked="0"/>
    </xf>
    <xf numFmtId="0" fontId="20" fillId="3" borderId="25" xfId="0" applyFont="1" applyFill="1" applyBorder="1" applyAlignment="1" applyProtection="1">
      <alignment vertical="center"/>
      <protection locked="0"/>
    </xf>
    <xf numFmtId="4" fontId="10" fillId="4" borderId="0" xfId="0" applyNumberFormat="1" applyFont="1" applyFill="1" applyBorder="1" applyAlignment="1" applyProtection="1">
      <alignment vertical="center"/>
      <protection locked="0"/>
    </xf>
    <xf numFmtId="4" fontId="20" fillId="8" borderId="1" xfId="0" applyNumberFormat="1" applyFont="1" applyFill="1" applyBorder="1" applyAlignment="1" applyProtection="1">
      <alignment horizontal="center" vertical="center"/>
      <protection locked="0"/>
    </xf>
    <xf numFmtId="4" fontId="12" fillId="4" borderId="0" xfId="0" applyNumberFormat="1" applyFont="1" applyFill="1" applyAlignment="1" applyProtection="1">
      <alignment vertical="center"/>
      <protection locked="0"/>
    </xf>
    <xf numFmtId="0" fontId="12" fillId="4" borderId="0" xfId="0" applyFont="1" applyFill="1" applyAlignment="1" applyProtection="1">
      <alignment vertical="center"/>
      <protection locked="0"/>
    </xf>
    <xf numFmtId="3" fontId="36" fillId="0" borderId="27" xfId="0" applyNumberFormat="1" applyFont="1" applyBorder="1" applyAlignment="1" applyProtection="1">
      <alignment horizontal="center" vertical="center"/>
      <protection locked="0"/>
    </xf>
    <xf numFmtId="0" fontId="20" fillId="4" borderId="0" xfId="0" applyFont="1" applyFill="1" applyAlignment="1" applyProtection="1">
      <alignment horizontal="center" vertical="center"/>
    </xf>
    <xf numFmtId="14" fontId="12" fillId="4" borderId="0" xfId="0" applyNumberFormat="1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left" vertical="center" wrapText="1"/>
      <protection locked="0"/>
    </xf>
    <xf numFmtId="0" fontId="12" fillId="0" borderId="0" xfId="0" applyFont="1" applyFill="1" applyAlignment="1" applyProtection="1">
      <alignment vertical="center"/>
      <protection locked="0"/>
    </xf>
    <xf numFmtId="0" fontId="12" fillId="4" borderId="0" xfId="0" applyFont="1" applyFill="1" applyBorder="1" applyAlignment="1" applyProtection="1">
      <alignment vertical="center"/>
      <protection locked="0"/>
    </xf>
    <xf numFmtId="0" fontId="1" fillId="4" borderId="0" xfId="0" applyFont="1" applyFill="1" applyAlignment="1" applyProtection="1">
      <alignment vertical="center"/>
      <protection locked="0"/>
    </xf>
    <xf numFmtId="14" fontId="85" fillId="4" borderId="0" xfId="0" applyNumberFormat="1" applyFont="1" applyFill="1" applyAlignment="1" applyProtection="1">
      <alignment horizontal="center" vertical="center"/>
      <protection locked="0"/>
    </xf>
    <xf numFmtId="4" fontId="1" fillId="4" borderId="0" xfId="0" applyNumberFormat="1" applyFont="1" applyFill="1" applyAlignment="1" applyProtection="1">
      <alignment vertical="center"/>
      <protection locked="0"/>
    </xf>
    <xf numFmtId="0" fontId="39" fillId="11" borderId="37" xfId="0" applyFont="1" applyFill="1" applyBorder="1" applyAlignment="1" applyProtection="1">
      <alignment horizontal="center" vertical="center"/>
      <protection locked="0"/>
    </xf>
    <xf numFmtId="0" fontId="36" fillId="11" borderId="38" xfId="0" applyFont="1" applyFill="1" applyBorder="1" applyAlignment="1" applyProtection="1">
      <alignment vertical="center"/>
      <protection locked="0"/>
    </xf>
    <xf numFmtId="0" fontId="20" fillId="11" borderId="1" xfId="0" applyFont="1" applyFill="1" applyBorder="1" applyAlignment="1" applyProtection="1">
      <alignment horizontal="center" vertical="center"/>
      <protection locked="0"/>
    </xf>
    <xf numFmtId="0" fontId="38" fillId="4" borderId="0" xfId="0" applyFont="1" applyFill="1" applyAlignment="1" applyProtection="1">
      <alignment horizontal="center" vertical="center"/>
      <protection locked="0"/>
    </xf>
    <xf numFmtId="0" fontId="75" fillId="11" borderId="1" xfId="0" applyFont="1" applyFill="1" applyBorder="1" applyAlignment="1" applyProtection="1">
      <alignment horizontal="center" vertical="center"/>
      <protection locked="0"/>
    </xf>
    <xf numFmtId="0" fontId="20" fillId="4" borderId="0" xfId="0" applyFont="1" applyFill="1" applyAlignment="1" applyProtection="1">
      <alignment vertical="center"/>
      <protection locked="0"/>
    </xf>
    <xf numFmtId="0" fontId="47" fillId="0" borderId="0" xfId="0" applyFont="1" applyFill="1" applyAlignment="1" applyProtection="1">
      <alignment vertical="center"/>
    </xf>
    <xf numFmtId="0" fontId="81" fillId="0" borderId="0" xfId="0" applyFont="1" applyFill="1" applyAlignment="1" applyProtection="1">
      <alignment vertical="center"/>
    </xf>
    <xf numFmtId="4" fontId="28" fillId="11" borderId="10" xfId="0" applyNumberFormat="1" applyFont="1" applyFill="1" applyBorder="1" applyAlignment="1" applyProtection="1">
      <alignment horizontal="center" vertical="center" textRotation="255" wrapText="1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horizontal="center" vertical="center"/>
      <protection locked="0"/>
    </xf>
    <xf numFmtId="14" fontId="12" fillId="4" borderId="0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Border="1" applyAlignment="1" applyProtection="1">
      <alignment horizontal="left" vertical="center" wrapText="1"/>
      <protection locked="0"/>
    </xf>
    <xf numFmtId="0" fontId="12" fillId="0" borderId="0" xfId="0" applyFont="1" applyFill="1" applyBorder="1" applyAlignment="1" applyProtection="1">
      <alignment vertical="center"/>
      <protection locked="0"/>
    </xf>
    <xf numFmtId="4" fontId="36" fillId="4" borderId="1" xfId="0" applyNumberFormat="1" applyFont="1" applyFill="1" applyBorder="1" applyAlignment="1" applyProtection="1">
      <alignment vertical="center"/>
      <protection locked="0"/>
    </xf>
    <xf numFmtId="4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Font="1" applyFill="1" applyBorder="1" applyAlignment="1" applyProtection="1">
      <alignment horizontal="center" vertical="center"/>
      <protection locked="0"/>
    </xf>
    <xf numFmtId="2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7" borderId="0" xfId="0" applyFont="1" applyFill="1" applyBorder="1" applyAlignment="1" applyProtection="1">
      <alignment vertical="center"/>
      <protection locked="0"/>
    </xf>
    <xf numFmtId="0" fontId="10" fillId="7" borderId="65" xfId="0" applyFont="1" applyFill="1" applyBorder="1" applyAlignment="1" applyProtection="1">
      <alignment horizontal="center" vertical="center"/>
      <protection locked="0"/>
    </xf>
    <xf numFmtId="0" fontId="37" fillId="0" borderId="41" xfId="0" applyFont="1" applyFill="1" applyBorder="1" applyAlignment="1" applyProtection="1">
      <alignment vertical="center"/>
    </xf>
    <xf numFmtId="14" fontId="36" fillId="0" borderId="41" xfId="0" applyNumberFormat="1" applyFont="1" applyFill="1" applyBorder="1" applyAlignment="1" applyProtection="1">
      <alignment horizontal="center" vertical="center"/>
      <protection locked="0"/>
    </xf>
    <xf numFmtId="1" fontId="36" fillId="2" borderId="41" xfId="0" applyNumberFormat="1" applyFont="1" applyFill="1" applyBorder="1" applyAlignment="1" applyProtection="1">
      <alignment horizontal="center" vertical="center"/>
    </xf>
    <xf numFmtId="1" fontId="36" fillId="0" borderId="41" xfId="0" applyNumberFormat="1" applyFont="1" applyFill="1" applyBorder="1" applyAlignment="1" applyProtection="1">
      <alignment horizontal="center" vertical="center"/>
      <protection locked="0"/>
    </xf>
    <xf numFmtId="1" fontId="33" fillId="4" borderId="41" xfId="0" applyNumberFormat="1" applyFont="1" applyFill="1" applyBorder="1" applyAlignment="1" applyProtection="1">
      <alignment horizontal="left" vertical="center"/>
      <protection locked="0"/>
    </xf>
    <xf numFmtId="1" fontId="36" fillId="4" borderId="41" xfId="0" applyNumberFormat="1" applyFont="1" applyFill="1" applyBorder="1" applyAlignment="1" applyProtection="1">
      <alignment horizontal="center" vertical="center"/>
      <protection locked="0"/>
    </xf>
    <xf numFmtId="0" fontId="36" fillId="0" borderId="41" xfId="0" applyFont="1" applyFill="1" applyBorder="1" applyAlignment="1" applyProtection="1">
      <alignment vertical="center"/>
      <protection locked="0"/>
    </xf>
    <xf numFmtId="0" fontId="36" fillId="0" borderId="18" xfId="0" applyFont="1" applyFill="1" applyBorder="1" applyAlignment="1" applyProtection="1">
      <alignment horizontal="center" vertical="center"/>
      <protection locked="0"/>
    </xf>
    <xf numFmtId="4" fontId="36" fillId="0" borderId="1" xfId="0" applyNumberFormat="1" applyFont="1" applyFill="1" applyBorder="1" applyAlignment="1" applyProtection="1">
      <alignment vertical="center"/>
      <protection locked="0"/>
    </xf>
    <xf numFmtId="4" fontId="36" fillId="0" borderId="1" xfId="0" applyNumberFormat="1" applyFont="1" applyFill="1" applyBorder="1" applyAlignment="1" applyProtection="1">
      <alignment horizontal="center" vertical="center"/>
      <protection locked="0"/>
    </xf>
    <xf numFmtId="0" fontId="36" fillId="0" borderId="1" xfId="0" applyFont="1" applyFill="1" applyBorder="1" applyAlignment="1" applyProtection="1">
      <alignment horizontal="center" vertical="center"/>
      <protection locked="0"/>
    </xf>
    <xf numFmtId="4" fontId="12" fillId="0" borderId="0" xfId="0" applyNumberFormat="1" applyFont="1" applyFill="1" applyAlignment="1" applyProtection="1">
      <alignment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3" borderId="31" xfId="0" applyFont="1" applyFill="1" applyBorder="1" applyAlignment="1" applyProtection="1">
      <alignment horizontal="left" vertical="center"/>
      <protection locked="0"/>
    </xf>
    <xf numFmtId="0" fontId="20" fillId="3" borderId="31" xfId="0" applyFont="1" applyFill="1" applyBorder="1" applyAlignment="1" applyProtection="1">
      <alignment vertical="center"/>
      <protection locked="0"/>
    </xf>
    <xf numFmtId="0" fontId="20" fillId="3" borderId="31" xfId="0" applyFont="1" applyFill="1" applyBorder="1" applyAlignment="1" applyProtection="1">
      <alignment horizontal="center" vertical="center"/>
      <protection locked="0"/>
    </xf>
    <xf numFmtId="0" fontId="20" fillId="3" borderId="31" xfId="0" applyFont="1" applyFill="1" applyBorder="1" applyAlignment="1" applyProtection="1">
      <alignment horizontal="left" vertical="center" wrapText="1"/>
      <protection locked="0"/>
    </xf>
    <xf numFmtId="4" fontId="12" fillId="4" borderId="0" xfId="0" applyNumberFormat="1" applyFont="1" applyFill="1" applyBorder="1" applyAlignment="1" applyProtection="1">
      <alignment vertical="center"/>
      <protection locked="0"/>
    </xf>
    <xf numFmtId="4" fontId="12" fillId="0" borderId="0" xfId="0" applyNumberFormat="1" applyFont="1" applyFill="1" applyBorder="1" applyAlignment="1" applyProtection="1">
      <alignment vertical="center"/>
      <protection locked="0"/>
    </xf>
    <xf numFmtId="0" fontId="36" fillId="41" borderId="18" xfId="0" applyFont="1" applyFill="1" applyBorder="1" applyAlignment="1" applyProtection="1">
      <alignment horizontal="center" vertical="center"/>
      <protection locked="0"/>
    </xf>
    <xf numFmtId="4" fontId="12" fillId="41" borderId="0" xfId="0" applyNumberFormat="1" applyFont="1" applyFill="1" applyAlignment="1" applyProtection="1">
      <alignment vertical="center"/>
      <protection locked="0"/>
    </xf>
    <xf numFmtId="0" fontId="12" fillId="41" borderId="0" xfId="0" applyFont="1" applyFill="1" applyAlignment="1" applyProtection="1">
      <alignment vertical="center"/>
      <protection locked="0"/>
    </xf>
    <xf numFmtId="0" fontId="20" fillId="3" borderId="45" xfId="0" applyFont="1" applyFill="1" applyBorder="1" applyAlignment="1" applyProtection="1">
      <alignment horizontal="left" vertical="center"/>
      <protection locked="0"/>
    </xf>
    <xf numFmtId="0" fontId="20" fillId="3" borderId="44" xfId="0" applyFont="1" applyFill="1" applyBorder="1" applyAlignment="1" applyProtection="1">
      <alignment vertical="center"/>
      <protection locked="0"/>
    </xf>
    <xf numFmtId="0" fontId="20" fillId="3" borderId="44" xfId="0" applyFont="1" applyFill="1" applyBorder="1" applyAlignment="1" applyProtection="1">
      <alignment horizontal="center" vertical="center"/>
      <protection locked="0"/>
    </xf>
    <xf numFmtId="0" fontId="20" fillId="3" borderId="44" xfId="0" applyFont="1" applyFill="1" applyBorder="1" applyAlignment="1" applyProtection="1">
      <alignment horizontal="left" vertical="center" wrapText="1"/>
      <protection locked="0"/>
    </xf>
    <xf numFmtId="0" fontId="17" fillId="7" borderId="5" xfId="0" applyFont="1" applyFill="1" applyBorder="1" applyAlignment="1" applyProtection="1">
      <alignment vertical="center"/>
      <protection locked="0"/>
    </xf>
    <xf numFmtId="0" fontId="17" fillId="7" borderId="65" xfId="0" applyFont="1" applyFill="1" applyBorder="1" applyAlignment="1" applyProtection="1">
      <alignment horizontal="center" vertical="center"/>
      <protection locked="0"/>
    </xf>
    <xf numFmtId="0" fontId="36" fillId="0" borderId="22" xfId="0" applyNumberFormat="1" applyFont="1" applyFill="1" applyBorder="1" applyAlignment="1" applyProtection="1">
      <alignment horizontal="left" vertical="center"/>
      <protection locked="0"/>
    </xf>
    <xf numFmtId="0" fontId="36" fillId="0" borderId="19" xfId="0" applyNumberFormat="1" applyFont="1" applyFill="1" applyBorder="1" applyAlignment="1" applyProtection="1">
      <alignment horizontal="left" vertical="center"/>
      <protection locked="0"/>
    </xf>
    <xf numFmtId="0" fontId="20" fillId="3" borderId="12" xfId="0" applyFont="1" applyFill="1" applyBorder="1" applyAlignment="1" applyProtection="1">
      <alignment horizontal="left" vertical="center"/>
      <protection locked="0"/>
    </xf>
    <xf numFmtId="0" fontId="20" fillId="3" borderId="12" xfId="0" applyFont="1" applyFill="1" applyBorder="1" applyAlignment="1" applyProtection="1">
      <alignment vertical="center"/>
      <protection locked="0"/>
    </xf>
    <xf numFmtId="0" fontId="20" fillId="3" borderId="12" xfId="0" applyFont="1" applyFill="1" applyBorder="1" applyAlignment="1" applyProtection="1">
      <alignment horizontal="left" vertical="center" wrapText="1"/>
      <protection locked="0"/>
    </xf>
    <xf numFmtId="0" fontId="17" fillId="2" borderId="2" xfId="0" applyFont="1" applyFill="1" applyBorder="1" applyAlignment="1" applyProtection="1">
      <alignment horizontal="center" vertical="center"/>
      <protection locked="0"/>
    </xf>
    <xf numFmtId="0" fontId="20" fillId="2" borderId="3" xfId="0" applyFont="1" applyFill="1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17" fillId="2" borderId="4" xfId="0" applyFont="1" applyFill="1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horizontal="left" vertical="center" wrapText="1"/>
      <protection locked="0"/>
    </xf>
    <xf numFmtId="4" fontId="23" fillId="4" borderId="0" xfId="0" applyNumberFormat="1" applyFont="1" applyFill="1" applyAlignment="1" applyProtection="1">
      <alignment horizontal="center" vertical="center"/>
      <protection locked="0"/>
    </xf>
    <xf numFmtId="4" fontId="38" fillId="8" borderId="1" xfId="0" applyNumberFormat="1" applyFont="1" applyFill="1" applyBorder="1" applyAlignment="1" applyProtection="1">
      <alignment vertical="center"/>
      <protection locked="0"/>
    </xf>
    <xf numFmtId="4" fontId="38" fillId="8" borderId="1" xfId="0" applyNumberFormat="1" applyFont="1" applyFill="1" applyBorder="1" applyAlignment="1" applyProtection="1">
      <alignment horizontal="center" vertical="center"/>
      <protection locked="0"/>
    </xf>
    <xf numFmtId="0" fontId="45" fillId="41" borderId="0" xfId="0" applyFont="1" applyFill="1" applyAlignment="1" applyProtection="1">
      <alignment horizontal="left" vertical="center"/>
    </xf>
    <xf numFmtId="0" fontId="46" fillId="41" borderId="0" xfId="0" applyFont="1" applyFill="1" applyAlignment="1" applyProtection="1">
      <alignment horizontal="center" vertical="center"/>
    </xf>
    <xf numFmtId="0" fontId="37" fillId="41" borderId="0" xfId="0" applyFont="1" applyFill="1" applyAlignment="1" applyProtection="1">
      <alignment vertical="center"/>
    </xf>
    <xf numFmtId="0" fontId="36" fillId="41" borderId="0" xfId="0" applyFont="1" applyFill="1" applyAlignment="1" applyProtection="1">
      <alignment horizontal="center" vertical="center"/>
      <protection locked="0"/>
    </xf>
    <xf numFmtId="0" fontId="12" fillId="4" borderId="43" xfId="0" applyFont="1" applyFill="1" applyBorder="1" applyAlignment="1" applyProtection="1">
      <alignment horizontal="center" vertical="center"/>
      <protection locked="0"/>
    </xf>
    <xf numFmtId="0" fontId="76" fillId="0" borderId="5" xfId="0" applyFont="1" applyFill="1" applyBorder="1" applyAlignment="1" applyProtection="1">
      <alignment vertical="center"/>
    </xf>
    <xf numFmtId="0" fontId="86" fillId="4" borderId="5" xfId="0" applyFont="1" applyFill="1" applyBorder="1" applyAlignment="1" applyProtection="1">
      <alignment horizontal="center" vertical="center"/>
      <protection locked="0"/>
    </xf>
    <xf numFmtId="0" fontId="12" fillId="4" borderId="5" xfId="0" applyFont="1" applyFill="1" applyBorder="1" applyAlignment="1" applyProtection="1">
      <alignment vertical="center"/>
      <protection locked="0"/>
    </xf>
    <xf numFmtId="0" fontId="12" fillId="4" borderId="5" xfId="0" applyFont="1" applyFill="1" applyBorder="1" applyAlignment="1" applyProtection="1">
      <alignment horizontal="center" vertical="center"/>
      <protection locked="0"/>
    </xf>
    <xf numFmtId="14" fontId="12" fillId="4" borderId="13" xfId="0" applyNumberFormat="1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Border="1" applyAlignment="1" applyProtection="1">
      <alignment vertical="center"/>
      <protection locked="0"/>
    </xf>
    <xf numFmtId="0" fontId="36" fillId="4" borderId="0" xfId="0" applyFont="1" applyFill="1" applyBorder="1" applyAlignment="1" applyProtection="1">
      <alignment horizontal="center" vertical="center"/>
      <protection locked="0"/>
    </xf>
    <xf numFmtId="14" fontId="12" fillId="4" borderId="65" xfId="0" applyNumberFormat="1" applyFont="1" applyFill="1" applyBorder="1" applyAlignment="1" applyProtection="1">
      <alignment horizontal="center" vertical="center"/>
      <protection locked="0"/>
    </xf>
    <xf numFmtId="0" fontId="86" fillId="4" borderId="64" xfId="0" applyFont="1" applyFill="1" applyBorder="1" applyAlignment="1" applyProtection="1">
      <alignment horizontal="center" vertical="center"/>
      <protection locked="0"/>
    </xf>
    <xf numFmtId="0" fontId="76" fillId="0" borderId="0" xfId="0" applyFont="1" applyFill="1" applyBorder="1" applyAlignment="1" applyProtection="1">
      <alignment horizontal="center" vertical="center"/>
    </xf>
    <xf numFmtId="0" fontId="12" fillId="4" borderId="42" xfId="0" applyFont="1" applyFill="1" applyBorder="1" applyAlignment="1" applyProtection="1">
      <alignment horizontal="center" vertical="center"/>
      <protection locked="0"/>
    </xf>
    <xf numFmtId="0" fontId="12" fillId="4" borderId="31" xfId="0" applyFont="1" applyFill="1" applyBorder="1" applyAlignment="1" applyProtection="1">
      <alignment vertical="center"/>
      <protection locked="0"/>
    </xf>
    <xf numFmtId="0" fontId="12" fillId="4" borderId="31" xfId="0" applyFont="1" applyFill="1" applyBorder="1" applyAlignment="1" applyProtection="1">
      <alignment horizontal="center" vertical="center"/>
      <protection locked="0"/>
    </xf>
    <xf numFmtId="14" fontId="12" fillId="4" borderId="40" xfId="0" applyNumberFormat="1" applyFont="1" applyFill="1" applyBorder="1" applyAlignment="1" applyProtection="1">
      <alignment horizontal="center" vertical="center"/>
      <protection locked="0"/>
    </xf>
    <xf numFmtId="0" fontId="76" fillId="0" borderId="0" xfId="0" applyFont="1" applyFill="1" applyBorder="1" applyAlignment="1" applyProtection="1">
      <alignment vertical="center"/>
    </xf>
    <xf numFmtId="0" fontId="76" fillId="0" borderId="31" xfId="0" applyFont="1" applyFill="1" applyBorder="1" applyAlignment="1" applyProtection="1">
      <alignment vertical="center"/>
    </xf>
    <xf numFmtId="0" fontId="78" fillId="4" borderId="43" xfId="0" applyFont="1" applyFill="1" applyBorder="1" applyAlignment="1" applyProtection="1">
      <alignment horizontal="center" vertical="center"/>
      <protection locked="0"/>
    </xf>
    <xf numFmtId="0" fontId="36" fillId="4" borderId="5" xfId="0" applyFont="1" applyFill="1" applyBorder="1" applyAlignment="1" applyProtection="1">
      <alignment vertical="center"/>
      <protection locked="0"/>
    </xf>
    <xf numFmtId="0" fontId="36" fillId="4" borderId="13" xfId="0" applyFont="1" applyFill="1" applyBorder="1" applyAlignment="1" applyProtection="1">
      <alignment horizontal="center" vertical="center"/>
      <protection locked="0"/>
    </xf>
    <xf numFmtId="0" fontId="36" fillId="4" borderId="31" xfId="0" applyFont="1" applyFill="1" applyBorder="1" applyAlignment="1" applyProtection="1">
      <alignment vertical="center"/>
      <protection locked="0"/>
    </xf>
    <xf numFmtId="0" fontId="36" fillId="4" borderId="40" xfId="0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36" fillId="4" borderId="0" xfId="0" applyFont="1" applyFill="1" applyAlignment="1">
      <alignment horizontal="center" vertical="center"/>
    </xf>
    <xf numFmtId="14" fontId="12" fillId="4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left" vertical="center" wrapText="1"/>
    </xf>
    <xf numFmtId="0" fontId="12" fillId="0" borderId="0" xfId="0" applyFont="1" applyFill="1" applyAlignment="1">
      <alignment vertical="center"/>
    </xf>
    <xf numFmtId="4" fontId="12" fillId="4" borderId="0" xfId="0" applyNumberFormat="1" applyFont="1" applyFill="1" applyAlignment="1">
      <alignment vertical="center"/>
    </xf>
    <xf numFmtId="0" fontId="1" fillId="4" borderId="63" xfId="0" applyFont="1" applyFill="1" applyBorder="1" applyAlignment="1">
      <alignment horizontal="left" vertical="center"/>
    </xf>
    <xf numFmtId="0" fontId="1" fillId="8" borderId="63" xfId="0" applyFont="1" applyFill="1" applyBorder="1" applyAlignment="1">
      <alignment horizontal="left" vertical="center"/>
    </xf>
    <xf numFmtId="165" fontId="1" fillId="8" borderId="1" xfId="1" applyFont="1" applyFill="1" applyBorder="1" applyAlignment="1">
      <alignment horizontal="left" vertical="center"/>
    </xf>
    <xf numFmtId="0" fontId="7" fillId="4" borderId="63" xfId="0" applyFont="1" applyFill="1" applyBorder="1" applyAlignment="1">
      <alignment horizontal="left" vertical="center"/>
    </xf>
    <xf numFmtId="0" fontId="10" fillId="4" borderId="63" xfId="0" applyFont="1" applyFill="1" applyBorder="1" applyAlignment="1">
      <alignment horizontal="left" vertical="center"/>
    </xf>
    <xf numFmtId="0" fontId="10" fillId="4" borderId="63" xfId="0" applyFont="1" applyFill="1" applyBorder="1" applyAlignment="1">
      <alignment horizontal="left" vertical="center" wrapText="1"/>
    </xf>
    <xf numFmtId="4" fontId="16" fillId="2" borderId="11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7" fillId="6" borderId="6" xfId="0" applyNumberFormat="1" applyFont="1" applyFill="1" applyBorder="1" applyAlignment="1" applyProtection="1">
      <alignment horizontal="center" vertical="center"/>
      <protection locked="0"/>
    </xf>
    <xf numFmtId="4" fontId="12" fillId="4" borderId="0" xfId="0" applyNumberFormat="1" applyFont="1" applyFill="1" applyBorder="1" applyAlignment="1" applyProtection="1">
      <alignment horizontal="center" vertical="center"/>
    </xf>
    <xf numFmtId="4" fontId="22" fillId="3" borderId="25" xfId="0" applyNumberFormat="1" applyFont="1" applyFill="1" applyBorder="1" applyAlignment="1" applyProtection="1">
      <alignment horizontal="center" vertical="center"/>
    </xf>
    <xf numFmtId="4" fontId="36" fillId="0" borderId="41" xfId="0" applyNumberFormat="1" applyFont="1" applyBorder="1" applyAlignment="1" applyProtection="1">
      <alignment horizontal="center" vertical="center"/>
    </xf>
    <xf numFmtId="4" fontId="23" fillId="0" borderId="27" xfId="0" applyNumberFormat="1" applyFont="1" applyBorder="1" applyAlignment="1" applyProtection="1">
      <alignment horizontal="center" vertical="center"/>
    </xf>
    <xf numFmtId="4" fontId="23" fillId="0" borderId="0" xfId="0" applyNumberFormat="1" applyFont="1" applyBorder="1" applyAlignment="1" applyProtection="1">
      <alignment horizontal="center" vertical="center"/>
    </xf>
    <xf numFmtId="4" fontId="23" fillId="4" borderId="0" xfId="0" applyNumberFormat="1" applyFont="1" applyFill="1" applyBorder="1" applyAlignment="1" applyProtection="1">
      <alignment horizontal="center" vertical="center"/>
    </xf>
    <xf numFmtId="0" fontId="12" fillId="4" borderId="0" xfId="0" applyFont="1" applyFill="1" applyAlignment="1" applyProtection="1">
      <alignment horizontal="center" vertical="center"/>
    </xf>
    <xf numFmtId="4" fontId="17" fillId="6" borderId="6" xfId="0" applyNumberFormat="1" applyFont="1" applyFill="1" applyBorder="1" applyAlignment="1" applyProtection="1">
      <alignment horizontal="center" vertical="center"/>
    </xf>
    <xf numFmtId="0" fontId="92" fillId="42" borderId="11" xfId="0" applyFont="1" applyFill="1" applyBorder="1" applyAlignment="1" applyProtection="1">
      <alignment horizontal="center" vertical="center" wrapText="1"/>
    </xf>
    <xf numFmtId="0" fontId="0" fillId="0" borderId="0" xfId="0" applyFill="1"/>
    <xf numFmtId="0" fontId="1" fillId="0" borderId="0" xfId="0" applyFont="1" applyFill="1" applyAlignment="1">
      <alignment horizontal="center"/>
    </xf>
    <xf numFmtId="0" fontId="8" fillId="0" borderId="0" xfId="115"/>
    <xf numFmtId="0" fontId="98" fillId="0" borderId="0" xfId="115" applyFont="1" applyFill="1" applyBorder="1" applyAlignment="1">
      <alignment horizontal="center" vertical="center" wrapText="1"/>
    </xf>
    <xf numFmtId="0" fontId="52" fillId="0" borderId="0" xfId="115" applyFont="1"/>
    <xf numFmtId="0" fontId="100" fillId="0" borderId="7" xfId="0" applyFont="1" applyFill="1" applyBorder="1" applyAlignment="1" applyProtection="1">
      <alignment horizontal="right"/>
    </xf>
    <xf numFmtId="4" fontId="8" fillId="0" borderId="0" xfId="115" applyNumberFormat="1" applyFill="1" applyBorder="1"/>
    <xf numFmtId="4" fontId="8" fillId="0" borderId="0" xfId="115" applyNumberFormat="1"/>
    <xf numFmtId="0" fontId="8" fillId="0" borderId="0" xfId="115" applyBorder="1" applyAlignment="1">
      <alignment horizontal="center"/>
    </xf>
    <xf numFmtId="0" fontId="100" fillId="0" borderId="0" xfId="0" applyFont="1" applyFill="1" applyBorder="1" applyAlignment="1" applyProtection="1">
      <alignment horizontal="right"/>
    </xf>
    <xf numFmtId="3" fontId="8" fillId="0" borderId="0" xfId="115" applyNumberFormat="1" applyBorder="1"/>
    <xf numFmtId="4" fontId="44" fillId="0" borderId="0" xfId="115" applyNumberFormat="1" applyFont="1" applyBorder="1"/>
    <xf numFmtId="0" fontId="101" fillId="0" borderId="0" xfId="115" applyFont="1" applyAlignment="1">
      <alignment horizontal="center"/>
    </xf>
    <xf numFmtId="0" fontId="100" fillId="0" borderId="0" xfId="116" applyFont="1" applyFill="1" applyAlignment="1" applyProtection="1">
      <alignment horizontal="center"/>
    </xf>
    <xf numFmtId="0" fontId="20" fillId="0" borderId="7" xfId="0" applyFont="1" applyFill="1" applyBorder="1" applyAlignment="1" applyProtection="1">
      <alignment horizontal="right"/>
      <protection locked="0"/>
    </xf>
    <xf numFmtId="0" fontId="20" fillId="0" borderId="0" xfId="0" applyFont="1" applyFill="1" applyBorder="1" applyAlignment="1" applyProtection="1">
      <alignment horizontal="right"/>
      <protection locked="0"/>
    </xf>
    <xf numFmtId="0" fontId="102" fillId="0" borderId="0" xfId="115" applyFont="1" applyAlignment="1">
      <alignment horizontal="right"/>
    </xf>
    <xf numFmtId="4" fontId="44" fillId="0" borderId="0" xfId="115" applyNumberFormat="1" applyFont="1" applyFill="1" applyBorder="1"/>
    <xf numFmtId="14" fontId="102" fillId="0" borderId="0" xfId="115" applyNumberFormat="1" applyFont="1" applyAlignment="1">
      <alignment horizontal="right"/>
    </xf>
    <xf numFmtId="0" fontId="52" fillId="0" borderId="44" xfId="115" applyFont="1" applyBorder="1"/>
    <xf numFmtId="3" fontId="8" fillId="0" borderId="44" xfId="115" applyNumberFormat="1" applyBorder="1"/>
    <xf numFmtId="14" fontId="8" fillId="0" borderId="44" xfId="115" applyNumberFormat="1" applyBorder="1"/>
    <xf numFmtId="4" fontId="8" fillId="0" borderId="44" xfId="115" applyNumberFormat="1" applyBorder="1"/>
    <xf numFmtId="14" fontId="8" fillId="0" borderId="0" xfId="115" applyNumberFormat="1" applyBorder="1"/>
    <xf numFmtId="0" fontId="8" fillId="0" borderId="45" xfId="115" applyBorder="1" applyAlignment="1">
      <alignment horizontal="center"/>
    </xf>
    <xf numFmtId="0" fontId="8" fillId="0" borderId="44" xfId="115" applyBorder="1"/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Protection="1">
      <protection locked="0"/>
    </xf>
    <xf numFmtId="0" fontId="50" fillId="0" borderId="0" xfId="0" applyFont="1" applyFill="1" applyAlignment="1" applyProtection="1">
      <alignment horizontal="center"/>
    </xf>
    <xf numFmtId="0" fontId="36" fillId="0" borderId="0" xfId="0" applyFont="1" applyFill="1" applyProtection="1">
      <protection locked="0"/>
    </xf>
    <xf numFmtId="14" fontId="1" fillId="0" borderId="0" xfId="0" applyNumberFormat="1" applyFont="1" applyFill="1" applyAlignment="1" applyProtection="1">
      <alignment horizontal="left"/>
      <protection locked="0"/>
    </xf>
    <xf numFmtId="4" fontId="1" fillId="0" borderId="0" xfId="0" applyNumberFormat="1" applyFont="1" applyFill="1" applyAlignment="1" applyProtection="1">
      <alignment horizontal="center" vertical="center"/>
      <protection locked="0"/>
    </xf>
    <xf numFmtId="4" fontId="1" fillId="0" borderId="0" xfId="0" applyNumberFormat="1" applyFont="1" applyFill="1" applyProtection="1">
      <protection locked="0"/>
    </xf>
    <xf numFmtId="0" fontId="1" fillId="0" borderId="0" xfId="0" applyFont="1" applyFill="1" applyBorder="1" applyProtection="1">
      <protection locked="0"/>
    </xf>
    <xf numFmtId="0" fontId="38" fillId="0" borderId="0" xfId="0" applyFont="1" applyFill="1" applyAlignment="1" applyProtection="1">
      <protection locked="0"/>
    </xf>
    <xf numFmtId="0" fontId="38" fillId="0" borderId="0" xfId="0" applyFont="1" applyFill="1" applyAlignment="1" applyProtection="1">
      <alignment horizontal="center"/>
      <protection locked="0"/>
    </xf>
    <xf numFmtId="169" fontId="103" fillId="0" borderId="0" xfId="1" applyNumberFormat="1" applyFont="1" applyFill="1" applyAlignment="1" applyProtection="1">
      <alignment horizontal="left"/>
      <protection locked="0"/>
    </xf>
    <xf numFmtId="0" fontId="20" fillId="0" borderId="0" xfId="0" applyFont="1" applyFill="1" applyAlignment="1" applyProtection="1">
      <protection locked="0"/>
    </xf>
    <xf numFmtId="0" fontId="84" fillId="0" borderId="0" xfId="0" applyFont="1" applyFill="1" applyProtection="1"/>
    <xf numFmtId="0" fontId="19" fillId="0" borderId="0" xfId="0" applyFont="1" applyFill="1" applyAlignment="1" applyProtection="1">
      <alignment horizontal="center" vertical="center"/>
      <protection locked="0"/>
    </xf>
    <xf numFmtId="0" fontId="19" fillId="0" borderId="0" xfId="0" applyFont="1" applyFill="1" applyAlignment="1" applyProtection="1">
      <alignment vertical="center"/>
      <protection locked="0"/>
    </xf>
    <xf numFmtId="0" fontId="36" fillId="0" borderId="0" xfId="0" applyFont="1" applyFill="1" applyAlignment="1" applyProtection="1">
      <alignment vertical="center"/>
      <protection locked="0"/>
    </xf>
    <xf numFmtId="14" fontId="19" fillId="0" borderId="0" xfId="0" applyNumberFormat="1" applyFont="1" applyFill="1" applyAlignment="1" applyProtection="1">
      <alignment horizontal="left" vertical="center"/>
      <protection locked="0"/>
    </xf>
    <xf numFmtId="3" fontId="50" fillId="0" borderId="0" xfId="0" applyNumberFormat="1" applyFont="1" applyFill="1" applyBorder="1" applyAlignment="1" applyProtection="1">
      <alignment horizontal="center" vertical="center"/>
      <protection locked="0"/>
    </xf>
    <xf numFmtId="3" fontId="20" fillId="0" borderId="13" xfId="0" applyNumberFormat="1" applyFont="1" applyFill="1" applyBorder="1" applyAlignment="1" applyProtection="1">
      <alignment horizontal="center" vertical="center"/>
      <protection locked="0"/>
    </xf>
    <xf numFmtId="3" fontId="50" fillId="0" borderId="13" xfId="0" applyNumberFormat="1" applyFont="1" applyFill="1" applyBorder="1" applyAlignment="1" applyProtection="1">
      <alignment horizontal="center" vertical="center"/>
      <protection locked="0"/>
    </xf>
    <xf numFmtId="0" fontId="104" fillId="0" borderId="0" xfId="0" applyFont="1" applyFill="1" applyProtection="1"/>
    <xf numFmtId="0" fontId="20" fillId="0" borderId="67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19" fillId="0" borderId="0" xfId="0" applyFont="1" applyFill="1" applyBorder="1" applyAlignment="1" applyProtection="1">
      <alignment vertical="center"/>
      <protection locked="0"/>
    </xf>
    <xf numFmtId="4" fontId="10" fillId="0" borderId="6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 wrapText="1"/>
      <protection locked="0"/>
    </xf>
    <xf numFmtId="4" fontId="20" fillId="0" borderId="27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27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11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49" xfId="0" applyNumberFormat="1" applyFont="1" applyFill="1" applyBorder="1" applyAlignment="1" applyProtection="1">
      <alignment horizontal="center" vertical="center" wrapText="1"/>
      <protection locked="0"/>
    </xf>
    <xf numFmtId="4" fontId="20" fillId="0" borderId="61" xfId="11" applyNumberFormat="1" applyFont="1" applyFill="1" applyBorder="1" applyAlignment="1">
      <alignment horizontal="center" vertical="center" wrapText="1"/>
    </xf>
    <xf numFmtId="0" fontId="105" fillId="0" borderId="11" xfId="0" applyFont="1" applyFill="1" applyBorder="1" applyAlignment="1" applyProtection="1">
      <alignment horizontal="center" vertical="center" wrapText="1"/>
    </xf>
    <xf numFmtId="0" fontId="20" fillId="0" borderId="22" xfId="7" applyFont="1" applyFill="1" applyBorder="1" applyAlignment="1">
      <alignment horizontal="center" vertical="center" wrapText="1"/>
    </xf>
    <xf numFmtId="0" fontId="20" fillId="0" borderId="74" xfId="7" applyFont="1" applyFill="1" applyBorder="1" applyAlignment="1">
      <alignment horizontal="center" vertical="center" wrapText="1"/>
    </xf>
    <xf numFmtId="4" fontId="20" fillId="0" borderId="62" xfId="11" applyNumberFormat="1" applyFont="1" applyFill="1" applyBorder="1" applyAlignment="1">
      <alignment horizontal="center" vertical="center" wrapText="1"/>
    </xf>
    <xf numFmtId="0" fontId="36" fillId="0" borderId="75" xfId="0" applyFont="1" applyFill="1" applyBorder="1" applyAlignment="1" applyProtection="1">
      <alignment horizontal="center"/>
      <protection locked="0"/>
    </xf>
    <xf numFmtId="0" fontId="106" fillId="0" borderId="17" xfId="0" applyFont="1" applyFill="1" applyBorder="1" applyAlignment="1" applyProtection="1">
      <alignment horizontal="left" vertical="center"/>
    </xf>
    <xf numFmtId="3" fontId="84" fillId="0" borderId="22" xfId="0" applyNumberFormat="1" applyFont="1" applyFill="1" applyBorder="1" applyAlignment="1" applyProtection="1">
      <alignment horizontal="center"/>
    </xf>
    <xf numFmtId="0" fontId="36" fillId="0" borderId="22" xfId="0" applyFont="1" applyFill="1" applyBorder="1" applyAlignment="1" applyProtection="1"/>
    <xf numFmtId="0" fontId="36" fillId="0" borderId="22" xfId="0" applyFont="1" applyFill="1" applyBorder="1" applyAlignment="1" applyProtection="1">
      <alignment horizontal="center"/>
      <protection locked="0"/>
    </xf>
    <xf numFmtId="14" fontId="36" fillId="0" borderId="22" xfId="0" applyNumberFormat="1" applyFont="1" applyFill="1" applyBorder="1" applyProtection="1">
      <protection locked="0"/>
    </xf>
    <xf numFmtId="14" fontId="36" fillId="0" borderId="22" xfId="0" applyNumberFormat="1" applyFont="1" applyFill="1" applyBorder="1" applyAlignment="1" applyProtection="1">
      <alignment horizontal="left"/>
      <protection locked="0"/>
    </xf>
    <xf numFmtId="1" fontId="36" fillId="0" borderId="22" xfId="0" applyNumberFormat="1" applyFont="1" applyFill="1" applyBorder="1" applyAlignment="1" applyProtection="1">
      <alignment horizontal="center"/>
    </xf>
    <xf numFmtId="1" fontId="36" fillId="0" borderId="22" xfId="0" applyNumberFormat="1" applyFont="1" applyFill="1" applyBorder="1" applyAlignment="1" applyProtection="1">
      <alignment horizontal="center"/>
      <protection locked="0"/>
    </xf>
    <xf numFmtId="4" fontId="20" fillId="0" borderId="22" xfId="0" applyNumberFormat="1" applyFont="1" applyFill="1" applyBorder="1" applyAlignment="1" applyProtection="1">
      <alignment horizontal="center" vertical="center"/>
      <protection locked="0"/>
    </xf>
    <xf numFmtId="4" fontId="20" fillId="0" borderId="14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protection locked="0"/>
    </xf>
    <xf numFmtId="0" fontId="20" fillId="0" borderId="7" xfId="0" applyFont="1" applyFill="1" applyBorder="1" applyAlignment="1" applyProtection="1">
      <alignment horizontal="left"/>
      <protection locked="0"/>
    </xf>
    <xf numFmtId="4" fontId="20" fillId="0" borderId="7" xfId="0" applyNumberFormat="1" applyFont="1" applyFill="1" applyBorder="1" applyAlignment="1" applyProtection="1">
      <alignment horizontal="center" vertical="center"/>
      <protection locked="0"/>
    </xf>
    <xf numFmtId="4" fontId="20" fillId="0" borderId="8" xfId="0" applyNumberFormat="1" applyFont="1" applyFill="1" applyBorder="1" applyAlignment="1" applyProtection="1">
      <alignment horizontal="center" vertical="center"/>
      <protection locked="0"/>
    </xf>
    <xf numFmtId="4" fontId="20" fillId="0" borderId="10" xfId="0" applyNumberFormat="1" applyFont="1" applyFill="1" applyBorder="1" applyAlignment="1" applyProtection="1">
      <alignment horizontal="center" vertical="center"/>
      <protection locked="0"/>
    </xf>
    <xf numFmtId="4" fontId="10" fillId="0" borderId="0" xfId="0" applyNumberFormat="1" applyFont="1" applyFill="1" applyBorder="1" applyProtection="1">
      <protection locked="0"/>
    </xf>
    <xf numFmtId="0" fontId="17" fillId="0" borderId="2" xfId="0" applyFont="1" applyFill="1" applyBorder="1" applyAlignment="1" applyProtection="1">
      <alignment vertical="center"/>
      <protection locked="0"/>
    </xf>
    <xf numFmtId="0" fontId="17" fillId="0" borderId="22" xfId="0" applyFont="1" applyFill="1" applyBorder="1" applyAlignment="1" applyProtection="1">
      <alignment vertical="center"/>
      <protection locked="0"/>
    </xf>
    <xf numFmtId="0" fontId="20" fillId="0" borderId="22" xfId="0" applyFont="1" applyFill="1" applyBorder="1" applyAlignment="1" applyProtection="1">
      <alignment vertical="center"/>
      <protection locked="0"/>
    </xf>
    <xf numFmtId="0" fontId="17" fillId="0" borderId="22" xfId="0" applyFont="1" applyFill="1" applyBorder="1" applyAlignment="1" applyProtection="1">
      <alignment horizontal="center" vertical="center"/>
      <protection locked="0"/>
    </xf>
    <xf numFmtId="14" fontId="23" fillId="0" borderId="22" xfId="0" applyNumberFormat="1" applyFont="1" applyFill="1" applyBorder="1" applyAlignment="1" applyProtection="1">
      <alignment horizontal="left" vertical="center"/>
      <protection locked="0"/>
    </xf>
    <xf numFmtId="0" fontId="23" fillId="0" borderId="22" xfId="0" applyFont="1" applyFill="1" applyBorder="1" applyAlignment="1" applyProtection="1">
      <alignment horizontal="center" vertical="center"/>
      <protection locked="0"/>
    </xf>
    <xf numFmtId="4" fontId="23" fillId="0" borderId="22" xfId="0" applyNumberFormat="1" applyFont="1" applyFill="1" applyBorder="1" applyAlignment="1" applyProtection="1">
      <alignment horizontal="center" vertical="center"/>
      <protection locked="0"/>
    </xf>
    <xf numFmtId="4" fontId="23" fillId="0" borderId="14" xfId="0" applyNumberFormat="1" applyFont="1" applyFill="1" applyBorder="1" applyAlignment="1" applyProtection="1">
      <alignment vertical="center"/>
      <protection locked="0"/>
    </xf>
    <xf numFmtId="4" fontId="23" fillId="0" borderId="0" xfId="0" applyNumberFormat="1" applyFont="1" applyFill="1" applyAlignment="1" applyProtection="1">
      <alignment vertical="center"/>
      <protection locked="0"/>
    </xf>
    <xf numFmtId="0" fontId="23" fillId="0" borderId="0" xfId="0" applyFont="1" applyFill="1" applyAlignment="1" applyProtection="1">
      <alignment vertical="center"/>
      <protection locked="0"/>
    </xf>
    <xf numFmtId="0" fontId="36" fillId="0" borderId="29" xfId="0" applyFont="1" applyFill="1" applyBorder="1" applyAlignment="1" applyProtection="1">
      <alignment horizontal="center"/>
      <protection locked="0"/>
    </xf>
    <xf numFmtId="4" fontId="20" fillId="0" borderId="7" xfId="0" applyNumberFormat="1" applyFont="1" applyFill="1" applyBorder="1" applyAlignment="1" applyProtection="1">
      <alignment horizontal="center" vertical="center"/>
    </xf>
    <xf numFmtId="4" fontId="20" fillId="0" borderId="8" xfId="0" applyNumberFormat="1" applyFont="1" applyFill="1" applyBorder="1" applyAlignment="1" applyProtection="1">
      <alignment horizontal="center" vertical="center"/>
    </xf>
    <xf numFmtId="4" fontId="20" fillId="0" borderId="10" xfId="0" applyNumberFormat="1" applyFont="1" applyFill="1" applyBorder="1" applyAlignment="1" applyProtection="1">
      <alignment horizontal="center" vertical="center"/>
    </xf>
    <xf numFmtId="4" fontId="1" fillId="0" borderId="0" xfId="0" applyNumberFormat="1" applyFont="1" applyFill="1" applyBorder="1" applyProtection="1">
      <protection locked="0"/>
    </xf>
    <xf numFmtId="0" fontId="17" fillId="0" borderId="2" xfId="0" applyFont="1" applyFill="1" applyBorder="1" applyAlignment="1" applyProtection="1">
      <protection locked="0"/>
    </xf>
    <xf numFmtId="0" fontId="17" fillId="0" borderId="65" xfId="0" applyFont="1" applyFill="1" applyBorder="1" applyAlignment="1" applyProtection="1">
      <protection locked="0"/>
    </xf>
    <xf numFmtId="0" fontId="20" fillId="0" borderId="0" xfId="0" applyFont="1" applyFill="1" applyBorder="1" applyAlignment="1" applyProtection="1">
      <protection locked="0"/>
    </xf>
    <xf numFmtId="0" fontId="17" fillId="0" borderId="0" xfId="0" applyFont="1" applyFill="1" applyBorder="1" applyAlignment="1" applyProtection="1"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14" fontId="23" fillId="0" borderId="0" xfId="0" applyNumberFormat="1" applyFont="1" applyFill="1" applyBorder="1" applyAlignment="1" applyProtection="1">
      <alignment horizontal="left"/>
      <protection locked="0"/>
    </xf>
    <xf numFmtId="0" fontId="23" fillId="0" borderId="0" xfId="0" applyFont="1" applyFill="1" applyBorder="1" applyAlignment="1" applyProtection="1">
      <alignment horizontal="center"/>
      <protection locked="0"/>
    </xf>
    <xf numFmtId="4" fontId="23" fillId="0" borderId="0" xfId="0" applyNumberFormat="1" applyFont="1" applyFill="1" applyBorder="1" applyAlignment="1" applyProtection="1">
      <alignment horizontal="center" vertical="center"/>
      <protection locked="0"/>
    </xf>
    <xf numFmtId="4" fontId="23" fillId="0" borderId="0" xfId="0" applyNumberFormat="1" applyFont="1" applyFill="1" applyProtection="1">
      <protection locked="0"/>
    </xf>
    <xf numFmtId="0" fontId="23" fillId="0" borderId="0" xfId="0" applyFont="1" applyFill="1" applyProtection="1">
      <protection locked="0"/>
    </xf>
    <xf numFmtId="0" fontId="36" fillId="0" borderId="0" xfId="0" applyFont="1" applyFill="1" applyBorder="1" applyAlignment="1" applyProtection="1">
      <alignment horizontal="center"/>
      <protection locked="0"/>
    </xf>
    <xf numFmtId="4" fontId="20" fillId="0" borderId="30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0" fontId="23" fillId="0" borderId="0" xfId="0" applyFont="1" applyFill="1" applyAlignment="1" applyProtection="1">
      <alignment horizontal="center"/>
      <protection locked="0"/>
    </xf>
    <xf numFmtId="0" fontId="38" fillId="0" borderId="11" xfId="0" applyFont="1" applyFill="1" applyBorder="1" applyAlignment="1" applyProtection="1">
      <alignment horizontal="center" vertical="center"/>
      <protection locked="0"/>
    </xf>
    <xf numFmtId="0" fontId="17" fillId="0" borderId="2" xfId="0" applyFont="1" applyFill="1" applyBorder="1" applyAlignment="1" applyProtection="1">
      <alignment horizontal="center"/>
      <protection locked="0"/>
    </xf>
    <xf numFmtId="0" fontId="20" fillId="0" borderId="3" xfId="0" applyFont="1" applyFill="1" applyBorder="1" applyAlignment="1" applyProtection="1">
      <alignment horizontal="center"/>
      <protection locked="0"/>
    </xf>
    <xf numFmtId="0" fontId="17" fillId="0" borderId="3" xfId="0" applyFont="1" applyFill="1" applyBorder="1" applyAlignment="1" applyProtection="1">
      <alignment horizontal="center"/>
      <protection locked="0"/>
    </xf>
    <xf numFmtId="4" fontId="20" fillId="0" borderId="6" xfId="0" applyNumberFormat="1" applyFont="1" applyFill="1" applyBorder="1" applyAlignment="1" applyProtection="1">
      <alignment horizontal="center" vertical="center"/>
      <protection locked="0"/>
    </xf>
    <xf numFmtId="4" fontId="17" fillId="0" borderId="6" xfId="0" applyNumberFormat="1" applyFont="1" applyFill="1" applyBorder="1" applyAlignment="1" applyProtection="1">
      <alignment horizontal="center" vertical="center"/>
      <protection locked="0"/>
    </xf>
    <xf numFmtId="4" fontId="23" fillId="0" borderId="0" xfId="0" applyNumberFormat="1" applyFont="1" applyFill="1" applyAlignment="1" applyProtection="1">
      <alignment horizontal="center"/>
      <protection locked="0"/>
    </xf>
    <xf numFmtId="165" fontId="38" fillId="0" borderId="0" xfId="1" applyFont="1" applyFill="1" applyBorder="1" applyAlignment="1" applyProtection="1">
      <alignment horizontal="left"/>
      <protection locked="0"/>
    </xf>
    <xf numFmtId="0" fontId="107" fillId="0" borderId="0" xfId="0" applyFont="1" applyFill="1" applyAlignment="1" applyProtection="1">
      <alignment horizontal="left"/>
    </xf>
    <xf numFmtId="0" fontId="108" fillId="0" borderId="0" xfId="0" applyFont="1" applyFill="1" applyAlignment="1" applyProtection="1">
      <alignment horizontal="left"/>
    </xf>
    <xf numFmtId="0" fontId="36" fillId="0" borderId="0" xfId="0" applyFont="1" applyFill="1" applyProtection="1"/>
    <xf numFmtId="0" fontId="47" fillId="0" borderId="0" xfId="0" applyFont="1" applyFill="1" applyAlignment="1" applyProtection="1">
      <alignment horizontal="center"/>
    </xf>
    <xf numFmtId="0" fontId="109" fillId="0" borderId="0" xfId="0" applyFont="1" applyFill="1" applyAlignment="1" applyProtection="1">
      <alignment horizontal="left"/>
    </xf>
    <xf numFmtId="0" fontId="47" fillId="0" borderId="0" xfId="0" applyFont="1" applyFill="1" applyProtection="1"/>
    <xf numFmtId="0" fontId="109" fillId="0" borderId="0" xfId="0" applyFont="1" applyFill="1" applyAlignment="1" applyProtection="1"/>
    <xf numFmtId="0" fontId="46" fillId="0" borderId="0" xfId="0" applyFont="1" applyFill="1" applyAlignment="1" applyProtection="1">
      <alignment horizontal="left"/>
    </xf>
    <xf numFmtId="4" fontId="47" fillId="0" borderId="0" xfId="0" applyNumberFormat="1" applyFont="1" applyFill="1" applyProtection="1"/>
    <xf numFmtId="0" fontId="47" fillId="0" borderId="0" xfId="0" applyFont="1" applyFill="1" applyAlignment="1" applyProtection="1">
      <alignment horizontal="left"/>
    </xf>
    <xf numFmtId="0" fontId="109" fillId="0" borderId="0" xfId="0" applyFont="1" applyFill="1" applyBorder="1" applyAlignment="1" applyProtection="1">
      <alignment horizontal="center"/>
    </xf>
    <xf numFmtId="0" fontId="109" fillId="0" borderId="0" xfId="0" applyFont="1" applyFill="1" applyBorder="1" applyAlignment="1" applyProtection="1"/>
    <xf numFmtId="0" fontId="46" fillId="0" borderId="0" xfId="0" applyFont="1" applyFill="1" applyProtection="1"/>
    <xf numFmtId="0" fontId="109" fillId="0" borderId="0" xfId="0" applyFont="1" applyFill="1" applyProtection="1"/>
    <xf numFmtId="0" fontId="109" fillId="0" borderId="0" xfId="0" applyFont="1" applyFill="1" applyAlignment="1">
      <alignment horizontal="left"/>
    </xf>
    <xf numFmtId="0" fontId="109" fillId="0" borderId="0" xfId="0" applyFont="1" applyFill="1" applyAlignment="1" applyProtection="1">
      <alignment horizontal="center"/>
    </xf>
    <xf numFmtId="0" fontId="109" fillId="0" borderId="0" xfId="0" applyFont="1" applyFill="1" applyAlignment="1"/>
    <xf numFmtId="0" fontId="36" fillId="0" borderId="0" xfId="0" applyFont="1" applyFill="1"/>
    <xf numFmtId="14" fontId="1" fillId="0" borderId="0" xfId="0" applyNumberFormat="1" applyFont="1" applyFill="1" applyAlignment="1">
      <alignment horizontal="left"/>
    </xf>
    <xf numFmtId="4" fontId="1" fillId="0" borderId="0" xfId="0" applyNumberFormat="1" applyFont="1" applyFill="1" applyAlignment="1">
      <alignment horizontal="center" vertical="center"/>
    </xf>
    <xf numFmtId="4" fontId="1" fillId="0" borderId="0" xfId="0" applyNumberFormat="1" applyFont="1" applyFill="1"/>
    <xf numFmtId="2" fontId="1" fillId="0" borderId="0" xfId="0" applyNumberFormat="1" applyFont="1" applyFill="1" applyAlignment="1" applyProtection="1">
      <alignment horizontal="center" vertical="center"/>
      <protection locked="0"/>
    </xf>
    <xf numFmtId="4" fontId="110" fillId="0" borderId="0" xfId="0" applyNumberFormat="1" applyFont="1" applyFill="1" applyAlignment="1" applyProtection="1">
      <alignment horizontal="center" vertical="center"/>
      <protection locked="0"/>
    </xf>
    <xf numFmtId="2" fontId="10" fillId="0" borderId="2" xfId="0" applyNumberFormat="1" applyFont="1" applyFill="1" applyBorder="1" applyAlignment="1" applyProtection="1">
      <alignment vertical="center"/>
      <protection locked="0"/>
    </xf>
    <xf numFmtId="2" fontId="16" fillId="0" borderId="3" xfId="0" applyNumberFormat="1" applyFont="1" applyFill="1" applyBorder="1" applyAlignment="1" applyProtection="1">
      <alignment vertical="center"/>
      <protection locked="0"/>
    </xf>
    <xf numFmtId="2" fontId="16" fillId="0" borderId="4" xfId="0" applyNumberFormat="1" applyFont="1" applyFill="1" applyBorder="1" applyAlignment="1" applyProtection="1">
      <alignment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4" fontId="95" fillId="0" borderId="0" xfId="0" applyNumberFormat="1" applyFont="1" applyFill="1" applyBorder="1" applyAlignment="1" applyProtection="1">
      <alignment horizontal="center" vertical="center"/>
      <protection locked="0"/>
    </xf>
    <xf numFmtId="3" fontId="50" fillId="0" borderId="31" xfId="0" applyNumberFormat="1" applyFont="1" applyFill="1" applyBorder="1" applyAlignment="1" applyProtection="1">
      <alignment horizontal="center" vertical="center"/>
      <protection locked="0"/>
    </xf>
    <xf numFmtId="4" fontId="1" fillId="0" borderId="41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26" xfId="0" applyNumberFormat="1" applyFont="1" applyFill="1" applyBorder="1" applyAlignment="1" applyProtection="1">
      <alignment horizontal="center" vertical="center" wrapText="1"/>
      <protection locked="0"/>
    </xf>
    <xf numFmtId="2" fontId="10" fillId="0" borderId="41" xfId="0" applyNumberFormat="1" applyFont="1" applyFill="1" applyBorder="1" applyAlignment="1" applyProtection="1">
      <alignment horizontal="center" vertical="center" wrapText="1"/>
      <protection locked="0"/>
    </xf>
    <xf numFmtId="4" fontId="16" fillId="0" borderId="49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49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protection locked="0"/>
    </xf>
    <xf numFmtId="0" fontId="106" fillId="0" borderId="16" xfId="0" applyFont="1" applyFill="1" applyBorder="1" applyAlignment="1" applyProtection="1">
      <alignment horizontal="left" vertical="center"/>
    </xf>
    <xf numFmtId="0" fontId="10" fillId="0" borderId="22" xfId="0" applyFont="1" applyFill="1" applyBorder="1" applyAlignment="1" applyProtection="1">
      <protection locked="0"/>
    </xf>
    <xf numFmtId="0" fontId="20" fillId="0" borderId="22" xfId="0" applyFont="1" applyFill="1" applyBorder="1" applyAlignment="1" applyProtection="1"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14" fontId="1" fillId="0" borderId="22" xfId="0" applyNumberFormat="1" applyFont="1" applyFill="1" applyBorder="1" applyAlignment="1" applyProtection="1">
      <alignment horizontal="left"/>
      <protection locked="0"/>
    </xf>
    <xf numFmtId="0" fontId="1" fillId="0" borderId="22" xfId="0" applyFont="1" applyFill="1" applyBorder="1" applyAlignment="1" applyProtection="1">
      <alignment horizontal="center"/>
      <protection locked="0"/>
    </xf>
    <xf numFmtId="0" fontId="1" fillId="0" borderId="22" xfId="0" applyFont="1" applyFill="1" applyBorder="1" applyProtection="1">
      <protection locked="0"/>
    </xf>
    <xf numFmtId="0" fontId="1" fillId="0" borderId="22" xfId="0" applyFont="1" applyFill="1" applyBorder="1" applyAlignment="1" applyProtection="1">
      <alignment horizontal="center" vertical="center"/>
      <protection locked="0"/>
    </xf>
    <xf numFmtId="4" fontId="1" fillId="0" borderId="22" xfId="0" applyNumberFormat="1" applyFont="1" applyFill="1" applyBorder="1" applyAlignment="1" applyProtection="1">
      <alignment horizontal="center" vertical="center"/>
      <protection locked="0"/>
    </xf>
    <xf numFmtId="2" fontId="1" fillId="0" borderId="22" xfId="0" applyNumberFormat="1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4" fontId="1" fillId="0" borderId="12" xfId="0" applyNumberFormat="1" applyFont="1" applyFill="1" applyBorder="1" applyAlignment="1" applyProtection="1">
      <alignment horizontal="center" vertical="center"/>
      <protection locked="0"/>
    </xf>
    <xf numFmtId="0" fontId="36" fillId="0" borderId="46" xfId="0" applyFont="1" applyFill="1" applyBorder="1" applyAlignment="1" applyProtection="1">
      <alignment horizontal="center"/>
      <protection locked="0"/>
    </xf>
    <xf numFmtId="0" fontId="20" fillId="0" borderId="18" xfId="0" applyFont="1" applyFill="1" applyBorder="1" applyAlignment="1" applyProtection="1">
      <alignment horizontal="center" vertical="center"/>
      <protection locked="0"/>
    </xf>
    <xf numFmtId="3" fontId="84" fillId="0" borderId="7" xfId="0" applyNumberFormat="1" applyFont="1" applyFill="1" applyBorder="1" applyAlignment="1" applyProtection="1">
      <alignment horizontal="center"/>
    </xf>
    <xf numFmtId="0" fontId="36" fillId="0" borderId="7" xfId="0" applyFont="1" applyFill="1" applyBorder="1" applyAlignment="1" applyProtection="1"/>
    <xf numFmtId="0" fontId="36" fillId="0" borderId="7" xfId="0" applyFont="1" applyFill="1" applyBorder="1" applyAlignment="1" applyProtection="1">
      <alignment horizontal="center"/>
      <protection locked="0"/>
    </xf>
    <xf numFmtId="14" fontId="36" fillId="0" borderId="7" xfId="0" applyNumberFormat="1" applyFont="1" applyFill="1" applyBorder="1" applyProtection="1">
      <protection locked="0"/>
    </xf>
    <xf numFmtId="1" fontId="36" fillId="0" borderId="7" xfId="0" applyNumberFormat="1" applyFont="1" applyFill="1" applyBorder="1" applyAlignment="1" applyProtection="1">
      <alignment horizontal="center"/>
    </xf>
    <xf numFmtId="1" fontId="36" fillId="0" borderId="7" xfId="0" applyNumberFormat="1" applyFont="1" applyFill="1" applyBorder="1" applyAlignment="1" applyProtection="1">
      <alignment horizontal="center"/>
      <protection locked="0"/>
    </xf>
    <xf numFmtId="0" fontId="20" fillId="0" borderId="5" xfId="0" applyFont="1" applyFill="1" applyBorder="1" applyAlignment="1" applyProtection="1">
      <alignment horizontal="center" vertical="center"/>
      <protection locked="0"/>
    </xf>
    <xf numFmtId="3" fontId="84" fillId="0" borderId="5" xfId="0" applyNumberFormat="1" applyFont="1" applyFill="1" applyBorder="1" applyAlignment="1" applyProtection="1">
      <alignment horizontal="center"/>
    </xf>
    <xf numFmtId="0" fontId="36" fillId="0" borderId="5" xfId="0" applyFont="1" applyFill="1" applyBorder="1" applyAlignment="1" applyProtection="1"/>
    <xf numFmtId="0" fontId="36" fillId="0" borderId="5" xfId="0" applyFont="1" applyFill="1" applyBorder="1" applyAlignment="1" applyProtection="1">
      <alignment horizontal="center"/>
      <protection locked="0"/>
    </xf>
    <xf numFmtId="14" fontId="36" fillId="0" borderId="5" xfId="0" applyNumberFormat="1" applyFont="1" applyFill="1" applyBorder="1" applyProtection="1">
      <protection locked="0"/>
    </xf>
    <xf numFmtId="14" fontId="36" fillId="0" borderId="5" xfId="0" applyNumberFormat="1" applyFont="1" applyFill="1" applyBorder="1" applyAlignment="1" applyProtection="1">
      <alignment horizontal="left"/>
      <protection locked="0"/>
    </xf>
    <xf numFmtId="1" fontId="36" fillId="0" borderId="5" xfId="0" applyNumberFormat="1" applyFont="1" applyFill="1" applyBorder="1" applyAlignment="1" applyProtection="1">
      <alignment horizontal="center"/>
    </xf>
    <xf numFmtId="1" fontId="36" fillId="0" borderId="5" xfId="0" applyNumberFormat="1" applyFont="1" applyFill="1" applyBorder="1" applyAlignment="1" applyProtection="1">
      <alignment horizontal="center"/>
      <protection locked="0"/>
    </xf>
    <xf numFmtId="0" fontId="100" fillId="0" borderId="5" xfId="0" applyFont="1" applyFill="1" applyBorder="1" applyAlignment="1" applyProtection="1">
      <alignment horizontal="right"/>
    </xf>
    <xf numFmtId="1" fontId="36" fillId="0" borderId="5" xfId="0" applyNumberFormat="1" applyFont="1" applyFill="1" applyBorder="1" applyAlignment="1" applyProtection="1">
      <alignment horizontal="left"/>
      <protection locked="0"/>
    </xf>
    <xf numFmtId="0" fontId="36" fillId="0" borderId="5" xfId="0" applyFont="1" applyFill="1" applyBorder="1" applyProtection="1">
      <protection locked="0"/>
    </xf>
    <xf numFmtId="4" fontId="20" fillId="0" borderId="5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  <protection locked="0"/>
    </xf>
    <xf numFmtId="3" fontId="84" fillId="0" borderId="0" xfId="0" applyNumberFormat="1" applyFont="1" applyFill="1" applyBorder="1" applyAlignment="1" applyProtection="1">
      <alignment horizontal="center"/>
    </xf>
    <xf numFmtId="0" fontId="36" fillId="0" borderId="0" xfId="0" applyFont="1" applyFill="1" applyBorder="1" applyAlignment="1" applyProtection="1"/>
    <xf numFmtId="14" fontId="36" fillId="0" borderId="0" xfId="0" applyNumberFormat="1" applyFont="1" applyFill="1" applyBorder="1" applyProtection="1">
      <protection locked="0"/>
    </xf>
    <xf numFmtId="14" fontId="36" fillId="0" borderId="0" xfId="0" applyNumberFormat="1" applyFont="1" applyFill="1" applyBorder="1" applyAlignment="1" applyProtection="1">
      <alignment horizontal="left"/>
      <protection locked="0"/>
    </xf>
    <xf numFmtId="1" fontId="36" fillId="0" borderId="0" xfId="0" applyNumberFormat="1" applyFont="1" applyFill="1" applyBorder="1" applyAlignment="1" applyProtection="1">
      <alignment horizontal="center"/>
    </xf>
    <xf numFmtId="1" fontId="36" fillId="0" borderId="0" xfId="0" applyNumberFormat="1" applyFont="1" applyFill="1" applyBorder="1" applyAlignment="1" applyProtection="1">
      <alignment horizontal="center"/>
      <protection locked="0"/>
    </xf>
    <xf numFmtId="1" fontId="36" fillId="0" borderId="0" xfId="0" applyNumberFormat="1" applyFont="1" applyFill="1" applyBorder="1" applyAlignment="1" applyProtection="1">
      <alignment horizontal="left"/>
      <protection locked="0"/>
    </xf>
    <xf numFmtId="0" fontId="36" fillId="0" borderId="0" xfId="0" applyFont="1" applyFill="1" applyBorder="1" applyProtection="1">
      <protection locked="0"/>
    </xf>
    <xf numFmtId="4" fontId="20" fillId="0" borderId="0" xfId="0" applyNumberFormat="1" applyFont="1" applyFill="1" applyBorder="1" applyAlignment="1" applyProtection="1">
      <alignment horizontal="center" vertical="center"/>
    </xf>
    <xf numFmtId="3" fontId="84" fillId="0" borderId="12" xfId="0" applyNumberFormat="1" applyFont="1" applyFill="1" applyBorder="1" applyAlignment="1" applyProtection="1">
      <alignment horizontal="center"/>
    </xf>
    <xf numFmtId="0" fontId="36" fillId="0" borderId="12" xfId="0" applyFont="1" applyFill="1" applyBorder="1" applyAlignment="1" applyProtection="1"/>
    <xf numFmtId="0" fontId="36" fillId="0" borderId="12" xfId="0" applyFont="1" applyFill="1" applyBorder="1" applyAlignment="1" applyProtection="1">
      <alignment horizontal="center"/>
      <protection locked="0"/>
    </xf>
    <xf numFmtId="14" fontId="36" fillId="0" borderId="12" xfId="0" applyNumberFormat="1" applyFont="1" applyFill="1" applyBorder="1" applyProtection="1">
      <protection locked="0"/>
    </xf>
    <xf numFmtId="14" fontId="36" fillId="0" borderId="12" xfId="0" applyNumberFormat="1" applyFont="1" applyFill="1" applyBorder="1" applyAlignment="1" applyProtection="1">
      <alignment horizontal="left"/>
      <protection locked="0"/>
    </xf>
    <xf numFmtId="1" fontId="36" fillId="0" borderId="12" xfId="0" applyNumberFormat="1" applyFont="1" applyFill="1" applyBorder="1" applyAlignment="1" applyProtection="1">
      <alignment horizontal="center"/>
    </xf>
    <xf numFmtId="1" fontId="36" fillId="0" borderId="12" xfId="0" applyNumberFormat="1" applyFont="1" applyFill="1" applyBorder="1" applyAlignment="1" applyProtection="1">
      <alignment horizontal="center"/>
      <protection locked="0"/>
    </xf>
    <xf numFmtId="1" fontId="36" fillId="0" borderId="12" xfId="0" applyNumberFormat="1" applyFont="1" applyFill="1" applyBorder="1" applyAlignment="1" applyProtection="1">
      <alignment horizontal="left"/>
      <protection locked="0"/>
    </xf>
    <xf numFmtId="0" fontId="36" fillId="0" borderId="12" xfId="0" applyFont="1" applyFill="1" applyBorder="1" applyProtection="1">
      <protection locked="0"/>
    </xf>
    <xf numFmtId="4" fontId="36" fillId="0" borderId="12" xfId="0" applyNumberFormat="1" applyFont="1" applyFill="1" applyBorder="1" applyAlignment="1" applyProtection="1">
      <alignment horizontal="center" vertical="center"/>
    </xf>
    <xf numFmtId="4" fontId="36" fillId="0" borderId="12" xfId="0" applyNumberFormat="1" applyFont="1" applyFill="1" applyBorder="1" applyAlignment="1" applyProtection="1">
      <alignment horizontal="center" vertical="center"/>
      <protection locked="0"/>
    </xf>
    <xf numFmtId="2" fontId="36" fillId="0" borderId="12" xfId="0" applyNumberFormat="1" applyFont="1" applyFill="1" applyBorder="1" applyAlignment="1" applyProtection="1">
      <alignment horizontal="center" vertical="center"/>
    </xf>
    <xf numFmtId="2" fontId="36" fillId="0" borderId="12" xfId="0" applyNumberFormat="1" applyFont="1" applyFill="1" applyBorder="1" applyAlignment="1" applyProtection="1">
      <alignment horizontal="center" vertical="center"/>
      <protection locked="0"/>
    </xf>
    <xf numFmtId="4" fontId="20" fillId="0" borderId="77" xfId="0" applyNumberFormat="1" applyFont="1" applyFill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 applyProtection="1">
      <protection locked="0"/>
    </xf>
    <xf numFmtId="0" fontId="20" fillId="0" borderId="5" xfId="0" applyFont="1" applyFill="1" applyBorder="1" applyAlignment="1" applyProtection="1">
      <alignment horizontal="left"/>
      <protection locked="0"/>
    </xf>
    <xf numFmtId="4" fontId="20" fillId="0" borderId="5" xfId="0" applyNumberFormat="1" applyFont="1" applyFill="1" applyBorder="1" applyAlignment="1" applyProtection="1">
      <alignment horizontal="center" vertical="center"/>
      <protection locked="0"/>
    </xf>
    <xf numFmtId="4" fontId="20" fillId="0" borderId="0" xfId="0" applyNumberFormat="1" applyFont="1" applyFill="1" applyBorder="1" applyAlignment="1" applyProtection="1">
      <alignment horizontal="center" vertical="center"/>
      <protection locked="0"/>
    </xf>
    <xf numFmtId="0" fontId="23" fillId="0" borderId="22" xfId="0" applyFont="1" applyFill="1" applyBorder="1" applyAlignment="1" applyProtection="1">
      <alignment vertical="center"/>
      <protection locked="0"/>
    </xf>
    <xf numFmtId="2" fontId="23" fillId="0" borderId="22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horizontal="left"/>
      <protection locked="0"/>
    </xf>
    <xf numFmtId="0" fontId="111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Protection="1"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2" fontId="23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 applyProtection="1">
      <alignment horizontal="center"/>
      <protection locked="0"/>
    </xf>
    <xf numFmtId="4" fontId="109" fillId="0" borderId="0" xfId="0" applyNumberFormat="1" applyFont="1" applyFill="1" applyProtection="1"/>
    <xf numFmtId="4" fontId="92" fillId="0" borderId="0" xfId="0" applyNumberFormat="1" applyFont="1" applyFill="1" applyProtection="1"/>
    <xf numFmtId="2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 applyProtection="1">
      <protection locked="0"/>
    </xf>
    <xf numFmtId="4" fontId="34" fillId="0" borderId="0" xfId="0" applyNumberFormat="1" applyFont="1" applyFill="1" applyBorder="1" applyAlignment="1" applyProtection="1">
      <alignment horizontal="center" vertical="center" wrapText="1"/>
      <protection locked="0"/>
    </xf>
    <xf numFmtId="3" fontId="112" fillId="0" borderId="0" xfId="0" applyNumberFormat="1" applyFont="1" applyFill="1" applyBorder="1" applyAlignment="1" applyProtection="1">
      <alignment horizontal="center" vertical="center"/>
    </xf>
    <xf numFmtId="3" fontId="113" fillId="0" borderId="0" xfId="0" applyNumberFormat="1" applyFont="1" applyFill="1" applyBorder="1" applyAlignment="1" applyProtection="1">
      <alignment horizontal="center" vertical="center"/>
    </xf>
    <xf numFmtId="4" fontId="114" fillId="0" borderId="0" xfId="0" applyNumberFormat="1" applyFont="1" applyFill="1" applyBorder="1" applyAlignment="1" applyProtection="1">
      <alignment horizontal="center" vertical="center"/>
      <protection locked="0"/>
    </xf>
    <xf numFmtId="14" fontId="19" fillId="0" borderId="0" xfId="0" applyNumberFormat="1" applyFont="1" applyFill="1" applyAlignment="1" applyProtection="1">
      <alignment vertical="center"/>
      <protection locked="0"/>
    </xf>
    <xf numFmtId="4" fontId="19" fillId="0" borderId="78" xfId="0" applyNumberFormat="1" applyFont="1" applyFill="1" applyBorder="1" applyAlignment="1" applyProtection="1">
      <alignment horizontal="center" vertical="center" wrapText="1"/>
      <protection locked="0"/>
    </xf>
    <xf numFmtId="4" fontId="19" fillId="0" borderId="41" xfId="0" applyNumberFormat="1" applyFont="1" applyFill="1" applyBorder="1" applyAlignment="1" applyProtection="1">
      <alignment horizontal="center" vertical="center" wrapText="1"/>
      <protection locked="0"/>
    </xf>
    <xf numFmtId="4" fontId="19" fillId="0" borderId="79" xfId="0" applyNumberFormat="1" applyFont="1" applyFill="1" applyBorder="1" applyAlignment="1" applyProtection="1">
      <alignment horizontal="center" vertical="center" wrapText="1"/>
      <protection locked="0"/>
    </xf>
    <xf numFmtId="4" fontId="27" fillId="0" borderId="49" xfId="0" applyNumberFormat="1" applyFont="1" applyFill="1" applyBorder="1" applyAlignment="1" applyProtection="1">
      <alignment horizontal="center" vertical="center" wrapText="1"/>
      <protection locked="0"/>
    </xf>
    <xf numFmtId="14" fontId="1" fillId="0" borderId="22" xfId="0" applyNumberFormat="1" applyFont="1" applyFill="1" applyBorder="1" applyAlignment="1" applyProtection="1">
      <protection locked="0"/>
    </xf>
    <xf numFmtId="0" fontId="1" fillId="0" borderId="14" xfId="0" applyFont="1" applyFill="1" applyBorder="1" applyProtection="1">
      <protection locked="0"/>
    </xf>
    <xf numFmtId="14" fontId="36" fillId="0" borderId="7" xfId="0" applyNumberFormat="1" applyFont="1" applyFill="1" applyBorder="1" applyAlignment="1" applyProtection="1">
      <protection locked="0"/>
    </xf>
    <xf numFmtId="14" fontId="36" fillId="0" borderId="22" xfId="0" applyNumberFormat="1" applyFont="1" applyFill="1" applyBorder="1" applyAlignment="1" applyProtection="1">
      <protection locked="0"/>
    </xf>
    <xf numFmtId="4" fontId="36" fillId="0" borderId="22" xfId="0" applyNumberFormat="1" applyFont="1" applyFill="1" applyBorder="1" applyAlignment="1" applyProtection="1">
      <alignment horizontal="center" vertical="center"/>
    </xf>
    <xf numFmtId="14" fontId="23" fillId="0" borderId="22" xfId="0" applyNumberFormat="1" applyFont="1" applyFill="1" applyBorder="1" applyAlignment="1" applyProtection="1">
      <alignment vertical="center"/>
      <protection locked="0"/>
    </xf>
    <xf numFmtId="14" fontId="23" fillId="0" borderId="0" xfId="0" applyNumberFormat="1" applyFont="1" applyFill="1" applyBorder="1" applyAlignment="1" applyProtection="1">
      <protection locked="0"/>
    </xf>
    <xf numFmtId="0" fontId="1" fillId="0" borderId="0" xfId="0" applyFont="1" applyFill="1" applyAlignment="1" applyProtection="1">
      <protection locked="0"/>
    </xf>
    <xf numFmtId="0" fontId="17" fillId="0" borderId="3" xfId="0" applyFont="1" applyFill="1" applyBorder="1" applyAlignment="1" applyProtection="1">
      <protection locked="0"/>
    </xf>
    <xf numFmtId="14" fontId="1" fillId="0" borderId="0" xfId="0" applyNumberFormat="1" applyFont="1" applyFill="1" applyAlignment="1"/>
    <xf numFmtId="4" fontId="34" fillId="0" borderId="0" xfId="0" applyNumberFormat="1" applyFont="1" applyFill="1" applyBorder="1" applyAlignment="1" applyProtection="1">
      <alignment vertical="center"/>
      <protection locked="0"/>
    </xf>
    <xf numFmtId="4" fontId="10" fillId="0" borderId="2" xfId="0" applyNumberFormat="1" applyFont="1" applyFill="1" applyBorder="1" applyAlignment="1" applyProtection="1">
      <alignment horizontal="center" vertical="center"/>
      <protection locked="0"/>
    </xf>
    <xf numFmtId="4" fontId="10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20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6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9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12" xfId="0" applyFont="1" applyFill="1" applyBorder="1" applyAlignment="1" applyProtection="1">
      <protection locked="0"/>
    </xf>
    <xf numFmtId="0" fontId="20" fillId="0" borderId="12" xfId="0" applyFont="1" applyFill="1" applyBorder="1" applyAlignment="1" applyProtection="1">
      <protection locked="0"/>
    </xf>
    <xf numFmtId="0" fontId="10" fillId="0" borderId="12" xfId="0" applyFont="1" applyFill="1" applyBorder="1" applyAlignment="1" applyProtection="1">
      <alignment horizontal="center"/>
      <protection locked="0"/>
    </xf>
    <xf numFmtId="14" fontId="1" fillId="0" borderId="12" xfId="0" applyNumberFormat="1" applyFont="1" applyFill="1" applyBorder="1" applyAlignment="1" applyProtection="1">
      <alignment horizontal="left"/>
      <protection locked="0"/>
    </xf>
    <xf numFmtId="0" fontId="1" fillId="0" borderId="12" xfId="0" applyFont="1" applyFill="1" applyBorder="1" applyAlignment="1" applyProtection="1">
      <alignment horizontal="center"/>
      <protection locked="0"/>
    </xf>
    <xf numFmtId="0" fontId="1" fillId="0" borderId="12" xfId="0" applyFont="1" applyFill="1" applyBorder="1" applyProtection="1">
      <protection locked="0"/>
    </xf>
    <xf numFmtId="0" fontId="1" fillId="0" borderId="45" xfId="0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Protection="1">
      <protection locked="0"/>
    </xf>
    <xf numFmtId="1" fontId="36" fillId="0" borderId="22" xfId="0" applyNumberFormat="1" applyFont="1" applyFill="1" applyBorder="1" applyAlignment="1" applyProtection="1">
      <alignment horizontal="left"/>
      <protection locked="0"/>
    </xf>
    <xf numFmtId="0" fontId="36" fillId="0" borderId="22" xfId="0" applyFont="1" applyFill="1" applyBorder="1" applyProtection="1">
      <protection locked="0"/>
    </xf>
    <xf numFmtId="4" fontId="36" fillId="0" borderId="34" xfId="0" applyNumberFormat="1" applyFont="1" applyFill="1" applyBorder="1" applyAlignment="1" applyProtection="1">
      <alignment horizontal="center" vertical="center"/>
      <protection locked="0"/>
    </xf>
    <xf numFmtId="0" fontId="17" fillId="0" borderId="12" xfId="0" applyFont="1" applyFill="1" applyBorder="1" applyAlignment="1" applyProtection="1">
      <alignment vertical="center"/>
      <protection locked="0"/>
    </xf>
    <xf numFmtId="0" fontId="20" fillId="0" borderId="12" xfId="0" applyFont="1" applyFill="1" applyBorder="1" applyAlignment="1" applyProtection="1">
      <alignment vertical="center"/>
      <protection locked="0"/>
    </xf>
    <xf numFmtId="0" fontId="17" fillId="0" borderId="12" xfId="0" applyFont="1" applyFill="1" applyBorder="1" applyAlignment="1" applyProtection="1">
      <alignment horizontal="center" vertical="center"/>
      <protection locked="0"/>
    </xf>
    <xf numFmtId="14" fontId="23" fillId="0" borderId="12" xfId="0" applyNumberFormat="1" applyFont="1" applyFill="1" applyBorder="1" applyAlignment="1" applyProtection="1">
      <alignment horizontal="left" vertical="center"/>
      <protection locked="0"/>
    </xf>
    <xf numFmtId="0" fontId="23" fillId="0" borderId="12" xfId="0" applyFont="1" applyFill="1" applyBorder="1" applyAlignment="1" applyProtection="1">
      <alignment horizontal="center" vertical="center"/>
      <protection locked="0"/>
    </xf>
    <xf numFmtId="0" fontId="23" fillId="0" borderId="12" xfId="0" applyFont="1" applyFill="1" applyBorder="1" applyAlignment="1" applyProtection="1">
      <alignment vertical="center"/>
      <protection locked="0"/>
    </xf>
    <xf numFmtId="4" fontId="23" fillId="0" borderId="12" xfId="0" applyNumberFormat="1" applyFont="1" applyFill="1" applyBorder="1" applyAlignment="1" applyProtection="1">
      <alignment horizontal="center" vertical="center"/>
      <protection locked="0"/>
    </xf>
    <xf numFmtId="0" fontId="23" fillId="0" borderId="45" xfId="0" applyFont="1" applyFill="1" applyBorder="1" applyAlignment="1" applyProtection="1">
      <alignment horizontal="center" vertical="center"/>
      <protection locked="0"/>
    </xf>
    <xf numFmtId="4" fontId="23" fillId="0" borderId="21" xfId="0" applyNumberFormat="1" applyFont="1" applyFill="1" applyBorder="1" applyAlignment="1" applyProtection="1">
      <alignment vertical="center"/>
      <protection locked="0"/>
    </xf>
    <xf numFmtId="0" fontId="20" fillId="0" borderId="15" xfId="0" applyFont="1" applyFill="1" applyBorder="1" applyAlignment="1" applyProtection="1">
      <alignment horizontal="center" vertical="center"/>
      <protection locked="0"/>
    </xf>
    <xf numFmtId="4" fontId="20" fillId="0" borderId="19" xfId="0" applyNumberFormat="1" applyFont="1" applyFill="1" applyBorder="1" applyAlignment="1" applyProtection="1">
      <alignment horizontal="center" vertical="center"/>
      <protection locked="0"/>
    </xf>
    <xf numFmtId="3" fontId="20" fillId="0" borderId="4" xfId="0" applyNumberFormat="1" applyFont="1" applyFill="1" applyBorder="1" applyAlignment="1" applyProtection="1">
      <alignment horizontal="center" vertical="center"/>
      <protection locked="0"/>
    </xf>
    <xf numFmtId="2" fontId="10" fillId="0" borderId="11" xfId="0" applyNumberFormat="1" applyFont="1" applyFill="1" applyBorder="1" applyAlignment="1" applyProtection="1">
      <alignment horizontal="center" vertical="center" wrapText="1"/>
      <protection locked="0"/>
    </xf>
    <xf numFmtId="4" fontId="16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100" fillId="0" borderId="36" xfId="0" applyFont="1" applyFill="1" applyBorder="1" applyAlignment="1" applyProtection="1">
      <alignment horizontal="right"/>
    </xf>
    <xf numFmtId="4" fontId="101" fillId="0" borderId="11" xfId="115" applyNumberFormat="1" applyFont="1" applyBorder="1"/>
    <xf numFmtId="0" fontId="8" fillId="0" borderId="6" xfId="115" applyBorder="1" applyAlignment="1">
      <alignment horizontal="center"/>
    </xf>
    <xf numFmtId="3" fontId="8" fillId="0" borderId="7" xfId="115" applyNumberFormat="1" applyBorder="1"/>
    <xf numFmtId="3" fontId="44" fillId="0" borderId="7" xfId="115" applyNumberFormat="1" applyFont="1" applyBorder="1" applyAlignment="1">
      <alignment horizontal="right"/>
    </xf>
    <xf numFmtId="0" fontId="20" fillId="0" borderId="36" xfId="0" applyFont="1" applyFill="1" applyBorder="1" applyAlignment="1" applyProtection="1">
      <alignment horizontal="right"/>
      <protection locked="0"/>
    </xf>
    <xf numFmtId="4" fontId="101" fillId="0" borderId="4" xfId="115" applyNumberFormat="1" applyFont="1" applyBorder="1"/>
    <xf numFmtId="0" fontId="44" fillId="0" borderId="0" xfId="0" applyFont="1"/>
    <xf numFmtId="4" fontId="10" fillId="11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/>
    <xf numFmtId="0" fontId="0" fillId="44" borderId="0" xfId="0" applyFill="1" applyAlignment="1">
      <alignment horizontal="center" vertical="center" wrapText="1"/>
    </xf>
    <xf numFmtId="0" fontId="44" fillId="44" borderId="0" xfId="0" applyFont="1" applyFill="1" applyAlignment="1">
      <alignment horizontal="center" vertical="center" wrapText="1"/>
    </xf>
    <xf numFmtId="0" fontId="0" fillId="43" borderId="73" xfId="0" applyFill="1" applyBorder="1"/>
    <xf numFmtId="4" fontId="93" fillId="0" borderId="8" xfId="0" applyNumberFormat="1" applyFont="1" applyFill="1" applyBorder="1" applyAlignment="1" applyProtection="1">
      <alignment horizontal="center" vertical="center" wrapText="1"/>
      <protection locked="0"/>
    </xf>
    <xf numFmtId="3" fontId="0" fillId="43" borderId="81" xfId="0" applyNumberFormat="1" applyFill="1" applyBorder="1"/>
    <xf numFmtId="0" fontId="0" fillId="43" borderId="81" xfId="0" applyFont="1" applyFill="1" applyBorder="1"/>
    <xf numFmtId="0" fontId="0" fillId="43" borderId="81" xfId="0" applyFill="1" applyBorder="1"/>
    <xf numFmtId="0" fontId="0" fillId="43" borderId="81" xfId="0" applyFill="1" applyBorder="1" applyAlignment="1">
      <alignment horizontal="center"/>
    </xf>
    <xf numFmtId="0" fontId="0" fillId="43" borderId="81" xfId="0" applyFill="1" applyBorder="1" applyAlignment="1">
      <alignment horizontal="center" vertical="center"/>
    </xf>
    <xf numFmtId="14" fontId="0" fillId="43" borderId="81" xfId="0" applyNumberFormat="1" applyFill="1" applyBorder="1" applyAlignment="1">
      <alignment horizontal="center" vertical="center"/>
    </xf>
    <xf numFmtId="0" fontId="0" fillId="43" borderId="63" xfId="0" applyFont="1" applyFill="1" applyBorder="1" applyAlignment="1">
      <alignment horizontal="center"/>
    </xf>
    <xf numFmtId="0" fontId="0" fillId="43" borderId="73" xfId="0" applyFont="1" applyFill="1" applyBorder="1" applyAlignment="1">
      <alignment horizontal="center"/>
    </xf>
    <xf numFmtId="0" fontId="87" fillId="0" borderId="1" xfId="0" applyFont="1" applyFill="1" applyBorder="1" applyAlignment="1">
      <alignment horizontal="center"/>
    </xf>
    <xf numFmtId="0" fontId="87" fillId="0" borderId="0" xfId="0" applyFont="1" applyAlignment="1">
      <alignment horizontal="center"/>
    </xf>
    <xf numFmtId="0" fontId="87" fillId="0" borderId="63" xfId="0" applyFont="1" applyFill="1" applyBorder="1" applyAlignment="1">
      <alignment horizontal="center"/>
    </xf>
    <xf numFmtId="0" fontId="36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left" vertical="center" wrapText="1"/>
      <protection locked="0"/>
    </xf>
    <xf numFmtId="4" fontId="12" fillId="0" borderId="0" xfId="0" applyNumberFormat="1" applyFont="1" applyFill="1" applyAlignment="1" applyProtection="1">
      <alignment horizontal="center" vertical="center"/>
      <protection locked="0"/>
    </xf>
    <xf numFmtId="2" fontId="12" fillId="0" borderId="0" xfId="0" applyNumberFormat="1" applyFont="1" applyFill="1" applyAlignment="1" applyProtection="1">
      <alignment horizontal="center" vertical="center"/>
      <protection locked="0"/>
    </xf>
    <xf numFmtId="0" fontId="49" fillId="0" borderId="0" xfId="0" applyFont="1" applyFill="1" applyBorder="1" applyAlignment="1">
      <alignment horizontal="left" vertical="center"/>
    </xf>
    <xf numFmtId="3" fontId="49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vertical="center"/>
    </xf>
    <xf numFmtId="3" fontId="87" fillId="0" borderId="82" xfId="0" applyNumberFormat="1" applyFont="1" applyFill="1" applyBorder="1"/>
    <xf numFmtId="0" fontId="87" fillId="0" borderId="82" xfId="0" applyFont="1" applyFill="1" applyBorder="1"/>
    <xf numFmtId="0" fontId="87" fillId="0" borderId="82" xfId="0" applyFont="1" applyFill="1" applyBorder="1" applyAlignment="1">
      <alignment horizontal="center"/>
    </xf>
    <xf numFmtId="0" fontId="87" fillId="0" borderId="82" xfId="0" applyFont="1" applyFill="1" applyBorder="1" applyAlignment="1">
      <alignment horizontal="center" vertical="center"/>
    </xf>
    <xf numFmtId="14" fontId="87" fillId="0" borderId="82" xfId="0" applyNumberFormat="1" applyFont="1" applyFill="1" applyBorder="1" applyAlignment="1">
      <alignment horizontal="center" vertical="center"/>
    </xf>
    <xf numFmtId="0" fontId="36" fillId="45" borderId="18" xfId="0" applyFont="1" applyFill="1" applyBorder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vertical="center"/>
      <protection locked="0"/>
    </xf>
    <xf numFmtId="4" fontId="36" fillId="45" borderId="1" xfId="0" applyNumberFormat="1" applyFont="1" applyFill="1" applyBorder="1" applyAlignment="1" applyProtection="1">
      <alignment vertical="center"/>
      <protection locked="0"/>
    </xf>
    <xf numFmtId="4" fontId="36" fillId="45" borderId="1" xfId="0" applyNumberFormat="1" applyFont="1" applyFill="1" applyBorder="1" applyAlignment="1" applyProtection="1">
      <alignment horizontal="center" vertical="center"/>
      <protection locked="0"/>
    </xf>
    <xf numFmtId="0" fontId="36" fillId="45" borderId="1" xfId="0" applyFont="1" applyFill="1" applyBorder="1" applyAlignment="1" applyProtection="1">
      <alignment horizontal="center" vertical="center"/>
      <protection locked="0"/>
    </xf>
    <xf numFmtId="4" fontId="12" fillId="45" borderId="0" xfId="0" applyNumberFormat="1" applyFont="1" applyFill="1" applyAlignment="1" applyProtection="1">
      <alignment vertical="center"/>
      <protection locked="0"/>
    </xf>
    <xf numFmtId="0" fontId="0" fillId="43" borderId="83" xfId="0" applyFill="1" applyBorder="1"/>
    <xf numFmtId="0" fontId="0" fillId="43" borderId="83" xfId="0" applyFont="1" applyFill="1" applyBorder="1" applyAlignment="1">
      <alignment horizontal="center"/>
    </xf>
    <xf numFmtId="0" fontId="97" fillId="0" borderId="0" xfId="115" applyFont="1" applyAlignment="1">
      <alignment horizontal="center" wrapText="1"/>
    </xf>
    <xf numFmtId="0" fontId="96" fillId="0" borderId="0" xfId="115" applyFont="1" applyAlignment="1">
      <alignment horizontal="center" wrapText="1"/>
    </xf>
    <xf numFmtId="0" fontId="1" fillId="0" borderId="0" xfId="0" applyFont="1" applyFill="1" applyAlignment="1" applyProtection="1">
      <alignment horizontal="center"/>
      <protection locked="0"/>
    </xf>
    <xf numFmtId="4" fontId="17" fillId="0" borderId="2" xfId="0" applyNumberFormat="1" applyFont="1" applyFill="1" applyBorder="1" applyAlignment="1" applyProtection="1">
      <alignment horizontal="center" vertical="center"/>
      <protection locked="0"/>
    </xf>
    <xf numFmtId="4" fontId="17" fillId="0" borderId="3" xfId="0" applyNumberFormat="1" applyFont="1" applyFill="1" applyBorder="1" applyAlignment="1" applyProtection="1">
      <alignment horizontal="center" vertical="center"/>
      <protection locked="0"/>
    </xf>
    <xf numFmtId="4" fontId="17" fillId="0" borderId="4" xfId="0" applyNumberFormat="1" applyFont="1" applyFill="1" applyBorder="1" applyAlignment="1" applyProtection="1">
      <alignment horizontal="center" vertical="center"/>
      <protection locked="0"/>
    </xf>
    <xf numFmtId="0" fontId="98" fillId="2" borderId="84" xfId="115" applyFont="1" applyFill="1" applyBorder="1" applyAlignment="1">
      <alignment horizontal="center" vertical="center" wrapText="1"/>
    </xf>
    <xf numFmtId="0" fontId="99" fillId="2" borderId="84" xfId="115" applyFont="1" applyFill="1" applyBorder="1" applyAlignment="1">
      <alignment horizontal="center" vertical="center" wrapText="1"/>
    </xf>
    <xf numFmtId="3" fontId="8" fillId="0" borderId="84" xfId="115" applyNumberFormat="1" applyBorder="1"/>
    <xf numFmtId="4" fontId="44" fillId="0" borderId="84" xfId="115" applyNumberFormat="1" applyFont="1" applyBorder="1"/>
    <xf numFmtId="0" fontId="8" fillId="0" borderId="84" xfId="115" applyBorder="1" applyAlignment="1">
      <alignment horizontal="center"/>
    </xf>
    <xf numFmtId="14" fontId="8" fillId="0" borderId="84" xfId="115" applyNumberFormat="1" applyBorder="1"/>
    <xf numFmtId="4" fontId="8" fillId="0" borderId="84" xfId="115" applyNumberFormat="1" applyBorder="1"/>
    <xf numFmtId="3" fontId="8" fillId="0" borderId="85" xfId="115" applyNumberFormat="1" applyBorder="1"/>
    <xf numFmtId="4" fontId="44" fillId="0" borderId="85" xfId="115" applyNumberFormat="1" applyFont="1" applyBorder="1"/>
    <xf numFmtId="0" fontId="8" fillId="0" borderId="86" xfId="115" applyBorder="1" applyAlignment="1">
      <alignment horizontal="center"/>
    </xf>
    <xf numFmtId="3" fontId="8" fillId="0" borderId="87" xfId="115" applyNumberFormat="1" applyBorder="1"/>
    <xf numFmtId="0" fontId="8" fillId="0" borderId="87" xfId="115" applyBorder="1"/>
    <xf numFmtId="14" fontId="8" fillId="0" borderId="87" xfId="115" applyNumberFormat="1" applyBorder="1"/>
    <xf numFmtId="4" fontId="8" fillId="0" borderId="87" xfId="115" applyNumberFormat="1" applyBorder="1"/>
    <xf numFmtId="0" fontId="8" fillId="2" borderId="86" xfId="115" applyFill="1" applyBorder="1"/>
    <xf numFmtId="3" fontId="8" fillId="2" borderId="87" xfId="115" applyNumberFormat="1" applyFill="1" applyBorder="1"/>
    <xf numFmtId="0" fontId="8" fillId="2" borderId="87" xfId="115" applyFill="1" applyBorder="1"/>
    <xf numFmtId="4" fontId="51" fillId="2" borderId="84" xfId="115" applyNumberFormat="1" applyFont="1" applyFill="1" applyBorder="1"/>
    <xf numFmtId="3" fontId="44" fillId="0" borderId="84" xfId="115" applyNumberFormat="1" applyFont="1" applyBorder="1" applyAlignment="1">
      <alignment horizontal="right"/>
    </xf>
    <xf numFmtId="0" fontId="44" fillId="2" borderId="87" xfId="115" applyFont="1" applyFill="1" applyBorder="1" applyAlignment="1">
      <alignment horizontal="right"/>
    </xf>
    <xf numFmtId="0" fontId="8" fillId="0" borderId="88" xfId="115" applyBorder="1" applyAlignment="1">
      <alignment horizontal="center"/>
    </xf>
    <xf numFmtId="0" fontId="8" fillId="0" borderId="85" xfId="115" applyBorder="1"/>
    <xf numFmtId="14" fontId="8" fillId="0" borderId="85" xfId="115" applyNumberFormat="1" applyBorder="1"/>
    <xf numFmtId="4" fontId="8" fillId="0" borderId="85" xfId="115" applyNumberFormat="1" applyBorder="1"/>
    <xf numFmtId="0" fontId="39" fillId="0" borderId="86" xfId="0" applyFont="1" applyFill="1" applyBorder="1" applyAlignment="1" applyProtection="1">
      <protection locked="0"/>
    </xf>
    <xf numFmtId="0" fontId="36" fillId="0" borderId="89" xfId="0" applyFont="1" applyFill="1" applyBorder="1" applyAlignment="1" applyProtection="1">
      <protection locked="0"/>
    </xf>
    <xf numFmtId="0" fontId="20" fillId="0" borderId="84" xfId="0" applyFont="1" applyFill="1" applyBorder="1" applyAlignment="1" applyProtection="1">
      <alignment horizontal="center"/>
      <protection locked="0"/>
    </xf>
    <xf numFmtId="0" fontId="20" fillId="0" borderId="84" xfId="0" applyFont="1" applyFill="1" applyBorder="1" applyAlignment="1">
      <alignment horizontal="center" vertical="center"/>
    </xf>
    <xf numFmtId="4" fontId="20" fillId="0" borderId="90" xfId="0" applyNumberFormat="1" applyFont="1" applyFill="1" applyBorder="1" applyAlignment="1" applyProtection="1">
      <alignment horizontal="center" vertical="center"/>
      <protection locked="0"/>
    </xf>
    <xf numFmtId="4" fontId="36" fillId="0" borderId="84" xfId="0" applyNumberFormat="1" applyFont="1" applyFill="1" applyBorder="1" applyProtection="1">
      <protection locked="0"/>
    </xf>
    <xf numFmtId="4" fontId="36" fillId="0" borderId="84" xfId="0" applyNumberFormat="1" applyFont="1" applyFill="1" applyBorder="1" applyAlignment="1" applyProtection="1">
      <alignment horizontal="center"/>
      <protection locked="0"/>
    </xf>
    <xf numFmtId="0" fontId="36" fillId="0" borderId="84" xfId="0" applyFont="1" applyFill="1" applyBorder="1" applyAlignment="1" applyProtection="1">
      <alignment horizontal="center"/>
      <protection locked="0"/>
    </xf>
    <xf numFmtId="2" fontId="36" fillId="0" borderId="84" xfId="0" applyNumberFormat="1" applyFont="1" applyFill="1" applyBorder="1" applyAlignment="1" applyProtection="1">
      <alignment horizontal="center"/>
      <protection locked="0"/>
    </xf>
    <xf numFmtId="3" fontId="84" fillId="0" borderId="84" xfId="0" applyNumberFormat="1" applyFont="1" applyFill="1" applyBorder="1" applyAlignment="1" applyProtection="1">
      <alignment horizontal="center"/>
    </xf>
    <xf numFmtId="0" fontId="36" fillId="0" borderId="84" xfId="0" applyFont="1" applyFill="1" applyBorder="1" applyAlignment="1" applyProtection="1"/>
    <xf numFmtId="14" fontId="36" fillId="0" borderId="84" xfId="0" applyNumberFormat="1" applyFont="1" applyFill="1" applyBorder="1" applyProtection="1">
      <protection locked="0"/>
    </xf>
    <xf numFmtId="14" fontId="36" fillId="0" borderId="84" xfId="0" applyNumberFormat="1" applyFont="1" applyFill="1" applyBorder="1" applyAlignment="1" applyProtection="1">
      <alignment horizontal="center" vertical="center"/>
      <protection locked="0"/>
    </xf>
    <xf numFmtId="1" fontId="36" fillId="0" borderId="84" xfId="0" applyNumberFormat="1" applyFont="1" applyFill="1" applyBorder="1" applyAlignment="1" applyProtection="1">
      <alignment horizontal="center"/>
    </xf>
    <xf numFmtId="1" fontId="36" fillId="0" borderId="84" xfId="0" applyNumberFormat="1" applyFont="1" applyFill="1" applyBorder="1" applyAlignment="1" applyProtection="1">
      <alignment horizontal="center"/>
      <protection locked="0"/>
    </xf>
    <xf numFmtId="4" fontId="36" fillId="0" borderId="84" xfId="0" applyNumberFormat="1" applyFont="1" applyFill="1" applyBorder="1" applyAlignment="1" applyProtection="1">
      <alignment horizontal="center" vertical="center"/>
      <protection locked="0"/>
    </xf>
    <xf numFmtId="4" fontId="20" fillId="0" borderId="84" xfId="0" applyNumberFormat="1" applyFont="1" applyFill="1" applyBorder="1" applyAlignment="1" applyProtection="1">
      <alignment horizontal="center"/>
      <protection locked="0"/>
    </xf>
    <xf numFmtId="4" fontId="20" fillId="0" borderId="84" xfId="0" applyNumberFormat="1" applyFont="1" applyFill="1" applyBorder="1" applyProtection="1">
      <protection locked="0"/>
    </xf>
    <xf numFmtId="4" fontId="38" fillId="0" borderId="84" xfId="0" applyNumberFormat="1" applyFont="1" applyFill="1" applyBorder="1" applyProtection="1">
      <protection locked="0"/>
    </xf>
    <xf numFmtId="4" fontId="38" fillId="0" borderId="84" xfId="0" applyNumberFormat="1" applyFont="1" applyFill="1" applyBorder="1" applyAlignment="1" applyProtection="1">
      <alignment horizontal="center"/>
      <protection locked="0"/>
    </xf>
    <xf numFmtId="4" fontId="36" fillId="0" borderId="84" xfId="0" applyNumberFormat="1" applyFont="1" applyFill="1" applyBorder="1" applyAlignment="1" applyProtection="1">
      <alignment horizontal="center" vertical="center"/>
    </xf>
    <xf numFmtId="14" fontId="36" fillId="0" borderId="84" xfId="0" applyNumberFormat="1" applyFont="1" applyFill="1" applyBorder="1" applyAlignment="1" applyProtection="1">
      <alignment horizontal="center"/>
      <protection locked="0"/>
    </xf>
    <xf numFmtId="0" fontId="17" fillId="0" borderId="3" xfId="0" applyFont="1" applyFill="1" applyBorder="1" applyAlignment="1" applyProtection="1">
      <alignment horizontal="left" vertical="center"/>
      <protection locked="0"/>
    </xf>
    <xf numFmtId="14" fontId="36" fillId="0" borderId="84" xfId="0" applyNumberFormat="1" applyFont="1" applyFill="1" applyBorder="1" applyAlignment="1" applyProtection="1">
      <protection locked="0"/>
    </xf>
    <xf numFmtId="4" fontId="20" fillId="0" borderId="84" xfId="0" applyNumberFormat="1" applyFont="1" applyFill="1" applyBorder="1" applyAlignment="1" applyProtection="1">
      <alignment horizontal="center" vertical="center"/>
      <protection locked="0"/>
    </xf>
    <xf numFmtId="0" fontId="106" fillId="0" borderId="79" xfId="0" applyFont="1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  <protection locked="0"/>
    </xf>
    <xf numFmtId="3" fontId="0" fillId="43" borderId="91" xfId="0" applyNumberFormat="1" applyFill="1" applyBorder="1"/>
    <xf numFmtId="0" fontId="0" fillId="43" borderId="91" xfId="0" applyFill="1" applyBorder="1"/>
    <xf numFmtId="0" fontId="0" fillId="43" borderId="91" xfId="0" applyFill="1" applyBorder="1" applyAlignment="1">
      <alignment horizontal="center"/>
    </xf>
    <xf numFmtId="0" fontId="0" fillId="43" borderId="91" xfId="0" applyFill="1" applyBorder="1" applyAlignment="1">
      <alignment horizontal="center" vertical="center"/>
    </xf>
    <xf numFmtId="14" fontId="0" fillId="43" borderId="91" xfId="0" applyNumberFormat="1" applyFill="1" applyBorder="1" applyAlignment="1">
      <alignment horizontal="center" vertical="center"/>
    </xf>
    <xf numFmtId="3" fontId="0" fillId="43" borderId="92" xfId="0" applyNumberFormat="1" applyFill="1" applyBorder="1"/>
    <xf numFmtId="0" fontId="0" fillId="43" borderId="92" xfId="0" applyFill="1" applyBorder="1"/>
    <xf numFmtId="0" fontId="0" fillId="43" borderId="92" xfId="0" applyFont="1" applyFill="1" applyBorder="1" applyAlignment="1">
      <alignment horizontal="center"/>
    </xf>
    <xf numFmtId="0" fontId="0" fillId="43" borderId="92" xfId="0" applyFill="1" applyBorder="1" applyAlignment="1">
      <alignment horizontal="center" vertical="center"/>
    </xf>
    <xf numFmtId="14" fontId="0" fillId="43" borderId="92" xfId="0" applyNumberFormat="1" applyFill="1" applyBorder="1" applyAlignment="1">
      <alignment horizontal="center" vertical="center"/>
    </xf>
    <xf numFmtId="3" fontId="0" fillId="43" borderId="93" xfId="0" applyNumberFormat="1" applyFill="1" applyBorder="1"/>
    <xf numFmtId="0" fontId="0" fillId="43" borderId="93" xfId="0" applyFill="1" applyBorder="1"/>
    <xf numFmtId="0" fontId="0" fillId="43" borderId="93" xfId="0" applyFont="1" applyFill="1" applyBorder="1" applyAlignment="1">
      <alignment horizontal="center"/>
    </xf>
    <xf numFmtId="0" fontId="0" fillId="43" borderId="93" xfId="0" applyFill="1" applyBorder="1" applyAlignment="1">
      <alignment horizontal="center" vertical="center"/>
    </xf>
    <xf numFmtId="14" fontId="0" fillId="43" borderId="93" xfId="0" applyNumberFormat="1" applyFill="1" applyBorder="1" applyAlignment="1">
      <alignment horizontal="center" vertical="center"/>
    </xf>
    <xf numFmtId="3" fontId="36" fillId="0" borderId="94" xfId="0" applyNumberFormat="1" applyFont="1" applyFill="1" applyBorder="1" applyAlignment="1" applyProtection="1">
      <alignment horizontal="center" vertical="center"/>
      <protection locked="0"/>
    </xf>
    <xf numFmtId="0" fontId="76" fillId="0" borderId="17" xfId="0" applyFont="1" applyFill="1" applyBorder="1" applyAlignment="1" applyProtection="1">
      <alignment horizontal="center" vertical="center"/>
    </xf>
    <xf numFmtId="3" fontId="36" fillId="4" borderId="22" xfId="0" applyNumberFormat="1" applyFont="1" applyFill="1" applyBorder="1" applyAlignment="1" applyProtection="1">
      <alignment horizontal="center" vertical="center"/>
      <protection locked="0"/>
    </xf>
    <xf numFmtId="0" fontId="36" fillId="45" borderId="22" xfId="0" applyFont="1" applyFill="1" applyBorder="1" applyAlignment="1" applyProtection="1">
      <alignment vertical="center"/>
      <protection locked="0"/>
    </xf>
    <xf numFmtId="0" fontId="76" fillId="0" borderId="18" xfId="0" applyFont="1" applyFill="1" applyBorder="1" applyAlignment="1" applyProtection="1">
      <alignment horizontal="center" vertical="center"/>
    </xf>
    <xf numFmtId="3" fontId="36" fillId="4" borderId="94" xfId="0" applyNumberFormat="1" applyFont="1" applyFill="1" applyBorder="1" applyAlignment="1" applyProtection="1">
      <alignment horizontal="center" vertical="center"/>
      <protection locked="0"/>
    </xf>
    <xf numFmtId="0" fontId="36" fillId="45" borderId="94" xfId="0" applyFont="1" applyFill="1" applyBorder="1" applyAlignment="1" applyProtection="1">
      <alignment vertical="center"/>
      <protection locked="0"/>
    </xf>
    <xf numFmtId="0" fontId="36" fillId="4" borderId="95" xfId="0" applyFont="1" applyFill="1" applyBorder="1" applyAlignment="1" applyProtection="1">
      <alignment vertical="center"/>
      <protection locked="0"/>
    </xf>
    <xf numFmtId="3" fontId="36" fillId="4" borderId="19" xfId="0" applyNumberFormat="1" applyFont="1" applyFill="1" applyBorder="1" applyAlignment="1" applyProtection="1">
      <alignment horizontal="center" vertical="center"/>
      <protection locked="0"/>
    </xf>
    <xf numFmtId="0" fontId="36" fillId="45" borderId="19" xfId="0" applyFont="1" applyFill="1" applyBorder="1" applyAlignment="1" applyProtection="1">
      <alignment vertical="center"/>
      <protection locked="0"/>
    </xf>
    <xf numFmtId="0" fontId="36" fillId="4" borderId="60" xfId="0" applyFont="1" applyFill="1" applyBorder="1" applyAlignment="1" applyProtection="1">
      <alignment vertical="center"/>
      <protection locked="0"/>
    </xf>
    <xf numFmtId="0" fontId="36" fillId="4" borderId="34" xfId="0" applyFont="1" applyFill="1" applyBorder="1" applyAlignment="1" applyProtection="1">
      <alignment vertical="center"/>
      <protection locked="0"/>
    </xf>
    <xf numFmtId="0" fontId="36" fillId="0" borderId="94" xfId="0" applyFont="1" applyFill="1" applyBorder="1" applyAlignment="1" applyProtection="1">
      <alignment vertical="center"/>
      <protection locked="0"/>
    </xf>
    <xf numFmtId="0" fontId="36" fillId="0" borderId="95" xfId="0" applyFont="1" applyFill="1" applyBorder="1" applyAlignment="1" applyProtection="1">
      <alignment vertical="center"/>
      <protection locked="0"/>
    </xf>
    <xf numFmtId="0" fontId="36" fillId="0" borderId="95" xfId="0" applyFont="1" applyFill="1" applyBorder="1" applyAlignment="1" applyProtection="1">
      <alignment horizontal="left" vertical="center"/>
      <protection locked="0"/>
    </xf>
    <xf numFmtId="0" fontId="23" fillId="4" borderId="63" xfId="0" applyFont="1" applyFill="1" applyBorder="1" applyAlignment="1" applyProtection="1">
      <alignment vertical="center"/>
      <protection locked="0"/>
    </xf>
    <xf numFmtId="0" fontId="23" fillId="4" borderId="81" xfId="0" applyFont="1" applyFill="1" applyBorder="1" applyAlignment="1" applyProtection="1">
      <alignment horizontal="center" vertical="center"/>
      <protection locked="0"/>
    </xf>
    <xf numFmtId="3" fontId="23" fillId="4" borderId="81" xfId="0" applyNumberFormat="1" applyFont="1" applyFill="1" applyBorder="1" applyAlignment="1" applyProtection="1">
      <alignment horizontal="center" vertical="center"/>
      <protection locked="0"/>
    </xf>
    <xf numFmtId="0" fontId="23" fillId="4" borderId="95" xfId="0" applyFont="1" applyFill="1" applyBorder="1" applyAlignment="1" applyProtection="1">
      <alignment vertical="center"/>
      <protection locked="0"/>
    </xf>
    <xf numFmtId="0" fontId="23" fillId="4" borderId="98" xfId="0" applyFont="1" applyFill="1" applyBorder="1" applyAlignment="1" applyProtection="1">
      <alignment horizontal="center" vertical="center"/>
      <protection locked="0"/>
    </xf>
    <xf numFmtId="14" fontId="23" fillId="4" borderId="96" xfId="0" applyNumberFormat="1" applyFont="1" applyFill="1" applyBorder="1" applyAlignment="1" applyProtection="1">
      <alignment horizontal="center" vertical="center"/>
      <protection locked="0"/>
    </xf>
    <xf numFmtId="0" fontId="86" fillId="4" borderId="5" xfId="0" applyFont="1" applyFill="1" applyBorder="1" applyAlignment="1" applyProtection="1">
      <alignment horizontal="left" vertical="center"/>
      <protection locked="0"/>
    </xf>
    <xf numFmtId="0" fontId="12" fillId="4" borderId="74" xfId="0" applyFont="1" applyFill="1" applyBorder="1" applyAlignment="1" applyProtection="1">
      <alignment horizontal="center" vertical="center"/>
      <protection locked="0"/>
    </xf>
    <xf numFmtId="14" fontId="12" fillId="4" borderId="47" xfId="0" applyNumberFormat="1" applyFont="1" applyFill="1" applyBorder="1" applyAlignment="1" applyProtection="1">
      <alignment horizontal="center" vertical="center"/>
      <protection locked="0"/>
    </xf>
    <xf numFmtId="0" fontId="12" fillId="4" borderId="98" xfId="0" applyFont="1" applyFill="1" applyBorder="1" applyAlignment="1" applyProtection="1">
      <alignment horizontal="center" vertical="center"/>
      <protection locked="0"/>
    </xf>
    <xf numFmtId="14" fontId="12" fillId="4" borderId="96" xfId="0" applyNumberFormat="1" applyFont="1" applyFill="1" applyBorder="1" applyAlignment="1" applyProtection="1">
      <alignment horizontal="center" vertical="center"/>
      <protection locked="0"/>
    </xf>
    <xf numFmtId="0" fontId="12" fillId="4" borderId="98" xfId="0" applyFont="1" applyFill="1" applyBorder="1" applyAlignment="1" applyProtection="1">
      <alignment vertical="center"/>
      <protection locked="0"/>
    </xf>
    <xf numFmtId="0" fontId="12" fillId="4" borderId="99" xfId="0" applyFont="1" applyFill="1" applyBorder="1" applyAlignment="1" applyProtection="1">
      <alignment vertical="center"/>
      <protection locked="0"/>
    </xf>
    <xf numFmtId="14" fontId="12" fillId="4" borderId="97" xfId="0" applyNumberFormat="1" applyFont="1" applyFill="1" applyBorder="1" applyAlignment="1" applyProtection="1">
      <alignment horizontal="center" vertical="center"/>
      <protection locked="0"/>
    </xf>
    <xf numFmtId="0" fontId="36" fillId="4" borderId="74" xfId="0" applyFont="1" applyFill="1" applyBorder="1" applyAlignment="1" applyProtection="1">
      <alignment horizontal="center" vertical="center"/>
      <protection locked="0"/>
    </xf>
    <xf numFmtId="0" fontId="36" fillId="4" borderId="98" xfId="0" applyFont="1" applyFill="1" applyBorder="1" applyAlignment="1" applyProtection="1">
      <alignment horizontal="center" vertical="center"/>
      <protection locked="0"/>
    </xf>
    <xf numFmtId="0" fontId="36" fillId="4" borderId="98" xfId="0" applyFont="1" applyFill="1" applyBorder="1" applyAlignment="1" applyProtection="1">
      <alignment vertical="center"/>
      <protection locked="0"/>
    </xf>
    <xf numFmtId="0" fontId="36" fillId="4" borderId="99" xfId="0" applyFont="1" applyFill="1" applyBorder="1" applyAlignment="1" applyProtection="1">
      <alignment vertical="center"/>
      <protection locked="0"/>
    </xf>
    <xf numFmtId="0" fontId="36" fillId="0" borderId="98" xfId="0" applyFont="1" applyFill="1" applyBorder="1" applyAlignment="1" applyProtection="1">
      <alignment vertical="center"/>
      <protection locked="0"/>
    </xf>
    <xf numFmtId="0" fontId="36" fillId="0" borderId="98" xfId="0" applyFont="1" applyFill="1" applyBorder="1" applyAlignment="1" applyProtection="1">
      <alignment horizontal="left" vertical="center"/>
      <protection locked="0"/>
    </xf>
    <xf numFmtId="0" fontId="36" fillId="4" borderId="5" xfId="0" applyFont="1" applyFill="1" applyBorder="1" applyAlignment="1" applyProtection="1">
      <alignment horizontal="center" vertical="center"/>
      <protection locked="0"/>
    </xf>
    <xf numFmtId="0" fontId="86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0" fontId="36" fillId="0" borderId="0" xfId="0" applyFont="1" applyFill="1" applyBorder="1" applyAlignment="1" applyProtection="1">
      <alignment horizontal="center" vertical="center"/>
      <protection locked="0"/>
    </xf>
    <xf numFmtId="0" fontId="12" fillId="4" borderId="101" xfId="0" applyFont="1" applyFill="1" applyBorder="1" applyAlignment="1" applyProtection="1">
      <alignment horizontal="center" vertical="center"/>
      <protection locked="0"/>
    </xf>
    <xf numFmtId="0" fontId="76" fillId="0" borderId="102" xfId="0" applyFont="1" applyFill="1" applyBorder="1" applyAlignment="1" applyProtection="1">
      <alignment vertical="center"/>
    </xf>
    <xf numFmtId="0" fontId="12" fillId="4" borderId="102" xfId="0" applyFont="1" applyFill="1" applyBorder="1" applyAlignment="1" applyProtection="1">
      <alignment horizontal="center" vertical="center"/>
      <protection locked="0"/>
    </xf>
    <xf numFmtId="0" fontId="36" fillId="4" borderId="102" xfId="0" applyFont="1" applyFill="1" applyBorder="1" applyAlignment="1" applyProtection="1">
      <alignment vertical="center"/>
      <protection locked="0"/>
    </xf>
    <xf numFmtId="0" fontId="12" fillId="4" borderId="102" xfId="0" applyFont="1" applyFill="1" applyBorder="1" applyAlignment="1" applyProtection="1">
      <alignment vertical="center"/>
      <protection locked="0"/>
    </xf>
    <xf numFmtId="0" fontId="36" fillId="4" borderId="102" xfId="0" applyFont="1" applyFill="1" applyBorder="1" applyAlignment="1" applyProtection="1">
      <alignment horizontal="center" vertical="center"/>
      <protection locked="0"/>
    </xf>
    <xf numFmtId="14" fontId="12" fillId="4" borderId="103" xfId="0" applyNumberFormat="1" applyFont="1" applyFill="1" applyBorder="1" applyAlignment="1" applyProtection="1">
      <alignment horizontal="center" vertical="center"/>
      <protection locked="0"/>
    </xf>
    <xf numFmtId="0" fontId="86" fillId="4" borderId="3" xfId="0" applyFont="1" applyFill="1" applyBorder="1" applyAlignment="1" applyProtection="1">
      <alignment horizontal="left" vertical="center"/>
      <protection locked="0"/>
    </xf>
    <xf numFmtId="0" fontId="86" fillId="4" borderId="3" xfId="0" applyFont="1" applyFill="1" applyBorder="1" applyAlignment="1" applyProtection="1">
      <alignment horizontal="center" vertical="center"/>
      <protection locked="0"/>
    </xf>
    <xf numFmtId="0" fontId="12" fillId="0" borderId="64" xfId="0" applyFont="1" applyFill="1" applyBorder="1" applyAlignment="1" applyProtection="1">
      <alignment horizontal="center" vertical="center"/>
      <protection locked="0"/>
    </xf>
    <xf numFmtId="14" fontId="12" fillId="0" borderId="65" xfId="0" applyNumberFormat="1" applyFont="1" applyFill="1" applyBorder="1" applyAlignment="1" applyProtection="1">
      <alignment horizontal="center" vertical="center"/>
      <protection locked="0"/>
    </xf>
    <xf numFmtId="0" fontId="86" fillId="0" borderId="64" xfId="0" applyFont="1" applyFill="1" applyBorder="1" applyAlignment="1" applyProtection="1">
      <alignment horizontal="center" vertical="center"/>
      <protection locked="0"/>
    </xf>
    <xf numFmtId="0" fontId="12" fillId="0" borderId="42" xfId="0" applyFont="1" applyFill="1" applyBorder="1" applyAlignment="1" applyProtection="1">
      <alignment horizontal="center" vertical="center"/>
      <protection locked="0"/>
    </xf>
    <xf numFmtId="3" fontId="49" fillId="0" borderId="31" xfId="0" applyNumberFormat="1" applyFont="1" applyFill="1" applyBorder="1" applyAlignment="1">
      <alignment horizontal="center" vertical="center"/>
    </xf>
    <xf numFmtId="0" fontId="36" fillId="0" borderId="31" xfId="0" applyFont="1" applyFill="1" applyBorder="1" applyAlignment="1" applyProtection="1">
      <alignment vertical="center"/>
      <protection locked="0"/>
    </xf>
    <xf numFmtId="0" fontId="12" fillId="0" borderId="31" xfId="0" applyFont="1" applyFill="1" applyBorder="1" applyAlignment="1" applyProtection="1">
      <alignment vertical="center"/>
      <protection locked="0"/>
    </xf>
    <xf numFmtId="0" fontId="12" fillId="0" borderId="31" xfId="0" applyFont="1" applyFill="1" applyBorder="1" applyAlignment="1" applyProtection="1">
      <alignment horizontal="center" vertical="center"/>
      <protection locked="0"/>
    </xf>
    <xf numFmtId="14" fontId="12" fillId="0" borderId="40" xfId="0" applyNumberFormat="1" applyFont="1" applyFill="1" applyBorder="1" applyAlignment="1" applyProtection="1">
      <alignment horizontal="center" vertical="center"/>
      <protection locked="0"/>
    </xf>
    <xf numFmtId="0" fontId="36" fillId="0" borderId="31" xfId="0" applyFont="1" applyFill="1" applyBorder="1" applyAlignment="1" applyProtection="1">
      <alignment horizontal="center" vertical="center"/>
      <protection locked="0"/>
    </xf>
    <xf numFmtId="0" fontId="76" fillId="0" borderId="0" xfId="0" applyFont="1" applyFill="1" applyBorder="1" applyAlignment="1" applyProtection="1">
      <alignment horizontal="left" vertical="center"/>
    </xf>
    <xf numFmtId="0" fontId="76" fillId="0" borderId="31" xfId="0" applyFont="1" applyFill="1" applyBorder="1" applyAlignment="1" applyProtection="1">
      <alignment horizontal="left" vertical="center"/>
    </xf>
    <xf numFmtId="3" fontId="116" fillId="0" borderId="36" xfId="0" applyNumberFormat="1" applyFont="1" applyFill="1" applyBorder="1" applyAlignment="1" applyProtection="1">
      <alignment horizontal="left" vertical="center"/>
    </xf>
    <xf numFmtId="0" fontId="36" fillId="0" borderId="3" xfId="0" applyFont="1" applyFill="1" applyBorder="1" applyAlignment="1" applyProtection="1">
      <alignment vertical="center"/>
    </xf>
    <xf numFmtId="0" fontId="36" fillId="0" borderId="3" xfId="0" applyFont="1" applyFill="1" applyBorder="1" applyAlignment="1" applyProtection="1">
      <alignment horizontal="center" vertical="center"/>
      <protection locked="0"/>
    </xf>
    <xf numFmtId="14" fontId="36" fillId="0" borderId="3" xfId="0" applyNumberFormat="1" applyFont="1" applyFill="1" applyBorder="1" applyAlignment="1" applyProtection="1">
      <alignment vertical="center"/>
      <protection locked="0"/>
    </xf>
    <xf numFmtId="14" fontId="36" fillId="0" borderId="3" xfId="0" applyNumberFormat="1" applyFont="1" applyFill="1" applyBorder="1" applyAlignment="1" applyProtection="1">
      <alignment horizontal="left" vertical="center"/>
      <protection locked="0"/>
    </xf>
    <xf numFmtId="1" fontId="36" fillId="0" borderId="3" xfId="0" applyNumberFormat="1" applyFont="1" applyFill="1" applyBorder="1" applyAlignment="1" applyProtection="1">
      <alignment horizontal="center" vertical="center"/>
    </xf>
    <xf numFmtId="1" fontId="20" fillId="0" borderId="3" xfId="0" applyNumberFormat="1" applyFont="1" applyFill="1" applyBorder="1" applyAlignment="1" applyProtection="1">
      <alignment horizontal="center" vertical="center"/>
      <protection locked="0"/>
    </xf>
    <xf numFmtId="0" fontId="100" fillId="0" borderId="3" xfId="0" applyFont="1" applyFill="1" applyBorder="1" applyAlignment="1" applyProtection="1">
      <alignment horizontal="right" vertical="center"/>
    </xf>
    <xf numFmtId="1" fontId="36" fillId="0" borderId="3" xfId="0" applyNumberFormat="1" applyFont="1" applyFill="1" applyBorder="1" applyAlignment="1" applyProtection="1">
      <alignment horizontal="left" vertical="center"/>
      <protection locked="0"/>
    </xf>
    <xf numFmtId="1" fontId="36" fillId="0" borderId="3" xfId="0" applyNumberFormat="1" applyFont="1" applyFill="1" applyBorder="1" applyAlignment="1" applyProtection="1">
      <alignment horizontal="center" vertical="center"/>
      <protection locked="0"/>
    </xf>
    <xf numFmtId="0" fontId="36" fillId="0" borderId="10" xfId="0" applyFont="1" applyFill="1" applyBorder="1" applyAlignment="1" applyProtection="1">
      <alignment vertical="center"/>
      <protection locked="0"/>
    </xf>
    <xf numFmtId="0" fontId="20" fillId="0" borderId="60" xfId="0" applyFont="1" applyFill="1" applyBorder="1" applyAlignment="1" applyProtection="1">
      <alignment horizontal="left" vertical="center"/>
      <protection locked="0"/>
    </xf>
    <xf numFmtId="0" fontId="20" fillId="0" borderId="99" xfId="0" applyFont="1" applyFill="1" applyBorder="1" applyAlignment="1" applyProtection="1">
      <protection locked="0"/>
    </xf>
    <xf numFmtId="0" fontId="20" fillId="0" borderId="99" xfId="0" applyFont="1" applyFill="1" applyBorder="1" applyAlignment="1" applyProtection="1">
      <alignment horizontal="left"/>
      <protection locked="0"/>
    </xf>
    <xf numFmtId="0" fontId="20" fillId="0" borderId="80" xfId="0" applyFont="1" applyFill="1" applyBorder="1" applyAlignment="1" applyProtection="1">
      <protection locked="0"/>
    </xf>
    <xf numFmtId="0" fontId="20" fillId="0" borderId="3" xfId="0" applyFont="1" applyFill="1" applyBorder="1" applyAlignment="1" applyProtection="1">
      <protection locked="0"/>
    </xf>
    <xf numFmtId="0" fontId="20" fillId="0" borderId="3" xfId="0" applyFont="1" applyFill="1" applyBorder="1" applyAlignment="1" applyProtection="1">
      <alignment horizontal="left"/>
      <protection locked="0"/>
    </xf>
    <xf numFmtId="0" fontId="100" fillId="0" borderId="3" xfId="0" applyFont="1" applyFill="1" applyBorder="1" applyAlignment="1" applyProtection="1">
      <alignment horizontal="right"/>
    </xf>
    <xf numFmtId="0" fontId="20" fillId="0" borderId="10" xfId="0" applyFont="1" applyFill="1" applyBorder="1" applyAlignment="1" applyProtection="1">
      <protection locked="0"/>
    </xf>
    <xf numFmtId="0" fontId="20" fillId="0" borderId="36" xfId="0" applyFont="1" applyFill="1" applyBorder="1" applyAlignment="1" applyProtection="1">
      <alignment vertical="center"/>
      <protection locked="0"/>
    </xf>
    <xf numFmtId="0" fontId="111" fillId="0" borderId="10" xfId="0" applyFont="1" applyFill="1" applyBorder="1" applyAlignment="1" applyProtection="1">
      <alignment horizontal="left"/>
    </xf>
    <xf numFmtId="0" fontId="20" fillId="0" borderId="3" xfId="0" applyFont="1" applyFill="1" applyBorder="1" applyAlignment="1" applyProtection="1">
      <alignment horizontal="center" vertical="center"/>
      <protection locked="0"/>
    </xf>
    <xf numFmtId="0" fontId="17" fillId="0" borderId="3" xfId="0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 applyProtection="1">
      <alignment horizontal="center" vertical="center"/>
      <protection locked="0"/>
    </xf>
    <xf numFmtId="0" fontId="38" fillId="0" borderId="2" xfId="0" applyFont="1" applyFill="1" applyBorder="1" applyAlignment="1" applyProtection="1">
      <alignment horizontal="left" vertical="center"/>
      <protection locked="0"/>
    </xf>
    <xf numFmtId="0" fontId="20" fillId="0" borderId="26" xfId="0" applyFont="1" applyFill="1" applyBorder="1" applyAlignment="1" applyProtection="1">
      <alignment horizontal="center" vertical="center"/>
      <protection locked="0"/>
    </xf>
    <xf numFmtId="4" fontId="36" fillId="0" borderId="94" xfId="0" applyNumberFormat="1" applyFont="1" applyFill="1" applyBorder="1" applyProtection="1">
      <protection locked="0"/>
    </xf>
    <xf numFmtId="4" fontId="36" fillId="0" borderId="0" xfId="0" applyNumberFormat="1" applyFont="1" applyFill="1" applyBorder="1" applyAlignment="1" applyProtection="1">
      <alignment horizontal="center"/>
      <protection locked="0"/>
    </xf>
    <xf numFmtId="4" fontId="36" fillId="0" borderId="0" xfId="0" applyNumberFormat="1" applyFont="1" applyFill="1" applyBorder="1" applyProtection="1">
      <protection locked="0"/>
    </xf>
    <xf numFmtId="4" fontId="20" fillId="0" borderId="27" xfId="0" applyNumberFormat="1" applyFont="1" applyFill="1" applyBorder="1" applyAlignment="1" applyProtection="1">
      <alignment horizontal="center" vertical="center"/>
      <protection locked="0"/>
    </xf>
    <xf numFmtId="4" fontId="20" fillId="0" borderId="28" xfId="0" applyNumberFormat="1" applyFont="1" applyFill="1" applyBorder="1" applyAlignment="1" applyProtection="1">
      <alignment horizontal="center" vertic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Protection="1">
      <protection locked="0"/>
    </xf>
    <xf numFmtId="0" fontId="20" fillId="0" borderId="2" xfId="0" applyFont="1" applyFill="1" applyBorder="1" applyAlignment="1" applyProtection="1">
      <alignment horizontal="center" vertical="center"/>
      <protection locked="0"/>
    </xf>
    <xf numFmtId="4" fontId="20" fillId="0" borderId="3" xfId="0" applyNumberFormat="1" applyFont="1" applyFill="1" applyBorder="1" applyAlignment="1" applyProtection="1">
      <alignment horizontal="center" vertical="center"/>
      <protection locked="0"/>
    </xf>
    <xf numFmtId="0" fontId="20" fillId="0" borderId="36" xfId="0" applyFont="1" applyFill="1" applyBorder="1" applyAlignment="1" applyProtection="1">
      <protection locked="0"/>
    </xf>
    <xf numFmtId="0" fontId="20" fillId="0" borderId="36" xfId="0" applyFont="1" applyFill="1" applyBorder="1" applyAlignment="1" applyProtection="1">
      <alignment horizontal="left"/>
      <protection locked="0"/>
    </xf>
    <xf numFmtId="0" fontId="20" fillId="0" borderId="36" xfId="0" applyFont="1" applyFill="1" applyBorder="1" applyAlignment="1" applyProtection="1">
      <alignment horizontal="left" vertical="center"/>
      <protection locked="0"/>
    </xf>
    <xf numFmtId="0" fontId="36" fillId="0" borderId="3" xfId="0" applyFont="1" applyFill="1" applyBorder="1" applyAlignment="1" applyProtection="1"/>
    <xf numFmtId="0" fontId="36" fillId="0" borderId="3" xfId="0" applyFont="1" applyFill="1" applyBorder="1" applyAlignment="1" applyProtection="1">
      <alignment horizontal="center"/>
      <protection locked="0"/>
    </xf>
    <xf numFmtId="14" fontId="36" fillId="0" borderId="3" xfId="0" applyNumberFormat="1" applyFont="1" applyFill="1" applyBorder="1" applyProtection="1">
      <protection locked="0"/>
    </xf>
    <xf numFmtId="14" fontId="36" fillId="0" borderId="3" xfId="0" applyNumberFormat="1" applyFont="1" applyFill="1" applyBorder="1" applyAlignment="1" applyProtection="1">
      <alignment horizontal="left"/>
      <protection locked="0"/>
    </xf>
    <xf numFmtId="1" fontId="36" fillId="0" borderId="3" xfId="0" applyNumberFormat="1" applyFont="1" applyFill="1" applyBorder="1" applyAlignment="1" applyProtection="1">
      <alignment horizontal="center"/>
    </xf>
    <xf numFmtId="1" fontId="36" fillId="0" borderId="3" xfId="0" applyNumberFormat="1" applyFont="1" applyFill="1" applyBorder="1" applyAlignment="1" applyProtection="1">
      <alignment horizontal="center"/>
      <protection locked="0"/>
    </xf>
    <xf numFmtId="1" fontId="36" fillId="0" borderId="3" xfId="0" applyNumberFormat="1" applyFont="1" applyFill="1" applyBorder="1" applyAlignment="1" applyProtection="1">
      <alignment horizontal="left"/>
      <protection locked="0"/>
    </xf>
    <xf numFmtId="0" fontId="20" fillId="0" borderId="10" xfId="0" applyFont="1" applyFill="1" applyBorder="1" applyAlignment="1" applyProtection="1">
      <alignment horizontal="right" vertical="center"/>
      <protection locked="0"/>
    </xf>
    <xf numFmtId="0" fontId="20" fillId="0" borderId="36" xfId="0" applyFont="1" applyFill="1" applyBorder="1" applyAlignment="1" applyProtection="1">
      <alignment horizontal="left" vertical="center"/>
    </xf>
    <xf numFmtId="0" fontId="20" fillId="0" borderId="10" xfId="0" applyFont="1" applyFill="1" applyBorder="1" applyAlignment="1" applyProtection="1">
      <alignment horizontal="right" vertical="center"/>
    </xf>
    <xf numFmtId="0" fontId="38" fillId="0" borderId="3" xfId="0" applyFont="1" applyFill="1" applyBorder="1" applyAlignment="1" applyProtection="1">
      <alignment horizontal="left" vertical="center"/>
      <protection locked="0"/>
    </xf>
    <xf numFmtId="0" fontId="36" fillId="0" borderId="11" xfId="0" applyFont="1" applyFill="1" applyBorder="1" applyAlignment="1" applyProtection="1">
      <alignment horizontal="center" vertical="center"/>
      <protection locked="0"/>
    </xf>
    <xf numFmtId="0" fontId="109" fillId="0" borderId="7" xfId="0" applyFont="1" applyFill="1" applyBorder="1" applyAlignment="1" applyProtection="1">
      <alignment horizontal="right"/>
    </xf>
    <xf numFmtId="0" fontId="38" fillId="0" borderId="3" xfId="0" applyFont="1" applyFill="1" applyBorder="1" applyAlignment="1" applyProtection="1">
      <alignment horizontal="left"/>
      <protection locked="0"/>
    </xf>
    <xf numFmtId="3" fontId="84" fillId="0" borderId="94" xfId="0" applyNumberFormat="1" applyFont="1" applyFill="1" applyBorder="1" applyAlignment="1" applyProtection="1">
      <alignment horizontal="center"/>
    </xf>
    <xf numFmtId="0" fontId="36" fillId="0" borderId="94" xfId="0" applyFont="1" applyFill="1" applyBorder="1" applyAlignment="1" applyProtection="1"/>
    <xf numFmtId="0" fontId="36" fillId="0" borderId="94" xfId="0" applyFont="1" applyFill="1" applyBorder="1" applyAlignment="1" applyProtection="1">
      <alignment horizontal="center"/>
      <protection locked="0"/>
    </xf>
    <xf numFmtId="1" fontId="36" fillId="0" borderId="94" xfId="0" applyNumberFormat="1" applyFont="1" applyFill="1" applyBorder="1" applyAlignment="1" applyProtection="1">
      <alignment horizontal="center"/>
    </xf>
    <xf numFmtId="1" fontId="36" fillId="0" borderId="94" xfId="0" applyNumberFormat="1" applyFont="1" applyFill="1" applyBorder="1" applyAlignment="1" applyProtection="1">
      <alignment horizontal="center"/>
      <protection locked="0"/>
    </xf>
    <xf numFmtId="4" fontId="36" fillId="0" borderId="94" xfId="0" applyNumberFormat="1" applyFont="1" applyFill="1" applyBorder="1" applyAlignment="1" applyProtection="1">
      <alignment horizontal="center" vertical="center"/>
    </xf>
    <xf numFmtId="4" fontId="36" fillId="0" borderId="94" xfId="0" applyNumberFormat="1" applyFont="1" applyFill="1" applyBorder="1" applyAlignment="1" applyProtection="1">
      <alignment horizontal="center" vertical="center"/>
      <protection locked="0"/>
    </xf>
    <xf numFmtId="4" fontId="36" fillId="0" borderId="104" xfId="0" applyNumberFormat="1" applyFont="1" applyFill="1" applyBorder="1" applyAlignment="1" applyProtection="1">
      <alignment horizontal="center" vertical="center"/>
      <protection locked="0"/>
    </xf>
    <xf numFmtId="14" fontId="36" fillId="0" borderId="94" xfId="0" applyNumberFormat="1" applyFont="1" applyFill="1" applyBorder="1" applyProtection="1">
      <protection locked="0"/>
    </xf>
    <xf numFmtId="14" fontId="36" fillId="0" borderId="94" xfId="0" applyNumberFormat="1" applyFont="1" applyFill="1" applyBorder="1" applyAlignment="1" applyProtection="1">
      <protection locked="0"/>
    </xf>
    <xf numFmtId="4" fontId="20" fillId="0" borderId="94" xfId="0" applyNumberFormat="1" applyFont="1" applyFill="1" applyBorder="1" applyAlignment="1" applyProtection="1">
      <alignment horizontal="center" vertical="center"/>
      <protection locked="0"/>
    </xf>
    <xf numFmtId="4" fontId="20" fillId="0" borderId="104" xfId="0" applyNumberFormat="1" applyFont="1" applyFill="1" applyBorder="1" applyAlignment="1" applyProtection="1">
      <alignment horizontal="center" vertical="center"/>
      <protection locked="0"/>
    </xf>
    <xf numFmtId="4" fontId="20" fillId="0" borderId="96" xfId="0" applyNumberFormat="1" applyFont="1" applyFill="1" applyBorder="1" applyAlignment="1" applyProtection="1">
      <alignment horizontal="center" vertical="center"/>
      <protection locked="0"/>
    </xf>
    <xf numFmtId="4" fontId="36" fillId="0" borderId="94" xfId="0" applyNumberFormat="1" applyFont="1" applyFill="1" applyBorder="1" applyAlignment="1" applyProtection="1">
      <alignment horizontal="center"/>
      <protection locked="0"/>
    </xf>
    <xf numFmtId="2" fontId="36" fillId="0" borderId="94" xfId="0" applyNumberFormat="1" applyFont="1" applyFill="1" applyBorder="1" applyAlignment="1" applyProtection="1">
      <alignment horizontal="center"/>
      <protection locked="0"/>
    </xf>
    <xf numFmtId="0" fontId="36" fillId="0" borderId="100" xfId="0" applyFont="1" applyFill="1" applyBorder="1" applyAlignment="1" applyProtection="1">
      <alignment horizontal="center"/>
      <protection locked="0"/>
    </xf>
    <xf numFmtId="14" fontId="36" fillId="0" borderId="94" xfId="0" applyNumberFormat="1" applyFont="1" applyFill="1" applyBorder="1" applyAlignment="1" applyProtection="1">
      <alignment horizontal="center" vertical="center"/>
      <protection locked="0"/>
    </xf>
    <xf numFmtId="3" fontId="0" fillId="43" borderId="94" xfId="0" applyNumberFormat="1" applyFill="1" applyBorder="1"/>
    <xf numFmtId="0" fontId="0" fillId="43" borderId="94" xfId="0" applyFill="1" applyBorder="1"/>
    <xf numFmtId="0" fontId="0" fillId="43" borderId="94" xfId="0" applyFont="1" applyFill="1" applyBorder="1" applyAlignment="1">
      <alignment horizontal="center"/>
    </xf>
    <xf numFmtId="0" fontId="0" fillId="43" borderId="94" xfId="0" applyFill="1" applyBorder="1" applyAlignment="1">
      <alignment horizontal="center" vertical="center"/>
    </xf>
    <xf numFmtId="14" fontId="0" fillId="43" borderId="94" xfId="0" applyNumberFormat="1" applyFill="1" applyBorder="1" applyAlignment="1">
      <alignment horizontal="center" vertical="center"/>
    </xf>
    <xf numFmtId="0" fontId="87" fillId="0" borderId="94" xfId="0" applyFont="1" applyFill="1" applyBorder="1"/>
    <xf numFmtId="0" fontId="87" fillId="0" borderId="94" xfId="0" applyFont="1" applyFill="1" applyBorder="1" applyAlignment="1">
      <alignment horizontal="center"/>
    </xf>
    <xf numFmtId="14" fontId="87" fillId="0" borderId="94" xfId="0" applyNumberFormat="1" applyFont="1" applyFill="1" applyBorder="1" applyAlignment="1">
      <alignment horizontal="center" vertical="center"/>
    </xf>
    <xf numFmtId="0" fontId="0" fillId="0" borderId="94" xfId="0" applyFill="1" applyBorder="1"/>
    <xf numFmtId="0" fontId="0" fillId="0" borderId="94" xfId="0" applyFill="1" applyBorder="1" applyAlignment="1">
      <alignment horizontal="center"/>
    </xf>
    <xf numFmtId="0" fontId="0" fillId="0" borderId="94" xfId="0" applyFill="1" applyBorder="1" applyAlignment="1">
      <alignment horizontal="center" vertical="center"/>
    </xf>
    <xf numFmtId="14" fontId="0" fillId="0" borderId="94" xfId="0" applyNumberFormat="1" applyFill="1" applyBorder="1" applyAlignment="1">
      <alignment horizontal="center" vertical="center"/>
    </xf>
    <xf numFmtId="1" fontId="36" fillId="0" borderId="22" xfId="0" applyNumberFormat="1" applyFont="1" applyFill="1" applyBorder="1" applyAlignment="1" applyProtection="1">
      <alignment horizontal="left" vertical="center" wrapText="1"/>
    </xf>
    <xf numFmtId="1" fontId="36" fillId="0" borderId="94" xfId="0" applyNumberFormat="1" applyFont="1" applyFill="1" applyBorder="1" applyAlignment="1" applyProtection="1">
      <alignment horizontal="center" vertical="center"/>
      <protection locked="0"/>
    </xf>
    <xf numFmtId="3" fontId="1" fillId="0" borderId="94" xfId="0" applyNumberFormat="1" applyFont="1" applyFill="1" applyBorder="1" applyAlignment="1" applyProtection="1">
      <alignment horizontal="center" vertical="center"/>
      <protection locked="0"/>
    </xf>
    <xf numFmtId="4" fontId="12" fillId="3" borderId="0" xfId="0" applyNumberFormat="1" applyFont="1" applyFill="1" applyAlignment="1" applyProtection="1">
      <alignment vertical="center"/>
      <protection locked="0"/>
    </xf>
    <xf numFmtId="0" fontId="36" fillId="0" borderId="94" xfId="0" applyFont="1" applyFill="1" applyBorder="1" applyAlignment="1" applyProtection="1">
      <alignment horizontal="center" vertical="center"/>
      <protection locked="0"/>
    </xf>
    <xf numFmtId="0" fontId="36" fillId="0" borderId="105" xfId="0" applyFont="1" applyFill="1" applyBorder="1" applyAlignment="1" applyProtection="1">
      <alignment horizontal="center"/>
      <protection locked="0"/>
    </xf>
    <xf numFmtId="3" fontId="84" fillId="0" borderId="94" xfId="0" applyNumberFormat="1" applyFont="1" applyFill="1" applyBorder="1" applyAlignment="1" applyProtection="1">
      <alignment horizontal="center" vertical="center"/>
    </xf>
    <xf numFmtId="0" fontId="36" fillId="0" borderId="94" xfId="0" applyFont="1" applyFill="1" applyBorder="1" applyAlignment="1" applyProtection="1">
      <alignment vertical="center"/>
    </xf>
    <xf numFmtId="14" fontId="36" fillId="0" borderId="94" xfId="0" applyNumberFormat="1" applyFont="1" applyFill="1" applyBorder="1" applyAlignment="1" applyProtection="1">
      <alignment vertical="center"/>
      <protection locked="0"/>
    </xf>
    <xf numFmtId="1" fontId="36" fillId="0" borderId="94" xfId="0" applyNumberFormat="1" applyFont="1" applyFill="1" applyBorder="1" applyAlignment="1" applyProtection="1">
      <alignment horizontal="center" vertical="center"/>
    </xf>
    <xf numFmtId="4" fontId="12" fillId="17" borderId="0" xfId="0" applyNumberFormat="1" applyFont="1" applyFill="1" applyAlignment="1" applyProtection="1">
      <alignment vertical="center"/>
      <protection locked="0"/>
    </xf>
    <xf numFmtId="4" fontId="1" fillId="0" borderId="0" xfId="0" quotePrefix="1" applyNumberFormat="1" applyFont="1" applyFill="1" applyAlignment="1" applyProtection="1">
      <alignment vertical="center"/>
      <protection locked="0"/>
    </xf>
    <xf numFmtId="0" fontId="1" fillId="0" borderId="0" xfId="0" applyFont="1" applyFill="1" applyAlignment="1" applyProtection="1">
      <alignment vertical="center"/>
      <protection locked="0"/>
    </xf>
    <xf numFmtId="4" fontId="12" fillId="0" borderId="0" xfId="0" applyNumberFormat="1" applyFont="1" applyFill="1" applyAlignment="1">
      <alignment vertical="center"/>
    </xf>
    <xf numFmtId="1" fontId="36" fillId="0" borderId="94" xfId="0" applyNumberFormat="1" applyFont="1" applyFill="1" applyBorder="1" applyAlignment="1" applyProtection="1">
      <alignment horizontal="left" vertical="center" wrapText="1"/>
    </xf>
    <xf numFmtId="0" fontId="37" fillId="0" borderId="94" xfId="0" applyFont="1" applyFill="1" applyBorder="1" applyAlignment="1" applyProtection="1">
      <alignment horizontal="center" vertical="center"/>
      <protection locked="0"/>
    </xf>
    <xf numFmtId="2" fontId="36" fillId="0" borderId="94" xfId="0" applyNumberFormat="1" applyFont="1" applyFill="1" applyBorder="1" applyAlignment="1" applyProtection="1">
      <alignment horizontal="center" vertical="center"/>
    </xf>
    <xf numFmtId="3" fontId="47" fillId="0" borderId="94" xfId="0" applyNumberFormat="1" applyFont="1" applyFill="1" applyBorder="1" applyAlignment="1" applyProtection="1">
      <alignment horizontal="center" vertical="center"/>
    </xf>
    <xf numFmtId="0" fontId="37" fillId="0" borderId="94" xfId="0" applyFont="1" applyFill="1" applyBorder="1" applyAlignment="1" applyProtection="1">
      <alignment vertical="center"/>
    </xf>
    <xf numFmtId="14" fontId="37" fillId="0" borderId="94" xfId="0" applyNumberFormat="1" applyFont="1" applyFill="1" applyBorder="1" applyAlignment="1" applyProtection="1">
      <alignment horizontal="center" vertical="center"/>
    </xf>
    <xf numFmtId="1" fontId="36" fillId="0" borderId="94" xfId="0" quotePrefix="1" applyNumberFormat="1" applyFont="1" applyFill="1" applyBorder="1" applyAlignment="1" applyProtection="1">
      <alignment horizontal="center" vertical="center"/>
      <protection locked="0"/>
    </xf>
    <xf numFmtId="4" fontId="1" fillId="0" borderId="0" xfId="0" applyNumberFormat="1" applyFont="1" applyFill="1" applyAlignment="1" applyProtection="1">
      <alignment vertical="center"/>
      <protection locked="0"/>
    </xf>
    <xf numFmtId="0" fontId="117" fillId="0" borderId="0" xfId="0" applyFont="1" applyFill="1"/>
    <xf numFmtId="4" fontId="17" fillId="0" borderId="102" xfId="0" applyNumberFormat="1" applyFont="1" applyFill="1" applyBorder="1" applyAlignment="1" applyProtection="1">
      <alignment horizontal="center" vertical="center"/>
      <protection locked="0"/>
    </xf>
    <xf numFmtId="0" fontId="87" fillId="0" borderId="94" xfId="0" applyFont="1" applyFill="1" applyBorder="1" applyAlignment="1">
      <alignment horizontal="center" vertical="center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14" fontId="20" fillId="0" borderId="84" xfId="0" applyNumberFormat="1" applyFont="1" applyFill="1" applyBorder="1" applyProtection="1">
      <protection locked="0"/>
    </xf>
    <xf numFmtId="0" fontId="20" fillId="0" borderId="7" xfId="0" applyFont="1" applyFill="1" applyBorder="1" applyAlignment="1" applyProtection="1">
      <alignment horizontal="center"/>
      <protection locked="0"/>
    </xf>
    <xf numFmtId="3" fontId="116" fillId="0" borderId="95" xfId="0" applyNumberFormat="1" applyFont="1" applyFill="1" applyBorder="1" applyAlignment="1" applyProtection="1">
      <alignment horizontal="center"/>
    </xf>
    <xf numFmtId="3" fontId="116" fillId="0" borderId="89" xfId="0" applyNumberFormat="1" applyFont="1" applyFill="1" applyBorder="1" applyAlignment="1" applyProtection="1">
      <alignment horizontal="center"/>
    </xf>
    <xf numFmtId="0" fontId="12" fillId="0" borderId="0" xfId="0" applyFont="1" applyFill="1" applyAlignment="1" applyProtection="1">
      <alignment horizontal="center" vertical="center"/>
      <protection locked="0"/>
    </xf>
    <xf numFmtId="14" fontId="20" fillId="0" borderId="95" xfId="0" applyNumberFormat="1" applyFont="1" applyFill="1" applyBorder="1" applyAlignment="1" applyProtection="1">
      <alignment vertical="center"/>
      <protection locked="0"/>
    </xf>
    <xf numFmtId="14" fontId="20" fillId="0" borderId="98" xfId="0" applyNumberFormat="1" applyFont="1" applyFill="1" applyBorder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3" fontId="23" fillId="4" borderId="94" xfId="0" applyNumberFormat="1" applyFont="1" applyFill="1" applyBorder="1" applyAlignment="1" applyProtection="1">
      <alignment horizontal="center" vertical="center"/>
      <protection locked="0"/>
    </xf>
    <xf numFmtId="0" fontId="23" fillId="4" borderId="94" xfId="0" applyFont="1" applyFill="1" applyBorder="1" applyAlignment="1" applyProtection="1">
      <alignment vertical="center"/>
      <protection locked="0"/>
    </xf>
    <xf numFmtId="0" fontId="36" fillId="46" borderId="18" xfId="0" applyFont="1" applyFill="1" applyBorder="1" applyAlignment="1" applyProtection="1">
      <alignment horizontal="center" vertical="center"/>
      <protection locked="0"/>
    </xf>
    <xf numFmtId="4" fontId="12" fillId="46" borderId="0" xfId="0" applyNumberFormat="1" applyFont="1" applyFill="1" applyAlignment="1" applyProtection="1">
      <alignment vertical="center"/>
      <protection locked="0"/>
    </xf>
    <xf numFmtId="0" fontId="12" fillId="46" borderId="0" xfId="0" applyFont="1" applyFill="1" applyAlignment="1" applyProtection="1">
      <alignment vertical="center"/>
      <protection locked="0"/>
    </xf>
    <xf numFmtId="4" fontId="36" fillId="46" borderId="1" xfId="0" applyNumberFormat="1" applyFont="1" applyFill="1" applyBorder="1" applyAlignment="1" applyProtection="1">
      <alignment vertical="center"/>
      <protection locked="0"/>
    </xf>
    <xf numFmtId="4" fontId="36" fillId="46" borderId="1" xfId="0" applyNumberFormat="1" applyFont="1" applyFill="1" applyBorder="1" applyAlignment="1" applyProtection="1">
      <alignment horizontal="center" vertical="center"/>
      <protection locked="0"/>
    </xf>
    <xf numFmtId="0" fontId="36" fillId="4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93" fillId="0" borderId="0" xfId="0" applyNumberFormat="1" applyFont="1" applyFill="1" applyBorder="1" applyAlignment="1" applyProtection="1">
      <alignment horizontal="center" vertical="center" wrapText="1"/>
    </xf>
    <xf numFmtId="0" fontId="120" fillId="47" borderId="11" xfId="0" applyNumberFormat="1" applyFont="1" applyFill="1" applyBorder="1" applyAlignment="1" applyProtection="1">
      <alignment horizontal="center" vertical="center" wrapText="1"/>
      <protection locked="0"/>
    </xf>
    <xf numFmtId="0" fontId="24" fillId="0" borderId="0" xfId="0" applyNumberFormat="1" applyFont="1" applyBorder="1" applyAlignment="1" applyProtection="1">
      <alignment horizontal="center" vertical="center"/>
    </xf>
    <xf numFmtId="0" fontId="93" fillId="48" borderId="2" xfId="114" applyNumberFormat="1" applyFont="1" applyFill="1" applyBorder="1" applyAlignment="1" applyProtection="1">
      <alignment horizontal="center" vertical="center" wrapText="1"/>
      <protection locked="0"/>
    </xf>
    <xf numFmtId="0" fontId="93" fillId="49" borderId="2" xfId="114" applyNumberFormat="1" applyFont="1" applyFill="1" applyBorder="1" applyAlignment="1" applyProtection="1">
      <alignment horizontal="center" vertical="center" wrapText="1"/>
      <protection locked="0"/>
    </xf>
    <xf numFmtId="0" fontId="93" fillId="49" borderId="7" xfId="114" applyNumberFormat="1" applyFont="1" applyFill="1" applyBorder="1" applyAlignment="1" applyProtection="1">
      <alignment horizontal="center" vertical="center" wrapText="1"/>
      <protection locked="0"/>
    </xf>
    <xf numFmtId="0" fontId="121" fillId="50" borderId="7" xfId="114" applyNumberFormat="1" applyFont="1" applyFill="1" applyBorder="1" applyAlignment="1" applyProtection="1">
      <alignment horizontal="center" vertical="center" wrapText="1" shrinkToFit="1"/>
      <protection locked="0"/>
    </xf>
    <xf numFmtId="0" fontId="93" fillId="49" borderId="7" xfId="114" applyNumberFormat="1" applyFont="1" applyFill="1" applyBorder="1" applyAlignment="1" applyProtection="1">
      <alignment horizontal="center" vertical="center" wrapText="1" shrinkToFit="1"/>
      <protection locked="0"/>
    </xf>
    <xf numFmtId="0" fontId="93" fillId="51" borderId="7" xfId="0" applyNumberFormat="1" applyFont="1" applyFill="1" applyBorder="1" applyAlignment="1" applyProtection="1">
      <alignment horizontal="center" vertical="center" wrapText="1"/>
      <protection locked="0"/>
    </xf>
    <xf numFmtId="0" fontId="93" fillId="51" borderId="94" xfId="0" applyNumberFormat="1" applyFont="1" applyFill="1" applyBorder="1" applyAlignment="1" applyProtection="1">
      <alignment horizontal="center" vertical="center" wrapText="1"/>
      <protection locked="0"/>
    </xf>
    <xf numFmtId="0" fontId="17" fillId="47" borderId="27" xfId="0" applyNumberFormat="1" applyFont="1" applyFill="1" applyBorder="1" applyAlignment="1" applyProtection="1">
      <alignment horizontal="center" vertical="center" wrapText="1"/>
      <protection locked="0"/>
    </xf>
    <xf numFmtId="0" fontId="122" fillId="52" borderId="94" xfId="114" applyNumberFormat="1" applyFont="1" applyFill="1" applyBorder="1" applyAlignment="1" applyProtection="1">
      <alignment horizontal="center" vertical="center" wrapText="1"/>
      <protection locked="0"/>
    </xf>
    <xf numFmtId="0" fontId="122" fillId="50" borderId="106" xfId="114" applyNumberFormat="1" applyFont="1" applyFill="1" applyBorder="1" applyAlignment="1" applyProtection="1">
      <alignment horizontal="center" vertical="center" wrapText="1"/>
      <protection locked="0"/>
    </xf>
    <xf numFmtId="0" fontId="20" fillId="47" borderId="7" xfId="0" applyNumberFormat="1" applyFont="1" applyFill="1" applyBorder="1" applyAlignment="1" applyProtection="1">
      <alignment horizontal="center" vertical="center" wrapText="1"/>
      <protection locked="0"/>
    </xf>
    <xf numFmtId="0" fontId="93" fillId="49" borderId="8" xfId="114" applyNumberFormat="1" applyFont="1" applyFill="1" applyBorder="1" applyAlignment="1" applyProtection="1">
      <alignment horizontal="center" vertical="center" wrapText="1"/>
      <protection locked="0"/>
    </xf>
    <xf numFmtId="0" fontId="38" fillId="48" borderId="72" xfId="114" applyNumberFormat="1" applyFont="1" applyFill="1" applyBorder="1" applyAlignment="1" applyProtection="1">
      <alignment horizontal="center" vertical="center" wrapText="1"/>
      <protection locked="0"/>
    </xf>
    <xf numFmtId="0" fontId="86" fillId="0" borderId="22" xfId="0" applyNumberFormat="1" applyFont="1" applyBorder="1" applyAlignment="1" applyProtection="1">
      <alignment horizontal="center" vertical="center" wrapText="1"/>
      <protection locked="0"/>
    </xf>
    <xf numFmtId="3" fontId="86" fillId="0" borderId="22" xfId="0" applyNumberFormat="1" applyFont="1" applyBorder="1" applyAlignment="1" applyProtection="1">
      <alignment horizontal="center" vertical="center" wrapText="1"/>
      <protection locked="0"/>
    </xf>
    <xf numFmtId="0" fontId="86" fillId="0" borderId="22" xfId="0" applyNumberFormat="1" applyFont="1" applyBorder="1" applyAlignment="1" applyProtection="1">
      <alignment horizontal="center" vertical="center" wrapText="1"/>
    </xf>
    <xf numFmtId="170" fontId="38" fillId="0" borderId="22" xfId="0" applyNumberFormat="1" applyFont="1" applyBorder="1" applyAlignment="1" applyProtection="1">
      <alignment horizontal="center" vertical="center" wrapText="1"/>
    </xf>
    <xf numFmtId="1" fontId="86" fillId="0" borderId="22" xfId="117" applyNumberFormat="1" applyFont="1" applyBorder="1" applyAlignment="1" applyProtection="1">
      <alignment horizontal="center" vertical="center" wrapText="1"/>
    </xf>
    <xf numFmtId="4" fontId="123" fillId="0" borderId="22" xfId="0" applyNumberFormat="1" applyFont="1" applyBorder="1" applyAlignment="1" applyProtection="1">
      <alignment horizontal="center" vertical="center" wrapText="1"/>
    </xf>
    <xf numFmtId="4" fontId="123" fillId="0" borderId="12" xfId="0" applyNumberFormat="1" applyFont="1" applyBorder="1" applyAlignment="1" applyProtection="1">
      <alignment horizontal="center" vertical="center" wrapText="1"/>
    </xf>
    <xf numFmtId="43" fontId="95" fillId="5" borderId="12" xfId="117" applyFont="1" applyFill="1" applyBorder="1" applyAlignment="1" applyProtection="1">
      <alignment horizontal="center" vertical="center" wrapText="1"/>
    </xf>
    <xf numFmtId="43" fontId="95" fillId="0" borderId="12" xfId="117" applyFont="1" applyBorder="1" applyAlignment="1" applyProtection="1">
      <alignment horizontal="center" vertical="center" wrapText="1"/>
    </xf>
    <xf numFmtId="43" fontId="124" fillId="5" borderId="94" xfId="117" applyFont="1" applyFill="1" applyBorder="1" applyAlignment="1">
      <alignment vertical="center"/>
    </xf>
    <xf numFmtId="171" fontId="125" fillId="0" borderId="94" xfId="117" applyNumberFormat="1" applyFont="1" applyBorder="1" applyAlignment="1">
      <alignment horizontal="center" vertical="center"/>
    </xf>
    <xf numFmtId="49" fontId="125" fillId="0" borderId="94" xfId="117" applyNumberFormat="1" applyFont="1" applyBorder="1" applyAlignment="1">
      <alignment horizontal="center" vertical="center"/>
    </xf>
    <xf numFmtId="43" fontId="125" fillId="0" borderId="45" xfId="117" applyFont="1" applyBorder="1" applyAlignment="1">
      <alignment vertical="center"/>
    </xf>
    <xf numFmtId="4" fontId="126" fillId="4" borderId="22" xfId="0" applyNumberFormat="1" applyFont="1" applyFill="1" applyBorder="1" applyAlignment="1" applyProtection="1">
      <alignment horizontal="center" vertical="center" wrapText="1"/>
    </xf>
    <xf numFmtId="0" fontId="127" fillId="0" borderId="0" xfId="0" applyFont="1"/>
    <xf numFmtId="165" fontId="127" fillId="0" borderId="0" xfId="0" applyNumberFormat="1" applyFont="1"/>
    <xf numFmtId="0" fontId="128" fillId="48" borderId="50" xfId="114" applyNumberFormat="1" applyFont="1" applyFill="1" applyBorder="1" applyAlignment="1" applyProtection="1">
      <alignment horizontal="center" vertical="center" wrapText="1"/>
      <protection locked="0"/>
    </xf>
    <xf numFmtId="0" fontId="129" fillId="0" borderId="7" xfId="0" applyNumberFormat="1" applyFont="1" applyBorder="1" applyAlignment="1" applyProtection="1">
      <alignment horizontal="center" vertical="center" wrapText="1"/>
      <protection locked="0"/>
    </xf>
    <xf numFmtId="3" fontId="129" fillId="0" borderId="7" xfId="0" applyNumberFormat="1" applyFont="1" applyBorder="1" applyAlignment="1" applyProtection="1">
      <alignment horizontal="center" vertical="center" wrapText="1"/>
      <protection locked="0"/>
    </xf>
    <xf numFmtId="0" fontId="86" fillId="0" borderId="7" xfId="0" applyNumberFormat="1" applyFont="1" applyBorder="1" applyAlignment="1" applyProtection="1">
      <alignment horizontal="center" vertical="center" wrapText="1"/>
    </xf>
    <xf numFmtId="170" fontId="38" fillId="0" borderId="7" xfId="0" applyNumberFormat="1" applyFont="1" applyBorder="1" applyAlignment="1" applyProtection="1">
      <alignment horizontal="center" vertical="center" wrapText="1"/>
    </xf>
    <xf numFmtId="1" fontId="129" fillId="0" borderId="22" xfId="117" applyNumberFormat="1" applyFont="1" applyBorder="1" applyAlignment="1" applyProtection="1">
      <alignment horizontal="center" vertical="center" wrapText="1"/>
    </xf>
    <xf numFmtId="0" fontId="129" fillId="0" borderId="10" xfId="0" applyNumberFormat="1" applyFont="1" applyBorder="1" applyAlignment="1" applyProtection="1">
      <alignment horizontal="center" vertical="center" wrapText="1"/>
      <protection locked="0"/>
    </xf>
    <xf numFmtId="4" fontId="123" fillId="0" borderId="27" xfId="0" applyNumberFormat="1" applyFont="1" applyBorder="1" applyAlignment="1" applyProtection="1">
      <alignment horizontal="center" vertical="center" wrapText="1"/>
    </xf>
    <xf numFmtId="0" fontId="86" fillId="0" borderId="10" xfId="0" applyNumberFormat="1" applyFont="1" applyBorder="1" applyAlignment="1" applyProtection="1">
      <alignment horizontal="center" vertical="center" wrapText="1"/>
      <protection locked="0"/>
    </xf>
    <xf numFmtId="3" fontId="86" fillId="0" borderId="7" xfId="0" applyNumberFormat="1" applyFont="1" applyBorder="1" applyAlignment="1" applyProtection="1">
      <alignment horizontal="center" vertical="center" wrapText="1"/>
      <protection locked="0"/>
    </xf>
    <xf numFmtId="0" fontId="86" fillId="0" borderId="7" xfId="0" applyNumberFormat="1" applyFont="1" applyBorder="1" applyAlignment="1" applyProtection="1">
      <alignment horizontal="center" vertical="center" wrapText="1"/>
      <protection locked="0"/>
    </xf>
    <xf numFmtId="170" fontId="130" fillId="8" borderId="7" xfId="0" applyNumberFormat="1" applyFont="1" applyFill="1" applyBorder="1" applyAlignment="1" applyProtection="1">
      <alignment horizontal="center" vertical="center" wrapText="1"/>
    </xf>
    <xf numFmtId="4" fontId="123" fillId="0" borderId="94" xfId="0" applyNumberFormat="1" applyFont="1" applyBorder="1" applyAlignment="1" applyProtection="1">
      <alignment horizontal="center" vertical="center" wrapText="1"/>
    </xf>
    <xf numFmtId="171" fontId="125" fillId="8" borderId="94" xfId="117" applyNumberFormat="1" applyFont="1" applyFill="1" applyBorder="1" applyAlignment="1">
      <alignment horizontal="center" vertical="center"/>
    </xf>
    <xf numFmtId="49" fontId="125" fillId="8" borderId="94" xfId="117" applyNumberFormat="1" applyFont="1" applyFill="1" applyBorder="1" applyAlignment="1">
      <alignment horizontal="center" vertical="center"/>
    </xf>
    <xf numFmtId="0" fontId="125" fillId="0" borderId="0" xfId="0" applyFont="1"/>
    <xf numFmtId="167" fontId="126" fillId="49" borderId="107" xfId="117" applyNumberFormat="1" applyFont="1" applyFill="1" applyBorder="1" applyAlignment="1" applyProtection="1">
      <alignment horizontal="center" vertical="center" wrapText="1"/>
      <protection locked="0"/>
    </xf>
    <xf numFmtId="167" fontId="75" fillId="49" borderId="7" xfId="117" applyNumberFormat="1" applyFont="1" applyFill="1" applyBorder="1" applyAlignment="1" applyProtection="1">
      <alignment horizontal="center" vertical="center" wrapText="1"/>
      <protection locked="0"/>
    </xf>
    <xf numFmtId="43" fontId="8" fillId="0" borderId="0" xfId="117" applyFont="1"/>
    <xf numFmtId="0" fontId="123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31" fillId="4" borderId="0" xfId="0" applyNumberFormat="1" applyFont="1" applyFill="1" applyBorder="1" applyAlignment="1" applyProtection="1">
      <alignment horizontal="center" vertical="center" wrapText="1"/>
      <protection locked="0"/>
    </xf>
    <xf numFmtId="167" fontId="126" fillId="49" borderId="6" xfId="117" applyNumberFormat="1" applyFont="1" applyFill="1" applyBorder="1" applyAlignment="1" applyProtection="1">
      <alignment horizontal="center" vertical="center" wrapText="1"/>
      <protection locked="0"/>
    </xf>
    <xf numFmtId="167" fontId="75" fillId="49" borderId="6" xfId="117" applyNumberFormat="1" applyFont="1" applyFill="1" applyBorder="1" applyAlignment="1" applyProtection="1">
      <alignment horizontal="center" vertical="center" wrapText="1"/>
      <protection locked="0"/>
    </xf>
    <xf numFmtId="0" fontId="44" fillId="8" borderId="94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44" fillId="0" borderId="0" xfId="0" quotePrefix="1" applyFont="1" applyFill="1" applyBorder="1" applyAlignment="1">
      <alignment horizontal="center"/>
    </xf>
    <xf numFmtId="0" fontId="52" fillId="0" borderId="0" xfId="0" applyFont="1"/>
    <xf numFmtId="0" fontId="135" fillId="0" borderId="0" xfId="0" applyFont="1" applyFill="1" applyBorder="1" applyAlignment="1">
      <alignment horizontal="center"/>
    </xf>
    <xf numFmtId="0" fontId="52" fillId="8" borderId="94" xfId="0" applyFont="1" applyFill="1" applyBorder="1"/>
    <xf numFmtId="0" fontId="52" fillId="8" borderId="0" xfId="0" applyFont="1" applyFill="1"/>
    <xf numFmtId="0" fontId="136" fillId="53" borderId="35" xfId="0" applyFont="1" applyFill="1" applyBorder="1" applyAlignment="1">
      <alignment horizontal="center" wrapText="1"/>
    </xf>
    <xf numFmtId="0" fontId="136" fillId="53" borderId="103" xfId="0" applyFont="1" applyFill="1" applyBorder="1" applyAlignment="1">
      <alignment horizontal="center" wrapText="1"/>
    </xf>
    <xf numFmtId="0" fontId="136" fillId="8" borderId="103" xfId="0" applyFont="1" applyFill="1" applyBorder="1" applyAlignment="1">
      <alignment horizontal="center" wrapText="1"/>
    </xf>
    <xf numFmtId="0" fontId="136" fillId="0" borderId="0" xfId="0" applyFont="1" applyFill="1" applyBorder="1" applyAlignment="1">
      <alignment horizontal="center" wrapText="1"/>
    </xf>
    <xf numFmtId="0" fontId="138" fillId="54" borderId="35" xfId="0" applyFont="1" applyFill="1" applyBorder="1"/>
    <xf numFmtId="0" fontId="139" fillId="0" borderId="103" xfId="0" applyFont="1" applyBorder="1" applyAlignment="1">
      <alignment horizontal="center"/>
    </xf>
    <xf numFmtId="0" fontId="119" fillId="0" borderId="0" xfId="0" applyFont="1"/>
    <xf numFmtId="0" fontId="139" fillId="0" borderId="0" xfId="0" applyFont="1" applyFill="1" applyBorder="1" applyAlignment="1">
      <alignment horizontal="center"/>
    </xf>
    <xf numFmtId="0" fontId="119" fillId="0" borderId="0" xfId="0" applyFont="1" applyFill="1"/>
    <xf numFmtId="0" fontId="140" fillId="0" borderId="0" xfId="0" applyFont="1"/>
    <xf numFmtId="0" fontId="139" fillId="0" borderId="0" xfId="0" applyFont="1" applyBorder="1" applyAlignment="1">
      <alignment horizontal="center"/>
    </xf>
    <xf numFmtId="0" fontId="118" fillId="0" borderId="0" xfId="0" applyFont="1"/>
    <xf numFmtId="43" fontId="140" fillId="0" borderId="0" xfId="117" applyFont="1"/>
    <xf numFmtId="165" fontId="140" fillId="0" borderId="0" xfId="0" applyNumberFormat="1" applyFont="1"/>
    <xf numFmtId="0" fontId="0" fillId="0" borderId="94" xfId="0" applyBorder="1"/>
    <xf numFmtId="0" fontId="52" fillId="0" borderId="94" xfId="0" applyFont="1" applyBorder="1"/>
    <xf numFmtId="43" fontId="52" fillId="0" borderId="94" xfId="117" applyFont="1" applyBorder="1"/>
    <xf numFmtId="3" fontId="87" fillId="0" borderId="94" xfId="0" applyNumberFormat="1" applyFont="1" applyFill="1" applyBorder="1"/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2" fillId="46" borderId="0" xfId="0" applyFont="1" applyFill="1" applyAlignment="1" applyProtection="1">
      <alignment horizontal="center" vertical="center"/>
      <protection locked="0"/>
    </xf>
    <xf numFmtId="0" fontId="0" fillId="43" borderId="94" xfId="0" applyFill="1" applyBorder="1" applyAlignment="1">
      <alignment horizontal="center"/>
    </xf>
    <xf numFmtId="0" fontId="0" fillId="43" borderId="94" xfId="0" applyFont="1" applyFill="1" applyBorder="1"/>
    <xf numFmtId="4" fontId="1" fillId="46" borderId="0" xfId="0" applyNumberFormat="1" applyFont="1" applyFill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36" fillId="4" borderId="94" xfId="0" applyFont="1" applyFill="1" applyBorder="1" applyAlignment="1" applyProtection="1">
      <alignment vertical="center"/>
      <protection locked="0"/>
    </xf>
    <xf numFmtId="0" fontId="36" fillId="4" borderId="95" xfId="0" applyFont="1" applyFill="1" applyBorder="1" applyAlignment="1" applyProtection="1">
      <alignment horizontal="left" vertical="center"/>
      <protection locked="0"/>
    </xf>
    <xf numFmtId="0" fontId="36" fillId="4" borderId="98" xfId="0" applyFont="1" applyFill="1" applyBorder="1" applyAlignment="1" applyProtection="1">
      <alignment horizontal="left" vertical="center"/>
      <protection locked="0"/>
    </xf>
    <xf numFmtId="0" fontId="36" fillId="4" borderId="60" xfId="0" applyFont="1" applyFill="1" applyBorder="1" applyAlignment="1" applyProtection="1">
      <alignment horizontal="left" vertical="center"/>
      <protection locked="0"/>
    </xf>
    <xf numFmtId="0" fontId="36" fillId="4" borderId="99" xfId="0" applyFont="1" applyFill="1" applyBorder="1" applyAlignment="1" applyProtection="1">
      <alignment horizontal="left" vertical="center"/>
      <protection locked="0"/>
    </xf>
    <xf numFmtId="0" fontId="36" fillId="0" borderId="94" xfId="0" applyNumberFormat="1" applyFont="1" applyFill="1" applyBorder="1" applyAlignment="1" applyProtection="1">
      <alignment horizontal="left" vertical="center"/>
      <protection locked="0"/>
    </xf>
    <xf numFmtId="4" fontId="10" fillId="2" borderId="43" xfId="0" applyNumberFormat="1" applyFont="1" applyFill="1" applyBorder="1" applyAlignment="1" applyProtection="1">
      <alignment vertical="center"/>
      <protection locked="0"/>
    </xf>
    <xf numFmtId="4" fontId="10" fillId="2" borderId="13" xfId="0" applyNumberFormat="1" applyFont="1" applyFill="1" applyBorder="1" applyAlignment="1" applyProtection="1">
      <alignment vertical="center"/>
      <protection locked="0"/>
    </xf>
    <xf numFmtId="2" fontId="10" fillId="11" borderId="43" xfId="0" applyNumberFormat="1" applyFont="1" applyFill="1" applyBorder="1" applyAlignment="1" applyProtection="1">
      <alignment vertical="center"/>
      <protection locked="0"/>
    </xf>
    <xf numFmtId="2" fontId="10" fillId="11" borderId="5" xfId="0" applyNumberFormat="1" applyFont="1" applyFill="1" applyBorder="1" applyAlignment="1" applyProtection="1">
      <alignment vertical="center"/>
      <protection locked="0"/>
    </xf>
    <xf numFmtId="2" fontId="16" fillId="11" borderId="5" xfId="0" applyNumberFormat="1" applyFont="1" applyFill="1" applyBorder="1" applyAlignment="1" applyProtection="1">
      <alignment vertical="center"/>
      <protection locked="0"/>
    </xf>
    <xf numFmtId="2" fontId="16" fillId="11" borderId="13" xfId="0" applyNumberFormat="1" applyFont="1" applyFill="1" applyBorder="1" applyAlignment="1" applyProtection="1">
      <alignment vertical="center"/>
      <protection locked="0"/>
    </xf>
    <xf numFmtId="3" fontId="16" fillId="12" borderId="49" xfId="0" applyNumberFormat="1" applyFont="1" applyFill="1" applyBorder="1" applyAlignment="1" applyProtection="1">
      <alignment horizontal="center" vertical="center"/>
      <protection locked="0"/>
    </xf>
    <xf numFmtId="4" fontId="17" fillId="2" borderId="43" xfId="0" applyNumberFormat="1" applyFont="1" applyFill="1" applyBorder="1" applyAlignment="1" applyProtection="1">
      <alignment horizontal="center" vertical="center"/>
      <protection locked="0"/>
    </xf>
    <xf numFmtId="4" fontId="17" fillId="2" borderId="5" xfId="0" applyNumberFormat="1" applyFont="1" applyFill="1" applyBorder="1" applyAlignment="1" applyProtection="1">
      <alignment horizontal="center" vertical="center"/>
      <protection locked="0"/>
    </xf>
    <xf numFmtId="4" fontId="17" fillId="2" borderId="13" xfId="0" applyNumberFormat="1" applyFont="1" applyFill="1" applyBorder="1" applyAlignment="1" applyProtection="1">
      <alignment horizontal="center" vertical="center"/>
      <protection locked="0"/>
    </xf>
    <xf numFmtId="4" fontId="20" fillId="2" borderId="26" xfId="0" applyNumberFormat="1" applyFont="1" applyFill="1" applyBorder="1" applyAlignment="1" applyProtection="1">
      <alignment horizontal="left" vertical="center"/>
      <protection locked="0"/>
    </xf>
    <xf numFmtId="4" fontId="20" fillId="2" borderId="5" xfId="0" applyNumberFormat="1" applyFont="1" applyFill="1" applyBorder="1" applyAlignment="1" applyProtection="1">
      <alignment horizontal="left" vertical="center"/>
      <protection locked="0"/>
    </xf>
    <xf numFmtId="4" fontId="20" fillId="2" borderId="13" xfId="0" applyNumberFormat="1" applyFont="1" applyFill="1" applyBorder="1" applyAlignment="1" applyProtection="1">
      <alignment horizontal="left" vertical="center"/>
      <protection locked="0"/>
    </xf>
    <xf numFmtId="3" fontId="20" fillId="2" borderId="49" xfId="0" applyNumberFormat="1" applyFont="1" applyFill="1" applyBorder="1" applyAlignment="1" applyProtection="1">
      <alignment horizontal="center" vertical="center"/>
      <protection locked="0"/>
    </xf>
    <xf numFmtId="4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" fontId="19" fillId="2" borderId="6" xfId="0" applyNumberFormat="1" applyFont="1" applyFill="1" applyBorder="1" applyAlignment="1" applyProtection="1">
      <alignment horizontal="center" vertical="center" wrapText="1"/>
      <protection locked="0"/>
    </xf>
    <xf numFmtId="4" fontId="19" fillId="2" borderId="8" xfId="0" applyNumberFormat="1" applyFont="1" applyFill="1" applyBorder="1" applyAlignment="1" applyProtection="1">
      <alignment horizontal="center" vertical="center" wrapText="1"/>
      <protection locked="0"/>
    </xf>
    <xf numFmtId="2" fontId="1" fillId="11" borderId="7" xfId="0" applyNumberFormat="1" applyFont="1" applyFill="1" applyBorder="1" applyAlignment="1" applyProtection="1">
      <alignment horizontal="center" vertical="center" wrapText="1"/>
      <protection locked="0"/>
    </xf>
    <xf numFmtId="2" fontId="41" fillId="11" borderId="11" xfId="0" applyNumberFormat="1" applyFont="1" applyFill="1" applyBorder="1" applyAlignment="1" applyProtection="1">
      <alignment horizontal="center" vertical="center" wrapText="1"/>
      <protection locked="0"/>
    </xf>
    <xf numFmtId="2" fontId="1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6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7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8" xfId="0" applyNumberFormat="1" applyFont="1" applyFill="1" applyBorder="1" applyAlignment="1" applyProtection="1">
      <alignment horizontal="center" vertical="center" wrapText="1"/>
      <protection locked="0"/>
    </xf>
    <xf numFmtId="4" fontId="29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29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6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4" fontId="20" fillId="45" borderId="94" xfId="0" applyNumberFormat="1" applyFont="1" applyFill="1" applyBorder="1" applyAlignment="1" applyProtection="1">
      <alignment horizontal="center" vertical="center"/>
      <protection locked="0"/>
    </xf>
    <xf numFmtId="4" fontId="20" fillId="46" borderId="94" xfId="0" applyNumberFormat="1" applyFont="1" applyFill="1" applyBorder="1" applyAlignment="1" applyProtection="1">
      <alignment horizontal="center" vertical="center"/>
      <protection locked="0"/>
    </xf>
    <xf numFmtId="4" fontId="36" fillId="45" borderId="94" xfId="0" applyNumberFormat="1" applyFont="1" applyFill="1" applyBorder="1" applyAlignment="1" applyProtection="1">
      <alignment horizontal="center" vertical="center"/>
      <protection locked="0"/>
    </xf>
    <xf numFmtId="4" fontId="36" fillId="46" borderId="94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3" fontId="47" fillId="0" borderId="19" xfId="0" applyNumberFormat="1" applyFont="1" applyFill="1" applyBorder="1" applyAlignment="1" applyProtection="1">
      <alignment horizontal="center" vertical="center"/>
    </xf>
    <xf numFmtId="0" fontId="37" fillId="0" borderId="19" xfId="0" applyFont="1" applyFill="1" applyBorder="1" applyAlignment="1" applyProtection="1">
      <alignment vertical="center"/>
    </xf>
    <xf numFmtId="4" fontId="36" fillId="0" borderId="19" xfId="0" applyNumberFormat="1" applyFont="1" applyFill="1" applyBorder="1" applyAlignment="1" applyProtection="1">
      <alignment horizontal="center" vertical="center"/>
    </xf>
    <xf numFmtId="0" fontId="20" fillId="0" borderId="94" xfId="0" applyFont="1" applyFill="1" applyBorder="1" applyAlignment="1" applyProtection="1">
      <alignment horizontal="center" vertical="center"/>
      <protection locked="0"/>
    </xf>
    <xf numFmtId="0" fontId="36" fillId="0" borderId="94" xfId="0" applyFont="1" applyFill="1" applyBorder="1" applyAlignment="1" applyProtection="1">
      <alignment horizontal="center" vertical="center"/>
    </xf>
    <xf numFmtId="0" fontId="115" fillId="0" borderId="94" xfId="0" applyFont="1" applyFill="1" applyBorder="1" applyAlignment="1" applyProtection="1">
      <alignment horizontal="left" vertical="center" wrapText="1"/>
    </xf>
    <xf numFmtId="4" fontId="37" fillId="0" borderId="94" xfId="0" applyNumberFormat="1" applyFont="1" applyFill="1" applyBorder="1" applyAlignment="1" applyProtection="1">
      <alignment horizontal="center" vertical="center"/>
    </xf>
    <xf numFmtId="2" fontId="36" fillId="0" borderId="94" xfId="0" applyNumberFormat="1" applyFont="1" applyFill="1" applyBorder="1" applyAlignment="1" applyProtection="1">
      <alignment horizontal="center" vertical="center"/>
      <protection locked="0"/>
    </xf>
    <xf numFmtId="4" fontId="33" fillId="0" borderId="94" xfId="0" applyNumberFormat="1" applyFont="1" applyFill="1" applyBorder="1" applyAlignment="1" applyProtection="1">
      <alignment horizontal="center" vertical="center"/>
    </xf>
    <xf numFmtId="4" fontId="33" fillId="0" borderId="94" xfId="0" applyNumberFormat="1" applyFont="1" applyFill="1" applyBorder="1" applyAlignment="1" applyProtection="1">
      <alignment horizontal="center" vertical="center"/>
      <protection locked="0"/>
    </xf>
    <xf numFmtId="4" fontId="82" fillId="0" borderId="94" xfId="0" applyNumberFormat="1" applyFont="1" applyFill="1" applyBorder="1" applyAlignment="1" applyProtection="1">
      <alignment horizontal="center" vertical="center"/>
      <protection locked="0"/>
    </xf>
    <xf numFmtId="0" fontId="36" fillId="2" borderId="94" xfId="0" applyFont="1" applyFill="1" applyBorder="1" applyAlignment="1" applyProtection="1">
      <alignment horizontal="center" vertical="center"/>
    </xf>
    <xf numFmtId="4" fontId="36" fillId="2" borderId="94" xfId="0" applyNumberFormat="1" applyFont="1" applyFill="1" applyBorder="1" applyAlignment="1" applyProtection="1">
      <alignment horizontal="center" vertical="center"/>
    </xf>
    <xf numFmtId="0" fontId="9" fillId="0" borderId="94" xfId="0" applyFont="1" applyFill="1" applyBorder="1" applyAlignment="1" applyProtection="1">
      <alignment horizontal="left" vertical="center" wrapText="1"/>
    </xf>
    <xf numFmtId="0" fontId="19" fillId="2" borderId="94" xfId="0" applyFont="1" applyFill="1" applyBorder="1" applyAlignment="1" applyProtection="1">
      <alignment horizontal="left" vertical="center" wrapText="1"/>
    </xf>
    <xf numFmtId="1" fontId="36" fillId="0" borderId="94" xfId="0" applyNumberFormat="1" applyFont="1" applyFill="1" applyBorder="1" applyAlignment="1" applyProtection="1">
      <alignment horizontal="left" vertical="center"/>
    </xf>
    <xf numFmtId="0" fontId="19" fillId="0" borderId="94" xfId="0" applyFont="1" applyFill="1" applyBorder="1" applyAlignment="1" applyProtection="1">
      <alignment horizontal="left" vertical="center" wrapText="1"/>
    </xf>
    <xf numFmtId="0" fontId="20" fillId="45" borderId="94" xfId="0" applyFont="1" applyFill="1" applyBorder="1" applyAlignment="1" applyProtection="1">
      <alignment horizontal="center" vertical="center"/>
      <protection locked="0"/>
    </xf>
    <xf numFmtId="3" fontId="47" fillId="45" borderId="94" xfId="0" applyNumberFormat="1" applyFont="1" applyFill="1" applyBorder="1" applyAlignment="1" applyProtection="1">
      <alignment horizontal="center" vertical="center"/>
    </xf>
    <xf numFmtId="0" fontId="37" fillId="45" borderId="94" xfId="0" applyFont="1" applyFill="1" applyBorder="1" applyAlignment="1" applyProtection="1">
      <alignment vertical="center"/>
    </xf>
    <xf numFmtId="0" fontId="36" fillId="45" borderId="94" xfId="0" applyFont="1" applyFill="1" applyBorder="1" applyAlignment="1" applyProtection="1">
      <alignment horizontal="center" vertical="center"/>
      <protection locked="0"/>
    </xf>
    <xf numFmtId="14" fontId="36" fillId="45" borderId="94" xfId="0" applyNumberFormat="1" applyFont="1" applyFill="1" applyBorder="1" applyAlignment="1" applyProtection="1">
      <alignment horizontal="center" vertical="center"/>
      <protection locked="0"/>
    </xf>
    <xf numFmtId="1" fontId="36" fillId="45" borderId="94" xfId="0" applyNumberFormat="1" applyFont="1" applyFill="1" applyBorder="1" applyAlignment="1" applyProtection="1">
      <alignment horizontal="center" vertical="center"/>
    </xf>
    <xf numFmtId="1" fontId="36" fillId="45" borderId="94" xfId="0" applyNumberFormat="1" applyFont="1" applyFill="1" applyBorder="1" applyAlignment="1" applyProtection="1">
      <alignment horizontal="center" vertical="center"/>
      <protection locked="0"/>
    </xf>
    <xf numFmtId="1" fontId="36" fillId="45" borderId="94" xfId="0" applyNumberFormat="1" applyFont="1" applyFill="1" applyBorder="1" applyAlignment="1" applyProtection="1">
      <alignment horizontal="left" vertical="center" wrapText="1"/>
    </xf>
    <xf numFmtId="0" fontId="9" fillId="45" borderId="94" xfId="0" applyFont="1" applyFill="1" applyBorder="1" applyAlignment="1" applyProtection="1">
      <alignment horizontal="left" vertical="center" wrapText="1"/>
    </xf>
    <xf numFmtId="0" fontId="36" fillId="45" borderId="94" xfId="0" applyFont="1" applyFill="1" applyBorder="1" applyAlignment="1" applyProtection="1">
      <alignment horizontal="center" vertical="center"/>
    </xf>
    <xf numFmtId="0" fontId="37" fillId="45" borderId="94" xfId="0" applyFont="1" applyFill="1" applyBorder="1" applyAlignment="1" applyProtection="1">
      <alignment horizontal="center" vertical="center"/>
      <protection locked="0"/>
    </xf>
    <xf numFmtId="4" fontId="36" fillId="45" borderId="94" xfId="0" applyNumberFormat="1" applyFont="1" applyFill="1" applyBorder="1" applyAlignment="1" applyProtection="1">
      <alignment horizontal="center" vertical="center"/>
    </xf>
    <xf numFmtId="3" fontId="36" fillId="45" borderId="94" xfId="0" applyNumberFormat="1" applyFont="1" applyFill="1" applyBorder="1" applyAlignment="1" applyProtection="1">
      <alignment horizontal="center" vertical="center"/>
      <protection locked="0"/>
    </xf>
    <xf numFmtId="2" fontId="36" fillId="45" borderId="94" xfId="0" applyNumberFormat="1" applyFont="1" applyFill="1" applyBorder="1" applyAlignment="1" applyProtection="1">
      <alignment horizontal="center" vertical="center"/>
    </xf>
    <xf numFmtId="2" fontId="36" fillId="45" borderId="94" xfId="0" applyNumberFormat="1" applyFont="1" applyFill="1" applyBorder="1" applyAlignment="1" applyProtection="1">
      <alignment horizontal="center" vertical="center"/>
      <protection locked="0"/>
    </xf>
    <xf numFmtId="3" fontId="1" fillId="45" borderId="94" xfId="0" applyNumberFormat="1" applyFont="1" applyFill="1" applyBorder="1" applyAlignment="1" applyProtection="1">
      <alignment horizontal="center" vertical="center"/>
      <protection locked="0"/>
    </xf>
    <xf numFmtId="4" fontId="33" fillId="45" borderId="94" xfId="0" applyNumberFormat="1" applyFont="1" applyFill="1" applyBorder="1" applyAlignment="1" applyProtection="1">
      <alignment horizontal="center" vertical="center"/>
      <protection locked="0"/>
    </xf>
    <xf numFmtId="4" fontId="82" fillId="45" borderId="94" xfId="0" applyNumberFormat="1" applyFont="1" applyFill="1" applyBorder="1" applyAlignment="1" applyProtection="1">
      <alignment horizontal="center" vertical="center"/>
      <protection locked="0"/>
    </xf>
    <xf numFmtId="4" fontId="20" fillId="45" borderId="104" xfId="0" applyNumberFormat="1" applyFont="1" applyFill="1" applyBorder="1" applyAlignment="1" applyProtection="1">
      <alignment horizontal="center" vertical="center"/>
      <protection locked="0"/>
    </xf>
    <xf numFmtId="14" fontId="37" fillId="45" borderId="94" xfId="0" applyNumberFormat="1" applyFont="1" applyFill="1" applyBorder="1" applyAlignment="1" applyProtection="1">
      <alignment horizontal="center" vertical="center"/>
    </xf>
    <xf numFmtId="0" fontId="37" fillId="45" borderId="94" xfId="0" applyFont="1" applyFill="1" applyBorder="1" applyAlignment="1" applyProtection="1">
      <alignment horizontal="left" vertical="center" wrapText="1"/>
    </xf>
    <xf numFmtId="4" fontId="37" fillId="45" borderId="94" xfId="0" applyNumberFormat="1" applyFont="1" applyFill="1" applyBorder="1" applyAlignment="1" applyProtection="1">
      <alignment horizontal="center" vertical="center"/>
    </xf>
    <xf numFmtId="0" fontId="36" fillId="45" borderId="94" xfId="0" applyFont="1" applyFill="1" applyBorder="1" applyAlignment="1" applyProtection="1">
      <alignment vertical="center"/>
    </xf>
    <xf numFmtId="1" fontId="36" fillId="0" borderId="94" xfId="0" applyNumberFormat="1" applyFont="1" applyFill="1" applyBorder="1" applyAlignment="1" applyProtection="1">
      <alignment vertical="center"/>
      <protection locked="0"/>
    </xf>
    <xf numFmtId="1" fontId="36" fillId="0" borderId="94" xfId="0" applyNumberFormat="1" applyFont="1" applyFill="1" applyBorder="1" applyAlignment="1" applyProtection="1">
      <alignment horizontal="left" vertical="center"/>
      <protection locked="0"/>
    </xf>
    <xf numFmtId="0" fontId="20" fillId="46" borderId="94" xfId="0" applyFont="1" applyFill="1" applyBorder="1" applyAlignment="1" applyProtection="1">
      <alignment horizontal="center" vertical="center"/>
      <protection locked="0"/>
    </xf>
    <xf numFmtId="3" fontId="47" fillId="46" borderId="94" xfId="0" applyNumberFormat="1" applyFont="1" applyFill="1" applyBorder="1" applyAlignment="1" applyProtection="1">
      <alignment horizontal="center" vertical="center"/>
    </xf>
    <xf numFmtId="0" fontId="37" fillId="46" borderId="94" xfId="0" applyFont="1" applyFill="1" applyBorder="1" applyAlignment="1" applyProtection="1">
      <alignment vertical="center"/>
    </xf>
    <xf numFmtId="0" fontId="36" fillId="46" borderId="94" xfId="0" applyFont="1" applyFill="1" applyBorder="1" applyAlignment="1" applyProtection="1">
      <alignment horizontal="center" vertical="center"/>
      <protection locked="0"/>
    </xf>
    <xf numFmtId="14" fontId="37" fillId="46" borderId="94" xfId="0" applyNumberFormat="1" applyFont="1" applyFill="1" applyBorder="1" applyAlignment="1" applyProtection="1">
      <alignment horizontal="center" vertical="center"/>
    </xf>
    <xf numFmtId="1" fontId="36" fillId="46" borderId="94" xfId="0" applyNumberFormat="1" applyFont="1" applyFill="1" applyBorder="1" applyAlignment="1" applyProtection="1">
      <alignment horizontal="center" vertical="center"/>
    </xf>
    <xf numFmtId="1" fontId="36" fillId="46" borderId="94" xfId="0" applyNumberFormat="1" applyFont="1" applyFill="1" applyBorder="1" applyAlignment="1" applyProtection="1">
      <alignment horizontal="center" vertical="center"/>
      <protection locked="0"/>
    </xf>
    <xf numFmtId="1" fontId="36" fillId="46" borderId="94" xfId="0" applyNumberFormat="1" applyFont="1" applyFill="1" applyBorder="1" applyAlignment="1" applyProtection="1">
      <alignment horizontal="left" vertical="center" wrapText="1"/>
    </xf>
    <xf numFmtId="0" fontId="36" fillId="46" borderId="94" xfId="0" applyFont="1" applyFill="1" applyBorder="1" applyAlignment="1" applyProtection="1">
      <alignment vertical="center"/>
      <protection locked="0"/>
    </xf>
    <xf numFmtId="0" fontId="36" fillId="46" borderId="94" xfId="0" applyFont="1" applyFill="1" applyBorder="1" applyAlignment="1" applyProtection="1">
      <alignment horizontal="center" vertical="center"/>
    </xf>
    <xf numFmtId="0" fontId="19" fillId="46" borderId="94" xfId="0" applyFont="1" applyFill="1" applyBorder="1" applyAlignment="1" applyProtection="1">
      <alignment horizontal="left" vertical="center" wrapText="1"/>
    </xf>
    <xf numFmtId="0" fontId="37" fillId="46" borderId="94" xfId="0" applyFont="1" applyFill="1" applyBorder="1" applyAlignment="1" applyProtection="1">
      <alignment horizontal="center" vertical="center"/>
      <protection locked="0"/>
    </xf>
    <xf numFmtId="4" fontId="36" fillId="46" borderId="94" xfId="0" applyNumberFormat="1" applyFont="1" applyFill="1" applyBorder="1" applyAlignment="1" applyProtection="1">
      <alignment horizontal="center" vertical="center"/>
    </xf>
    <xf numFmtId="3" fontId="36" fillId="46" borderId="94" xfId="0" applyNumberFormat="1" applyFont="1" applyFill="1" applyBorder="1" applyAlignment="1" applyProtection="1">
      <alignment horizontal="center" vertical="center"/>
      <protection locked="0"/>
    </xf>
    <xf numFmtId="2" fontId="36" fillId="46" borderId="94" xfId="0" applyNumberFormat="1" applyFont="1" applyFill="1" applyBorder="1" applyAlignment="1" applyProtection="1">
      <alignment horizontal="center" vertical="center"/>
    </xf>
    <xf numFmtId="2" fontId="36" fillId="46" borderId="94" xfId="0" applyNumberFormat="1" applyFont="1" applyFill="1" applyBorder="1" applyAlignment="1" applyProtection="1">
      <alignment horizontal="center" vertical="center"/>
      <protection locked="0"/>
    </xf>
    <xf numFmtId="3" fontId="1" fillId="46" borderId="94" xfId="0" applyNumberFormat="1" applyFont="1" applyFill="1" applyBorder="1" applyAlignment="1" applyProtection="1">
      <alignment horizontal="center" vertical="center"/>
      <protection locked="0"/>
    </xf>
    <xf numFmtId="4" fontId="33" fillId="46" borderId="94" xfId="0" applyNumberFormat="1" applyFont="1" applyFill="1" applyBorder="1" applyAlignment="1" applyProtection="1">
      <alignment horizontal="center" vertical="center"/>
      <protection locked="0"/>
    </xf>
    <xf numFmtId="4" fontId="82" fillId="46" borderId="94" xfId="0" applyNumberFormat="1" applyFont="1" applyFill="1" applyBorder="1" applyAlignment="1" applyProtection="1">
      <alignment horizontal="center" vertical="center"/>
      <protection locked="0"/>
    </xf>
    <xf numFmtId="4" fontId="20" fillId="46" borderId="104" xfId="0" applyNumberFormat="1" applyFont="1" applyFill="1" applyBorder="1" applyAlignment="1" applyProtection="1">
      <alignment horizontal="center" vertical="center"/>
      <protection locked="0"/>
    </xf>
    <xf numFmtId="0" fontId="19" fillId="0" borderId="94" xfId="0" applyFont="1" applyFill="1" applyBorder="1" applyAlignment="1" applyProtection="1">
      <alignment horizontal="center" vertical="center" wrapText="1"/>
    </xf>
    <xf numFmtId="4" fontId="20" fillId="45" borderId="94" xfId="0" applyNumberFormat="1" applyFont="1" applyFill="1" applyBorder="1" applyAlignment="1" applyProtection="1">
      <alignment horizontal="center" vertical="center"/>
    </xf>
    <xf numFmtId="0" fontId="20" fillId="41" borderId="94" xfId="0" applyFont="1" applyFill="1" applyBorder="1" applyAlignment="1" applyProtection="1">
      <alignment horizontal="center" vertical="center"/>
      <protection locked="0"/>
    </xf>
    <xf numFmtId="3" fontId="47" fillId="41" borderId="94" xfId="0" applyNumberFormat="1" applyFont="1" applyFill="1" applyBorder="1" applyAlignment="1" applyProtection="1">
      <alignment horizontal="center" vertical="center"/>
    </xf>
    <xf numFmtId="0" fontId="37" fillId="41" borderId="94" xfId="0" applyFont="1" applyFill="1" applyBorder="1" applyAlignment="1" applyProtection="1">
      <alignment vertical="center"/>
    </xf>
    <xf numFmtId="0" fontId="36" fillId="41" borderId="94" xfId="0" applyFont="1" applyFill="1" applyBorder="1" applyAlignment="1" applyProtection="1">
      <alignment horizontal="center" vertical="center"/>
      <protection locked="0"/>
    </xf>
    <xf numFmtId="14" fontId="37" fillId="41" borderId="94" xfId="0" applyNumberFormat="1" applyFont="1" applyFill="1" applyBorder="1" applyAlignment="1" applyProtection="1">
      <alignment horizontal="center" vertical="center"/>
    </xf>
    <xf numFmtId="1" fontId="36" fillId="41" borderId="94" xfId="0" applyNumberFormat="1" applyFont="1" applyFill="1" applyBorder="1" applyAlignment="1" applyProtection="1">
      <alignment horizontal="center" vertical="center"/>
    </xf>
    <xf numFmtId="1" fontId="36" fillId="41" borderId="94" xfId="0" applyNumberFormat="1" applyFont="1" applyFill="1" applyBorder="1" applyAlignment="1" applyProtection="1">
      <alignment horizontal="center" vertical="center"/>
      <protection locked="0"/>
    </xf>
    <xf numFmtId="1" fontId="36" fillId="41" borderId="94" xfId="0" applyNumberFormat="1" applyFont="1" applyFill="1" applyBorder="1" applyAlignment="1" applyProtection="1">
      <alignment horizontal="left" vertical="center" wrapText="1"/>
    </xf>
    <xf numFmtId="0" fontId="36" fillId="41" borderId="94" xfId="0" applyFont="1" applyFill="1" applyBorder="1" applyAlignment="1" applyProtection="1">
      <alignment vertical="center"/>
      <protection locked="0"/>
    </xf>
    <xf numFmtId="0" fontId="37" fillId="41" borderId="94" xfId="0" applyFont="1" applyFill="1" applyBorder="1" applyAlignment="1" applyProtection="1">
      <alignment horizontal="center" vertical="center"/>
      <protection locked="0"/>
    </xf>
    <xf numFmtId="4" fontId="36" fillId="41" borderId="94" xfId="0" applyNumberFormat="1" applyFont="1" applyFill="1" applyBorder="1" applyAlignment="1" applyProtection="1">
      <alignment horizontal="center" vertical="center"/>
    </xf>
    <xf numFmtId="4" fontId="36" fillId="41" borderId="94" xfId="0" applyNumberFormat="1" applyFont="1" applyFill="1" applyBorder="1" applyAlignment="1" applyProtection="1">
      <alignment horizontal="center" vertical="center"/>
      <protection locked="0"/>
    </xf>
    <xf numFmtId="2" fontId="36" fillId="41" borderId="94" xfId="0" applyNumberFormat="1" applyFont="1" applyFill="1" applyBorder="1" applyAlignment="1" applyProtection="1">
      <alignment horizontal="center" vertical="center"/>
    </xf>
    <xf numFmtId="3" fontId="36" fillId="41" borderId="94" xfId="0" applyNumberFormat="1" applyFont="1" applyFill="1" applyBorder="1" applyAlignment="1" applyProtection="1">
      <alignment horizontal="center" vertical="center"/>
      <protection locked="0"/>
    </xf>
    <xf numFmtId="2" fontId="36" fillId="41" borderId="94" xfId="0" applyNumberFormat="1" applyFont="1" applyFill="1" applyBorder="1" applyAlignment="1" applyProtection="1">
      <alignment horizontal="center" vertical="center"/>
      <protection locked="0"/>
    </xf>
    <xf numFmtId="3" fontId="1" fillId="41" borderId="94" xfId="0" applyNumberFormat="1" applyFont="1" applyFill="1" applyBorder="1" applyAlignment="1" applyProtection="1">
      <alignment horizontal="center" vertical="center"/>
      <protection locked="0"/>
    </xf>
    <xf numFmtId="4" fontId="20" fillId="41" borderId="94" xfId="0" applyNumberFormat="1" applyFont="1" applyFill="1" applyBorder="1" applyAlignment="1" applyProtection="1">
      <alignment horizontal="center" vertical="center"/>
      <protection locked="0"/>
    </xf>
    <xf numFmtId="3" fontId="47" fillId="0" borderId="94" xfId="0" applyNumberFormat="1" applyFont="1" applyFill="1" applyBorder="1" applyAlignment="1" applyProtection="1">
      <alignment horizontal="center" vertical="center" wrapText="1"/>
    </xf>
    <xf numFmtId="166" fontId="37" fillId="0" borderId="94" xfId="0" quotePrefix="1" applyNumberFormat="1" applyFont="1" applyFill="1" applyBorder="1" applyAlignment="1" applyProtection="1">
      <alignment horizontal="center" vertical="center"/>
      <protection locked="0"/>
    </xf>
    <xf numFmtId="0" fontId="36" fillId="0" borderId="94" xfId="0" applyFont="1" applyFill="1" applyBorder="1" applyAlignment="1" applyProtection="1">
      <alignment horizontal="left" vertical="center" wrapText="1"/>
    </xf>
    <xf numFmtId="0" fontId="36" fillId="0" borderId="94" xfId="0" applyFont="1" applyFill="1" applyBorder="1" applyAlignment="1" applyProtection="1">
      <alignment horizontal="right" vertical="center"/>
    </xf>
    <xf numFmtId="0" fontId="36" fillId="0" borderId="17" xfId="0" applyFont="1" applyFill="1" applyBorder="1" applyAlignment="1" applyProtection="1">
      <alignment horizontal="center" vertical="center"/>
      <protection locked="0"/>
    </xf>
    <xf numFmtId="1" fontId="36" fillId="0" borderId="22" xfId="0" applyNumberFormat="1" applyFont="1" applyFill="1" applyBorder="1" applyAlignment="1" applyProtection="1">
      <alignment horizontal="center" vertical="center"/>
    </xf>
    <xf numFmtId="0" fontId="36" fillId="0" borderId="22" xfId="0" applyFont="1" applyFill="1" applyBorder="1" applyAlignment="1" applyProtection="1">
      <alignment horizontal="center" vertical="center"/>
    </xf>
    <xf numFmtId="0" fontId="19" fillId="0" borderId="22" xfId="0" applyFont="1" applyFill="1" applyBorder="1" applyAlignment="1" applyProtection="1">
      <alignment horizontal="left" vertical="center" wrapText="1"/>
      <protection locked="0"/>
    </xf>
    <xf numFmtId="4" fontId="37" fillId="0" borderId="22" xfId="0" applyNumberFormat="1" applyFont="1" applyFill="1" applyBorder="1" applyAlignment="1" applyProtection="1">
      <alignment horizontal="center" vertical="center"/>
    </xf>
    <xf numFmtId="2" fontId="36" fillId="0" borderId="22" xfId="0" applyNumberFormat="1" applyFont="1" applyFill="1" applyBorder="1" applyAlignment="1" applyProtection="1">
      <alignment horizontal="center" vertical="center"/>
    </xf>
    <xf numFmtId="2" fontId="36" fillId="0" borderId="22" xfId="0" applyNumberFormat="1" applyFont="1" applyFill="1" applyBorder="1" applyAlignment="1" applyProtection="1">
      <alignment horizontal="center" vertical="center"/>
      <protection locked="0"/>
    </xf>
    <xf numFmtId="3" fontId="1" fillId="0" borderId="22" xfId="0" applyNumberFormat="1" applyFont="1" applyFill="1" applyBorder="1" applyAlignment="1" applyProtection="1">
      <alignment horizontal="center" vertical="center"/>
      <protection locked="0"/>
    </xf>
    <xf numFmtId="4" fontId="33" fillId="0" borderId="22" xfId="0" applyNumberFormat="1" applyFont="1" applyFill="1" applyBorder="1" applyAlignment="1" applyProtection="1">
      <alignment horizontal="center" vertical="center"/>
    </xf>
    <xf numFmtId="4" fontId="33" fillId="0" borderId="22" xfId="0" applyNumberFormat="1" applyFont="1" applyFill="1" applyBorder="1" applyAlignment="1" applyProtection="1">
      <alignment horizontal="center" vertical="center"/>
      <protection locked="0"/>
    </xf>
    <xf numFmtId="4" fontId="82" fillId="0" borderId="22" xfId="0" applyNumberFormat="1" applyFont="1" applyFill="1" applyBorder="1" applyAlignment="1" applyProtection="1">
      <alignment horizontal="center" vertical="center"/>
      <protection locked="0"/>
    </xf>
    <xf numFmtId="0" fontId="36" fillId="0" borderId="15" xfId="0" applyFont="1" applyFill="1" applyBorder="1" applyAlignment="1" applyProtection="1">
      <alignment horizontal="center" vertical="center"/>
      <protection locked="0"/>
    </xf>
    <xf numFmtId="1" fontId="36" fillId="0" borderId="19" xfId="0" applyNumberFormat="1" applyFont="1" applyFill="1" applyBorder="1" applyAlignment="1" applyProtection="1">
      <alignment horizontal="center" vertical="center"/>
    </xf>
    <xf numFmtId="1" fontId="36" fillId="0" borderId="19" xfId="0" applyNumberFormat="1" applyFont="1" applyFill="1" applyBorder="1" applyAlignment="1" applyProtection="1">
      <alignment horizontal="left" vertical="center" wrapText="1"/>
    </xf>
    <xf numFmtId="0" fontId="36" fillId="0" borderId="19" xfId="0" applyFont="1" applyFill="1" applyBorder="1" applyAlignment="1" applyProtection="1">
      <alignment horizontal="center" vertical="center"/>
    </xf>
    <xf numFmtId="0" fontId="19" fillId="0" borderId="19" xfId="0" applyFont="1" applyFill="1" applyBorder="1" applyAlignment="1" applyProtection="1">
      <alignment horizontal="left" vertical="center" wrapText="1"/>
    </xf>
    <xf numFmtId="4" fontId="37" fillId="0" borderId="19" xfId="0" applyNumberFormat="1" applyFont="1" applyFill="1" applyBorder="1" applyAlignment="1" applyProtection="1">
      <alignment horizontal="center" vertical="center"/>
    </xf>
    <xf numFmtId="2" fontId="36" fillId="0" borderId="19" xfId="0" applyNumberFormat="1" applyFont="1" applyFill="1" applyBorder="1" applyAlignment="1" applyProtection="1">
      <alignment horizontal="center" vertical="center"/>
    </xf>
    <xf numFmtId="2" fontId="36" fillId="0" borderId="19" xfId="0" applyNumberFormat="1" applyFont="1" applyFill="1" applyBorder="1" applyAlignment="1" applyProtection="1">
      <alignment horizontal="center" vertical="center"/>
      <protection locked="0"/>
    </xf>
    <xf numFmtId="3" fontId="1" fillId="0" borderId="19" xfId="0" applyNumberFormat="1" applyFont="1" applyFill="1" applyBorder="1" applyAlignment="1" applyProtection="1">
      <alignment horizontal="center" vertical="center"/>
      <protection locked="0"/>
    </xf>
    <xf numFmtId="4" fontId="33" fillId="0" borderId="19" xfId="0" applyNumberFormat="1" applyFont="1" applyFill="1" applyBorder="1" applyAlignment="1" applyProtection="1">
      <alignment horizontal="center" vertical="center"/>
    </xf>
    <xf numFmtId="4" fontId="33" fillId="0" borderId="19" xfId="0" applyNumberFormat="1" applyFont="1" applyFill="1" applyBorder="1" applyAlignment="1" applyProtection="1">
      <alignment horizontal="center" vertical="center"/>
      <protection locked="0"/>
    </xf>
    <xf numFmtId="4" fontId="82" fillId="0" borderId="19" xfId="0" applyNumberFormat="1" applyFont="1" applyFill="1" applyBorder="1" applyAlignment="1" applyProtection="1">
      <alignment horizontal="center" vertical="center"/>
      <protection locked="0"/>
    </xf>
    <xf numFmtId="4" fontId="20" fillId="0" borderId="20" xfId="0" applyNumberFormat="1" applyFont="1" applyFill="1" applyBorder="1" applyAlignment="1" applyProtection="1">
      <alignment horizontal="center" vertical="center"/>
      <protection locked="0"/>
    </xf>
    <xf numFmtId="0" fontId="115" fillId="0" borderId="22" xfId="0" applyFont="1" applyFill="1" applyBorder="1" applyAlignment="1" applyProtection="1">
      <alignment horizontal="left" vertical="center" wrapText="1"/>
    </xf>
    <xf numFmtId="4" fontId="20" fillId="0" borderId="94" xfId="0" applyNumberFormat="1" applyFont="1" applyFill="1" applyBorder="1" applyAlignment="1" applyProtection="1">
      <alignment horizontal="center" vertical="center"/>
    </xf>
    <xf numFmtId="0" fontId="36" fillId="0" borderId="22" xfId="0" applyFont="1" applyFill="1" applyBorder="1" applyAlignment="1" applyProtection="1">
      <alignment horizontal="left" vertical="center" wrapText="1"/>
    </xf>
    <xf numFmtId="0" fontId="36" fillId="0" borderId="19" xfId="0" applyFont="1" applyFill="1" applyBorder="1" applyAlignment="1" applyProtection="1">
      <alignment horizontal="left" vertical="center" wrapText="1"/>
    </xf>
    <xf numFmtId="4" fontId="33" fillId="41" borderId="94" xfId="0" applyNumberFormat="1" applyFont="1" applyFill="1" applyBorder="1" applyAlignment="1" applyProtection="1">
      <alignment horizontal="center" vertical="center"/>
      <protection locked="0"/>
    </xf>
    <xf numFmtId="4" fontId="82" fillId="41" borderId="94" xfId="0" applyNumberFormat="1" applyFont="1" applyFill="1" applyBorder="1" applyAlignment="1" applyProtection="1">
      <alignment horizontal="center" vertical="center"/>
      <protection locked="0"/>
    </xf>
    <xf numFmtId="4" fontId="20" fillId="41" borderId="104" xfId="0" applyNumberFormat="1" applyFont="1" applyFill="1" applyBorder="1" applyAlignment="1" applyProtection="1">
      <alignment horizontal="center" vertical="center"/>
      <protection locked="0"/>
    </xf>
    <xf numFmtId="4" fontId="36" fillId="41" borderId="1" xfId="0" applyNumberFormat="1" applyFont="1" applyFill="1" applyBorder="1" applyAlignment="1" applyProtection="1">
      <alignment vertical="center"/>
      <protection locked="0"/>
    </xf>
    <xf numFmtId="4" fontId="36" fillId="41" borderId="1" xfId="0" applyNumberFormat="1" applyFont="1" applyFill="1" applyBorder="1" applyAlignment="1" applyProtection="1">
      <alignment horizontal="center" vertical="center"/>
      <protection locked="0"/>
    </xf>
    <xf numFmtId="0" fontId="36" fillId="41" borderId="1" xfId="0" applyFont="1" applyFill="1" applyBorder="1" applyAlignment="1" applyProtection="1">
      <alignment horizontal="center" vertical="center"/>
      <protection locked="0"/>
    </xf>
    <xf numFmtId="4" fontId="1" fillId="41" borderId="0" xfId="0" applyNumberFormat="1" applyFont="1" applyFill="1" applyAlignment="1" applyProtection="1">
      <alignment vertical="center"/>
      <protection locked="0"/>
    </xf>
    <xf numFmtId="0" fontId="87" fillId="0" borderId="94" xfId="0" applyFont="1" applyFill="1" applyBorder="1" applyAlignment="1">
      <alignment horizontal="left"/>
    </xf>
    <xf numFmtId="4" fontId="36" fillId="4" borderId="0" xfId="0" applyNumberFormat="1" applyFont="1" applyFill="1" applyBorder="1" applyAlignment="1" applyProtection="1">
      <alignment horizontal="center" vertical="center"/>
      <protection locked="0"/>
    </xf>
    <xf numFmtId="4" fontId="20" fillId="8" borderId="0" xfId="0" applyNumberFormat="1" applyFont="1" applyFill="1" applyBorder="1" applyAlignment="1" applyProtection="1">
      <alignment horizontal="center" vertical="center"/>
      <protection locked="0"/>
    </xf>
    <xf numFmtId="4" fontId="38" fillId="8" borderId="0" xfId="0" applyNumberFormat="1" applyFont="1" applyFill="1" applyBorder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4" fontId="22" fillId="46" borderId="89" xfId="11" applyNumberFormat="1" applyFont="1" applyFill="1" applyBorder="1" applyAlignment="1">
      <alignment horizontal="center" vertical="center" wrapText="1"/>
    </xf>
    <xf numFmtId="4" fontId="22" fillId="46" borderId="94" xfId="11" applyNumberFormat="1" applyFont="1" applyFill="1" applyBorder="1" applyAlignment="1">
      <alignment horizontal="center" vertical="center" wrapText="1"/>
    </xf>
    <xf numFmtId="0" fontId="1" fillId="0" borderId="29" xfId="0" applyFont="1" applyFill="1" applyBorder="1" applyProtection="1">
      <protection locked="0"/>
    </xf>
    <xf numFmtId="2" fontId="16" fillId="0" borderId="102" xfId="0" applyNumberFormat="1" applyFont="1" applyFill="1" applyBorder="1" applyAlignment="1" applyProtection="1">
      <alignment vertical="center"/>
      <protection locked="0"/>
    </xf>
    <xf numFmtId="3" fontId="50" fillId="0" borderId="102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14" fontId="36" fillId="0" borderId="94" xfId="0" applyNumberFormat="1" applyFont="1" applyFill="1" applyBorder="1" applyAlignment="1" applyProtection="1">
      <alignment horizontal="center"/>
      <protection locked="0"/>
    </xf>
    <xf numFmtId="0" fontId="36" fillId="0" borderId="94" xfId="0" applyFont="1" applyFill="1" applyBorder="1" applyProtection="1">
      <protection locked="0"/>
    </xf>
    <xf numFmtId="14" fontId="36" fillId="0" borderId="7" xfId="0" applyNumberFormat="1" applyFont="1" applyFill="1" applyBorder="1" applyAlignment="1" applyProtection="1">
      <alignment horizontal="left"/>
      <protection locked="0"/>
    </xf>
    <xf numFmtId="1" fontId="36" fillId="0" borderId="7" xfId="0" applyNumberFormat="1" applyFont="1" applyFill="1" applyBorder="1" applyAlignment="1" applyProtection="1">
      <alignment horizontal="left"/>
      <protection locked="0"/>
    </xf>
    <xf numFmtId="0" fontId="36" fillId="0" borderId="7" xfId="0" applyFont="1" applyFill="1" applyBorder="1" applyProtection="1">
      <protection locked="0"/>
    </xf>
    <xf numFmtId="2" fontId="36" fillId="0" borderId="44" xfId="0" applyNumberFormat="1" applyFont="1" applyFill="1" applyBorder="1" applyAlignment="1" applyProtection="1">
      <alignment horizontal="center" vertical="center"/>
      <protection locked="0"/>
    </xf>
    <xf numFmtId="0" fontId="111" fillId="0" borderId="7" xfId="0" applyFont="1" applyFill="1" applyBorder="1" applyAlignment="1" applyProtection="1">
      <alignment horizontal="left"/>
    </xf>
    <xf numFmtId="4" fontId="20" fillId="0" borderId="109" xfId="0" applyNumberFormat="1" applyFont="1" applyFill="1" applyBorder="1" applyAlignment="1" applyProtection="1">
      <alignment horizontal="center" vertical="center"/>
      <protection locked="0"/>
    </xf>
    <xf numFmtId="0" fontId="17" fillId="0" borderId="3" xfId="0" applyFont="1" applyFill="1" applyBorder="1" applyAlignment="1" applyProtection="1">
      <alignment horizontal="left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4" fontId="15" fillId="0" borderId="0" xfId="0" applyNumberFormat="1" applyFont="1" applyFill="1" applyAlignment="1" applyProtection="1">
      <alignment vertical="center"/>
      <protection locked="0"/>
    </xf>
    <xf numFmtId="3" fontId="36" fillId="55" borderId="94" xfId="0" applyNumberFormat="1" applyFont="1" applyFill="1" applyBorder="1" applyAlignment="1" applyProtection="1">
      <alignment horizontal="center" vertical="center"/>
      <protection locked="0"/>
    </xf>
    <xf numFmtId="3" fontId="37" fillId="55" borderId="94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4" fontId="36" fillId="0" borderId="67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>
      <alignment horizontal="center"/>
    </xf>
    <xf numFmtId="0" fontId="36" fillId="0" borderId="94" xfId="0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4" fontId="10" fillId="0" borderId="76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36" fillId="0" borderId="34" xfId="0" applyFont="1" applyFill="1" applyBorder="1" applyAlignment="1" applyProtection="1">
      <alignment vertical="center"/>
      <protection locked="0"/>
    </xf>
    <xf numFmtId="0" fontId="36" fillId="0" borderId="74" xfId="0" applyFont="1" applyFill="1" applyBorder="1" applyAlignment="1" applyProtection="1">
      <alignment vertical="center"/>
      <protection locked="0"/>
    </xf>
    <xf numFmtId="1" fontId="36" fillId="0" borderId="94" xfId="0" applyNumberFormat="1" applyFont="1" applyFill="1" applyBorder="1" applyAlignment="1" applyProtection="1"/>
    <xf numFmtId="0" fontId="36" fillId="0" borderId="94" xfId="0" applyFont="1" applyFill="1" applyBorder="1" applyAlignment="1" applyProtection="1">
      <alignment horizont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1" fontId="12" fillId="4" borderId="0" xfId="0" applyNumberFormat="1" applyFont="1" applyFill="1" applyAlignment="1" applyProtection="1">
      <alignment vertical="center"/>
      <protection locked="0"/>
    </xf>
    <xf numFmtId="3" fontId="0" fillId="0" borderId="1" xfId="0" applyNumberFormat="1" applyFill="1" applyBorder="1"/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94" xfId="0" applyFont="1" applyFill="1" applyBorder="1" applyAlignment="1">
      <alignment horizontal="center"/>
    </xf>
    <xf numFmtId="4" fontId="0" fillId="8" borderId="63" xfId="0" applyNumberFormat="1" applyFill="1" applyBorder="1" applyAlignment="1">
      <alignment horizontal="left"/>
    </xf>
    <xf numFmtId="3" fontId="0" fillId="0" borderId="0" xfId="0" applyNumberFormat="1" applyAlignment="1">
      <alignment horizontal="left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23" fillId="4" borderId="94" xfId="0" applyFont="1" applyFill="1" applyBorder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left" vertical="center"/>
      <protection locked="0"/>
    </xf>
    <xf numFmtId="0" fontId="1" fillId="4" borderId="6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4" fontId="12" fillId="4" borderId="0" xfId="0" applyNumberFormat="1" applyFont="1" applyFill="1" applyAlignment="1" applyProtection="1">
      <alignment horizontal="right" vertical="center"/>
      <protection locked="0"/>
    </xf>
    <xf numFmtId="2" fontId="12" fillId="4" borderId="0" xfId="0" applyNumberFormat="1" applyFont="1" applyFill="1" applyAlignment="1" applyProtection="1">
      <alignment horizontal="right" vertical="center"/>
      <protection locked="0"/>
    </xf>
    <xf numFmtId="0" fontId="1" fillId="4" borderId="0" xfId="0" applyFont="1" applyFill="1" applyAlignment="1" applyProtection="1">
      <alignment horizontal="right" vertical="center"/>
      <protection locked="0"/>
    </xf>
    <xf numFmtId="0" fontId="12" fillId="4" borderId="0" xfId="0" applyFont="1" applyFill="1" applyAlignment="1" applyProtection="1">
      <alignment horizontal="right" vertical="center"/>
      <protection locked="0"/>
    </xf>
    <xf numFmtId="4" fontId="1" fillId="4" borderId="0" xfId="0" applyNumberFormat="1" applyFont="1" applyFill="1" applyAlignment="1" applyProtection="1">
      <alignment horizontal="right" vertical="center"/>
      <protection locked="0"/>
    </xf>
    <xf numFmtId="0" fontId="80" fillId="8" borderId="33" xfId="0" applyFont="1" applyFill="1" applyBorder="1" applyAlignment="1">
      <alignment horizontal="center" vertical="center"/>
    </xf>
    <xf numFmtId="4" fontId="36" fillId="4" borderId="1" xfId="0" applyNumberFormat="1" applyFont="1" applyFill="1" applyBorder="1" applyAlignment="1" applyProtection="1">
      <alignment horizontal="right" vertical="center"/>
      <protection locked="0"/>
    </xf>
    <xf numFmtId="4" fontId="36" fillId="0" borderId="1" xfId="0" applyNumberFormat="1" applyFont="1" applyFill="1" applyBorder="1" applyAlignment="1" applyProtection="1">
      <alignment horizontal="right" vertical="center"/>
      <protection locked="0"/>
    </xf>
    <xf numFmtId="4" fontId="36" fillId="45" borderId="1" xfId="0" applyNumberFormat="1" applyFont="1" applyFill="1" applyBorder="1" applyAlignment="1" applyProtection="1">
      <alignment horizontal="right" vertical="center"/>
      <protection locked="0"/>
    </xf>
    <xf numFmtId="4" fontId="36" fillId="46" borderId="1" xfId="0" applyNumberFormat="1" applyFont="1" applyFill="1" applyBorder="1" applyAlignment="1" applyProtection="1">
      <alignment horizontal="right" vertical="center"/>
      <protection locked="0"/>
    </xf>
    <xf numFmtId="4" fontId="36" fillId="41" borderId="1" xfId="0" applyNumberFormat="1" applyFont="1" applyFill="1" applyBorder="1" applyAlignment="1" applyProtection="1">
      <alignment horizontal="right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horizontal="right" vertical="center"/>
      <protection locked="0"/>
    </xf>
    <xf numFmtId="4" fontId="1" fillId="8" borderId="94" xfId="0" applyNumberFormat="1" applyFont="1" applyFill="1" applyBorder="1" applyAlignment="1" applyProtection="1">
      <alignment horizontal="center" vertical="center"/>
      <protection locked="0"/>
    </xf>
    <xf numFmtId="4" fontId="12" fillId="8" borderId="94" xfId="0" applyNumberFormat="1" applyFont="1" applyFill="1" applyBorder="1" applyAlignment="1" applyProtection="1">
      <alignment horizontal="center" vertical="center"/>
      <protection locked="0"/>
    </xf>
    <xf numFmtId="4" fontId="1" fillId="42" borderId="11" xfId="0" applyNumberFormat="1" applyFont="1" applyFill="1" applyBorder="1" applyAlignment="1" applyProtection="1">
      <alignment horizontal="center" vertical="center" wrapText="1"/>
      <protection locked="0"/>
    </xf>
    <xf numFmtId="3" fontId="36" fillId="4" borderId="1" xfId="0" applyNumberFormat="1" applyFont="1" applyFill="1" applyBorder="1" applyAlignment="1" applyProtection="1">
      <alignment horizontal="center" vertical="center"/>
      <protection locked="0"/>
    </xf>
    <xf numFmtId="3" fontId="38" fillId="8" borderId="1" xfId="0" applyNumberFormat="1" applyFont="1" applyFill="1" applyBorder="1" applyAlignment="1" applyProtection="1">
      <alignment horizontal="center" vertical="center"/>
      <protection locked="0"/>
    </xf>
    <xf numFmtId="3" fontId="36" fillId="0" borderId="1" xfId="0" applyNumberFormat="1" applyFont="1" applyFill="1" applyBorder="1" applyAlignment="1" applyProtection="1">
      <alignment horizontal="center" vertical="center"/>
      <protection locked="0"/>
    </xf>
    <xf numFmtId="3" fontId="23" fillId="4" borderId="0" xfId="0" applyNumberFormat="1" applyFont="1" applyFill="1" applyAlignment="1" applyProtection="1">
      <alignment horizontal="center" vertical="center"/>
      <protection locked="0"/>
    </xf>
    <xf numFmtId="3" fontId="36" fillId="45" borderId="1" xfId="0" applyNumberFormat="1" applyFont="1" applyFill="1" applyBorder="1" applyAlignment="1" applyProtection="1">
      <alignment horizontal="center" vertical="center"/>
      <protection locked="0"/>
    </xf>
    <xf numFmtId="3" fontId="36" fillId="46" borderId="1" xfId="0" applyNumberFormat="1" applyFont="1" applyFill="1" applyBorder="1" applyAlignment="1" applyProtection="1">
      <alignment horizontal="center" vertical="center"/>
      <protection locked="0"/>
    </xf>
    <xf numFmtId="3" fontId="36" fillId="41" borderId="1" xfId="0" applyNumberFormat="1" applyFont="1" applyFill="1" applyBorder="1" applyAlignment="1" applyProtection="1">
      <alignment horizontal="center" vertical="center"/>
      <protection locked="0"/>
    </xf>
    <xf numFmtId="3" fontId="12" fillId="4" borderId="0" xfId="0" applyNumberFormat="1" applyFont="1" applyFill="1" applyAlignment="1" applyProtection="1">
      <alignment horizontal="center" vertical="center"/>
      <protection locked="0"/>
    </xf>
    <xf numFmtId="3" fontId="12" fillId="0" borderId="0" xfId="0" applyNumberFormat="1" applyFont="1" applyFill="1" applyAlignment="1" applyProtection="1">
      <alignment horizontal="center" vertical="center"/>
      <protection locked="0"/>
    </xf>
    <xf numFmtId="3" fontId="12" fillId="4" borderId="0" xfId="0" applyNumberFormat="1" applyFont="1" applyFill="1" applyAlignment="1">
      <alignment horizontal="center" vertical="center"/>
    </xf>
    <xf numFmtId="0" fontId="20" fillId="0" borderId="23" xfId="0" applyFont="1" applyBorder="1" applyAlignment="1" applyProtection="1">
      <alignment horizontal="center" vertical="center"/>
      <protection locked="0"/>
    </xf>
    <xf numFmtId="4" fontId="20" fillId="8" borderId="1" xfId="0" applyNumberFormat="1" applyFont="1" applyFill="1" applyBorder="1" applyAlignment="1" applyProtection="1">
      <alignment horizontal="right" vertical="center"/>
      <protection locked="0"/>
    </xf>
    <xf numFmtId="3" fontId="20" fillId="8" borderId="1" xfId="0" applyNumberFormat="1" applyFont="1" applyFill="1" applyBorder="1" applyAlignment="1" applyProtection="1">
      <alignment horizontal="center" vertical="center"/>
      <protection locked="0"/>
    </xf>
    <xf numFmtId="4" fontId="10" fillId="4" borderId="0" xfId="0" applyNumberFormat="1" applyFont="1" applyFill="1" applyAlignment="1" applyProtection="1">
      <alignment vertical="center"/>
      <protection locked="0"/>
    </xf>
    <xf numFmtId="4" fontId="10" fillId="0" borderId="0" xfId="0" applyNumberFormat="1" applyFont="1" applyFill="1" applyAlignment="1" applyProtection="1">
      <alignment vertical="center"/>
      <protection locked="0"/>
    </xf>
    <xf numFmtId="0" fontId="10" fillId="4" borderId="0" xfId="0" applyFont="1" applyFill="1" applyAlignment="1" applyProtection="1">
      <alignment vertical="center"/>
      <protection locked="0"/>
    </xf>
    <xf numFmtId="0" fontId="10" fillId="4" borderId="0" xfId="0" applyFont="1" applyFill="1" applyAlignment="1" applyProtection="1">
      <alignment horizontal="center" vertical="center"/>
      <protection locked="0"/>
    </xf>
    <xf numFmtId="0" fontId="20" fillId="0" borderId="29" xfId="0" applyFont="1" applyBorder="1" applyAlignment="1" applyProtection="1">
      <alignment horizontal="center" vertical="center"/>
      <protection locked="0"/>
    </xf>
    <xf numFmtId="0" fontId="143" fillId="3" borderId="12" xfId="0" applyFont="1" applyFill="1" applyBorder="1" applyAlignment="1" applyProtection="1">
      <alignment horizontal="left" vertical="center"/>
    </xf>
    <xf numFmtId="4" fontId="20" fillId="8" borderId="1" xfId="0" applyNumberFormat="1" applyFont="1" applyFill="1" applyBorder="1" applyAlignment="1" applyProtection="1">
      <alignment vertical="center"/>
      <protection locked="0"/>
    </xf>
    <xf numFmtId="169" fontId="20" fillId="8" borderId="1" xfId="1" applyNumberFormat="1" applyFont="1" applyFill="1" applyBorder="1" applyAlignment="1" applyProtection="1">
      <alignment horizontal="right" vertical="center"/>
      <protection locked="0"/>
    </xf>
    <xf numFmtId="4" fontId="17" fillId="0" borderId="0" xfId="0" applyNumberFormat="1" applyFont="1" applyFill="1" applyAlignment="1" applyProtection="1">
      <alignment vertical="center"/>
      <protection locked="0"/>
    </xf>
    <xf numFmtId="4" fontId="10" fillId="4" borderId="0" xfId="0" applyNumberFormat="1" applyFont="1" applyFill="1" applyAlignment="1" applyProtection="1">
      <alignment horizontal="center" vertical="center"/>
      <protection locked="0"/>
    </xf>
    <xf numFmtId="0" fontId="92" fillId="42" borderId="61" xfId="0" applyFont="1" applyFill="1" applyBorder="1" applyAlignment="1" applyProtection="1">
      <alignment horizontal="center" vertical="center" wrapText="1"/>
    </xf>
    <xf numFmtId="0" fontId="144" fillId="4" borderId="0" xfId="0" applyFont="1" applyFill="1" applyAlignment="1">
      <alignment horizontal="center" vertical="center"/>
    </xf>
    <xf numFmtId="0" fontId="145" fillId="0" borderId="0" xfId="0" applyFont="1" applyFill="1" applyAlignment="1">
      <alignment vertical="center"/>
    </xf>
    <xf numFmtId="0" fontId="146" fillId="4" borderId="0" xfId="0" applyFont="1" applyFill="1" applyAlignment="1">
      <alignment horizontal="center" vertical="center"/>
    </xf>
    <xf numFmtId="49" fontId="146" fillId="4" borderId="95" xfId="0" applyNumberFormat="1" applyFont="1" applyFill="1" applyBorder="1" applyAlignment="1">
      <alignment horizontal="center" vertical="center" wrapText="1"/>
    </xf>
    <xf numFmtId="49" fontId="146" fillId="4" borderId="98" xfId="0" applyNumberFormat="1" applyFont="1" applyFill="1" applyBorder="1" applyAlignment="1">
      <alignment horizontal="center" vertical="center" wrapText="1"/>
    </xf>
    <xf numFmtId="49" fontId="146" fillId="4" borderId="89" xfId="0" applyNumberFormat="1" applyFont="1" applyFill="1" applyBorder="1" applyAlignment="1">
      <alignment horizontal="center" vertical="center" wrapText="1"/>
    </xf>
    <xf numFmtId="1" fontId="147" fillId="0" borderId="0" xfId="0" applyNumberFormat="1" applyFont="1" applyFill="1" applyAlignment="1">
      <alignment horizontal="center" vertical="center"/>
    </xf>
    <xf numFmtId="3" fontId="148" fillId="0" borderId="0" xfId="0" applyNumberFormat="1" applyFont="1" applyFill="1" applyAlignment="1">
      <alignment horizontal="center" vertical="center"/>
    </xf>
    <xf numFmtId="0" fontId="145" fillId="0" borderId="0" xfId="0" applyFont="1" applyFill="1" applyAlignment="1">
      <alignment horizontal="center" vertical="top" wrapText="1"/>
    </xf>
    <xf numFmtId="0" fontId="147" fillId="0" borderId="0" xfId="0" applyFont="1" applyFill="1" applyAlignment="1">
      <alignment vertical="center"/>
    </xf>
    <xf numFmtId="0" fontId="147" fillId="4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149" fillId="4" borderId="1" xfId="0" applyFont="1" applyFill="1" applyBorder="1" applyAlignment="1">
      <alignment horizontal="center" vertical="top" wrapText="1"/>
    </xf>
    <xf numFmtId="0" fontId="149" fillId="0" borderId="1" xfId="0" applyFont="1" applyFill="1" applyBorder="1" applyAlignment="1">
      <alignment horizontal="center" vertical="center" wrapText="1"/>
    </xf>
    <xf numFmtId="4" fontId="149" fillId="0" borderId="1" xfId="0" applyNumberFormat="1" applyFont="1" applyFill="1" applyBorder="1" applyAlignment="1">
      <alignment horizontal="center" vertical="center" wrapText="1"/>
    </xf>
    <xf numFmtId="4" fontId="150" fillId="42" borderId="1" xfId="0" applyNumberFormat="1" applyFont="1" applyFill="1" applyBorder="1" applyAlignment="1">
      <alignment horizontal="center" vertical="center" wrapText="1"/>
    </xf>
    <xf numFmtId="1" fontId="152" fillId="42" borderId="1" xfId="0" applyNumberFormat="1" applyFont="1" applyFill="1" applyBorder="1" applyAlignment="1">
      <alignment horizontal="center" vertical="center" wrapText="1"/>
    </xf>
    <xf numFmtId="4" fontId="150" fillId="8" borderId="1" xfId="0" applyNumberFormat="1" applyFont="1" applyFill="1" applyBorder="1" applyAlignment="1">
      <alignment horizontal="center" vertical="center" wrapText="1"/>
    </xf>
    <xf numFmtId="0" fontId="144" fillId="0" borderId="1" xfId="0" applyFont="1" applyBorder="1" applyAlignment="1">
      <alignment horizontal="center" vertical="center" wrapText="1"/>
    </xf>
    <xf numFmtId="1" fontId="149" fillId="8" borderId="1" xfId="0" applyNumberFormat="1" applyFont="1" applyFill="1" applyBorder="1" applyAlignment="1">
      <alignment horizontal="center" vertical="center" wrapText="1"/>
    </xf>
    <xf numFmtId="3" fontId="154" fillId="8" borderId="1" xfId="0" applyNumberFormat="1" applyFont="1" applyFill="1" applyBorder="1" applyAlignment="1">
      <alignment horizontal="center" vertical="center" wrapText="1"/>
    </xf>
    <xf numFmtId="3" fontId="154" fillId="2" borderId="12" xfId="0" applyNumberFormat="1" applyFont="1" applyFill="1" applyBorder="1" applyAlignment="1">
      <alignment horizontal="center" vertical="center" wrapText="1"/>
    </xf>
    <xf numFmtId="3" fontId="154" fillId="42" borderId="1" xfId="0" applyNumberFormat="1" applyFont="1" applyFill="1" applyBorder="1" applyAlignment="1">
      <alignment horizontal="center" vertical="center" wrapText="1"/>
    </xf>
    <xf numFmtId="0" fontId="155" fillId="0" borderId="0" xfId="0" applyFont="1" applyFill="1" applyAlignment="1">
      <alignment wrapText="1"/>
    </xf>
    <xf numFmtId="0" fontId="156" fillId="4" borderId="95" xfId="0" applyFont="1" applyFill="1" applyBorder="1" applyAlignment="1">
      <alignment horizontal="left" vertical="center" wrapText="1"/>
    </xf>
    <xf numFmtId="43" fontId="157" fillId="4" borderId="1" xfId="117" applyFont="1" applyFill="1" applyBorder="1" applyAlignment="1" applyProtection="1">
      <alignment horizontal="center" vertical="center"/>
      <protection locked="0"/>
    </xf>
    <xf numFmtId="3" fontId="158" fillId="4" borderId="1" xfId="0" applyNumberFormat="1" applyFont="1" applyFill="1" applyBorder="1" applyAlignment="1">
      <alignment horizontal="center" vertical="center" wrapText="1"/>
    </xf>
    <xf numFmtId="3" fontId="158" fillId="43" borderId="1" xfId="0" applyNumberFormat="1" applyFont="1" applyFill="1" applyBorder="1" applyAlignment="1">
      <alignment horizontal="center" vertical="center" wrapText="1"/>
    </xf>
    <xf numFmtId="43" fontId="158" fillId="4" borderId="1" xfId="117" applyFont="1" applyFill="1" applyBorder="1" applyAlignment="1">
      <alignment horizontal="left" vertical="center" wrapText="1"/>
    </xf>
    <xf numFmtId="0" fontId="158" fillId="4" borderId="1" xfId="0" applyFont="1" applyFill="1" applyBorder="1" applyAlignment="1">
      <alignment horizontal="center" vertical="center" wrapText="1"/>
    </xf>
    <xf numFmtId="0" fontId="158" fillId="4" borderId="1" xfId="0" applyFont="1" applyFill="1" applyBorder="1" applyAlignment="1">
      <alignment horizontal="center" vertical="center"/>
    </xf>
    <xf numFmtId="1" fontId="158" fillId="4" borderId="1" xfId="117" applyNumberFormat="1" applyFont="1" applyFill="1" applyBorder="1" applyAlignment="1">
      <alignment horizontal="center" vertical="center"/>
    </xf>
    <xf numFmtId="3" fontId="157" fillId="10" borderId="1" xfId="117" applyNumberFormat="1" applyFont="1" applyFill="1" applyBorder="1" applyAlignment="1" applyProtection="1">
      <alignment horizontal="center" vertical="center"/>
      <protection locked="0"/>
    </xf>
    <xf numFmtId="3" fontId="158" fillId="4" borderId="1" xfId="0" applyNumberFormat="1" applyFont="1" applyFill="1" applyBorder="1" applyAlignment="1">
      <alignment horizontal="center" vertical="center"/>
    </xf>
    <xf numFmtId="43" fontId="159" fillId="4" borderId="1" xfId="117" applyFont="1" applyFill="1" applyBorder="1" applyAlignment="1" applyProtection="1">
      <alignment horizontal="center" vertical="center"/>
      <protection locked="0"/>
    </xf>
    <xf numFmtId="3" fontId="160" fillId="8" borderId="1" xfId="0" applyNumberFormat="1" applyFont="1" applyFill="1" applyBorder="1" applyAlignment="1">
      <alignment horizontal="center" vertical="center"/>
    </xf>
    <xf numFmtId="0" fontId="161" fillId="8" borderId="0" xfId="0" applyFont="1" applyFill="1"/>
    <xf numFmtId="0" fontId="161" fillId="4" borderId="0" xfId="0" applyFont="1" applyFill="1"/>
    <xf numFmtId="0" fontId="89" fillId="0" borderId="0" xfId="0" applyFont="1" applyFill="1" applyAlignment="1">
      <alignment horizontal="center" vertical="center" wrapText="1"/>
    </xf>
    <xf numFmtId="0" fontId="160" fillId="43" borderId="1" xfId="0" applyFont="1" applyFill="1" applyBorder="1" applyAlignment="1">
      <alignment horizontal="center" vertical="center" wrapText="1"/>
    </xf>
    <xf numFmtId="0" fontId="144" fillId="8" borderId="0" xfId="0" applyFont="1" applyFill="1"/>
    <xf numFmtId="0" fontId="0" fillId="4" borderId="0" xfId="0" applyFont="1" applyFill="1" applyAlignment="1">
      <alignment horizontal="center" vertical="top"/>
    </xf>
    <xf numFmtId="4" fontId="0" fillId="0" borderId="0" xfId="0" applyNumberFormat="1" applyFont="1" applyAlignment="1">
      <alignment horizontal="center" vertical="center"/>
    </xf>
    <xf numFmtId="3" fontId="158" fillId="4" borderId="0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3" fontId="162" fillId="4" borderId="1" xfId="0" applyNumberFormat="1" applyFont="1" applyFill="1" applyBorder="1" applyAlignment="1">
      <alignment horizontal="center" vertical="center"/>
    </xf>
    <xf numFmtId="43" fontId="163" fillId="4" borderId="0" xfId="0" applyNumberFormat="1" applyFont="1" applyFill="1"/>
    <xf numFmtId="3" fontId="148" fillId="0" borderId="0" xfId="0" applyNumberFormat="1" applyFont="1" applyAlignment="1">
      <alignment horizontal="center" vertical="center"/>
    </xf>
    <xf numFmtId="0" fontId="0" fillId="0" borderId="0" xfId="0" applyFont="1"/>
    <xf numFmtId="0" fontId="0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top"/>
    </xf>
    <xf numFmtId="0" fontId="44" fillId="0" borderId="0" xfId="0" applyFont="1" applyFill="1" applyAlignment="1">
      <alignment horizontal="center"/>
    </xf>
    <xf numFmtId="0" fontId="44" fillId="0" borderId="0" xfId="0" applyFont="1" applyFill="1"/>
    <xf numFmtId="0" fontId="44" fillId="4" borderId="0" xfId="0" applyFont="1" applyFill="1"/>
    <xf numFmtId="0" fontId="52" fillId="4" borderId="0" xfId="0" applyFont="1" applyFill="1" applyAlignment="1">
      <alignment horizontal="center" vertical="top"/>
    </xf>
    <xf numFmtId="4" fontId="111" fillId="0" borderId="0" xfId="0" applyNumberFormat="1" applyFont="1" applyFill="1" applyAlignment="1">
      <alignment horizontal="left" vertical="top" wrapText="1"/>
    </xf>
    <xf numFmtId="4" fontId="0" fillId="0" borderId="0" xfId="0" applyNumberFormat="1" applyFont="1" applyFill="1" applyAlignment="1">
      <alignment horizontal="center" vertical="center"/>
    </xf>
    <xf numFmtId="0" fontId="44" fillId="4" borderId="1" xfId="0" applyFont="1" applyFill="1" applyBorder="1" applyAlignment="1">
      <alignment horizontal="center" vertical="top"/>
    </xf>
    <xf numFmtId="0" fontId="111" fillId="0" borderId="1" xfId="0" applyFont="1" applyFill="1" applyBorder="1" applyAlignment="1">
      <alignment horizontal="left" vertical="top" wrapText="1"/>
    </xf>
    <xf numFmtId="0" fontId="111" fillId="0" borderId="0" xfId="0" applyFont="1" applyFill="1" applyBorder="1" applyAlignment="1">
      <alignment horizontal="left" vertical="top" wrapText="1"/>
    </xf>
    <xf numFmtId="0" fontId="111" fillId="0" borderId="0" xfId="0" applyFont="1" applyFill="1" applyAlignment="1">
      <alignment horizontal="left" vertical="top" wrapText="1"/>
    </xf>
    <xf numFmtId="0" fontId="0" fillId="0" borderId="0" xfId="0" applyFill="1" applyAlignment="1">
      <alignment horizontal="center"/>
    </xf>
    <xf numFmtId="0" fontId="148" fillId="4" borderId="0" xfId="0" applyFont="1" applyFill="1" applyAlignment="1">
      <alignment horizontal="center" vertical="top"/>
    </xf>
    <xf numFmtId="4" fontId="148" fillId="0" borderId="0" xfId="0" applyNumberFormat="1" applyFont="1" applyAlignment="1">
      <alignment horizontal="center" vertical="center"/>
    </xf>
    <xf numFmtId="0" fontId="148" fillId="0" borderId="0" xfId="0" applyFont="1" applyAlignment="1">
      <alignment horizontal="center" vertical="center"/>
    </xf>
    <xf numFmtId="0" fontId="164" fillId="0" borderId="0" xfId="0" applyFont="1" applyAlignment="1">
      <alignment horizontal="center" vertical="center"/>
    </xf>
    <xf numFmtId="0" fontId="148" fillId="0" borderId="0" xfId="0" applyFont="1" applyFill="1" applyAlignment="1">
      <alignment horizontal="center" vertical="center" wrapText="1"/>
    </xf>
    <xf numFmtId="43" fontId="165" fillId="4" borderId="0" xfId="0" applyNumberFormat="1" applyFont="1" applyFill="1"/>
    <xf numFmtId="0" fontId="166" fillId="8" borderId="0" xfId="0" applyFont="1" applyFill="1"/>
    <xf numFmtId="4" fontId="167" fillId="0" borderId="0" xfId="0" applyNumberFormat="1" applyFont="1" applyAlignment="1">
      <alignment horizontal="center" vertical="center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vertical="center" wrapText="1"/>
    </xf>
    <xf numFmtId="0" fontId="169" fillId="0" borderId="0" xfId="0" applyFont="1" applyAlignment="1">
      <alignment vertical="center" wrapText="1"/>
    </xf>
    <xf numFmtId="4" fontId="1" fillId="17" borderId="0" xfId="0" applyNumberFormat="1" applyFont="1" applyFill="1" applyAlignment="1" applyProtection="1">
      <alignment vertical="center"/>
      <protection locked="0"/>
    </xf>
    <xf numFmtId="14" fontId="37" fillId="0" borderId="22" xfId="0" applyNumberFormat="1" applyFont="1" applyFill="1" applyBorder="1" applyAlignment="1" applyProtection="1">
      <alignment horizontal="center" vertical="center"/>
    </xf>
    <xf numFmtId="0" fontId="19" fillId="0" borderId="22" xfId="0" applyFont="1" applyFill="1" applyBorder="1" applyAlignment="1" applyProtection="1">
      <alignment horizontal="left" vertical="center" wrapText="1"/>
    </xf>
    <xf numFmtId="0" fontId="37" fillId="0" borderId="22" xfId="0" applyFont="1" applyFill="1" applyBorder="1" applyAlignment="1" applyProtection="1">
      <alignment horizontal="center" vertical="center"/>
      <protection locked="0"/>
    </xf>
    <xf numFmtId="2" fontId="36" fillId="0" borderId="1" xfId="0" applyNumberFormat="1" applyFont="1" applyFill="1" applyBorder="1" applyAlignment="1" applyProtection="1">
      <alignment horizontal="center" vertical="center"/>
      <protection locked="0"/>
    </xf>
    <xf numFmtId="3" fontId="37" fillId="0" borderId="94" xfId="0" applyNumberFormat="1" applyFont="1" applyFill="1" applyBorder="1" applyAlignment="1" applyProtection="1">
      <alignment horizontal="center" vertical="center"/>
      <protection locked="0"/>
    </xf>
    <xf numFmtId="2" fontId="37" fillId="0" borderId="94" xfId="0" applyNumberFormat="1" applyFont="1" applyFill="1" applyBorder="1" applyAlignment="1" applyProtection="1">
      <alignment horizontal="center" vertical="center"/>
      <protection locked="0"/>
    </xf>
    <xf numFmtId="0" fontId="1" fillId="0" borderId="74" xfId="0" applyFont="1" applyFill="1" applyBorder="1" applyAlignment="1" applyProtection="1">
      <alignment horizontal="center" vertical="center"/>
      <protection locked="0"/>
    </xf>
    <xf numFmtId="14" fontId="1" fillId="0" borderId="47" xfId="0" applyNumberFormat="1" applyFont="1" applyFill="1" applyBorder="1" applyAlignment="1" applyProtection="1">
      <alignment horizontal="center" vertical="center"/>
      <protection locked="0"/>
    </xf>
    <xf numFmtId="0" fontId="1" fillId="4" borderId="98" xfId="0" applyFont="1" applyFill="1" applyBorder="1" applyAlignment="1" applyProtection="1">
      <alignment horizontal="center" vertical="center"/>
      <protection locked="0"/>
    </xf>
    <xf numFmtId="14" fontId="1" fillId="4" borderId="96" xfId="0" applyNumberFormat="1" applyFont="1" applyFill="1" applyBorder="1" applyAlignment="1" applyProtection="1">
      <alignment horizontal="center" vertical="center"/>
      <protection locked="0"/>
    </xf>
    <xf numFmtId="0" fontId="1" fillId="4" borderId="98" xfId="0" applyFont="1" applyFill="1" applyBorder="1" applyAlignment="1">
      <alignment horizontal="center" vertical="center"/>
    </xf>
    <xf numFmtId="0" fontId="1" fillId="4" borderId="99" xfId="0" applyFont="1" applyFill="1" applyBorder="1" applyAlignment="1">
      <alignment horizontal="center" vertical="center"/>
    </xf>
    <xf numFmtId="14" fontId="1" fillId="4" borderId="97" xfId="0" applyNumberFormat="1" applyFont="1" applyFill="1" applyBorder="1" applyAlignment="1" applyProtection="1">
      <alignment horizontal="center" vertical="center"/>
      <protection locked="0"/>
    </xf>
    <xf numFmtId="4" fontId="1" fillId="45" borderId="0" xfId="0" applyNumberFormat="1" applyFont="1" applyFill="1" applyAlignment="1" applyProtection="1">
      <alignment vertical="center"/>
      <protection locked="0"/>
    </xf>
    <xf numFmtId="0" fontId="1" fillId="45" borderId="0" xfId="0" applyFont="1" applyFill="1" applyAlignment="1" applyProtection="1">
      <alignment vertical="center"/>
      <protection locked="0"/>
    </xf>
    <xf numFmtId="4" fontId="36" fillId="8" borderId="0" xfId="0" applyNumberFormat="1" applyFont="1" applyFill="1" applyBorder="1" applyAlignment="1" applyProtection="1">
      <alignment vertical="center"/>
      <protection locked="0"/>
    </xf>
    <xf numFmtId="4" fontId="36" fillId="8" borderId="0" xfId="0" applyNumberFormat="1" applyFont="1" applyFill="1" applyBorder="1" applyAlignment="1" applyProtection="1">
      <alignment horizontal="center" vertical="center"/>
      <protection locked="0"/>
    </xf>
    <xf numFmtId="4" fontId="1" fillId="4" borderId="0" xfId="0" applyNumberFormat="1" applyFont="1" applyFill="1" applyAlignment="1">
      <alignment vertical="center"/>
    </xf>
    <xf numFmtId="4" fontId="1" fillId="0" borderId="0" xfId="0" applyNumberFormat="1" applyFont="1" applyFill="1" applyAlignment="1">
      <alignment vertical="center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" fillId="4" borderId="64" xfId="0" applyFont="1" applyFill="1" applyBorder="1" applyAlignment="1" applyProtection="1">
      <alignment horizontal="left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1" fontId="36" fillId="8" borderId="94" xfId="0" quotePrefix="1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86" fillId="4" borderId="46" xfId="0" applyFont="1" applyFill="1" applyBorder="1" applyAlignment="1" applyProtection="1">
      <alignment horizontal="left" vertical="center"/>
      <protection locked="0"/>
    </xf>
    <xf numFmtId="0" fontId="36" fillId="4" borderId="74" xfId="0" applyFont="1" applyFill="1" applyBorder="1" applyAlignment="1" applyProtection="1">
      <alignment vertical="center"/>
      <protection locked="0"/>
    </xf>
    <xf numFmtId="0" fontId="12" fillId="4" borderId="74" xfId="0" applyFont="1" applyFill="1" applyBorder="1" applyAlignment="1" applyProtection="1">
      <alignment vertical="center"/>
      <protection locked="0"/>
    </xf>
    <xf numFmtId="0" fontId="76" fillId="0" borderId="15" xfId="0" applyFont="1" applyFill="1" applyBorder="1" applyAlignment="1" applyProtection="1">
      <alignment horizontal="center" vertical="center"/>
    </xf>
    <xf numFmtId="3" fontId="171" fillId="8" borderId="1" xfId="0" applyNumberFormat="1" applyFont="1" applyFill="1" applyBorder="1"/>
    <xf numFmtId="3" fontId="36" fillId="0" borderId="94" xfId="0" applyNumberFormat="1" applyFont="1" applyFill="1" applyBorder="1" applyAlignment="1" applyProtection="1">
      <alignment horizontal="center" vertical="center"/>
    </xf>
    <xf numFmtId="3" fontId="36" fillId="4" borderId="0" xfId="0" applyNumberFormat="1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Border="1" applyAlignment="1" applyProtection="1">
      <alignment horizontal="left" vertical="center"/>
      <protection locked="0"/>
    </xf>
    <xf numFmtId="0" fontId="12" fillId="4" borderId="0" xfId="0" applyFont="1" applyFill="1" applyBorder="1" applyAlignment="1">
      <alignment horizontal="center" vertical="center"/>
    </xf>
    <xf numFmtId="0" fontId="37" fillId="0" borderId="94" xfId="0" applyFont="1" applyFill="1" applyBorder="1" applyAlignment="1" applyProtection="1">
      <alignment vertical="center"/>
      <protection locked="0"/>
    </xf>
    <xf numFmtId="4" fontId="1" fillId="57" borderId="0" xfId="0" applyNumberFormat="1" applyFont="1" applyFill="1" applyAlignment="1" applyProtection="1">
      <alignment vertical="center"/>
      <protection locked="0"/>
    </xf>
    <xf numFmtId="0" fontId="141" fillId="57" borderId="0" xfId="0" applyFont="1" applyFill="1"/>
    <xf numFmtId="4" fontId="1" fillId="57" borderId="0" xfId="0" applyNumberFormat="1" applyFont="1" applyFill="1" applyAlignment="1" applyProtection="1">
      <alignment vertical="center" wrapText="1"/>
      <protection locked="0"/>
    </xf>
    <xf numFmtId="0" fontId="1" fillId="57" borderId="0" xfId="0" applyFont="1" applyFill="1" applyAlignment="1" applyProtection="1">
      <alignment vertical="center"/>
      <protection locked="0"/>
    </xf>
    <xf numFmtId="0" fontId="1" fillId="57" borderId="0" xfId="0" quotePrefix="1" applyFont="1" applyFill="1" applyAlignment="1" applyProtection="1">
      <alignment vertical="center"/>
      <protection locked="0"/>
    </xf>
    <xf numFmtId="0" fontId="117" fillId="57" borderId="0" xfId="0" applyFont="1" applyFill="1"/>
    <xf numFmtId="0" fontId="19" fillId="57" borderId="0" xfId="0" applyFont="1" applyFill="1"/>
    <xf numFmtId="0" fontId="12" fillId="57" borderId="0" xfId="0" applyFont="1" applyFill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4" fontId="36" fillId="4" borderId="0" xfId="0" applyNumberFormat="1" applyFont="1" applyFill="1" applyBorder="1" applyAlignment="1" applyProtection="1">
      <alignment vertical="center"/>
      <protection locked="0"/>
    </xf>
    <xf numFmtId="1" fontId="36" fillId="0" borderId="94" xfId="0" applyNumberFormat="1" applyFont="1" applyFill="1" applyBorder="1" applyAlignment="1" applyProtection="1">
      <alignment horizontal="left" vertical="center" wrapText="1"/>
      <protection locked="0"/>
    </xf>
    <xf numFmtId="1" fontId="36" fillId="41" borderId="94" xfId="0" applyNumberFormat="1" applyFont="1" applyFill="1" applyBorder="1" applyAlignment="1" applyProtection="1">
      <alignment horizontal="left" vertical="center" wrapText="1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4" fontId="1" fillId="0" borderId="0" xfId="0" applyNumberFormat="1" applyFont="1" applyFill="1" applyAlignment="1" applyProtection="1">
      <alignment vertical="center" wrapText="1"/>
      <protection locked="0"/>
    </xf>
    <xf numFmtId="0" fontId="19" fillId="45" borderId="94" xfId="0" applyFont="1" applyFill="1" applyBorder="1" applyAlignment="1" applyProtection="1">
      <alignment horizontal="left" vertical="center" wrapText="1"/>
    </xf>
    <xf numFmtId="2" fontId="36" fillId="45" borderId="1" xfId="0" applyNumberFormat="1" applyFont="1" applyFill="1" applyBorder="1" applyAlignment="1" applyProtection="1">
      <alignment horizontal="center" vertical="center"/>
      <protection locked="0"/>
    </xf>
    <xf numFmtId="3" fontId="36" fillId="4" borderId="67" xfId="0" applyNumberFormat="1" applyFont="1" applyFill="1" applyBorder="1" applyAlignment="1" applyProtection="1">
      <alignment horizontal="center" vertical="center"/>
      <protection locked="0"/>
    </xf>
    <xf numFmtId="0" fontId="36" fillId="45" borderId="67" xfId="0" applyFont="1" applyFill="1" applyBorder="1" applyAlignment="1" applyProtection="1">
      <alignment vertical="center"/>
      <protection locked="0"/>
    </xf>
    <xf numFmtId="0" fontId="36" fillId="4" borderId="88" xfId="0" applyFont="1" applyFill="1" applyBorder="1" applyAlignment="1" applyProtection="1">
      <alignment vertical="center"/>
      <protection locked="0"/>
    </xf>
    <xf numFmtId="0" fontId="36" fillId="4" borderId="85" xfId="0" applyFont="1" applyFill="1" applyBorder="1" applyAlignment="1" applyProtection="1">
      <alignment vertical="center"/>
      <protection locked="0"/>
    </xf>
    <xf numFmtId="0" fontId="12" fillId="4" borderId="85" xfId="0" applyFont="1" applyFill="1" applyBorder="1" applyAlignment="1" applyProtection="1">
      <alignment vertical="center"/>
      <protection locked="0"/>
    </xf>
    <xf numFmtId="14" fontId="12" fillId="4" borderId="110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" fontId="22" fillId="3" borderId="25" xfId="0" applyNumberFormat="1" applyFont="1" applyFill="1" applyBorder="1" applyAlignment="1" applyProtection="1">
      <alignment horizontal="center" vertical="center"/>
      <protection locked="0"/>
    </xf>
    <xf numFmtId="1" fontId="20" fillId="3" borderId="25" xfId="0" applyNumberFormat="1" applyFont="1" applyFill="1" applyBorder="1" applyAlignment="1" applyProtection="1">
      <alignment horizontal="center" vertical="center"/>
    </xf>
    <xf numFmtId="1" fontId="20" fillId="3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0" xfId="0" applyNumberFormat="1" applyFont="1" applyFill="1" applyAlignment="1" applyProtection="1">
      <alignment horizontal="center" vertical="center"/>
      <protection locked="0"/>
    </xf>
    <xf numFmtId="1" fontId="17" fillId="0" borderId="6" xfId="0" applyNumberFormat="1" applyFont="1" applyFill="1" applyBorder="1" applyAlignment="1" applyProtection="1">
      <alignment horizontal="center" vertical="center"/>
      <protection locked="0"/>
    </xf>
    <xf numFmtId="3" fontId="22" fillId="3" borderId="25" xfId="0" applyNumberFormat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94" xfId="0" applyFill="1" applyBorder="1" applyAlignment="1">
      <alignment horizontal="center" vertical="center"/>
    </xf>
    <xf numFmtId="0" fontId="87" fillId="3" borderId="1" xfId="0" applyFont="1" applyFill="1" applyBorder="1" applyAlignment="1">
      <alignment horizontal="center" vertical="center"/>
    </xf>
    <xf numFmtId="0" fontId="0" fillId="43" borderId="73" xfId="0" applyFill="1" applyBorder="1" applyAlignment="1">
      <alignment horizontal="center" vertical="center"/>
    </xf>
    <xf numFmtId="0" fontId="0" fillId="43" borderId="83" xfId="0" applyFill="1" applyBorder="1" applyAlignment="1">
      <alignment horizontal="center" vertical="center"/>
    </xf>
    <xf numFmtId="0" fontId="0" fillId="3" borderId="63" xfId="0" applyFill="1" applyBorder="1" applyAlignment="1">
      <alignment horizontal="center"/>
    </xf>
    <xf numFmtId="0" fontId="44" fillId="3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94" xfId="0" applyFont="1" applyFill="1" applyBorder="1" applyAlignment="1">
      <alignment horizontal="center"/>
    </xf>
    <xf numFmtId="0" fontId="0" fillId="3" borderId="91" xfId="0" applyFill="1" applyBorder="1" applyAlignment="1">
      <alignment horizontal="center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4" fontId="36" fillId="4" borderId="94" xfId="0" applyNumberFormat="1" applyFont="1" applyFill="1" applyBorder="1" applyAlignment="1" applyProtection="1">
      <alignment vertical="center"/>
      <protection locked="0"/>
    </xf>
    <xf numFmtId="4" fontId="130" fillId="8" borderId="1" xfId="0" applyNumberFormat="1" applyFont="1" applyFill="1" applyBorder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4" fontId="36" fillId="0" borderId="94" xfId="0" applyNumberFormat="1" applyFont="1" applyFill="1" applyBorder="1" applyAlignment="1" applyProtection="1">
      <alignment vertical="center"/>
      <protection locked="0"/>
    </xf>
    <xf numFmtId="4" fontId="12" fillId="0" borderId="0" xfId="0" applyNumberFormat="1" applyFont="1" applyFill="1" applyAlignment="1" applyProtection="1">
      <alignment horizontal="right" vertic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4" fontId="10" fillId="0" borderId="76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39" fillId="0" borderId="95" xfId="0" applyFont="1" applyFill="1" applyBorder="1" applyAlignment="1" applyProtection="1">
      <protection locked="0"/>
    </xf>
    <xf numFmtId="0" fontId="20" fillId="0" borderId="94" xfId="0" applyFont="1" applyFill="1" applyBorder="1" applyAlignment="1" applyProtection="1">
      <alignment horizontal="center"/>
      <protection locked="0"/>
    </xf>
    <xf numFmtId="14" fontId="36" fillId="0" borderId="94" xfId="0" applyNumberFormat="1" applyFont="1" applyFill="1" applyBorder="1" applyAlignment="1" applyProtection="1">
      <alignment horizontal="right"/>
    </xf>
    <xf numFmtId="14" fontId="36" fillId="0" borderId="94" xfId="0" applyNumberFormat="1" applyFont="1" applyFill="1" applyBorder="1" applyAlignment="1" applyProtection="1">
      <alignment horizontal="center"/>
    </xf>
    <xf numFmtId="3" fontId="36" fillId="0" borderId="94" xfId="0" applyNumberFormat="1" applyFont="1" applyFill="1" applyBorder="1" applyAlignment="1" applyProtection="1">
      <alignment horizontal="right"/>
      <protection locked="0"/>
    </xf>
    <xf numFmtId="0" fontId="36" fillId="0" borderId="94" xfId="0" applyNumberFormat="1" applyFont="1" applyFill="1" applyBorder="1" applyAlignment="1" applyProtection="1">
      <alignment horizontal="left"/>
      <protection locked="0"/>
    </xf>
    <xf numFmtId="14" fontId="36" fillId="0" borderId="94" xfId="0" applyNumberFormat="1" applyFont="1" applyFill="1" applyBorder="1" applyAlignment="1" applyProtection="1">
      <alignment horizontal="right"/>
      <protection locked="0"/>
    </xf>
    <xf numFmtId="0" fontId="36" fillId="0" borderId="95" xfId="0" applyFont="1" applyFill="1" applyBorder="1" applyAlignment="1" applyProtection="1">
      <protection locked="0"/>
    </xf>
    <xf numFmtId="4" fontId="1" fillId="0" borderId="102" xfId="0" applyNumberFormat="1" applyFont="1" applyFill="1" applyBorder="1" applyAlignment="1" applyProtection="1">
      <alignment horizontal="center" vertical="center"/>
      <protection locked="0"/>
    </xf>
    <xf numFmtId="4" fontId="36" fillId="0" borderId="96" xfId="0" applyNumberFormat="1" applyFont="1" applyFill="1" applyBorder="1" applyAlignment="1" applyProtection="1">
      <alignment horizontal="center" vertical="center"/>
      <protection locked="0"/>
    </xf>
    <xf numFmtId="0" fontId="36" fillId="0" borderId="111" xfId="0" applyFont="1" applyFill="1" applyBorder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72" fillId="0" borderId="0" xfId="115" applyFont="1" applyAlignment="1">
      <alignment horizontal="center" wrapText="1"/>
    </xf>
    <xf numFmtId="49" fontId="1" fillId="4" borderId="104" xfId="0" applyNumberFormat="1" applyFont="1" applyFill="1" applyBorder="1" applyAlignment="1">
      <alignment horizontal="left" vertical="center"/>
    </xf>
    <xf numFmtId="0" fontId="36" fillId="4" borderId="37" xfId="0" applyFont="1" applyFill="1" applyBorder="1" applyAlignment="1" applyProtection="1">
      <alignment horizontal="left" vertical="center"/>
      <protection locked="0"/>
    </xf>
    <xf numFmtId="14" fontId="1" fillId="4" borderId="112" xfId="0" applyNumberFormat="1" applyFont="1" applyFill="1" applyBorder="1" applyAlignment="1" applyProtection="1">
      <alignment horizontal="center" vertical="center"/>
      <protection locked="0"/>
    </xf>
    <xf numFmtId="0" fontId="86" fillId="4" borderId="0" xfId="0" applyFont="1" applyFill="1" applyAlignment="1" applyProtection="1">
      <alignment horizontal="center" vertical="center"/>
      <protection locked="0"/>
    </xf>
    <xf numFmtId="4" fontId="20" fillId="0" borderId="11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36" fillId="17" borderId="18" xfId="0" applyFont="1" applyFill="1" applyBorder="1" applyAlignment="1" applyProtection="1">
      <alignment horizontal="center" vertical="center"/>
      <protection locked="0"/>
    </xf>
    <xf numFmtId="0" fontId="20" fillId="17" borderId="94" xfId="0" applyFont="1" applyFill="1" applyBorder="1" applyAlignment="1" applyProtection="1">
      <alignment horizontal="center" vertical="center"/>
      <protection locked="0"/>
    </xf>
    <xf numFmtId="3" fontId="47" fillId="17" borderId="94" xfId="0" applyNumberFormat="1" applyFont="1" applyFill="1" applyBorder="1" applyAlignment="1" applyProtection="1">
      <alignment horizontal="center" vertical="center"/>
    </xf>
    <xf numFmtId="0" fontId="37" fillId="17" borderId="94" xfId="0" applyFont="1" applyFill="1" applyBorder="1" applyAlignment="1" applyProtection="1">
      <alignment vertical="center"/>
    </xf>
    <xf numFmtId="0" fontId="36" fillId="17" borderId="94" xfId="0" applyFont="1" applyFill="1" applyBorder="1" applyAlignment="1" applyProtection="1">
      <alignment horizontal="center" vertical="center"/>
      <protection locked="0"/>
    </xf>
    <xf numFmtId="14" fontId="37" fillId="17" borderId="94" xfId="0" applyNumberFormat="1" applyFont="1" applyFill="1" applyBorder="1" applyAlignment="1" applyProtection="1">
      <alignment horizontal="center" vertical="center"/>
    </xf>
    <xf numFmtId="1" fontId="36" fillId="17" borderId="94" xfId="0" applyNumberFormat="1" applyFont="1" applyFill="1" applyBorder="1" applyAlignment="1" applyProtection="1">
      <alignment horizontal="center" vertical="center"/>
    </xf>
    <xf numFmtId="1" fontId="36" fillId="17" borderId="94" xfId="0" applyNumberFormat="1" applyFont="1" applyFill="1" applyBorder="1" applyAlignment="1" applyProtection="1">
      <alignment horizontal="center" vertical="center"/>
      <protection locked="0"/>
    </xf>
    <xf numFmtId="1" fontId="36" fillId="17" borderId="94" xfId="0" applyNumberFormat="1" applyFont="1" applyFill="1" applyBorder="1" applyAlignment="1" applyProtection="1">
      <alignment horizontal="left" vertical="center" wrapText="1"/>
    </xf>
    <xf numFmtId="0" fontId="36" fillId="17" borderId="94" xfId="0" applyFont="1" applyFill="1" applyBorder="1" applyAlignment="1" applyProtection="1">
      <alignment vertical="center"/>
      <protection locked="0"/>
    </xf>
    <xf numFmtId="0" fontId="36" fillId="17" borderId="94" xfId="0" applyFont="1" applyFill="1" applyBorder="1" applyAlignment="1" applyProtection="1">
      <alignment horizontal="center" vertical="center"/>
    </xf>
    <xf numFmtId="0" fontId="19" fillId="17" borderId="94" xfId="0" applyFont="1" applyFill="1" applyBorder="1" applyAlignment="1" applyProtection="1">
      <alignment horizontal="left" vertical="center" wrapText="1"/>
    </xf>
    <xf numFmtId="0" fontId="37" fillId="17" borderId="94" xfId="0" applyFont="1" applyFill="1" applyBorder="1" applyAlignment="1" applyProtection="1">
      <alignment horizontal="center" vertical="center"/>
      <protection locked="0"/>
    </xf>
    <xf numFmtId="4" fontId="36" fillId="17" borderId="94" xfId="0" applyNumberFormat="1" applyFont="1" applyFill="1" applyBorder="1" applyAlignment="1" applyProtection="1">
      <alignment horizontal="center" vertical="center"/>
    </xf>
    <xf numFmtId="4" fontId="36" fillId="17" borderId="94" xfId="0" applyNumberFormat="1" applyFont="1" applyFill="1" applyBorder="1" applyAlignment="1" applyProtection="1">
      <alignment horizontal="center" vertical="center"/>
      <protection locked="0"/>
    </xf>
    <xf numFmtId="3" fontId="36" fillId="17" borderId="94" xfId="0" applyNumberFormat="1" applyFont="1" applyFill="1" applyBorder="1" applyAlignment="1" applyProtection="1">
      <alignment horizontal="center" vertical="center"/>
      <protection locked="0"/>
    </xf>
    <xf numFmtId="2" fontId="36" fillId="17" borderId="94" xfId="0" applyNumberFormat="1" applyFont="1" applyFill="1" applyBorder="1" applyAlignment="1" applyProtection="1">
      <alignment horizontal="center" vertical="center"/>
    </xf>
    <xf numFmtId="2" fontId="36" fillId="17" borderId="94" xfId="0" applyNumberFormat="1" applyFont="1" applyFill="1" applyBorder="1" applyAlignment="1" applyProtection="1">
      <alignment horizontal="center" vertical="center"/>
      <protection locked="0"/>
    </xf>
    <xf numFmtId="3" fontId="1" fillId="17" borderId="94" xfId="0" applyNumberFormat="1" applyFont="1" applyFill="1" applyBorder="1" applyAlignment="1" applyProtection="1">
      <alignment horizontal="center" vertical="center"/>
      <protection locked="0"/>
    </xf>
    <xf numFmtId="4" fontId="33" fillId="17" borderId="94" xfId="0" applyNumberFormat="1" applyFont="1" applyFill="1" applyBorder="1" applyAlignment="1" applyProtection="1">
      <alignment horizontal="center" vertical="center"/>
      <protection locked="0"/>
    </xf>
    <xf numFmtId="4" fontId="20" fillId="17" borderId="94" xfId="0" applyNumberFormat="1" applyFont="1" applyFill="1" applyBorder="1" applyAlignment="1" applyProtection="1">
      <alignment horizontal="center" vertical="center"/>
      <protection locked="0"/>
    </xf>
    <xf numFmtId="4" fontId="82" fillId="17" borderId="94" xfId="0" applyNumberFormat="1" applyFont="1" applyFill="1" applyBorder="1" applyAlignment="1" applyProtection="1">
      <alignment horizontal="center" vertical="center"/>
      <protection locked="0"/>
    </xf>
    <xf numFmtId="4" fontId="20" fillId="17" borderId="104" xfId="0" applyNumberFormat="1" applyFont="1" applyFill="1" applyBorder="1" applyAlignment="1" applyProtection="1">
      <alignment horizontal="center" vertical="center"/>
      <protection locked="0"/>
    </xf>
    <xf numFmtId="4" fontId="36" fillId="17" borderId="1" xfId="0" applyNumberFormat="1" applyFont="1" applyFill="1" applyBorder="1" applyAlignment="1" applyProtection="1">
      <alignment vertical="center"/>
      <protection locked="0"/>
    </xf>
    <xf numFmtId="2" fontId="36" fillId="17" borderId="1" xfId="0" applyNumberFormat="1" applyFont="1" applyFill="1" applyBorder="1" applyAlignment="1" applyProtection="1">
      <alignment horizontal="center" vertical="center"/>
      <protection locked="0"/>
    </xf>
    <xf numFmtId="4" fontId="36" fillId="17" borderId="1" xfId="0" applyNumberFormat="1" applyFont="1" applyFill="1" applyBorder="1" applyAlignment="1" applyProtection="1">
      <alignment horizontal="right" vertical="center"/>
      <protection locked="0"/>
    </xf>
    <xf numFmtId="3" fontId="36" fillId="17" borderId="1" xfId="0" applyNumberFormat="1" applyFont="1" applyFill="1" applyBorder="1" applyAlignment="1" applyProtection="1">
      <alignment horizontal="center" vertical="center"/>
      <protection locked="0"/>
    </xf>
    <xf numFmtId="4" fontId="36" fillId="17" borderId="94" xfId="0" applyNumberFormat="1" applyFont="1" applyFill="1" applyBorder="1" applyAlignment="1" applyProtection="1">
      <alignment vertical="center"/>
      <protection locked="0"/>
    </xf>
    <xf numFmtId="4" fontId="36" fillId="17" borderId="1" xfId="0" applyNumberFormat="1" applyFont="1" applyFill="1" applyBorder="1" applyAlignment="1" applyProtection="1">
      <alignment horizontal="center" vertical="center"/>
      <protection locked="0"/>
    </xf>
    <xf numFmtId="0" fontId="36" fillId="17" borderId="1" xfId="0" applyFont="1" applyFill="1" applyBorder="1" applyAlignment="1" applyProtection="1">
      <alignment horizontal="center" vertical="center"/>
      <protection locked="0"/>
    </xf>
    <xf numFmtId="0" fontId="12" fillId="17" borderId="0" xfId="0" applyFont="1" applyFill="1" applyAlignment="1" applyProtection="1">
      <alignment vertical="center"/>
      <protection locked="0"/>
    </xf>
    <xf numFmtId="0" fontId="12" fillId="17" borderId="0" xfId="0" applyFont="1" applyFill="1" applyAlignment="1" applyProtection="1">
      <alignment horizontal="center" vertical="center"/>
      <protection locked="0"/>
    </xf>
    <xf numFmtId="4" fontId="12" fillId="17" borderId="0" xfId="0" applyNumberFormat="1" applyFont="1" applyFill="1" applyAlignment="1" applyProtection="1">
      <alignment horizontal="right" vertical="center"/>
      <protection locked="0"/>
    </xf>
    <xf numFmtId="1" fontId="36" fillId="17" borderId="94" xfId="0" quotePrefix="1" applyNumberFormat="1" applyFont="1" applyFill="1" applyBorder="1" applyAlignment="1" applyProtection="1">
      <alignment horizontal="center" vertical="center"/>
      <protection locked="0"/>
    </xf>
    <xf numFmtId="0" fontId="20" fillId="2" borderId="7" xfId="0" applyFont="1" applyFill="1" applyBorder="1" applyAlignment="1" applyProtection="1">
      <alignment horizontal="right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4" fontId="20" fillId="4" borderId="0" xfId="0" applyNumberFormat="1" applyFont="1" applyFill="1" applyBorder="1" applyAlignment="1" applyProtection="1">
      <alignment vertical="center"/>
      <protection locked="0"/>
    </xf>
    <xf numFmtId="4" fontId="36" fillId="0" borderId="0" xfId="0" applyNumberFormat="1" applyFont="1" applyFill="1" applyAlignment="1" applyProtection="1">
      <alignment vertical="center"/>
      <protection locked="0"/>
    </xf>
    <xf numFmtId="14" fontId="23" fillId="4" borderId="112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4" fontId="36" fillId="4" borderId="0" xfId="0" applyNumberFormat="1" applyFont="1" applyFill="1" applyAlignment="1" applyProtection="1">
      <alignment vertical="center"/>
      <protection locked="0"/>
    </xf>
    <xf numFmtId="4" fontId="19" fillId="0" borderId="0" xfId="0" applyNumberFormat="1" applyFont="1" applyFill="1" applyAlignment="1" applyProtection="1">
      <alignment vertical="center"/>
      <protection locked="0"/>
    </xf>
    <xf numFmtId="0" fontId="97" fillId="0" borderId="0" xfId="115" applyFont="1" applyAlignment="1">
      <alignment horizontal="center" wrapText="1"/>
    </xf>
    <xf numFmtId="0" fontId="172" fillId="0" borderId="0" xfId="115" applyFont="1" applyAlignment="1">
      <alignment horizontal="center" wrapText="1"/>
    </xf>
    <xf numFmtId="0" fontId="96" fillId="0" borderId="0" xfId="115" applyFont="1" applyAlignment="1">
      <alignment horizontal="center" wrapText="1"/>
    </xf>
    <xf numFmtId="0" fontId="36" fillId="0" borderId="94" xfId="0" applyFont="1" applyFill="1" applyBorder="1" applyAlignment="1" applyProtection="1">
      <alignment horizontal="left"/>
      <protection locked="0"/>
    </xf>
    <xf numFmtId="4" fontId="10" fillId="0" borderId="36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102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84" fillId="0" borderId="86" xfId="0" applyFont="1" applyFill="1" applyBorder="1" applyAlignment="1" applyProtection="1">
      <alignment horizontal="center"/>
    </xf>
    <xf numFmtId="0" fontId="84" fillId="0" borderId="87" xfId="0" applyFont="1" applyFill="1" applyBorder="1" applyAlignment="1" applyProtection="1">
      <alignment horizontal="center"/>
    </xf>
    <xf numFmtId="0" fontId="84" fillId="0" borderId="89" xfId="0" applyFont="1" applyFill="1" applyBorder="1" applyAlignment="1" applyProtection="1">
      <alignment horizontal="center"/>
    </xf>
    <xf numFmtId="0" fontId="20" fillId="0" borderId="84" xfId="0" applyFont="1" applyFill="1" applyBorder="1" applyAlignment="1">
      <alignment horizontal="center"/>
    </xf>
    <xf numFmtId="165" fontId="38" fillId="0" borderId="86" xfId="1" applyFont="1" applyFill="1" applyBorder="1" applyAlignment="1" applyProtection="1">
      <alignment horizontal="left"/>
      <protection locked="0"/>
    </xf>
    <xf numFmtId="165" fontId="38" fillId="0" borderId="89" xfId="1" applyFont="1" applyFill="1" applyBorder="1" applyAlignment="1" applyProtection="1">
      <alignment horizontal="left"/>
      <protection locked="0"/>
    </xf>
    <xf numFmtId="0" fontId="39" fillId="0" borderId="86" xfId="0" applyFont="1" applyFill="1" applyBorder="1" applyAlignment="1" applyProtection="1">
      <alignment horizontal="center"/>
      <protection locked="0"/>
    </xf>
    <xf numFmtId="0" fontId="39" fillId="0" borderId="87" xfId="0" applyFont="1" applyFill="1" applyBorder="1" applyAlignment="1" applyProtection="1">
      <alignment horizontal="center"/>
      <protection locked="0"/>
    </xf>
    <xf numFmtId="0" fontId="39" fillId="0" borderId="89" xfId="0" applyFont="1" applyFill="1" applyBorder="1" applyAlignment="1" applyProtection="1">
      <alignment horizontal="center"/>
      <protection locked="0"/>
    </xf>
    <xf numFmtId="4" fontId="17" fillId="0" borderId="2" xfId="0" applyNumberFormat="1" applyFont="1" applyFill="1" applyBorder="1" applyAlignment="1" applyProtection="1">
      <alignment horizontal="center" vertical="center"/>
      <protection locked="0"/>
    </xf>
    <xf numFmtId="4" fontId="17" fillId="0" borderId="3" xfId="0" applyNumberFormat="1" applyFont="1" applyFill="1" applyBorder="1" applyAlignment="1" applyProtection="1">
      <alignment horizontal="center" vertical="center"/>
      <protection locked="0"/>
    </xf>
    <xf numFmtId="4" fontId="17" fillId="0" borderId="4" xfId="0" applyNumberFormat="1" applyFont="1" applyFill="1" applyBorder="1" applyAlignment="1" applyProtection="1">
      <alignment horizontal="center" vertical="center"/>
      <protection locked="0"/>
    </xf>
    <xf numFmtId="0" fontId="145" fillId="56" borderId="1" xfId="0" applyFont="1" applyFill="1" applyBorder="1" applyAlignment="1">
      <alignment horizontal="center" vertical="center" wrapText="1"/>
    </xf>
    <xf numFmtId="0" fontId="145" fillId="44" borderId="95" xfId="0" applyFont="1" applyFill="1" applyBorder="1" applyAlignment="1">
      <alignment horizontal="center" vertical="center" wrapText="1"/>
    </xf>
    <xf numFmtId="0" fontId="145" fillId="44" borderId="98" xfId="0" applyFont="1" applyFill="1" applyBorder="1" applyAlignment="1">
      <alignment horizontal="center" vertical="center" wrapText="1"/>
    </xf>
    <xf numFmtId="0" fontId="145" fillId="44" borderId="89" xfId="0" applyFont="1" applyFill="1" applyBorder="1" applyAlignment="1">
      <alignment horizontal="center" vertical="center" wrapText="1"/>
    </xf>
    <xf numFmtId="49" fontId="146" fillId="8" borderId="1" xfId="0" applyNumberFormat="1" applyFont="1" applyFill="1" applyBorder="1" applyAlignment="1">
      <alignment horizontal="center" vertical="center" wrapText="1"/>
    </xf>
    <xf numFmtId="49" fontId="146" fillId="8" borderId="95" xfId="0" applyNumberFormat="1" applyFont="1" applyFill="1" applyBorder="1" applyAlignment="1">
      <alignment horizontal="center" vertical="center" wrapText="1"/>
    </xf>
    <xf numFmtId="49" fontId="146" fillId="8" borderId="98" xfId="0" applyNumberFormat="1" applyFont="1" applyFill="1" applyBorder="1" applyAlignment="1">
      <alignment horizontal="center" vertical="center" wrapText="1"/>
    </xf>
    <xf numFmtId="49" fontId="146" fillId="8" borderId="89" xfId="0" applyNumberFormat="1" applyFont="1" applyFill="1" applyBorder="1" applyAlignment="1">
      <alignment horizontal="center" vertical="center" wrapText="1"/>
    </xf>
    <xf numFmtId="0" fontId="146" fillId="2" borderId="3" xfId="0" applyFont="1" applyFill="1" applyBorder="1" applyAlignment="1">
      <alignment horizontal="center" vertical="center"/>
    </xf>
    <xf numFmtId="0" fontId="146" fillId="2" borderId="4" xfId="0" applyFont="1" applyFill="1" applyBorder="1" applyAlignment="1">
      <alignment horizontal="center" vertical="center"/>
    </xf>
    <xf numFmtId="4" fontId="10" fillId="0" borderId="76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50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0" borderId="64" xfId="0" applyFont="1" applyFill="1" applyBorder="1" applyAlignment="1" applyProtection="1">
      <alignment horizontal="center" vertical="center"/>
      <protection locked="0"/>
    </xf>
    <xf numFmtId="0" fontId="12" fillId="41" borderId="0" xfId="0" applyFont="1" applyFill="1" applyAlignment="1" applyProtection="1">
      <alignment horizontal="center" vertical="center"/>
      <protection locked="0"/>
    </xf>
    <xf numFmtId="0" fontId="12" fillId="17" borderId="0" xfId="0" applyFont="1" applyFill="1" applyAlignment="1" applyProtection="1">
      <alignment horizontal="center" vertical="center"/>
      <protection locked="0"/>
    </xf>
    <xf numFmtId="0" fontId="47" fillId="7" borderId="95" xfId="0" applyFont="1" applyFill="1" applyBorder="1" applyAlignment="1" applyProtection="1">
      <alignment horizontal="center" vertical="center"/>
    </xf>
    <xf numFmtId="0" fontId="47" fillId="7" borderId="98" xfId="0" applyFont="1" applyFill="1" applyBorder="1" applyAlignment="1" applyProtection="1">
      <alignment horizontal="center" vertical="center"/>
    </xf>
    <xf numFmtId="0" fontId="47" fillId="7" borderId="89" xfId="0" applyFont="1" applyFill="1" applyBorder="1" applyAlignment="1" applyProtection="1">
      <alignment horizontal="center" vertical="center"/>
    </xf>
    <xf numFmtId="0" fontId="80" fillId="42" borderId="95" xfId="0" applyFont="1" applyFill="1" applyBorder="1" applyAlignment="1">
      <alignment horizontal="center" vertical="center"/>
    </xf>
    <xf numFmtId="0" fontId="80" fillId="42" borderId="98" xfId="0" applyFont="1" applyFill="1" applyBorder="1" applyAlignment="1">
      <alignment horizontal="center" vertical="center"/>
    </xf>
    <xf numFmtId="0" fontId="16" fillId="2" borderId="43" xfId="0" applyFont="1" applyFill="1" applyBorder="1" applyAlignment="1" applyProtection="1">
      <alignment horizontal="center" vertical="center"/>
      <protection locked="0"/>
    </xf>
    <xf numFmtId="0" fontId="16" fillId="2" borderId="5" xfId="0" applyFont="1" applyFill="1" applyBorder="1" applyAlignment="1" applyProtection="1">
      <alignment horizontal="center" vertical="center"/>
      <protection locked="0"/>
    </xf>
    <xf numFmtId="0" fontId="16" fillId="2" borderId="13" xfId="0" applyFont="1" applyFill="1" applyBorder="1" applyAlignment="1" applyProtection="1">
      <alignment horizontal="center" vertical="center"/>
      <protection locked="0"/>
    </xf>
    <xf numFmtId="4" fontId="10" fillId="2" borderId="76" xfId="0" applyNumberFormat="1" applyFont="1" applyFill="1" applyBorder="1" applyAlignment="1" applyProtection="1">
      <alignment horizontal="center" vertical="center" wrapText="1"/>
      <protection locked="0"/>
    </xf>
    <xf numFmtId="4" fontId="10" fillId="2" borderId="50" xfId="0" applyNumberFormat="1" applyFont="1" applyFill="1" applyBorder="1" applyAlignment="1" applyProtection="1">
      <alignment horizontal="center" vertical="center" wrapText="1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4" fontId="17" fillId="8" borderId="43" xfId="0" applyNumberFormat="1" applyFont="1" applyFill="1" applyBorder="1" applyAlignment="1" applyProtection="1">
      <alignment horizontal="center" vertical="center"/>
      <protection locked="0"/>
    </xf>
    <xf numFmtId="4" fontId="17" fillId="8" borderId="5" xfId="0" applyNumberFormat="1" applyFont="1" applyFill="1" applyBorder="1" applyAlignment="1" applyProtection="1">
      <alignment horizontal="center" vertical="center"/>
      <protection locked="0"/>
    </xf>
    <xf numFmtId="4" fontId="17" fillId="8" borderId="13" xfId="0" applyNumberFormat="1" applyFont="1" applyFill="1" applyBorder="1" applyAlignment="1" applyProtection="1">
      <alignment horizontal="center" vertical="center"/>
      <protection locked="0"/>
    </xf>
    <xf numFmtId="4" fontId="10" fillId="11" borderId="2" xfId="0" applyNumberFormat="1" applyFont="1" applyFill="1" applyBorder="1" applyAlignment="1" applyProtection="1">
      <alignment horizontal="center" vertical="center" wrapText="1"/>
      <protection locked="0"/>
    </xf>
    <xf numFmtId="4" fontId="10" fillId="11" borderId="4" xfId="0" applyNumberFormat="1" applyFont="1" applyFill="1" applyBorder="1" applyAlignment="1" applyProtection="1">
      <alignment horizontal="center" vertical="center" wrapText="1"/>
      <protection locked="0"/>
    </xf>
    <xf numFmtId="0" fontId="12" fillId="46" borderId="0" xfId="0" applyFont="1" applyFill="1" applyAlignment="1" applyProtection="1">
      <alignment horizontal="center" vertical="center"/>
      <protection locked="0"/>
    </xf>
    <xf numFmtId="0" fontId="44" fillId="17" borderId="29" xfId="0" applyFont="1" applyFill="1" applyBorder="1" applyAlignment="1">
      <alignment horizontal="center" vertical="center"/>
    </xf>
    <xf numFmtId="0" fontId="44" fillId="17" borderId="0" xfId="0" applyFont="1" applyFill="1" applyBorder="1" applyAlignment="1">
      <alignment horizontal="center" vertical="center"/>
    </xf>
    <xf numFmtId="0" fontId="44" fillId="17" borderId="45" xfId="0" applyFont="1" applyFill="1" applyBorder="1" applyAlignment="1">
      <alignment horizontal="center" vertical="center"/>
    </xf>
    <xf numFmtId="0" fontId="44" fillId="17" borderId="44" xfId="0" applyFont="1" applyFill="1" applyBorder="1" applyAlignment="1">
      <alignment horizontal="center" vertical="center"/>
    </xf>
    <xf numFmtId="3" fontId="88" fillId="8" borderId="2" xfId="0" applyNumberFormat="1" applyFont="1" applyFill="1" applyBorder="1" applyAlignment="1">
      <alignment horizontal="center"/>
    </xf>
    <xf numFmtId="3" fontId="88" fillId="8" borderId="3" xfId="0" applyNumberFormat="1" applyFont="1" applyFill="1" applyBorder="1" applyAlignment="1">
      <alignment horizontal="center"/>
    </xf>
    <xf numFmtId="3" fontId="88" fillId="8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4" fillId="17" borderId="33" xfId="0" applyFont="1" applyFill="1" applyBorder="1" applyAlignment="1">
      <alignment horizontal="center" vertical="center"/>
    </xf>
    <xf numFmtId="0" fontId="44" fillId="17" borderId="41" xfId="0" applyFont="1" applyFill="1" applyBorder="1" applyAlignment="1">
      <alignment horizontal="center" vertical="center"/>
    </xf>
    <xf numFmtId="0" fontId="18" fillId="6" borderId="36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0" fontId="16" fillId="6" borderId="26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0" fontId="16" fillId="6" borderId="28" xfId="0" applyFont="1" applyFill="1" applyBorder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44" fillId="0" borderId="0" xfId="0" applyFont="1" applyAlignment="1">
      <alignment horizontal="center"/>
    </xf>
    <xf numFmtId="0" fontId="36" fillId="8" borderId="14" xfId="5" applyFont="1" applyFill="1" applyBorder="1" applyAlignment="1">
      <alignment horizontal="center" vertical="center" textRotation="90" wrapText="1"/>
    </xf>
    <xf numFmtId="0" fontId="36" fillId="8" borderId="9" xfId="5" applyFont="1" applyFill="1" applyBorder="1" applyAlignment="1">
      <alignment horizontal="center" vertical="center" textRotation="90" wrapText="1"/>
    </xf>
    <xf numFmtId="0" fontId="36" fillId="8" borderId="20" xfId="5" applyFont="1" applyFill="1" applyBorder="1" applyAlignment="1">
      <alignment horizontal="center" vertical="center" textRotation="90" wrapText="1"/>
    </xf>
    <xf numFmtId="0" fontId="16" fillId="5" borderId="6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3" borderId="31" xfId="0" applyFont="1" applyFill="1" applyBorder="1" applyAlignment="1">
      <alignment horizontal="center"/>
    </xf>
    <xf numFmtId="0" fontId="10" fillId="3" borderId="30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43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38" fillId="0" borderId="33" xfId="5" applyFont="1" applyFill="1" applyBorder="1" applyAlignment="1">
      <alignment horizontal="center" vertical="center" wrapText="1"/>
    </xf>
    <xf numFmtId="0" fontId="38" fillId="0" borderId="12" xfId="5" applyFont="1" applyFill="1" applyBorder="1" applyAlignment="1">
      <alignment horizontal="center" vertical="center" wrapText="1"/>
    </xf>
    <xf numFmtId="0" fontId="20" fillId="16" borderId="43" xfId="5" applyFont="1" applyFill="1" applyBorder="1" applyAlignment="1">
      <alignment horizontal="center" vertical="center" wrapText="1"/>
    </xf>
    <xf numFmtId="0" fontId="20" fillId="16" borderId="13" xfId="5" applyFont="1" applyFill="1" applyBorder="1" applyAlignment="1">
      <alignment horizontal="center" vertical="center" wrapText="1"/>
    </xf>
    <xf numFmtId="0" fontId="38" fillId="18" borderId="43" xfId="5" applyFont="1" applyFill="1" applyBorder="1" applyAlignment="1">
      <alignment horizontal="center" vertical="center" wrapText="1"/>
    </xf>
    <xf numFmtId="0" fontId="38" fillId="18" borderId="5" xfId="5" applyFont="1" applyFill="1" applyBorder="1" applyAlignment="1">
      <alignment horizontal="center" vertical="center" wrapText="1"/>
    </xf>
    <xf numFmtId="0" fontId="38" fillId="18" borderId="0" xfId="5" applyFont="1" applyFill="1" applyBorder="1" applyAlignment="1">
      <alignment horizontal="center" vertical="center" wrapText="1"/>
    </xf>
    <xf numFmtId="0" fontId="38" fillId="18" borderId="50" xfId="5" applyFont="1" applyFill="1" applyBorder="1" applyAlignment="1">
      <alignment horizontal="center" vertical="center" wrapText="1"/>
    </xf>
    <xf numFmtId="0" fontId="38" fillId="0" borderId="41" xfId="5" applyFont="1" applyFill="1" applyBorder="1" applyAlignment="1">
      <alignment horizontal="center" vertical="center" wrapText="1"/>
    </xf>
    <xf numFmtId="0" fontId="38" fillId="18" borderId="1" xfId="5" applyFont="1" applyFill="1" applyBorder="1" applyAlignment="1">
      <alignment horizontal="center" vertical="center"/>
    </xf>
    <xf numFmtId="0" fontId="119" fillId="8" borderId="94" xfId="0" applyFont="1" applyFill="1" applyBorder="1" applyAlignment="1">
      <alignment horizontal="center"/>
    </xf>
    <xf numFmtId="0" fontId="44" fillId="8" borderId="94" xfId="0" applyFont="1" applyFill="1" applyBorder="1" applyAlignment="1">
      <alignment horizontal="center"/>
    </xf>
    <xf numFmtId="0" fontId="132" fillId="0" borderId="94" xfId="0" applyFont="1" applyFill="1" applyBorder="1" applyAlignment="1">
      <alignment horizontal="center"/>
    </xf>
    <xf numFmtId="0" fontId="135" fillId="0" borderId="101" xfId="0" applyFont="1" applyBorder="1" applyAlignment="1">
      <alignment horizontal="center"/>
    </xf>
    <xf numFmtId="0" fontId="135" fillId="0" borderId="102" xfId="0" applyFont="1" applyBorder="1" applyAlignment="1">
      <alignment horizontal="center"/>
    </xf>
    <xf numFmtId="0" fontId="135" fillId="0" borderId="103" xfId="0" applyFont="1" applyBorder="1" applyAlignment="1">
      <alignment horizontal="center"/>
    </xf>
    <xf numFmtId="0" fontId="137" fillId="0" borderId="0" xfId="0" applyFont="1" applyAlignment="1">
      <alignment horizontal="center"/>
    </xf>
    <xf numFmtId="0" fontId="140" fillId="0" borderId="0" xfId="0" applyFont="1" applyAlignment="1">
      <alignment horizontal="center"/>
    </xf>
    <xf numFmtId="0" fontId="141" fillId="53" borderId="2" xfId="0" applyFont="1" applyFill="1" applyBorder="1" applyAlignment="1">
      <alignment horizontal="center" wrapText="1"/>
    </xf>
    <xf numFmtId="0" fontId="141" fillId="53" borderId="4" xfId="0" applyFont="1" applyFill="1" applyBorder="1" applyAlignment="1">
      <alignment horizontal="center" wrapText="1"/>
    </xf>
    <xf numFmtId="0" fontId="141" fillId="53" borderId="108" xfId="0" applyFont="1" applyFill="1" applyBorder="1" applyAlignment="1">
      <alignment horizontal="center" wrapText="1"/>
    </xf>
    <xf numFmtId="0" fontId="142" fillId="0" borderId="2" xfId="0" applyFont="1" applyBorder="1" applyAlignment="1">
      <alignment horizontal="center" wrapText="1"/>
    </xf>
    <xf numFmtId="0" fontId="142" fillId="0" borderId="4" xfId="0" applyFont="1" applyBorder="1" applyAlignment="1">
      <alignment horizontal="center" wrapText="1"/>
    </xf>
  </cellXfs>
  <cellStyles count="134">
    <cellStyle name="20% - Énfasis1 2" xfId="12"/>
    <cellStyle name="20% - Énfasis2 2" xfId="13"/>
    <cellStyle name="20% - Énfasis3 2" xfId="14"/>
    <cellStyle name="20% - Énfasis4 2" xfId="15"/>
    <cellStyle name="20% - Énfasis5 2" xfId="16"/>
    <cellStyle name="20% - Énfasis6 2" xfId="17"/>
    <cellStyle name="40% - Énfasis1 2" xfId="18"/>
    <cellStyle name="40% - Énfasis2 2" xfId="19"/>
    <cellStyle name="40% - Énfasis3 2" xfId="20"/>
    <cellStyle name="40% - Énfasis4 2" xfId="21"/>
    <cellStyle name="40% - Énfasis5 2" xfId="22"/>
    <cellStyle name="40% - Énfasis6 2" xfId="23"/>
    <cellStyle name="60% - Énfasis1 2" xfId="24"/>
    <cellStyle name="60% - Énfasis2 2" xfId="25"/>
    <cellStyle name="60% - Énfasis3 2" xfId="26"/>
    <cellStyle name="60% - Énfasis4 2" xfId="27"/>
    <cellStyle name="60% - Énfasis5 2" xfId="28"/>
    <cellStyle name="60% - Énfasis6 2" xfId="29"/>
    <cellStyle name="Buena 2" xfId="30"/>
    <cellStyle name="Cálculo 2" xfId="31"/>
    <cellStyle name="Cálculo 2 2" xfId="103"/>
    <cellStyle name="Celda de comprobación 2" xfId="32"/>
    <cellStyle name="Celda vinculada 2" xfId="33"/>
    <cellStyle name="Default" xfId="34"/>
    <cellStyle name="Encabezado 4 2" xfId="35"/>
    <cellStyle name="Énfasis1 2" xfId="36"/>
    <cellStyle name="Énfasis2 2" xfId="37"/>
    <cellStyle name="Énfasis3 2" xfId="38"/>
    <cellStyle name="Énfasis4 2" xfId="39"/>
    <cellStyle name="Énfasis5 2" xfId="40"/>
    <cellStyle name="Énfasis6 2" xfId="41"/>
    <cellStyle name="Entrada 2" xfId="42"/>
    <cellStyle name="Entrada 2 2" xfId="104"/>
    <cellStyle name="Euro" xfId="43"/>
    <cellStyle name="Excel Built-in Normal" xfId="44"/>
    <cellStyle name="Incorrecto 2" xfId="45"/>
    <cellStyle name="Millares" xfId="1" builtinId="3"/>
    <cellStyle name="Millares [0] 2" xfId="46"/>
    <cellStyle name="Millares [0] 2 2" xfId="47"/>
    <cellStyle name="Millares [0] 2 2 2" xfId="106"/>
    <cellStyle name="Millares [0] 2 3" xfId="105"/>
    <cellStyle name="Millares [0] 3" xfId="48"/>
    <cellStyle name="Millares [0] 3 2" xfId="49"/>
    <cellStyle name="Millares [0] 3 2 2" xfId="108"/>
    <cellStyle name="Millares [0] 3 3" xfId="107"/>
    <cellStyle name="Millares 10" xfId="118"/>
    <cellStyle name="Millares 11" xfId="119"/>
    <cellStyle name="Millares 12" xfId="120"/>
    <cellStyle name="Millares 13" xfId="121"/>
    <cellStyle name="Millares 14" xfId="122"/>
    <cellStyle name="Millares 15" xfId="123"/>
    <cellStyle name="Millares 16" xfId="124"/>
    <cellStyle name="Millares 17" xfId="125"/>
    <cellStyle name="Millares 18" xfId="126"/>
    <cellStyle name="Millares 2" xfId="11"/>
    <cellStyle name="Millares 2 2" xfId="117"/>
    <cellStyle name="Millares 2 2 2" xfId="127"/>
    <cellStyle name="Millares 3" xfId="50"/>
    <cellStyle name="Millares 3 2" xfId="128"/>
    <cellStyle name="Millares 3 3" xfId="129"/>
    <cellStyle name="Millares 4" xfId="51"/>
    <cellStyle name="Millares 4 2" xfId="130"/>
    <cellStyle name="Millares 5" xfId="52"/>
    <cellStyle name="Millares 6" xfId="53"/>
    <cellStyle name="Millares 6 2" xfId="109"/>
    <cellStyle name="Millares 7" xfId="54"/>
    <cellStyle name="Millares 7 2" xfId="110"/>
    <cellStyle name="Millares 8" xfId="55"/>
    <cellStyle name="Millares 9" xfId="131"/>
    <cellStyle name="Neutral 2" xfId="56"/>
    <cellStyle name="Normal" xfId="0" builtinId="0"/>
    <cellStyle name="Normal 10" xfId="57"/>
    <cellStyle name="Normal 11" xfId="5"/>
    <cellStyle name="Normal 11 2" xfId="6"/>
    <cellStyle name="Normal 11 3" xfId="58"/>
    <cellStyle name="Normal 12" xfId="59"/>
    <cellStyle name="Normal 13" xfId="116"/>
    <cellStyle name="Normal 2" xfId="60"/>
    <cellStyle name="Normal 2 2" xfId="7"/>
    <cellStyle name="Normal 2 2 10" xfId="61"/>
    <cellStyle name="Normal 2 2 10 2" xfId="62"/>
    <cellStyle name="Normal 2 2 11" xfId="63"/>
    <cellStyle name="Normal 2 2 12" xfId="64"/>
    <cellStyle name="Normal 2 2 12 2" xfId="65"/>
    <cellStyle name="Normal 2 2 2" xfId="66"/>
    <cellStyle name="Normal 2 2 2 2" xfId="67"/>
    <cellStyle name="Normal 2 2 2 3" xfId="132"/>
    <cellStyle name="Normal 2 2 3" xfId="68"/>
    <cellStyle name="Normal 2 2 3 2" xfId="69"/>
    <cellStyle name="Normal 2 2 4" xfId="70"/>
    <cellStyle name="Normal 2 2 5" xfId="71"/>
    <cellStyle name="Normal 2 2 5 2" xfId="72"/>
    <cellStyle name="Normal 2 2 6" xfId="73"/>
    <cellStyle name="Normal 2 2 6 2" xfId="74"/>
    <cellStyle name="Normal 2 2 6 3" xfId="75"/>
    <cellStyle name="Normal 2 2 7" xfId="76"/>
    <cellStyle name="Normal 2 2 8" xfId="77"/>
    <cellStyle name="Normal 2 2 9" xfId="78"/>
    <cellStyle name="Normal 2 3" xfId="79"/>
    <cellStyle name="Normal 2 3 2" xfId="80"/>
    <cellStyle name="Normal 2 3 2 2" xfId="81"/>
    <cellStyle name="Normal 2 4" xfId="82"/>
    <cellStyle name="Normal 2 5" xfId="3"/>
    <cellStyle name="Normal 2 6" xfId="4"/>
    <cellStyle name="Normal 2 7" xfId="2"/>
    <cellStyle name="Normal 2 8" xfId="114"/>
    <cellStyle name="Normal 2_Hoja2" xfId="83"/>
    <cellStyle name="Normal 3" xfId="84"/>
    <cellStyle name="Normal 3 2" xfId="133"/>
    <cellStyle name="Normal 3 3" xfId="115"/>
    <cellStyle name="Normal 4" xfId="85"/>
    <cellStyle name="Normal 4 14" xfId="10"/>
    <cellStyle name="Normal 4 2" xfId="86"/>
    <cellStyle name="Normal 4 2 2" xfId="87"/>
    <cellStyle name="Normal 4_REVISION NOMINA 2013 EMAO" xfId="8"/>
    <cellStyle name="Normal 5" xfId="88"/>
    <cellStyle name="Normal 6" xfId="89"/>
    <cellStyle name="Normal 7" xfId="9"/>
    <cellStyle name="Normal 8" xfId="90"/>
    <cellStyle name="Normal 9" xfId="91"/>
    <cellStyle name="Normal 9 2" xfId="92"/>
    <cellStyle name="Notas 2" xfId="93"/>
    <cellStyle name="Notas 2 2" xfId="111"/>
    <cellStyle name="Salida 2" xfId="94"/>
    <cellStyle name="Salida 2 2" xfId="112"/>
    <cellStyle name="TableStyleLight1" xfId="95"/>
    <cellStyle name="Texto de advertencia 2" xfId="96"/>
    <cellStyle name="Texto explicativo 2" xfId="97"/>
    <cellStyle name="Título 1 2" xfId="98"/>
    <cellStyle name="Título 2 2" xfId="99"/>
    <cellStyle name="Título 3 2" xfId="100"/>
    <cellStyle name="Título 4" xfId="101"/>
    <cellStyle name="Total 2" xfId="102"/>
    <cellStyle name="Total 2 2" xfId="113"/>
  </cellStyles>
  <dxfs count="2">
    <dxf>
      <font>
        <b/>
        <i val="0"/>
        <color rgb="FFFF000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C00000"/>
      </font>
      <fill>
        <patternFill>
          <bgColor rgb="FF002060"/>
        </patternFill>
      </fill>
    </dxf>
  </dxfs>
  <tableStyles count="0" defaultTableStyle="TableStyleMedium9" defaultPivotStyle="PivotStyleLight16"/>
  <colors>
    <mruColors>
      <color rgb="FFFF5050"/>
      <color rgb="FF66FF66"/>
      <color rgb="FFE4E4E4"/>
      <color rgb="FFE0E0E0"/>
      <color rgb="FFEEEEEE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externalLink" Target="externalLinks/externalLink14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41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externalLink" Target="externalLinks/externalLink13.xml"/><Relationship Id="rId40" Type="http://schemas.openxmlformats.org/officeDocument/2006/relationships/externalLink" Target="externalLinks/externalLink16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externalLink" Target="externalLinks/externalLink1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externalLink" Target="externalLinks/externalLink11.xml"/><Relationship Id="rId43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5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6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149597</xdr:colOff>
      <xdr:row>0</xdr:row>
      <xdr:rowOff>64994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12247" y="64994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742950</xdr:colOff>
      <xdr:row>4</xdr:row>
      <xdr:rowOff>130425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D3F68E72-0CF9-4CA0-860C-130953CD70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601321" cy="72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653861</xdr:colOff>
      <xdr:row>0</xdr:row>
      <xdr:rowOff>31376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62650" y="31376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149597</xdr:colOff>
      <xdr:row>0</xdr:row>
      <xdr:rowOff>64994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12247" y="64994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246530</xdr:colOff>
      <xdr:row>0</xdr:row>
      <xdr:rowOff>168089</xdr:rowOff>
    </xdr:from>
    <xdr:to>
      <xdr:col>2</xdr:col>
      <xdr:colOff>537884</xdr:colOff>
      <xdr:row>5</xdr:row>
      <xdr:rowOff>33618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246530" y="168089"/>
          <a:ext cx="1396254" cy="8180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653861</xdr:colOff>
      <xdr:row>0</xdr:row>
      <xdr:rowOff>31376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62650" y="31376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1047751</xdr:colOff>
      <xdr:row>7</xdr:row>
      <xdr:rowOff>122294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509" cy="831185"/>
        </a:xfrm>
        <a:prstGeom prst="rect">
          <a:avLst/>
        </a:prstGeom>
      </xdr:spPr>
    </xdr:pic>
    <xdr:clientData/>
  </xdr:twoCellAnchor>
  <xdr:twoCellAnchor>
    <xdr:from>
      <xdr:col>25</xdr:col>
      <xdr:colOff>261938</xdr:colOff>
      <xdr:row>0</xdr:row>
      <xdr:rowOff>130969</xdr:rowOff>
    </xdr:from>
    <xdr:to>
      <xdr:col>27</xdr:col>
      <xdr:colOff>762000</xdr:colOff>
      <xdr:row>6</xdr:row>
      <xdr:rowOff>273844</xdr:rowOff>
    </xdr:to>
    <xdr:pic>
      <xdr:nvPicPr>
        <xdr:cNvPr id="3" name="Imagen 2" descr="Logos definitivo sapnaet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7330738" y="130969"/>
          <a:ext cx="2776537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961160</xdr:colOff>
      <xdr:row>7</xdr:row>
      <xdr:rowOff>120370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6643" cy="829261"/>
        </a:xfrm>
        <a:prstGeom prst="rect">
          <a:avLst/>
        </a:prstGeom>
      </xdr:spPr>
    </xdr:pic>
    <xdr:clientData/>
  </xdr:twoCellAnchor>
  <xdr:twoCellAnchor>
    <xdr:from>
      <xdr:col>10</xdr:col>
      <xdr:colOff>17318</xdr:colOff>
      <xdr:row>4</xdr:row>
      <xdr:rowOff>181841</xdr:rowOff>
    </xdr:from>
    <xdr:to>
      <xdr:col>11</xdr:col>
      <xdr:colOff>964927</xdr:colOff>
      <xdr:row>7</xdr:row>
      <xdr:rowOff>33618</xdr:rowOff>
    </xdr:to>
    <xdr:pic>
      <xdr:nvPicPr>
        <xdr:cNvPr id="3" name="Imagen 2" descr="Logos definitivo sapnaet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170718" y="467591"/>
          <a:ext cx="1623884" cy="7090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1047751</xdr:colOff>
      <xdr:row>7</xdr:row>
      <xdr:rowOff>122294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509" cy="831185"/>
        </a:xfrm>
        <a:prstGeom prst="rect">
          <a:avLst/>
        </a:prstGeom>
      </xdr:spPr>
    </xdr:pic>
    <xdr:clientData/>
  </xdr:twoCellAnchor>
  <xdr:twoCellAnchor>
    <xdr:from>
      <xdr:col>28</xdr:col>
      <xdr:colOff>607220</xdr:colOff>
      <xdr:row>0</xdr:row>
      <xdr:rowOff>130969</xdr:rowOff>
    </xdr:from>
    <xdr:to>
      <xdr:col>29</xdr:col>
      <xdr:colOff>826384</xdr:colOff>
      <xdr:row>6</xdr:row>
      <xdr:rowOff>163286</xdr:rowOff>
    </xdr:to>
    <xdr:pic>
      <xdr:nvPicPr>
        <xdr:cNvPr id="3" name="Imagen 2" descr="Logos definitivo sapnaet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6275845" y="130969"/>
          <a:ext cx="1338352" cy="6990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305667</xdr:colOff>
      <xdr:row>4</xdr:row>
      <xdr:rowOff>148359</xdr:rowOff>
    </xdr:from>
    <xdr:to>
      <xdr:col>2</xdr:col>
      <xdr:colOff>1114138</xdr:colOff>
      <xdr:row>7</xdr:row>
      <xdr:rowOff>120370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221" cy="829261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0</xdr:row>
      <xdr:rowOff>259773</xdr:rowOff>
    </xdr:from>
    <xdr:to>
      <xdr:col>17</xdr:col>
      <xdr:colOff>783167</xdr:colOff>
      <xdr:row>6</xdr:row>
      <xdr:rowOff>137309</xdr:rowOff>
    </xdr:to>
    <xdr:pic>
      <xdr:nvPicPr>
        <xdr:cNvPr id="3" name="Imagen 2" descr="Logos definitivo sapnaet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4506575" y="259773"/>
          <a:ext cx="1840442" cy="5442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1297782</xdr:colOff>
      <xdr:row>7</xdr:row>
      <xdr:rowOff>122294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0365" cy="831185"/>
        </a:xfrm>
        <a:prstGeom prst="rect">
          <a:avLst/>
        </a:prstGeom>
      </xdr:spPr>
    </xdr:pic>
    <xdr:clientData/>
  </xdr:twoCellAnchor>
  <xdr:twoCellAnchor>
    <xdr:from>
      <xdr:col>22</xdr:col>
      <xdr:colOff>285750</xdr:colOff>
      <xdr:row>0</xdr:row>
      <xdr:rowOff>38365</xdr:rowOff>
    </xdr:from>
    <xdr:to>
      <xdr:col>25</xdr:col>
      <xdr:colOff>683418</xdr:colOff>
      <xdr:row>6</xdr:row>
      <xdr:rowOff>127569</xdr:rowOff>
    </xdr:to>
    <xdr:pic>
      <xdr:nvPicPr>
        <xdr:cNvPr id="3" name="Imagen 2" descr="Logos definitivo sapnaet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942219" y="38365"/>
          <a:ext cx="1135855" cy="7559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63212</xdr:colOff>
      <xdr:row>4</xdr:row>
      <xdr:rowOff>122382</xdr:rowOff>
    </xdr:from>
    <xdr:to>
      <xdr:col>2</xdr:col>
      <xdr:colOff>338666</xdr:colOff>
      <xdr:row>7</xdr:row>
      <xdr:rowOff>85734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58"/>
        <a:stretch>
          <a:fillRect/>
        </a:stretch>
      </xdr:blipFill>
      <xdr:spPr>
        <a:xfrm>
          <a:off x="63212" y="979632"/>
          <a:ext cx="1884121" cy="831185"/>
        </a:xfrm>
        <a:prstGeom prst="rect">
          <a:avLst/>
        </a:prstGeom>
      </xdr:spPr>
    </xdr:pic>
    <xdr:clientData/>
  </xdr:twoCellAnchor>
  <xdr:twoCellAnchor>
    <xdr:from>
      <xdr:col>78</xdr:col>
      <xdr:colOff>585107</xdr:colOff>
      <xdr:row>1</xdr:row>
      <xdr:rowOff>13607</xdr:rowOff>
    </xdr:from>
    <xdr:to>
      <xdr:col>80</xdr:col>
      <xdr:colOff>826383</xdr:colOff>
      <xdr:row>6</xdr:row>
      <xdr:rowOff>163286</xdr:rowOff>
    </xdr:to>
    <xdr:pic>
      <xdr:nvPicPr>
        <xdr:cNvPr id="4" name="Imagen 3" descr="Logos definitivo sapnaet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1000821" y="299357"/>
          <a:ext cx="2119062" cy="11157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714375</xdr:colOff>
      <xdr:row>4</xdr:row>
      <xdr:rowOff>75454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476375" cy="827929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0</xdr:row>
      <xdr:rowOff>0</xdr:rowOff>
    </xdr:from>
    <xdr:to>
      <xdr:col>9</xdr:col>
      <xdr:colOff>219075</xdr:colOff>
      <xdr:row>4</xdr:row>
      <xdr:rowOff>171450</xdr:rowOff>
    </xdr:to>
    <xdr:pic>
      <xdr:nvPicPr>
        <xdr:cNvPr id="3" name="Imagen 3" descr="Logos definitivo sapnaet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572875" y="0"/>
          <a:ext cx="1781175" cy="933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714375</xdr:colOff>
      <xdr:row>4</xdr:row>
      <xdr:rowOff>75454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476375" cy="827929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0</xdr:row>
      <xdr:rowOff>0</xdr:rowOff>
    </xdr:from>
    <xdr:to>
      <xdr:col>9</xdr:col>
      <xdr:colOff>219075</xdr:colOff>
      <xdr:row>4</xdr:row>
      <xdr:rowOff>171450</xdr:rowOff>
    </xdr:to>
    <xdr:pic>
      <xdr:nvPicPr>
        <xdr:cNvPr id="3" name="Imagen 3" descr="Logos definitivo sapnaet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0410825" y="0"/>
          <a:ext cx="1447800" cy="933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443593</xdr:colOff>
      <xdr:row>36</xdr:row>
      <xdr:rowOff>81642</xdr:rowOff>
    </xdr:from>
    <xdr:to>
      <xdr:col>12</xdr:col>
      <xdr:colOff>650875</xdr:colOff>
      <xdr:row>63</xdr:row>
      <xdr:rowOff>152400</xdr:rowOff>
    </xdr:to>
    <xdr:sp macro="" textlink="">
      <xdr:nvSpPr>
        <xdr:cNvPr id="2" name="1 CuadroTexto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443593" y="14645367"/>
          <a:ext cx="12542157" cy="55381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LES ENVIO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UN MODELO 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DE FORMULA PARA: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- CALCULO DE BONO DE AGUINALDOS.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- LOS CUADROS CON LAS ALICUOTAS DE VACACIONES Y AGUINALDOS FRACCIONADOS.( PARA TRABAJADORES QUE TIENEN MENOS DE UN AÑO LABORADO) . 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    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NOTA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:  CUANDO LA PERSONA INGRESA A TRABAJAR APARTIR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DEL </a:t>
          </a:r>
          <a:r>
            <a:rPr lang="es-ES" sz="1600" b="1" i="0" u="sng" baseline="0">
              <a:solidFill>
                <a:srgbClr val="FF0000"/>
              </a:solidFill>
              <a:latin typeface="+mn-lt"/>
              <a:ea typeface="+mn-ea"/>
              <a:cs typeface="+mn-cs"/>
            </a:rPr>
            <a:t>DIA 03 DEL MES EN ADELANTE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; SE TOMA LA ALICUOTA FRACCIONADA DEL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MES SIGUIENTE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                                                              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    EJEMPLO: </a:t>
          </a:r>
          <a:r>
            <a:rPr lang="es-ES" sz="1600" b="1" i="0">
              <a:solidFill>
                <a:srgbClr val="FF0000"/>
              </a:solidFill>
              <a:latin typeface="+mn-lt"/>
              <a:ea typeface="+mn-ea"/>
              <a:cs typeface="+mn-cs"/>
            </a:rPr>
            <a:t> SI INGRESO 03/04/2023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 TOMA LA ALICUOTA DEL MES SIGUIENTE OSEA DE </a:t>
          </a:r>
          <a:r>
            <a:rPr lang="es-ES" sz="1600" b="1" i="0">
              <a:solidFill>
                <a:srgbClr val="FF0000"/>
              </a:solidFill>
              <a:latin typeface="+mn-lt"/>
              <a:ea typeface="+mn-ea"/>
              <a:cs typeface="+mn-cs"/>
            </a:rPr>
            <a:t>MAYO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FORMULA PARA EL CALCULO DE AGUINALDOS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 </a:t>
          </a:r>
        </a:p>
        <a:p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20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s-ES" sz="2000" b="1" i="0">
              <a:solidFill>
                <a:schemeClr val="dk1"/>
              </a:solidFill>
              <a:latin typeface="+mn-lt"/>
              <a:ea typeface="+mn-ea"/>
              <a:cs typeface="+mn-cs"/>
            </a:rPr>
            <a:t>=(((sueldnormal))/30*180/12+(sueldnormal))/30*150 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EL TOTAL SE DIVIDE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ENTRE 4 PARA CALCULAR 1 MES DE AGUINALDOS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          (Que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serian 37,5 dias)</a:t>
          </a: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SI SE 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SOLICITAN 2 MESES  DE AGUINALDOS;  LA PUEDEN DIVIDIR ENTRE 2 .</a:t>
          </a: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400"/>
            </a:lnSpc>
          </a:pPr>
          <a:endParaRPr lang="es-E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datos\Downloads\E7000-MAQUETA%20DEPURADA%20FEBRER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3\MAQUETAS%202023\11%20NOVIEMBRE%202023\11-%20%20DEFINITIVA%20Maqueta%20SAPNNAET%20NOVIEMBRE%20PARA%20ENVIAR%20A%20INSTITUT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tos/Downloads/E7000-MAQUETA%20DEPURADA%20FEBRERO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15072024\NOMINAS%202024\11%20NOVIEMBRE%202024\SAPNNAET%20AGUINALDO%20SEPTIEMBRE%20202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OMINAS%202023/SOLICITUD%20DE%20RECURSOS/06%20JUNIO%202023/SAPNNAET%20JUNIO%20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NOMINAS%202025/NOMINAS%202025/06%20JUNIO%202025/NOMINA%20JUNIO%202025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3\SOLICITUD%20DE%20RECURSOS\10%20OCTUBRE%202023\SAPNNAET%20OCTUBRE%202023%20aguinaldos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2022\tabuladores%20MARZO%202022\2011\CUENTASPERSONAL\lote6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15072024\NOMINAS%202024\11%20NOVIEMBRE%202024\TEXTILES%20SEPTIEMBRE%202024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Users\IngridWin8\Downloads\MODELO%20FORMATO\2022\OFICIOS\Users\Asistente%201%20RRHH\Documents\NOMINAS\IMET%202018\GOBERNACI&#211;N\09%20SEPTIEMBRE\SEGUNDA%20QUINCENA\NOMINA%202DA.SEPTIEMBRE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Users\Asistente%201%20RRHH\Documents\NOMINAS\IMET%202018\GOBERNACI&#211;N\09%20SEPTIEMBRE\SEGUNDA%20QUINCENA\NOMINA%202DA.SEPTIEMBRE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21032024\NOMINAS%202024\05%20MAYO%202024\NOMINA%20MAYO%202024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2022\tabuladores%20MARZO%202022\RAC%202021%20ESPOTRU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2011\CUENTASPERSONAL\lote11\11LOT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Users\IngridWin8\Downloads\MODELO%20FORMATO\2022\OFICIOS\POA%202018%20INST\POA%20EMPL%20DESP%20GOB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POA%202018%20INST\POA%20EMPL%20DESP%20GOB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15072024\NOMINAS%202024\06%20JUNIO%202024\NOMINA%20JUNIO%202024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bernación - Alcaldía"/>
      <sheetName val="SECTOR SALUD"/>
      <sheetName val="SECTOR EDUCACIÓN"/>
      <sheetName val="CONSOLIDADO"/>
      <sheetName val="FRECUENCIA - GOB  ALC"/>
      <sheetName val="FRECUENCIA - SECTOR SALUD"/>
      <sheetName val="FRECUENCIA - SECTOR EDUCACIÓN"/>
      <sheetName val="Hoja2"/>
      <sheetName val="Hoja1"/>
      <sheetName val="CALCULOS - ADMINISTRATIVO"/>
      <sheetName val="CALCULOS - SALUD"/>
      <sheetName val="CALCULOS - EDUCACIÓ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 t="str">
            <v>ELECCIÓN POPULAR</v>
          </cell>
          <cell r="C1" t="str">
            <v>COORDINADOR DE ÁREA</v>
          </cell>
          <cell r="H1" t="str">
            <v>ACTIVO/A</v>
          </cell>
        </row>
        <row r="2">
          <cell r="B2" t="str">
            <v>LNR (99)</v>
          </cell>
          <cell r="C2" t="str">
            <v>JEFE DE DIVISIÓN</v>
          </cell>
          <cell r="H2" t="str">
            <v>COMISIÓN DE SERVICIO</v>
          </cell>
        </row>
        <row r="3">
          <cell r="B3" t="str">
            <v>MÁXIMA AUTORIDAD ÓRGANOS/ENTES</v>
          </cell>
          <cell r="C3" t="str">
            <v>DIRECTOR DE LÍNEA</v>
          </cell>
          <cell r="D3" t="str">
            <v>BI</v>
          </cell>
          <cell r="E3" t="str">
            <v>GRADO (1) - MIN</v>
          </cell>
          <cell r="H3" t="str">
            <v>JUBILADO/A</v>
          </cell>
        </row>
        <row r="4">
          <cell r="B4" t="str">
            <v>EMPLEADO/A FIJO</v>
          </cell>
          <cell r="C4" t="str">
            <v>DIRECTOR GENERAL</v>
          </cell>
          <cell r="D4" t="str">
            <v>BI - II</v>
          </cell>
          <cell r="E4" t="str">
            <v>GRADO (1) - MÁX</v>
          </cell>
          <cell r="H4" t="str">
            <v>PENSIONADO/A</v>
          </cell>
        </row>
        <row r="5">
          <cell r="B5" t="str">
            <v>CONTRATADO/A</v>
          </cell>
          <cell r="C5" t="str">
            <v>ALCALDE/SA</v>
          </cell>
          <cell r="D5" t="str">
            <v>BI - III</v>
          </cell>
          <cell r="E5" t="str">
            <v>GRADO (2) - MIN</v>
          </cell>
          <cell r="H5" t="str">
            <v>PENSIÓN SOBREVIVIENTE</v>
          </cell>
        </row>
        <row r="6">
          <cell r="B6" t="str">
            <v>OBRERO FIJO</v>
          </cell>
          <cell r="C6" t="str">
            <v>GOBERNADOR/A</v>
          </cell>
          <cell r="D6" t="str">
            <v>BI - IV</v>
          </cell>
          <cell r="E6" t="str">
            <v>GRADO (2) - MÁX</v>
          </cell>
        </row>
        <row r="7">
          <cell r="B7" t="str">
            <v>OBRERO CONTRATADO</v>
          </cell>
          <cell r="C7" t="str">
            <v>CONCEJAL / LEGISLADOR</v>
          </cell>
          <cell r="D7" t="str">
            <v>BI - V</v>
          </cell>
          <cell r="E7" t="str">
            <v>GRADO (3) - MIN</v>
          </cell>
        </row>
        <row r="8">
          <cell r="B8" t="str">
            <v>HONORARIOS PROFESIONALES</v>
          </cell>
          <cell r="C8" t="str">
            <v>SINDICO / PROCURADOR</v>
          </cell>
          <cell r="D8" t="str">
            <v>BI - VI</v>
          </cell>
          <cell r="E8" t="str">
            <v>GRADO (3) - MÁX</v>
          </cell>
          <cell r="H8" t="str">
            <v>LNR (99)</v>
          </cell>
        </row>
        <row r="9">
          <cell r="B9" t="str">
            <v>PERSONAL ROTATIVO</v>
          </cell>
          <cell r="C9" t="str">
            <v>PRESIDENTE/A</v>
          </cell>
          <cell r="D9" t="str">
            <v>BI - VII</v>
          </cell>
          <cell r="E9" t="str">
            <v>GRADO (4) - MIN</v>
          </cell>
          <cell r="H9" t="str">
            <v>MÁXIMA AUTORIDAD ÓRGANOS/ENTES</v>
          </cell>
        </row>
        <row r="10">
          <cell r="B10" t="str">
            <v>ALTO NIVEL JUBILADO/A</v>
          </cell>
          <cell r="C10" t="str">
            <v>CONTRALOR/A</v>
          </cell>
          <cell r="D10" t="str">
            <v>BII</v>
          </cell>
          <cell r="E10" t="str">
            <v>GRADO (4) - MÁX</v>
          </cell>
          <cell r="H10" t="str">
            <v>EMPLEADO/A FIJO</v>
          </cell>
        </row>
        <row r="11">
          <cell r="B11" t="str">
            <v>EMPLEADO/A JUBILADO/A</v>
          </cell>
          <cell r="D11" t="str">
            <v>BII - II</v>
          </cell>
          <cell r="E11" t="str">
            <v>GRADO (5) - MIN</v>
          </cell>
          <cell r="H11" t="str">
            <v>OBRERO FIJO</v>
          </cell>
        </row>
        <row r="12">
          <cell r="B12" t="str">
            <v>OBRERO JUBILADO/A</v>
          </cell>
          <cell r="D12" t="str">
            <v>BII - III</v>
          </cell>
          <cell r="E12" t="str">
            <v>GRADO (5) - MÁX</v>
          </cell>
        </row>
        <row r="13">
          <cell r="B13" t="str">
            <v>ALTO NIVEL PENSIONADO/A</v>
          </cell>
          <cell r="D13" t="str">
            <v>BII - IV</v>
          </cell>
          <cell r="E13" t="str">
            <v>GRADO (6) - MIN</v>
          </cell>
        </row>
        <row r="14">
          <cell r="B14" t="str">
            <v>EMPLEADO/A PENSIONADO/A</v>
          </cell>
          <cell r="D14" t="str">
            <v>BII - V</v>
          </cell>
          <cell r="E14" t="str">
            <v>GRADO (6) - MÁX</v>
          </cell>
        </row>
        <row r="15">
          <cell r="B15" t="str">
            <v>OBRERO PENSIONADO/A</v>
          </cell>
          <cell r="C15" t="str">
            <v>COORDINADOR DE ÁREA</v>
          </cell>
          <cell r="D15" t="str">
            <v>BII - VI</v>
          </cell>
          <cell r="E15" t="str">
            <v>GRADO (7) - MIN</v>
          </cell>
        </row>
        <row r="16">
          <cell r="C16" t="str">
            <v>JEFE DE DIVISIÓN</v>
          </cell>
          <cell r="D16" t="str">
            <v>BII - VII</v>
          </cell>
          <cell r="E16" t="str">
            <v>GRADO (7) - MÁX</v>
          </cell>
        </row>
        <row r="17">
          <cell r="C17" t="str">
            <v>DIRECTOR DE LÍNEA</v>
          </cell>
          <cell r="D17" t="str">
            <v>BIII</v>
          </cell>
          <cell r="E17" t="str">
            <v>GRADO (8) - MIN</v>
          </cell>
        </row>
        <row r="18">
          <cell r="C18" t="str">
            <v>DIRECTOR GENERAL</v>
          </cell>
          <cell r="D18" t="str">
            <v>BIII - II</v>
          </cell>
          <cell r="E18" t="str">
            <v>GRADO (8) - MÁX</v>
          </cell>
        </row>
        <row r="19">
          <cell r="C19" t="str">
            <v>CONCEJAL / LEGISLADOR</v>
          </cell>
          <cell r="D19" t="str">
            <v>BIII - III</v>
          </cell>
          <cell r="E19" t="str">
            <v>GRADO (9) - MIN</v>
          </cell>
        </row>
        <row r="20">
          <cell r="C20" t="str">
            <v>SINDICO / PROCURADOR</v>
          </cell>
          <cell r="D20" t="str">
            <v>BIII - IV</v>
          </cell>
          <cell r="E20" t="str">
            <v>GRADO (9) - MÁX</v>
          </cell>
        </row>
        <row r="21">
          <cell r="C21" t="str">
            <v>PRESIDENTE/A</v>
          </cell>
          <cell r="D21" t="str">
            <v>BIII - V</v>
          </cell>
          <cell r="E21" t="str">
            <v>GRADO (10) - MIN</v>
          </cell>
        </row>
        <row r="22">
          <cell r="C22" t="str">
            <v>CONTRALOR/A</v>
          </cell>
          <cell r="D22" t="str">
            <v>BIII - VI</v>
          </cell>
          <cell r="E22" t="str">
            <v>GRADO (10) - MÁX</v>
          </cell>
        </row>
        <row r="23">
          <cell r="D23" t="str">
            <v>BIII - VII</v>
          </cell>
        </row>
        <row r="24">
          <cell r="D24" t="str">
            <v>TI</v>
          </cell>
          <cell r="E24" t="str">
            <v>ROTATIVO</v>
          </cell>
        </row>
        <row r="25">
          <cell r="D25" t="str">
            <v>TI - II</v>
          </cell>
          <cell r="E25" t="str">
            <v>BI</v>
          </cell>
        </row>
        <row r="26">
          <cell r="D26" t="str">
            <v>TI - III</v>
          </cell>
          <cell r="E26" t="str">
            <v>BII</v>
          </cell>
        </row>
        <row r="27">
          <cell r="D27" t="str">
            <v>TI - IV</v>
          </cell>
          <cell r="E27" t="str">
            <v>BIII</v>
          </cell>
        </row>
        <row r="28">
          <cell r="D28" t="str">
            <v>TI - V</v>
          </cell>
          <cell r="E28" t="str">
            <v>TI</v>
          </cell>
        </row>
        <row r="29">
          <cell r="D29" t="str">
            <v>TI - VI</v>
          </cell>
          <cell r="E29" t="str">
            <v>TII</v>
          </cell>
        </row>
        <row r="30">
          <cell r="D30" t="str">
            <v>TI - VII</v>
          </cell>
          <cell r="E30" t="str">
            <v>PI</v>
          </cell>
        </row>
        <row r="31">
          <cell r="D31" t="str">
            <v>TII</v>
          </cell>
          <cell r="E31" t="str">
            <v>PII</v>
          </cell>
        </row>
        <row r="32">
          <cell r="D32" t="str">
            <v>TII - II</v>
          </cell>
          <cell r="E32" t="str">
            <v>PIII</v>
          </cell>
        </row>
        <row r="33">
          <cell r="D33" t="str">
            <v>TII - III</v>
          </cell>
        </row>
        <row r="34">
          <cell r="D34" t="str">
            <v>TII - IV</v>
          </cell>
          <cell r="E34" t="str">
            <v>HP I</v>
          </cell>
        </row>
        <row r="35">
          <cell r="D35" t="str">
            <v>TII - V</v>
          </cell>
          <cell r="E35" t="str">
            <v>HP II</v>
          </cell>
        </row>
        <row r="36">
          <cell r="D36" t="str">
            <v>TII - VI</v>
          </cell>
          <cell r="E36" t="str">
            <v>HP III</v>
          </cell>
        </row>
        <row r="37">
          <cell r="D37" t="str">
            <v>TII - VII</v>
          </cell>
        </row>
        <row r="38">
          <cell r="D38" t="str">
            <v>PI</v>
          </cell>
        </row>
        <row r="39">
          <cell r="D39" t="str">
            <v>PI - II</v>
          </cell>
        </row>
        <row r="40">
          <cell r="D40" t="str">
            <v>PI - III</v>
          </cell>
        </row>
        <row r="41">
          <cell r="D41" t="str">
            <v>PI - IV</v>
          </cell>
        </row>
        <row r="42">
          <cell r="D42" t="str">
            <v>PI - V</v>
          </cell>
        </row>
        <row r="43">
          <cell r="D43" t="str">
            <v>PI - VI</v>
          </cell>
        </row>
        <row r="44">
          <cell r="D44" t="str">
            <v>PI - VII</v>
          </cell>
        </row>
        <row r="45">
          <cell r="D45" t="str">
            <v>PII</v>
          </cell>
        </row>
        <row r="46">
          <cell r="D46" t="str">
            <v>PII - II</v>
          </cell>
        </row>
        <row r="47">
          <cell r="D47" t="str">
            <v>PII - III</v>
          </cell>
        </row>
        <row r="48">
          <cell r="D48" t="str">
            <v>PII - IV</v>
          </cell>
        </row>
        <row r="49">
          <cell r="D49" t="str">
            <v>PII - V</v>
          </cell>
        </row>
        <row r="50">
          <cell r="D50" t="str">
            <v>PII - VI</v>
          </cell>
        </row>
        <row r="51">
          <cell r="D51" t="str">
            <v>PII - VII</v>
          </cell>
        </row>
        <row r="52">
          <cell r="D52" t="str">
            <v>PIII</v>
          </cell>
        </row>
        <row r="53">
          <cell r="D53" t="str">
            <v>PIII - II</v>
          </cell>
        </row>
        <row r="54">
          <cell r="D54" t="str">
            <v>PIII - III</v>
          </cell>
        </row>
        <row r="55">
          <cell r="D55" t="str">
            <v>PIII - IV</v>
          </cell>
        </row>
        <row r="56">
          <cell r="D56" t="str">
            <v>PIII - V</v>
          </cell>
        </row>
        <row r="57">
          <cell r="D57" t="str">
            <v>PIII - VI</v>
          </cell>
        </row>
        <row r="58">
          <cell r="D58" t="str">
            <v>PIII - VII</v>
          </cell>
        </row>
      </sheetData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bernación - Alcaldía"/>
      <sheetName val="CONSOLIDADO"/>
      <sheetName val="FRECUENCIA - GOB  ALC"/>
      <sheetName val="Hoja2"/>
      <sheetName val="Hoja1"/>
      <sheetName val="CALCULOS - ADMINISTRATIV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 t="str">
            <v>ELECCIÓN POPULAR</v>
          </cell>
          <cell r="C1" t="str">
            <v>COORDINADOR DE ÁREA</v>
          </cell>
        </row>
        <row r="2">
          <cell r="B2" t="str">
            <v>LNR (99)</v>
          </cell>
          <cell r="C2" t="str">
            <v>JEFE DE DIVISIÓN</v>
          </cell>
        </row>
        <row r="3">
          <cell r="B3" t="str">
            <v>MÁXIMA AUTORIDAD ÓRGANOS/ENTES</v>
          </cell>
          <cell r="C3" t="str">
            <v>DIRECTOR DE LÍNEA</v>
          </cell>
          <cell r="D3" t="str">
            <v>BI</v>
          </cell>
          <cell r="E3" t="str">
            <v>GRADO (1) - MIN</v>
          </cell>
        </row>
        <row r="4">
          <cell r="B4" t="str">
            <v>EMPLEADO/A FIJO</v>
          </cell>
          <cell r="C4" t="str">
            <v>DIRECTOR GENERAL</v>
          </cell>
          <cell r="D4" t="str">
            <v>BI - II</v>
          </cell>
          <cell r="E4" t="str">
            <v>GRADO (1) - MÁX</v>
          </cell>
        </row>
        <row r="5">
          <cell r="B5" t="str">
            <v>CONTRATADO/A</v>
          </cell>
          <cell r="C5" t="str">
            <v>ALCALDE/SA</v>
          </cell>
          <cell r="D5" t="str">
            <v>BI - III</v>
          </cell>
          <cell r="E5" t="str">
            <v>GRADO (2) - MIN</v>
          </cell>
        </row>
        <row r="6">
          <cell r="B6" t="str">
            <v>OBRERO FIJO</v>
          </cell>
          <cell r="C6" t="str">
            <v>GOBERNADOR/A</v>
          </cell>
          <cell r="D6" t="str">
            <v>BI - IV</v>
          </cell>
          <cell r="E6" t="str">
            <v>GRADO (2) - MÁX</v>
          </cell>
        </row>
        <row r="7">
          <cell r="B7" t="str">
            <v>OBRERO CONTRATADO</v>
          </cell>
          <cell r="C7" t="str">
            <v>CONCEJAL / LEGISLADOR</v>
          </cell>
          <cell r="D7" t="str">
            <v>BI - V</v>
          </cell>
          <cell r="E7" t="str">
            <v>GRADO (3) - MIN</v>
          </cell>
        </row>
        <row r="8">
          <cell r="B8" t="str">
            <v>HONORARIOS PROFESIONALES</v>
          </cell>
          <cell r="C8" t="str">
            <v>SINDICO / PROCURADOR</v>
          </cell>
          <cell r="D8" t="str">
            <v>BI - VI</v>
          </cell>
          <cell r="E8" t="str">
            <v>GRADO (3) - MÁX</v>
          </cell>
        </row>
        <row r="9">
          <cell r="B9" t="str">
            <v>PERSONAL ROTATIVO</v>
          </cell>
          <cell r="C9" t="str">
            <v>PRESIDENTE/A</v>
          </cell>
          <cell r="D9" t="str">
            <v>BI - VII</v>
          </cell>
          <cell r="E9" t="str">
            <v>GRADO (4) - MIN</v>
          </cell>
        </row>
        <row r="10">
          <cell r="B10" t="str">
            <v>ALTO NIVEL JUBILADO/A</v>
          </cell>
          <cell r="C10" t="str">
            <v>CONTRALOR/A</v>
          </cell>
          <cell r="D10" t="str">
            <v>BII</v>
          </cell>
          <cell r="E10" t="str">
            <v>GRADO (4) - MÁX</v>
          </cell>
        </row>
        <row r="11">
          <cell r="B11" t="str">
            <v>EMPLEADO/A JUBILADO/A</v>
          </cell>
          <cell r="D11" t="str">
            <v>BII - II</v>
          </cell>
          <cell r="E11" t="str">
            <v>GRADO (5) - MIN</v>
          </cell>
        </row>
        <row r="12">
          <cell r="B12" t="str">
            <v>OBRERO JUBILADO/A</v>
          </cell>
          <cell r="D12" t="str">
            <v>BII - III</v>
          </cell>
          <cell r="E12" t="str">
            <v>GRADO (5) - MÁX</v>
          </cell>
        </row>
        <row r="13">
          <cell r="B13" t="str">
            <v>ALTO NIVEL PENSIONADO/A</v>
          </cell>
          <cell r="D13" t="str">
            <v>BII - IV</v>
          </cell>
          <cell r="E13" t="str">
            <v>GRADO (6) - MIN</v>
          </cell>
        </row>
        <row r="14">
          <cell r="B14" t="str">
            <v>EMPLEADO/A PENSIONADO/A</v>
          </cell>
          <cell r="D14" t="str">
            <v>BII - V</v>
          </cell>
          <cell r="E14" t="str">
            <v>GRADO (6) - MÁX</v>
          </cell>
        </row>
        <row r="15">
          <cell r="B15" t="str">
            <v>OBRERO PENSIONADO/A</v>
          </cell>
          <cell r="C15" t="str">
            <v>COORDINADOR DE ÁREA</v>
          </cell>
          <cell r="D15" t="str">
            <v>BII - VI</v>
          </cell>
          <cell r="E15" t="str">
            <v>GRADO (7) - MIN</v>
          </cell>
        </row>
        <row r="16">
          <cell r="C16" t="str">
            <v>JEFE DE DIVISIÓN</v>
          </cell>
          <cell r="D16" t="str">
            <v>BII - VII</v>
          </cell>
          <cell r="E16" t="str">
            <v>GRADO (7) - MÁX</v>
          </cell>
        </row>
        <row r="17">
          <cell r="C17" t="str">
            <v>DIRECTOR DE LÍNEA</v>
          </cell>
          <cell r="D17" t="str">
            <v>BIII</v>
          </cell>
          <cell r="E17" t="str">
            <v>GRADO (8) - MIN</v>
          </cell>
        </row>
        <row r="18">
          <cell r="C18" t="str">
            <v>DIRECTOR GENERAL</v>
          </cell>
          <cell r="D18" t="str">
            <v>BIII - II</v>
          </cell>
          <cell r="E18" t="str">
            <v>GRADO (8) - MÁX</v>
          </cell>
        </row>
        <row r="19">
          <cell r="C19" t="str">
            <v>CONCEJAL / LEGISLADOR</v>
          </cell>
          <cell r="D19" t="str">
            <v>BIII - III</v>
          </cell>
          <cell r="E19" t="str">
            <v>GRADO (9) - MIN</v>
          </cell>
        </row>
        <row r="20">
          <cell r="C20" t="str">
            <v>SINDICO / PROCURADOR</v>
          </cell>
          <cell r="D20" t="str">
            <v>BIII - IV</v>
          </cell>
          <cell r="E20" t="str">
            <v>GRADO (9) - MÁX</v>
          </cell>
        </row>
        <row r="21">
          <cell r="C21" t="str">
            <v>PRESIDENTE/A</v>
          </cell>
          <cell r="D21" t="str">
            <v>BIII - V</v>
          </cell>
          <cell r="E21" t="str">
            <v>GRADO (10) - MIN</v>
          </cell>
        </row>
        <row r="22">
          <cell r="C22" t="str">
            <v>CONTRALOR/A</v>
          </cell>
          <cell r="D22" t="str">
            <v>BIII - VI</v>
          </cell>
          <cell r="E22" t="str">
            <v>GRADO (10) - MÁX</v>
          </cell>
        </row>
        <row r="23">
          <cell r="D23" t="str">
            <v>BIII - VII</v>
          </cell>
        </row>
        <row r="24">
          <cell r="D24" t="str">
            <v>TI</v>
          </cell>
          <cell r="E24" t="str">
            <v>ROTATIVO</v>
          </cell>
        </row>
        <row r="25">
          <cell r="D25" t="str">
            <v>TI - II</v>
          </cell>
          <cell r="E25" t="str">
            <v>BI</v>
          </cell>
        </row>
        <row r="26">
          <cell r="D26" t="str">
            <v>TI - III</v>
          </cell>
          <cell r="E26" t="str">
            <v>BII</v>
          </cell>
        </row>
        <row r="27">
          <cell r="D27" t="str">
            <v>TI - IV</v>
          </cell>
          <cell r="E27" t="str">
            <v>BIII</v>
          </cell>
        </row>
        <row r="28">
          <cell r="D28" t="str">
            <v>TI - V</v>
          </cell>
          <cell r="E28" t="str">
            <v>TI</v>
          </cell>
        </row>
        <row r="29">
          <cell r="D29" t="str">
            <v>TI - VI</v>
          </cell>
          <cell r="E29" t="str">
            <v>TII</v>
          </cell>
        </row>
        <row r="30">
          <cell r="D30" t="str">
            <v>TI - VII</v>
          </cell>
          <cell r="E30" t="str">
            <v>PI</v>
          </cell>
        </row>
        <row r="31">
          <cell r="D31" t="str">
            <v>TII</v>
          </cell>
          <cell r="E31" t="str">
            <v>PII</v>
          </cell>
        </row>
        <row r="32">
          <cell r="D32" t="str">
            <v>TII - II</v>
          </cell>
          <cell r="E32" t="str">
            <v>PIII</v>
          </cell>
        </row>
        <row r="33">
          <cell r="D33" t="str">
            <v>TII - III</v>
          </cell>
        </row>
        <row r="34">
          <cell r="D34" t="str">
            <v>TII - IV</v>
          </cell>
          <cell r="E34" t="str">
            <v>HP I</v>
          </cell>
        </row>
        <row r="35">
          <cell r="D35" t="str">
            <v>TII - V</v>
          </cell>
          <cell r="E35" t="str">
            <v>HP II</v>
          </cell>
        </row>
        <row r="36">
          <cell r="D36" t="str">
            <v>TII - VI</v>
          </cell>
          <cell r="E36" t="str">
            <v>HP III</v>
          </cell>
        </row>
        <row r="37">
          <cell r="D37" t="str">
            <v>TII - VII</v>
          </cell>
        </row>
        <row r="38">
          <cell r="D38" t="str">
            <v>PI</v>
          </cell>
        </row>
        <row r="39">
          <cell r="D39" t="str">
            <v>PI - II</v>
          </cell>
        </row>
        <row r="40">
          <cell r="D40" t="str">
            <v>PI - III</v>
          </cell>
        </row>
        <row r="41">
          <cell r="D41" t="str">
            <v>PI - IV</v>
          </cell>
        </row>
        <row r="42">
          <cell r="D42" t="str">
            <v>PI - V</v>
          </cell>
        </row>
        <row r="43">
          <cell r="D43" t="str">
            <v>PI - VI</v>
          </cell>
        </row>
        <row r="44">
          <cell r="D44" t="str">
            <v>PI - VII</v>
          </cell>
        </row>
        <row r="45">
          <cell r="D45" t="str">
            <v>PII</v>
          </cell>
        </row>
        <row r="46">
          <cell r="D46" t="str">
            <v>PII - II</v>
          </cell>
        </row>
        <row r="47">
          <cell r="D47" t="str">
            <v>PII - III</v>
          </cell>
        </row>
        <row r="48">
          <cell r="D48" t="str">
            <v>PII - IV</v>
          </cell>
        </row>
        <row r="49">
          <cell r="D49" t="str">
            <v>PII - V</v>
          </cell>
        </row>
        <row r="50">
          <cell r="D50" t="str">
            <v>PII - VI</v>
          </cell>
        </row>
        <row r="51">
          <cell r="D51" t="str">
            <v>PII - VII</v>
          </cell>
        </row>
        <row r="52">
          <cell r="D52" t="str">
            <v>PIII</v>
          </cell>
        </row>
        <row r="53">
          <cell r="D53" t="str">
            <v>PIII - II</v>
          </cell>
        </row>
        <row r="54">
          <cell r="D54" t="str">
            <v>PIII - III</v>
          </cell>
        </row>
        <row r="55">
          <cell r="D55" t="str">
            <v>PIII - IV</v>
          </cell>
        </row>
        <row r="56">
          <cell r="D56" t="str">
            <v>PIII - V</v>
          </cell>
        </row>
        <row r="57">
          <cell r="D57" t="str">
            <v>PIII - VI</v>
          </cell>
        </row>
        <row r="58">
          <cell r="D58" t="str">
            <v>PIII - VII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bernación - Alcaldía"/>
      <sheetName val="SECTOR SALUD"/>
      <sheetName val="SECTOR EDUCACIÓN"/>
      <sheetName val="CONSOLIDADO"/>
      <sheetName val="FRECUENCIA - GOB  ALC"/>
      <sheetName val="FRECUENCIA - SECTOR SALUD"/>
      <sheetName val="FRECUENCIA - SECTOR EDUCACIÓN"/>
      <sheetName val="Hoja2"/>
      <sheetName val="Hoja1"/>
      <sheetName val="CALCULOS - ADMINISTRATIVO"/>
      <sheetName val="CALCULOS - SALUD"/>
      <sheetName val="CALCULOS - EDUCACIÓ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 t="str">
            <v>ELECCIÓN POPULAR</v>
          </cell>
          <cell r="H1" t="str">
            <v>ACTIVO/A</v>
          </cell>
        </row>
        <row r="2">
          <cell r="B2" t="str">
            <v>LNR (99)</v>
          </cell>
          <cell r="H2" t="str">
            <v>COMISIÓN DE SERVICIO</v>
          </cell>
        </row>
        <row r="3">
          <cell r="B3" t="str">
            <v>MÁXIMA AUTORIDAD ÓRGANOS/ENTES</v>
          </cell>
          <cell r="H3" t="str">
            <v>JUBILADO/A</v>
          </cell>
        </row>
        <row r="4">
          <cell r="B4" t="str">
            <v>EMPLEADO/A FIJO</v>
          </cell>
          <cell r="H4" t="str">
            <v>PENSIONADO/A</v>
          </cell>
        </row>
        <row r="5">
          <cell r="B5" t="str">
            <v>CONTRATADO/A</v>
          </cell>
          <cell r="H5" t="str">
            <v>PENSIÓN SOBREVIVIENTE</v>
          </cell>
        </row>
        <row r="6">
          <cell r="B6" t="str">
            <v>OBRERO FIJO</v>
          </cell>
        </row>
        <row r="7">
          <cell r="B7" t="str">
            <v>OBRERO CONTRATADO</v>
          </cell>
        </row>
        <row r="8">
          <cell r="B8" t="str">
            <v>HONORARIOS PROFESIONALES</v>
          </cell>
          <cell r="H8" t="str">
            <v>LNR (99)</v>
          </cell>
        </row>
        <row r="9">
          <cell r="B9" t="str">
            <v>PERSONAL ROTATIVO</v>
          </cell>
          <cell r="H9" t="str">
            <v>MÁXIMA AUTORIDAD ÓRGANOS/ENTES</v>
          </cell>
        </row>
        <row r="10">
          <cell r="B10" t="str">
            <v>ALTO NIVEL JUBILADO/A</v>
          </cell>
          <cell r="H10" t="str">
            <v>EMPLEADO/A FIJO</v>
          </cell>
        </row>
        <row r="11">
          <cell r="B11" t="str">
            <v>EMPLEADO/A JUBILADO/A</v>
          </cell>
          <cell r="H11" t="str">
            <v>OBRERO FIJO</v>
          </cell>
        </row>
        <row r="12">
          <cell r="B12" t="str">
            <v>OBRERO JUBILADO/A</v>
          </cell>
        </row>
        <row r="13">
          <cell r="B13" t="str">
            <v>ALTO NIVEL PENSIONADO/A</v>
          </cell>
        </row>
        <row r="14">
          <cell r="B14" t="str">
            <v>EMPLEADO/A PENSIONADO/A</v>
          </cell>
        </row>
        <row r="15">
          <cell r="B15" t="str">
            <v>OBRERO PENSIONADO/A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MINA"/>
      <sheetName val="EJEMPLO CALCULO AGUINALDOS NUEV"/>
      <sheetName val="CONCEPTOS Y PARAMETROS"/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HIJOS 12 AÑOS"/>
      <sheetName val="HIJOS "/>
      <sheetName val="Hoja1"/>
      <sheetName val="TAB EMP"/>
      <sheetName val="TAB OBR"/>
      <sheetName val="CARGOS"/>
      <sheetName val="CARGOS POA"/>
      <sheetName val="TAB EMP (2)"/>
      <sheetName val="Varios"/>
      <sheetName val="Hoja2"/>
    </sheetNames>
    <sheetDataSet>
      <sheetData sheetId="0"/>
      <sheetData sheetId="1"/>
      <sheetData sheetId="2">
        <row r="74">
          <cell r="A74">
            <v>0</v>
          </cell>
        </row>
        <row r="75">
          <cell r="A75">
            <v>1</v>
          </cell>
        </row>
        <row r="76">
          <cell r="A76">
            <v>2</v>
          </cell>
        </row>
        <row r="77">
          <cell r="A77">
            <v>3</v>
          </cell>
        </row>
        <row r="78">
          <cell r="A78">
            <v>4</v>
          </cell>
        </row>
        <row r="79">
          <cell r="A79">
            <v>5</v>
          </cell>
        </row>
        <row r="80">
          <cell r="A80">
            <v>6</v>
          </cell>
        </row>
        <row r="81">
          <cell r="A81">
            <v>7</v>
          </cell>
        </row>
        <row r="82">
          <cell r="A82">
            <v>8</v>
          </cell>
        </row>
        <row r="83">
          <cell r="A83">
            <v>9</v>
          </cell>
        </row>
        <row r="84">
          <cell r="A84">
            <v>10</v>
          </cell>
        </row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  <row r="107">
          <cell r="A107">
            <v>0</v>
          </cell>
        </row>
        <row r="108">
          <cell r="A108" t="str">
            <v>NOCTURN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RAC"/>
      <sheetName val="CONCEPTOS Y PARAMETROS"/>
      <sheetName val="TAB EMP"/>
      <sheetName val="TAB OBR"/>
      <sheetName val="CARGOS"/>
      <sheetName val="CARGOS POA"/>
      <sheetName val="TAB EMP (2)"/>
      <sheetName val="HIJO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J3" t="str">
            <v>ENERO</v>
          </cell>
        </row>
        <row r="4">
          <cell r="J4" t="str">
            <v>FEBRERO</v>
          </cell>
        </row>
        <row r="5">
          <cell r="J5" t="str">
            <v>MARZO</v>
          </cell>
        </row>
        <row r="6">
          <cell r="J6" t="str">
            <v>ABRIL</v>
          </cell>
        </row>
        <row r="7">
          <cell r="J7" t="str">
            <v>MAYO</v>
          </cell>
        </row>
        <row r="8">
          <cell r="J8" t="str">
            <v>JUNIO</v>
          </cell>
        </row>
        <row r="9">
          <cell r="J9" t="str">
            <v>JULIO</v>
          </cell>
        </row>
        <row r="10">
          <cell r="J10" t="str">
            <v>AGOSTO</v>
          </cell>
        </row>
        <row r="11">
          <cell r="J11" t="str">
            <v>SEPTIEMBRE</v>
          </cell>
        </row>
        <row r="12">
          <cell r="J12" t="str">
            <v>OCTUBRE</v>
          </cell>
        </row>
        <row r="13">
          <cell r="J13" t="str">
            <v>NOVIEMBRE</v>
          </cell>
        </row>
        <row r="14">
          <cell r="J14" t="str">
            <v>DICIEMBRE</v>
          </cell>
        </row>
        <row r="59">
          <cell r="A59">
            <v>0</v>
          </cell>
        </row>
        <row r="60">
          <cell r="A60">
            <v>1</v>
          </cell>
        </row>
        <row r="61">
          <cell r="A61">
            <v>2</v>
          </cell>
        </row>
        <row r="74">
          <cell r="A74">
            <v>0</v>
          </cell>
        </row>
        <row r="75">
          <cell r="A75">
            <v>1</v>
          </cell>
        </row>
        <row r="76">
          <cell r="A76">
            <v>2</v>
          </cell>
        </row>
        <row r="77">
          <cell r="A77">
            <v>3</v>
          </cell>
        </row>
        <row r="78">
          <cell r="A78">
            <v>4</v>
          </cell>
        </row>
        <row r="79">
          <cell r="A79">
            <v>5</v>
          </cell>
        </row>
        <row r="80">
          <cell r="A80">
            <v>6</v>
          </cell>
        </row>
        <row r="81">
          <cell r="A81">
            <v>7</v>
          </cell>
        </row>
        <row r="82">
          <cell r="A82">
            <v>8</v>
          </cell>
        </row>
        <row r="83">
          <cell r="A83">
            <v>9</v>
          </cell>
        </row>
        <row r="84">
          <cell r="A84">
            <v>10</v>
          </cell>
        </row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  <row r="101">
          <cell r="A101">
            <v>0</v>
          </cell>
        </row>
        <row r="102">
          <cell r="A102">
            <v>1000</v>
          </cell>
        </row>
        <row r="107">
          <cell r="A107">
            <v>0</v>
          </cell>
        </row>
        <row r="108">
          <cell r="A108" t="str">
            <v>NOCTURN</v>
          </cell>
        </row>
      </sheetData>
      <sheetData sheetId="12">
        <row r="2">
          <cell r="A2" t="str">
            <v>B1   (0-2 AÑOS)</v>
          </cell>
        </row>
        <row r="3">
          <cell r="A3" t="str">
            <v>B2   (3-5 AÑOS)</v>
          </cell>
        </row>
        <row r="4">
          <cell r="A4" t="str">
            <v>B3   (6-8 AÑOS)</v>
          </cell>
        </row>
        <row r="5">
          <cell r="A5" t="str">
            <v>B3I   (9-11 AÑOS)</v>
          </cell>
        </row>
        <row r="6">
          <cell r="A6" t="str">
            <v>B3II   (12-14 AÑOS)</v>
          </cell>
        </row>
        <row r="7">
          <cell r="A7" t="str">
            <v>B3III   (15-17 AÑOS)</v>
          </cell>
        </row>
        <row r="8">
          <cell r="A8" t="str">
            <v>B3IV   (18 EN ADELANTE)</v>
          </cell>
        </row>
        <row r="9">
          <cell r="A9" t="str">
            <v>T1   (0-2 AÑOS)</v>
          </cell>
        </row>
        <row r="10">
          <cell r="A10" t="str">
            <v>T2   (3-5 AÑOS)</v>
          </cell>
        </row>
        <row r="11">
          <cell r="A11" t="str">
            <v>T2I   (6-8 AÑOS)</v>
          </cell>
        </row>
        <row r="12">
          <cell r="A12" t="str">
            <v>T2II   (9-11 AÑOS)</v>
          </cell>
        </row>
        <row r="13">
          <cell r="A13" t="str">
            <v>T2III   (12-14 AÑOS)</v>
          </cell>
        </row>
        <row r="14">
          <cell r="A14" t="str">
            <v>T2IV   (15-17 AÑOS)</v>
          </cell>
        </row>
        <row r="15">
          <cell r="A15" t="str">
            <v>T2V   (18 EN ADELANTE)</v>
          </cell>
        </row>
        <row r="16">
          <cell r="A16" t="str">
            <v>P1   (0-2 AÑOS)</v>
          </cell>
        </row>
        <row r="17">
          <cell r="A17" t="str">
            <v>P2   (3-5 AÑOS)</v>
          </cell>
        </row>
        <row r="18">
          <cell r="A18" t="str">
            <v>P2I   (6-8 AÑOS)</v>
          </cell>
        </row>
        <row r="19">
          <cell r="A19" t="str">
            <v xml:space="preserve">P2II   (9-11 AÑOS)  </v>
          </cell>
        </row>
        <row r="20">
          <cell r="A20" t="str">
            <v>P2III   (12-14 AÑOS)</v>
          </cell>
        </row>
        <row r="21">
          <cell r="A21" t="str">
            <v>P2IV   (15-17 AÑOS)</v>
          </cell>
        </row>
        <row r="22">
          <cell r="A22" t="str">
            <v>P2V    (18 EN ADELANTE)</v>
          </cell>
        </row>
        <row r="23">
          <cell r="A23" t="str">
            <v>P3    (0-2 AÑOS)</v>
          </cell>
        </row>
        <row r="24">
          <cell r="A24" t="str">
            <v>P3I     (3-5 AÑOS)</v>
          </cell>
        </row>
        <row r="25">
          <cell r="A25" t="str">
            <v>P3II     (6-8 AÑOS)</v>
          </cell>
        </row>
        <row r="26">
          <cell r="A26" t="str">
            <v xml:space="preserve">P3III    (9-11 AÑOS)    </v>
          </cell>
        </row>
        <row r="27">
          <cell r="A27" t="str">
            <v>P3IV    (12-14 AÑOS)</v>
          </cell>
        </row>
        <row r="28">
          <cell r="A28" t="str">
            <v>P3V    (15-17 AÑOS)</v>
          </cell>
        </row>
        <row r="29">
          <cell r="A29" t="str">
            <v>P3VI   (18 EN ADELANTE)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13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14">
        <row r="2">
          <cell r="A2">
            <v>0</v>
          </cell>
        </row>
        <row r="3">
          <cell r="A3" t="str">
            <v>DOC. BASICO SUPERVISOR (40 HORAS) Y DIRECTOR VI 77 (16 HORAS)</v>
          </cell>
        </row>
        <row r="4">
          <cell r="A4" t="str">
            <v>ABOGADO FISCAL I</v>
          </cell>
        </row>
        <row r="5">
          <cell r="A5" t="str">
            <v>ABOGADO FISCAL II</v>
          </cell>
        </row>
        <row r="6">
          <cell r="A6" t="str">
            <v>ABOGADO FISCAL III</v>
          </cell>
        </row>
        <row r="7">
          <cell r="A7" t="str">
            <v>ABOGADO FISCAL IV</v>
          </cell>
        </row>
        <row r="8">
          <cell r="A8" t="str">
            <v>ABOGADO FISCAL JEFE</v>
          </cell>
        </row>
        <row r="9">
          <cell r="A9" t="str">
            <v>ABOGADO I</v>
          </cell>
        </row>
        <row r="10">
          <cell r="A10" t="str">
            <v>ABOGADO II</v>
          </cell>
        </row>
        <row r="11">
          <cell r="A11" t="str">
            <v>ABOGADO III</v>
          </cell>
        </row>
        <row r="12">
          <cell r="A12" t="str">
            <v>ABOGADO IV</v>
          </cell>
        </row>
        <row r="13">
          <cell r="A13" t="str">
            <v>ABOGADO JEFE</v>
          </cell>
        </row>
        <row r="14">
          <cell r="A14" t="str">
            <v>ABOGADO PROCURADURIA I</v>
          </cell>
        </row>
        <row r="15">
          <cell r="A15" t="str">
            <v>ABOGADO PROCURADURIA II</v>
          </cell>
        </row>
        <row r="16">
          <cell r="A16" t="str">
            <v>ABOGADO PROCURADURIA III</v>
          </cell>
        </row>
        <row r="17">
          <cell r="A17" t="str">
            <v>ABOGADO PROCURADURIA IV</v>
          </cell>
        </row>
        <row r="18">
          <cell r="A18" t="str">
            <v>ACTUARIO I</v>
          </cell>
        </row>
        <row r="19">
          <cell r="A19" t="str">
            <v>ACTUARIO II</v>
          </cell>
        </row>
        <row r="20">
          <cell r="A20" t="str">
            <v>ACTUARIO III</v>
          </cell>
        </row>
        <row r="21">
          <cell r="A21" t="str">
            <v>ACTUARIO IV</v>
          </cell>
        </row>
        <row r="22">
          <cell r="A22" t="str">
            <v>ACTUARIO V</v>
          </cell>
        </row>
        <row r="23">
          <cell r="A23" t="str">
            <v>ADJUNTO INTERVENTOR DE ADUANAS I</v>
          </cell>
        </row>
        <row r="24">
          <cell r="A24" t="str">
            <v>ADJUNTO INTERVENTOR DE ADUANAS II</v>
          </cell>
        </row>
        <row r="25">
          <cell r="A25" t="str">
            <v>ADJUNTO INTERVENTOR DE ADUANAS III</v>
          </cell>
        </row>
        <row r="26">
          <cell r="A26" t="str">
            <v>ADMINISTRADOR DE COLECCIONES</v>
          </cell>
        </row>
        <row r="27">
          <cell r="A27" t="str">
            <v>ADMINISTRADOR I</v>
          </cell>
        </row>
        <row r="28">
          <cell r="A28" t="str">
            <v>ADMINISTRADOR II</v>
          </cell>
        </row>
        <row r="29">
          <cell r="A29" t="str">
            <v>ADMINISTRADOR III</v>
          </cell>
        </row>
        <row r="30">
          <cell r="A30" t="str">
            <v>ADMINISTRADOR IV</v>
          </cell>
        </row>
        <row r="31">
          <cell r="A31" t="str">
            <v>ADMINISTRADOR JEFE</v>
          </cell>
        </row>
        <row r="32">
          <cell r="A32" t="str">
            <v>ADMINISTRADOR V</v>
          </cell>
        </row>
        <row r="33">
          <cell r="A33" t="str">
            <v>AEROTOPOGRAFO I</v>
          </cell>
        </row>
        <row r="34">
          <cell r="A34" t="str">
            <v>AEROTOPOGRAFO II</v>
          </cell>
        </row>
        <row r="35">
          <cell r="A35" t="str">
            <v>AEROTOPOGRAFO III</v>
          </cell>
        </row>
        <row r="36">
          <cell r="A36" t="str">
            <v>AEROTOPOGRAFO IV</v>
          </cell>
        </row>
        <row r="37">
          <cell r="A37" t="str">
            <v>AEROTOPOGRAFO JEFE</v>
          </cell>
        </row>
        <row r="38">
          <cell r="A38" t="str">
            <v>AFERIDOR I</v>
          </cell>
        </row>
        <row r="39">
          <cell r="A39" t="str">
            <v>AFERIDOR II</v>
          </cell>
        </row>
        <row r="40">
          <cell r="A40" t="str">
            <v>AFORADOR DE HIDROCARBUROS</v>
          </cell>
        </row>
        <row r="41">
          <cell r="A41" t="str">
            <v>AGENTE</v>
          </cell>
        </row>
        <row r="42">
          <cell r="A42" t="str">
            <v>AGENTE AYUDA JUVENIL I</v>
          </cell>
        </row>
        <row r="43">
          <cell r="A43" t="str">
            <v>AGENTE AYUDA JUVENIL II</v>
          </cell>
        </row>
        <row r="44">
          <cell r="A44" t="str">
            <v>AGENTE COOPERATIVISTA I</v>
          </cell>
        </row>
        <row r="45">
          <cell r="A45" t="str">
            <v>AGENTE COOPERATIVISTA II</v>
          </cell>
        </row>
        <row r="46">
          <cell r="A46" t="str">
            <v>AGENTE DE INMIGRACION Y EXTRANJERIA I</v>
          </cell>
        </row>
        <row r="47">
          <cell r="A47" t="str">
            <v>AGENTE DE INMIGRACION Y EXTRANJERIA II</v>
          </cell>
        </row>
        <row r="48">
          <cell r="A48" t="str">
            <v>AGENTE DE INMIGRACION Y EXTRANJERIA III</v>
          </cell>
        </row>
        <row r="49">
          <cell r="A49" t="str">
            <v>AGENTE DE VIVIENDA I</v>
          </cell>
        </row>
        <row r="50">
          <cell r="A50" t="str">
            <v>AGENTE DE VIVIENDA II</v>
          </cell>
        </row>
        <row r="51">
          <cell r="A51" t="str">
            <v>AGENTE DE VIVIENDA III</v>
          </cell>
        </row>
        <row r="52">
          <cell r="A52" t="str">
            <v>AGENTE DISIP</v>
          </cell>
        </row>
        <row r="53">
          <cell r="A53" t="str">
            <v>AGRIMENSOR I</v>
          </cell>
        </row>
        <row r="54">
          <cell r="A54" t="str">
            <v>AGRIMENSOR II</v>
          </cell>
        </row>
        <row r="55">
          <cell r="A55" t="str">
            <v>AGRIMENSOR III</v>
          </cell>
        </row>
        <row r="56">
          <cell r="A56" t="str">
            <v>AGRIMENSOR JEFE</v>
          </cell>
        </row>
        <row r="57">
          <cell r="A57" t="str">
            <v>ALFABETIZADOR</v>
          </cell>
        </row>
        <row r="58">
          <cell r="A58" t="str">
            <v>ALFABETIZADOR I   139</v>
          </cell>
        </row>
        <row r="59">
          <cell r="A59" t="str">
            <v>ALFABETIZADOR I   77</v>
          </cell>
        </row>
        <row r="60">
          <cell r="A60" t="str">
            <v>ALFABETIZADOR I TCVDMA</v>
          </cell>
        </row>
        <row r="61">
          <cell r="A61" t="str">
            <v>ALFABETIZADOR II  139</v>
          </cell>
        </row>
        <row r="62">
          <cell r="A62" t="str">
            <v>ALFABETIZADOR II  77</v>
          </cell>
        </row>
        <row r="63">
          <cell r="A63" t="str">
            <v>ALFABETIZADOR II TCVDMA</v>
          </cell>
        </row>
        <row r="64">
          <cell r="A64" t="str">
            <v>ALFABETIZADOR III 139</v>
          </cell>
        </row>
        <row r="65">
          <cell r="A65" t="str">
            <v>ALFABETIZADOR III 77</v>
          </cell>
        </row>
        <row r="66">
          <cell r="A66" t="str">
            <v>ALFABETIZADOR III TCVDMA</v>
          </cell>
        </row>
        <row r="67">
          <cell r="A67" t="str">
            <v>ALFABETIZADOR IV  139</v>
          </cell>
        </row>
        <row r="68">
          <cell r="A68" t="str">
            <v>ALFABETIZADOR IV  77</v>
          </cell>
        </row>
        <row r="69">
          <cell r="A69" t="str">
            <v>ALFABETIZADOR IV TCVDMA</v>
          </cell>
        </row>
        <row r="70">
          <cell r="A70" t="str">
            <v>ALFABETIZADOR N.G.</v>
          </cell>
        </row>
        <row r="71">
          <cell r="A71" t="str">
            <v>ALFABETIZADOR NG TCVDMA</v>
          </cell>
        </row>
        <row r="72">
          <cell r="A72" t="str">
            <v>ALFABETIZADOR V   139</v>
          </cell>
        </row>
        <row r="73">
          <cell r="A73" t="str">
            <v>ALFABETIZADOR V   77</v>
          </cell>
        </row>
        <row r="74">
          <cell r="A74" t="str">
            <v>ALFABETIZADOR V TCVDMA</v>
          </cell>
        </row>
        <row r="75">
          <cell r="A75" t="str">
            <v>ALFABETIZADOR VI  139</v>
          </cell>
        </row>
        <row r="76">
          <cell r="A76" t="str">
            <v>ALFABETIZADOR VI  77</v>
          </cell>
        </row>
        <row r="77">
          <cell r="A77" t="str">
            <v>ALFABETIZADOR VI TCVDMA</v>
          </cell>
        </row>
        <row r="78">
          <cell r="A78" t="str">
            <v>ALMACENISTA I</v>
          </cell>
        </row>
        <row r="79">
          <cell r="A79" t="str">
            <v>ALMACENISTA II</v>
          </cell>
        </row>
        <row r="80">
          <cell r="A80" t="str">
            <v>ANALISTA CENTRAL DE PERSONAL I</v>
          </cell>
        </row>
        <row r="81">
          <cell r="A81" t="str">
            <v>ANALISTA CENTRAL DE PERSONAL II</v>
          </cell>
        </row>
        <row r="82">
          <cell r="A82" t="str">
            <v>ANALISTA CENTRAL DE PERSONAL III</v>
          </cell>
        </row>
        <row r="83">
          <cell r="A83" t="str">
            <v>ANALISTA CENTRAL DE PERSONAL IV</v>
          </cell>
        </row>
        <row r="84">
          <cell r="A84" t="str">
            <v>ANALISTA CENTRAL DE PERSONAL JEFE</v>
          </cell>
        </row>
        <row r="85">
          <cell r="A85" t="str">
            <v>ANALISTA CENTRAL DE PRESUPUESTO I</v>
          </cell>
        </row>
        <row r="86">
          <cell r="A86" t="str">
            <v>ANALISTA CENTRAL DE PRESUPUESTO II</v>
          </cell>
        </row>
        <row r="87">
          <cell r="A87" t="str">
            <v>ANALISTA CENTRAL DE PRESUPUESTO III</v>
          </cell>
        </row>
        <row r="88">
          <cell r="A88" t="str">
            <v>ANALISTA CENTRAL DE PRESUPUESTO IV</v>
          </cell>
        </row>
        <row r="89">
          <cell r="A89" t="str">
            <v>ANALISTA CENTRAL DE PRESUPUESTO JEFE</v>
          </cell>
        </row>
        <row r="90">
          <cell r="A90" t="str">
            <v>ANALISTA CENTRAL ORGAN. Y SISTEMAS I</v>
          </cell>
        </row>
        <row r="91">
          <cell r="A91" t="str">
            <v>ANALISTA CENTRAL ORGAN. Y SISTEMAS II</v>
          </cell>
        </row>
        <row r="92">
          <cell r="A92" t="str">
            <v>ANALISTA CENTRAL ORGAN. Y SISTEMAS III</v>
          </cell>
        </row>
        <row r="93">
          <cell r="A93" t="str">
            <v>ANALISTA CENTRAL ORGAN. Y SISTEMAS IV</v>
          </cell>
        </row>
        <row r="94">
          <cell r="A94" t="str">
            <v>ANALISTA CENTRAL ORGAN. Y SISTEMAS JEFE</v>
          </cell>
        </row>
        <row r="95">
          <cell r="A95" t="str">
            <v>ANALISTA CENTRAL ORGAN. Y SISTEMAS V</v>
          </cell>
        </row>
        <row r="96">
          <cell r="A96" t="str">
            <v>ANALISTA CENTRAL PERSONAL EN FORMACION</v>
          </cell>
        </row>
        <row r="97">
          <cell r="A97" t="str">
            <v>ANALISTA CENTRAL PRESUP EN FORMACION</v>
          </cell>
        </row>
        <row r="98">
          <cell r="A98" t="str">
            <v>ANALISTA DE ASUNTOS AUDIOVISUALES</v>
          </cell>
        </row>
        <row r="99">
          <cell r="A99" t="str">
            <v>ANALISTA DE COLOCACION Y SEGUIMIENTO</v>
          </cell>
        </row>
        <row r="100">
          <cell r="A100" t="str">
            <v>ANALISTA DE CONTROL FINANCIERO I</v>
          </cell>
        </row>
        <row r="101">
          <cell r="A101" t="str">
            <v>ANALISTA DE CONTROL FINANCIERO II</v>
          </cell>
        </row>
        <row r="102">
          <cell r="A102" t="str">
            <v>ANALISTA DE CONTROL FINANCIERO III</v>
          </cell>
        </row>
        <row r="103">
          <cell r="A103" t="str">
            <v>ANALISTA DE CONTROL FINANCIERO IV</v>
          </cell>
        </row>
        <row r="104">
          <cell r="A104" t="str">
            <v>ANALISTA DE CONTROL FINANCIERO JEFE</v>
          </cell>
        </row>
        <row r="105">
          <cell r="A105" t="str">
            <v>ANALISTA DE CONTROL FINANCIERO JEFE II</v>
          </cell>
        </row>
        <row r="106">
          <cell r="A106" t="str">
            <v>ANALISTA DE CONTROL FINANCIERO V</v>
          </cell>
        </row>
        <row r="107">
          <cell r="A107" t="str">
            <v>ANALISTA DE CREDITOS AGROPECUARIO III</v>
          </cell>
        </row>
        <row r="108">
          <cell r="A108" t="str">
            <v>ANALISTA DE CREDITOS AGROPECUARIOS I</v>
          </cell>
        </row>
        <row r="109">
          <cell r="A109" t="str">
            <v>ANALISTA DE CREDITOS AGROPECUARIOS II</v>
          </cell>
        </row>
        <row r="110">
          <cell r="A110" t="str">
            <v>ANALISTA DE CREDITOS AGROPECUARIOS JEFE</v>
          </cell>
        </row>
        <row r="111">
          <cell r="A111" t="str">
            <v>ANALISTA DE ORGANIZACION Y SISTEMAS I</v>
          </cell>
        </row>
        <row r="112">
          <cell r="A112" t="str">
            <v>ANALISTA DE ORGANIZACION Y SISTEMAS II</v>
          </cell>
        </row>
        <row r="113">
          <cell r="A113" t="str">
            <v>ANALISTA DE ORGANIZACION Y SISTEMAS III</v>
          </cell>
        </row>
        <row r="114">
          <cell r="A114" t="str">
            <v>ANALISTA DE ORGANIZACION Y SISTEMAS IV</v>
          </cell>
        </row>
        <row r="115">
          <cell r="A115" t="str">
            <v>ANALISTA DE ORGANIZACION Y SISTEMAS JEFE</v>
          </cell>
        </row>
        <row r="116">
          <cell r="A116" t="str">
            <v>ANALISTA DE PERSONAL I</v>
          </cell>
        </row>
        <row r="117">
          <cell r="A117" t="str">
            <v>ANALISTA DE PERSONAL II</v>
          </cell>
        </row>
        <row r="118">
          <cell r="A118" t="str">
            <v>ANALISTA DE PERSONAL III</v>
          </cell>
        </row>
        <row r="119">
          <cell r="A119" t="str">
            <v>ANALISTA DE PERSONAL IV</v>
          </cell>
        </row>
        <row r="120">
          <cell r="A120" t="str">
            <v>ANALISTA DE PERSONAL V</v>
          </cell>
        </row>
        <row r="121">
          <cell r="A121" t="str">
            <v>ANALISTA DE PERSONAL VI</v>
          </cell>
        </row>
        <row r="122">
          <cell r="A122" t="str">
            <v>ANALISTA DE PRESUPUESTO I</v>
          </cell>
        </row>
        <row r="123">
          <cell r="A123" t="str">
            <v>ANALISTA DE PRESUPUESTO II</v>
          </cell>
        </row>
        <row r="124">
          <cell r="A124" t="str">
            <v>ANALISTA DE PRESUPUESTO III</v>
          </cell>
        </row>
        <row r="125">
          <cell r="A125" t="str">
            <v>ANALISTA DE PRESUPUESTO IV</v>
          </cell>
        </row>
        <row r="126">
          <cell r="A126" t="str">
            <v>ANALISTA DE PRESUPUESTO JEFE</v>
          </cell>
        </row>
        <row r="127">
          <cell r="A127" t="str">
            <v>ANALISTA DE PROCESAMIENTO DE DATOS I</v>
          </cell>
        </row>
        <row r="128">
          <cell r="A128" t="str">
            <v>ANALISTA DE PROCESAMIENTO DE DATOS II</v>
          </cell>
        </row>
        <row r="129">
          <cell r="A129" t="str">
            <v>ANALISTA DE PROCESAMIENTO DE DATOS III</v>
          </cell>
        </row>
        <row r="130">
          <cell r="A130" t="str">
            <v>ANALISTA DE PROCESAMIENTO DE DATOS IV</v>
          </cell>
        </row>
        <row r="131">
          <cell r="A131" t="str">
            <v>ANALISTA DE PROCESAMIENTO DE DATOS V</v>
          </cell>
        </row>
        <row r="132">
          <cell r="A132" t="str">
            <v>ANALISTA DE PROYECTOS AGROPECUARIOS I</v>
          </cell>
        </row>
        <row r="133">
          <cell r="A133" t="str">
            <v>ANALISTA DE PROYECTOS AGROPECUARIOS II</v>
          </cell>
        </row>
        <row r="134">
          <cell r="A134" t="str">
            <v>ANALISTA DE PROYECTOS AGROPECUARIOS III</v>
          </cell>
        </row>
        <row r="135">
          <cell r="A135" t="str">
            <v>ANALISTA DE PROYECTOS INDUSTRIALES I</v>
          </cell>
        </row>
        <row r="136">
          <cell r="A136" t="str">
            <v>ANALISTA DE PROYECTOS INDUSTRIALES II</v>
          </cell>
        </row>
        <row r="137">
          <cell r="A137" t="str">
            <v>ANALISTA DE PROYECTOS INDUSTRIALES III</v>
          </cell>
        </row>
        <row r="138">
          <cell r="A138" t="str">
            <v>ANALISTA DE SEGURIDAD Y DEFENSA I</v>
          </cell>
        </row>
        <row r="139">
          <cell r="A139" t="str">
            <v>ANALISTA DE SEGURIDAD Y DEFENSA III</v>
          </cell>
        </row>
        <row r="140">
          <cell r="A140" t="str">
            <v>ANALISTA DE SEGURIDAD Y DEFENSA IV</v>
          </cell>
        </row>
        <row r="141">
          <cell r="A141" t="str">
            <v>ANALISTA DE SEGURIDAD Y DEFENSA JEFE</v>
          </cell>
        </row>
        <row r="142">
          <cell r="A142" t="str">
            <v>ANALISTA DE SEGURIDAD Y DENFENSA II</v>
          </cell>
        </row>
        <row r="143">
          <cell r="A143" t="str">
            <v>ANALISTA DE SUPERV. DE CREDITOS AGRO II</v>
          </cell>
        </row>
        <row r="144">
          <cell r="A144" t="str">
            <v>ANALISTA DE SUPERV. DE CREDITOS AGRO III</v>
          </cell>
        </row>
        <row r="145">
          <cell r="A145" t="str">
            <v>ANALISTA DE SUPERV. DE CREDITOS AGRO. I</v>
          </cell>
        </row>
        <row r="146">
          <cell r="A146" t="str">
            <v>ANALISTA FINANCIERO I</v>
          </cell>
        </row>
        <row r="147">
          <cell r="A147" t="str">
            <v>ANALISTA FINANCIERO II</v>
          </cell>
        </row>
        <row r="148">
          <cell r="A148" t="str">
            <v>ANALISTA FINANCIERO III</v>
          </cell>
        </row>
        <row r="149">
          <cell r="A149" t="str">
            <v>ANALISTA FINANCIERO IV</v>
          </cell>
        </row>
        <row r="150">
          <cell r="A150" t="str">
            <v>ANALISTA FINANCIERO JEFE</v>
          </cell>
        </row>
        <row r="151">
          <cell r="A151" t="str">
            <v>ANALISTA FINANCIERO V</v>
          </cell>
        </row>
        <row r="152">
          <cell r="A152" t="str">
            <v>ANALISTA OCUPACIONAL  JEFE</v>
          </cell>
        </row>
        <row r="153">
          <cell r="A153" t="str">
            <v>ANALISTA OCUPACIONAL I</v>
          </cell>
        </row>
        <row r="154">
          <cell r="A154" t="str">
            <v>ANALISTA OCUPACIONAL II</v>
          </cell>
        </row>
        <row r="155">
          <cell r="A155" t="str">
            <v>ANTROPOLOGO I</v>
          </cell>
        </row>
        <row r="156">
          <cell r="A156" t="str">
            <v>ANTROPOLOGO II</v>
          </cell>
        </row>
        <row r="157">
          <cell r="A157" t="str">
            <v>ANTROPOLOGO III</v>
          </cell>
        </row>
        <row r="158">
          <cell r="A158" t="str">
            <v>ARCHIVISTA I</v>
          </cell>
        </row>
        <row r="159">
          <cell r="A159" t="str">
            <v>ARCHIVISTA II</v>
          </cell>
        </row>
        <row r="160">
          <cell r="A160" t="str">
            <v>ARCHIVISTA III</v>
          </cell>
        </row>
        <row r="161">
          <cell r="A161" t="str">
            <v>ARCHIVOLOGO I</v>
          </cell>
        </row>
        <row r="162">
          <cell r="A162" t="str">
            <v>ARCHIVOLOGO II</v>
          </cell>
        </row>
        <row r="163">
          <cell r="A163" t="str">
            <v>ARCHIVOLOGO III</v>
          </cell>
        </row>
        <row r="164">
          <cell r="A164" t="str">
            <v>ARCHIVOLOGO IV</v>
          </cell>
        </row>
        <row r="165">
          <cell r="A165" t="str">
            <v>ARMONICA</v>
          </cell>
        </row>
        <row r="166">
          <cell r="A166" t="str">
            <v>ARQUITECTO I</v>
          </cell>
        </row>
        <row r="167">
          <cell r="A167" t="str">
            <v>ARQUITECTO II</v>
          </cell>
        </row>
        <row r="168">
          <cell r="A168" t="str">
            <v>ARQUITECTO III</v>
          </cell>
        </row>
        <row r="169">
          <cell r="A169" t="str">
            <v>ARQUITECTO JEFE I</v>
          </cell>
        </row>
        <row r="170">
          <cell r="A170" t="str">
            <v>ARQUITECTO JEFE II</v>
          </cell>
        </row>
        <row r="171">
          <cell r="A171" t="str">
            <v>ARQUITECTO PAISAJISTA I</v>
          </cell>
        </row>
        <row r="172">
          <cell r="A172" t="str">
            <v>ARQUITECTO PAISAJISTA II</v>
          </cell>
        </row>
        <row r="173">
          <cell r="A173" t="str">
            <v>ARQUITECTO PAISAJISTA III</v>
          </cell>
        </row>
        <row r="174">
          <cell r="A174" t="str">
            <v>ARQUITECTO PAISAJISTA JEFE I</v>
          </cell>
        </row>
        <row r="175">
          <cell r="A175" t="str">
            <v>ARQUITECTO PAISAJISTA JEFE II</v>
          </cell>
        </row>
        <row r="176">
          <cell r="A176" t="str">
            <v>ASIS. COORD. RED. B. IV 139</v>
          </cell>
        </row>
        <row r="177">
          <cell r="A177" t="str">
            <v>ASIST. BIBLIOTECA III</v>
          </cell>
        </row>
        <row r="178">
          <cell r="A178" t="str">
            <v>ASIST. BIBLIOTECA TCVN</v>
          </cell>
        </row>
        <row r="179">
          <cell r="A179" t="str">
            <v>ASIST. DE TALLER II</v>
          </cell>
        </row>
        <row r="180">
          <cell r="A180" t="str">
            <v>ASIST. DE TALLER III N.G.</v>
          </cell>
        </row>
        <row r="181">
          <cell r="A181" t="str">
            <v>ASIST.COORD.RED.B. IV 77</v>
          </cell>
        </row>
        <row r="182">
          <cell r="A182" t="str">
            <v>ASISTENTE  PABELLON DE FERIAS</v>
          </cell>
        </row>
        <row r="183">
          <cell r="A183" t="str">
            <v>ASISTENTE A LA SECRETARIA PRIVADA</v>
          </cell>
        </row>
        <row r="184">
          <cell r="A184" t="str">
            <v>ASISTENTE ADMINISTRATIVO I</v>
          </cell>
        </row>
        <row r="185">
          <cell r="A185" t="str">
            <v>ASISTENTE ADMINISTRATIVO II</v>
          </cell>
        </row>
        <row r="186">
          <cell r="A186" t="str">
            <v>ASISTENTE ADMINISTRATIVO III</v>
          </cell>
        </row>
        <row r="187">
          <cell r="A187" t="str">
            <v>ASISTENTE ADMINISTRATIVO IV</v>
          </cell>
        </row>
        <row r="188">
          <cell r="A188" t="str">
            <v>ASISTENTE ADMINISTRATIVO V</v>
          </cell>
        </row>
        <row r="189">
          <cell r="A189" t="str">
            <v>ASISTENTE ADMINISTRATIVO VI</v>
          </cell>
        </row>
        <row r="190">
          <cell r="A190" t="str">
            <v>ASISTENTE AEROPUERTO I</v>
          </cell>
        </row>
        <row r="191">
          <cell r="A191" t="str">
            <v>ASISTENTE AEROPUERTO II</v>
          </cell>
        </row>
        <row r="192">
          <cell r="A192" t="str">
            <v>ASISTENTE AEROPUERTO III</v>
          </cell>
        </row>
        <row r="193">
          <cell r="A193" t="str">
            <v>ASISTENTE AGROPECUARIO I</v>
          </cell>
        </row>
        <row r="194">
          <cell r="A194" t="str">
            <v>ASISTENTE AGROPECUARIO II</v>
          </cell>
        </row>
        <row r="195">
          <cell r="A195" t="str">
            <v>ASISTENTE AL COORDINADOR</v>
          </cell>
        </row>
        <row r="196">
          <cell r="A196" t="str">
            <v>ASISTENTE AL DIRECTOR</v>
          </cell>
        </row>
        <row r="197">
          <cell r="A197" t="str">
            <v>ASISTENTE AL JEFE CAPITANIA DE PUERTOS</v>
          </cell>
        </row>
        <row r="198">
          <cell r="A198" t="str">
            <v>ASISTENTE AL PRESIDENTE</v>
          </cell>
        </row>
        <row r="199">
          <cell r="A199" t="str">
            <v>ASISTENTE AL SECRETARIO</v>
          </cell>
        </row>
        <row r="200">
          <cell r="A200" t="str">
            <v>ASISTENTE ANALISTA FINANCIERO I</v>
          </cell>
        </row>
        <row r="201">
          <cell r="A201" t="str">
            <v>ASISTENTE ANALISTA FINANCIERO II</v>
          </cell>
        </row>
        <row r="202">
          <cell r="A202" t="str">
            <v>ASISTENTE ASUNTOS LITERARIOS</v>
          </cell>
        </row>
        <row r="203">
          <cell r="A203" t="str">
            <v>ASISTENTE AUXILIAR DE HIDROMETERIOLOGIA</v>
          </cell>
        </row>
        <row r="204">
          <cell r="A204" t="str">
            <v>ASISTENTE AUXILIAR DE SERVICIO SOCIAL</v>
          </cell>
        </row>
        <row r="205">
          <cell r="A205" t="str">
            <v>ASISTENTE CENTRAL DE ORGAN. Y SISTEMAS</v>
          </cell>
        </row>
        <row r="206">
          <cell r="A206" t="str">
            <v>ASISTENTE DE ANALISTA I</v>
          </cell>
        </row>
        <row r="207">
          <cell r="A207" t="str">
            <v>ASISTENTE DE ANALISTA II</v>
          </cell>
        </row>
        <row r="208">
          <cell r="A208" t="str">
            <v>ASISTENTE DE ANALISTA III</v>
          </cell>
        </row>
        <row r="209">
          <cell r="A209" t="str">
            <v>ASISTENTE DE ASUNTOS CINEMATOGRAFICOS</v>
          </cell>
        </row>
        <row r="210">
          <cell r="A210" t="str">
            <v>ASISTENTE DE ASUNTOS LEGALES I</v>
          </cell>
        </row>
        <row r="211">
          <cell r="A211" t="str">
            <v>ASISTENTE DE ASUNTOS LEGALES II</v>
          </cell>
        </row>
        <row r="212">
          <cell r="A212" t="str">
            <v>ASISTENTE DE BIBLIOTECA I</v>
          </cell>
        </row>
        <row r="213">
          <cell r="A213" t="str">
            <v>ASISTENTE DE BIBLIOTECA II</v>
          </cell>
        </row>
        <row r="214">
          <cell r="A214" t="str">
            <v>ASISTENTE DE BIBLIOTECA III</v>
          </cell>
        </row>
        <row r="215">
          <cell r="A215" t="str">
            <v>ASISTENTE DE BIOLOGIA I</v>
          </cell>
        </row>
        <row r="216">
          <cell r="A216" t="str">
            <v>ASISTENTE DE BIOLOGIA II</v>
          </cell>
        </row>
        <row r="217">
          <cell r="A217" t="str">
            <v>ASISTENTE DE CAPITAN DE PUERTO I</v>
          </cell>
        </row>
        <row r="218">
          <cell r="A218" t="str">
            <v>ASISTENTE DE CAPITAN DE PUERTO II</v>
          </cell>
        </row>
        <row r="219">
          <cell r="A219" t="str">
            <v>ASISTENTE DE COMUNICACION SOCIAL I</v>
          </cell>
        </row>
        <row r="220">
          <cell r="A220" t="str">
            <v>ASISTENTE DE COMUNICACION SOCIAL II</v>
          </cell>
        </row>
        <row r="221">
          <cell r="A221" t="str">
            <v>ASISTENTE DE CONTROL FINANCIERO</v>
          </cell>
        </row>
        <row r="222">
          <cell r="A222" t="str">
            <v>ASISTENTE DE DIETETICA</v>
          </cell>
        </row>
        <row r="223">
          <cell r="A223" t="str">
            <v>ASISTENTE DE ECONOMIA I</v>
          </cell>
        </row>
        <row r="224">
          <cell r="A224" t="str">
            <v>ASISTENTE DE ECONOMIA II</v>
          </cell>
        </row>
        <row r="225">
          <cell r="A225" t="str">
            <v>ASISTENTE DE ESCENOGRAFIA</v>
          </cell>
        </row>
        <row r="226">
          <cell r="A226" t="str">
            <v>ASISTENTE DE ESTADISTICA I</v>
          </cell>
        </row>
        <row r="227">
          <cell r="A227" t="str">
            <v>ASISTENTE DE ESTADISTICA II</v>
          </cell>
        </row>
        <row r="228">
          <cell r="A228" t="str">
            <v>ASISTENTE DE ESTADISTICA III</v>
          </cell>
        </row>
        <row r="229">
          <cell r="A229" t="str">
            <v>ASISTENTE DE ESTIMADOR DE ASTILLEROS I</v>
          </cell>
        </row>
        <row r="230">
          <cell r="A230" t="str">
            <v>ASISTENTE DE ESTIMADOR DE ASTILLEROS II</v>
          </cell>
        </row>
        <row r="231">
          <cell r="A231" t="str">
            <v>ASISTENTE DE FARMACIA I</v>
          </cell>
        </row>
        <row r="232">
          <cell r="A232" t="str">
            <v>ASISTENTE DE FARMACIA II</v>
          </cell>
        </row>
        <row r="233">
          <cell r="A233" t="str">
            <v>ASISTENTE DE GUARDAFAUNA I</v>
          </cell>
        </row>
        <row r="234">
          <cell r="A234" t="str">
            <v>ASISTENTE DE GUARDAFAUNA II</v>
          </cell>
        </row>
        <row r="235">
          <cell r="A235" t="str">
            <v>ASISTENTE DE HIDROMETEREOLOGIA I</v>
          </cell>
        </row>
        <row r="236">
          <cell r="A236" t="str">
            <v>ASISTENTE DE HIDROMETERIOLOGIA II</v>
          </cell>
        </row>
        <row r="237">
          <cell r="A237" t="str">
            <v>ASISTENTE DE HIDROMETERIOLOGIA III</v>
          </cell>
        </row>
        <row r="238">
          <cell r="A238" t="str">
            <v>ASISTENTE DE IDENTIFICACION</v>
          </cell>
        </row>
        <row r="239">
          <cell r="A239" t="str">
            <v>ASISTENTE DE INGENIERIA</v>
          </cell>
        </row>
        <row r="240">
          <cell r="A240" t="str">
            <v>ASISTENTE DE INMIGRACION Y EXTRANJERIA</v>
          </cell>
        </row>
        <row r="241">
          <cell r="A241" t="str">
            <v>ASISTENTE DE INVESTIGADOR DE MUSEO</v>
          </cell>
        </row>
        <row r="242">
          <cell r="A242" t="str">
            <v>ASISTENTE DE LABORATORIO CLINICO I</v>
          </cell>
        </row>
        <row r="243">
          <cell r="A243" t="str">
            <v>ASISTENTE DE LABORATORIO CLINICO II</v>
          </cell>
        </row>
        <row r="244">
          <cell r="A244" t="str">
            <v>ASISTENTE DE MUSEOGRAFIA</v>
          </cell>
        </row>
        <row r="245">
          <cell r="A245" t="str">
            <v>ASISTENTE DE OFICINA I</v>
          </cell>
        </row>
        <row r="246">
          <cell r="A246" t="str">
            <v>ASISTENTE DE OFICINA II</v>
          </cell>
        </row>
        <row r="247">
          <cell r="A247" t="str">
            <v>ASISTENTE DE ORTESIS Y/O PROTESIS</v>
          </cell>
        </row>
        <row r="248">
          <cell r="A248" t="str">
            <v>ASISTENTE DE PRE-ESCOLAR</v>
          </cell>
        </row>
        <row r="249">
          <cell r="A249" t="str">
            <v>ASISTENTE DE PRIMEROS AUXILIOS I</v>
          </cell>
        </row>
        <row r="250">
          <cell r="A250" t="str">
            <v>ASISTENTE DE PRIMEROS AUXILIOS II</v>
          </cell>
        </row>
        <row r="251">
          <cell r="A251" t="str">
            <v>ASISTENTE DE PRODUCCION</v>
          </cell>
        </row>
        <row r="252">
          <cell r="A252" t="str">
            <v>ASISTENTE DE PROGRAMACION</v>
          </cell>
        </row>
        <row r="253">
          <cell r="A253" t="str">
            <v>ASISTENTE DE PROMOTOR CULTURA</v>
          </cell>
        </row>
        <row r="254">
          <cell r="A254" t="str">
            <v>ASISTENTE DE PROMOTOR DE EXPORTACIONES</v>
          </cell>
        </row>
        <row r="255">
          <cell r="A255" t="str">
            <v>ASISTENTE DE PROTOCOLO</v>
          </cell>
        </row>
        <row r="256">
          <cell r="A256" t="str">
            <v>ASISTENTE DE PSICOLOGIA I</v>
          </cell>
        </row>
        <row r="257">
          <cell r="A257" t="str">
            <v>ASISTENTE DE PSICOLOGIA II</v>
          </cell>
        </row>
        <row r="258">
          <cell r="A258" t="str">
            <v>ASISTENTE DE PUERICULTURA</v>
          </cell>
        </row>
        <row r="259">
          <cell r="A259" t="str">
            <v>ASISTENTE DE RAYOS X</v>
          </cell>
        </row>
        <row r="260">
          <cell r="A260" t="str">
            <v>ASISTENTE DE RELACIONES PUBLICAS</v>
          </cell>
        </row>
        <row r="261">
          <cell r="A261" t="str">
            <v>ASISTENTE DE RESTAURACION</v>
          </cell>
        </row>
        <row r="262">
          <cell r="A262" t="str">
            <v>ASISTENTE DE SALUD PUBLICA</v>
          </cell>
        </row>
        <row r="263">
          <cell r="A263" t="str">
            <v>ASISTENTE DE SERVICIO SOCIAL</v>
          </cell>
        </row>
        <row r="264">
          <cell r="A264" t="str">
            <v>ASISTENTE DE TALLER N.G.</v>
          </cell>
        </row>
        <row r="265">
          <cell r="A265" t="str">
            <v>ASISTENTE DE TEATRO  IV 139</v>
          </cell>
        </row>
        <row r="266">
          <cell r="A266" t="str">
            <v>ASISTENTE DE TERAPIA</v>
          </cell>
        </row>
        <row r="267">
          <cell r="A267" t="str">
            <v>ASISTENTE DE TOPOGRAFO</v>
          </cell>
        </row>
        <row r="268">
          <cell r="A268" t="str">
            <v>ASISTENTE DE VETERINARIA</v>
          </cell>
        </row>
        <row r="269">
          <cell r="A269" t="str">
            <v>ASISTENTE ESPECIALISTA EN INFORMACION I</v>
          </cell>
        </row>
        <row r="270">
          <cell r="A270" t="str">
            <v>ASISTENTE ESPECIALISTA EN INFORMACION II</v>
          </cell>
        </row>
        <row r="271">
          <cell r="A271" t="str">
            <v>ASISTENTE HABILITADO I</v>
          </cell>
        </row>
        <row r="272">
          <cell r="A272" t="str">
            <v>ASISTENTE HABILITADO II</v>
          </cell>
        </row>
        <row r="273">
          <cell r="A273" t="str">
            <v>ASISTENTE MATEMATICA III</v>
          </cell>
        </row>
        <row r="274">
          <cell r="A274" t="str">
            <v>ASISTENTE MATEMATICAS I</v>
          </cell>
        </row>
        <row r="275">
          <cell r="A275" t="str">
            <v>ASISTENTE MATEMATICAS II</v>
          </cell>
        </row>
        <row r="276">
          <cell r="A276" t="str">
            <v>ASISTENTE TECNICO DE GUARDAFAUNA</v>
          </cell>
        </row>
        <row r="277">
          <cell r="A277" t="str">
            <v>ASISTENTE TECNICO DE INGENIERIA I</v>
          </cell>
        </row>
        <row r="278">
          <cell r="A278" t="str">
            <v>ASISTENTE TECNICO DE INGENIERIA II</v>
          </cell>
        </row>
        <row r="279">
          <cell r="A279" t="str">
            <v>ASISTENTE TECNICO DE INGENIERIA III</v>
          </cell>
        </row>
        <row r="280">
          <cell r="A280" t="str">
            <v>ASISTENTE TECNICO EN REPARACION Y MANTE.</v>
          </cell>
        </row>
        <row r="281">
          <cell r="A281" t="str">
            <v>ASTRONOMO</v>
          </cell>
        </row>
        <row r="282">
          <cell r="A282" t="str">
            <v>AUDITOR I</v>
          </cell>
        </row>
        <row r="283">
          <cell r="A283" t="str">
            <v>AUDITOR II</v>
          </cell>
        </row>
        <row r="284">
          <cell r="A284" t="str">
            <v>AUDITOR III</v>
          </cell>
        </row>
        <row r="285">
          <cell r="A285" t="str">
            <v>AUDITOR IV</v>
          </cell>
        </row>
        <row r="286">
          <cell r="A286" t="str">
            <v>AUDITOR JEFE</v>
          </cell>
        </row>
        <row r="287">
          <cell r="A287" t="str">
            <v>AUTOGRAFISTA</v>
          </cell>
        </row>
        <row r="288">
          <cell r="A288" t="str">
            <v>AUX. BIBLIOTECA PUB. I   77</v>
          </cell>
        </row>
        <row r="289">
          <cell r="A289" t="str">
            <v>AUX. BIBLIOTECA PUB. I  139</v>
          </cell>
        </row>
        <row r="290">
          <cell r="A290" t="str">
            <v>AUX. BIBLIOTECA PUB. II  77</v>
          </cell>
        </row>
        <row r="291">
          <cell r="A291" t="str">
            <v>AUX. BIBLIOTECA PUB. II 139</v>
          </cell>
        </row>
        <row r="292">
          <cell r="A292" t="str">
            <v>AUX. BIBLIOTECA PUB. III 77</v>
          </cell>
        </row>
        <row r="293">
          <cell r="A293" t="str">
            <v>AUX. BIBLIOTECA PUB. IV  77</v>
          </cell>
        </row>
        <row r="294">
          <cell r="A294" t="str">
            <v>AUX. BIBLIOTECA PUB. IV 139</v>
          </cell>
        </row>
        <row r="295">
          <cell r="A295" t="str">
            <v>AUX. BIBLIOTECA PUB. N.G.</v>
          </cell>
        </row>
        <row r="296">
          <cell r="A296" t="str">
            <v>AUX. BIBLIOTECA PUB. V   77</v>
          </cell>
        </row>
        <row r="297">
          <cell r="A297" t="str">
            <v>AUX. BIBLIOTECA PUB. V  139</v>
          </cell>
        </row>
        <row r="298">
          <cell r="A298" t="str">
            <v>AUX. BIBLIOTECA PUB. VI  77</v>
          </cell>
        </row>
        <row r="299">
          <cell r="A299" t="str">
            <v>AUX. BIBLIOTECA PUB. VI 139</v>
          </cell>
        </row>
        <row r="300">
          <cell r="A300" t="str">
            <v>AUX. BIBLIOTECA PUB.III 139</v>
          </cell>
        </row>
        <row r="301">
          <cell r="A301" t="str">
            <v>AUX. BIBLIOTECA TCVN</v>
          </cell>
        </row>
        <row r="302">
          <cell r="A302" t="str">
            <v>AUXILIAR DE BIBLIOTECA N.G.</v>
          </cell>
        </row>
        <row r="303">
          <cell r="A303" t="str">
            <v>AUXILIAR DE BIBLIOTECA TID</v>
          </cell>
        </row>
        <row r="304">
          <cell r="A304" t="str">
            <v>AUXILIAR DE OFICINA I</v>
          </cell>
        </row>
        <row r="305">
          <cell r="A305" t="str">
            <v>AUXILIAR DE PRE-ESCOLAR</v>
          </cell>
        </row>
        <row r="306">
          <cell r="A306" t="str">
            <v>AUXILIAR DE TERAPIA</v>
          </cell>
        </row>
        <row r="307">
          <cell r="A307" t="str">
            <v>AUXILIAR DE TERAPIA N.G.</v>
          </cell>
        </row>
        <row r="308">
          <cell r="A308" t="str">
            <v>AUXILIAR DE TERAPIA NG</v>
          </cell>
        </row>
        <row r="309">
          <cell r="A309" t="str">
            <v>AVALUADOR DE INMUEBLES I</v>
          </cell>
        </row>
        <row r="310">
          <cell r="A310" t="str">
            <v>AVALUADOR DE INMUEBLES II</v>
          </cell>
        </row>
        <row r="311">
          <cell r="A311" t="str">
            <v>AVALUADOR DE INMUEBLES III</v>
          </cell>
        </row>
        <row r="312">
          <cell r="A312" t="str">
            <v>AVALUADOR DE INMUEBLES JEFE</v>
          </cell>
        </row>
        <row r="313">
          <cell r="A313" t="str">
            <v>BIBLIOTECARIA</v>
          </cell>
        </row>
        <row r="314">
          <cell r="A314" t="str">
            <v>BIBLIOTECOLOGO I</v>
          </cell>
        </row>
        <row r="315">
          <cell r="A315" t="str">
            <v>BIBLIOTECOLOGO II</v>
          </cell>
        </row>
        <row r="316">
          <cell r="A316" t="str">
            <v>BIBLIOTECOLOGO III</v>
          </cell>
        </row>
        <row r="317">
          <cell r="A317" t="str">
            <v>BIBLIOTECOLOGO IV</v>
          </cell>
        </row>
        <row r="318">
          <cell r="A318" t="str">
            <v>BIOANALISTA I</v>
          </cell>
        </row>
        <row r="319">
          <cell r="A319" t="str">
            <v>BIOANALISTA II</v>
          </cell>
        </row>
        <row r="320">
          <cell r="A320" t="str">
            <v>BIOANALISTA III</v>
          </cell>
        </row>
        <row r="321">
          <cell r="A321" t="str">
            <v>BIOANALISTA IV</v>
          </cell>
        </row>
        <row r="322">
          <cell r="A322" t="str">
            <v>BIOANALISTA V</v>
          </cell>
        </row>
        <row r="323">
          <cell r="A323" t="str">
            <v>BIOANALISTA VI</v>
          </cell>
        </row>
        <row r="324">
          <cell r="A324" t="str">
            <v>BIOLOGO I</v>
          </cell>
        </row>
        <row r="325">
          <cell r="A325" t="str">
            <v>BIOLOGO II</v>
          </cell>
        </row>
        <row r="326">
          <cell r="A326" t="str">
            <v>BIOLOGO III</v>
          </cell>
        </row>
        <row r="327">
          <cell r="A327" t="str">
            <v>BIOLOGO JEFE</v>
          </cell>
        </row>
        <row r="328">
          <cell r="A328" t="str">
            <v>BOMBARDINO SOLISTA</v>
          </cell>
        </row>
        <row r="329">
          <cell r="A329" t="str">
            <v>BOMBERO (BOMBERO)</v>
          </cell>
        </row>
        <row r="330">
          <cell r="A330" t="str">
            <v>BOMBERO I</v>
          </cell>
        </row>
        <row r="331">
          <cell r="A331" t="str">
            <v>BOMBERO II</v>
          </cell>
        </row>
        <row r="332">
          <cell r="A332" t="str">
            <v>BOMBERO III</v>
          </cell>
        </row>
        <row r="333">
          <cell r="A333" t="str">
            <v>BOMBERO IV</v>
          </cell>
        </row>
        <row r="334">
          <cell r="A334" t="str">
            <v>BOMBERO JEFE I</v>
          </cell>
        </row>
        <row r="335">
          <cell r="A335" t="str">
            <v>BOMBERO JEFE II</v>
          </cell>
        </row>
        <row r="336">
          <cell r="A336" t="str">
            <v>BOMBO 3</v>
          </cell>
        </row>
        <row r="337">
          <cell r="A337" t="str">
            <v>BOTANICO I</v>
          </cell>
        </row>
        <row r="338">
          <cell r="A338" t="str">
            <v>BOTANICO II</v>
          </cell>
        </row>
        <row r="339">
          <cell r="A339" t="str">
            <v>BOTANICO III</v>
          </cell>
        </row>
        <row r="340">
          <cell r="A340" t="str">
            <v>BOTANICO JEFE</v>
          </cell>
        </row>
        <row r="341">
          <cell r="A341" t="str">
            <v>CABO 1RO</v>
          </cell>
        </row>
        <row r="342">
          <cell r="A342" t="str">
            <v>CABO 1RO (BOMBERO)</v>
          </cell>
        </row>
        <row r="343">
          <cell r="A343" t="str">
            <v>CABO 2DO</v>
          </cell>
        </row>
        <row r="344">
          <cell r="A344" t="str">
            <v>CABO 2DO (BOMBERO)</v>
          </cell>
        </row>
        <row r="345">
          <cell r="A345" t="str">
            <v>CAJERO I</v>
          </cell>
        </row>
        <row r="346">
          <cell r="A346" t="str">
            <v>CAJERO II</v>
          </cell>
        </row>
        <row r="347">
          <cell r="A347" t="str">
            <v>CAJERO III</v>
          </cell>
        </row>
        <row r="348">
          <cell r="A348" t="str">
            <v>CAJERO JEFE</v>
          </cell>
        </row>
        <row r="349">
          <cell r="A349" t="str">
            <v>CALCULISTA DE HIDROCARBUROS I</v>
          </cell>
        </row>
        <row r="350">
          <cell r="A350" t="str">
            <v>CALCULISTA DE HIDROCARBUROS II</v>
          </cell>
        </row>
        <row r="351">
          <cell r="A351" t="str">
            <v>CALCULISTA DE HIDROCARBUROS III</v>
          </cell>
        </row>
        <row r="352">
          <cell r="A352" t="str">
            <v>CALIGRAFO</v>
          </cell>
        </row>
        <row r="353">
          <cell r="A353" t="str">
            <v>CAPELLAN I</v>
          </cell>
        </row>
        <row r="354">
          <cell r="A354" t="str">
            <v>CAPELLAN II</v>
          </cell>
        </row>
        <row r="355">
          <cell r="A355" t="str">
            <v>CAPITAN (BOMBERO)</v>
          </cell>
        </row>
        <row r="356">
          <cell r="A356" t="str">
            <v>CAPITAN DE HELICOPTERO</v>
          </cell>
        </row>
        <row r="357">
          <cell r="A357" t="str">
            <v>CAPITAN DE JET</v>
          </cell>
        </row>
        <row r="358">
          <cell r="A358" t="str">
            <v>CAPITAN DE PISTON</v>
          </cell>
        </row>
        <row r="359">
          <cell r="A359" t="str">
            <v>CAPITAN DE PUERTOS I</v>
          </cell>
        </row>
        <row r="360">
          <cell r="A360" t="str">
            <v>CAPITAN DE PUERTOS II</v>
          </cell>
        </row>
        <row r="361">
          <cell r="A361" t="str">
            <v>CAPITAN DE REMOLCADOR</v>
          </cell>
        </row>
        <row r="362">
          <cell r="A362" t="str">
            <v>CAPITAN DE TRANSPORTE NAVAL</v>
          </cell>
        </row>
        <row r="363">
          <cell r="A363" t="str">
            <v>CAPITAN I</v>
          </cell>
        </row>
        <row r="364">
          <cell r="A364" t="str">
            <v>CAPITAN II</v>
          </cell>
        </row>
        <row r="365">
          <cell r="A365" t="str">
            <v>CAPITAN III</v>
          </cell>
        </row>
        <row r="366">
          <cell r="A366" t="str">
            <v>CENSOR RADIO Y TV</v>
          </cell>
        </row>
        <row r="367">
          <cell r="A367" t="str">
            <v>CITOTECNOLOG III</v>
          </cell>
        </row>
        <row r="368">
          <cell r="A368" t="str">
            <v>CITOTECNOLOGO I</v>
          </cell>
        </row>
        <row r="369">
          <cell r="A369" t="str">
            <v>CITOTECNOLOGO II</v>
          </cell>
        </row>
        <row r="370">
          <cell r="A370" t="str">
            <v>CLARINETE 1</v>
          </cell>
        </row>
        <row r="371">
          <cell r="A371" t="str">
            <v>CLARINETE 2</v>
          </cell>
        </row>
        <row r="372">
          <cell r="A372" t="str">
            <v>CLARINETE 3</v>
          </cell>
        </row>
        <row r="373">
          <cell r="A373" t="str">
            <v>CLARINETE I</v>
          </cell>
        </row>
        <row r="374">
          <cell r="A374" t="str">
            <v>CLARINETE II</v>
          </cell>
        </row>
        <row r="375">
          <cell r="A375" t="str">
            <v>CLARINETE SOLISTA</v>
          </cell>
        </row>
        <row r="376">
          <cell r="A376" t="str">
            <v>COBRADOR JEFE I</v>
          </cell>
        </row>
        <row r="377">
          <cell r="A377" t="str">
            <v>COBRADOR JEFE II</v>
          </cell>
        </row>
        <row r="378">
          <cell r="A378" t="str">
            <v>COLECTOR</v>
          </cell>
        </row>
        <row r="379">
          <cell r="A379" t="str">
            <v>COMANDANTE</v>
          </cell>
        </row>
        <row r="380">
          <cell r="A380" t="str">
            <v>COMANDANTE DE HELICOPTERO</v>
          </cell>
        </row>
        <row r="381">
          <cell r="A381" t="str">
            <v>COMANDANTE DE JET</v>
          </cell>
        </row>
        <row r="382">
          <cell r="A382" t="str">
            <v>COMANDANTE DE TURBO</v>
          </cell>
        </row>
        <row r="383">
          <cell r="A383" t="str">
            <v>COMANDANTE GENERAL</v>
          </cell>
        </row>
        <row r="384">
          <cell r="A384" t="str">
            <v>COMISARIO</v>
          </cell>
        </row>
        <row r="385">
          <cell r="A385" t="str">
            <v>COMISARIO GENERAL</v>
          </cell>
        </row>
        <row r="386">
          <cell r="A386" t="str">
            <v>COMISARIO JEFE</v>
          </cell>
        </row>
        <row r="387">
          <cell r="A387" t="str">
            <v>COMISIONADO</v>
          </cell>
        </row>
        <row r="388">
          <cell r="A388" t="str">
            <v>COMISIONADO (GRADO 0)</v>
          </cell>
        </row>
        <row r="389">
          <cell r="A389" t="str">
            <v>COMISIONADO (GRADO 1)</v>
          </cell>
        </row>
        <row r="390">
          <cell r="A390" t="str">
            <v>COMISIONADO (GRADO 2)</v>
          </cell>
        </row>
        <row r="391">
          <cell r="A391" t="str">
            <v>COMISIONADO AGREGADO</v>
          </cell>
        </row>
        <row r="392">
          <cell r="A392" t="str">
            <v>COMISIONADO AGREGADO (GRADO 0)</v>
          </cell>
        </row>
        <row r="393">
          <cell r="A393" t="str">
            <v>COMISIONADO AGREGADO (GRADO 1)</v>
          </cell>
        </row>
        <row r="394">
          <cell r="A394" t="str">
            <v>COMISIONADO AGREGADO (GRADO 2)</v>
          </cell>
        </row>
        <row r="395">
          <cell r="A395" t="str">
            <v>COMISIONADO ASUNTOS INTERINSTITUCIONALES</v>
          </cell>
        </row>
        <row r="396">
          <cell r="A396" t="str">
            <v>COMISIONADO DEL TRABAJO</v>
          </cell>
        </row>
        <row r="397">
          <cell r="A397" t="str">
            <v>COMISIONADO ESPECIAL DE TRABAJO I</v>
          </cell>
        </row>
        <row r="398">
          <cell r="A398" t="str">
            <v>COMISIONADO ESPECIAL DE TRABAJO II</v>
          </cell>
        </row>
        <row r="399">
          <cell r="A399" t="str">
            <v>COMISIONADO JEFE</v>
          </cell>
        </row>
        <row r="400">
          <cell r="A400" t="str">
            <v>COMISIONADO JEFE (GRADO 0)</v>
          </cell>
        </row>
        <row r="401">
          <cell r="A401" t="str">
            <v>COMISIONADO JEFE (GRADO 1)</v>
          </cell>
        </row>
        <row r="402">
          <cell r="A402" t="str">
            <v>COMISIONADO JEFE (GRADO 2)</v>
          </cell>
        </row>
        <row r="403">
          <cell r="A403" t="str">
            <v>COMISIONADO JEFE (GRADO 3)</v>
          </cell>
        </row>
        <row r="404">
          <cell r="A404" t="str">
            <v>COMISIONADO.</v>
          </cell>
        </row>
        <row r="405">
          <cell r="A405" t="str">
            <v>COMPRADOR I</v>
          </cell>
        </row>
        <row r="406">
          <cell r="A406" t="str">
            <v>COMPRADOR II</v>
          </cell>
        </row>
        <row r="407">
          <cell r="A407" t="str">
            <v>COMPRADOR III</v>
          </cell>
        </row>
        <row r="408">
          <cell r="A408" t="str">
            <v>COMPRADOR JEFE I</v>
          </cell>
        </row>
        <row r="409">
          <cell r="A409" t="str">
            <v>COMPRADOR JEFE II</v>
          </cell>
        </row>
        <row r="410">
          <cell r="A410" t="str">
            <v>COMUNICADOR SOCIAL I</v>
          </cell>
        </row>
        <row r="411">
          <cell r="A411" t="str">
            <v>COMUNICADOR SOCIAL II</v>
          </cell>
        </row>
        <row r="412">
          <cell r="A412" t="str">
            <v>COMUNICADOR SOCIAL III</v>
          </cell>
        </row>
        <row r="413">
          <cell r="A413" t="str">
            <v>CONDUCTORES DE 1RA</v>
          </cell>
        </row>
        <row r="414">
          <cell r="A414" t="str">
            <v>CONDUCTORES DE 2DA</v>
          </cell>
        </row>
        <row r="415">
          <cell r="A415" t="str">
            <v>CONDUCTORES DE 3RA</v>
          </cell>
        </row>
        <row r="416">
          <cell r="A416" t="str">
            <v>CONSULTOR JURIDICO</v>
          </cell>
        </row>
        <row r="417">
          <cell r="A417" t="str">
            <v>CONTABILISTA I</v>
          </cell>
        </row>
        <row r="418">
          <cell r="A418" t="str">
            <v>CONTABILISTA II</v>
          </cell>
        </row>
        <row r="419">
          <cell r="A419" t="str">
            <v>CONTABILISTA III</v>
          </cell>
        </row>
        <row r="420">
          <cell r="A420" t="str">
            <v>CONTADOR I</v>
          </cell>
        </row>
        <row r="421">
          <cell r="A421" t="str">
            <v>CONTADOR II</v>
          </cell>
        </row>
        <row r="422">
          <cell r="A422" t="str">
            <v>CONTADOR III</v>
          </cell>
        </row>
        <row r="423">
          <cell r="A423" t="str">
            <v>CONTADOR IV</v>
          </cell>
        </row>
        <row r="424">
          <cell r="A424" t="str">
            <v>CONTADOR JEFE</v>
          </cell>
        </row>
        <row r="425">
          <cell r="A425" t="str">
            <v>CONTRABAJO</v>
          </cell>
        </row>
        <row r="426">
          <cell r="A426" t="str">
            <v>CONTRABAJO</v>
          </cell>
        </row>
        <row r="427">
          <cell r="A427" t="str">
            <v>CONTRABAJO 1</v>
          </cell>
        </row>
        <row r="428">
          <cell r="A428" t="str">
            <v>CONTRABAJO I/ INST. I N.G. (16 HORAS)</v>
          </cell>
        </row>
        <row r="429">
          <cell r="A429" t="str">
            <v>CONTRABAJO II</v>
          </cell>
        </row>
        <row r="430">
          <cell r="A430" t="str">
            <v>CONTRALOR INTERNO</v>
          </cell>
        </row>
        <row r="431">
          <cell r="A431" t="str">
            <v>CONTROLADOR DE ARMAS Y EXPLOSIVOS I</v>
          </cell>
        </row>
        <row r="432">
          <cell r="A432" t="str">
            <v>CONTROLADOR DE ARMAS Y EXPLOSIVOS II</v>
          </cell>
        </row>
        <row r="433">
          <cell r="A433" t="str">
            <v>CONTROLADOR DE ARMAS Y EXPLOSIVOS III</v>
          </cell>
        </row>
        <row r="434">
          <cell r="A434" t="str">
            <v>CONTROLADOR DE TRANSITO AEREO I</v>
          </cell>
        </row>
        <row r="435">
          <cell r="A435" t="str">
            <v>CONTROLADOR DE TRANSITO AEREO II</v>
          </cell>
        </row>
        <row r="436">
          <cell r="A436" t="str">
            <v>CONTROLADOR DE TRANSITO AEREO III</v>
          </cell>
        </row>
        <row r="437">
          <cell r="A437" t="str">
            <v>CONTROLADOR DE TRANSITO AEREO IV</v>
          </cell>
        </row>
        <row r="438">
          <cell r="A438" t="str">
            <v>CONTROLADOR DE TRANSITO AEREO JEFE I</v>
          </cell>
        </row>
        <row r="439">
          <cell r="A439" t="str">
            <v>CONTROLADOR DE TRANSITO AEREO JEFE II</v>
          </cell>
        </row>
        <row r="440">
          <cell r="A440" t="str">
            <v>CONTROLADOR DE TRANSITO AEREO JEFE III</v>
          </cell>
        </row>
        <row r="441">
          <cell r="A441" t="str">
            <v>CONTROLADOR DE TRANSITO AEREO V</v>
          </cell>
        </row>
        <row r="442">
          <cell r="A442" t="str">
            <v>CONTROLADOR DE TRANSITO AEREO VI</v>
          </cell>
        </row>
        <row r="443">
          <cell r="A443" t="str">
            <v>COORD DOC VI 77 TID (36 HORAS) Y DOCENTE BASICO VI (06 HORAS)</v>
          </cell>
        </row>
        <row r="444">
          <cell r="A444" t="str">
            <v>COORD.  I   77</v>
          </cell>
        </row>
        <row r="445">
          <cell r="A445" t="str">
            <v>COORD.  II  77</v>
          </cell>
        </row>
        <row r="446">
          <cell r="A446" t="str">
            <v>COORD.  III 77</v>
          </cell>
        </row>
        <row r="447">
          <cell r="A447" t="str">
            <v>COORD.  IV  77</v>
          </cell>
        </row>
        <row r="448">
          <cell r="A448" t="str">
            <v>COORD.  V   77</v>
          </cell>
        </row>
        <row r="449">
          <cell r="A449" t="str">
            <v>COORD.  VI  77</v>
          </cell>
        </row>
        <row r="450">
          <cell r="A450" t="str">
            <v>COORD. CONSERV. Y M.</v>
          </cell>
        </row>
        <row r="451">
          <cell r="A451" t="str">
            <v>COORD. DE DIFUSIONLITER. Y TEATRAL</v>
          </cell>
        </row>
        <row r="452">
          <cell r="A452" t="str">
            <v>COORD. DE SEGUIMIENTO Y EVAL. DE POLITICAS PUBLICAS</v>
          </cell>
        </row>
        <row r="453">
          <cell r="A453" t="str">
            <v>COORD. DEL COMITE ESTADAL DE LA VIVIENDA</v>
          </cell>
        </row>
        <row r="454">
          <cell r="A454" t="str">
            <v>COORD. DESARROLLO DE RECURSOS HUMANOS II</v>
          </cell>
        </row>
        <row r="455">
          <cell r="A455" t="str">
            <v>COORD. DOCENTE 77</v>
          </cell>
        </row>
        <row r="456">
          <cell r="A456" t="str">
            <v>COORD. DOCENTE I   77</v>
          </cell>
        </row>
        <row r="457">
          <cell r="A457" t="str">
            <v>COORD. DOCENTE II  77</v>
          </cell>
        </row>
        <row r="458">
          <cell r="A458" t="str">
            <v>COORD. DOCENTE III 77</v>
          </cell>
        </row>
        <row r="459">
          <cell r="A459" t="str">
            <v>COORD. DOCENTE IV  77</v>
          </cell>
        </row>
        <row r="460">
          <cell r="A460" t="str">
            <v>COORD. DOCENTE IV 77 TC (36 HORAS) Y DOCENTE IV 77 TCVNMA (16 HORAS)</v>
          </cell>
        </row>
        <row r="461">
          <cell r="A461" t="str">
            <v>COORD. DOCENTE V   77</v>
          </cell>
        </row>
        <row r="462">
          <cell r="A462" t="str">
            <v>COORD. DOCENTE VI  77</v>
          </cell>
        </row>
        <row r="463">
          <cell r="A463" t="str">
            <v>COORD. ENTES P Y P DE CULTURA Y DEPORTE</v>
          </cell>
        </row>
        <row r="464">
          <cell r="A464" t="str">
            <v>COORD. I   139</v>
          </cell>
        </row>
        <row r="465">
          <cell r="A465" t="str">
            <v>COORD. II  139</v>
          </cell>
        </row>
        <row r="466">
          <cell r="A466" t="str">
            <v>COORD. III 139</v>
          </cell>
        </row>
        <row r="467">
          <cell r="A467" t="str">
            <v>COORD. INV. Y FLOK.</v>
          </cell>
        </row>
        <row r="468">
          <cell r="A468" t="str">
            <v>COORD. IV  139</v>
          </cell>
        </row>
        <row r="469">
          <cell r="A469" t="str">
            <v>COORD. RED DE BIBLIOTECAS E INFORM. ESTA</v>
          </cell>
        </row>
        <row r="470">
          <cell r="A470" t="str">
            <v>COORD. REGISTRO NACIONAL PERMANENTE</v>
          </cell>
        </row>
        <row r="471">
          <cell r="A471" t="str">
            <v>COORD. V   139</v>
          </cell>
        </row>
        <row r="472">
          <cell r="A472" t="str">
            <v>COORD. VI  139</v>
          </cell>
        </row>
        <row r="473">
          <cell r="A473" t="str">
            <v>COORD.DIF.C.CUL.VI 139</v>
          </cell>
        </row>
        <row r="474">
          <cell r="A474" t="str">
            <v>COORD.DIF.Y PROM.DOC.BAS.16 TC.139</v>
          </cell>
        </row>
        <row r="475">
          <cell r="A475" t="str">
            <v>COORD.DOCENTE BAS.16TC. VI 77</v>
          </cell>
        </row>
        <row r="476">
          <cell r="A476" t="str">
            <v>COORD.DOCENTE N.G.</v>
          </cell>
        </row>
        <row r="477">
          <cell r="A477" t="str">
            <v>COORD.EDUC.RURAL</v>
          </cell>
        </row>
        <row r="478">
          <cell r="A478" t="str">
            <v>COORD.MANT. Y CONSERV.</v>
          </cell>
        </row>
        <row r="479">
          <cell r="A479" t="str">
            <v>COORDINADOR</v>
          </cell>
        </row>
        <row r="480">
          <cell r="A480" t="str">
            <v>COORDINADOR</v>
          </cell>
        </row>
        <row r="481">
          <cell r="A481" t="str">
            <v>COORDINADOR ADMINISTRATIVO</v>
          </cell>
        </row>
        <row r="482">
          <cell r="A482" t="str">
            <v>COORDINADOR DE  ASISTENCIA TECNICA</v>
          </cell>
        </row>
        <row r="483">
          <cell r="A483" t="str">
            <v>COORDINADOR DE  FORMACION CULTURAL</v>
          </cell>
        </row>
        <row r="484">
          <cell r="A484" t="str">
            <v>COORDINADOR DE ASUNTOS CINEMATOGRAFICOS I</v>
          </cell>
        </row>
        <row r="485">
          <cell r="A485" t="str">
            <v>COORDINADOR DE ASUNTOS CINEMATOGRAFICOS II</v>
          </cell>
        </row>
        <row r="486">
          <cell r="A486" t="str">
            <v>COORDINADOR DE ASUNTOS CINEMATOGRAFICOS III</v>
          </cell>
        </row>
        <row r="487">
          <cell r="A487" t="str">
            <v>COORDINADOR DE ASUNTOS INTERNACIONALES I</v>
          </cell>
        </row>
        <row r="488">
          <cell r="A488" t="str">
            <v>COORDINADOR DE ASUNTOS INTERNACIONALES II</v>
          </cell>
        </row>
        <row r="489">
          <cell r="A489" t="str">
            <v>COORDINADOR DE ASUNTOS INTERNACIONALES III</v>
          </cell>
        </row>
        <row r="490">
          <cell r="A490" t="str">
            <v>COORDINADOR DE ASUNTOS LABORALES I</v>
          </cell>
        </row>
        <row r="491">
          <cell r="A491" t="str">
            <v>COORDINADOR DE ASUNTOS LABORALES II</v>
          </cell>
        </row>
        <row r="492">
          <cell r="A492" t="str">
            <v>COORDINADOR DE ASUNTOS LITERARIOS</v>
          </cell>
        </row>
        <row r="493">
          <cell r="A493" t="str">
            <v>COORDINADOR DE AYUDA JUVENIL</v>
          </cell>
        </row>
        <row r="494">
          <cell r="A494" t="str">
            <v>COORDINADOR DE CENTRO I</v>
          </cell>
        </row>
        <row r="495">
          <cell r="A495" t="str">
            <v>COORDINADOR DE CENTRO II</v>
          </cell>
        </row>
        <row r="496">
          <cell r="A496" t="str">
            <v>COORDINADOR DE CIENCIAS POLITICAS</v>
          </cell>
        </row>
        <row r="497">
          <cell r="A497" t="str">
            <v>COORDINADOR DE DESARROLLO DE RECURSOS HUMANOS I</v>
          </cell>
        </row>
        <row r="498">
          <cell r="A498" t="str">
            <v>COORDINADOR DE ESCUELAS DE ENFERMERIA</v>
          </cell>
        </row>
        <row r="499">
          <cell r="A499" t="str">
            <v>COORDINADOR DE EVENTOS Y PROTOCOLO</v>
          </cell>
        </row>
        <row r="500">
          <cell r="A500" t="str">
            <v>COORDINADOR DE FORMACION EMPRESARIA I</v>
          </cell>
        </row>
        <row r="501">
          <cell r="A501" t="str">
            <v>COORDINADOR DE FORMACION EMPRESARIAL II</v>
          </cell>
        </row>
        <row r="502">
          <cell r="A502" t="str">
            <v>COORDINADOR DE FORMACION PROFESIONAL</v>
          </cell>
        </row>
        <row r="503">
          <cell r="A503" t="str">
            <v>COORDINADOR DE FRONTERAS</v>
          </cell>
        </row>
        <row r="504">
          <cell r="A504" t="str">
            <v>COORDINADOR DE PREFECTURAS</v>
          </cell>
        </row>
        <row r="505">
          <cell r="A505" t="str">
            <v>COORDINADOR DE PROGRAMA (SAPNNAET)</v>
          </cell>
        </row>
        <row r="506">
          <cell r="A506" t="str">
            <v>COORDINADOR DE PROGRAMAS DE FORMACION I</v>
          </cell>
        </row>
        <row r="507">
          <cell r="A507" t="str">
            <v>COORDINADOR DE PROGRAMAS DE FORMACION II</v>
          </cell>
        </row>
        <row r="508">
          <cell r="A508" t="str">
            <v>COORDINADOR DE PROGRAMAS TV</v>
          </cell>
        </row>
        <row r="509">
          <cell r="A509" t="str">
            <v>COORDINADOR DE PROTOCOLO</v>
          </cell>
        </row>
        <row r="510">
          <cell r="A510" t="str">
            <v>COORDINADOR DE RENDICION DE CUENTA</v>
          </cell>
        </row>
        <row r="511">
          <cell r="A511" t="str">
            <v>COORDINADOR DE SERVICIOS TURISTICOS I</v>
          </cell>
        </row>
        <row r="512">
          <cell r="A512" t="str">
            <v>COORDINADOR DE SERVICIOS TURISTICOS II</v>
          </cell>
        </row>
        <row r="513">
          <cell r="A513" t="str">
            <v>COORDINADOR DEASUNTOS INTERNACIONALES JEFE</v>
          </cell>
        </row>
        <row r="514">
          <cell r="A514" t="str">
            <v>COORDINADOR DEFENSA CIVIL</v>
          </cell>
        </row>
        <row r="515">
          <cell r="A515" t="str">
            <v>COORDINADOR DOCENTE BASICO VI 77 TID (36 HORAS) Y TCVD (7HORAS)</v>
          </cell>
        </row>
        <row r="516">
          <cell r="A516" t="str">
            <v>COORDINADOR DOCENTE BASICO VI TC (36 HORAS) Y DOC. BAS. VI TC (11 HORAS)</v>
          </cell>
        </row>
        <row r="517">
          <cell r="A517" t="str">
            <v>COORDINADOR DOCENTE BASICO VI TCVD</v>
          </cell>
        </row>
        <row r="518">
          <cell r="A518" t="str">
            <v>COORDINADOR GENERAL DE PERSONAL</v>
          </cell>
        </row>
        <row r="519">
          <cell r="A519" t="str">
            <v>COORDINADOR PUBLICITARIO</v>
          </cell>
        </row>
        <row r="520">
          <cell r="A520" t="str">
            <v>COORDINADOR RECREACION</v>
          </cell>
        </row>
        <row r="521">
          <cell r="A521" t="str">
            <v>COORDINADOR ZONAL</v>
          </cell>
        </row>
        <row r="522">
          <cell r="A522" t="str">
            <v>COORDINADORA DOCENTE V 77 Y DOCENTE BASICA V 77 TCVN Y DOCENTE AULA V (ZONA EDUCATIVA)</v>
          </cell>
        </row>
        <row r="523">
          <cell r="A523" t="str">
            <v>COPILOTO DE HELICOPTERO I</v>
          </cell>
        </row>
        <row r="524">
          <cell r="A524" t="str">
            <v>COPILOTO DE HELICOTERO II</v>
          </cell>
        </row>
        <row r="525">
          <cell r="A525" t="str">
            <v>COPILOTO DE PISTON I</v>
          </cell>
        </row>
        <row r="526">
          <cell r="A526" t="str">
            <v>COPILOTO DE PISTON II</v>
          </cell>
        </row>
        <row r="527">
          <cell r="A527" t="str">
            <v>COPILOTO DE TURBO</v>
          </cell>
        </row>
        <row r="528">
          <cell r="A528" t="str">
            <v>COPISTA ARCHIVERO</v>
          </cell>
        </row>
        <row r="529">
          <cell r="A529" t="str">
            <v>CORDINADOR DE ORGANISMOS CULTURALES</v>
          </cell>
        </row>
        <row r="530">
          <cell r="A530" t="str">
            <v>CORNO 2</v>
          </cell>
        </row>
        <row r="531">
          <cell r="A531" t="str">
            <v>CORNO 3</v>
          </cell>
        </row>
        <row r="532">
          <cell r="A532" t="str">
            <v>CORNO I</v>
          </cell>
        </row>
        <row r="533">
          <cell r="A533" t="str">
            <v>CORONEL (BOMBERO)</v>
          </cell>
        </row>
        <row r="534">
          <cell r="A534" t="str">
            <v>CORRECTOR DE ESTILO</v>
          </cell>
        </row>
        <row r="535">
          <cell r="A535" t="str">
            <v>CRIMINOLOGO</v>
          </cell>
        </row>
        <row r="536">
          <cell r="A536" t="str">
            <v>CUATRO</v>
          </cell>
        </row>
        <row r="537">
          <cell r="A537" t="str">
            <v>DELEGADO PRUEBA I</v>
          </cell>
        </row>
        <row r="538">
          <cell r="A538" t="str">
            <v>DELEGADO PRUEBA II</v>
          </cell>
        </row>
        <row r="539">
          <cell r="A539" t="str">
            <v>DELEGADO PRUEBA III</v>
          </cell>
        </row>
        <row r="540">
          <cell r="A540" t="str">
            <v>DELEGADO PRUEBA IV</v>
          </cell>
        </row>
        <row r="541">
          <cell r="A541" t="str">
            <v>DELEGADO PRUEBA V</v>
          </cell>
        </row>
        <row r="542">
          <cell r="A542" t="str">
            <v>DEMOSTRADORA DEL HOGAR I</v>
          </cell>
        </row>
        <row r="543">
          <cell r="A543" t="str">
            <v>DEMOSTRADORA DEL HOGAR II</v>
          </cell>
        </row>
        <row r="544">
          <cell r="A544" t="str">
            <v>DEMOSTRADORA DEL HOGAR III</v>
          </cell>
        </row>
        <row r="545">
          <cell r="A545" t="str">
            <v>DEMOSTRADORA DEL HOGAR JEFE</v>
          </cell>
        </row>
        <row r="546">
          <cell r="A546" t="str">
            <v>DEPOSITARIO DE ESPECIES FISCALES</v>
          </cell>
        </row>
        <row r="547">
          <cell r="A547" t="str">
            <v>DEPOSITARIO DE ESPECIES FISCALES JEFE</v>
          </cell>
        </row>
        <row r="548">
          <cell r="A548" t="str">
            <v>DIAGRAMADOR</v>
          </cell>
        </row>
        <row r="549">
          <cell r="A549" t="str">
            <v>DIBUJANTE CARTOGRAFICIO I</v>
          </cell>
        </row>
        <row r="550">
          <cell r="A550" t="str">
            <v>DIBUJANTE CARTOGRAFICO II</v>
          </cell>
        </row>
        <row r="551">
          <cell r="A551" t="str">
            <v>DIBUJANTE CARTOGRAFICO III</v>
          </cell>
        </row>
        <row r="552">
          <cell r="A552" t="str">
            <v>DIBUJANTE CARTOGRAFICO IV</v>
          </cell>
        </row>
        <row r="553">
          <cell r="A553" t="str">
            <v>DIBUJANTE CARTOGRAFICO JEFE</v>
          </cell>
        </row>
        <row r="554">
          <cell r="A554" t="str">
            <v>DIBUJANTE I</v>
          </cell>
        </row>
        <row r="555">
          <cell r="A555" t="str">
            <v>DIBUJANTE II</v>
          </cell>
        </row>
        <row r="556">
          <cell r="A556" t="str">
            <v>DIBUJANTE III</v>
          </cell>
        </row>
        <row r="557">
          <cell r="A557" t="str">
            <v>DIBUJANTE ILUSTRADOR I</v>
          </cell>
        </row>
        <row r="558">
          <cell r="A558" t="str">
            <v>DIBUJANTE ILUSTRADOR II</v>
          </cell>
        </row>
        <row r="559">
          <cell r="A559" t="str">
            <v>DIBUJANTE ILUSTRADOR JEFE</v>
          </cell>
        </row>
        <row r="560">
          <cell r="A560" t="str">
            <v>DIBUJANTE JEFE</v>
          </cell>
        </row>
        <row r="561">
          <cell r="A561" t="str">
            <v>DIETISTA I</v>
          </cell>
        </row>
        <row r="562">
          <cell r="A562" t="str">
            <v>DIETISTA II</v>
          </cell>
        </row>
        <row r="563">
          <cell r="A563" t="str">
            <v>DIETISTA III</v>
          </cell>
        </row>
        <row r="564">
          <cell r="A564" t="str">
            <v>DIETISTA IV</v>
          </cell>
        </row>
        <row r="565">
          <cell r="A565" t="str">
            <v>DIETISTA JEFE</v>
          </cell>
        </row>
        <row r="566">
          <cell r="A566" t="str">
            <v>DIRECTOR</v>
          </cell>
        </row>
        <row r="567">
          <cell r="A567" t="str">
            <v>DIRECTOR</v>
          </cell>
        </row>
        <row r="568">
          <cell r="A568" t="str">
            <v>DIRECTOR BASICO VI TID (36 HORAS) Y DOCENTE BASICO VI 77 TCVD (18 HORAS)</v>
          </cell>
        </row>
        <row r="569">
          <cell r="A569" t="str">
            <v>DIRECTOR CENTRO DE CULTURA</v>
          </cell>
        </row>
        <row r="570">
          <cell r="A570" t="str">
            <v>DIRECTOR DE BANDA</v>
          </cell>
        </row>
        <row r="571">
          <cell r="A571" t="str">
            <v>DIRECTOR DE BANDA Y PROFESOR DE FLAUTA Y PIANO</v>
          </cell>
        </row>
        <row r="572">
          <cell r="A572" t="str">
            <v>DIRECTOR DE CULTURA Y PROFESOR PH NOCTURNO GR</v>
          </cell>
        </row>
        <row r="573">
          <cell r="A573" t="str">
            <v>DIRECTOR DE ESCUELA 139 III</v>
          </cell>
        </row>
        <row r="574">
          <cell r="A574" t="str">
            <v>DIRECTOR DE ESCUELAS DE ENFERMERIA</v>
          </cell>
        </row>
        <row r="575">
          <cell r="A575" t="str">
            <v>DIRECTOR DE PROGRAMAS DE CURSOS</v>
          </cell>
        </row>
        <row r="576">
          <cell r="A576" t="str">
            <v>DIRECTOR DE PROGRAMAS TV</v>
          </cell>
        </row>
        <row r="577">
          <cell r="A577" t="str">
            <v>DIRECTOR ESCUELA 139 III</v>
          </cell>
        </row>
        <row r="578">
          <cell r="A578" t="str">
            <v>DIRECTOR ESCUELA N.G.</v>
          </cell>
        </row>
        <row r="579">
          <cell r="A579" t="str">
            <v>DIRECTOR GENERAL</v>
          </cell>
        </row>
        <row r="580">
          <cell r="A580" t="str">
            <v>DIRECTOR I   139</v>
          </cell>
        </row>
        <row r="581">
          <cell r="A581" t="str">
            <v>DIRECTOR I   77</v>
          </cell>
        </row>
        <row r="582">
          <cell r="A582" t="str">
            <v>DIRECTOR II  139</v>
          </cell>
        </row>
        <row r="583">
          <cell r="A583" t="str">
            <v>DIRECTOR II  77</v>
          </cell>
        </row>
        <row r="584">
          <cell r="A584" t="str">
            <v>DIRECTOR III 139</v>
          </cell>
        </row>
        <row r="585">
          <cell r="A585" t="str">
            <v>DIRECTOR III 77</v>
          </cell>
        </row>
        <row r="586">
          <cell r="A586" t="str">
            <v>DIRECTOR IV  139</v>
          </cell>
        </row>
        <row r="587">
          <cell r="A587" t="str">
            <v>DIRECTOR IV  77</v>
          </cell>
        </row>
        <row r="588">
          <cell r="A588" t="str">
            <v>DIRECTOR TOPOGRAFO</v>
          </cell>
        </row>
        <row r="589">
          <cell r="A589" t="str">
            <v>DIRECTOR V   139</v>
          </cell>
        </row>
        <row r="590">
          <cell r="A590" t="str">
            <v>DIRECTOR V   77</v>
          </cell>
        </row>
        <row r="591">
          <cell r="A591" t="str">
            <v>DIRECTOR VI  139</v>
          </cell>
        </row>
        <row r="592">
          <cell r="A592" t="str">
            <v>DIRECTOR VI  77</v>
          </cell>
        </row>
        <row r="593">
          <cell r="A593" t="str">
            <v>DIRECTORA DOCENTE BASICA VI 139 TID Y DOCENTE BASICA VI 139 TCVN</v>
          </cell>
        </row>
        <row r="594">
          <cell r="A594" t="str">
            <v>DIRECTORA ESCUELA ANDRES BLANCO Y MAESTRA PH GR NOCTURNO VALERA</v>
          </cell>
        </row>
        <row r="595">
          <cell r="A595" t="str">
            <v>DISEÑADOR GRAFICO</v>
          </cell>
        </row>
        <row r="596">
          <cell r="A596" t="str">
            <v>DISEÑADOR GRAFICO</v>
          </cell>
        </row>
        <row r="597">
          <cell r="A597" t="str">
            <v>DISEÑADOR GRAFICO II</v>
          </cell>
        </row>
        <row r="598">
          <cell r="A598" t="str">
            <v>DISEÑADOR GRAFICO III</v>
          </cell>
        </row>
        <row r="599">
          <cell r="A599" t="str">
            <v>DISEÑADOR GRAFICO IV</v>
          </cell>
        </row>
        <row r="600">
          <cell r="A600" t="str">
            <v>DISTINGUIDO</v>
          </cell>
        </row>
        <row r="601">
          <cell r="A601" t="str">
            <v>DISTINGUIDO (BOMBERO)</v>
          </cell>
        </row>
        <row r="602">
          <cell r="A602" t="str">
            <v>DOC. 77-TC. III.</v>
          </cell>
        </row>
        <row r="603">
          <cell r="A603" t="str">
            <v>DOC. BAS I 77 TCVD INTERINO</v>
          </cell>
        </row>
        <row r="604">
          <cell r="A604" t="str">
            <v>DOC. BAS I TSE TCVDMA INTERINO</v>
          </cell>
        </row>
        <row r="605">
          <cell r="A605" t="str">
            <v>DOC. BAS. 77 TCVNMA/DOC IV AULA ADULTOS/DIRECTOR DE EDUCACION</v>
          </cell>
        </row>
        <row r="606">
          <cell r="A606" t="str">
            <v>DOC. BAS. DIR. VI 77 T.C. V.N.</v>
          </cell>
        </row>
        <row r="607">
          <cell r="A607" t="str">
            <v>DOC. BAS. I (03 HORAS) Y DOC BAS IV 77 TID (33 HORAS9 /TCVD (09 HORAS)</v>
          </cell>
        </row>
        <row r="608">
          <cell r="A608" t="str">
            <v>DOC. BAS. I 77 INTERINO</v>
          </cell>
        </row>
        <row r="609">
          <cell r="A609" t="str">
            <v>DOC. BAS. I 77 TCVDMA INTERINO</v>
          </cell>
        </row>
        <row r="610">
          <cell r="A610" t="str">
            <v>DOC. BAS. I 77 TID (33.33 HORAS)/TCVD (18 HORAS)</v>
          </cell>
        </row>
        <row r="611">
          <cell r="A611" t="str">
            <v>DOC. BAS. I 77 TID INTERINO</v>
          </cell>
        </row>
        <row r="612">
          <cell r="A612" t="str">
            <v>DOC. BAS. I T.S.E. TID INTERINO</v>
          </cell>
        </row>
        <row r="613">
          <cell r="A613" t="str">
            <v>DOC. BAS. III T.S.E  TCVD</v>
          </cell>
        </row>
        <row r="614">
          <cell r="A614" t="str">
            <v>DOC. BAS. IV  77  TID (33.33 HORAS)/TCVD (14 HORAS)</v>
          </cell>
        </row>
        <row r="615">
          <cell r="A615" t="str">
            <v>DOC. BAS. IV 77 TID (33.33 HORAS)/ TCVD (16 HORAS)</v>
          </cell>
        </row>
        <row r="616">
          <cell r="A616" t="str">
            <v>DOC. BAS. IV 77 TID (33.33 HORAS)/TCVD (06 HORAS)</v>
          </cell>
        </row>
        <row r="617">
          <cell r="A617" t="str">
            <v>DOC. BAS. N.G. TCVNMA / AUXILIAR DE BIBLIOTECA</v>
          </cell>
        </row>
        <row r="618">
          <cell r="A618" t="str">
            <v>DOC. BAS. PLANIF. V TC 77</v>
          </cell>
        </row>
        <row r="619">
          <cell r="A619" t="str">
            <v>DOC. BAS. V   77  TID (33,33 HORAS) /TCVD (11 HORAS)</v>
          </cell>
        </row>
        <row r="620">
          <cell r="A620" t="str">
            <v>DOC. BAS. V   77  TID (33,33 HORAS) /TCVD (13 HORAS)</v>
          </cell>
        </row>
        <row r="621">
          <cell r="A621" t="str">
            <v>DOC. BAS. V 77 TID (33.33 HORAS) /TCVD (10 HORAS)</v>
          </cell>
        </row>
        <row r="622">
          <cell r="A622" t="str">
            <v>DOC. BAS. VI  77  TID (33.33 HORAS)/TCVD (12 HORAS)</v>
          </cell>
        </row>
        <row r="623">
          <cell r="A623" t="str">
            <v>DOC. BAS. VI  77  TID (33.33 HORAS)/TCVD (19 HORAS)</v>
          </cell>
        </row>
        <row r="624">
          <cell r="A624" t="str">
            <v>DOC. BAS. VI  TID (33.33 HORAS)/TCVD (14 HORAS)</v>
          </cell>
        </row>
        <row r="625">
          <cell r="A625" t="str">
            <v>DOC. BAS. VI 139 TID / INSTRUCTOR I (16 HORAS)</v>
          </cell>
        </row>
        <row r="626">
          <cell r="A626" t="str">
            <v>DOC. BAS. VI 77 TID (33.33 HORAS) /TCVD (16 HORAS)</v>
          </cell>
        </row>
        <row r="627">
          <cell r="A627" t="str">
            <v>DOC. BAS.PLANIF.IV TC 77</v>
          </cell>
        </row>
        <row r="628">
          <cell r="A628" t="str">
            <v>DOC. BAS.V TCVD (16 HORAS) /TCVNMA (10 HORAS)</v>
          </cell>
        </row>
        <row r="629">
          <cell r="A629" t="str">
            <v>DOC. BASCO V  T.S.E. TCVNMA</v>
          </cell>
        </row>
        <row r="630">
          <cell r="A630" t="str">
            <v>DOC. BASICA 16- TSE TID VI</v>
          </cell>
        </row>
        <row r="631">
          <cell r="A631" t="str">
            <v>DOC. BASICA 16-789 TSE TCVD I</v>
          </cell>
        </row>
        <row r="632">
          <cell r="A632" t="str">
            <v>DOC. BASICA 16-789 TSE TCVD II</v>
          </cell>
        </row>
        <row r="633">
          <cell r="A633" t="str">
            <v>DOC. BASICA 16-789 TSE TCVD III</v>
          </cell>
        </row>
        <row r="634">
          <cell r="A634" t="str">
            <v>DOC. BASICA 16-789 TSE TCVD IV</v>
          </cell>
        </row>
        <row r="635">
          <cell r="A635" t="str">
            <v>DOC. BASICA 16-789 TSE TCVD V</v>
          </cell>
        </row>
        <row r="636">
          <cell r="A636" t="str">
            <v>DOC. BASICA 16-789 TSE TCVD VI</v>
          </cell>
        </row>
        <row r="637">
          <cell r="A637" t="str">
            <v>DOC. BASICA 16-TSE TID I</v>
          </cell>
        </row>
        <row r="638">
          <cell r="A638" t="str">
            <v>DOC. BASICA 16-TSE TID II</v>
          </cell>
        </row>
        <row r="639">
          <cell r="A639" t="str">
            <v>DOC. BASICA 16-TSE TID III</v>
          </cell>
        </row>
        <row r="640">
          <cell r="A640" t="str">
            <v>DOC. BASICA 16-TSE TID IV</v>
          </cell>
        </row>
        <row r="641">
          <cell r="A641" t="str">
            <v>DOC. BASICA 16-TSE TID V</v>
          </cell>
        </row>
        <row r="642">
          <cell r="A642" t="str">
            <v>DOC. BASICA 77  TCVD</v>
          </cell>
        </row>
        <row r="643">
          <cell r="A643" t="str">
            <v>DOC. BASICA 77  TID</v>
          </cell>
        </row>
        <row r="644">
          <cell r="A644" t="str">
            <v>DOC. BASICA 789-TSE TCVD I</v>
          </cell>
        </row>
        <row r="645">
          <cell r="A645" t="str">
            <v>DOC. BASICA 789-TSE TCVD II</v>
          </cell>
        </row>
        <row r="646">
          <cell r="A646" t="str">
            <v>DOC. BASICA 789-TSE TCVD III</v>
          </cell>
        </row>
        <row r="647">
          <cell r="A647" t="str">
            <v>DOC. BASICA 789-TSE TCVD IV</v>
          </cell>
        </row>
        <row r="648">
          <cell r="A648" t="str">
            <v>DOC. BASICA 789-TSE TCVD V</v>
          </cell>
        </row>
        <row r="649">
          <cell r="A649" t="str">
            <v>DOC. BASICA 789-TSE TCVD VI</v>
          </cell>
        </row>
        <row r="650">
          <cell r="A650" t="str">
            <v>DOC. BASICA I    77 TCVNMA</v>
          </cell>
        </row>
        <row r="651">
          <cell r="A651" t="str">
            <v>DOC. BASICA I    77 TCVNMA</v>
          </cell>
        </row>
        <row r="652">
          <cell r="A652" t="str">
            <v>DOC. BASICA I   139 TCVD</v>
          </cell>
        </row>
        <row r="653">
          <cell r="A653" t="str">
            <v>DOC. BASICA I   139 TCVNMA</v>
          </cell>
        </row>
        <row r="654">
          <cell r="A654" t="str">
            <v>DOC. BASICA I   139 TID</v>
          </cell>
        </row>
        <row r="655">
          <cell r="A655" t="str">
            <v>DOC. BASICA I   77  TCVD</v>
          </cell>
        </row>
        <row r="656">
          <cell r="A656" t="str">
            <v>DOC. BASICA I   77 16 TSE</v>
          </cell>
        </row>
        <row r="657">
          <cell r="A657" t="str">
            <v>DOC. BASICA I 77 TID</v>
          </cell>
        </row>
        <row r="658">
          <cell r="A658" t="str">
            <v>DOC. BASICA II  139 TCVD</v>
          </cell>
        </row>
        <row r="659">
          <cell r="A659" t="str">
            <v>DOC. BASICA II  139 TCVNMA</v>
          </cell>
        </row>
        <row r="660">
          <cell r="A660" t="str">
            <v>DOC. BASICA II  139 TID</v>
          </cell>
        </row>
        <row r="661">
          <cell r="A661" t="str">
            <v>DOC. BASICA II  77  TID</v>
          </cell>
        </row>
        <row r="662">
          <cell r="A662" t="str">
            <v>DOC. BASICA II  77 16 TSE</v>
          </cell>
        </row>
        <row r="663">
          <cell r="A663" t="str">
            <v>DOC. BASICA II 77</v>
          </cell>
        </row>
        <row r="664">
          <cell r="A664" t="str">
            <v>DOC. BASICA II 77  TCVD</v>
          </cell>
        </row>
        <row r="665">
          <cell r="A665" t="str">
            <v>DOC. BASICA II 77 TCVNMA</v>
          </cell>
        </row>
        <row r="666">
          <cell r="A666" t="str">
            <v>DOC. BASICA II 77 TCVNMA</v>
          </cell>
        </row>
        <row r="667">
          <cell r="A667" t="str">
            <v>DOC. BASICA III  77 TCVNMA</v>
          </cell>
        </row>
        <row r="668">
          <cell r="A668" t="str">
            <v>DOC. BASICA III  77 TCVNMA</v>
          </cell>
        </row>
        <row r="669">
          <cell r="A669" t="str">
            <v>DOC. BASICA III 139 TCVD</v>
          </cell>
        </row>
        <row r="670">
          <cell r="A670" t="str">
            <v>DOC. BASICA III 139 TCVNMA</v>
          </cell>
        </row>
        <row r="671">
          <cell r="A671" t="str">
            <v>DOC. BASICA III 139 TID</v>
          </cell>
        </row>
        <row r="672">
          <cell r="A672" t="str">
            <v>DOC. BASICA III 77  TCVD</v>
          </cell>
        </row>
        <row r="673">
          <cell r="A673" t="str">
            <v>DOC. BASICA III 77  TID</v>
          </cell>
        </row>
        <row r="674">
          <cell r="A674" t="str">
            <v>DOC. BASICA III 77 TCVN</v>
          </cell>
        </row>
        <row r="675">
          <cell r="A675" t="str">
            <v>DOC. BASICA IV   77 TCVNMA</v>
          </cell>
        </row>
        <row r="676">
          <cell r="A676" t="str">
            <v>DOC. BASICA IV   77 TCVNMA</v>
          </cell>
        </row>
        <row r="677">
          <cell r="A677" t="str">
            <v>DOC. BASICA IV  139 TCVD</v>
          </cell>
        </row>
        <row r="678">
          <cell r="A678" t="str">
            <v>DOC. BASICA IV  139 TCVNMA</v>
          </cell>
        </row>
        <row r="679">
          <cell r="A679" t="str">
            <v>DOC. BASICA IV  139 TID</v>
          </cell>
        </row>
        <row r="680">
          <cell r="A680" t="str">
            <v>DOC. BASICA IV  77  TCVD</v>
          </cell>
        </row>
        <row r="681">
          <cell r="A681" t="str">
            <v>DOC. BASICA IV  77  TID</v>
          </cell>
        </row>
        <row r="682">
          <cell r="A682" t="str">
            <v>DOC. BASICA IV  77  TID  (33 HORAS) /TCVD (14 HORAS)</v>
          </cell>
        </row>
        <row r="683">
          <cell r="A683" t="str">
            <v>DOC. BASICA IV  77 TC-V</v>
          </cell>
        </row>
        <row r="684">
          <cell r="A684" t="str">
            <v>DOC. BASICA IV 77 TCVD (19 HORAS) TID  (33.33 HORAS)</v>
          </cell>
        </row>
        <row r="685">
          <cell r="A685" t="str">
            <v>DOC. BASICA N.G. 16 TCVNMA</v>
          </cell>
        </row>
        <row r="686">
          <cell r="A686" t="str">
            <v>DOC. BASICA N.G. 19 TID</v>
          </cell>
        </row>
        <row r="687">
          <cell r="A687" t="str">
            <v>DOC. BASICA N.G. 789 TCVNHC</v>
          </cell>
        </row>
        <row r="688">
          <cell r="A688" t="str">
            <v>DOC. BASICA N.G. 789 TCVNMA</v>
          </cell>
        </row>
        <row r="689">
          <cell r="A689" t="str">
            <v>DOC. BASICA N.G. TCVD</v>
          </cell>
        </row>
        <row r="690">
          <cell r="A690" t="str">
            <v>DOC. BASICA N.G. TCVID</v>
          </cell>
        </row>
        <row r="691">
          <cell r="A691" t="str">
            <v>DOC. BASICA V    77 TCVNMA</v>
          </cell>
        </row>
        <row r="692">
          <cell r="A692" t="str">
            <v>DOC. BASICA V    77 TCVNMA</v>
          </cell>
        </row>
        <row r="693">
          <cell r="A693" t="str">
            <v>DOC. BASICA V   139 TCVD</v>
          </cell>
        </row>
        <row r="694">
          <cell r="A694" t="str">
            <v>DOC. BASICA V   139 TCVNMA</v>
          </cell>
        </row>
        <row r="695">
          <cell r="A695" t="str">
            <v>DOC. BASICA V   139 TID</v>
          </cell>
        </row>
        <row r="696">
          <cell r="A696" t="str">
            <v>DOC. BASICA V   77  TCVD</v>
          </cell>
        </row>
        <row r="697">
          <cell r="A697" t="str">
            <v>DOC. BASICA V   77  TID</v>
          </cell>
        </row>
        <row r="698">
          <cell r="A698" t="str">
            <v>DOC. BASICA V   77  TID (33.33 HORAS /TCVD (10 HORAS)</v>
          </cell>
        </row>
        <row r="699">
          <cell r="A699" t="str">
            <v>DOC. BASICA V   77  TID (33.33 HORAS) /TCVD (13 HORAS)</v>
          </cell>
        </row>
        <row r="700">
          <cell r="A700" t="str">
            <v>DOC. BASICA V   77 TC-V 79</v>
          </cell>
        </row>
        <row r="701">
          <cell r="A701" t="str">
            <v>DOC. BASICA V  139 TCVD-MEF</v>
          </cell>
        </row>
        <row r="702">
          <cell r="A702" t="str">
            <v>DOC. BASICA V  77  TCVD  (10 HORAS) Y TCVNMA (16) HORAS</v>
          </cell>
        </row>
        <row r="703">
          <cell r="A703" t="str">
            <v>DOC. BASICA V  77  TID/TCVNMA</v>
          </cell>
        </row>
        <row r="704">
          <cell r="A704" t="str">
            <v>DOC. BASICA V 77 TID (33.33) TCVD (20 HORAS)</v>
          </cell>
        </row>
        <row r="705">
          <cell r="A705" t="str">
            <v>DOC. BASICA V ORIENT.77 TID</v>
          </cell>
        </row>
        <row r="706">
          <cell r="A706" t="str">
            <v>DOC. BASICA VI   77 TCVD</v>
          </cell>
        </row>
        <row r="707">
          <cell r="A707" t="str">
            <v>DOC. BASICA VI   77 TCVNMA</v>
          </cell>
        </row>
        <row r="708">
          <cell r="A708" t="str">
            <v>DOC. BASICA VI   77 TCVNMA</v>
          </cell>
        </row>
        <row r="709">
          <cell r="A709" t="str">
            <v>DOC. BASICA VI  139 TCVD</v>
          </cell>
        </row>
        <row r="710">
          <cell r="A710" t="str">
            <v>DOC. BASICA VI  139 TCVNMA</v>
          </cell>
        </row>
        <row r="711">
          <cell r="A711" t="str">
            <v>DOC. BASICA VI  139 TID</v>
          </cell>
        </row>
        <row r="712">
          <cell r="A712" t="str">
            <v>DOC. BASICA VI  77  TCVD</v>
          </cell>
        </row>
        <row r="713">
          <cell r="A713" t="str">
            <v>DOC. BASICA VI  77  TID</v>
          </cell>
        </row>
        <row r="714">
          <cell r="A714" t="str">
            <v>DOC. BASICA VI 77 TID (33.33 HORAS) TCVN (12 HORAS)</v>
          </cell>
        </row>
        <row r="715">
          <cell r="A715" t="str">
            <v>DOC. BASICA VI 77 TID (33.33 HORAS) TCVNMA (11 HORAS)</v>
          </cell>
        </row>
        <row r="716">
          <cell r="A716" t="str">
            <v>DOC. BASICO  VI  T.S.E. TCVNMA</v>
          </cell>
        </row>
        <row r="717">
          <cell r="A717" t="str">
            <v>DOC. BASICO I  T.S.E. TCVNMA</v>
          </cell>
        </row>
        <row r="718">
          <cell r="A718" t="str">
            <v>DOC. BASICO II  T.S.E. TCVNMA</v>
          </cell>
        </row>
        <row r="719">
          <cell r="A719" t="str">
            <v>DOC. BASICO III T.S.E. TCVNMA</v>
          </cell>
        </row>
        <row r="720">
          <cell r="A720" t="str">
            <v>DOC. BASICO IV  T.S.E. TCVNMA</v>
          </cell>
        </row>
        <row r="721">
          <cell r="A721" t="str">
            <v>DOC. DIR. BASICA  VI 139 TID (36 HORAS) Y DOC. BAS. VI 139 TCVNMA (16 HORAS)</v>
          </cell>
        </row>
        <row r="722">
          <cell r="A722" t="str">
            <v>DOC. DIRECTOR 77-TC  IV.</v>
          </cell>
        </row>
        <row r="723">
          <cell r="A723" t="str">
            <v>DOC. DIRECTOR ARTES P.</v>
          </cell>
        </row>
        <row r="724">
          <cell r="A724" t="str">
            <v>DOC. DIRECTOR BAS. N.G. 16 TCVNMA</v>
          </cell>
        </row>
        <row r="725">
          <cell r="A725" t="str">
            <v>DOC. DIRECTOR BAS. N.G. 789 TCVNMA</v>
          </cell>
        </row>
        <row r="726">
          <cell r="A726" t="str">
            <v>DOC. DIRECTOR BASICA  I 139 TCVNMA</v>
          </cell>
        </row>
        <row r="727">
          <cell r="A727" t="str">
            <v>DOC. DIRECTOR BASICA  V  77 TCVNMA</v>
          </cell>
        </row>
        <row r="728">
          <cell r="A728" t="str">
            <v>DOC. DIRECTOR BASICA  V 139 TCVNMA</v>
          </cell>
        </row>
        <row r="729">
          <cell r="A729" t="str">
            <v>DOC. DIRECTOR BASICA  V T.S.E TID</v>
          </cell>
        </row>
        <row r="730">
          <cell r="A730" t="str">
            <v>DOC. DIRECTOR BASICA 77  TID</v>
          </cell>
        </row>
        <row r="731">
          <cell r="A731" t="str">
            <v>DOC. DIRECTOR BASICA 77 TCVNMA</v>
          </cell>
        </row>
        <row r="732">
          <cell r="A732" t="str">
            <v>DOC. DIRECTOR BASICA I   77  TID</v>
          </cell>
        </row>
        <row r="733">
          <cell r="A733" t="str">
            <v>DOC. DIRECTOR BASICA I  77 TCVNMA</v>
          </cell>
        </row>
        <row r="734">
          <cell r="A734" t="str">
            <v>DOC. DIRECTOR BASICA II  77  TID</v>
          </cell>
        </row>
        <row r="735">
          <cell r="A735" t="str">
            <v>DOC. DIRECTOR BASICA III 139 TID</v>
          </cell>
        </row>
        <row r="736">
          <cell r="A736" t="str">
            <v>DOC. DIRECTOR BASICA III 77 TID</v>
          </cell>
        </row>
        <row r="737">
          <cell r="A737" t="str">
            <v>DOC. DIRECTOR BASICA IV  77 TCVNMA</v>
          </cell>
        </row>
        <row r="738">
          <cell r="A738" t="str">
            <v>DOC. DIRECTOR BASICA IV  77 TID</v>
          </cell>
        </row>
        <row r="739">
          <cell r="A739" t="str">
            <v>DOC. DIRECTOR BASICA IV 139 TCVNMA</v>
          </cell>
        </row>
        <row r="740">
          <cell r="A740" t="str">
            <v>DOC. DIRECTOR BASICA IV 139 TID</v>
          </cell>
        </row>
        <row r="741">
          <cell r="A741" t="str">
            <v>DOC. DIRECTOR BASICA IV T.S.E TID</v>
          </cell>
        </row>
        <row r="742">
          <cell r="A742" t="str">
            <v>DOC. DIRECTOR BASICA V   77 TID</v>
          </cell>
        </row>
        <row r="743">
          <cell r="A743" t="str">
            <v>DOC. DIRECTOR BASICA V  139 TID</v>
          </cell>
        </row>
        <row r="744">
          <cell r="A744" t="str">
            <v>DOC. DIRECTOR BASICA VI  77 TCVNMA</v>
          </cell>
        </row>
        <row r="745">
          <cell r="A745" t="str">
            <v>DOC. DIRECTOR BASICA VI  77 TID</v>
          </cell>
        </row>
        <row r="746">
          <cell r="A746" t="str">
            <v>DOC. DIRECTOR BASICA VI  77 TINMA</v>
          </cell>
        </row>
        <row r="747">
          <cell r="A747" t="str">
            <v>DOC. DIRECTOR BASICA VI 139 TCVNMA</v>
          </cell>
        </row>
        <row r="748">
          <cell r="A748" t="str">
            <v>DOC. DIRECTOR BASICA VI 139 TID</v>
          </cell>
        </row>
        <row r="749">
          <cell r="A749" t="str">
            <v>DOC. DIRECTOR BASICO I  T.S.E.</v>
          </cell>
        </row>
        <row r="750">
          <cell r="A750" t="str">
            <v>DOC. DIRECTOR BASICO II  T.S.E.</v>
          </cell>
        </row>
        <row r="751">
          <cell r="A751" t="str">
            <v>DOC. DIRECTOR BASICO III  T.S.E.</v>
          </cell>
        </row>
        <row r="752">
          <cell r="A752" t="str">
            <v>DOC. DIRECTOR BASICO IV  T.S.E.</v>
          </cell>
        </row>
        <row r="753">
          <cell r="A753" t="str">
            <v>DOC. DIRECTOR BASICO V  T.S.E.</v>
          </cell>
        </row>
        <row r="754">
          <cell r="A754" t="str">
            <v>DOC. DIRECTOR BASICO VI  T.S.E.</v>
          </cell>
        </row>
        <row r="755">
          <cell r="A755" t="str">
            <v>DOC. DIRECTOR N.G.</v>
          </cell>
        </row>
        <row r="756">
          <cell r="A756" t="str">
            <v>DOC. DIRECTOR PRE-ESC  II  77  TID</v>
          </cell>
        </row>
        <row r="757">
          <cell r="A757" t="str">
            <v>DOC. DIRECTOR PRE-ESC. I   77  TID</v>
          </cell>
        </row>
        <row r="758">
          <cell r="A758" t="str">
            <v>DOC. DIRECTOR PRE-ESC. III  77 TID</v>
          </cell>
        </row>
        <row r="759">
          <cell r="A759" t="str">
            <v>DOC. DIRECTOR PRE-ESC. III 139 TID</v>
          </cell>
        </row>
        <row r="760">
          <cell r="A760" t="str">
            <v>DOC. DIRECTOR PRE-ESC. IV  139 TID</v>
          </cell>
        </row>
        <row r="761">
          <cell r="A761" t="str">
            <v>DOC. DIRECTOR PRE-ESC. IV  77  TID</v>
          </cell>
        </row>
        <row r="762">
          <cell r="A762" t="str">
            <v>DOC. DIRECTOR PRE-ESC. V   139 TID</v>
          </cell>
        </row>
        <row r="763">
          <cell r="A763" t="str">
            <v>DOC. DIRECTOR PRE-ESC. V   77  TID</v>
          </cell>
        </row>
        <row r="764">
          <cell r="A764" t="str">
            <v>DOC. DIRECTOR PRE-ESC. VI  139 TID</v>
          </cell>
        </row>
        <row r="765">
          <cell r="A765" t="str">
            <v>DOC. DIRECTOR PRE-ESC. VI  77  TID</v>
          </cell>
        </row>
        <row r="766">
          <cell r="A766" t="str">
            <v>DOC. DIRECTOR TCV NMA 77-III</v>
          </cell>
        </row>
        <row r="767">
          <cell r="A767" t="str">
            <v>DOC. DIRECTOR VI 139</v>
          </cell>
        </row>
        <row r="768">
          <cell r="A768" t="str">
            <v>DOC. DIRECTOR VI 77</v>
          </cell>
        </row>
        <row r="769">
          <cell r="A769" t="str">
            <v>DOC. N.G.  TCVID (10 HORAS)/ TCVNMA (09 HORAS)</v>
          </cell>
        </row>
        <row r="770">
          <cell r="A770" t="str">
            <v>DOC. ORI.BAS. III 77</v>
          </cell>
        </row>
        <row r="771">
          <cell r="A771" t="str">
            <v>DOC. ORIEN. I 77 1-6 TC</v>
          </cell>
        </row>
        <row r="772">
          <cell r="A772" t="str">
            <v>DOC. ORIEN. V 77 1-6 TID</v>
          </cell>
        </row>
        <row r="773">
          <cell r="A773" t="str">
            <v>DOC. ORIENT. 77  III TID</v>
          </cell>
        </row>
        <row r="774">
          <cell r="A774" t="str">
            <v>DOC. ORIENTADOR 77 TC IV</v>
          </cell>
        </row>
        <row r="775">
          <cell r="A775" t="str">
            <v>DOC. ORIENTADOR 77 TC V</v>
          </cell>
        </row>
        <row r="776">
          <cell r="A776" t="str">
            <v>DOC. ORIENTADOR 77-TC. I.</v>
          </cell>
        </row>
        <row r="777">
          <cell r="A777" t="str">
            <v>DOC. PLAN.16 77  V</v>
          </cell>
        </row>
        <row r="778">
          <cell r="A778" t="str">
            <v>DOC. PLAN.16 77 IV</v>
          </cell>
        </row>
        <row r="779">
          <cell r="A779" t="str">
            <v>DOC. PLAN.16 77 VI</v>
          </cell>
        </row>
        <row r="780">
          <cell r="A780" t="str">
            <v>DOC. PLANIF. V   TC</v>
          </cell>
        </row>
        <row r="781">
          <cell r="A781" t="str">
            <v>DOC. PRE-ESC I 77 TID INTERINO</v>
          </cell>
        </row>
        <row r="782">
          <cell r="A782" t="str">
            <v>DOC. PRE-ESC I TSE TID INTERINO</v>
          </cell>
        </row>
        <row r="783">
          <cell r="A783" t="str">
            <v>DOC. PRE-ESC TSE TID I</v>
          </cell>
        </row>
        <row r="784">
          <cell r="A784" t="str">
            <v>DOC. PRE-ESC TSE TID II</v>
          </cell>
        </row>
        <row r="785">
          <cell r="A785" t="str">
            <v>DOC. PRE-ESC TSE TID III</v>
          </cell>
        </row>
        <row r="786">
          <cell r="A786" t="str">
            <v>DOC. PRE-ESC TSE TID IV</v>
          </cell>
        </row>
        <row r="787">
          <cell r="A787" t="str">
            <v>DOC. PRE-ESC TSE TID V</v>
          </cell>
        </row>
        <row r="788">
          <cell r="A788" t="str">
            <v>DOC. PRE-ESC TSE TID VI</v>
          </cell>
        </row>
        <row r="789">
          <cell r="A789" t="str">
            <v>DOC. PRE-ESC. I   139 TID</v>
          </cell>
        </row>
        <row r="790">
          <cell r="A790" t="str">
            <v>DOC. PRE-ESC. I   77  TID</v>
          </cell>
        </row>
        <row r="791">
          <cell r="A791" t="str">
            <v>DOC. PRE-ESC. II  139 TID</v>
          </cell>
        </row>
        <row r="792">
          <cell r="A792" t="str">
            <v>DOC. PRE-ESC. II  77  TID</v>
          </cell>
        </row>
        <row r="793">
          <cell r="A793" t="str">
            <v>DOC. PRE-ESC. III 139 TID</v>
          </cell>
        </row>
        <row r="794">
          <cell r="A794" t="str">
            <v>DOC. PRE-ESC. III 77  TID</v>
          </cell>
        </row>
        <row r="795">
          <cell r="A795" t="str">
            <v>DOC. PRE-ESC. IV  139 TID</v>
          </cell>
        </row>
        <row r="796">
          <cell r="A796" t="str">
            <v>DOC. PRE-ESC. IV  77  TID</v>
          </cell>
        </row>
        <row r="797">
          <cell r="A797" t="str">
            <v>DOC. PRE-ESC. V   139 TID</v>
          </cell>
        </row>
        <row r="798">
          <cell r="A798" t="str">
            <v>DOC. PRE-ESC. V   77  TID</v>
          </cell>
        </row>
        <row r="799">
          <cell r="A799" t="str">
            <v>DOC. PRE-ESC. VI  139 TID</v>
          </cell>
        </row>
        <row r="800">
          <cell r="A800" t="str">
            <v>DOC. PRE-ESC. VI  77  TID</v>
          </cell>
        </row>
        <row r="801">
          <cell r="A801" t="str">
            <v>DOC. PRE-ESCOLAR N.G.</v>
          </cell>
        </row>
        <row r="802">
          <cell r="A802" t="str">
            <v>DOC. SUB DIR. IV  77 TID /DOC BASICA IV 77 TCVNMA</v>
          </cell>
        </row>
        <row r="803">
          <cell r="A803" t="str">
            <v>DOC. SUB DIRECTOR BASICA  I  139 TID</v>
          </cell>
        </row>
        <row r="804">
          <cell r="A804" t="str">
            <v>DOC. SUB DIRECTOR BASICA  II 139 TID</v>
          </cell>
        </row>
        <row r="805">
          <cell r="A805" t="str">
            <v>DOC. SUB DIRECTOR BASICA 77 TID</v>
          </cell>
        </row>
        <row r="806">
          <cell r="A806" t="str">
            <v>DOC. SUB DIRECTOR BASICA I 77 TID</v>
          </cell>
        </row>
        <row r="807">
          <cell r="A807" t="str">
            <v>DOC. SUB DIRECTOR BASICA II  77 TID</v>
          </cell>
        </row>
        <row r="808">
          <cell r="A808" t="str">
            <v>DOC. SUB DIRECTOR BASICA III  77 TID</v>
          </cell>
        </row>
        <row r="809">
          <cell r="A809" t="str">
            <v>DOC. SUB DIRECTOR BASICA III 139 TID</v>
          </cell>
        </row>
        <row r="810">
          <cell r="A810" t="str">
            <v>DOC. SUB DIRECTOR BASICA IV  77 TID</v>
          </cell>
        </row>
        <row r="811">
          <cell r="A811" t="str">
            <v>DOC. SUB DIRECTOR BASICA IV  T.S.E</v>
          </cell>
        </row>
        <row r="812">
          <cell r="A812" t="str">
            <v>DOC. SUB DIRECTOR BASICA IV  TID</v>
          </cell>
        </row>
        <row r="813">
          <cell r="A813" t="str">
            <v>DOC. SUB DIRECTOR BASICA IV 139 TID</v>
          </cell>
        </row>
        <row r="814">
          <cell r="A814" t="str">
            <v>DOC. SUB DIRECTOR BASICA V   77 TID</v>
          </cell>
        </row>
        <row r="815">
          <cell r="A815" t="str">
            <v>DOC. SUB DIRECTOR BASICA V  139 TID</v>
          </cell>
        </row>
        <row r="816">
          <cell r="A816" t="str">
            <v>DOC. SUB DIRECTOR BASICA VI  77 TCVNMA</v>
          </cell>
        </row>
        <row r="817">
          <cell r="A817" t="str">
            <v>DOC. SUB DIRECTOR BASICA VI  77 TID</v>
          </cell>
        </row>
        <row r="818">
          <cell r="A818" t="str">
            <v>DOC. SUB DIRECTOR BASICA VI 139 TID</v>
          </cell>
        </row>
        <row r="819">
          <cell r="A819" t="str">
            <v>DOC. SUB DIRECTOR BASICO I  T.S.E.</v>
          </cell>
        </row>
        <row r="820">
          <cell r="A820" t="str">
            <v>DOC. SUB DIRECTOR BASICO IV  T.S.E.</v>
          </cell>
        </row>
        <row r="821">
          <cell r="A821" t="str">
            <v>DOC. SUB DIRECTOR BASICO V  T.S.E.</v>
          </cell>
        </row>
        <row r="822">
          <cell r="A822" t="str">
            <v>DOC. SUB DIRECTOR BASICO VI T.S.E.</v>
          </cell>
        </row>
        <row r="823">
          <cell r="A823" t="str">
            <v>DOC. SUB DIRECTOR N.G. TIDN</v>
          </cell>
        </row>
        <row r="824">
          <cell r="A824" t="str">
            <v>DOC. SUB DIRECTOR PRE-ESC. T.S.E. TID II</v>
          </cell>
        </row>
        <row r="825">
          <cell r="A825" t="str">
            <v>DOC. SUB DIRECTOR PRE-ESC. T.S.E. TID II</v>
          </cell>
        </row>
        <row r="826">
          <cell r="A826" t="str">
            <v>DOC. SUB DIRECTOR PRE-ESC. T.S.E. TID IV</v>
          </cell>
        </row>
        <row r="827">
          <cell r="A827" t="str">
            <v>DOC. SUB DIRECTOR PRE-ESC. T.S.E. TID V</v>
          </cell>
        </row>
        <row r="828">
          <cell r="A828" t="str">
            <v>DOC. SUB DIRECTOR PRE-ESC. T.S.E. TID VI</v>
          </cell>
        </row>
        <row r="829">
          <cell r="A829" t="str">
            <v>DOC. SUB DIRECTOR PRE-ESCOLAR II 139</v>
          </cell>
        </row>
        <row r="830">
          <cell r="A830" t="str">
            <v>DOC. SUB DIRECTOR PRE-ESCOLAR II 77</v>
          </cell>
        </row>
        <row r="831">
          <cell r="A831" t="str">
            <v>DOC. SUB DIRECTOR PRE-ESCOLAR III 77</v>
          </cell>
        </row>
        <row r="832">
          <cell r="A832" t="str">
            <v>DOC. SUB DIRECTOR PRE-ESCOLAR IV 77</v>
          </cell>
        </row>
        <row r="833">
          <cell r="A833" t="str">
            <v>DOC. SUB DIRECTOR PRE-ESCOLAR V  139</v>
          </cell>
        </row>
        <row r="834">
          <cell r="A834" t="str">
            <v>DOC. SUB DIRECTOR PRE-ESCOLAR V  77</v>
          </cell>
        </row>
        <row r="835">
          <cell r="A835" t="str">
            <v>DOC. SUB DIRECTOR PRE-ESCOLAR VI 139</v>
          </cell>
        </row>
        <row r="836">
          <cell r="A836" t="str">
            <v>DOC. SUB DIRECTOR PRE-ESCOLAR VI 77</v>
          </cell>
        </row>
        <row r="837">
          <cell r="A837" t="str">
            <v>DOC. SUB. DIR. BAS. VI 77 (36 HORAS) DOC BAS VI 77 TCVD (14 HORAS)</v>
          </cell>
        </row>
        <row r="838">
          <cell r="A838" t="str">
            <v>DOC. SUBDIR. BAS. (36 HORAS) Y PROF. DE KINDER MUSICAL (16 HORAS)</v>
          </cell>
        </row>
        <row r="839">
          <cell r="A839" t="str">
            <v>DOC. SUP. BAS.  VI 77 TC (40 HORAS) TCVNMA (16 HORAS)</v>
          </cell>
        </row>
        <row r="840">
          <cell r="A840" t="str">
            <v>DOC. SUP. BAS. III 77</v>
          </cell>
        </row>
        <row r="841">
          <cell r="A841" t="str">
            <v>DOC. SUP.BAS  VI 77  TC</v>
          </cell>
        </row>
        <row r="842">
          <cell r="A842" t="str">
            <v>DOC. SUP.BAS. II 77  TC</v>
          </cell>
        </row>
        <row r="843">
          <cell r="A843" t="str">
            <v>DOC. SUP.BAS. IV 139 TC</v>
          </cell>
        </row>
        <row r="844">
          <cell r="A844" t="str">
            <v>DOC. SUP.BAS. IV 77  TC</v>
          </cell>
        </row>
        <row r="845">
          <cell r="A845" t="str">
            <v>DOC. SUP.BAS. V  139 TC</v>
          </cell>
        </row>
        <row r="846">
          <cell r="A846" t="str">
            <v>DOC. SUP.BAS. V  77  TC</v>
          </cell>
        </row>
        <row r="847">
          <cell r="A847" t="str">
            <v>DOC. SUP.BAS. VI 139 TC</v>
          </cell>
        </row>
        <row r="848">
          <cell r="A848" t="str">
            <v>DOC. SUP.NG. III MEFDTC</v>
          </cell>
        </row>
        <row r="849">
          <cell r="A849" t="str">
            <v>DOC.BAS VI 77 TID (33.33 HORAS) / TCVD (16 HORAS)</v>
          </cell>
        </row>
        <row r="850">
          <cell r="A850" t="str">
            <v>DOC.BAS. V 77 TID (33.33 HORAS) /TCVD (05 HORAS)</v>
          </cell>
        </row>
        <row r="851">
          <cell r="A851" t="str">
            <v>DOC.BAS. V 77 TID (33.33 HORAS)-TCVD (05 HORAS)</v>
          </cell>
        </row>
        <row r="852">
          <cell r="A852" t="str">
            <v>DOC.BAS. VI 77 TID  (33.33 HORAS) /TCVD (05 HORAS)</v>
          </cell>
        </row>
        <row r="853">
          <cell r="A853" t="str">
            <v>DOC.BAS. VI 77 TID (33,33 HORAS) / TCVD (20 HORAS)</v>
          </cell>
        </row>
        <row r="854">
          <cell r="A854" t="str">
            <v>DOC.BAS. VI 77 TID (33.33 HORAS) /TCVD (20 HORAS)</v>
          </cell>
        </row>
        <row r="855">
          <cell r="A855" t="str">
            <v>DOC.BAS. VI 77 TID (36 HORAS) /TCVD (08 HORAS)</v>
          </cell>
        </row>
        <row r="856">
          <cell r="A856" t="str">
            <v>DOC.BAS. VI 77 TID (36 HORAS) /TCVD (14 HORAS)</v>
          </cell>
        </row>
        <row r="857">
          <cell r="A857" t="str">
            <v>DOC.BAS. VI 77TID (33.33 HORAS) / TCVMNA (16 HORAS)</v>
          </cell>
        </row>
        <row r="858">
          <cell r="A858" t="str">
            <v>DOC.BAS.VI 77 TID (33 HORAS) /TCVD (14 HORAS)</v>
          </cell>
        </row>
        <row r="859">
          <cell r="A859" t="str">
            <v>DOC.BAS.VI 77 TID (33.33 HORAS) /TCVD (10 HORAS)</v>
          </cell>
        </row>
        <row r="860">
          <cell r="A860" t="str">
            <v>DOC.DIRECTOR BASICA VI 139 TID (36HRS) Y ALFABETIZADOR V 139 (16HRS)</v>
          </cell>
        </row>
        <row r="861">
          <cell r="A861" t="str">
            <v>DOC.PRE-ESC. /TID (33.33) Y TCVD (17 HORAS)</v>
          </cell>
        </row>
        <row r="862">
          <cell r="A862" t="str">
            <v>DOC.SUB.BAS.IV TID (36 HOTAS) /TCVD (4 HORAS) Y (8 HORAS)</v>
          </cell>
        </row>
        <row r="863">
          <cell r="A863" t="str">
            <v>DOCENTE AULA IV</v>
          </cell>
        </row>
        <row r="864">
          <cell r="A864" t="str">
            <v>DOCENTE BASICA 19-77 TID</v>
          </cell>
        </row>
        <row r="865">
          <cell r="A865" t="str">
            <v>DOCENTE BASICA DIRECTORA 16-77 TID</v>
          </cell>
        </row>
        <row r="866">
          <cell r="A866" t="str">
            <v>DOCENTE BASICA DIRECTORA V 77 TCVD (20 HORAS) Y TC (40 HORAS)</v>
          </cell>
        </row>
        <row r="867">
          <cell r="A867" t="str">
            <v>DOCENTE BASICA I 77 TCVD  (12 HORAS) Y DOCENTE BASICA I 77 TCVD (08 HORAS)</v>
          </cell>
        </row>
        <row r="868">
          <cell r="A868" t="str">
            <v>DOCENTE BASICA III 77 TID/TCVD</v>
          </cell>
        </row>
        <row r="869">
          <cell r="A869" t="str">
            <v>DOCENTE BASICA IV 139 TCVNMA (16 HORAS)</v>
          </cell>
        </row>
        <row r="870">
          <cell r="A870" t="str">
            <v>DOCENTE BASICA IV 77 TCVD (18 HORAS) Y DOCENTE BASICA IV 77 TID (33,33 HORAS)</v>
          </cell>
        </row>
        <row r="871">
          <cell r="A871" t="str">
            <v>DOCENTE BASICA IV 77 TCVD (22 HORAS) Y DOCENTE BASICA IV 77 TID (33,33 HORAS)</v>
          </cell>
        </row>
        <row r="872">
          <cell r="A872" t="str">
            <v>DOCENTE BASICA IV 77 TCVD Y DOCENTE IV 77 TCVD</v>
          </cell>
        </row>
        <row r="873">
          <cell r="A873" t="str">
            <v>DOCENTE BASICA IV 77 TID (33,33 HORAS) Y ALFABETIZADORA (16 HORAS)</v>
          </cell>
        </row>
        <row r="874">
          <cell r="A874" t="str">
            <v>DOCENTE BASICA IV 77 TID (33,33 HORAS) Y DOCENTE BASICA IV 77 TCVD (10 HORAS)</v>
          </cell>
        </row>
        <row r="875">
          <cell r="A875" t="str">
            <v>DOCENTE BASICA IV 77 TID (33,33 HORAS) Y DOCENTE BASICA IV TCVD (14 HORAS)</v>
          </cell>
        </row>
        <row r="876">
          <cell r="A876" t="str">
            <v>DOCENTE BASICA IV 77 TID (33,33 HORAS) Y TCVD (12 HORAS)</v>
          </cell>
        </row>
        <row r="877">
          <cell r="A877" t="str">
            <v>DOCENTE BASICA IV 77 TID (33,33 HORAS) Y TCVD (20 HORAS)</v>
          </cell>
        </row>
        <row r="878">
          <cell r="A878" t="str">
            <v>DOCENTE BASICA IV 77 TID Y DOCENTE BASICA IV 77 TCVD</v>
          </cell>
        </row>
        <row r="879">
          <cell r="A879" t="str">
            <v>DOCENTE BASICA IV 77 TID Y DOCENTE DE AULA (ZONA EDUCATIVA)</v>
          </cell>
        </row>
        <row r="880">
          <cell r="A880" t="str">
            <v>DOCENTE BASICA NG 16 TCVNMA (16 HORAS)</v>
          </cell>
        </row>
        <row r="881">
          <cell r="A881" t="str">
            <v>DOCENTE BASICA NG TCVD (07 HORAS)</v>
          </cell>
        </row>
        <row r="882">
          <cell r="A882" t="str">
            <v>DOCENTE BASICA NG TCVD (12 HORAS)</v>
          </cell>
        </row>
        <row r="883">
          <cell r="A883" t="str">
            <v>DOCENTE BASICA NG TCVD (12 HR) Y INSTRUCTOR II (24 HR)</v>
          </cell>
        </row>
        <row r="884">
          <cell r="A884" t="str">
            <v>DOCENTE BASICA NG TCVD (20 HORAS)</v>
          </cell>
        </row>
        <row r="885">
          <cell r="A885" t="str">
            <v>DOCENTE BASICA SUPERVISORA VI 139 TC Y DOCENTE BASICA VI 139 TCVNM</v>
          </cell>
        </row>
        <row r="886">
          <cell r="A886" t="str">
            <v>DOCENTE BASICA V  77 TID (33,33 HORAS) Y DOCENTE BASICA V 77 TCVD (19HORAS)</v>
          </cell>
        </row>
        <row r="887">
          <cell r="A887" t="str">
            <v>DOCENTE BASICA V 139 TID Y DOCENTE BASICA V 139 TCVN</v>
          </cell>
        </row>
        <row r="888">
          <cell r="A888" t="str">
            <v>DOCENTE BASICA V 77 TID (33,33 HORAS)  Y TCVNMA (16 HORAS)</v>
          </cell>
        </row>
        <row r="889">
          <cell r="A889" t="str">
            <v>DOCENTE BASICA V 77 TID (33,33 HORAS) Y TCVD (02 HORAS)</v>
          </cell>
        </row>
        <row r="890">
          <cell r="A890" t="str">
            <v>DOCENTE BASICA V 77 TID (33,33 HORAS) Y TCVD (08 HORAS)</v>
          </cell>
        </row>
        <row r="891">
          <cell r="A891" t="str">
            <v>DOCENTE BASICA V 77 TID (33,33 HORAS) Y TCVD (17 HORAS)</v>
          </cell>
        </row>
        <row r="892">
          <cell r="A892" t="str">
            <v>DOCENTE BASICA V 77 TID (33,33 HORAS) Y TCVD (19 HORAS)</v>
          </cell>
        </row>
        <row r="893">
          <cell r="A893" t="str">
            <v>DOCENTE BASICA V 77 TID Y V 77 (33,33 HORAS) TCVD (10 HORAS)</v>
          </cell>
        </row>
        <row r="894">
          <cell r="A894" t="str">
            <v>DOCENTE BASICA V 77 TID Y V 77 (33,33 HORAS) TCVD (20 HORAS)</v>
          </cell>
        </row>
        <row r="895">
          <cell r="A895" t="str">
            <v>DOCENTE BASICA VI 139 TID (33.33 HORAS) Y DOCENTE BASICA VI 139 TCVD (16 HORAS)</v>
          </cell>
        </row>
        <row r="896">
          <cell r="A896" t="str">
            <v>DOCENTE BASICA VI 139 TID Y COORDINADORA VI 139</v>
          </cell>
        </row>
        <row r="897">
          <cell r="A897" t="str">
            <v>DOCENTE BASICA VI 139 TID Y DOCENTE BASICA VI 139 TCVD</v>
          </cell>
        </row>
        <row r="898">
          <cell r="A898" t="str">
            <v>DOCENTE BASICA VI 139 TID Y DOCENTE BASICA VI 139 TCVNM</v>
          </cell>
        </row>
        <row r="899">
          <cell r="A899" t="str">
            <v>DOCENTE BASICA VI 77 TCVD (13 HORAS) Y COORDINADORA VI (36 HORAS)</v>
          </cell>
        </row>
        <row r="900">
          <cell r="A900" t="str">
            <v>DOCENTE BASICA VI 77 TCVNM, MAESTRA ALFABETIZADORA, DIRECTORA DOCENTE BASICA VI TCVN, DOCENTE BASICA</v>
          </cell>
        </row>
        <row r="901">
          <cell r="A901" t="str">
            <v>DOCENTE BASICA VI 77 TID  (33.33 HORAS) Y TCVNMA  (16 HORAS)</v>
          </cell>
        </row>
        <row r="902">
          <cell r="A902" t="str">
            <v>DOCENTE BASICA VI 77 TID  (33.33) / TCVD (12 HORAS)</v>
          </cell>
        </row>
        <row r="903">
          <cell r="A903" t="str">
            <v>DOCENTE BASICA VI 77 TID (10 HORAS)  /TCVD (33,33 HORAS)</v>
          </cell>
        </row>
        <row r="904">
          <cell r="A904" t="str">
            <v>DOCENTE BASICA VI 77 TID (33 HORAS) Y TCVD (07 HORAS)</v>
          </cell>
        </row>
        <row r="905">
          <cell r="A905" t="str">
            <v>DOCENTE BASICA VI 77 TID (33 HORAS) Y TCVD (08 HORAS)</v>
          </cell>
        </row>
        <row r="906">
          <cell r="A906" t="str">
            <v>DOCENTE BASICA VI 77 TID (33 HORAS), V 77 TCVD (08 HORAS)</v>
          </cell>
        </row>
        <row r="907">
          <cell r="A907" t="str">
            <v>DOCENTE BASICA VI 77 TID (33,33 HORAS)  Y TCVD (20 HORAS)</v>
          </cell>
        </row>
        <row r="908">
          <cell r="A908" t="str">
            <v>DOCENTE BASICA VI 77 TID (33,33 HORAS) /TCVNMA (15 HORAS)</v>
          </cell>
        </row>
        <row r="909">
          <cell r="A909" t="str">
            <v>DOCENTE BASICA VI 77 TID (33,33 HORAS) Y  TCVD (6 HORAS)</v>
          </cell>
        </row>
        <row r="910">
          <cell r="A910" t="str">
            <v>DOCENTE BASICA VI 77 TID (33,33 HORAS) Y ALFABETIZADORA VI 77 (16 HORAS)</v>
          </cell>
        </row>
        <row r="911">
          <cell r="A911" t="str">
            <v>DOCENTE BASICA VI 77 TID (33,33 HORAS) Y TCVD (04 HORAS)</v>
          </cell>
        </row>
        <row r="912">
          <cell r="A912" t="str">
            <v>DOCENTE BASICA VI 77 TID (33,33 HORAS) Y TCVD (04 HORAS)</v>
          </cell>
        </row>
        <row r="913">
          <cell r="A913" t="str">
            <v>DOCENTE BASICA VI 77 TID (33,33 HORAS) Y TCVD (04 HORAS)</v>
          </cell>
        </row>
        <row r="914">
          <cell r="A914" t="str">
            <v>DOCENTE BASICA VI 77 TID (33,33 HORAS) Y TCVD (11 HORAS)</v>
          </cell>
        </row>
        <row r="915">
          <cell r="A915" t="str">
            <v>DOCENTE BASICA VI 77 TID (33,33 HORAS) Y TCVNMA (14 HORAS)</v>
          </cell>
        </row>
        <row r="916">
          <cell r="A916" t="str">
            <v>DOCENTE BASICA VI 77 TID (33,33) Y DOCENTE BASICO VI 77 TCVD (12 HORAS)</v>
          </cell>
        </row>
        <row r="917">
          <cell r="A917" t="str">
            <v>DOCENTE BASICA VI 77 TID (33,33) Y TCVD (14 HORAS)</v>
          </cell>
        </row>
        <row r="918">
          <cell r="A918" t="str">
            <v>DOCENTE BASICA VI 77 TID (33.33 HORAS) Y TCVD (16 HORAS)</v>
          </cell>
        </row>
        <row r="919">
          <cell r="A919" t="str">
            <v>DOCENTE BASICA VI 77 TID (33.33 HORAS) Y TCVD (19 HORAS)</v>
          </cell>
        </row>
        <row r="920">
          <cell r="A920" t="str">
            <v>DOCENTE BASICA VI 77 TID (36 HORAS) Y DOCENTE BASICO TCVD (12 HORAS)</v>
          </cell>
        </row>
        <row r="921">
          <cell r="A921" t="str">
            <v>DOCENTE BASICA VI 77 TID Y DOCENTE BASICA VI 77 TCNM</v>
          </cell>
        </row>
        <row r="922">
          <cell r="A922" t="str">
            <v>DOCENTE BASICA VI 77 TID Y DOCENTE DE AULA (ZONA EDUCATIVA)</v>
          </cell>
        </row>
        <row r="923">
          <cell r="A923" t="str">
            <v>DOCENTE BASICO 16-139 TCVN Y DOCENTE DIRECTOR BASICO 139 TID VI</v>
          </cell>
        </row>
        <row r="924">
          <cell r="A924" t="str">
            <v>DOCENTE BASICO 16-139 TCVNMA</v>
          </cell>
        </row>
        <row r="925">
          <cell r="A925" t="str">
            <v>DOCENTE BASICO 16-77 TCVNM/MA VI Y DOCENTE SUB-DIRECTOR 16-77 TID VI Y PH (08 HORAS)</v>
          </cell>
        </row>
        <row r="926">
          <cell r="A926" t="str">
            <v>DOCENTE BASICO 16-77 TCVNMA VI, Y SUPERVISOR BASICO</v>
          </cell>
        </row>
        <row r="927">
          <cell r="A927" t="str">
            <v>DOCENTE BASICO DE ADULTOS Y COORD PROM DIF CULT</v>
          </cell>
        </row>
        <row r="928">
          <cell r="A928" t="str">
            <v>DOCENTE BASICO IV 77 TCVD (36 HORAS)</v>
          </cell>
        </row>
        <row r="929">
          <cell r="A929" t="str">
            <v>DOCENTE BASICO IV 77 TID (33,33 HORAS) Y TCVD (08 HORAS)</v>
          </cell>
        </row>
        <row r="930">
          <cell r="A930" t="str">
            <v>DOCENTE BASICO IV 77 TID (33,33 HORAS) Y TCVD (08 HORAS)</v>
          </cell>
        </row>
        <row r="931">
          <cell r="A931" t="str">
            <v>DOCENTE BASICO IV 77 TID (33,33 HORAS) Y TCVD (12 HORAS)</v>
          </cell>
        </row>
        <row r="932">
          <cell r="A932" t="str">
            <v>DOCENTE BASICO IV 77 TID (33,33 HORAS) Y TCVD (16 HORAS)</v>
          </cell>
        </row>
        <row r="933">
          <cell r="A933" t="str">
            <v>DOCENTE BASICO IV 77 TID (33,33 HORAS) Y TCVD (18 HORAS)</v>
          </cell>
        </row>
        <row r="934">
          <cell r="A934" t="str">
            <v>DOCENTE BASICO IV 77 TID (33,33 HORAS) Y TCVD (20 HORAS)</v>
          </cell>
        </row>
        <row r="935">
          <cell r="A935" t="str">
            <v>DOCENTE BASICO IV 77 TID (33,33 HORAS) Y TCVNMA (16 HORAS)</v>
          </cell>
        </row>
        <row r="936">
          <cell r="A936" t="str">
            <v>DOCENTE BASICO IV 77 TID/TCVD</v>
          </cell>
        </row>
        <row r="937">
          <cell r="A937" t="str">
            <v>DOCENTE BASICO NG TID (33,33 HORAS) Y DOCENTE BASICA NG TCVNMA (16 HORAS)</v>
          </cell>
        </row>
        <row r="938">
          <cell r="A938" t="str">
            <v>DOCENTE BASICO V 77 TCVNMA (16 HORAS) Y DOCENTE SUPERVISOR BASICO V 77 TC (40 HORAS)</v>
          </cell>
        </row>
        <row r="939">
          <cell r="A939" t="str">
            <v>DOCENTE BASICO V 77 TID (33 HORAS) Y TVCNMA (16 HORAS)</v>
          </cell>
        </row>
        <row r="940">
          <cell r="A940" t="str">
            <v>DOCENTE BASICO V 77 TID (33,33 HORAS) Y TCVD (05 HORAS)</v>
          </cell>
        </row>
        <row r="941">
          <cell r="A941" t="str">
            <v>DOCENTE BASICO V 77 TID (33,33 HORAS) Y TCVD (14 HORAS)</v>
          </cell>
        </row>
        <row r="942">
          <cell r="A942" t="str">
            <v>DOCENTE BASICO V 77 TID (33,33 HORAS) Y TCVN (10 HORAS)</v>
          </cell>
        </row>
        <row r="943">
          <cell r="A943" t="str">
            <v>DOCENTE BASICO V 77 TID (33,33 HORAS) Y TCVN (16 HORAS)</v>
          </cell>
        </row>
        <row r="944">
          <cell r="A944" t="str">
            <v>DOCENTE BASICO V 77 TID (33,33 HORAS)Y TCVD (07 HORAS)</v>
          </cell>
        </row>
        <row r="945">
          <cell r="A945" t="str">
            <v>DOCENTE BASICO V 77 TID (33.33 HORAS) Y TCVD (21 HORAS)</v>
          </cell>
        </row>
        <row r="946">
          <cell r="A946" t="str">
            <v>DOCENTE BASICO V TID (33.33 HORAS), Y TCVD (11 HORAS)</v>
          </cell>
        </row>
        <row r="947">
          <cell r="A947" t="str">
            <v>DOCENTE BASICO V TSE TCVNMA (16 HR)</v>
          </cell>
        </row>
        <row r="948">
          <cell r="A948" t="str">
            <v>DOCENTE BASICO VI  77 TID (33,33 HORAS) Y TCVD (14 HORAS)</v>
          </cell>
        </row>
        <row r="949">
          <cell r="A949" t="str">
            <v>DOCENTE BASICO VI 77 (33,33 HORAS)  TID Y TCVD (8 HORAS)</v>
          </cell>
        </row>
        <row r="950">
          <cell r="A950" t="str">
            <v>DOCENTE BASICO VI 77 TCVD (33 HORAS) TID (17 HORAS)</v>
          </cell>
        </row>
        <row r="951">
          <cell r="A951" t="str">
            <v>DOCENTE BASICO VI 77 TCVD / TCVD</v>
          </cell>
        </row>
        <row r="952">
          <cell r="A952" t="str">
            <v>DOCENTE BASICO VI 77 TID (33,33 HORAS) / TCVD (6 HORAS) / TCVD (12 HORAS)</v>
          </cell>
        </row>
        <row r="953">
          <cell r="A953" t="str">
            <v>DOCENTE BASICO VI 77 TID (33,33 HORAS) Y DOCENTE BASICO VI 77 TCVD (8 HORAS)</v>
          </cell>
        </row>
        <row r="954">
          <cell r="A954" t="str">
            <v>DOCENTE BASICO VI 77 TID (33,33 HORAS) Y TCVD (20 HORAS)</v>
          </cell>
        </row>
        <row r="955">
          <cell r="A955" t="str">
            <v>DOCENTE BASICO VI 77 TID (33,33 HORAS) Y TCVD (6 HORAS)</v>
          </cell>
        </row>
        <row r="956">
          <cell r="A956" t="str">
            <v>DOCENTE BASICO VI 77 TID (33,33)  / TCVNMA (11)</v>
          </cell>
        </row>
        <row r="957">
          <cell r="A957" t="str">
            <v>DOCENTE BASICO VI 77 TID (33.33 HORAS) Y TCVD (6 HORAS)</v>
          </cell>
        </row>
        <row r="958">
          <cell r="A958" t="str">
            <v>DOCENTE BASICO VI 77 TID Y DOCENTE BASICO VI 77 TCVD Y DOCENTE BASICO VI 77 TCVD Y 2 CARGOS MAS</v>
          </cell>
        </row>
        <row r="959">
          <cell r="A959" t="str">
            <v>DOCENTE BASICO Y DIRECTOR 16-139 TID VI</v>
          </cell>
        </row>
        <row r="960">
          <cell r="A960" t="str">
            <v>DOCENTE COOD. 139 VI TID (33,33 HORAS) Y DOCENTE BASICO VI 139 TCVNMA (16 HORAS)</v>
          </cell>
        </row>
        <row r="961">
          <cell r="A961" t="str">
            <v>DOCENTE DE BASICA III TSE 16 H Y AUXILIAR DE BIBLIOTECA</v>
          </cell>
        </row>
        <row r="962">
          <cell r="A962" t="str">
            <v>DOCENTE DIRECTOR BASICA IV 77 TCVD Y COORDINADOR DOCENTE</v>
          </cell>
        </row>
        <row r="963">
          <cell r="A963" t="str">
            <v>DOCENTE DIRECTOR BASICA VI 139 TID (36 HORAS)</v>
          </cell>
        </row>
        <row r="964">
          <cell r="A964" t="str">
            <v>DOCENTE DIRECTOR BASICA VI 77 TID (36 HORAS) Y TCVNMA (16 HORAS)</v>
          </cell>
        </row>
        <row r="965">
          <cell r="A965" t="str">
            <v>DOCENTE DIRECTOR BASICA VI 77 TID (36HORAS) Y TCVD (10 HORAS)</v>
          </cell>
        </row>
        <row r="966">
          <cell r="A966" t="str">
            <v>DOCENTE DIRECTOR BASICO V 77 TID (40 HORAS) Y DOCENTE BASICO V 77 TCVM (16 HORAS)</v>
          </cell>
        </row>
        <row r="967">
          <cell r="A967" t="str">
            <v>DOCENTE DIRECTOR BASICO VI 139 TID (36 HORAS), Y DOCENTE DIRECTOR BASICO VI 139 TCVN (20 HORAS)</v>
          </cell>
        </row>
        <row r="968">
          <cell r="A968" t="str">
            <v>DOCENTE DIRECTOR BASICO VI 77 TID (36 HORAS) Y DOC BASICO VI 77 TCVD (13 HORAS)</v>
          </cell>
        </row>
        <row r="969">
          <cell r="A969" t="str">
            <v>DOCENTE DIRECTOR BASICO VI 77 TID (36 HORAS) Y TCVD (17 HORAS)</v>
          </cell>
        </row>
        <row r="970">
          <cell r="A970" t="str">
            <v>DOCENTE DIRECTOR BASICO VI 77 TID (40 HORAS) Y DOC BASICO VI 77 TCVD (06 HORAS)</v>
          </cell>
        </row>
        <row r="971">
          <cell r="A971" t="str">
            <v>DOCENTE DIRECTOR BASICO VI 77 TID (40 HORAS) Y DOCENTE BASICO VI 77 TCVNMA (16 HORAS)</v>
          </cell>
        </row>
        <row r="972">
          <cell r="A972" t="str">
            <v>DOCENTE DIRECTOR PRE-ESCOLAR VI 77 TID (36 HORAS)</v>
          </cell>
        </row>
        <row r="973">
          <cell r="A973" t="str">
            <v>DOCENTE DIRECTORA BASICA IV 77 TID (36 HORAS)</v>
          </cell>
        </row>
        <row r="974">
          <cell r="A974" t="str">
            <v>DOCENTE DIRECTORA BASICA V 77 TCVNMA 20HRS</v>
          </cell>
        </row>
        <row r="975">
          <cell r="A975" t="str">
            <v>DOCENTE DIRECTORA BASICA VI 139 (36 HORAS) TID Y ALFABETIZADORA VI 139</v>
          </cell>
        </row>
        <row r="976">
          <cell r="A976" t="str">
            <v>DOCENTE DIRECTORA BASICA VI 77 TID (36 HORAS) Y DOCENTE BASICA V 77 TCVD (4 HORAS)</v>
          </cell>
        </row>
        <row r="977">
          <cell r="A977" t="str">
            <v>DOCENTE N.G 1-6 TCVD (33,33 HORAS) / DOC BASICA NG TCVD (14 HORAS)</v>
          </cell>
        </row>
        <row r="978">
          <cell r="A978" t="str">
            <v>DOCENTE N.G. 1-6</v>
          </cell>
        </row>
        <row r="979">
          <cell r="A979" t="str">
            <v>DOCENTE ORIENTADOR</v>
          </cell>
        </row>
        <row r="980">
          <cell r="A980" t="str">
            <v>DOCENTE ORIENTADOR V 77 1-6 TID (36 HORAS)</v>
          </cell>
        </row>
        <row r="981">
          <cell r="A981" t="str">
            <v>DOCENTE PLANIFICADOR VI 77 TC (36 HORAS) Y DOCENTE BASICA VI 77 TCVNMA (16 HORAS)</v>
          </cell>
        </row>
        <row r="982">
          <cell r="A982" t="str">
            <v>DOCENTE PLANIFICADORA 16-77 VI (36 HORAS) Y DOC BAS VI 77 TCVMA (16 HORAS)</v>
          </cell>
        </row>
        <row r="983">
          <cell r="A983" t="str">
            <v>DOCENTE PRE-ESCOLAR IV 77 TID (33,33 HORAS) Y DOCENTE BASICA IV 77 TCVD (06 HORAS)</v>
          </cell>
        </row>
        <row r="984">
          <cell r="A984" t="str">
            <v>DOCENTE PRE-ESCOLAR VI 139 TID (33,33 HORAS) Y DOC. BASICA VI 139 TCVNMA  (16 HORAS)</v>
          </cell>
        </row>
        <row r="985">
          <cell r="A985" t="str">
            <v>DOCENTE PREESCOLAR VI 77 TID (33.33 HORAS) Y DOCENTE BASICO V 77 TCVNMA (16 HORAS)</v>
          </cell>
        </row>
        <row r="986">
          <cell r="A986" t="str">
            <v>DOCENTE SD BASICA VI 77 TID (40 HORAS) Y TCVD (14 HORAS)</v>
          </cell>
        </row>
        <row r="987">
          <cell r="A987" t="str">
            <v>DOCENTE SUB-DIRECTOR BASICA IV 77 TID (36 HORAS)</v>
          </cell>
        </row>
        <row r="988">
          <cell r="A988" t="str">
            <v>DOCENTE SUB-DIRECTOR BASICA IV 77 TID (36 HORAS)Y DOCENTE IV BASICO TCVD (16 HORAS)</v>
          </cell>
        </row>
        <row r="989">
          <cell r="A989" t="str">
            <v>DOCENTE SUB-DIRECTOR BASICO IV 77 TID (40 HORAS) Y DOCENTE BASICO IV 77 TCVD (08 HORAS)</v>
          </cell>
        </row>
        <row r="990">
          <cell r="A990" t="str">
            <v>DOCENTE SUB-DIRECTORA BASICA V 77 TID (36 HORAS) Y TCVD (08 HORAS)</v>
          </cell>
        </row>
        <row r="991">
          <cell r="A991" t="str">
            <v>DOCENTE SUB-DIRECTORA BASICA V TSE (36 HORAS)</v>
          </cell>
        </row>
        <row r="992">
          <cell r="A992" t="str">
            <v>DOCENTE SUB-DIRECTORA BASICA VI 77 TID (40 HORAS) Y (07 HORAS)</v>
          </cell>
        </row>
        <row r="993">
          <cell r="A993" t="str">
            <v>DOCENTE SUB-DIRECTORA BASICO VI 77 TID (36 HORAS) Y (16 HORAS)</v>
          </cell>
        </row>
        <row r="994">
          <cell r="A994" t="str">
            <v>DOCENTE SUP BASICA VI 77 TC (40 HORAS), DOCENTE BAS VI TCVN (16 HORAS) Y DOCENTE VI AULA (5 HORAS)</v>
          </cell>
        </row>
        <row r="995">
          <cell r="A995" t="str">
            <v>DOCENTE SUPERVISOR BASICO V 77 TC Y DOCENTE BASICO V 77 TCVN Y DOCENTE DE AULA V (ZONA EDUC)</v>
          </cell>
        </row>
        <row r="996">
          <cell r="A996" t="str">
            <v>DOCENTE SUPERVISOR BASICO VI 139 TC (40 HORAS) Y DOCENTE BASICO VI 139 TCVNMA (16 HORAS)</v>
          </cell>
        </row>
        <row r="997">
          <cell r="A997" t="str">
            <v>DOCENTE SUPERVISOR BASICO VI 77 TC Y DOCENTE IV AULA (13 HORAS)</v>
          </cell>
        </row>
        <row r="998">
          <cell r="A998" t="str">
            <v>DOCENTE SUPERVISOR BASICO VI 77 TCVNMA</v>
          </cell>
        </row>
        <row r="999">
          <cell r="A999" t="str">
            <v>DOCENTE SUPERVISOR V 77 TC</v>
          </cell>
        </row>
        <row r="1000">
          <cell r="A1000" t="str">
            <v>DOCENTE V 77 TID (33,33 HORAS) Y TCVD (13 HORAS)</v>
          </cell>
        </row>
        <row r="1001">
          <cell r="A1001" t="str">
            <v>ECONOMA I</v>
          </cell>
        </row>
        <row r="1002">
          <cell r="A1002" t="str">
            <v>ECONOMA II</v>
          </cell>
        </row>
        <row r="1003">
          <cell r="A1003" t="str">
            <v>ECONOMISTA I</v>
          </cell>
        </row>
        <row r="1004">
          <cell r="A1004" t="str">
            <v>ECONOMISTA II</v>
          </cell>
        </row>
        <row r="1005">
          <cell r="A1005" t="str">
            <v>ECONOMISTA III</v>
          </cell>
        </row>
        <row r="1006">
          <cell r="A1006" t="str">
            <v>ECONOMISTA JEFE I</v>
          </cell>
        </row>
        <row r="1007">
          <cell r="A1007" t="str">
            <v>ECONOMISTA JEFE II</v>
          </cell>
        </row>
        <row r="1008">
          <cell r="A1008" t="str">
            <v>ECONOMISTA JEFE III</v>
          </cell>
        </row>
        <row r="1009">
          <cell r="A1009" t="str">
            <v>EDITOR</v>
          </cell>
        </row>
        <row r="1010">
          <cell r="A1010" t="str">
            <v>EDITOR DE NOTICIAS EDUCATIVAS</v>
          </cell>
        </row>
        <row r="1011">
          <cell r="A1011" t="str">
            <v>EDITOR FILMICO</v>
          </cell>
        </row>
        <row r="1012">
          <cell r="A1012" t="str">
            <v>EDITOR HISTORICO</v>
          </cell>
        </row>
        <row r="1013">
          <cell r="A1013" t="str">
            <v>EDITOR JEFE</v>
          </cell>
        </row>
        <row r="1014">
          <cell r="A1014" t="str">
            <v>EJECUTANTE DE CLARINETE</v>
          </cell>
        </row>
        <row r="1015">
          <cell r="A1015" t="str">
            <v>ENCUADERNADOR DE CONSERVACION II</v>
          </cell>
        </row>
        <row r="1016">
          <cell r="A1016" t="str">
            <v>ENCUADERNADOR DE CONSERVACION III</v>
          </cell>
        </row>
        <row r="1017">
          <cell r="A1017" t="str">
            <v>ENCUADERNADOR DE CONSERVACION JEFE</v>
          </cell>
        </row>
        <row r="1018">
          <cell r="A1018" t="str">
            <v>ENFERMERA ANESTESISTA</v>
          </cell>
        </row>
        <row r="1019">
          <cell r="A1019" t="str">
            <v>ENFERMERA DE SALUD PUBLICA I</v>
          </cell>
        </row>
        <row r="1020">
          <cell r="A1020" t="str">
            <v>ENFERMERA DE SALUD PUBLICA II</v>
          </cell>
        </row>
        <row r="1021">
          <cell r="A1021" t="str">
            <v>ENFERMERA DE SALUD PUBLICA III</v>
          </cell>
        </row>
        <row r="1022">
          <cell r="A1022" t="str">
            <v>ENFERMERA DE SALUD PUBLICA IV</v>
          </cell>
        </row>
        <row r="1023">
          <cell r="A1023" t="str">
            <v>ENFERMERA DE SALUD PUBLICA JEFE II</v>
          </cell>
        </row>
        <row r="1024">
          <cell r="A1024" t="str">
            <v>ENFERMERA DE SALUD PUBLICA JEFE III</v>
          </cell>
        </row>
        <row r="1025">
          <cell r="A1025" t="str">
            <v>ENFERMERA DE SALUD PUBLICA JEFE V</v>
          </cell>
        </row>
        <row r="1026">
          <cell r="A1026" t="str">
            <v>ENFERMERA DE SALUD PUBLICA V</v>
          </cell>
        </row>
        <row r="1027">
          <cell r="A1027" t="str">
            <v>ENFERMERA HEMOTERAPISTA I</v>
          </cell>
        </row>
        <row r="1028">
          <cell r="A1028" t="str">
            <v>ENFERMERA HEMOTERAPISTA II</v>
          </cell>
        </row>
        <row r="1029">
          <cell r="A1029" t="str">
            <v>ENFERMERA HEMOTERAPISTA III</v>
          </cell>
        </row>
        <row r="1030">
          <cell r="A1030" t="str">
            <v>ENFERMERA I</v>
          </cell>
        </row>
        <row r="1031">
          <cell r="A1031" t="str">
            <v>ENFERMERA II</v>
          </cell>
        </row>
        <row r="1032">
          <cell r="A1032" t="str">
            <v>ENFERMERA III</v>
          </cell>
        </row>
        <row r="1033">
          <cell r="A1033" t="str">
            <v>ENFERMERA JEFE I</v>
          </cell>
        </row>
        <row r="1034">
          <cell r="A1034" t="str">
            <v>ENFERMERA JEFE II</v>
          </cell>
        </row>
        <row r="1035">
          <cell r="A1035" t="str">
            <v>ENFERMERA JEFE III</v>
          </cell>
        </row>
        <row r="1036">
          <cell r="A1036" t="str">
            <v>ENTRENADOR DE PORTIVO II</v>
          </cell>
        </row>
        <row r="1037">
          <cell r="A1037" t="str">
            <v>ENTRENADOR DEPORTIVO I</v>
          </cell>
        </row>
        <row r="1038">
          <cell r="A1038" t="str">
            <v>ENTRENADOR DEPORTIVO III</v>
          </cell>
        </row>
        <row r="1039">
          <cell r="A1039" t="str">
            <v>ENTRENADOR DEPORTIVO IV</v>
          </cell>
        </row>
        <row r="1040">
          <cell r="A1040" t="str">
            <v>ENTRENADOR DEPORTIVO V</v>
          </cell>
        </row>
        <row r="1041">
          <cell r="A1041" t="str">
            <v>ENTRENADOR DEPORTIVO VI</v>
          </cell>
        </row>
        <row r="1042">
          <cell r="A1042" t="str">
            <v>ENTRENADOR DEPORTIVO VII</v>
          </cell>
        </row>
        <row r="1043">
          <cell r="A1043" t="str">
            <v>ESCENOGRAFO</v>
          </cell>
        </row>
        <row r="1044">
          <cell r="A1044" t="str">
            <v>ESCRIBIENTE DE REGISTRO I</v>
          </cell>
        </row>
        <row r="1045">
          <cell r="A1045" t="str">
            <v>ESCRIBIENTE DE REGISTROS  II</v>
          </cell>
        </row>
        <row r="1046">
          <cell r="A1046" t="str">
            <v>ESPECIALISTA EN ASISTENCIA TECNICA</v>
          </cell>
        </row>
        <row r="1047">
          <cell r="A1047" t="str">
            <v>ESPECIALISTA EN EXTENSION I</v>
          </cell>
        </row>
        <row r="1048">
          <cell r="A1048" t="str">
            <v>ESPECIALISTA EN EXTENSION II</v>
          </cell>
        </row>
        <row r="1049">
          <cell r="A1049" t="str">
            <v>ESPECIALISTA EN EXTENSION III</v>
          </cell>
        </row>
        <row r="1050">
          <cell r="A1050" t="str">
            <v>ESPECIALISTA EN EXTENSION IV</v>
          </cell>
        </row>
        <row r="1051">
          <cell r="A1051" t="str">
            <v>ESPECIALISTA EN INFORMACION I</v>
          </cell>
        </row>
        <row r="1052">
          <cell r="A1052" t="str">
            <v>ESPECIALISTA EN INFORMACION II</v>
          </cell>
        </row>
        <row r="1053">
          <cell r="A1053" t="str">
            <v>ESPECIALISTA EN INFORMACION III</v>
          </cell>
        </row>
        <row r="1054">
          <cell r="A1054" t="str">
            <v>ESPECIALISTA EN INFORMATICA I</v>
          </cell>
        </row>
        <row r="1055">
          <cell r="A1055" t="str">
            <v>ESPECIALISTA EN INFORMATICA II</v>
          </cell>
        </row>
        <row r="1056">
          <cell r="A1056" t="str">
            <v>ESTADISTICO I</v>
          </cell>
        </row>
        <row r="1057">
          <cell r="A1057" t="str">
            <v>ESTADISTICO II</v>
          </cell>
        </row>
        <row r="1058">
          <cell r="A1058" t="str">
            <v>ESTADISTICO III</v>
          </cell>
        </row>
        <row r="1059">
          <cell r="A1059" t="str">
            <v>ESTADISTICO JEFE I</v>
          </cell>
        </row>
        <row r="1060">
          <cell r="A1060" t="str">
            <v>ESTADISTICO JEFE II</v>
          </cell>
        </row>
        <row r="1061">
          <cell r="A1061" t="str">
            <v>ESTIMADOR DE ASTILLEROS</v>
          </cell>
        </row>
        <row r="1062">
          <cell r="A1062" t="str">
            <v>EXAMINADOR AUXILIADOR DE BANCO</v>
          </cell>
        </row>
        <row r="1063">
          <cell r="A1063" t="str">
            <v>EXAMINADOR DE BANCOS I</v>
          </cell>
        </row>
        <row r="1064">
          <cell r="A1064" t="str">
            <v>EXAMINADOR DE BANCOS II</v>
          </cell>
        </row>
        <row r="1065">
          <cell r="A1065" t="str">
            <v>EXAMINADOR DE BANCOS III</v>
          </cell>
        </row>
        <row r="1066">
          <cell r="A1066" t="str">
            <v>EXAMINADOR DE BANCOS IV</v>
          </cell>
        </row>
        <row r="1067">
          <cell r="A1067" t="str">
            <v>EXAMINADOR DE BANCOS JEFE</v>
          </cell>
        </row>
        <row r="1068">
          <cell r="A1068" t="str">
            <v>EXAMINADOR DE BANCOS V</v>
          </cell>
        </row>
        <row r="1069">
          <cell r="A1069" t="str">
            <v>EXPENDEDOR DE ESPECIES FISCALES I</v>
          </cell>
        </row>
        <row r="1070">
          <cell r="A1070" t="str">
            <v>EXPENDEDOR DE ESPECIES FISCALES II</v>
          </cell>
        </row>
        <row r="1071">
          <cell r="A1071" t="str">
            <v>FAGOT</v>
          </cell>
        </row>
        <row r="1072">
          <cell r="A1072" t="str">
            <v>FAGOT 1</v>
          </cell>
        </row>
        <row r="1073">
          <cell r="A1073" t="str">
            <v>FAGOT 2</v>
          </cell>
        </row>
        <row r="1074">
          <cell r="A1074" t="str">
            <v>FARMACEUTICO I</v>
          </cell>
        </row>
        <row r="1075">
          <cell r="A1075" t="str">
            <v>FARMACEUTICO II</v>
          </cell>
        </row>
        <row r="1076">
          <cell r="A1076" t="str">
            <v>FARMACEUTICO III</v>
          </cell>
        </row>
        <row r="1077">
          <cell r="A1077" t="str">
            <v>FARMACEUTICO JEFE I</v>
          </cell>
        </row>
        <row r="1078">
          <cell r="A1078" t="str">
            <v>FARMACEUTICO JEFE II</v>
          </cell>
        </row>
        <row r="1079">
          <cell r="A1079" t="str">
            <v>FARMACOLOGO I</v>
          </cell>
        </row>
        <row r="1080">
          <cell r="A1080" t="str">
            <v>FARMACOLOGO II</v>
          </cell>
        </row>
        <row r="1081">
          <cell r="A1081" t="str">
            <v>FARMACOLOGO III</v>
          </cell>
        </row>
        <row r="1082">
          <cell r="A1082" t="str">
            <v>FARMACOLOGO JEFE</v>
          </cell>
        </row>
        <row r="1083">
          <cell r="A1083" t="str">
            <v>FISCAL DE BIENES COMERCIALES</v>
          </cell>
        </row>
        <row r="1084">
          <cell r="A1084" t="str">
            <v>FISCAL DE COTIZACIONES I</v>
          </cell>
        </row>
        <row r="1085">
          <cell r="A1085" t="str">
            <v>FISCAL DE COTIZACIONES II</v>
          </cell>
        </row>
        <row r="1086">
          <cell r="A1086" t="str">
            <v>FISCAL DE EMPRESAS</v>
          </cell>
        </row>
        <row r="1087">
          <cell r="A1087" t="str">
            <v>FISCAL DE OBRAS I</v>
          </cell>
        </row>
        <row r="1088">
          <cell r="A1088" t="str">
            <v>FISCAL DE PREVENSION Y VIGILANCIA I</v>
          </cell>
        </row>
        <row r="1089">
          <cell r="A1089" t="str">
            <v>FISCAL DE PREVENSION Y VIGILANCIA II</v>
          </cell>
        </row>
        <row r="1090">
          <cell r="A1090" t="str">
            <v>FISCAL DE PREVENSION Y VIGILANCIA JEFE</v>
          </cell>
        </row>
        <row r="1091">
          <cell r="A1091" t="str">
            <v>FISCAL DE RENTAS I</v>
          </cell>
        </row>
        <row r="1092">
          <cell r="A1092" t="str">
            <v>FISCAL DE RENTAS II</v>
          </cell>
        </row>
        <row r="1093">
          <cell r="A1093" t="str">
            <v>FISCAL DE RENTAS III</v>
          </cell>
        </row>
        <row r="1094">
          <cell r="A1094" t="str">
            <v>FISCAL DE RENTAS IV</v>
          </cell>
        </row>
        <row r="1095">
          <cell r="A1095" t="str">
            <v>FISCAL DE RENTAS JEFE</v>
          </cell>
        </row>
        <row r="1096">
          <cell r="A1096" t="str">
            <v>FISCAL DE RENTAS V</v>
          </cell>
        </row>
        <row r="1097">
          <cell r="A1097" t="str">
            <v>FISCAL TECNICO I</v>
          </cell>
        </row>
        <row r="1098">
          <cell r="A1098" t="str">
            <v>FISCAL TECNICO II</v>
          </cell>
        </row>
        <row r="1099">
          <cell r="A1099" t="str">
            <v>FISCAL TECNICO III</v>
          </cell>
        </row>
        <row r="1100">
          <cell r="A1100" t="str">
            <v>FISCAL TECNICO JEFE</v>
          </cell>
        </row>
        <row r="1101">
          <cell r="A1101" t="str">
            <v>FISIOTERAPEUTA I</v>
          </cell>
        </row>
        <row r="1102">
          <cell r="A1102" t="str">
            <v>FISIOTERAPEUTA II</v>
          </cell>
        </row>
        <row r="1103">
          <cell r="A1103" t="str">
            <v>FISIOTERAPEUTA III</v>
          </cell>
        </row>
        <row r="1104">
          <cell r="A1104" t="str">
            <v>FISIOTERAPEUTA IV</v>
          </cell>
        </row>
        <row r="1105">
          <cell r="A1105" t="str">
            <v>FLAUTA 1</v>
          </cell>
        </row>
        <row r="1106">
          <cell r="A1106" t="str">
            <v>FLAUTA 2</v>
          </cell>
        </row>
        <row r="1107">
          <cell r="A1107" t="str">
            <v>FLAUTA 2/ INSTRUCTOR I 16HRS</v>
          </cell>
        </row>
        <row r="1108">
          <cell r="A1108" t="str">
            <v>FLAUTA I</v>
          </cell>
        </row>
        <row r="1109">
          <cell r="A1109" t="str">
            <v>FORMADOR DE INSTRUCTORES</v>
          </cell>
        </row>
        <row r="1110">
          <cell r="A1110" t="str">
            <v>FORMAS MUSICALES</v>
          </cell>
        </row>
        <row r="1111">
          <cell r="A1111" t="str">
            <v>FOTOGRAFO ARTISTICO I</v>
          </cell>
        </row>
        <row r="1112">
          <cell r="A1112" t="str">
            <v>FOTOGRAFO ARTISTICO II</v>
          </cell>
        </row>
        <row r="1113">
          <cell r="A1113" t="str">
            <v>FOTOGRAFO I</v>
          </cell>
        </row>
        <row r="1114">
          <cell r="A1114" t="str">
            <v>FOTOGRAFO II</v>
          </cell>
        </row>
        <row r="1115">
          <cell r="A1115" t="str">
            <v>FOTOGRAFO III</v>
          </cell>
        </row>
        <row r="1116">
          <cell r="A1116" t="str">
            <v>FOTOGRAFO IV</v>
          </cell>
        </row>
        <row r="1117">
          <cell r="A1117" t="str">
            <v>FOTOGRAMETRISTA I</v>
          </cell>
        </row>
        <row r="1118">
          <cell r="A1118" t="str">
            <v>FOTOGRAMETRISTA II</v>
          </cell>
        </row>
        <row r="1119">
          <cell r="A1119" t="str">
            <v>FOTOGRAMETRISTA III</v>
          </cell>
        </row>
        <row r="1120">
          <cell r="A1120" t="str">
            <v>FOTOGRAMETRISTA IV</v>
          </cell>
        </row>
        <row r="1121">
          <cell r="A1121" t="str">
            <v>FOTOGRAMETRISTA JEFE</v>
          </cell>
        </row>
        <row r="1122">
          <cell r="A1122" t="str">
            <v>GEMOLOGO I</v>
          </cell>
        </row>
        <row r="1123">
          <cell r="A1123" t="str">
            <v>GEMOLOGO II</v>
          </cell>
        </row>
        <row r="1124">
          <cell r="A1124" t="str">
            <v>GEOGRAFO I</v>
          </cell>
        </row>
        <row r="1125">
          <cell r="A1125" t="str">
            <v>GEOGRAFO II</v>
          </cell>
        </row>
        <row r="1126">
          <cell r="A1126" t="str">
            <v>GEOGRAFO III</v>
          </cell>
        </row>
        <row r="1127">
          <cell r="A1127" t="str">
            <v>GEOLOGO I</v>
          </cell>
        </row>
        <row r="1128">
          <cell r="A1128" t="str">
            <v>GEOLOGO II</v>
          </cell>
        </row>
        <row r="1129">
          <cell r="A1129" t="str">
            <v>GEOLOGO III</v>
          </cell>
        </row>
        <row r="1130">
          <cell r="A1130" t="str">
            <v>GEOLOGO JEFE I</v>
          </cell>
        </row>
        <row r="1131">
          <cell r="A1131" t="str">
            <v>GEOLOGO JEFE II</v>
          </cell>
        </row>
        <row r="1132">
          <cell r="A1132" t="str">
            <v>GERENTE</v>
          </cell>
        </row>
        <row r="1133">
          <cell r="A1133" t="str">
            <v>GOBERNADOR</v>
          </cell>
        </row>
        <row r="1134">
          <cell r="A1134" t="str">
            <v>GUARDAFAUNA I</v>
          </cell>
        </row>
        <row r="1135">
          <cell r="A1135" t="str">
            <v>GUARDAFAUNA II</v>
          </cell>
        </row>
        <row r="1136">
          <cell r="A1136" t="str">
            <v>GUARDAFAUNA III</v>
          </cell>
        </row>
        <row r="1137">
          <cell r="A1137" t="str">
            <v>GUIA DE CENTRO I</v>
          </cell>
        </row>
        <row r="1138">
          <cell r="A1138" t="str">
            <v>GUIA DE CENTRO I  (NOCTURNO)</v>
          </cell>
        </row>
        <row r="1139">
          <cell r="A1139" t="str">
            <v>GUIA DE CENTRO II</v>
          </cell>
        </row>
        <row r="1140">
          <cell r="A1140" t="str">
            <v>GUIA DE CENTRO II  (NOCTURNO)</v>
          </cell>
        </row>
        <row r="1141">
          <cell r="A1141" t="str">
            <v>GUITARRA</v>
          </cell>
        </row>
        <row r="1142">
          <cell r="A1142" t="str">
            <v>HABILITADO I</v>
          </cell>
        </row>
        <row r="1143">
          <cell r="A1143" t="str">
            <v>HABILITADO II</v>
          </cell>
        </row>
        <row r="1144">
          <cell r="A1144" t="str">
            <v>HABILITADO III</v>
          </cell>
        </row>
        <row r="1145">
          <cell r="A1145" t="str">
            <v>HABILITADO IV</v>
          </cell>
        </row>
        <row r="1146">
          <cell r="A1146" t="str">
            <v>HABILITADO JEFE</v>
          </cell>
        </row>
        <row r="1147">
          <cell r="A1147" t="str">
            <v>HIDROGRAFO I</v>
          </cell>
        </row>
        <row r="1148">
          <cell r="A1148" t="str">
            <v>HIDROGRAFO II</v>
          </cell>
        </row>
        <row r="1149">
          <cell r="A1149" t="str">
            <v>HIDROGRAFO JEFE</v>
          </cell>
        </row>
        <row r="1150">
          <cell r="A1150" t="str">
            <v>HIDROMETEOROLOGISTA I</v>
          </cell>
        </row>
        <row r="1151">
          <cell r="A1151" t="str">
            <v>HIDROMETEOROLOGISTA II</v>
          </cell>
        </row>
        <row r="1152">
          <cell r="A1152" t="str">
            <v>HIDROMETEOROLOGISTA III</v>
          </cell>
        </row>
        <row r="1153">
          <cell r="A1153" t="str">
            <v>HIGIENISTA DENTAL I</v>
          </cell>
        </row>
        <row r="1154">
          <cell r="A1154" t="str">
            <v>HIGIENISTA DENTAL II</v>
          </cell>
        </row>
        <row r="1155">
          <cell r="A1155" t="str">
            <v>INFORMADOR DE AEROPUERTO I</v>
          </cell>
        </row>
        <row r="1156">
          <cell r="A1156" t="str">
            <v>INFORMADOR DE AEROPUERTO II</v>
          </cell>
        </row>
        <row r="1157">
          <cell r="A1157" t="str">
            <v>INFORMADOR TURISTICO  I</v>
          </cell>
        </row>
        <row r="1158">
          <cell r="A1158" t="str">
            <v>INFORMADOR TURISTICO I</v>
          </cell>
        </row>
        <row r="1159">
          <cell r="A1159" t="str">
            <v>INFORMADOR TURISTICO II</v>
          </cell>
        </row>
        <row r="1160">
          <cell r="A1160" t="str">
            <v>INFORMADOR TURISTICO III</v>
          </cell>
        </row>
        <row r="1161">
          <cell r="A1161" t="str">
            <v>INFORMADOR TURISTICO IV</v>
          </cell>
        </row>
        <row r="1162">
          <cell r="A1162" t="str">
            <v>INFORMADOR TURISTICO JEFE</v>
          </cell>
        </row>
        <row r="1163">
          <cell r="A1163" t="str">
            <v>INGENIERO AERONAUTICO I</v>
          </cell>
        </row>
        <row r="1164">
          <cell r="A1164" t="str">
            <v>INGENIERO AERONAUTICO II</v>
          </cell>
        </row>
        <row r="1165">
          <cell r="A1165" t="str">
            <v>INGENIERO AGRICOLA I</v>
          </cell>
        </row>
        <row r="1166">
          <cell r="A1166" t="str">
            <v>INGENIERO AGRICOLA II</v>
          </cell>
        </row>
        <row r="1167">
          <cell r="A1167" t="str">
            <v>INGENIERO AGRICOLA III</v>
          </cell>
        </row>
        <row r="1168">
          <cell r="A1168" t="str">
            <v>INGENIERO AGRICOLA IV</v>
          </cell>
        </row>
        <row r="1169">
          <cell r="A1169" t="str">
            <v>INGENIERO AGRICOLA V</v>
          </cell>
        </row>
        <row r="1170">
          <cell r="A1170" t="str">
            <v>INGENIERO AGRONOMO I</v>
          </cell>
        </row>
        <row r="1171">
          <cell r="A1171" t="str">
            <v>INGENIERO AGRONOMO II</v>
          </cell>
        </row>
        <row r="1172">
          <cell r="A1172" t="str">
            <v>INGENIERO AGRONOMO III</v>
          </cell>
        </row>
        <row r="1173">
          <cell r="A1173" t="str">
            <v>INGENIERO AGRONOMO IV</v>
          </cell>
        </row>
        <row r="1174">
          <cell r="A1174" t="str">
            <v>INGENIERO AGRONOMO JEFE</v>
          </cell>
        </row>
        <row r="1175">
          <cell r="A1175" t="str">
            <v>INGENIERO AGRONOMO V</v>
          </cell>
        </row>
        <row r="1176">
          <cell r="A1176" t="str">
            <v>INGENIERO CIVIL I</v>
          </cell>
        </row>
        <row r="1177">
          <cell r="A1177" t="str">
            <v>INGENIERO CIVIL II</v>
          </cell>
        </row>
        <row r="1178">
          <cell r="A1178" t="str">
            <v>INGENIERO CIVIL III</v>
          </cell>
        </row>
        <row r="1179">
          <cell r="A1179" t="str">
            <v>INGENIERO CIVIL JEFE I</v>
          </cell>
        </row>
        <row r="1180">
          <cell r="A1180" t="str">
            <v>INGENIERO CIVIL JEFE II</v>
          </cell>
        </row>
        <row r="1181">
          <cell r="A1181" t="str">
            <v>INGENIERO CIVIL JEFE III</v>
          </cell>
        </row>
        <row r="1182">
          <cell r="A1182" t="str">
            <v>INGENIERO DE GAS I</v>
          </cell>
        </row>
        <row r="1183">
          <cell r="A1183" t="str">
            <v>INGENIERO DE MINA I</v>
          </cell>
        </row>
        <row r="1184">
          <cell r="A1184" t="str">
            <v>INGENIERO DE MINAS II</v>
          </cell>
        </row>
        <row r="1185">
          <cell r="A1185" t="str">
            <v>INGENIERO DE MINAS III</v>
          </cell>
        </row>
        <row r="1186">
          <cell r="A1186" t="str">
            <v>INGENIERO DE MINAS JEFE I</v>
          </cell>
        </row>
        <row r="1187">
          <cell r="A1187" t="str">
            <v>INGENIERO DE MINAS JEFE II</v>
          </cell>
        </row>
        <row r="1188">
          <cell r="A1188" t="str">
            <v>INGENIERO ELECTRICISTA I</v>
          </cell>
        </row>
        <row r="1189">
          <cell r="A1189" t="str">
            <v>INGENIERO ELECTRICISTA II</v>
          </cell>
        </row>
        <row r="1190">
          <cell r="A1190" t="str">
            <v>INGENIERO ELECTRICISTA III</v>
          </cell>
        </row>
        <row r="1191">
          <cell r="A1191" t="str">
            <v>INGENIERO ELECTRICISTA JEFE</v>
          </cell>
        </row>
        <row r="1192">
          <cell r="A1192" t="str">
            <v>INGENIERO EN AGROSISTEMAS I</v>
          </cell>
        </row>
        <row r="1193">
          <cell r="A1193" t="str">
            <v>INGENIERO EN CONSTRUCCION CIVIL I</v>
          </cell>
        </row>
        <row r="1194">
          <cell r="A1194" t="str">
            <v>INGENIERO EN CONSTRUCCION CIVIL II</v>
          </cell>
        </row>
        <row r="1195">
          <cell r="A1195" t="str">
            <v>INGENIERO EN CONSTRUCCION CIVIL III</v>
          </cell>
        </row>
        <row r="1196">
          <cell r="A1196" t="str">
            <v>INGENIERO EN INFORMATICA I</v>
          </cell>
        </row>
        <row r="1197">
          <cell r="A1197" t="str">
            <v>INGENIERO EN TELECOMUNICACIONES II</v>
          </cell>
        </row>
        <row r="1198">
          <cell r="A1198" t="str">
            <v>INGENIERO FORESTAL I</v>
          </cell>
        </row>
        <row r="1199">
          <cell r="A1199" t="str">
            <v>INGENIERO FORESTAL II</v>
          </cell>
        </row>
        <row r="1200">
          <cell r="A1200" t="str">
            <v>INGENIERO FORESTAL III</v>
          </cell>
        </row>
        <row r="1201">
          <cell r="A1201" t="str">
            <v>INGENIERO FORESTAL JEFE I</v>
          </cell>
        </row>
        <row r="1202">
          <cell r="A1202" t="str">
            <v>INGENIERO FORESTAL JEFE II</v>
          </cell>
        </row>
        <row r="1203">
          <cell r="A1203" t="str">
            <v>INGENIERO GEODESTA I</v>
          </cell>
        </row>
        <row r="1204">
          <cell r="A1204" t="str">
            <v>INGENIERO GEODESTA II</v>
          </cell>
        </row>
        <row r="1205">
          <cell r="A1205" t="str">
            <v>INGENIERO GEODESTA III</v>
          </cell>
        </row>
        <row r="1206">
          <cell r="A1206" t="str">
            <v>INGENIERO GEODESTA JEFE I</v>
          </cell>
        </row>
        <row r="1207">
          <cell r="A1207" t="str">
            <v>INGENIERO GEODESTA JEFE II</v>
          </cell>
        </row>
        <row r="1208">
          <cell r="A1208" t="str">
            <v>INGENIERO HIDROMETEOROLISTA JEFE I</v>
          </cell>
        </row>
        <row r="1209">
          <cell r="A1209" t="str">
            <v>INGENIERO HIDROMETEOROLISTA JEFE II</v>
          </cell>
        </row>
        <row r="1210">
          <cell r="A1210" t="str">
            <v>INGENIERO HIDROMETEOROLOGISTA I</v>
          </cell>
        </row>
        <row r="1211">
          <cell r="A1211" t="str">
            <v>INGENIERO HIDROMETEOROLOSTA II</v>
          </cell>
        </row>
        <row r="1212">
          <cell r="A1212" t="str">
            <v>INGENIERO HIROMETEROLOGISTA III</v>
          </cell>
        </row>
        <row r="1213">
          <cell r="A1213" t="str">
            <v>INGENIERO INDUSTRIAL I</v>
          </cell>
        </row>
        <row r="1214">
          <cell r="A1214" t="str">
            <v>INGENIERO INDUSTRIAL II</v>
          </cell>
        </row>
        <row r="1215">
          <cell r="A1215" t="str">
            <v>INGENIERO INDUSTRIAL III</v>
          </cell>
        </row>
        <row r="1216">
          <cell r="A1216" t="str">
            <v>INGENIERO INDUSTRIAL IV</v>
          </cell>
        </row>
        <row r="1217">
          <cell r="A1217" t="str">
            <v>INGENIERO MECANICO I</v>
          </cell>
        </row>
        <row r="1218">
          <cell r="A1218" t="str">
            <v>INGENIERO MECANICO II</v>
          </cell>
        </row>
        <row r="1219">
          <cell r="A1219" t="str">
            <v>INGENIERO MECANICO III</v>
          </cell>
        </row>
        <row r="1220">
          <cell r="A1220" t="str">
            <v>INGENIERO MECANICO JEFE</v>
          </cell>
        </row>
        <row r="1221">
          <cell r="A1221" t="str">
            <v>INGENIERO METALURGICO</v>
          </cell>
        </row>
        <row r="1222">
          <cell r="A1222" t="str">
            <v>INGENIERO NAVAL I</v>
          </cell>
        </row>
        <row r="1223">
          <cell r="A1223" t="str">
            <v>INGENIERO NAVAL II</v>
          </cell>
        </row>
        <row r="1224">
          <cell r="A1224" t="str">
            <v>INGENIERO NAVAL III</v>
          </cell>
        </row>
        <row r="1225">
          <cell r="A1225" t="str">
            <v>INGENIERO NAVAL JEFE</v>
          </cell>
        </row>
        <row r="1226">
          <cell r="A1226" t="str">
            <v>INGENIERO NUCLEAR I</v>
          </cell>
        </row>
        <row r="1227">
          <cell r="A1227" t="str">
            <v>INGENIERO NUCLEAR II</v>
          </cell>
        </row>
        <row r="1228">
          <cell r="A1228" t="str">
            <v>INGENIERO NUCLEAR III</v>
          </cell>
        </row>
        <row r="1229">
          <cell r="A1229" t="str">
            <v>INGENIERO NUCLEAR JEFE</v>
          </cell>
        </row>
        <row r="1230">
          <cell r="A1230" t="str">
            <v>INGENIERO PETROLERO I</v>
          </cell>
        </row>
        <row r="1231">
          <cell r="A1231" t="str">
            <v>INGENIERO PETROLERO II</v>
          </cell>
        </row>
        <row r="1232">
          <cell r="A1232" t="str">
            <v>INGENIERO PETROLERO III</v>
          </cell>
        </row>
        <row r="1233">
          <cell r="A1233" t="str">
            <v>INGENIERO PETROLERO JEFE I</v>
          </cell>
        </row>
        <row r="1234">
          <cell r="A1234" t="str">
            <v>INGENIERO PETROLERO JEFE II</v>
          </cell>
        </row>
        <row r="1235">
          <cell r="A1235" t="str">
            <v>INGENIERO QUIMICO I</v>
          </cell>
        </row>
        <row r="1236">
          <cell r="A1236" t="str">
            <v>INGENIERO QUIMICO II</v>
          </cell>
        </row>
        <row r="1237">
          <cell r="A1237" t="str">
            <v>INGENIERO QUIMICO III</v>
          </cell>
        </row>
        <row r="1238">
          <cell r="A1238" t="str">
            <v>INGENIERO QUIMICO JEFE I</v>
          </cell>
        </row>
        <row r="1239">
          <cell r="A1239" t="str">
            <v>INGENIERO QUMICO JEFE II</v>
          </cell>
        </row>
        <row r="1240">
          <cell r="A1240" t="str">
            <v>INGENIERO SANITARIO I</v>
          </cell>
        </row>
        <row r="1241">
          <cell r="A1241" t="str">
            <v>INGENIERO SANITARIO II</v>
          </cell>
        </row>
        <row r="1242">
          <cell r="A1242" t="str">
            <v>INGENIERO SANITARIO III</v>
          </cell>
        </row>
        <row r="1243">
          <cell r="A1243" t="str">
            <v>INGENIERO SANITARIO JEFE I</v>
          </cell>
        </row>
        <row r="1244">
          <cell r="A1244" t="str">
            <v>INGENIERO SANITARIO JEFE II</v>
          </cell>
        </row>
        <row r="1245">
          <cell r="A1245" t="str">
            <v>INGENIERO SANITARIO JEFE III</v>
          </cell>
        </row>
        <row r="1246">
          <cell r="A1246" t="str">
            <v>INPECTOR DE MAQUINARIAS I</v>
          </cell>
        </row>
        <row r="1247">
          <cell r="A1247" t="str">
            <v>INSP. NACIONAL DE REGIST Y NOTARIAS III</v>
          </cell>
        </row>
        <row r="1248">
          <cell r="A1248" t="str">
            <v>INSP. NACIONAL DE REGIST. Y NOTARIAS II</v>
          </cell>
        </row>
        <row r="1249">
          <cell r="A1249" t="str">
            <v>INSPEC NACIONAL DE REG. Y NOTARIAS JEFE</v>
          </cell>
        </row>
        <row r="1250">
          <cell r="A1250" t="str">
            <v>INSPEC.  RELACIONES CON EL SEGURO SOCIAL</v>
          </cell>
        </row>
        <row r="1251">
          <cell r="A1251" t="str">
            <v>INSPEC. NACIONAL DE REGISTROS Y NOTARIAS</v>
          </cell>
        </row>
        <row r="1252">
          <cell r="A1252" t="str">
            <v>INSPEC. RELACIONES SEGURO SOCIAL II</v>
          </cell>
        </row>
        <row r="1253">
          <cell r="A1253" t="str">
            <v>INSPECTOR</v>
          </cell>
        </row>
        <row r="1254">
          <cell r="A1254" t="str">
            <v>INSPECTOR ADMINISTRATIVO I</v>
          </cell>
        </row>
        <row r="1255">
          <cell r="A1255" t="str">
            <v>INSPECTOR ADMINISTRATIVO III</v>
          </cell>
        </row>
        <row r="1256">
          <cell r="A1256" t="str">
            <v>INSPECTOR ADMINISTRATIVO IV</v>
          </cell>
        </row>
        <row r="1257">
          <cell r="A1257" t="str">
            <v>INSPECTOR ADMINISTRATIVO JEFE</v>
          </cell>
        </row>
        <row r="1258">
          <cell r="A1258" t="str">
            <v>INSPECTOR AMDINISTRATIVO II</v>
          </cell>
        </row>
        <row r="1259">
          <cell r="A1259" t="str">
            <v>INSPECTOR AUX. DE OBRAS DE INGENIERIA</v>
          </cell>
        </row>
        <row r="1260">
          <cell r="A1260" t="str">
            <v>INSPECTOR DE AEROPUERTOS</v>
          </cell>
        </row>
        <row r="1261">
          <cell r="A1261" t="str">
            <v>INSPECTOR DE DERIVADOS HIDROCARBUROS I</v>
          </cell>
        </row>
        <row r="1262">
          <cell r="A1262" t="str">
            <v>INSPECTOR DE DERIVADOS HIDROCARBUROS II</v>
          </cell>
        </row>
        <row r="1263">
          <cell r="A1263" t="str">
            <v>INSPECTOR DE INMUEBLES</v>
          </cell>
        </row>
        <row r="1264">
          <cell r="A1264" t="str">
            <v>INSPECTOR DE MAQUINARIAS II</v>
          </cell>
        </row>
        <row r="1265">
          <cell r="A1265" t="str">
            <v>INSPECTOR DE MECANICA DE AVIACION I</v>
          </cell>
        </row>
        <row r="1266">
          <cell r="A1266" t="str">
            <v>INSPECTOR DE MECANICA DE AVIACION II</v>
          </cell>
        </row>
        <row r="1267">
          <cell r="A1267" t="str">
            <v>INSPECTOR DE MECANICA DE AVIACION III</v>
          </cell>
        </row>
        <row r="1268">
          <cell r="A1268" t="str">
            <v>INSPECTOR DE OBRAS DE INGENIERIA I</v>
          </cell>
        </row>
        <row r="1269">
          <cell r="A1269" t="str">
            <v>INSPECTOR DE OBRAS DE INGENIERIA II</v>
          </cell>
        </row>
        <row r="1270">
          <cell r="A1270" t="str">
            <v>INSPECTOR DE OBRAS DE INGENIERIA III</v>
          </cell>
        </row>
        <row r="1271">
          <cell r="A1271" t="str">
            <v>INSPECTOR DE PRISIONES</v>
          </cell>
        </row>
        <row r="1272">
          <cell r="A1272" t="str">
            <v>INSPECTOR DE PRISIONES JEFE</v>
          </cell>
        </row>
        <row r="1273">
          <cell r="A1273" t="str">
            <v>INSPECTOR DE PUERTOS</v>
          </cell>
        </row>
        <row r="1274">
          <cell r="A1274" t="str">
            <v>INSPECTOR DE RENTAS I</v>
          </cell>
        </row>
        <row r="1275">
          <cell r="A1275" t="str">
            <v>INSPECTOR DE RENTAS II</v>
          </cell>
        </row>
        <row r="1276">
          <cell r="A1276" t="str">
            <v>INSPECTOR DE RENTAS JEFE</v>
          </cell>
        </row>
        <row r="1277">
          <cell r="A1277" t="str">
            <v>INSPECTOR DE SALID PUBLICA III</v>
          </cell>
        </row>
        <row r="1278">
          <cell r="A1278" t="str">
            <v>INSPECTOR DE SALUD PUBLICA I</v>
          </cell>
        </row>
        <row r="1279">
          <cell r="A1279" t="str">
            <v>INSPECTOR DE SALUD PUBLICA II</v>
          </cell>
        </row>
        <row r="1280">
          <cell r="A1280" t="str">
            <v>INSPECTOR DE SALUD PUBLICA IV</v>
          </cell>
        </row>
        <row r="1281">
          <cell r="A1281" t="str">
            <v>INSPECTOR DE SEGURIDAD INDUSTRIAL</v>
          </cell>
        </row>
        <row r="1282">
          <cell r="A1282" t="str">
            <v>INSPECTOR DE SEGURIDAD INDUSTRIAL II</v>
          </cell>
        </row>
        <row r="1283">
          <cell r="A1283" t="str">
            <v>INSPECTOR DE SEGURIDAD INDUSTRIAL III</v>
          </cell>
        </row>
        <row r="1284">
          <cell r="A1284" t="str">
            <v>INSPECTOR DE SEGURIDAD INDUSTRIAL IV</v>
          </cell>
        </row>
        <row r="1285">
          <cell r="A1285" t="str">
            <v>INSPECTOR DE SEGUROS COMERCIALES I</v>
          </cell>
        </row>
        <row r="1286">
          <cell r="A1286" t="str">
            <v>INSPECTOR DE SEGUROS COMERCIALES II</v>
          </cell>
        </row>
        <row r="1287">
          <cell r="A1287" t="str">
            <v>INSPECTOR DE SEGUROS COMERIALES JEFE</v>
          </cell>
        </row>
        <row r="1288">
          <cell r="A1288" t="str">
            <v>INSPECTOR DE SEUGROS COMERCIALES III</v>
          </cell>
        </row>
        <row r="1289">
          <cell r="A1289" t="str">
            <v>INSPECTOR DE TELECOMUNICACIONES I</v>
          </cell>
        </row>
        <row r="1290">
          <cell r="A1290" t="str">
            <v>INSPECTOR DE TELECOMUNICACIONES II</v>
          </cell>
        </row>
        <row r="1291">
          <cell r="A1291" t="str">
            <v>INSPECTOR DE TELECOMUNICACIONES III</v>
          </cell>
        </row>
        <row r="1292">
          <cell r="A1292" t="str">
            <v>INSPECTOR DE TRABAJO I</v>
          </cell>
        </row>
        <row r="1293">
          <cell r="A1293" t="str">
            <v>INSPECTOR DE TRABAJO II</v>
          </cell>
        </row>
        <row r="1294">
          <cell r="A1294" t="str">
            <v>INSPECTOR DE TRABAJO III</v>
          </cell>
        </row>
        <row r="1295">
          <cell r="A1295" t="str">
            <v>INSPECTOR DE TRABAJO IV</v>
          </cell>
        </row>
        <row r="1296">
          <cell r="A1296" t="str">
            <v>INSPECTOR DE TRABAJO V</v>
          </cell>
        </row>
        <row r="1297">
          <cell r="A1297" t="str">
            <v>INSPECTOR DE TRANSPORTE I</v>
          </cell>
        </row>
        <row r="1298">
          <cell r="A1298" t="str">
            <v>INSPECTOR DE TRANSPORTE II</v>
          </cell>
        </row>
        <row r="1299">
          <cell r="A1299" t="str">
            <v>INSPECTOR DE ZONAS MARITIMAS</v>
          </cell>
        </row>
        <row r="1300">
          <cell r="A1300" t="str">
            <v>INSPECTOR ELECTRICISTA</v>
          </cell>
        </row>
        <row r="1301">
          <cell r="A1301" t="str">
            <v>INSPECTOR GENERAL DE HACIENDA I</v>
          </cell>
        </row>
        <row r="1302">
          <cell r="A1302" t="str">
            <v>INSPECTOR GENERAL DE HACIENDA II</v>
          </cell>
        </row>
        <row r="1303">
          <cell r="A1303" t="str">
            <v>INSPECTOR GENERAL DE HACIENDA III</v>
          </cell>
        </row>
        <row r="1304">
          <cell r="A1304" t="str">
            <v>INSPECTOR GENERAL DE HACIENDA IV</v>
          </cell>
        </row>
        <row r="1305">
          <cell r="A1305" t="str">
            <v>INSPECTOR IDENTIFICACION Y EXTRANJERIA</v>
          </cell>
        </row>
        <row r="1306">
          <cell r="A1306" t="str">
            <v>INSPECTOR JEFE</v>
          </cell>
        </row>
        <row r="1307">
          <cell r="A1307" t="str">
            <v>INSPECTOR TURISTICO I</v>
          </cell>
        </row>
        <row r="1308">
          <cell r="A1308" t="str">
            <v>INSPECTOR TURISTICO II</v>
          </cell>
        </row>
        <row r="1309">
          <cell r="A1309" t="str">
            <v>INSPECTOR TURISTICO III</v>
          </cell>
        </row>
        <row r="1310">
          <cell r="A1310" t="str">
            <v>INSPECTOR TURISTICO IV</v>
          </cell>
        </row>
        <row r="1311">
          <cell r="A1311" t="str">
            <v>INSPECTOR TURISTICO JEFE I</v>
          </cell>
        </row>
        <row r="1312">
          <cell r="A1312" t="str">
            <v>INSPECTOR TURISTICO JEFE II</v>
          </cell>
        </row>
        <row r="1313">
          <cell r="A1313" t="str">
            <v>INST. ARTES MANUALES N.G.</v>
          </cell>
        </row>
        <row r="1314">
          <cell r="A1314" t="str">
            <v>INST. B. Y DANZAS 77 III</v>
          </cell>
        </row>
        <row r="1315">
          <cell r="A1315" t="str">
            <v>INST. CORTE Y CONF. 77 III</v>
          </cell>
        </row>
        <row r="1316">
          <cell r="A1316" t="str">
            <v>INST. MUSICAL 77 IV</v>
          </cell>
        </row>
        <row r="1317">
          <cell r="A1317" t="str">
            <v>INST. MUSICAL N.G.</v>
          </cell>
        </row>
        <row r="1318">
          <cell r="A1318" t="str">
            <v>INST. TEATRO Y TITERES N.G.</v>
          </cell>
        </row>
        <row r="1319">
          <cell r="A1319" t="str">
            <v>INST.BALLET Y DANZAS N.G.</v>
          </cell>
        </row>
        <row r="1320">
          <cell r="A1320" t="str">
            <v>INST.BORDADO A MAQUINA N.G.</v>
          </cell>
        </row>
        <row r="1321">
          <cell r="A1321" t="str">
            <v>INST.CERAMICA Y ESC. N.G.</v>
          </cell>
        </row>
        <row r="1322">
          <cell r="A1322" t="str">
            <v>INST.CORT.Y CONFECC. N.G.</v>
          </cell>
        </row>
        <row r="1323">
          <cell r="A1323" t="str">
            <v>INST.CORTE Y CONF. 77 VI</v>
          </cell>
        </row>
        <row r="1324">
          <cell r="A1324" t="str">
            <v>INST.DANZAS FOLKLORICAS N.G.</v>
          </cell>
        </row>
        <row r="1325">
          <cell r="A1325" t="str">
            <v>INST.DANZAS III N.G.</v>
          </cell>
        </row>
        <row r="1326">
          <cell r="A1326" t="str">
            <v>INST.DE PELUQUERIA N.G.</v>
          </cell>
        </row>
        <row r="1327">
          <cell r="A1327" t="str">
            <v>INST.DIBUJO INFANTIL N.G.</v>
          </cell>
        </row>
        <row r="1328">
          <cell r="A1328" t="str">
            <v>INST.MANUALIDADES N.G.</v>
          </cell>
        </row>
        <row r="1329">
          <cell r="A1329" t="str">
            <v>INST.PINTURA 77 III</v>
          </cell>
        </row>
        <row r="1330">
          <cell r="A1330" t="str">
            <v>INST.PINTURA Y D. N.G.</v>
          </cell>
        </row>
        <row r="1331">
          <cell r="A1331" t="str">
            <v>INST.PINTURA Y DIB. VI 139</v>
          </cell>
        </row>
        <row r="1332">
          <cell r="A1332" t="str">
            <v>INST.REPOSTERIA C. N.G.</v>
          </cell>
        </row>
        <row r="1333">
          <cell r="A1333" t="str">
            <v>INST.TEATRO-TITERES 139 III</v>
          </cell>
        </row>
        <row r="1334">
          <cell r="A1334" t="str">
            <v>INST.TEJIDO E HILADO 77 IV</v>
          </cell>
        </row>
        <row r="1335">
          <cell r="A1335" t="str">
            <v>INSTRC. DE ALFABETIZACION Y EDUC. BASICA</v>
          </cell>
        </row>
        <row r="1336">
          <cell r="A1336" t="str">
            <v>INSTRC. FORMACION PROF. EN EL AREA COMER</v>
          </cell>
        </row>
        <row r="1337">
          <cell r="A1337" t="str">
            <v>INSTRUC FORMACION PROF, ART,Y SERV.</v>
          </cell>
        </row>
        <row r="1338">
          <cell r="A1338" t="str">
            <v>INSTRUCTOR</v>
          </cell>
        </row>
        <row r="1339">
          <cell r="A1339" t="str">
            <v>INSTRUCTOR AGROPECUARIO I</v>
          </cell>
        </row>
        <row r="1340">
          <cell r="A1340" t="str">
            <v>INSTRUCTOR AGROPECUARIO III</v>
          </cell>
        </row>
        <row r="1341">
          <cell r="A1341" t="str">
            <v>INSTRUCTOR AGROPECUARIO JEFE I</v>
          </cell>
        </row>
        <row r="1342">
          <cell r="A1342" t="str">
            <v>INSTRUCTOR AGROPECURIO JEFE II</v>
          </cell>
        </row>
        <row r="1343">
          <cell r="A1343" t="str">
            <v>INSTRUCTOR DE ENFERMERIA</v>
          </cell>
        </row>
        <row r="1344">
          <cell r="A1344" t="str">
            <v>INSTRUCTOR DE ERONAUTICA CIVIL</v>
          </cell>
        </row>
        <row r="1345">
          <cell r="A1345" t="str">
            <v>INSTRUCTOR DE FORM. PROFESIONAL EN EL AREA DE OFICINA</v>
          </cell>
        </row>
        <row r="1346">
          <cell r="A1346" t="str">
            <v>INSTRUCTOR DE FORMACION EMPRESARIA II</v>
          </cell>
        </row>
        <row r="1347">
          <cell r="A1347" t="str">
            <v>INSTRUCTOR DE FORMACION EMPRESARIAL</v>
          </cell>
        </row>
        <row r="1348">
          <cell r="A1348" t="str">
            <v>INSTRUCTOR DE FORMACION EMPRESARIAL III</v>
          </cell>
        </row>
        <row r="1349">
          <cell r="A1349" t="str">
            <v>INSTRUCTOR DE MANUALIDADES TCVD</v>
          </cell>
        </row>
        <row r="1350">
          <cell r="A1350" t="str">
            <v>INSTRUCTOR DE PRE-ESCOLAR</v>
          </cell>
        </row>
        <row r="1351">
          <cell r="A1351" t="str">
            <v>INSTRUCTOR DE TECNICAS NAUTICAS</v>
          </cell>
        </row>
        <row r="1352">
          <cell r="A1352" t="str">
            <v>INSTRUCTOR DE TECNICAS NAUTICAS JEFE</v>
          </cell>
        </row>
        <row r="1353">
          <cell r="A1353" t="str">
            <v>INSTRUCTOR ECONOMIA DOMESTICA</v>
          </cell>
        </row>
        <row r="1354">
          <cell r="A1354" t="str">
            <v>INSTRUCTOR I</v>
          </cell>
        </row>
        <row r="1355">
          <cell r="A1355" t="str">
            <v>INSTRUCTOR I   139</v>
          </cell>
        </row>
        <row r="1356">
          <cell r="A1356" t="str">
            <v>INSTRUCTOR I   77</v>
          </cell>
        </row>
        <row r="1357">
          <cell r="A1357" t="str">
            <v>INSTRUCTOR I   N.G.</v>
          </cell>
        </row>
        <row r="1358">
          <cell r="A1358" t="str">
            <v>INSTRUCTOR I (16 HORAS) / DIREC.  BAND (16 HORAS)</v>
          </cell>
        </row>
        <row r="1359">
          <cell r="A1359" t="str">
            <v>INSTRUCTOR I (16HRS) Y DOC NG (33.33HRS.)</v>
          </cell>
        </row>
        <row r="1360">
          <cell r="A1360" t="str">
            <v>INSTRUCTOR I Y III NG (16 H)</v>
          </cell>
        </row>
        <row r="1361">
          <cell r="A1361" t="str">
            <v>INSTRUCTOR II  139</v>
          </cell>
        </row>
        <row r="1362">
          <cell r="A1362" t="str">
            <v>INSTRUCTOR II  77</v>
          </cell>
        </row>
        <row r="1363">
          <cell r="A1363" t="str">
            <v>INSTRUCTOR II  N.G.</v>
          </cell>
        </row>
        <row r="1364">
          <cell r="A1364" t="str">
            <v>INSTRUCTOR III 139</v>
          </cell>
        </row>
        <row r="1365">
          <cell r="A1365" t="str">
            <v>INSTRUCTOR III 77</v>
          </cell>
        </row>
        <row r="1366">
          <cell r="A1366" t="str">
            <v>INSTRUCTOR III N.G.</v>
          </cell>
        </row>
        <row r="1367">
          <cell r="A1367" t="str">
            <v>INSTRUCTOR III NG (33,33 HORAS) Y DOCENTE BASICO 16 TSE TCVD I (04 HR)</v>
          </cell>
        </row>
        <row r="1368">
          <cell r="A1368" t="str">
            <v>INSTRUCTOR III NG (33,33 HORAS) Y ENTRENADOR DEPORTIVO (33,33 HORAS)</v>
          </cell>
        </row>
        <row r="1369">
          <cell r="A1369" t="str">
            <v>INSTRUCTOR III NG (33,33) Y DOCENTE BASICA NG TCVNMA (16 HORAS)</v>
          </cell>
        </row>
        <row r="1370">
          <cell r="A1370" t="str">
            <v>INSTRUCTOR INSTRUMENTAL DE VUELO</v>
          </cell>
        </row>
        <row r="1371">
          <cell r="A1371" t="str">
            <v>INSTRUCTOR IV  139</v>
          </cell>
        </row>
        <row r="1372">
          <cell r="A1372" t="str">
            <v>INSTRUCTOR IV  77</v>
          </cell>
        </row>
        <row r="1373">
          <cell r="A1373" t="str">
            <v>INSTRUCTOR MANUALIDADES I</v>
          </cell>
        </row>
        <row r="1374">
          <cell r="A1374" t="str">
            <v>INSTRUCTOR MANUALIDADES II</v>
          </cell>
        </row>
        <row r="1375">
          <cell r="A1375" t="str">
            <v>INSTRUCTOR MANUALIDADES III</v>
          </cell>
        </row>
        <row r="1376">
          <cell r="A1376" t="str">
            <v>INSTRUCTOR MARROQUINERIA</v>
          </cell>
        </row>
        <row r="1377">
          <cell r="A1377" t="str">
            <v>INSTRUCTOR MUSICAL</v>
          </cell>
        </row>
        <row r="1378">
          <cell r="A1378" t="str">
            <v>INSTRUCTOR MUSICAL Y DOCENTE IV AULA</v>
          </cell>
        </row>
        <row r="1379">
          <cell r="A1379" t="str">
            <v>INSTRUCTOR N.G TCVD</v>
          </cell>
        </row>
        <row r="1380">
          <cell r="A1380" t="str">
            <v>INSTRUCTOR V   139</v>
          </cell>
        </row>
        <row r="1381">
          <cell r="A1381" t="str">
            <v>INSTRUCTOR V   77</v>
          </cell>
        </row>
        <row r="1382">
          <cell r="A1382" t="str">
            <v>INSTRUCTOR VI  139</v>
          </cell>
        </row>
        <row r="1383">
          <cell r="A1383" t="str">
            <v>INSTRUCTOR VI  77</v>
          </cell>
        </row>
        <row r="1384">
          <cell r="A1384" t="str">
            <v>INSTRUCTORA DE COCINA Y ARTE CULINARIA</v>
          </cell>
        </row>
        <row r="1385">
          <cell r="A1385" t="str">
            <v>INSTRUCTORA III NG (16 HORAS) Y DOCENTE BASICA NG 1-6 TCVNM (33,33 HORAS)</v>
          </cell>
        </row>
        <row r="1386">
          <cell r="A1386" t="str">
            <v>INSTRUMENTO I</v>
          </cell>
        </row>
        <row r="1387">
          <cell r="A1387" t="str">
            <v>INSTRUMENTO II</v>
          </cell>
        </row>
        <row r="1388">
          <cell r="A1388" t="str">
            <v>INSTRUMENTO III</v>
          </cell>
        </row>
        <row r="1389">
          <cell r="A1389" t="str">
            <v>INSTURCTOR AGROPECUARIO II</v>
          </cell>
        </row>
        <row r="1390">
          <cell r="A1390" t="str">
            <v>INTENDENTE DE HOSPITAL I</v>
          </cell>
        </row>
        <row r="1391">
          <cell r="A1391" t="str">
            <v>INTENDENTE DE HOSPITAL II</v>
          </cell>
        </row>
        <row r="1392">
          <cell r="A1392" t="str">
            <v>INTENDENTE DE HOSPITAL III</v>
          </cell>
        </row>
        <row r="1393">
          <cell r="A1393" t="str">
            <v>INTENDENTE DE HOSPITAL IV</v>
          </cell>
        </row>
        <row r="1394">
          <cell r="A1394" t="str">
            <v>INTENDENTE DE HOSPITAL V</v>
          </cell>
        </row>
        <row r="1395">
          <cell r="A1395" t="str">
            <v>INTERVENTOR DE ADUANAS II</v>
          </cell>
        </row>
        <row r="1396">
          <cell r="A1396" t="str">
            <v>INTERVENTOR DE ADUANAS III</v>
          </cell>
        </row>
        <row r="1397">
          <cell r="A1397" t="str">
            <v>INTERVENTOR DE ADUNAS I</v>
          </cell>
        </row>
        <row r="1398">
          <cell r="A1398" t="str">
            <v>INTRUCTOR DEPORTIVO</v>
          </cell>
        </row>
        <row r="1399">
          <cell r="A1399" t="str">
            <v>INVESTIGADOR DE MUSEO I</v>
          </cell>
        </row>
        <row r="1400">
          <cell r="A1400" t="str">
            <v>INVESTIGADOR DE MUSEO II</v>
          </cell>
        </row>
        <row r="1401">
          <cell r="A1401" t="str">
            <v>INVESTIGADOR DE MUSEO III</v>
          </cell>
        </row>
        <row r="1402">
          <cell r="A1402" t="str">
            <v>INVESTIGADOR EN ADIESTRAMIENTO</v>
          </cell>
        </row>
        <row r="1403">
          <cell r="A1403" t="str">
            <v>INVESTIGADOR I</v>
          </cell>
        </row>
        <row r="1404">
          <cell r="A1404" t="str">
            <v>INVESTIGADOR II</v>
          </cell>
        </row>
        <row r="1405">
          <cell r="A1405" t="str">
            <v>INVESTIGADOR III</v>
          </cell>
        </row>
        <row r="1406">
          <cell r="A1406" t="str">
            <v>INVESTIGADOR IV</v>
          </cell>
        </row>
        <row r="1407">
          <cell r="A1407" t="str">
            <v>INVESTIGADOR JEFE</v>
          </cell>
        </row>
        <row r="1408">
          <cell r="A1408" t="str">
            <v>INVESTIGADOR SOCIAL I</v>
          </cell>
        </row>
        <row r="1409">
          <cell r="A1409" t="str">
            <v>INVESTIGADOR SOCIAL II</v>
          </cell>
        </row>
        <row r="1410">
          <cell r="A1410" t="str">
            <v>INVESTIGADOR SOCIAL III</v>
          </cell>
        </row>
        <row r="1411">
          <cell r="A1411" t="str">
            <v>INVESTIGADOR SOCIAL JEFE</v>
          </cell>
        </row>
        <row r="1412">
          <cell r="A1412" t="str">
            <v>INVESTIGADOR V</v>
          </cell>
        </row>
        <row r="1413">
          <cell r="A1413" t="str">
            <v>JEE DE SERVICIOS PORTUARIOS I</v>
          </cell>
        </row>
        <row r="1414">
          <cell r="A1414" t="str">
            <v>JEFE CAPITAN DE PUERTO</v>
          </cell>
        </row>
        <row r="1415">
          <cell r="A1415" t="str">
            <v>JEFE CENTRO ATENCION POR ABANDONO</v>
          </cell>
        </row>
        <row r="1416">
          <cell r="A1416" t="str">
            <v>JEFE CENTRO ATENCION POR TRATAMIENTO</v>
          </cell>
        </row>
        <row r="1417">
          <cell r="A1417" t="str">
            <v>JEFE CENTRO AUDIOVISUAL</v>
          </cell>
        </row>
        <row r="1418">
          <cell r="A1418" t="str">
            <v>JEFE CENTRO DE PREVENCION</v>
          </cell>
        </row>
        <row r="1419">
          <cell r="A1419" t="str">
            <v>JEFE CENTRO INDIGENISTA II</v>
          </cell>
        </row>
        <row r="1420">
          <cell r="A1420" t="str">
            <v>JEFE CENTRO INDIGENITA I</v>
          </cell>
        </row>
        <row r="1421">
          <cell r="A1421" t="str">
            <v>JEFE DE AEROPUERTO I</v>
          </cell>
        </row>
        <row r="1422">
          <cell r="A1422" t="str">
            <v>JEFE DE AEROPUERTO II</v>
          </cell>
        </row>
        <row r="1423">
          <cell r="A1423" t="str">
            <v>JEFE DE AEROPUERTO III</v>
          </cell>
        </row>
        <row r="1424">
          <cell r="A1424" t="str">
            <v>JEFE DE AEROPUERTO IV</v>
          </cell>
        </row>
        <row r="1425">
          <cell r="A1425" t="str">
            <v>JEFE DE AEROPUERTO V</v>
          </cell>
        </row>
        <row r="1426">
          <cell r="A1426" t="str">
            <v>JEFE DE ARTE Y FOLKLORE</v>
          </cell>
        </row>
        <row r="1427">
          <cell r="A1427" t="str">
            <v>JEFE DE CONTROL DE MAQUINAS</v>
          </cell>
        </row>
        <row r="1428">
          <cell r="A1428" t="str">
            <v>JEFE DE DEPARTAMENTO</v>
          </cell>
        </row>
        <row r="1429">
          <cell r="A1429" t="str">
            <v>JEFE DE DIVISION</v>
          </cell>
        </row>
        <row r="1430">
          <cell r="A1430" t="str">
            <v>JEFE DE DIVISION ADMINISTRATIVO</v>
          </cell>
        </row>
        <row r="1431">
          <cell r="A1431" t="str">
            <v>JEFE DE EJECUCION Y CONTROL DE PRESUPUES</v>
          </cell>
        </row>
        <row r="1432">
          <cell r="A1432" t="str">
            <v>JEFE DE INFORMATICA I</v>
          </cell>
        </row>
        <row r="1433">
          <cell r="A1433" t="str">
            <v>JEFE DE INFORMATICA II</v>
          </cell>
        </row>
        <row r="1434">
          <cell r="A1434" t="str">
            <v>JEFE DE INFORMATICA III</v>
          </cell>
        </row>
        <row r="1435">
          <cell r="A1435" t="str">
            <v>JEFE DE LABORATORIO DE AEROFOTOGRAFIA</v>
          </cell>
        </row>
        <row r="1436">
          <cell r="A1436" t="str">
            <v>JEFE DE MAQUINAS I</v>
          </cell>
        </row>
        <row r="1437">
          <cell r="A1437" t="str">
            <v>JEFE DE MAQUINAS II</v>
          </cell>
        </row>
        <row r="1438">
          <cell r="A1438" t="str">
            <v>JEFE DE OBREROS</v>
          </cell>
        </row>
        <row r="1439">
          <cell r="A1439" t="str">
            <v>JEFE DE OFICINA</v>
          </cell>
        </row>
        <row r="1440">
          <cell r="A1440" t="str">
            <v>JEFE DE PABELLON DE FERIAS</v>
          </cell>
        </row>
        <row r="1441">
          <cell r="A1441" t="str">
            <v>JEFE DE PRE-ESCOLAR</v>
          </cell>
        </row>
        <row r="1442">
          <cell r="A1442" t="str">
            <v>JEFE DE RELACIONES PUBLICAS I</v>
          </cell>
        </row>
        <row r="1443">
          <cell r="A1443" t="str">
            <v>JEFE DE RELACIONES PUBLICAS II</v>
          </cell>
        </row>
        <row r="1444">
          <cell r="A1444" t="str">
            <v>JEFE DE RELACIONES PUBLICAS III</v>
          </cell>
        </row>
        <row r="1445">
          <cell r="A1445" t="str">
            <v>JEFE DE SECCION</v>
          </cell>
        </row>
        <row r="1446">
          <cell r="A1446" t="str">
            <v>JEFE DE SERVICIOS PORTUARIOS II</v>
          </cell>
        </row>
        <row r="1447">
          <cell r="A1447" t="str">
            <v>JEFE DE SERVICIOS PORTUARIOS III</v>
          </cell>
        </row>
        <row r="1448">
          <cell r="A1448" t="str">
            <v>JEFE DE SERVICIOS PORTUARIOS IV</v>
          </cell>
        </row>
        <row r="1449">
          <cell r="A1449" t="str">
            <v>JEFE DE TRANSPORTE AUTOMOTOR I</v>
          </cell>
        </row>
        <row r="1450">
          <cell r="A1450" t="str">
            <v>JEFE DE TRANSPORTE AUTONOMOR III</v>
          </cell>
        </row>
        <row r="1451">
          <cell r="A1451" t="str">
            <v>JEFE DE TRASPORTE AUTOMOTOR II</v>
          </cell>
        </row>
        <row r="1452">
          <cell r="A1452" t="str">
            <v>JEFE DE UNIDAD</v>
          </cell>
        </row>
        <row r="1453">
          <cell r="A1453" t="str">
            <v>JEFE DE ZONA</v>
          </cell>
        </row>
        <row r="1454">
          <cell r="A1454" t="str">
            <v>JEFE DE ZONA DE SANEAMIENTO AMBIENTAL</v>
          </cell>
        </row>
        <row r="1455">
          <cell r="A1455" t="str">
            <v>JEFE ESTACION DE PILOTO</v>
          </cell>
        </row>
        <row r="1456">
          <cell r="A1456" t="str">
            <v>JEFE SECCION DE RENDICION DE CUENTAS</v>
          </cell>
        </row>
        <row r="1457">
          <cell r="A1457" t="str">
            <v>JEFE TECNICO AMDINISTRATIVO</v>
          </cell>
        </row>
        <row r="1458">
          <cell r="A1458" t="str">
            <v>LABORATORISTA CINEMATOGRAFICO</v>
          </cell>
        </row>
        <row r="1459">
          <cell r="A1459" t="str">
            <v>LABORATORISTA I</v>
          </cell>
        </row>
        <row r="1460">
          <cell r="A1460" t="str">
            <v>LABORATORISTA II</v>
          </cell>
        </row>
        <row r="1461">
          <cell r="A1461" t="str">
            <v>LABORATORISTA III</v>
          </cell>
        </row>
        <row r="1462">
          <cell r="A1462" t="str">
            <v>LCDO(A) EN GESTION AMBIENTAL</v>
          </cell>
        </row>
        <row r="1463">
          <cell r="A1463" t="str">
            <v>LCDO(A) EN GESTION SOCIAL</v>
          </cell>
        </row>
        <row r="1464">
          <cell r="A1464" t="str">
            <v>LENGUAJE MUSICAL</v>
          </cell>
        </row>
        <row r="1465">
          <cell r="A1465" t="str">
            <v>LIBRETISTA DE RADIO</v>
          </cell>
        </row>
        <row r="1466">
          <cell r="A1466" t="str">
            <v>LIQUIDADOR DE HIDROCARBUROS I</v>
          </cell>
        </row>
        <row r="1467">
          <cell r="A1467" t="str">
            <v>LIQUIDADOR DE HIDROCARBUROS II</v>
          </cell>
        </row>
        <row r="1468">
          <cell r="A1468" t="str">
            <v>LIQUIDADOR DE HIDROCARBUROS III</v>
          </cell>
        </row>
        <row r="1469">
          <cell r="A1469" t="str">
            <v>LIQUIDADOR DE HIDROCARBUROS JEFE</v>
          </cell>
        </row>
        <row r="1470">
          <cell r="A1470" t="str">
            <v>LIQUIDADOR I</v>
          </cell>
        </row>
        <row r="1471">
          <cell r="A1471" t="str">
            <v>LIQUIDADOR II</v>
          </cell>
        </row>
        <row r="1472">
          <cell r="A1472" t="str">
            <v>LIQUIDADOR III</v>
          </cell>
        </row>
        <row r="1473">
          <cell r="A1473" t="str">
            <v>LIQUIDADOR JEFE</v>
          </cell>
        </row>
        <row r="1474">
          <cell r="A1474" t="str">
            <v>LOCUTOR I</v>
          </cell>
        </row>
        <row r="1475">
          <cell r="A1475" t="str">
            <v>LOCUTOR II</v>
          </cell>
        </row>
        <row r="1476">
          <cell r="A1476" t="str">
            <v>MAESTRA (33.33 HORAS) Y PROF. PH GR (20 HORAS)</v>
          </cell>
        </row>
        <row r="1477">
          <cell r="A1477" t="str">
            <v>MAESTRA ALFABETIZADORA</v>
          </cell>
        </row>
        <row r="1478">
          <cell r="A1478" t="str">
            <v>MAESTRA BIBLIOTECARIA</v>
          </cell>
        </row>
        <row r="1479">
          <cell r="A1479" t="str">
            <v>MAESTRA COORDINADORA</v>
          </cell>
        </row>
        <row r="1480">
          <cell r="A1480" t="str">
            <v>MAESTRA N§ 10</v>
          </cell>
        </row>
        <row r="1481">
          <cell r="A1481" t="str">
            <v>MAESTRA N§ 2</v>
          </cell>
        </row>
        <row r="1482">
          <cell r="A1482" t="str">
            <v>MAESTRA NORMALISTA</v>
          </cell>
        </row>
        <row r="1483">
          <cell r="A1483" t="str">
            <v>MAESTRA TIPO A</v>
          </cell>
        </row>
        <row r="1484">
          <cell r="A1484" t="str">
            <v>MAESTRO TCVDNMA</v>
          </cell>
        </row>
        <row r="1485">
          <cell r="A1485" t="str">
            <v>MAESTRO(A)</v>
          </cell>
        </row>
        <row r="1486">
          <cell r="A1486" t="str">
            <v>MANDOLINA</v>
          </cell>
        </row>
        <row r="1487">
          <cell r="A1487" t="str">
            <v>MAQUETISTA I</v>
          </cell>
        </row>
        <row r="1488">
          <cell r="A1488" t="str">
            <v>MAQUETISTA II</v>
          </cell>
        </row>
        <row r="1489">
          <cell r="A1489" t="str">
            <v>MAQUILLADOR</v>
          </cell>
        </row>
        <row r="1490">
          <cell r="A1490" t="str">
            <v>MAQUINISTA DE REMOLCADOR</v>
          </cell>
        </row>
        <row r="1491">
          <cell r="A1491" t="str">
            <v>MAQUINISTA DE TRANSPORTE NAVAL</v>
          </cell>
        </row>
        <row r="1492">
          <cell r="A1492" t="str">
            <v>MATEMATICO I</v>
          </cell>
        </row>
        <row r="1493">
          <cell r="A1493" t="str">
            <v>MATEMATICO II</v>
          </cell>
        </row>
        <row r="1494">
          <cell r="A1494" t="str">
            <v>MAYOR (BOMBERO)</v>
          </cell>
        </row>
        <row r="1495">
          <cell r="A1495" t="str">
            <v>MECANOGRAFA(O) II</v>
          </cell>
        </row>
        <row r="1496">
          <cell r="A1496" t="str">
            <v>MEDICO DE SALUD PUBLICA I</v>
          </cell>
        </row>
        <row r="1497">
          <cell r="A1497" t="str">
            <v>MEDICO DE SALUD PUBLICA II</v>
          </cell>
        </row>
        <row r="1498">
          <cell r="A1498" t="str">
            <v>MEDICO DE SALUD PUBLICA III</v>
          </cell>
        </row>
        <row r="1499">
          <cell r="A1499" t="str">
            <v>MEDICO DE SALUD PUBLICA JEFE</v>
          </cell>
        </row>
        <row r="1500">
          <cell r="A1500" t="str">
            <v>MEDICO DE SALUD PUBLICA JEFE II</v>
          </cell>
        </row>
        <row r="1501">
          <cell r="A1501" t="str">
            <v>MEDICO DE SALUD PUBLICA JEFE III</v>
          </cell>
        </row>
        <row r="1502">
          <cell r="A1502" t="str">
            <v>MEDICO DIRECTOR DE HOSPITAL I</v>
          </cell>
        </row>
        <row r="1503">
          <cell r="A1503" t="str">
            <v>MEDICO DIRECTOR DE HOSPITAL II</v>
          </cell>
        </row>
        <row r="1504">
          <cell r="A1504" t="str">
            <v>MEDICO DIRECTOR DE HOSPITAL III</v>
          </cell>
        </row>
        <row r="1505">
          <cell r="A1505" t="str">
            <v>MEDICO DIRECTOR DE HOSPITAL IV</v>
          </cell>
        </row>
        <row r="1506">
          <cell r="A1506" t="str">
            <v>MEDICO ESPECIALISTA I</v>
          </cell>
        </row>
        <row r="1507">
          <cell r="A1507" t="str">
            <v>MEDICO ESPECIALISTA II</v>
          </cell>
        </row>
        <row r="1508">
          <cell r="A1508" t="str">
            <v>MEDICO I</v>
          </cell>
        </row>
        <row r="1509">
          <cell r="A1509" t="str">
            <v>MEDICO II</v>
          </cell>
        </row>
        <row r="1510">
          <cell r="A1510" t="str">
            <v>MEDICO INTERNO</v>
          </cell>
        </row>
        <row r="1511">
          <cell r="A1511" t="str">
            <v>MEDICO JEFE I</v>
          </cell>
        </row>
        <row r="1512">
          <cell r="A1512" t="str">
            <v>MEDICO JEFE II</v>
          </cell>
        </row>
        <row r="1513">
          <cell r="A1513" t="str">
            <v>MEDICO JEFE III</v>
          </cell>
        </row>
        <row r="1514">
          <cell r="A1514" t="str">
            <v>MEDICO JEFE IV</v>
          </cell>
        </row>
        <row r="1515">
          <cell r="A1515" t="str">
            <v>MEDICO RESIDENTE</v>
          </cell>
        </row>
        <row r="1516">
          <cell r="A1516" t="str">
            <v>MEDICO VETERINARIO I</v>
          </cell>
        </row>
        <row r="1517">
          <cell r="A1517" t="str">
            <v>MEDICO VETERINARIO II</v>
          </cell>
        </row>
        <row r="1518">
          <cell r="A1518" t="str">
            <v>MEDICO VETERINARIO III</v>
          </cell>
        </row>
        <row r="1519">
          <cell r="A1519" t="str">
            <v>MEDICO VETERINARIO JEFE I</v>
          </cell>
        </row>
        <row r="1520">
          <cell r="A1520" t="str">
            <v>MEDICO VETERINARIO JEFE II</v>
          </cell>
        </row>
        <row r="1521">
          <cell r="A1521" t="str">
            <v>METROLOGO I</v>
          </cell>
        </row>
        <row r="1522">
          <cell r="A1522" t="str">
            <v>METROLOGO II</v>
          </cell>
        </row>
        <row r="1523">
          <cell r="A1523" t="str">
            <v>METROLOGO III</v>
          </cell>
        </row>
        <row r="1524">
          <cell r="A1524" t="str">
            <v>METROLOGO JEFE I</v>
          </cell>
        </row>
        <row r="1525">
          <cell r="A1525" t="str">
            <v>METROLOGO JEFE II</v>
          </cell>
        </row>
        <row r="1526">
          <cell r="A1526" t="str">
            <v>MICROBIOLOGO I</v>
          </cell>
        </row>
        <row r="1527">
          <cell r="A1527" t="str">
            <v>MICROBIOLOGO II</v>
          </cell>
        </row>
        <row r="1528">
          <cell r="A1528" t="str">
            <v>MICROBIOLOGO III</v>
          </cell>
        </row>
        <row r="1529">
          <cell r="A1529" t="str">
            <v>MICROBIOLOGO JEFE</v>
          </cell>
        </row>
        <row r="1530">
          <cell r="A1530" t="str">
            <v>MICROFILMADOR I</v>
          </cell>
        </row>
        <row r="1531">
          <cell r="A1531" t="str">
            <v>MICROFILMADOR II</v>
          </cell>
        </row>
        <row r="1532">
          <cell r="A1532" t="str">
            <v>MICROFILMADOR III</v>
          </cell>
        </row>
        <row r="1533">
          <cell r="A1533" t="str">
            <v>MICROFILMADOR IV</v>
          </cell>
        </row>
        <row r="1534">
          <cell r="A1534" t="str">
            <v>MUSEOGRAFO I</v>
          </cell>
        </row>
        <row r="1535">
          <cell r="A1535" t="str">
            <v>MUSEOGRAFO II</v>
          </cell>
        </row>
        <row r="1536">
          <cell r="A1536" t="str">
            <v>MUSEOGRAFO III</v>
          </cell>
        </row>
        <row r="1537">
          <cell r="A1537" t="str">
            <v>MUSEOLOGO</v>
          </cell>
        </row>
        <row r="1538">
          <cell r="A1538" t="str">
            <v>MUSEOLOGO II</v>
          </cell>
        </row>
        <row r="1539">
          <cell r="A1539" t="str">
            <v>MUSEOLOGO III</v>
          </cell>
        </row>
        <row r="1540">
          <cell r="A1540" t="str">
            <v>MUSEOLOGO IV</v>
          </cell>
        </row>
        <row r="1541">
          <cell r="A1541" t="str">
            <v>OBOE</v>
          </cell>
        </row>
        <row r="1542">
          <cell r="A1542" t="str">
            <v>OBOE</v>
          </cell>
        </row>
        <row r="1543">
          <cell r="A1543" t="str">
            <v>OBOE 1</v>
          </cell>
        </row>
        <row r="1544">
          <cell r="A1544" t="str">
            <v>OBOE 2</v>
          </cell>
        </row>
        <row r="1545">
          <cell r="A1545" t="str">
            <v>OBSERVADOR DE RADIO Y TV I</v>
          </cell>
        </row>
        <row r="1546">
          <cell r="A1546" t="str">
            <v>OBSERVADOR DE RADIO Y TV II</v>
          </cell>
        </row>
        <row r="1547">
          <cell r="A1547" t="str">
            <v>ODONTOLO II</v>
          </cell>
        </row>
        <row r="1548">
          <cell r="A1548" t="str">
            <v>ODONTOLOGO I</v>
          </cell>
        </row>
        <row r="1549">
          <cell r="A1549" t="str">
            <v>ODONTOLOGO III</v>
          </cell>
        </row>
        <row r="1550">
          <cell r="A1550" t="str">
            <v>ODONTOLOGO JEFE I</v>
          </cell>
        </row>
        <row r="1551">
          <cell r="A1551" t="str">
            <v>ODONTOLOGO JEFE II</v>
          </cell>
        </row>
        <row r="1552">
          <cell r="A1552" t="str">
            <v>OFICIAL</v>
          </cell>
        </row>
        <row r="1553">
          <cell r="A1553" t="str">
            <v>OFICIAL (GRADO 0)</v>
          </cell>
        </row>
        <row r="1554">
          <cell r="A1554" t="str">
            <v>OFICIAL (GRADO 1)</v>
          </cell>
        </row>
        <row r="1555">
          <cell r="A1555" t="str">
            <v>OFICIAL (GRADO 2)</v>
          </cell>
        </row>
        <row r="1556">
          <cell r="A1556" t="str">
            <v>OFICIAL AGREGADO</v>
          </cell>
        </row>
        <row r="1557">
          <cell r="A1557" t="str">
            <v>OFICIAL AGREGADO (GRADO 0)</v>
          </cell>
        </row>
        <row r="1558">
          <cell r="A1558" t="str">
            <v>OFICIAL AGREGADO (GRADO 1)</v>
          </cell>
        </row>
        <row r="1559">
          <cell r="A1559" t="str">
            <v>OFICIAL AGREGADO (GRADO 2)</v>
          </cell>
        </row>
        <row r="1560">
          <cell r="A1560" t="str">
            <v>OFICIAL DE BUSQUEDA Y SALVAMENTO I</v>
          </cell>
        </row>
        <row r="1561">
          <cell r="A1561" t="str">
            <v>OFICIAL DE BUSQUEDA Y SALVAMENTO II</v>
          </cell>
        </row>
        <row r="1562">
          <cell r="A1562" t="str">
            <v>OFICIAL DE BUSQUEDA Y SALVAMENTO III</v>
          </cell>
        </row>
        <row r="1563">
          <cell r="A1563" t="str">
            <v>OFICIAL DE BUSQUEDA Y SALVAMENTO IV</v>
          </cell>
        </row>
        <row r="1564">
          <cell r="A1564" t="str">
            <v>OFICIAL DE MAQUINAS I</v>
          </cell>
        </row>
        <row r="1565">
          <cell r="A1565" t="str">
            <v>OFICIAL DE MAQUINAS II</v>
          </cell>
        </row>
        <row r="1566">
          <cell r="A1566" t="str">
            <v>OFICIAL DE MAQUINAS III</v>
          </cell>
        </row>
        <row r="1567">
          <cell r="A1567" t="str">
            <v>OFICIAL DE MARINA I</v>
          </cell>
        </row>
        <row r="1568">
          <cell r="A1568" t="str">
            <v>OFICIAL DE MARINA II</v>
          </cell>
        </row>
        <row r="1569">
          <cell r="A1569" t="str">
            <v>OFICIAL DE MARINA III</v>
          </cell>
        </row>
        <row r="1570">
          <cell r="A1570" t="str">
            <v>OFICIAL DE MARINA IV</v>
          </cell>
        </row>
        <row r="1571">
          <cell r="A1571" t="str">
            <v>OFICIAL DE MARINA JEFE I</v>
          </cell>
        </row>
        <row r="1572">
          <cell r="A1572" t="str">
            <v>OFICIAL DE MARINA JEFE II</v>
          </cell>
        </row>
        <row r="1573">
          <cell r="A1573" t="str">
            <v>OFICIAL DE MARINA JEFE III</v>
          </cell>
        </row>
        <row r="1574">
          <cell r="A1574" t="str">
            <v>OFICIAL DE NAVEGACION I</v>
          </cell>
        </row>
        <row r="1575">
          <cell r="A1575" t="str">
            <v>OFICIAL DE NAVEGACION II</v>
          </cell>
        </row>
        <row r="1576">
          <cell r="A1576" t="str">
            <v>OFICIAL DE NAVEGACION III</v>
          </cell>
        </row>
        <row r="1577">
          <cell r="A1577" t="str">
            <v>OFICIAL JEFE</v>
          </cell>
        </row>
        <row r="1578">
          <cell r="A1578" t="str">
            <v>OFICIAL JEFE (GRADO 0)</v>
          </cell>
        </row>
        <row r="1579">
          <cell r="A1579" t="str">
            <v>OFICIAL JEFE (GRADO 1)</v>
          </cell>
        </row>
        <row r="1580">
          <cell r="A1580" t="str">
            <v>OFICIAL JEFE (GRADO 2)</v>
          </cell>
        </row>
        <row r="1581">
          <cell r="A1581" t="str">
            <v>OPERADOR DE EQUIPOS DE COMPUTACION I</v>
          </cell>
        </row>
        <row r="1582">
          <cell r="A1582" t="str">
            <v>OPERADOR DE EQUIPOS DE COMPUTACION II</v>
          </cell>
        </row>
        <row r="1583">
          <cell r="A1583" t="str">
            <v>OPERADOR DE EQUIPOS DE COMPUTACION III</v>
          </cell>
        </row>
        <row r="1584">
          <cell r="A1584" t="str">
            <v>OPERADOR DE EQUIPOS DE TV Y/O CINE</v>
          </cell>
        </row>
        <row r="1585">
          <cell r="A1585" t="str">
            <v>OPERADOR DE QUPOS DE DRAGADO</v>
          </cell>
        </row>
        <row r="1586">
          <cell r="A1586" t="str">
            <v>OPERADOR DE REPRODUCCION I</v>
          </cell>
        </row>
        <row r="1587">
          <cell r="A1587" t="str">
            <v>OPERADOR DE SOPORTE TECNICO</v>
          </cell>
        </row>
        <row r="1588">
          <cell r="A1588" t="str">
            <v>OPERADOR DE TELECOMUNICACIONES AERO. I</v>
          </cell>
        </row>
        <row r="1589">
          <cell r="A1589" t="str">
            <v>OPERADOR DE TELECOMUNICACIONES AERON. II</v>
          </cell>
        </row>
        <row r="1590">
          <cell r="A1590" t="str">
            <v>OPERADOR DE TELECOMUNICACIONES I</v>
          </cell>
        </row>
        <row r="1591">
          <cell r="A1591" t="str">
            <v>OPERADOR DE TELECOMUNICACIONES II</v>
          </cell>
        </row>
        <row r="1592">
          <cell r="A1592" t="str">
            <v>OPERADOR DE TELECOMUNICACIONES III</v>
          </cell>
        </row>
        <row r="1593">
          <cell r="A1593" t="str">
            <v>OPERADOR DE TELECOMUNICACIONES IV</v>
          </cell>
        </row>
        <row r="1594">
          <cell r="A1594" t="str">
            <v>OPERADOR DE TELECOMUNICACIONES JEFE</v>
          </cell>
        </row>
        <row r="1595">
          <cell r="A1595" t="str">
            <v>OPERADOR TELECOMUNICACIONES AER. JEFE I</v>
          </cell>
        </row>
        <row r="1596">
          <cell r="A1596" t="str">
            <v>OPERADOR TELECOMUNICACIONES AERON. III</v>
          </cell>
        </row>
        <row r="1597">
          <cell r="A1597" t="str">
            <v>OPERADOR TELECOMUNICACIONES AERON. IV</v>
          </cell>
        </row>
        <row r="1598">
          <cell r="A1598" t="str">
            <v>OPERADOR TELECOMUNICACIONES AERON. V</v>
          </cell>
        </row>
        <row r="1599">
          <cell r="A1599" t="str">
            <v>OPERADOR TELECOMUNICAICONES AER. JEFE II</v>
          </cell>
        </row>
        <row r="1600">
          <cell r="A1600" t="str">
            <v>OPERADOR TELECOMUNICAICONES AERON.VI</v>
          </cell>
        </row>
        <row r="1601">
          <cell r="A1601" t="str">
            <v>ORDENANZA  I</v>
          </cell>
        </row>
        <row r="1602">
          <cell r="A1602" t="str">
            <v>ORDENANZA II</v>
          </cell>
        </row>
        <row r="1603">
          <cell r="A1603" t="str">
            <v>ORDENANZA III</v>
          </cell>
        </row>
        <row r="1604">
          <cell r="A1604" t="str">
            <v>PALEONTOLOGO</v>
          </cell>
        </row>
        <row r="1605">
          <cell r="A1605" t="str">
            <v>PATRON DE LANCHA</v>
          </cell>
        </row>
        <row r="1606">
          <cell r="A1606" t="str">
            <v>PERCUSION</v>
          </cell>
        </row>
        <row r="1607">
          <cell r="A1607" t="str">
            <v>PERITO FORESTAL  III</v>
          </cell>
        </row>
        <row r="1608">
          <cell r="A1608" t="str">
            <v>PERITO FORESTAL I</v>
          </cell>
        </row>
        <row r="1609">
          <cell r="A1609" t="str">
            <v>PERITO FORESTAL II</v>
          </cell>
        </row>
        <row r="1610">
          <cell r="A1610" t="str">
            <v>PERITO FORESTAL JEFE I</v>
          </cell>
        </row>
        <row r="1611">
          <cell r="A1611" t="str">
            <v>PERITO FORESTAL JEFE II</v>
          </cell>
        </row>
        <row r="1612">
          <cell r="A1612" t="str">
            <v>PERITO NAVAL</v>
          </cell>
        </row>
        <row r="1613">
          <cell r="A1613" t="str">
            <v>PERSONAL ADMINISTRATIVO NO CLASIFICADO</v>
          </cell>
        </row>
        <row r="1614">
          <cell r="A1614" t="str">
            <v>PIANO COMPLEMENTARIO</v>
          </cell>
        </row>
        <row r="1615">
          <cell r="A1615" t="str">
            <v>PIANO COMPLEMENTARIO</v>
          </cell>
        </row>
        <row r="1616">
          <cell r="A1616" t="str">
            <v>PILOTO DE BUSQUEDA Y SALVAMENTO I</v>
          </cell>
        </row>
        <row r="1617">
          <cell r="A1617" t="str">
            <v>PILOTO DE BUSQUEDA Y SALVAMENTO II</v>
          </cell>
        </row>
        <row r="1618">
          <cell r="A1618" t="str">
            <v>PILOTO DE BUSQUEDA Y SALVAMENTO III</v>
          </cell>
        </row>
        <row r="1619">
          <cell r="A1619" t="str">
            <v>PILOTO DE BUSQUEDA Y SALVAMENTO IV</v>
          </cell>
        </row>
        <row r="1620">
          <cell r="A1620" t="str">
            <v>PILOTO DE HELICOPTERO BUSQUD. Y SALV.III</v>
          </cell>
        </row>
        <row r="1621">
          <cell r="A1621" t="str">
            <v>PILOTO DE HELICOPTERO BUSQUEDA Y SALV II</v>
          </cell>
        </row>
        <row r="1622">
          <cell r="A1622" t="str">
            <v>PILOTO DE HELICOPTERO DE BUSQUEDA Y SALV</v>
          </cell>
        </row>
        <row r="1623">
          <cell r="A1623" t="str">
            <v>PILOTO INSPECTOR DE VUELO I</v>
          </cell>
        </row>
        <row r="1624">
          <cell r="A1624" t="str">
            <v>PILOTO INSPECTOR DE VUELO II</v>
          </cell>
        </row>
        <row r="1625">
          <cell r="A1625" t="str">
            <v>PILOTO INSTRUCTOR DE VUELO II</v>
          </cell>
        </row>
        <row r="1626">
          <cell r="A1626" t="str">
            <v>PILOTO INSTRUCTOR DE VUELO III</v>
          </cell>
        </row>
        <row r="1627">
          <cell r="A1627" t="str">
            <v>PILOTO INSTRUCTOR DE VUELO JEFE</v>
          </cell>
        </row>
        <row r="1628">
          <cell r="A1628" t="str">
            <v>PILOTO JEFE</v>
          </cell>
        </row>
        <row r="1629">
          <cell r="A1629" t="str">
            <v>PILOTO JEFE DE OPERACIONES</v>
          </cell>
        </row>
        <row r="1630">
          <cell r="A1630" t="str">
            <v>PILOTO OFICIAL DE LA MARINA MERCANTE</v>
          </cell>
        </row>
        <row r="1631">
          <cell r="A1631" t="str">
            <v>PLANIFICADOR CENTRAL EN FORMACION</v>
          </cell>
        </row>
        <row r="1632">
          <cell r="A1632" t="str">
            <v>PLANIFICADOR CENTRAL I</v>
          </cell>
        </row>
        <row r="1633">
          <cell r="A1633" t="str">
            <v>PLANIFICADOR CENTRAL II</v>
          </cell>
        </row>
        <row r="1634">
          <cell r="A1634" t="str">
            <v>PLANIFICADOR CENTRAL III</v>
          </cell>
        </row>
        <row r="1635">
          <cell r="A1635" t="str">
            <v>PLANIFICADOR CENTRAL IV</v>
          </cell>
        </row>
        <row r="1636">
          <cell r="A1636" t="str">
            <v>PLANIFICADOR CENTRAL JEFE</v>
          </cell>
        </row>
        <row r="1637">
          <cell r="A1637" t="str">
            <v>PLANIFICADOR I</v>
          </cell>
        </row>
        <row r="1638">
          <cell r="A1638" t="str">
            <v>PLANIFICADOR II</v>
          </cell>
        </row>
        <row r="1639">
          <cell r="A1639" t="str">
            <v>PLANIFICADOR III</v>
          </cell>
        </row>
        <row r="1640">
          <cell r="A1640" t="str">
            <v>PLANIFICADOR IV</v>
          </cell>
        </row>
        <row r="1641">
          <cell r="A1641" t="str">
            <v>PLANIFICADOR JEFE</v>
          </cell>
        </row>
        <row r="1642">
          <cell r="A1642" t="str">
            <v>PLANIFICADOR V</v>
          </cell>
        </row>
        <row r="1643">
          <cell r="A1643" t="str">
            <v>PRECEPTOR</v>
          </cell>
        </row>
        <row r="1644">
          <cell r="A1644" t="str">
            <v>PREFECTO DE MUNICIPIO</v>
          </cell>
        </row>
        <row r="1645">
          <cell r="A1645" t="str">
            <v>PREFECTO DE PARROQUIA</v>
          </cell>
        </row>
        <row r="1646">
          <cell r="A1646" t="str">
            <v>PRESIDENTE</v>
          </cell>
        </row>
        <row r="1647">
          <cell r="A1647" t="str">
            <v>PRIMER OFICIAL DE JET I</v>
          </cell>
        </row>
        <row r="1648">
          <cell r="A1648" t="str">
            <v>PRIMER OFICIAL DE JET II</v>
          </cell>
        </row>
        <row r="1649">
          <cell r="A1649" t="str">
            <v>PRIMER OFICIAL DE TURBO</v>
          </cell>
        </row>
        <row r="1650">
          <cell r="A1650" t="str">
            <v>PROCURADOR DE TRABAJADORES</v>
          </cell>
        </row>
        <row r="1651">
          <cell r="A1651" t="str">
            <v>PRODUCTOR DE RADIO</v>
          </cell>
        </row>
        <row r="1652">
          <cell r="A1652" t="str">
            <v>PROF DE CUATRO</v>
          </cell>
        </row>
        <row r="1653">
          <cell r="A1653" t="str">
            <v>PROF. ARMONIA COMPLEMENTARIA</v>
          </cell>
        </row>
        <row r="1654">
          <cell r="A1654" t="str">
            <v>PROF. BALLET Y DANZAS</v>
          </cell>
        </row>
        <row r="1655">
          <cell r="A1655" t="str">
            <v>PROF. CERAMICA N.G.</v>
          </cell>
        </row>
        <row r="1656">
          <cell r="A1656" t="str">
            <v>PROF. CLARINETE II  77</v>
          </cell>
        </row>
        <row r="1657">
          <cell r="A1657" t="str">
            <v>PROF. CLARINETE N.G.</v>
          </cell>
        </row>
        <row r="1658">
          <cell r="A1658" t="str">
            <v>PROF. CLARINETE VI</v>
          </cell>
        </row>
        <row r="1659">
          <cell r="A1659" t="str">
            <v>PROF. CORNO I</v>
          </cell>
        </row>
        <row r="1660">
          <cell r="A1660" t="str">
            <v>PROF. CORTE Y CONF. 77  IV</v>
          </cell>
        </row>
        <row r="1661">
          <cell r="A1661" t="str">
            <v>PROF. DE PIANO  IV  139</v>
          </cell>
        </row>
        <row r="1662">
          <cell r="A1662" t="str">
            <v>PROF. DE PIANO III  77</v>
          </cell>
        </row>
        <row r="1663">
          <cell r="A1663" t="str">
            <v>PROF. DIB. Y DEC. G.III 77</v>
          </cell>
        </row>
        <row r="1664">
          <cell r="A1664" t="str">
            <v>PROF. DIBUJO Y DEC. VI 77</v>
          </cell>
        </row>
        <row r="1665">
          <cell r="A1665" t="str">
            <v>PROF. ESCULTURA N.G.</v>
          </cell>
        </row>
        <row r="1666">
          <cell r="A1666" t="str">
            <v>PROF. FLAUTA</v>
          </cell>
        </row>
        <row r="1667">
          <cell r="A1667" t="str">
            <v>PROF. FORMACION CORAL</v>
          </cell>
        </row>
        <row r="1668">
          <cell r="A1668" t="str">
            <v>PROF. FOTOGRAFIA  VI  139</v>
          </cell>
        </row>
        <row r="1669">
          <cell r="A1669" t="str">
            <v>PROF. GUITARRA VI 139</v>
          </cell>
        </row>
        <row r="1670">
          <cell r="A1670" t="str">
            <v>PROF. HIST. MUSICA VI  139</v>
          </cell>
        </row>
        <row r="1671">
          <cell r="A1671" t="str">
            <v>PROF. HISTORIA DEL A.IV 77</v>
          </cell>
        </row>
        <row r="1672">
          <cell r="A1672" t="str">
            <v>PROF. HISTORIA DEL A.VI 77</v>
          </cell>
        </row>
        <row r="1673">
          <cell r="A1673" t="str">
            <v>PROF. HISTORIA EST.III 77</v>
          </cell>
        </row>
        <row r="1674">
          <cell r="A1674" t="str">
            <v>PROF. HISTORIA ESTETICA</v>
          </cell>
        </row>
        <row r="1675">
          <cell r="A1675" t="str">
            <v>PROF. HORAS DE BASICA(2746HRAS)</v>
          </cell>
        </row>
        <row r="1676">
          <cell r="A1676" t="str">
            <v>PROF. HORAS EDUC MEDIA(1373 HRAS)</v>
          </cell>
        </row>
        <row r="1677">
          <cell r="A1677" t="str">
            <v>PROF. KINDER MUSICAL N.G.</v>
          </cell>
        </row>
        <row r="1678">
          <cell r="A1678" t="str">
            <v>PROF. KINDER MUSICAL VI 77</v>
          </cell>
        </row>
        <row r="1679">
          <cell r="A1679" t="str">
            <v>PROF. LANG. PLASTICO I 77</v>
          </cell>
        </row>
        <row r="1680">
          <cell r="A1680" t="str">
            <v>PROF. MANUALIDADES 77 II</v>
          </cell>
        </row>
        <row r="1681">
          <cell r="A1681" t="str">
            <v>PROF. MANUALIDADES III 77</v>
          </cell>
        </row>
        <row r="1682">
          <cell r="A1682" t="str">
            <v>PROF. MUSICA POP. VI   77</v>
          </cell>
        </row>
        <row r="1683">
          <cell r="A1683" t="str">
            <v>PROF. OBOE</v>
          </cell>
        </row>
        <row r="1684">
          <cell r="A1684" t="str">
            <v>PROF. PIANO COMPLEMENTARIO</v>
          </cell>
        </row>
        <row r="1685">
          <cell r="A1685" t="str">
            <v>PROF. PIANO PRINCIPAL III 77</v>
          </cell>
        </row>
        <row r="1686">
          <cell r="A1686" t="str">
            <v>PROF. PINTURA INFAN. V 77</v>
          </cell>
        </row>
        <row r="1687">
          <cell r="A1687" t="str">
            <v>PROF. PINTURA Y DIBUJO</v>
          </cell>
        </row>
        <row r="1688">
          <cell r="A1688" t="str">
            <v>PROF. RECURSOS AUDIO N.G</v>
          </cell>
        </row>
        <row r="1689">
          <cell r="A1689" t="str">
            <v>PROF. TEORIA Y SOLFEO</v>
          </cell>
        </row>
        <row r="1690">
          <cell r="A1690" t="str">
            <v>PROF. TROMPETA N.G.</v>
          </cell>
        </row>
        <row r="1691">
          <cell r="A1691" t="str">
            <v>PROF. VIOLA III 77</v>
          </cell>
        </row>
        <row r="1692">
          <cell r="A1692" t="str">
            <v>PROF. VIOLIN III 77</v>
          </cell>
        </row>
        <row r="1693">
          <cell r="A1693" t="str">
            <v>PROF. VIOLONCELLO III 77</v>
          </cell>
        </row>
        <row r="1694">
          <cell r="A1694" t="str">
            <v>PROF.CERAMICA ARTISTICA N.G.</v>
          </cell>
        </row>
        <row r="1695">
          <cell r="A1695" t="str">
            <v>PROF.TEATRO N.G.</v>
          </cell>
        </row>
        <row r="1696">
          <cell r="A1696" t="str">
            <v>PROFESOR DE CONTRABAJO</v>
          </cell>
        </row>
        <row r="1697">
          <cell r="A1697" t="str">
            <v>PROFESOR DE ESCULTURA Y ARTES GRAFICAS Y DOCENTE AULA MEDIA PROFESIONAL NG</v>
          </cell>
        </row>
        <row r="1698">
          <cell r="A1698" t="str">
            <v>PROFESOR DE MANUALIDADES</v>
          </cell>
        </row>
        <row r="1699">
          <cell r="A1699" t="str">
            <v>PROFESOR DE MUSICA</v>
          </cell>
        </row>
        <row r="1700">
          <cell r="A1700" t="str">
            <v>PROFESOR DE VIOLA N.G.</v>
          </cell>
        </row>
        <row r="1701">
          <cell r="A1701" t="str">
            <v>PROFESOR DE VIOLIN N.G.</v>
          </cell>
        </row>
        <row r="1702">
          <cell r="A1702" t="str">
            <v>PROFESOR I TID</v>
          </cell>
        </row>
        <row r="1703">
          <cell r="A1703" t="str">
            <v>PROFESOR POR HORA (24 HORAS)</v>
          </cell>
        </row>
        <row r="1704">
          <cell r="A1704" t="str">
            <v>PROFESOR(A) DE CORTE Y CONFECCIÓN</v>
          </cell>
        </row>
        <row r="1705">
          <cell r="A1705" t="str">
            <v>PROFESORA DE CORTE Y COSTURA Y DIRECTORA DE LA ESCUELA ANDRES ELOY BLANCO</v>
          </cell>
        </row>
        <row r="1706">
          <cell r="A1706" t="str">
            <v>PROFESORA DE MECANOGRAFIA</v>
          </cell>
        </row>
        <row r="1707">
          <cell r="A1707" t="str">
            <v>PROFESORA DE PINTURA INFANTIL, PROFESORA DE EDUCACION ARTISTICA Y COORDINADORA DOCENTE.</v>
          </cell>
        </row>
        <row r="1708">
          <cell r="A1708" t="str">
            <v>PROFESORA DE PINTURA Y DIBUJO (06 HORAS) Y DOCENTE IV COORDINADOR (24 HORAS)</v>
          </cell>
        </row>
        <row r="1709">
          <cell r="A1709" t="str">
            <v>PROFESORA NOCTURNA (NACIONAL) Y COORDINADORA DOCENTE VI</v>
          </cell>
        </row>
        <row r="1710">
          <cell r="A1710" t="str">
            <v>PROGRAMADOR DE FORMACION PROFES. JEFE</v>
          </cell>
        </row>
        <row r="1711">
          <cell r="A1711" t="str">
            <v>PROGRAMADOR DE FORMACION PROFESIONAL</v>
          </cell>
        </row>
        <row r="1712">
          <cell r="A1712" t="str">
            <v>PROGRAMADOR I</v>
          </cell>
        </row>
        <row r="1713">
          <cell r="A1713" t="str">
            <v>PROGRAMADOR II</v>
          </cell>
        </row>
        <row r="1714">
          <cell r="A1714" t="str">
            <v>PROGRAMADOR III</v>
          </cell>
        </row>
        <row r="1715">
          <cell r="A1715" t="str">
            <v>PROGRAMADOR IV</v>
          </cell>
        </row>
        <row r="1716">
          <cell r="A1716" t="str">
            <v>PROGRAMADOR V</v>
          </cell>
        </row>
        <row r="1717">
          <cell r="A1717" t="str">
            <v>PROMOTOR  SOCIAL I</v>
          </cell>
        </row>
        <row r="1718">
          <cell r="A1718" t="str">
            <v>PROMOTOR CULTURAL I</v>
          </cell>
        </row>
        <row r="1719">
          <cell r="A1719" t="str">
            <v>PROMOTOR CULTURAL II</v>
          </cell>
        </row>
        <row r="1720">
          <cell r="A1720" t="str">
            <v>PROMOTOR DE BIENESTAR SOCIAL</v>
          </cell>
        </row>
        <row r="1721">
          <cell r="A1721" t="str">
            <v>PROMOTOR DE CURSOS</v>
          </cell>
        </row>
        <row r="1722">
          <cell r="A1722" t="str">
            <v>PROMOTOR DE EXPORTACIONES I</v>
          </cell>
        </row>
        <row r="1723">
          <cell r="A1723" t="str">
            <v>PROMOTOR DE EXPORTACIONES II</v>
          </cell>
        </row>
        <row r="1724">
          <cell r="A1724" t="str">
            <v>PROMOTOR DE EXPORTACIONES III</v>
          </cell>
        </row>
        <row r="1725">
          <cell r="A1725" t="str">
            <v>PROMOTOR DE EXPORTACIONES JEFE</v>
          </cell>
        </row>
        <row r="1726">
          <cell r="A1726" t="str">
            <v>PROMOTOR DEPORTIVO</v>
          </cell>
        </row>
        <row r="1727">
          <cell r="A1727" t="str">
            <v>PROMOTOR RURAL</v>
          </cell>
        </row>
        <row r="1728">
          <cell r="A1728" t="str">
            <v>PROMOTOR TURISTICO I</v>
          </cell>
        </row>
        <row r="1729">
          <cell r="A1729" t="str">
            <v>PROMOTOR TURISTICO II</v>
          </cell>
        </row>
        <row r="1730">
          <cell r="A1730" t="str">
            <v>PROMOTOR TURISTICO III</v>
          </cell>
        </row>
        <row r="1731">
          <cell r="A1731" t="str">
            <v>PROMOTOR TURISTICO IV</v>
          </cell>
        </row>
        <row r="1732">
          <cell r="A1732" t="str">
            <v>PROMOTOR TURISTICO JEFE</v>
          </cell>
        </row>
        <row r="1733">
          <cell r="A1733" t="str">
            <v>PROYECTISTA DE PABELLON DE FERIAS</v>
          </cell>
        </row>
        <row r="1734">
          <cell r="A1734" t="str">
            <v>PSICOLOGO I</v>
          </cell>
        </row>
        <row r="1735">
          <cell r="A1735" t="str">
            <v>PSICOLOGO II</v>
          </cell>
        </row>
        <row r="1736">
          <cell r="A1736" t="str">
            <v>PSICOLOGO III</v>
          </cell>
        </row>
        <row r="1737">
          <cell r="A1737" t="str">
            <v>PSICOLOGO JEFE</v>
          </cell>
        </row>
        <row r="1738">
          <cell r="A1738" t="str">
            <v>PSICOPEDAGOGO</v>
          </cell>
        </row>
        <row r="1739">
          <cell r="A1739" t="str">
            <v>PUERICULTORA</v>
          </cell>
        </row>
        <row r="1740">
          <cell r="A1740" t="str">
            <v>QUIMICO I</v>
          </cell>
        </row>
        <row r="1741">
          <cell r="A1741" t="str">
            <v>QUIMICO II</v>
          </cell>
        </row>
        <row r="1742">
          <cell r="A1742" t="str">
            <v>QUIMICO III</v>
          </cell>
        </row>
        <row r="1743">
          <cell r="A1743" t="str">
            <v>QUIMICO JEFE I</v>
          </cell>
        </row>
        <row r="1744">
          <cell r="A1744" t="str">
            <v>QUIMICO JEFE II</v>
          </cell>
        </row>
        <row r="1745">
          <cell r="A1745" t="str">
            <v>RADIO OPERADOR DE CRIPTOGRAFO I</v>
          </cell>
        </row>
        <row r="1746">
          <cell r="A1746" t="str">
            <v>RADIO OPERADOR DE CRIPTOGRAFO II</v>
          </cell>
        </row>
        <row r="1747">
          <cell r="A1747" t="str">
            <v>RADIO OPERADOR DE CRIPTOGRAFO JEFE</v>
          </cell>
        </row>
        <row r="1748">
          <cell r="A1748" t="str">
            <v>RADIOTELEFONISTA</v>
          </cell>
        </row>
        <row r="1749">
          <cell r="A1749" t="str">
            <v>RECEPCIONISTA</v>
          </cell>
        </row>
        <row r="1750">
          <cell r="A1750" t="str">
            <v>REDOBLANTE 1</v>
          </cell>
        </row>
        <row r="1751">
          <cell r="A1751" t="str">
            <v>REGISTRADOR DE BIENES Y MATERIAS I</v>
          </cell>
        </row>
        <row r="1752">
          <cell r="A1752" t="str">
            <v>REGISTRADOR DE BIENES Y MATERIAS II</v>
          </cell>
        </row>
        <row r="1753">
          <cell r="A1753" t="str">
            <v>REGISTRADOR DE BIENES Y MATERIAS III</v>
          </cell>
        </row>
        <row r="1754">
          <cell r="A1754" t="str">
            <v>REGISTRADOR DE BIENES Y MATERIAS IV</v>
          </cell>
        </row>
        <row r="1755">
          <cell r="A1755" t="str">
            <v>REGISTRADOR DE BIENES Y MATERIAS V</v>
          </cell>
        </row>
        <row r="1756">
          <cell r="A1756" t="str">
            <v>REGISTRADOR DE MUSEO</v>
          </cell>
        </row>
        <row r="1757">
          <cell r="A1757" t="str">
            <v>RESTAURADOR I</v>
          </cell>
        </row>
        <row r="1758">
          <cell r="A1758" t="str">
            <v>RESTAURADOR II</v>
          </cell>
        </row>
        <row r="1759">
          <cell r="A1759" t="str">
            <v>RESTAURADOR III</v>
          </cell>
        </row>
        <row r="1760">
          <cell r="A1760" t="str">
            <v>RESTAURADOR JEFE</v>
          </cell>
        </row>
        <row r="1761">
          <cell r="A1761" t="str">
            <v>REVISOR DE CONTRALORIA I</v>
          </cell>
        </row>
        <row r="1762">
          <cell r="A1762" t="str">
            <v>REVISOR DE CONTRALORIA II</v>
          </cell>
        </row>
        <row r="1763">
          <cell r="A1763" t="str">
            <v>REVISOR DE CONTRALORIA III</v>
          </cell>
        </row>
        <row r="1764">
          <cell r="A1764" t="str">
            <v>REVISOR DE CONTRALORIA IV</v>
          </cell>
        </row>
        <row r="1765">
          <cell r="A1765" t="str">
            <v>REVISOR DE CONTRALORIA V</v>
          </cell>
        </row>
        <row r="1766">
          <cell r="A1766" t="str">
            <v>SARGENTO 1RA</v>
          </cell>
        </row>
        <row r="1767">
          <cell r="A1767" t="str">
            <v>SARGENTO 1RO (BOMBERO)</v>
          </cell>
        </row>
        <row r="1768">
          <cell r="A1768" t="str">
            <v>SARGENTO 2DA</v>
          </cell>
        </row>
        <row r="1769">
          <cell r="A1769" t="str">
            <v>SARGENTO 2DO (BOMBERO)</v>
          </cell>
        </row>
        <row r="1770">
          <cell r="A1770" t="str">
            <v>SARGENTO AYUDANTE (BOMBERO)</v>
          </cell>
        </row>
        <row r="1771">
          <cell r="A1771" t="str">
            <v>SARGENTO MAYOR</v>
          </cell>
        </row>
        <row r="1772">
          <cell r="A1772" t="str">
            <v>SAXO ALTO 1</v>
          </cell>
        </row>
        <row r="1773">
          <cell r="A1773" t="str">
            <v>SAXO ALTO 2</v>
          </cell>
        </row>
        <row r="1774">
          <cell r="A1774" t="str">
            <v>SAXO TENOR</v>
          </cell>
        </row>
        <row r="1775">
          <cell r="A1775" t="str">
            <v>SAXO-BARITONO</v>
          </cell>
        </row>
        <row r="1776">
          <cell r="A1776" t="str">
            <v>SECRETARIA EJECUTIVA [SUB DIRECTORA]</v>
          </cell>
        </row>
        <row r="1777">
          <cell r="A1777" t="str">
            <v>SECRETARIA GRAL. ENCARGADA</v>
          </cell>
        </row>
        <row r="1778">
          <cell r="A1778" t="str">
            <v>SECRETARIO (A) PRIVADO (A)</v>
          </cell>
        </row>
        <row r="1779">
          <cell r="A1779" t="str">
            <v>SECRETARIO BILINGUE I</v>
          </cell>
        </row>
        <row r="1780">
          <cell r="A1780" t="str">
            <v>SECRETARIO BILINGUE II</v>
          </cell>
        </row>
        <row r="1781">
          <cell r="A1781" t="str">
            <v>SECRETARIO DE DESPACHO</v>
          </cell>
        </row>
        <row r="1782">
          <cell r="A1782" t="str">
            <v>SECRETARIO EJECUTIVO DEL COMITE SUPERIOR DEL G.E.P.D.T</v>
          </cell>
        </row>
        <row r="1783">
          <cell r="A1783" t="str">
            <v>SECRETARIO EJECUTIVO I</v>
          </cell>
        </row>
        <row r="1784">
          <cell r="A1784" t="str">
            <v>SECRETARIO EJECUTIVO II</v>
          </cell>
        </row>
        <row r="1785">
          <cell r="A1785" t="str">
            <v>SECRETARIO EJECUTIVO III</v>
          </cell>
        </row>
        <row r="1786">
          <cell r="A1786" t="str">
            <v>SECRETARIO GRAL .DE GOBIERNO</v>
          </cell>
        </row>
        <row r="1787">
          <cell r="A1787" t="str">
            <v>SECRETARIO I</v>
          </cell>
        </row>
        <row r="1788">
          <cell r="A1788" t="str">
            <v>SECRETARIO II</v>
          </cell>
        </row>
        <row r="1789">
          <cell r="A1789" t="str">
            <v>SECRETARIO III</v>
          </cell>
        </row>
        <row r="1790">
          <cell r="A1790" t="str">
            <v>SECRETARIO(A) DE DESPACHO</v>
          </cell>
        </row>
        <row r="1791">
          <cell r="A1791" t="str">
            <v>SIN CARGO</v>
          </cell>
        </row>
        <row r="1792">
          <cell r="A1792" t="str">
            <v>SOCIOLOG JEFE</v>
          </cell>
        </row>
        <row r="1793">
          <cell r="A1793" t="str">
            <v>SOCIOLOGO I</v>
          </cell>
        </row>
        <row r="1794">
          <cell r="A1794" t="str">
            <v>SOCIOLOGO II</v>
          </cell>
        </row>
        <row r="1795">
          <cell r="A1795" t="str">
            <v>SOCIOLOGO III</v>
          </cell>
        </row>
        <row r="1796">
          <cell r="A1796" t="str">
            <v>SOLISTA</v>
          </cell>
        </row>
        <row r="1797">
          <cell r="A1797" t="str">
            <v>SOPLADOR DE VIDRIO I</v>
          </cell>
        </row>
        <row r="1798">
          <cell r="A1798" t="str">
            <v>SOPLADOR DE VIDRIO II</v>
          </cell>
        </row>
        <row r="1799">
          <cell r="A1799" t="str">
            <v>SOPLADOR DE VIDRIO JEFE</v>
          </cell>
        </row>
        <row r="1800">
          <cell r="A1800" t="str">
            <v>SUB COMISARIO</v>
          </cell>
        </row>
        <row r="1801">
          <cell r="A1801" t="str">
            <v>SUB DIRECTOR DE ORQUESTA</v>
          </cell>
        </row>
        <row r="1802">
          <cell r="A1802" t="str">
            <v>SUB DIRECTOR N.G.</v>
          </cell>
        </row>
        <row r="1803">
          <cell r="A1803" t="str">
            <v>SUB DIRECTOR VI 139</v>
          </cell>
        </row>
        <row r="1804">
          <cell r="A1804" t="str">
            <v>SUB DIRECTOR Y PROFESOR DE MANUALIDADES</v>
          </cell>
        </row>
        <row r="1805">
          <cell r="A1805" t="str">
            <v>SUB DIRECTORA (36 HORAS) Y DIRECTORA (20 HORAS)</v>
          </cell>
        </row>
        <row r="1806">
          <cell r="A1806" t="str">
            <v>SUB INSPECTOR</v>
          </cell>
        </row>
        <row r="1807">
          <cell r="A1807" t="str">
            <v>SUB INSPECTOR GENERAL DE HACIENDA</v>
          </cell>
        </row>
        <row r="1808">
          <cell r="A1808" t="str">
            <v>SUBDIR. (36 HORAS) PROF. DE PIANO Y KINDER MUSICAL (26 HORAS)</v>
          </cell>
        </row>
        <row r="1809">
          <cell r="A1809" t="str">
            <v>SUB-DIRECTOR</v>
          </cell>
        </row>
        <row r="1810">
          <cell r="A1810" t="str">
            <v>SUB-DIRECTOR (35 HORAS)  NG Y CLARINETE</v>
          </cell>
        </row>
        <row r="1811">
          <cell r="A1811" t="str">
            <v>SUB-DIRECTOR Y MAESTRO TCVDNMA</v>
          </cell>
        </row>
        <row r="1812">
          <cell r="A1812" t="str">
            <v>SUBTENIENTE (BOMBERO)</v>
          </cell>
        </row>
        <row r="1813">
          <cell r="A1813" t="str">
            <v>SUPERVISOR</v>
          </cell>
        </row>
        <row r="1814">
          <cell r="A1814" t="str">
            <v>SUPERVISOR (GRADO 0)</v>
          </cell>
        </row>
        <row r="1815">
          <cell r="A1815" t="str">
            <v>SUPERVISOR (GRADO 1)</v>
          </cell>
        </row>
        <row r="1816">
          <cell r="A1816" t="str">
            <v>SUPERVISOR (GRADO 2)</v>
          </cell>
        </row>
        <row r="1817">
          <cell r="A1817" t="str">
            <v>SUPERVISOR AGREGADO</v>
          </cell>
        </row>
        <row r="1818">
          <cell r="A1818" t="str">
            <v>SUPERVISOR AGREGADO (GRADO 0)</v>
          </cell>
        </row>
        <row r="1819">
          <cell r="A1819" t="str">
            <v>SUPERVISOR AGREGADO (GRADO 1)</v>
          </cell>
        </row>
        <row r="1820">
          <cell r="A1820" t="str">
            <v>SUPERVISOR AGREGADO (GRADO 2)</v>
          </cell>
        </row>
        <row r="1821">
          <cell r="A1821" t="str">
            <v>SUPERVISOR ALFABETIZACION Y EDUC BAS III</v>
          </cell>
        </row>
        <row r="1822">
          <cell r="A1822" t="str">
            <v>SUPERVISOR ALFABETIZACION Y EDUC BAS. I</v>
          </cell>
        </row>
        <row r="1823">
          <cell r="A1823" t="str">
            <v>SUPERVISOR ALFABETIZACION Y EDUC.BAS II</v>
          </cell>
        </row>
        <row r="1824">
          <cell r="A1824" t="str">
            <v>SUPERVISOR AUTOGRAFISTA</v>
          </cell>
        </row>
        <row r="1825">
          <cell r="A1825" t="str">
            <v>SUPERVISOR DE ALMACEN</v>
          </cell>
        </row>
        <row r="1826">
          <cell r="A1826" t="str">
            <v>SUPERVISOR DE APRENDIZAJE I</v>
          </cell>
        </row>
        <row r="1827">
          <cell r="A1827" t="str">
            <v>SUPERVISOR DE APRENDIZAJE II</v>
          </cell>
        </row>
        <row r="1828">
          <cell r="A1828" t="str">
            <v>SUPERVISOR DE APRENDIZAJE III</v>
          </cell>
        </row>
        <row r="1829">
          <cell r="A1829" t="str">
            <v>SUPERVISOR DE APRENDIZAJE IV</v>
          </cell>
        </row>
        <row r="1830">
          <cell r="A1830" t="str">
            <v>SUPERVISOR DE ASTILLEROS I</v>
          </cell>
        </row>
        <row r="1831">
          <cell r="A1831" t="str">
            <v>SUPERVISOR DE ASTILLEROS II</v>
          </cell>
        </row>
        <row r="1832">
          <cell r="A1832" t="str">
            <v>SUPERVISOR DE CAPORALES</v>
          </cell>
        </row>
        <row r="1833">
          <cell r="A1833" t="str">
            <v>SUPERVISOR DE COLECTORES</v>
          </cell>
        </row>
        <row r="1834">
          <cell r="A1834" t="str">
            <v>SUPERVISOR DE CONSERVACION AUTOM. I</v>
          </cell>
        </row>
        <row r="1835">
          <cell r="A1835" t="str">
            <v>SUPERVISOR DE CONSERVACION AUTOMOTORA II</v>
          </cell>
        </row>
        <row r="1836">
          <cell r="A1836" t="str">
            <v>SUPERVISOR DE CREDITOS AGROPECUARIO II</v>
          </cell>
        </row>
        <row r="1837">
          <cell r="A1837" t="str">
            <v>SUPERVISOR DE CREDITOS AGROPECUARIOS I</v>
          </cell>
        </row>
        <row r="1838">
          <cell r="A1838" t="str">
            <v>SUPERVISOR DE CREDITOS AGROPECUARIOS III</v>
          </cell>
        </row>
        <row r="1839">
          <cell r="A1839" t="str">
            <v>SUPERVISOR DE EQUIPOS DE DRAGADO</v>
          </cell>
        </row>
        <row r="1840">
          <cell r="A1840" t="str">
            <v>SUPERVISOR DE EXTENSION I</v>
          </cell>
        </row>
        <row r="1841">
          <cell r="A1841" t="str">
            <v>SUPERVISOR DE EXTENSION II</v>
          </cell>
        </row>
        <row r="1842">
          <cell r="A1842" t="str">
            <v>SUPERVISOR DE INSPECTORES DE INMUEBLES</v>
          </cell>
        </row>
        <row r="1843">
          <cell r="A1843" t="str">
            <v>SUPERVISOR DE INSTRUCCION A DISTANCIA I</v>
          </cell>
        </row>
        <row r="1844">
          <cell r="A1844" t="str">
            <v>SUPERVISOR DE INSTRUCCION A DISTANCIA II</v>
          </cell>
        </row>
        <row r="1845">
          <cell r="A1845" t="str">
            <v>SUPERVISOR DE INSTRUCCION A DISTANCIA III</v>
          </cell>
        </row>
        <row r="1846">
          <cell r="A1846" t="str">
            <v>SUPERVISOR DE MANTENIMIENTO DE PARQUES I</v>
          </cell>
        </row>
        <row r="1847">
          <cell r="A1847" t="str">
            <v>SUPERVISOR DE MANTENIMIENTO DE PARQUES II</v>
          </cell>
        </row>
        <row r="1848">
          <cell r="A1848" t="str">
            <v>SUPERVISOR DE MANTENIMIENTO DE PARQUES III</v>
          </cell>
        </row>
        <row r="1849">
          <cell r="A1849" t="str">
            <v>SUPERVISOR DE MANTENIMIENTO DE PARQUES IV</v>
          </cell>
        </row>
        <row r="1850">
          <cell r="A1850" t="str">
            <v>SUPERVISOR DE MECANICOS AUTOMOTORES I</v>
          </cell>
        </row>
        <row r="1851">
          <cell r="A1851" t="str">
            <v>SUPERVISOR DE MECANICOS AUTOMOTORES II</v>
          </cell>
        </row>
        <row r="1852">
          <cell r="A1852" t="str">
            <v>SUPERVISOR DE OBRAS PUBLICAS</v>
          </cell>
        </row>
        <row r="1853">
          <cell r="A1853" t="str">
            <v>SUPERVISOR DE OBRAS SANITARIAS</v>
          </cell>
        </row>
        <row r="1854">
          <cell r="A1854" t="str">
            <v>SUPERVISOR DE PRODUCCION I</v>
          </cell>
        </row>
        <row r="1855">
          <cell r="A1855" t="str">
            <v>SUPERVISOR DE PRODUCCION II</v>
          </cell>
        </row>
        <row r="1856">
          <cell r="A1856" t="str">
            <v>SUPERVISOR DE PROGRAMACION</v>
          </cell>
        </row>
        <row r="1857">
          <cell r="A1857" t="str">
            <v>SUPERVISOR DE REPRODUCCION II</v>
          </cell>
        </row>
        <row r="1858">
          <cell r="A1858" t="str">
            <v>SUPERVISOR DE SERVICIOS GENERAL IV</v>
          </cell>
        </row>
        <row r="1859">
          <cell r="A1859" t="str">
            <v>SUPERVISOR DE SERVICIOS GENERALES I</v>
          </cell>
        </row>
        <row r="1860">
          <cell r="A1860" t="str">
            <v>SUPERVISOR DE SERVICIOS GENERALES II</v>
          </cell>
        </row>
        <row r="1861">
          <cell r="A1861" t="str">
            <v>SUPERVISOR DE SERVICIOS GENERALES III</v>
          </cell>
        </row>
        <row r="1862">
          <cell r="A1862" t="str">
            <v>SUPERVISOR DE TALLER DE IMPRENTA I</v>
          </cell>
        </row>
        <row r="1863">
          <cell r="A1863" t="str">
            <v>SUPERVISOR DE TALLER DE IMPRENTA II</v>
          </cell>
        </row>
        <row r="1864">
          <cell r="A1864" t="str">
            <v>SUPERVISOR DE TALLER DE IMPRENTA III</v>
          </cell>
        </row>
        <row r="1865">
          <cell r="A1865" t="str">
            <v>SUPERVISOR DE TELEFONISTA</v>
          </cell>
        </row>
        <row r="1866">
          <cell r="A1866" t="str">
            <v>SUPERVISOR DOCENTE</v>
          </cell>
        </row>
        <row r="1867">
          <cell r="A1867" t="str">
            <v>SUPERVISOR DOCENTE JEFE</v>
          </cell>
        </row>
        <row r="1868">
          <cell r="A1868" t="str">
            <v>SUPERVISOR FISCAL DE COTIZACIONES</v>
          </cell>
        </row>
        <row r="1869">
          <cell r="A1869" t="str">
            <v>SUPERVISOR FISCAL JEFE</v>
          </cell>
        </row>
        <row r="1870">
          <cell r="A1870" t="str">
            <v>SUPERVISOR I</v>
          </cell>
        </row>
        <row r="1871">
          <cell r="A1871" t="str">
            <v>SUPERVISOR I (171)</v>
          </cell>
        </row>
        <row r="1872">
          <cell r="A1872" t="str">
            <v>SUPERVISOR II Y MAESTRO PH GR NOCTURNO</v>
          </cell>
        </row>
        <row r="1873">
          <cell r="A1873" t="str">
            <v>SUPERVISOR JEFE</v>
          </cell>
        </row>
        <row r="1874">
          <cell r="A1874" t="str">
            <v>SUPERVISOR JEFE (GRADO 0)</v>
          </cell>
        </row>
        <row r="1875">
          <cell r="A1875" t="str">
            <v>SUPERVISOR JEFE (GRADO 1)</v>
          </cell>
        </row>
        <row r="1876">
          <cell r="A1876" t="str">
            <v>SUPERVISOR JEFE (GRADO 2)</v>
          </cell>
        </row>
        <row r="1877">
          <cell r="A1877" t="str">
            <v>SUPERVISOR OPERADOR EQUIPOS DE COMPUTACION</v>
          </cell>
        </row>
        <row r="1878">
          <cell r="A1878" t="str">
            <v>SUPERVISORA III</v>
          </cell>
        </row>
        <row r="1879">
          <cell r="A1879" t="str">
            <v>TAXIDERMISTA</v>
          </cell>
        </row>
        <row r="1880">
          <cell r="A1880" t="str">
            <v>TEC EN RADIOCOMUNICACIONES AERON. JEFE</v>
          </cell>
        </row>
        <row r="1881">
          <cell r="A1881" t="str">
            <v>TEC. EN DOTACION DE EQUIPOS DE HOSPITAL</v>
          </cell>
        </row>
        <row r="1882">
          <cell r="A1882" t="str">
            <v>TEC. EN FABRICACION DE CUCHILLAS DE DIAM</v>
          </cell>
        </row>
        <row r="1883">
          <cell r="A1883" t="str">
            <v>TEC. EN RADIOCOMUNICACIONES AER.JEFE II</v>
          </cell>
        </row>
        <row r="1884">
          <cell r="A1884" t="str">
            <v>TEC. EN RADIOCOMUNICACIONES AERON. I</v>
          </cell>
        </row>
        <row r="1885">
          <cell r="A1885" t="str">
            <v>TEC. EN RADIOCOMUNICACIONES AERONA. II</v>
          </cell>
        </row>
        <row r="1886">
          <cell r="A1886" t="str">
            <v>TEC. EN RADIOCOMUNICACIONES AERONAU. IV</v>
          </cell>
        </row>
        <row r="1887">
          <cell r="A1887" t="str">
            <v>TEC. EN RADIOCOMUNICACIONES AERONAU. V</v>
          </cell>
        </row>
        <row r="1888">
          <cell r="A1888" t="str">
            <v>TEC. EN RADIOCOMUNICACIONES AERONAU. VI</v>
          </cell>
        </row>
        <row r="1889">
          <cell r="A1889" t="str">
            <v>TEC. EN RADIOCOMUNICAICONES AERONA. III</v>
          </cell>
        </row>
        <row r="1890">
          <cell r="A1890" t="str">
            <v>TEC. FABRICACION CUCHILLA DIAMANTE IV</v>
          </cell>
        </row>
        <row r="1891">
          <cell r="A1891" t="str">
            <v>TEC. FABRICACION CUCHILLAS DIAMANTES II</v>
          </cell>
        </row>
        <row r="1892">
          <cell r="A1892" t="str">
            <v>TEC. FABRICACION CUCHILLAS DIAMANTES III</v>
          </cell>
        </row>
        <row r="1893">
          <cell r="A1893" t="str">
            <v>TECNICO AERNAUTICO II</v>
          </cell>
        </row>
        <row r="1894">
          <cell r="A1894" t="str">
            <v>TECNICO AERONAUTICO I</v>
          </cell>
        </row>
        <row r="1895">
          <cell r="A1895" t="str">
            <v>TECNICO AERONAUTICO JEFE</v>
          </cell>
        </row>
        <row r="1896">
          <cell r="A1896" t="str">
            <v>TECNICO AGROPECUARIO I</v>
          </cell>
        </row>
        <row r="1897">
          <cell r="A1897" t="str">
            <v>TECNICO AGROPECUARIO II</v>
          </cell>
        </row>
        <row r="1898">
          <cell r="A1898" t="str">
            <v>TECNICO AGROPECUARIO III</v>
          </cell>
        </row>
        <row r="1899">
          <cell r="A1899" t="str">
            <v>TECNICO AGROPECUARIO IV</v>
          </cell>
        </row>
        <row r="1900">
          <cell r="A1900" t="str">
            <v>TECNICO AGROPECUARIO JEFE</v>
          </cell>
        </row>
        <row r="1901">
          <cell r="A1901" t="str">
            <v>TECNICO ARANCELARIO I</v>
          </cell>
        </row>
        <row r="1902">
          <cell r="A1902" t="str">
            <v>TECNICO ARANCELARIO JEFE</v>
          </cell>
        </row>
        <row r="1903">
          <cell r="A1903" t="str">
            <v>TECNICO ARANGELARIO II</v>
          </cell>
        </row>
        <row r="1904">
          <cell r="A1904" t="str">
            <v>TECNICO DE ASTILLEROS</v>
          </cell>
        </row>
        <row r="1905">
          <cell r="A1905" t="str">
            <v>TECNICO DE BALIZAMIENTO</v>
          </cell>
        </row>
        <row r="1906">
          <cell r="A1906" t="str">
            <v>TECNICO DE BALIZAMIENTO JEFE</v>
          </cell>
        </row>
        <row r="1907">
          <cell r="A1907" t="str">
            <v>TECNICO DE EQUIPOS MEDICOS I</v>
          </cell>
        </row>
        <row r="1908">
          <cell r="A1908" t="str">
            <v>TECNICO DE EQUIPOS MEDICOS II</v>
          </cell>
        </row>
        <row r="1909">
          <cell r="A1909" t="str">
            <v>TECNICO DE EQUIPOS MEDICOS III</v>
          </cell>
        </row>
        <row r="1910">
          <cell r="A1910" t="str">
            <v>TECNICO DE IDENTIDICACION I</v>
          </cell>
        </row>
        <row r="1911">
          <cell r="A1911" t="str">
            <v>TECNICO DE IDENTIFICACION II</v>
          </cell>
        </row>
        <row r="1912">
          <cell r="A1912" t="str">
            <v>TECNICO DE IDENTIFICACION III</v>
          </cell>
        </row>
        <row r="1913">
          <cell r="A1913" t="str">
            <v>TECNICO DE REGISTRO Y EST. DE SALUD I</v>
          </cell>
        </row>
        <row r="1914">
          <cell r="A1914" t="str">
            <v>TECNICO DE REGISTRO Y EST. DE SALUD II</v>
          </cell>
        </row>
        <row r="1915">
          <cell r="A1915" t="str">
            <v>TECNICO DE REGISTRO Y ESTAD DE SALUD III</v>
          </cell>
        </row>
        <row r="1916">
          <cell r="A1916" t="str">
            <v>TECNICO DE REGISTRO Y ESTAD DE SALUD IV</v>
          </cell>
        </row>
        <row r="1917">
          <cell r="A1917" t="str">
            <v>TECNICO DE REPARACION Y MANTENIMIENTO I</v>
          </cell>
        </row>
        <row r="1918">
          <cell r="A1918" t="str">
            <v>TECNICO DE REPARACION Y MANTENIMIENTO II</v>
          </cell>
        </row>
        <row r="1919">
          <cell r="A1919" t="str">
            <v>TECNICO DE REPARACION Y MANTENIMIENTO III</v>
          </cell>
        </row>
        <row r="1920">
          <cell r="A1920" t="str">
            <v>TECNICO EN AGROALIMENTARIA</v>
          </cell>
        </row>
        <row r="1921">
          <cell r="A1921" t="str">
            <v>TECNICO EN DRAGADO I</v>
          </cell>
        </row>
        <row r="1922">
          <cell r="A1922" t="str">
            <v>TECNICO EN DRAGADO II</v>
          </cell>
        </row>
        <row r="1923">
          <cell r="A1923" t="str">
            <v>TECNICO EN DRAGADO III</v>
          </cell>
        </row>
        <row r="1924">
          <cell r="A1924" t="str">
            <v>TECNICO EN GEOLOGIA Y MINAS I</v>
          </cell>
        </row>
        <row r="1925">
          <cell r="A1925" t="str">
            <v>TECNICO EN GEOLOGIA Y MINAS II</v>
          </cell>
        </row>
        <row r="1926">
          <cell r="A1926" t="str">
            <v>TECNICO EN GEOLOGIA Y MINAS III</v>
          </cell>
        </row>
        <row r="1927">
          <cell r="A1927" t="str">
            <v>TECNICO EN GERONTOLOGIA</v>
          </cell>
        </row>
        <row r="1928">
          <cell r="A1928" t="str">
            <v>TECNICO EN INFORMACION AERONAUTICA I</v>
          </cell>
        </row>
        <row r="1929">
          <cell r="A1929" t="str">
            <v>TECNICO EN INFORMACION AERONAUTICA II</v>
          </cell>
        </row>
        <row r="1930">
          <cell r="A1930" t="str">
            <v>TECNICO EN INFORMACION AERONAUTICA III</v>
          </cell>
        </row>
        <row r="1931">
          <cell r="A1931" t="str">
            <v>TECNICO EN INFORMACION AERONAUTICA IV</v>
          </cell>
        </row>
        <row r="1932">
          <cell r="A1932" t="str">
            <v>TECNICO EN INFORMACION AERONAUTICA JEFE</v>
          </cell>
        </row>
        <row r="1933">
          <cell r="A1933" t="str">
            <v>TECNICO EN INFORMACION AERONAUTICA V</v>
          </cell>
        </row>
        <row r="1934">
          <cell r="A1934" t="str">
            <v>TECNICO EN METROLOGIA I</v>
          </cell>
        </row>
        <row r="1935">
          <cell r="A1935" t="str">
            <v>TECNICO EN METROLOGIA II</v>
          </cell>
        </row>
        <row r="1936">
          <cell r="A1936" t="str">
            <v>TECNICO EN METROLOGIA III</v>
          </cell>
        </row>
        <row r="1937">
          <cell r="A1937" t="str">
            <v>TECNICO EN ORTEIS Y/O PROTESIS</v>
          </cell>
        </row>
        <row r="1938">
          <cell r="A1938" t="str">
            <v>TECNICO EN PETROLEO I</v>
          </cell>
        </row>
        <row r="1939">
          <cell r="A1939" t="str">
            <v>TECNICO EN PETROLEO II</v>
          </cell>
        </row>
        <row r="1940">
          <cell r="A1940" t="str">
            <v>TECNICO EN PETROLEO III</v>
          </cell>
        </row>
        <row r="1941">
          <cell r="A1941" t="str">
            <v>TECNICO EN TELECOMUNICACIONES I</v>
          </cell>
        </row>
        <row r="1942">
          <cell r="A1942" t="str">
            <v>TECNICO EN TELECOMUNICACIONES II</v>
          </cell>
        </row>
        <row r="1943">
          <cell r="A1943" t="str">
            <v>TECNICO EN TELECOMUNICACIONES III</v>
          </cell>
        </row>
        <row r="1944">
          <cell r="A1944" t="str">
            <v>TECNICO EN TELECOMUNICACIONES IV</v>
          </cell>
        </row>
        <row r="1945">
          <cell r="A1945" t="str">
            <v>TECNICO EN TELECOMUNICACIONES JEFE I</v>
          </cell>
        </row>
        <row r="1946">
          <cell r="A1946" t="str">
            <v>TECNICO EN TELECOMUNICACIONES JEFE II</v>
          </cell>
        </row>
        <row r="1947">
          <cell r="A1947" t="str">
            <v>TECNICO EN TELECOMUNICACIONES JEFE III</v>
          </cell>
        </row>
        <row r="1948">
          <cell r="A1948" t="str">
            <v>TECNICO EN TELECOMUNICACIONES V</v>
          </cell>
        </row>
        <row r="1949">
          <cell r="A1949" t="str">
            <v>TECNICO EN TELECOMUNICACIONES VI</v>
          </cell>
        </row>
        <row r="1950">
          <cell r="A1950" t="str">
            <v>TECNICO HISTOLOGO</v>
          </cell>
        </row>
        <row r="1951">
          <cell r="A1951" t="str">
            <v>TECNICO NORMALIZADOR I</v>
          </cell>
        </row>
        <row r="1952">
          <cell r="A1952" t="str">
            <v>TECNICO NORMALIZADOR II</v>
          </cell>
        </row>
        <row r="1953">
          <cell r="A1953" t="str">
            <v>TECNICO NORMALIZADOR III</v>
          </cell>
        </row>
        <row r="1954">
          <cell r="A1954" t="str">
            <v>TECNICO PORTUARIO I</v>
          </cell>
        </row>
        <row r="1955">
          <cell r="A1955" t="str">
            <v>TECNICO PORTUARIO II</v>
          </cell>
        </row>
        <row r="1956">
          <cell r="A1956" t="str">
            <v>TECNICO PORTUARIO JEFE</v>
          </cell>
        </row>
        <row r="1957">
          <cell r="A1957" t="str">
            <v>TECNICO QUIMICO I</v>
          </cell>
        </row>
        <row r="1958">
          <cell r="A1958" t="str">
            <v>TECNICO QUIMICO II</v>
          </cell>
        </row>
        <row r="1959">
          <cell r="A1959" t="str">
            <v>TECNICO QUIMICO III</v>
          </cell>
        </row>
        <row r="1960">
          <cell r="A1960" t="str">
            <v>TECNICO QUIMICO IV</v>
          </cell>
        </row>
        <row r="1961">
          <cell r="A1961" t="str">
            <v>TECNICO RADIOLOGO I</v>
          </cell>
        </row>
        <row r="1962">
          <cell r="A1962" t="str">
            <v>TECNICO RADIOLOGO II</v>
          </cell>
        </row>
        <row r="1963">
          <cell r="A1963" t="str">
            <v>TECNICO RADIOLOGO III</v>
          </cell>
        </row>
        <row r="1964">
          <cell r="A1964" t="str">
            <v>TECNICO SUPERIOR AGRICULTOR</v>
          </cell>
        </row>
        <row r="1965">
          <cell r="A1965" t="str">
            <v>TECNICO SUPERIOR EN TRABAJO SOCIAL I</v>
          </cell>
        </row>
        <row r="1966">
          <cell r="A1966" t="str">
            <v>TECNICO SUPERIOR EN TRABAJO SOCIAL II</v>
          </cell>
        </row>
        <row r="1967">
          <cell r="A1967" t="str">
            <v>TECNICO SUPERIOR III 77 TID</v>
          </cell>
        </row>
        <row r="1968">
          <cell r="A1968" t="str">
            <v>TECNICO SUPERIOR PESQUERO</v>
          </cell>
        </row>
        <row r="1969">
          <cell r="A1969" t="str">
            <v>TECNICO VALORADOR I</v>
          </cell>
        </row>
        <row r="1970">
          <cell r="A1970" t="str">
            <v>TECNICO VALORADOR II</v>
          </cell>
        </row>
        <row r="1971">
          <cell r="A1971" t="str">
            <v>TECNICO VALORADOR III</v>
          </cell>
        </row>
        <row r="1972">
          <cell r="A1972" t="str">
            <v>TECNICO VALORADOR JEFE</v>
          </cell>
        </row>
        <row r="1973">
          <cell r="A1973" t="str">
            <v>TELEFONISTA</v>
          </cell>
        </row>
        <row r="1974">
          <cell r="A1974" t="str">
            <v>TENIENTE (BOMBERO)</v>
          </cell>
        </row>
        <row r="1975">
          <cell r="A1975" t="str">
            <v>TENIENTE CORONEL (BOMBERO)</v>
          </cell>
        </row>
        <row r="1976">
          <cell r="A1976" t="str">
            <v>TERAPEUTA OCUPACIONAL I</v>
          </cell>
        </row>
        <row r="1977">
          <cell r="A1977" t="str">
            <v>TERAPEUTA OCUPACIONAL II</v>
          </cell>
        </row>
        <row r="1978">
          <cell r="A1978" t="str">
            <v>TERAPEUTA OCUPACIONAL III</v>
          </cell>
        </row>
        <row r="1979">
          <cell r="A1979" t="str">
            <v>TERAPEUTA OCUPACIONAL IV</v>
          </cell>
        </row>
        <row r="1980">
          <cell r="A1980" t="str">
            <v>TERAPISTA DE LENGUAJE I</v>
          </cell>
        </row>
        <row r="1981">
          <cell r="A1981" t="str">
            <v>TERAPISTA DE LENGUAJE II</v>
          </cell>
        </row>
        <row r="1982">
          <cell r="A1982" t="str">
            <v>TESORERO(A) GENERAL DEL ESTADO</v>
          </cell>
        </row>
        <row r="1983">
          <cell r="A1983" t="str">
            <v>TIMBAL 1</v>
          </cell>
        </row>
        <row r="1984">
          <cell r="A1984" t="str">
            <v>TOPOGRAFO CARTOGRAFICO I</v>
          </cell>
        </row>
        <row r="1985">
          <cell r="A1985" t="str">
            <v>TOPOGRAFO CARTOGRAFICO II</v>
          </cell>
        </row>
        <row r="1986">
          <cell r="A1986" t="str">
            <v>TOPOGRAFO CARTOGRAFICO JEFE</v>
          </cell>
        </row>
        <row r="1987">
          <cell r="A1987" t="str">
            <v>TOPOGRAFO I</v>
          </cell>
        </row>
        <row r="1988">
          <cell r="A1988" t="str">
            <v>TOPOGRAFO II</v>
          </cell>
        </row>
        <row r="1989">
          <cell r="A1989" t="str">
            <v>TRABAJADOR SOCIAL I</v>
          </cell>
        </row>
        <row r="1990">
          <cell r="A1990" t="str">
            <v>TRABAJADOR SOCIAL II</v>
          </cell>
        </row>
        <row r="1991">
          <cell r="A1991" t="str">
            <v>TRABAJADOR SOCIAL III</v>
          </cell>
        </row>
        <row r="1992">
          <cell r="A1992" t="str">
            <v>TRABAJADOR SOCIAL IV</v>
          </cell>
        </row>
        <row r="1993">
          <cell r="A1993" t="str">
            <v>TRADUCTOR I</v>
          </cell>
        </row>
        <row r="1994">
          <cell r="A1994" t="str">
            <v>TRADUCTOR II</v>
          </cell>
        </row>
        <row r="1995">
          <cell r="A1995" t="str">
            <v>TRADUCTOR III</v>
          </cell>
        </row>
        <row r="1996">
          <cell r="A1996" t="str">
            <v>TRADUCTOR MULTILINGUE II</v>
          </cell>
        </row>
        <row r="1997">
          <cell r="A1997" t="str">
            <v>TRADUCTOR MULTILUNGUE I</v>
          </cell>
        </row>
        <row r="1998">
          <cell r="A1998" t="str">
            <v>TRAMITADOR DE ASUNTOS DE ADUANA I</v>
          </cell>
        </row>
        <row r="1999">
          <cell r="A1999" t="str">
            <v>TRAMITADOR DE ASUNTOS DE ADUANA II</v>
          </cell>
        </row>
        <row r="2000">
          <cell r="A2000" t="str">
            <v>TRAMITADOR DE ASUNTOS DE ADUANA JEFE</v>
          </cell>
        </row>
        <row r="2001">
          <cell r="A2001" t="str">
            <v>TROMBON 1</v>
          </cell>
        </row>
        <row r="2002">
          <cell r="A2002" t="str">
            <v>TROMBON 2</v>
          </cell>
        </row>
        <row r="2003">
          <cell r="A2003" t="str">
            <v>TROMBON 3</v>
          </cell>
        </row>
        <row r="2004">
          <cell r="A2004" t="str">
            <v>TROMPETA 1</v>
          </cell>
        </row>
        <row r="2005">
          <cell r="A2005" t="str">
            <v>TROMPETA 2</v>
          </cell>
        </row>
        <row r="2006">
          <cell r="A2006" t="str">
            <v>TROMPETA 3</v>
          </cell>
        </row>
        <row r="2007">
          <cell r="A2007" t="str">
            <v>TROMPETA SOLISTA</v>
          </cell>
        </row>
        <row r="2008">
          <cell r="A2008" t="str">
            <v>TUBA 1</v>
          </cell>
        </row>
        <row r="2009">
          <cell r="A2009" t="str">
            <v>TUBA 2</v>
          </cell>
        </row>
        <row r="2010">
          <cell r="A2010" t="str">
            <v>TUTOR FACILITADOR I</v>
          </cell>
        </row>
        <row r="2011">
          <cell r="A2011" t="str">
            <v>TUTOR FACILITADOR II</v>
          </cell>
        </row>
        <row r="2012">
          <cell r="A2012" t="str">
            <v>TUTOR FACILITADOR III</v>
          </cell>
        </row>
        <row r="2013">
          <cell r="A2013" t="str">
            <v>URBANISTA I</v>
          </cell>
        </row>
        <row r="2014">
          <cell r="A2014" t="str">
            <v>URBANISTA II</v>
          </cell>
        </row>
        <row r="2015">
          <cell r="A2015" t="str">
            <v>URBANISTA III</v>
          </cell>
        </row>
        <row r="2016">
          <cell r="A2016" t="str">
            <v>URBANISTA JEFE</v>
          </cell>
        </row>
        <row r="2017">
          <cell r="A2017" t="str">
            <v>VICEPRESIDENTE</v>
          </cell>
        </row>
        <row r="2018">
          <cell r="A2018" t="str">
            <v>VIOLA</v>
          </cell>
        </row>
        <row r="2019">
          <cell r="A2019" t="str">
            <v>VIOLIN</v>
          </cell>
        </row>
        <row r="2020">
          <cell r="A2020" t="str">
            <v>VIOLIN 1</v>
          </cell>
        </row>
        <row r="2021">
          <cell r="A2021" t="str">
            <v>VIOLINCILLO</v>
          </cell>
        </row>
        <row r="2022">
          <cell r="A2022" t="str">
            <v>VIOLONCELLO</v>
          </cell>
        </row>
        <row r="2023">
          <cell r="A2023" t="str">
            <v>VIOLONCHELO</v>
          </cell>
        </row>
        <row r="2024">
          <cell r="A2024" t="str">
            <v>ZOOLOGO I</v>
          </cell>
        </row>
        <row r="2025">
          <cell r="A2025" t="str">
            <v>ZOOLOGO II</v>
          </cell>
        </row>
        <row r="2026">
          <cell r="A2026" t="str">
            <v>ZOOTECNISTA I</v>
          </cell>
        </row>
        <row r="2027">
          <cell r="A2027" t="str">
            <v>ZOOTECNISTA II</v>
          </cell>
        </row>
        <row r="2028">
          <cell r="A2028" t="str">
            <v>ZOOTECNISTA III</v>
          </cell>
        </row>
        <row r="2029">
          <cell r="A2029" t="str">
            <v>ZOOTECNISTA IV</v>
          </cell>
        </row>
        <row r="2030">
          <cell r="A2030" t="str">
            <v>ZOOTECNISTA JEFE</v>
          </cell>
        </row>
        <row r="2031">
          <cell r="A2031" t="str">
            <v>ZOOTECNISTA V</v>
          </cell>
        </row>
        <row r="2032">
          <cell r="A2032">
            <v>0</v>
          </cell>
        </row>
        <row r="2033">
          <cell r="A2033" t="str">
            <v>ACARREADOR</v>
          </cell>
        </row>
        <row r="2034">
          <cell r="A2034" t="str">
            <v>ALBAÑIL</v>
          </cell>
        </row>
        <row r="2035">
          <cell r="A2035" t="str">
            <v>ARMADOR DE PUERTOS</v>
          </cell>
        </row>
        <row r="2036">
          <cell r="A2036" t="str">
            <v>ASCENSORISTA</v>
          </cell>
        </row>
        <row r="2037">
          <cell r="A2037" t="str">
            <v>ASEADOR</v>
          </cell>
        </row>
        <row r="2038">
          <cell r="A2038" t="str">
            <v>ASEADOR AREAS PUBLICAS</v>
          </cell>
        </row>
        <row r="2039">
          <cell r="A2039" t="str">
            <v>ASEADOR DE MATERIALES DE LABORATORIO</v>
          </cell>
        </row>
        <row r="2040">
          <cell r="A2040" t="str">
            <v>AUXILIAR DE AUTOPSIA</v>
          </cell>
        </row>
        <row r="2041">
          <cell r="A2041" t="str">
            <v>AUXILIAR DE CRISTALERIA</v>
          </cell>
        </row>
        <row r="2042">
          <cell r="A2042" t="str">
            <v>AUXILIAR DE ENFERMERIA</v>
          </cell>
        </row>
        <row r="2043">
          <cell r="A2043" t="str">
            <v>AUXILIAR DE FARMACIA</v>
          </cell>
        </row>
        <row r="2044">
          <cell r="A2044" t="str">
            <v>AUXILIAR DE LABORATORIO</v>
          </cell>
        </row>
        <row r="2045">
          <cell r="A2045" t="str">
            <v>AUXILIAR DE MEZCLAS PRODUCTOS FARMACEUTICOS</v>
          </cell>
        </row>
        <row r="2046">
          <cell r="A2046" t="str">
            <v>AUXILIAR DE NUTRICION</v>
          </cell>
        </row>
        <row r="2047">
          <cell r="A2047" t="str">
            <v>AUXILIAR DE ODONTOLOGIA</v>
          </cell>
        </row>
        <row r="2048">
          <cell r="A2048" t="str">
            <v>AUXILIAR DE PRUEBAS PRODUCTOS FARMACEUTICOS</v>
          </cell>
        </row>
        <row r="2049">
          <cell r="A2049" t="str">
            <v>AUXILIAR DE RAYOS X</v>
          </cell>
        </row>
        <row r="2050">
          <cell r="A2050" t="str">
            <v>AUXILIAR DE SERVICIOS DE OFICINA</v>
          </cell>
        </row>
        <row r="2051">
          <cell r="A2051" t="str">
            <v>AUXILIAR DE SERVICIOS DE TREN</v>
          </cell>
        </row>
        <row r="2052">
          <cell r="A2052" t="str">
            <v>AUXILIAR DE TELECOMUNICACIONES</v>
          </cell>
        </row>
        <row r="2053">
          <cell r="A2053" t="str">
            <v>AUXILIAR DE VETERINARIA</v>
          </cell>
        </row>
        <row r="2054">
          <cell r="A2054" t="str">
            <v>AYUDANTE AGROPECUARIO</v>
          </cell>
        </row>
        <row r="2055">
          <cell r="A2055" t="str">
            <v>AYUDANTE BARMAN</v>
          </cell>
        </row>
        <row r="2056">
          <cell r="A2056" t="str">
            <v>AYUDANTE DE ALBAÑIL</v>
          </cell>
        </row>
        <row r="2057">
          <cell r="A2057" t="str">
            <v>AYUDANTE DE ALMACEN</v>
          </cell>
        </row>
        <row r="2058">
          <cell r="A2058" t="str">
            <v>AYUDANTE DE ARTES GRAFICAS</v>
          </cell>
        </row>
        <row r="2059">
          <cell r="A2059" t="str">
            <v>AYUDANTE DE AULA</v>
          </cell>
        </row>
        <row r="2060">
          <cell r="A2060" t="str">
            <v>AYUDANTE DE CARGA</v>
          </cell>
        </row>
        <row r="2061">
          <cell r="A2061" t="str">
            <v>AYUDANTE DE CARPINTERIA</v>
          </cell>
        </row>
        <row r="2062">
          <cell r="A2062" t="str">
            <v>AYUDANTE DE COSTURA</v>
          </cell>
        </row>
        <row r="2063">
          <cell r="A2063" t="str">
            <v>AYUDANTE DE INSTALADOR DE ANTENA</v>
          </cell>
        </row>
        <row r="2064">
          <cell r="A2064" t="str">
            <v>AYUDANTE DE LABORATORIO GEONALITICO</v>
          </cell>
        </row>
        <row r="2065">
          <cell r="A2065" t="str">
            <v>AYUDANTE DE MAQUINARIA</v>
          </cell>
        </row>
        <row r="2066">
          <cell r="A2066" t="str">
            <v>AYUDANTE DE MECANICO</v>
          </cell>
        </row>
        <row r="2067">
          <cell r="A2067" t="str">
            <v>AYUDANTE DE OPERACIONES FERROVIARIAS</v>
          </cell>
        </row>
        <row r="2068">
          <cell r="A2068" t="str">
            <v>AYUDANTE DE PANADEROS Y PASTELERO</v>
          </cell>
        </row>
        <row r="2069">
          <cell r="A2069" t="str">
            <v>AYUDANTE DE SERV. DE PUERTO Y AEROPUERTO</v>
          </cell>
        </row>
        <row r="2070">
          <cell r="A2070" t="str">
            <v>AYUDANTE DE SERVICIOS DE COCINA</v>
          </cell>
        </row>
        <row r="2071">
          <cell r="A2071" t="str">
            <v>AYUDANTE DE SERVICIOS GENERALES</v>
          </cell>
        </row>
        <row r="2072">
          <cell r="A2072" t="str">
            <v>AYUDANTE DE TOPOGRAFIA</v>
          </cell>
        </row>
        <row r="2073">
          <cell r="A2073" t="str">
            <v>AYUDANTE INSPECTOR</v>
          </cell>
        </row>
        <row r="2074">
          <cell r="A2074" t="str">
            <v>AYUDANTE MANTENIMIENTO DE VIAS TERRESTRE</v>
          </cell>
        </row>
        <row r="2075">
          <cell r="A2075" t="str">
            <v>AYUDANTE MANTENIMIENTO VIAS FERROVIARIAS</v>
          </cell>
        </row>
        <row r="2076">
          <cell r="A2076" t="str">
            <v>AYUDANTE POSTAL TELEGRAFICO</v>
          </cell>
        </row>
        <row r="2077">
          <cell r="A2077" t="str">
            <v>BARBERO</v>
          </cell>
        </row>
        <row r="2078">
          <cell r="A2078" t="str">
            <v>BARMAN</v>
          </cell>
        </row>
        <row r="2079">
          <cell r="A2079" t="str">
            <v>BOTONES</v>
          </cell>
        </row>
        <row r="2080">
          <cell r="A2080" t="str">
            <v>BUZO</v>
          </cell>
        </row>
        <row r="2081">
          <cell r="A2081" t="str">
            <v>CAJISTA</v>
          </cell>
        </row>
        <row r="2082">
          <cell r="A2082" t="str">
            <v>CAMARERA</v>
          </cell>
        </row>
        <row r="2083">
          <cell r="A2083" t="str">
            <v>CAMILLERO</v>
          </cell>
        </row>
        <row r="2084">
          <cell r="A2084" t="str">
            <v>CAPITAN DE MESONEROS</v>
          </cell>
        </row>
        <row r="2085">
          <cell r="A2085" t="str">
            <v>CAPORAL DE EQUIPOS</v>
          </cell>
        </row>
        <row r="2086">
          <cell r="A2086" t="str">
            <v>CARNICERO</v>
          </cell>
        </row>
        <row r="2087">
          <cell r="A2087" t="str">
            <v>CARPINTERO</v>
          </cell>
        </row>
        <row r="2088">
          <cell r="A2088" t="str">
            <v>CERRAJERO</v>
          </cell>
        </row>
        <row r="2089">
          <cell r="A2089" t="str">
            <v>CHOFER</v>
          </cell>
        </row>
        <row r="2090">
          <cell r="A2090" t="str">
            <v>CHOFER DE CARGA</v>
          </cell>
        </row>
        <row r="2091">
          <cell r="A2091" t="str">
            <v>CHOFER DE CISTERNA</v>
          </cell>
        </row>
        <row r="2092">
          <cell r="A2092" t="str">
            <v>CHOFER DE TRANSPORTE</v>
          </cell>
        </row>
        <row r="2093">
          <cell r="A2093" t="str">
            <v>CLASIFICADOR DE FRUTOS</v>
          </cell>
        </row>
        <row r="2094">
          <cell r="A2094" t="str">
            <v>CLASIFICADOS POSTAL TELEGRAFICO</v>
          </cell>
        </row>
        <row r="2095">
          <cell r="A2095" t="str">
            <v>COCINERO</v>
          </cell>
        </row>
        <row r="2096">
          <cell r="A2096" t="str">
            <v>CONSERJE</v>
          </cell>
        </row>
        <row r="2097">
          <cell r="A2097" t="str">
            <v>CONTRAMAESTRE</v>
          </cell>
        </row>
        <row r="2098">
          <cell r="A2098" t="str">
            <v>CONTROL ASIST, MEDICAS</v>
          </cell>
        </row>
        <row r="2099">
          <cell r="A2099" t="str">
            <v>COORDINADOR DE MAQUINARIA PESADA</v>
          </cell>
        </row>
        <row r="2100">
          <cell r="A2100" t="str">
            <v>COSTURERA</v>
          </cell>
        </row>
        <row r="2101">
          <cell r="A2101" t="str">
            <v>CUIDADOR DE ANIMALES</v>
          </cell>
        </row>
        <row r="2102">
          <cell r="A2102" t="str">
            <v>DEPOSITARIO</v>
          </cell>
        </row>
        <row r="2103">
          <cell r="A2103" t="str">
            <v>DESPACHADOR DE COMBUSTIBLE</v>
          </cell>
        </row>
        <row r="2104">
          <cell r="A2104" t="str">
            <v>DESPACHADOR DE MERCANCIA</v>
          </cell>
        </row>
        <row r="2105">
          <cell r="A2105" t="str">
            <v>DESPENSERO</v>
          </cell>
        </row>
        <row r="2106">
          <cell r="A2106" t="str">
            <v>ELECTRICISTA DE ALTA TENSION</v>
          </cell>
        </row>
        <row r="2107">
          <cell r="A2107" t="str">
            <v>ELECTROMECANICO</v>
          </cell>
        </row>
        <row r="2108">
          <cell r="A2108" t="str">
            <v>EMBALADOR</v>
          </cell>
        </row>
        <row r="2109">
          <cell r="A2109" t="str">
            <v>ESCOLTA</v>
          </cell>
        </row>
        <row r="2110">
          <cell r="A2110" t="str">
            <v>ESPESORISTA</v>
          </cell>
        </row>
        <row r="2111">
          <cell r="A2111" t="str">
            <v>FISCAL DE MATADERO</v>
          </cell>
        </row>
        <row r="2112">
          <cell r="A2112" t="str">
            <v>FISCAL I  (OBREROS)</v>
          </cell>
        </row>
        <row r="2113">
          <cell r="A2113" t="str">
            <v>FISCAL II (OBREROS)</v>
          </cell>
        </row>
        <row r="2114">
          <cell r="A2114" t="str">
            <v>FOTOGRABADOR PLANCHISTA</v>
          </cell>
        </row>
        <row r="2115">
          <cell r="A2115" t="str">
            <v>FUMIGADOR</v>
          </cell>
        </row>
        <row r="2116">
          <cell r="A2116" t="str">
            <v>GUARDA BARRERA</v>
          </cell>
        </row>
        <row r="2117">
          <cell r="A2117" t="str">
            <v>GUARDAPARQUES</v>
          </cell>
        </row>
        <row r="2118">
          <cell r="A2118" t="str">
            <v>GUARDAPARQUEZ</v>
          </cell>
        </row>
        <row r="2119">
          <cell r="A2119" t="str">
            <v>GUIA VACACIONISTA</v>
          </cell>
        </row>
        <row r="2120">
          <cell r="A2120" t="str">
            <v>GUILLOTINERO</v>
          </cell>
        </row>
        <row r="2121">
          <cell r="A2121" t="str">
            <v>HERRERO</v>
          </cell>
        </row>
        <row r="2122">
          <cell r="A2122" t="str">
            <v>INCINERADOR</v>
          </cell>
        </row>
        <row r="2123">
          <cell r="A2123" t="str">
            <v>INSPECTOR AUXILIAR DE OBRAS</v>
          </cell>
        </row>
        <row r="2124">
          <cell r="A2124" t="str">
            <v>INSPECTOR AUXILIAR DE OPERACIONES DE AREAS PUBLICAS</v>
          </cell>
        </row>
        <row r="2125">
          <cell r="A2125" t="str">
            <v>INSTALADOR DE ANTENA</v>
          </cell>
        </row>
        <row r="2126">
          <cell r="A2126" t="str">
            <v>JARDINERO</v>
          </cell>
        </row>
        <row r="2127">
          <cell r="A2127" t="str">
            <v>JEFE DE OBRERO</v>
          </cell>
        </row>
        <row r="2128">
          <cell r="A2128" t="str">
            <v>JEFE DE SERVICIO (SALUD)</v>
          </cell>
        </row>
        <row r="2129">
          <cell r="A2129" t="str">
            <v>LATONERO Y PINTOR</v>
          </cell>
        </row>
        <row r="2130">
          <cell r="A2130" t="str">
            <v>LAVADOR Y ENGRASADOR</v>
          </cell>
        </row>
        <row r="2131">
          <cell r="A2131" t="str">
            <v>LAVANDERO</v>
          </cell>
        </row>
        <row r="2132">
          <cell r="A2132" t="str">
            <v>LENCERO</v>
          </cell>
        </row>
        <row r="2133">
          <cell r="A2133" t="str">
            <v>LINOTIPISTA</v>
          </cell>
        </row>
        <row r="2134">
          <cell r="A2134" t="str">
            <v>MAITRE</v>
          </cell>
        </row>
        <row r="2135">
          <cell r="A2135" t="str">
            <v>MANIPULADOR DE FRUTOS</v>
          </cell>
        </row>
        <row r="2136">
          <cell r="A2136" t="str">
            <v>MAQUINISTA</v>
          </cell>
        </row>
        <row r="2137">
          <cell r="A2137" t="str">
            <v>MARINERO</v>
          </cell>
        </row>
        <row r="2138">
          <cell r="A2138" t="str">
            <v>MECANICO AUTOMOTRIZ</v>
          </cell>
        </row>
        <row r="2139">
          <cell r="A2139" t="str">
            <v>MECANICO DE AVIACION</v>
          </cell>
        </row>
        <row r="2140">
          <cell r="A2140" t="str">
            <v>MECANICO DE BOBLIWG</v>
          </cell>
        </row>
        <row r="2141">
          <cell r="A2141" t="str">
            <v>MECANICO DE BOGIS FERROVIARIO</v>
          </cell>
        </row>
        <row r="2142">
          <cell r="A2142" t="str">
            <v>MECANICO DE MOTO</v>
          </cell>
        </row>
        <row r="2143">
          <cell r="A2143" t="str">
            <v>MECANICO DE MOTORES DIESEL</v>
          </cell>
        </row>
        <row r="2144">
          <cell r="A2144" t="str">
            <v>MECANICO DE REFRIGERACION</v>
          </cell>
        </row>
        <row r="2145">
          <cell r="A2145" t="str">
            <v>MECANICO SISTEMA NEUMATICO FERROVIARIO</v>
          </cell>
        </row>
        <row r="2146">
          <cell r="A2146" t="str">
            <v>MENSAJERO</v>
          </cell>
        </row>
        <row r="2147">
          <cell r="A2147" t="str">
            <v>MENSAJERO MOTORIZADO</v>
          </cell>
        </row>
        <row r="2148">
          <cell r="A2148" t="str">
            <v>MESONERO</v>
          </cell>
        </row>
        <row r="2149">
          <cell r="A2149" t="str">
            <v>MODISTO</v>
          </cell>
        </row>
        <row r="2150">
          <cell r="A2150" t="str">
            <v>NIÑERA</v>
          </cell>
        </row>
        <row r="2151">
          <cell r="A2151" t="str">
            <v>OBRERO DE MANTENIMIENTO</v>
          </cell>
        </row>
        <row r="2152">
          <cell r="A2152" t="str">
            <v>OBRERO NO CLASIFICADO</v>
          </cell>
        </row>
        <row r="2153">
          <cell r="A2153" t="str">
            <v>OPERADOR DE CALDERA</v>
          </cell>
        </row>
        <row r="2154">
          <cell r="A2154" t="str">
            <v>OPERADOR DE MAQUINARIA PESADA</v>
          </cell>
        </row>
        <row r="2155">
          <cell r="A2155" t="str">
            <v>OPERADOR DE PRENSA DE IMPRESION</v>
          </cell>
        </row>
        <row r="2156">
          <cell r="A2156" t="str">
            <v>OPERADOR DE SALAS MOVILES</v>
          </cell>
        </row>
        <row r="2157">
          <cell r="A2157" t="str">
            <v>OPERADOR DE SONIDO</v>
          </cell>
        </row>
        <row r="2158">
          <cell r="A2158" t="str">
            <v>OPERADOR FERROVIARIO DE MANTENIMIENTO</v>
          </cell>
        </row>
        <row r="2159">
          <cell r="A2159" t="str">
            <v>OPERADOR MAQUINARIA DE VIA FERREA</v>
          </cell>
        </row>
        <row r="2160">
          <cell r="A2160" t="str">
            <v>OPERARIO COMPAGINACION Y ENCUADERNACION</v>
          </cell>
        </row>
        <row r="2161">
          <cell r="A2161" t="str">
            <v>OPERARIO DE ACUEDUCTO</v>
          </cell>
        </row>
        <row r="2162">
          <cell r="A2162" t="str">
            <v>OPERARIO DE EQUIPO DE TELECOMUNICACION</v>
          </cell>
        </row>
        <row r="2163">
          <cell r="A2163" t="str">
            <v>OPERARIO DE FARO</v>
          </cell>
        </row>
        <row r="2164">
          <cell r="A2164" t="str">
            <v>OPERARIO DE MAQUINA FOTOCOPIADORA</v>
          </cell>
        </row>
        <row r="2165">
          <cell r="A2165" t="str">
            <v>OPERARIO DE MAQUINA LIVIANA</v>
          </cell>
        </row>
        <row r="2166">
          <cell r="A2166" t="str">
            <v>OPERARIO DE PISCINA</v>
          </cell>
        </row>
        <row r="2167">
          <cell r="A2167" t="str">
            <v>OPERARIO DE PLANTA HIDROELECTRICA</v>
          </cell>
        </row>
        <row r="2168">
          <cell r="A2168" t="str">
            <v>OPERARIO MANTENIMIENTO VIAS TERRESTRES</v>
          </cell>
        </row>
        <row r="2169">
          <cell r="A2169" t="str">
            <v>OPERARIO MAQUINA PRODUCCION FARMACEUTICA</v>
          </cell>
        </row>
        <row r="2170">
          <cell r="A2170" t="str">
            <v>PAGADOR</v>
          </cell>
        </row>
        <row r="2171">
          <cell r="A2171" t="str">
            <v>PANADERO</v>
          </cell>
        </row>
        <row r="2172">
          <cell r="A2172" t="str">
            <v>PASTELERO</v>
          </cell>
        </row>
        <row r="2173">
          <cell r="A2173" t="str">
            <v>PESCADOR</v>
          </cell>
        </row>
        <row r="2174">
          <cell r="A2174" t="str">
            <v>PINTOR</v>
          </cell>
        </row>
        <row r="2175">
          <cell r="A2175" t="str">
            <v>PLANCHADOR</v>
          </cell>
        </row>
        <row r="2176">
          <cell r="A2176" t="str">
            <v>PLOMERO</v>
          </cell>
        </row>
        <row r="2177">
          <cell r="A2177" t="str">
            <v>PORTERO</v>
          </cell>
        </row>
        <row r="2178">
          <cell r="A2178" t="str">
            <v>PRACTICO FLUVIAL</v>
          </cell>
        </row>
        <row r="2179">
          <cell r="A2179" t="str">
            <v>RAPARADOR DE BICICLETA</v>
          </cell>
        </row>
        <row r="2180">
          <cell r="A2180" t="str">
            <v>RASTRILLERO</v>
          </cell>
        </row>
        <row r="2181">
          <cell r="A2181" t="str">
            <v>RECEPTOR INFORMADOR</v>
          </cell>
        </row>
        <row r="2182">
          <cell r="A2182" t="str">
            <v>REPARADOR DE MQUINA DE OFICINA</v>
          </cell>
        </row>
        <row r="2183">
          <cell r="A2183" t="str">
            <v>REPARADOR DE NEUMATICO</v>
          </cell>
        </row>
        <row r="2184">
          <cell r="A2184" t="str">
            <v>REPARADOR DE PARACAIDAS</v>
          </cell>
        </row>
        <row r="2185">
          <cell r="A2185" t="str">
            <v>REPARADOR DE RADIADOR</v>
          </cell>
        </row>
        <row r="2186">
          <cell r="A2186" t="str">
            <v>REPARTIDOR DE ALIMENTOS</v>
          </cell>
        </row>
        <row r="2187">
          <cell r="A2187" t="str">
            <v>REPARTIDOR POSTAL TELEGRAFICO</v>
          </cell>
        </row>
        <row r="2188">
          <cell r="A2188" t="str">
            <v>SALVAVIDAS</v>
          </cell>
        </row>
        <row r="2189">
          <cell r="A2189" t="str">
            <v>SOLDADOR</v>
          </cell>
        </row>
        <row r="2190">
          <cell r="A2190" t="str">
            <v>SUPERV. MANTENIMIENTO VIAS FERROVIARIA</v>
          </cell>
        </row>
        <row r="2191">
          <cell r="A2191" t="str">
            <v>SUPERVISOR ASISTENCIAL</v>
          </cell>
        </row>
        <row r="2192">
          <cell r="A2192" t="str">
            <v>SUPERVISOR DE ARMADOR DE PUENTES</v>
          </cell>
        </row>
        <row r="2193">
          <cell r="A2193" t="str">
            <v>SUPERVISOR DE ASCENSORISTAS</v>
          </cell>
        </row>
        <row r="2194">
          <cell r="A2194" t="str">
            <v>SUPERVISOR DE AUXILIAR DE VETERINARIA</v>
          </cell>
        </row>
        <row r="2195">
          <cell r="A2195" t="str">
            <v>SUPERVISOR DE CAMARERAS</v>
          </cell>
        </row>
        <row r="2196">
          <cell r="A2196" t="str">
            <v>SUPERVISOR DE CAMIONES CISTERNA</v>
          </cell>
        </row>
        <row r="2197">
          <cell r="A2197" t="str">
            <v>SUPERVISOR DE COCINA</v>
          </cell>
        </row>
        <row r="2198">
          <cell r="A2198" t="str">
            <v>SUPERVISOR DE FUMIGACION</v>
          </cell>
        </row>
        <row r="2199">
          <cell r="A2199" t="str">
            <v>SUPERVISOR DE MANTENIMIENTO DE AREAS PUBLICAS</v>
          </cell>
        </row>
        <row r="2200">
          <cell r="A2200" t="str">
            <v>SUPERVISOR DE MANTENIMIENTO I (OPE)</v>
          </cell>
        </row>
        <row r="2201">
          <cell r="A2201" t="str">
            <v>SUPERVISOR DE PLANTA HIDROELECTRICA</v>
          </cell>
        </row>
        <row r="2202">
          <cell r="A2202" t="str">
            <v>SUPERVISOR DE SEGURIDAD</v>
          </cell>
        </row>
        <row r="2203">
          <cell r="A2203" t="str">
            <v>SUPERVISOR DE SERVICIOS DE REPROD. E IMP</v>
          </cell>
        </row>
        <row r="2204">
          <cell r="A2204" t="str">
            <v>SUPERVISOR DE SERVICIOS ESPECIALIZADOS</v>
          </cell>
        </row>
        <row r="2205">
          <cell r="A2205" t="str">
            <v>SUPERVISOR DE SERVICIOS INTERNOS</v>
          </cell>
        </row>
        <row r="2206">
          <cell r="A2206" t="str">
            <v>SUPERVISOR DE VIGILANCIA</v>
          </cell>
        </row>
        <row r="2207">
          <cell r="A2207" t="str">
            <v>SUPERVISOR DE VIVEROS</v>
          </cell>
        </row>
        <row r="2208">
          <cell r="A2208" t="str">
            <v>SUPERVISOR DE ZONA (OPE)</v>
          </cell>
        </row>
        <row r="2209">
          <cell r="A2209" t="str">
            <v>SUPERVISOR EMPAQUE Y ENVASE PROD. FARM.</v>
          </cell>
        </row>
        <row r="2210">
          <cell r="A2210" t="str">
            <v>SUPERVISOR OPERACIONES FERROVIARIAS</v>
          </cell>
        </row>
        <row r="2211">
          <cell r="A2211" t="str">
            <v>TALABARTERO</v>
          </cell>
        </row>
        <row r="2212">
          <cell r="A2212" t="str">
            <v>TAPICERO</v>
          </cell>
        </row>
        <row r="2213">
          <cell r="A2213" t="str">
            <v>TAQUILLERO</v>
          </cell>
        </row>
        <row r="2214">
          <cell r="A2214" t="str">
            <v>TIMONEL DE EMBARCACION</v>
          </cell>
        </row>
        <row r="2215">
          <cell r="A2215" t="str">
            <v>TORNERO</v>
          </cell>
        </row>
        <row r="2216">
          <cell r="A2216" t="str">
            <v>VIGILANTE</v>
          </cell>
        </row>
        <row r="2217">
          <cell r="A2217" t="str">
            <v>VIGILANTE NOCTURNO</v>
          </cell>
        </row>
        <row r="2218">
          <cell r="A2218" t="str">
            <v>ZAPATERO</v>
          </cell>
        </row>
      </sheetData>
      <sheetData sheetId="15"/>
      <sheetData sheetId="16"/>
      <sheetData sheetId="1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4TO Agui "/>
      <sheetName val="Imprimir CT"/>
      <sheetName val="Imprimir 2a"/>
      <sheetName val="Aportes"/>
      <sheetName val="Imprimir 1a"/>
      <sheetName val="CALC BONO+OPERAC"/>
      <sheetName val="NOMINA"/>
      <sheetName val="Hoja2"/>
      <sheetName val="CONCEPTOS Y PARAMETROS"/>
      <sheetName val="HIJOS "/>
      <sheetName val="HIJOS 12 AÑOS"/>
      <sheetName val="Hoja1"/>
      <sheetName val="TAB EMP"/>
      <sheetName val="TAB OBR"/>
      <sheetName val="CARGOS"/>
      <sheetName val="CARGOS POA"/>
      <sheetName val="TAB EMP (2)"/>
      <sheetName val="Varios"/>
      <sheetName val="EJEMPLO CALCULO AGUINALDOS NUE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J3" t="str">
            <v>ENERO</v>
          </cell>
        </row>
        <row r="4">
          <cell r="J4" t="str">
            <v>FEBRERO</v>
          </cell>
        </row>
        <row r="5">
          <cell r="J5" t="str">
            <v>MARZO</v>
          </cell>
        </row>
        <row r="6">
          <cell r="J6" t="str">
            <v>ABRIL</v>
          </cell>
        </row>
        <row r="7">
          <cell r="J7" t="str">
            <v>MAYO</v>
          </cell>
        </row>
        <row r="8">
          <cell r="J8" t="str">
            <v>JUNIO</v>
          </cell>
        </row>
        <row r="9">
          <cell r="J9" t="str">
            <v>JULIO</v>
          </cell>
        </row>
        <row r="10">
          <cell r="J10" t="str">
            <v>AGOSTO</v>
          </cell>
        </row>
        <row r="11">
          <cell r="J11" t="str">
            <v>SEPTIEMBRE</v>
          </cell>
        </row>
        <row r="12">
          <cell r="J12" t="str">
            <v>OCTUBRE</v>
          </cell>
        </row>
        <row r="13">
          <cell r="J13" t="str">
            <v>NOVIEMBRE</v>
          </cell>
        </row>
        <row r="14">
          <cell r="J14" t="str">
            <v>DICIEMBRE</v>
          </cell>
        </row>
        <row r="59">
          <cell r="A59">
            <v>0</v>
          </cell>
        </row>
        <row r="60">
          <cell r="A60">
            <v>1</v>
          </cell>
        </row>
        <row r="61">
          <cell r="A61">
            <v>2</v>
          </cell>
        </row>
        <row r="74">
          <cell r="A74">
            <v>0</v>
          </cell>
        </row>
        <row r="75">
          <cell r="A75">
            <v>1</v>
          </cell>
        </row>
        <row r="76">
          <cell r="A76">
            <v>2</v>
          </cell>
        </row>
        <row r="77">
          <cell r="A77">
            <v>3</v>
          </cell>
        </row>
        <row r="78">
          <cell r="A78">
            <v>4</v>
          </cell>
        </row>
        <row r="79">
          <cell r="A79">
            <v>5</v>
          </cell>
        </row>
        <row r="80">
          <cell r="A80">
            <v>6</v>
          </cell>
        </row>
        <row r="81">
          <cell r="A81">
            <v>7</v>
          </cell>
        </row>
        <row r="82">
          <cell r="A82">
            <v>8</v>
          </cell>
        </row>
        <row r="83">
          <cell r="A83">
            <v>9</v>
          </cell>
        </row>
        <row r="84">
          <cell r="A84">
            <v>10</v>
          </cell>
        </row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  <row r="101">
          <cell r="A101">
            <v>0</v>
          </cell>
        </row>
        <row r="102">
          <cell r="A102">
            <v>3916</v>
          </cell>
        </row>
        <row r="107">
          <cell r="A107">
            <v>0</v>
          </cell>
        </row>
        <row r="108">
          <cell r="A108" t="str">
            <v>NOCTURN</v>
          </cell>
        </row>
      </sheetData>
      <sheetData sheetId="15"/>
      <sheetData sheetId="16"/>
      <sheetData sheetId="17"/>
      <sheetData sheetId="18">
        <row r="2">
          <cell r="A2" t="str">
            <v>B1   (0-2 AÑOS)</v>
          </cell>
        </row>
        <row r="3">
          <cell r="A3" t="str">
            <v>B2   (3-5 AÑOS)</v>
          </cell>
        </row>
        <row r="4">
          <cell r="A4" t="str">
            <v>B3   (6-8 AÑOS)</v>
          </cell>
        </row>
        <row r="5">
          <cell r="A5" t="str">
            <v>B3I   (9-11 AÑOS)</v>
          </cell>
        </row>
        <row r="6">
          <cell r="A6" t="str">
            <v>B3II   (12-14 AÑOS)</v>
          </cell>
        </row>
        <row r="7">
          <cell r="A7" t="str">
            <v>B3III   (15-17 AÑOS)</v>
          </cell>
        </row>
        <row r="8">
          <cell r="A8" t="str">
            <v>B3IV   (18 EN ADELANTE)</v>
          </cell>
        </row>
        <row r="9">
          <cell r="A9" t="str">
            <v>T1   (0-2 AÑOS)</v>
          </cell>
        </row>
        <row r="10">
          <cell r="A10" t="str">
            <v>T2   (3-5 AÑOS)</v>
          </cell>
        </row>
        <row r="11">
          <cell r="A11" t="str">
            <v>T2I   (6-8 AÑOS)</v>
          </cell>
        </row>
        <row r="12">
          <cell r="A12" t="str">
            <v>T2II   (9-11 AÑOS)</v>
          </cell>
        </row>
        <row r="13">
          <cell r="A13" t="str">
            <v>T2III   (12-14 AÑOS)</v>
          </cell>
        </row>
        <row r="14">
          <cell r="A14" t="str">
            <v>T2IV   (15-17 AÑOS)</v>
          </cell>
        </row>
        <row r="15">
          <cell r="A15" t="str">
            <v>T2V   (18 EN ADELANTE)</v>
          </cell>
        </row>
        <row r="16">
          <cell r="A16" t="str">
            <v>P1   (0-2 AÑOS)</v>
          </cell>
        </row>
        <row r="17">
          <cell r="A17" t="str">
            <v>P2   (3-5 AÑOS)</v>
          </cell>
        </row>
        <row r="18">
          <cell r="A18" t="str">
            <v>P2I   (6-8 AÑOS)</v>
          </cell>
        </row>
        <row r="19">
          <cell r="A19" t="str">
            <v xml:space="preserve">P2II   (9-11 AÑOS)  </v>
          </cell>
        </row>
        <row r="20">
          <cell r="A20" t="str">
            <v>P2III   (12-14 AÑOS)</v>
          </cell>
        </row>
        <row r="21">
          <cell r="A21" t="str">
            <v>P2IV   (15-17 AÑOS)</v>
          </cell>
        </row>
        <row r="22">
          <cell r="A22" t="str">
            <v>P2V    (18 EN ADELANTE)</v>
          </cell>
        </row>
        <row r="23">
          <cell r="A23" t="str">
            <v>P3    (0-2 AÑOS)</v>
          </cell>
        </row>
        <row r="24">
          <cell r="A24" t="str">
            <v>P3I     (3-5 AÑOS)</v>
          </cell>
        </row>
        <row r="25">
          <cell r="A25" t="str">
            <v>P3II     (6-8 AÑOS)</v>
          </cell>
        </row>
        <row r="26">
          <cell r="A26" t="str">
            <v xml:space="preserve">P3III    (9-11 AÑOS)    </v>
          </cell>
        </row>
        <row r="27">
          <cell r="A27" t="str">
            <v>P3IV    (12-14 AÑOS)</v>
          </cell>
        </row>
        <row r="28">
          <cell r="A28" t="str">
            <v>P3V    (15-17 AÑOS)</v>
          </cell>
        </row>
        <row r="29">
          <cell r="A29" t="str">
            <v>P3VI   (18 EN ADELANTE)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19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20">
        <row r="2">
          <cell r="A2">
            <v>0</v>
          </cell>
        </row>
        <row r="3">
          <cell r="A3" t="str">
            <v>DOC. BASICO SUPERVISOR (40 HORAS) Y DIRECTOR VI 77 (16 HORAS)</v>
          </cell>
        </row>
        <row r="4">
          <cell r="A4" t="str">
            <v>ABOGADO FISCAL I</v>
          </cell>
        </row>
        <row r="5">
          <cell r="A5" t="str">
            <v>ABOGADO FISCAL II</v>
          </cell>
        </row>
        <row r="6">
          <cell r="A6" t="str">
            <v>ABOGADO FISCAL III</v>
          </cell>
        </row>
        <row r="7">
          <cell r="A7" t="str">
            <v>ABOGADO FISCAL IV</v>
          </cell>
        </row>
        <row r="8">
          <cell r="A8" t="str">
            <v>ABOGADO FISCAL JEFE</v>
          </cell>
        </row>
        <row r="9">
          <cell r="A9" t="str">
            <v>ABOGADO I</v>
          </cell>
        </row>
        <row r="10">
          <cell r="A10" t="str">
            <v>ABOGADO II</v>
          </cell>
        </row>
        <row r="11">
          <cell r="A11" t="str">
            <v>ABOGADO III</v>
          </cell>
        </row>
        <row r="12">
          <cell r="A12" t="str">
            <v>ABOGADO IV</v>
          </cell>
        </row>
        <row r="13">
          <cell r="A13" t="str">
            <v>ABOGADO JEFE</v>
          </cell>
        </row>
        <row r="14">
          <cell r="A14" t="str">
            <v>ABOGADO PROCURADURIA I</v>
          </cell>
        </row>
        <row r="15">
          <cell r="A15" t="str">
            <v>ABOGADO PROCURADURIA II</v>
          </cell>
        </row>
        <row r="16">
          <cell r="A16" t="str">
            <v>ABOGADO PROCURADURIA III</v>
          </cell>
        </row>
        <row r="17">
          <cell r="A17" t="str">
            <v>ABOGADO PROCURADURIA IV</v>
          </cell>
        </row>
        <row r="18">
          <cell r="A18" t="str">
            <v>ACTUARIO I</v>
          </cell>
        </row>
        <row r="19">
          <cell r="A19" t="str">
            <v>ACTUARIO II</v>
          </cell>
        </row>
        <row r="20">
          <cell r="A20" t="str">
            <v>ACTUARIO III</v>
          </cell>
        </row>
        <row r="21">
          <cell r="A21" t="str">
            <v>ACTUARIO IV</v>
          </cell>
        </row>
        <row r="22">
          <cell r="A22" t="str">
            <v>ACTUARIO V</v>
          </cell>
        </row>
        <row r="23">
          <cell r="A23" t="str">
            <v>ADJUNTO INTERVENTOR DE ADUANAS I</v>
          </cell>
        </row>
        <row r="24">
          <cell r="A24" t="str">
            <v>ADJUNTO INTERVENTOR DE ADUANAS II</v>
          </cell>
        </row>
        <row r="25">
          <cell r="A25" t="str">
            <v>ADJUNTO INTERVENTOR DE ADUANAS III</v>
          </cell>
        </row>
        <row r="26">
          <cell r="A26" t="str">
            <v>ADMINISTRADOR DE COLECCIONES</v>
          </cell>
        </row>
        <row r="27">
          <cell r="A27" t="str">
            <v>ADMINISTRADOR I</v>
          </cell>
        </row>
        <row r="28">
          <cell r="A28" t="str">
            <v>ADMINISTRADOR II</v>
          </cell>
        </row>
        <row r="29">
          <cell r="A29" t="str">
            <v>ADMINISTRADOR III</v>
          </cell>
        </row>
        <row r="30">
          <cell r="A30" t="str">
            <v>ADMINISTRADOR IV</v>
          </cell>
        </row>
        <row r="31">
          <cell r="A31" t="str">
            <v>ADMINISTRADOR JEFE</v>
          </cell>
        </row>
        <row r="32">
          <cell r="A32" t="str">
            <v>ADMINISTRADOR V</v>
          </cell>
        </row>
        <row r="33">
          <cell r="A33" t="str">
            <v>AEROTOPOGRAFO I</v>
          </cell>
        </row>
        <row r="34">
          <cell r="A34" t="str">
            <v>AEROTOPOGRAFO II</v>
          </cell>
        </row>
        <row r="35">
          <cell r="A35" t="str">
            <v>AEROTOPOGRAFO III</v>
          </cell>
        </row>
        <row r="36">
          <cell r="A36" t="str">
            <v>AEROTOPOGRAFO IV</v>
          </cell>
        </row>
        <row r="37">
          <cell r="A37" t="str">
            <v>AEROTOPOGRAFO JEFE</v>
          </cell>
        </row>
        <row r="38">
          <cell r="A38" t="str">
            <v>AFERIDOR I</v>
          </cell>
        </row>
        <row r="39">
          <cell r="A39" t="str">
            <v>AFERIDOR II</v>
          </cell>
        </row>
        <row r="40">
          <cell r="A40" t="str">
            <v>AFORADOR DE HIDROCARBUROS</v>
          </cell>
        </row>
        <row r="41">
          <cell r="A41" t="str">
            <v>AGENTE</v>
          </cell>
        </row>
        <row r="42">
          <cell r="A42" t="str">
            <v>AGENTE AYUDA JUVENIL I</v>
          </cell>
        </row>
        <row r="43">
          <cell r="A43" t="str">
            <v>AGENTE AYUDA JUVENIL II</v>
          </cell>
        </row>
        <row r="44">
          <cell r="A44" t="str">
            <v>AGENTE COOPERATIVISTA I</v>
          </cell>
        </row>
        <row r="45">
          <cell r="A45" t="str">
            <v>AGENTE COOPERATIVISTA II</v>
          </cell>
        </row>
        <row r="46">
          <cell r="A46" t="str">
            <v>AGENTE DE INMIGRACION Y EXTRANJERIA I</v>
          </cell>
        </row>
        <row r="47">
          <cell r="A47" t="str">
            <v>AGENTE DE INMIGRACION Y EXTRANJERIA II</v>
          </cell>
        </row>
        <row r="48">
          <cell r="A48" t="str">
            <v>AGENTE DE INMIGRACION Y EXTRANJERIA III</v>
          </cell>
        </row>
        <row r="49">
          <cell r="A49" t="str">
            <v>AGENTE DE VIVIENDA I</v>
          </cell>
        </row>
        <row r="50">
          <cell r="A50" t="str">
            <v>AGENTE DE VIVIENDA II</v>
          </cell>
        </row>
        <row r="51">
          <cell r="A51" t="str">
            <v>AGENTE DE VIVIENDA III</v>
          </cell>
        </row>
        <row r="52">
          <cell r="A52" t="str">
            <v>AGENTE DISIP</v>
          </cell>
        </row>
        <row r="53">
          <cell r="A53" t="str">
            <v>AGRIMENSOR I</v>
          </cell>
        </row>
        <row r="54">
          <cell r="A54" t="str">
            <v>AGRIMENSOR II</v>
          </cell>
        </row>
        <row r="55">
          <cell r="A55" t="str">
            <v>AGRIMENSOR III</v>
          </cell>
        </row>
        <row r="56">
          <cell r="A56" t="str">
            <v>AGRIMENSOR JEFE</v>
          </cell>
        </row>
        <row r="57">
          <cell r="A57" t="str">
            <v>ALFABETIZADOR</v>
          </cell>
        </row>
        <row r="58">
          <cell r="A58" t="str">
            <v>ALFABETIZADOR I   139</v>
          </cell>
        </row>
        <row r="59">
          <cell r="A59" t="str">
            <v>ALFABETIZADOR I   77</v>
          </cell>
        </row>
        <row r="60">
          <cell r="A60" t="str">
            <v>ALFABETIZADOR I TCVDMA</v>
          </cell>
        </row>
        <row r="61">
          <cell r="A61" t="str">
            <v>ALFABETIZADOR II  139</v>
          </cell>
        </row>
        <row r="62">
          <cell r="A62" t="str">
            <v>ALFABETIZADOR II  77</v>
          </cell>
        </row>
        <row r="63">
          <cell r="A63" t="str">
            <v>ALFABETIZADOR II TCVDMA</v>
          </cell>
        </row>
        <row r="64">
          <cell r="A64" t="str">
            <v>ALFABETIZADOR III 139</v>
          </cell>
        </row>
        <row r="65">
          <cell r="A65" t="str">
            <v>ALFABETIZADOR III 77</v>
          </cell>
        </row>
        <row r="66">
          <cell r="A66" t="str">
            <v>ALFABETIZADOR III TCVDMA</v>
          </cell>
        </row>
        <row r="67">
          <cell r="A67" t="str">
            <v>ALFABETIZADOR IV  139</v>
          </cell>
        </row>
        <row r="68">
          <cell r="A68" t="str">
            <v>ALFABETIZADOR IV  77</v>
          </cell>
        </row>
        <row r="69">
          <cell r="A69" t="str">
            <v>ALFABETIZADOR IV TCVDMA</v>
          </cell>
        </row>
        <row r="70">
          <cell r="A70" t="str">
            <v>ALFABETIZADOR N.G.</v>
          </cell>
        </row>
        <row r="71">
          <cell r="A71" t="str">
            <v>ALFABETIZADOR NG TCVDMA</v>
          </cell>
        </row>
        <row r="72">
          <cell r="A72" t="str">
            <v>ALFABETIZADOR V   139</v>
          </cell>
        </row>
        <row r="73">
          <cell r="A73" t="str">
            <v>ALFABETIZADOR V   77</v>
          </cell>
        </row>
        <row r="74">
          <cell r="A74" t="str">
            <v>ALFABETIZADOR V TCVDMA</v>
          </cell>
        </row>
        <row r="75">
          <cell r="A75" t="str">
            <v>ALFABETIZADOR VI  139</v>
          </cell>
        </row>
        <row r="76">
          <cell r="A76" t="str">
            <v>ALFABETIZADOR VI  77</v>
          </cell>
        </row>
        <row r="77">
          <cell r="A77" t="str">
            <v>ALFABETIZADOR VI TCVDMA</v>
          </cell>
        </row>
        <row r="78">
          <cell r="A78" t="str">
            <v>ALMACENISTA I</v>
          </cell>
        </row>
        <row r="79">
          <cell r="A79" t="str">
            <v>ALMACENISTA II</v>
          </cell>
        </row>
        <row r="80">
          <cell r="A80" t="str">
            <v>ANALISTA CENTRAL DE PERSONAL I</v>
          </cell>
        </row>
        <row r="81">
          <cell r="A81" t="str">
            <v>ANALISTA CENTRAL DE PERSONAL II</v>
          </cell>
        </row>
        <row r="82">
          <cell r="A82" t="str">
            <v>ANALISTA CENTRAL DE PERSONAL III</v>
          </cell>
        </row>
        <row r="83">
          <cell r="A83" t="str">
            <v>ANALISTA CENTRAL DE PERSONAL IV</v>
          </cell>
        </row>
        <row r="84">
          <cell r="A84" t="str">
            <v>ANALISTA CENTRAL DE PERSONAL JEFE</v>
          </cell>
        </row>
        <row r="85">
          <cell r="A85" t="str">
            <v>ANALISTA CENTRAL DE PRESUPUESTO I</v>
          </cell>
        </row>
        <row r="86">
          <cell r="A86" t="str">
            <v>ANALISTA CENTRAL DE PRESUPUESTO II</v>
          </cell>
        </row>
        <row r="87">
          <cell r="A87" t="str">
            <v>ANALISTA CENTRAL DE PRESUPUESTO III</v>
          </cell>
        </row>
        <row r="88">
          <cell r="A88" t="str">
            <v>ANALISTA CENTRAL DE PRESUPUESTO IV</v>
          </cell>
        </row>
        <row r="89">
          <cell r="A89" t="str">
            <v>ANALISTA CENTRAL DE PRESUPUESTO JEFE</v>
          </cell>
        </row>
        <row r="90">
          <cell r="A90" t="str">
            <v>ANALISTA CENTRAL ORGAN. Y SISTEMAS I</v>
          </cell>
        </row>
        <row r="91">
          <cell r="A91" t="str">
            <v>ANALISTA CENTRAL ORGAN. Y SISTEMAS II</v>
          </cell>
        </row>
        <row r="92">
          <cell r="A92" t="str">
            <v>ANALISTA CENTRAL ORGAN. Y SISTEMAS III</v>
          </cell>
        </row>
        <row r="93">
          <cell r="A93" t="str">
            <v>ANALISTA CENTRAL ORGAN. Y SISTEMAS IV</v>
          </cell>
        </row>
        <row r="94">
          <cell r="A94" t="str">
            <v>ANALISTA CENTRAL ORGAN. Y SISTEMAS JEFE</v>
          </cell>
        </row>
        <row r="95">
          <cell r="A95" t="str">
            <v>ANALISTA CENTRAL ORGAN. Y SISTEMAS V</v>
          </cell>
        </row>
        <row r="96">
          <cell r="A96" t="str">
            <v>ANALISTA CENTRAL PERSONAL EN FORMACION</v>
          </cell>
        </row>
        <row r="97">
          <cell r="A97" t="str">
            <v>ANALISTA CENTRAL PRESUP EN FORMACION</v>
          </cell>
        </row>
        <row r="98">
          <cell r="A98" t="str">
            <v>ANALISTA DE ASUNTOS AUDIOVISUALES</v>
          </cell>
        </row>
        <row r="99">
          <cell r="A99" t="str">
            <v>ANALISTA DE COLOCACION Y SEGUIMIENTO</v>
          </cell>
        </row>
        <row r="100">
          <cell r="A100" t="str">
            <v>ANALISTA DE CONTROL FINANCIERO I</v>
          </cell>
        </row>
        <row r="101">
          <cell r="A101" t="str">
            <v>ANALISTA DE CONTROL FINANCIERO II</v>
          </cell>
        </row>
        <row r="102">
          <cell r="A102" t="str">
            <v>ANALISTA DE CONTROL FINANCIERO III</v>
          </cell>
        </row>
        <row r="103">
          <cell r="A103" t="str">
            <v>ANALISTA DE CONTROL FINANCIERO IV</v>
          </cell>
        </row>
        <row r="104">
          <cell r="A104" t="str">
            <v>ANALISTA DE CONTROL FINANCIERO JEFE</v>
          </cell>
        </row>
        <row r="105">
          <cell r="A105" t="str">
            <v>ANALISTA DE CONTROL FINANCIERO JEFE II</v>
          </cell>
        </row>
        <row r="106">
          <cell r="A106" t="str">
            <v>ANALISTA DE CONTROL FINANCIERO V</v>
          </cell>
        </row>
        <row r="107">
          <cell r="A107" t="str">
            <v>ANALISTA DE CREDITOS AGROPECUARIO III</v>
          </cell>
        </row>
        <row r="108">
          <cell r="A108" t="str">
            <v>ANALISTA DE CREDITOS AGROPECUARIOS I</v>
          </cell>
        </row>
        <row r="109">
          <cell r="A109" t="str">
            <v>ANALISTA DE CREDITOS AGROPECUARIOS II</v>
          </cell>
        </row>
        <row r="110">
          <cell r="A110" t="str">
            <v>ANALISTA DE CREDITOS AGROPECUARIOS JEFE</v>
          </cell>
        </row>
        <row r="111">
          <cell r="A111" t="str">
            <v>ANALISTA DE ORGANIZACION Y SISTEMAS I</v>
          </cell>
        </row>
        <row r="112">
          <cell r="A112" t="str">
            <v>ANALISTA DE ORGANIZACION Y SISTEMAS II</v>
          </cell>
        </row>
        <row r="113">
          <cell r="A113" t="str">
            <v>ANALISTA DE ORGANIZACION Y SISTEMAS III</v>
          </cell>
        </row>
        <row r="114">
          <cell r="A114" t="str">
            <v>ANALISTA DE ORGANIZACION Y SISTEMAS IV</v>
          </cell>
        </row>
        <row r="115">
          <cell r="A115" t="str">
            <v>ANALISTA DE ORGANIZACION Y SISTEMAS JEFE</v>
          </cell>
        </row>
        <row r="116">
          <cell r="A116" t="str">
            <v>ANALISTA DE PERSONAL I</v>
          </cell>
        </row>
        <row r="117">
          <cell r="A117" t="str">
            <v>ANALISTA DE PERSONAL II</v>
          </cell>
        </row>
        <row r="118">
          <cell r="A118" t="str">
            <v>ANALISTA DE PERSONAL III</v>
          </cell>
        </row>
        <row r="119">
          <cell r="A119" t="str">
            <v>ANALISTA DE PERSONAL IV</v>
          </cell>
        </row>
        <row r="120">
          <cell r="A120" t="str">
            <v>ANALISTA DE PERSONAL V</v>
          </cell>
        </row>
        <row r="121">
          <cell r="A121" t="str">
            <v>ANALISTA DE PERSONAL VI</v>
          </cell>
        </row>
        <row r="122">
          <cell r="A122" t="str">
            <v>ANALISTA DE PRESUPUESTO I</v>
          </cell>
        </row>
        <row r="123">
          <cell r="A123" t="str">
            <v>ANALISTA DE PRESUPUESTO II</v>
          </cell>
        </row>
        <row r="124">
          <cell r="A124" t="str">
            <v>ANALISTA DE PRESUPUESTO III</v>
          </cell>
        </row>
        <row r="125">
          <cell r="A125" t="str">
            <v>ANALISTA DE PRESUPUESTO IV</v>
          </cell>
        </row>
        <row r="126">
          <cell r="A126" t="str">
            <v>ANALISTA DE PRESUPUESTO JEFE</v>
          </cell>
        </row>
        <row r="127">
          <cell r="A127" t="str">
            <v>ANALISTA DE PROCESAMIENTO DE DATOS I</v>
          </cell>
        </row>
        <row r="128">
          <cell r="A128" t="str">
            <v>ANALISTA DE PROCESAMIENTO DE DATOS II</v>
          </cell>
        </row>
        <row r="129">
          <cell r="A129" t="str">
            <v>ANALISTA DE PROCESAMIENTO DE DATOS III</v>
          </cell>
        </row>
        <row r="130">
          <cell r="A130" t="str">
            <v>ANALISTA DE PROCESAMIENTO DE DATOS IV</v>
          </cell>
        </row>
        <row r="131">
          <cell r="A131" t="str">
            <v>ANALISTA DE PROCESAMIENTO DE DATOS V</v>
          </cell>
        </row>
        <row r="132">
          <cell r="A132" t="str">
            <v>ANALISTA DE PROYECTOS AGROPECUARIOS I</v>
          </cell>
        </row>
        <row r="133">
          <cell r="A133" t="str">
            <v>ANALISTA DE PROYECTOS AGROPECUARIOS II</v>
          </cell>
        </row>
        <row r="134">
          <cell r="A134" t="str">
            <v>ANALISTA DE PROYECTOS AGROPECUARIOS III</v>
          </cell>
        </row>
        <row r="135">
          <cell r="A135" t="str">
            <v>ANALISTA DE PROYECTOS INDUSTRIALES I</v>
          </cell>
        </row>
        <row r="136">
          <cell r="A136" t="str">
            <v>ANALISTA DE PROYECTOS INDUSTRIALES II</v>
          </cell>
        </row>
        <row r="137">
          <cell r="A137" t="str">
            <v>ANALISTA DE PROYECTOS INDUSTRIALES III</v>
          </cell>
        </row>
        <row r="138">
          <cell r="A138" t="str">
            <v>ANALISTA DE SEGURIDAD Y DEFENSA I</v>
          </cell>
        </row>
        <row r="139">
          <cell r="A139" t="str">
            <v>ANALISTA DE SEGURIDAD Y DEFENSA III</v>
          </cell>
        </row>
        <row r="140">
          <cell r="A140" t="str">
            <v>ANALISTA DE SEGURIDAD Y DEFENSA IV</v>
          </cell>
        </row>
        <row r="141">
          <cell r="A141" t="str">
            <v>ANALISTA DE SEGURIDAD Y DEFENSA JEFE</v>
          </cell>
        </row>
        <row r="142">
          <cell r="A142" t="str">
            <v>ANALISTA DE SEGURIDAD Y DENFENSA II</v>
          </cell>
        </row>
        <row r="143">
          <cell r="A143" t="str">
            <v>ANALISTA DE SUPERV. DE CREDITOS AGRO II</v>
          </cell>
        </row>
        <row r="144">
          <cell r="A144" t="str">
            <v>ANALISTA DE SUPERV. DE CREDITOS AGRO III</v>
          </cell>
        </row>
        <row r="145">
          <cell r="A145" t="str">
            <v>ANALISTA DE SUPERV. DE CREDITOS AGRO. I</v>
          </cell>
        </row>
        <row r="146">
          <cell r="A146" t="str">
            <v>ANALISTA FINANCIERO I</v>
          </cell>
        </row>
        <row r="147">
          <cell r="A147" t="str">
            <v>ANALISTA FINANCIERO II</v>
          </cell>
        </row>
        <row r="148">
          <cell r="A148" t="str">
            <v>ANALISTA FINANCIERO III</v>
          </cell>
        </row>
        <row r="149">
          <cell r="A149" t="str">
            <v>ANALISTA FINANCIERO IV</v>
          </cell>
        </row>
        <row r="150">
          <cell r="A150" t="str">
            <v>ANALISTA FINANCIERO JEFE</v>
          </cell>
        </row>
        <row r="151">
          <cell r="A151" t="str">
            <v>ANALISTA FINANCIERO V</v>
          </cell>
        </row>
        <row r="152">
          <cell r="A152" t="str">
            <v>ANALISTA OCUPACIONAL  JEFE</v>
          </cell>
        </row>
        <row r="153">
          <cell r="A153" t="str">
            <v>ANALISTA OCUPACIONAL I</v>
          </cell>
        </row>
        <row r="154">
          <cell r="A154" t="str">
            <v>ANALISTA OCUPACIONAL II</v>
          </cell>
        </row>
        <row r="155">
          <cell r="A155" t="str">
            <v>ANTROPOLOGO I</v>
          </cell>
        </row>
        <row r="156">
          <cell r="A156" t="str">
            <v>ANTROPOLOGO II</v>
          </cell>
        </row>
        <row r="157">
          <cell r="A157" t="str">
            <v>ANTROPOLOGO III</v>
          </cell>
        </row>
        <row r="158">
          <cell r="A158" t="str">
            <v>ARCHIVISTA I</v>
          </cell>
        </row>
        <row r="159">
          <cell r="A159" t="str">
            <v>ARCHIVISTA II</v>
          </cell>
        </row>
        <row r="160">
          <cell r="A160" t="str">
            <v>ARCHIVISTA III</v>
          </cell>
        </row>
        <row r="161">
          <cell r="A161" t="str">
            <v>ARCHIVOLOGO I</v>
          </cell>
        </row>
        <row r="162">
          <cell r="A162" t="str">
            <v>ARCHIVOLOGO II</v>
          </cell>
        </row>
        <row r="163">
          <cell r="A163" t="str">
            <v>ARCHIVOLOGO III</v>
          </cell>
        </row>
        <row r="164">
          <cell r="A164" t="str">
            <v>ARCHIVOLOGO IV</v>
          </cell>
        </row>
        <row r="165">
          <cell r="A165" t="str">
            <v>ARMONICA</v>
          </cell>
        </row>
        <row r="166">
          <cell r="A166" t="str">
            <v>ARQUITECTO I</v>
          </cell>
        </row>
        <row r="167">
          <cell r="A167" t="str">
            <v>ARQUITECTO II</v>
          </cell>
        </row>
        <row r="168">
          <cell r="A168" t="str">
            <v>ARQUITECTO III</v>
          </cell>
        </row>
        <row r="169">
          <cell r="A169" t="str">
            <v>ARQUITECTO JEFE I</v>
          </cell>
        </row>
        <row r="170">
          <cell r="A170" t="str">
            <v>ARQUITECTO JEFE II</v>
          </cell>
        </row>
        <row r="171">
          <cell r="A171" t="str">
            <v>ARQUITECTO PAISAJISTA I</v>
          </cell>
        </row>
        <row r="172">
          <cell r="A172" t="str">
            <v>ARQUITECTO PAISAJISTA II</v>
          </cell>
        </row>
        <row r="173">
          <cell r="A173" t="str">
            <v>ARQUITECTO PAISAJISTA III</v>
          </cell>
        </row>
        <row r="174">
          <cell r="A174" t="str">
            <v>ARQUITECTO PAISAJISTA JEFE I</v>
          </cell>
        </row>
        <row r="175">
          <cell r="A175" t="str">
            <v>ARQUITECTO PAISAJISTA JEFE II</v>
          </cell>
        </row>
        <row r="176">
          <cell r="A176" t="str">
            <v>ASIS. COORD. RED. B. IV 139</v>
          </cell>
        </row>
        <row r="177">
          <cell r="A177" t="str">
            <v>ASIST. BIBLIOTECA III</v>
          </cell>
        </row>
        <row r="178">
          <cell r="A178" t="str">
            <v>ASIST. BIBLIOTECA TCVN</v>
          </cell>
        </row>
        <row r="179">
          <cell r="A179" t="str">
            <v>ASIST. DE TALLER II</v>
          </cell>
        </row>
        <row r="180">
          <cell r="A180" t="str">
            <v>ASIST. DE TALLER III N.G.</v>
          </cell>
        </row>
        <row r="181">
          <cell r="A181" t="str">
            <v>ASIST.COORD.RED.B. IV 77</v>
          </cell>
        </row>
        <row r="182">
          <cell r="A182" t="str">
            <v>ASISTENTE  PABELLON DE FERIAS</v>
          </cell>
        </row>
        <row r="183">
          <cell r="A183" t="str">
            <v>ASISTENTE A LA SECRETARIA PRIVADA</v>
          </cell>
        </row>
        <row r="184">
          <cell r="A184" t="str">
            <v>ASISTENTE ADMINISTRATIVO I</v>
          </cell>
        </row>
        <row r="185">
          <cell r="A185" t="str">
            <v>ASISTENTE ADMINISTRATIVO II</v>
          </cell>
        </row>
        <row r="186">
          <cell r="A186" t="str">
            <v>ASISTENTE ADMINISTRATIVO III</v>
          </cell>
        </row>
        <row r="187">
          <cell r="A187" t="str">
            <v>ASISTENTE ADMINISTRATIVO IV</v>
          </cell>
        </row>
        <row r="188">
          <cell r="A188" t="str">
            <v>ASISTENTE ADMINISTRATIVO V</v>
          </cell>
        </row>
        <row r="189">
          <cell r="A189" t="str">
            <v>ASISTENTE ADMINISTRATIVO VI</v>
          </cell>
        </row>
        <row r="190">
          <cell r="A190" t="str">
            <v>ASISTENTE AEROPUERTO I</v>
          </cell>
        </row>
        <row r="191">
          <cell r="A191" t="str">
            <v>ASISTENTE AEROPUERTO II</v>
          </cell>
        </row>
        <row r="192">
          <cell r="A192" t="str">
            <v>ASISTENTE AEROPUERTO III</v>
          </cell>
        </row>
        <row r="193">
          <cell r="A193" t="str">
            <v>ASISTENTE AGROPECUARIO I</v>
          </cell>
        </row>
        <row r="194">
          <cell r="A194" t="str">
            <v>ASISTENTE AGROPECUARIO II</v>
          </cell>
        </row>
        <row r="195">
          <cell r="A195" t="str">
            <v>ASISTENTE AL COORDINADOR</v>
          </cell>
        </row>
        <row r="196">
          <cell r="A196" t="str">
            <v>ASISTENTE AL DIRECTOR</v>
          </cell>
        </row>
        <row r="197">
          <cell r="A197" t="str">
            <v>ASISTENTE AL JEFE CAPITANIA DE PUERTOS</v>
          </cell>
        </row>
        <row r="198">
          <cell r="A198" t="str">
            <v>ASISTENTE AL PRESIDENTE</v>
          </cell>
        </row>
        <row r="199">
          <cell r="A199" t="str">
            <v>ASISTENTE AL SECRETARIO</v>
          </cell>
        </row>
        <row r="200">
          <cell r="A200" t="str">
            <v>ASISTENTE ANALISTA FINANCIERO I</v>
          </cell>
        </row>
        <row r="201">
          <cell r="A201" t="str">
            <v>ASISTENTE ANALISTA FINANCIERO II</v>
          </cell>
        </row>
        <row r="202">
          <cell r="A202" t="str">
            <v>ASISTENTE ASUNTOS LITERARIOS</v>
          </cell>
        </row>
        <row r="203">
          <cell r="A203" t="str">
            <v>ASISTENTE AUXILIAR DE HIDROMETERIOLOGIA</v>
          </cell>
        </row>
        <row r="204">
          <cell r="A204" t="str">
            <v>ASISTENTE AUXILIAR DE SERVICIO SOCIAL</v>
          </cell>
        </row>
        <row r="205">
          <cell r="A205" t="str">
            <v>ASISTENTE CENTRAL DE ORGAN. Y SISTEMAS</v>
          </cell>
        </row>
        <row r="206">
          <cell r="A206" t="str">
            <v>ASISTENTE DE ANALISTA I</v>
          </cell>
        </row>
        <row r="207">
          <cell r="A207" t="str">
            <v>ASISTENTE DE ANALISTA II</v>
          </cell>
        </row>
        <row r="208">
          <cell r="A208" t="str">
            <v>ASISTENTE DE ANALISTA III</v>
          </cell>
        </row>
        <row r="209">
          <cell r="A209" t="str">
            <v>ASISTENTE DE ASUNTOS CINEMATOGRAFICOS</v>
          </cell>
        </row>
        <row r="210">
          <cell r="A210" t="str">
            <v>ASISTENTE DE ASUNTOS LEGALES I</v>
          </cell>
        </row>
        <row r="211">
          <cell r="A211" t="str">
            <v>ASISTENTE DE ASUNTOS LEGALES II</v>
          </cell>
        </row>
        <row r="212">
          <cell r="A212" t="str">
            <v>ASISTENTE DE BIBLIOTECA I</v>
          </cell>
        </row>
        <row r="213">
          <cell r="A213" t="str">
            <v>ASISTENTE DE BIBLIOTECA II</v>
          </cell>
        </row>
        <row r="214">
          <cell r="A214" t="str">
            <v>ASISTENTE DE BIBLIOTECA III</v>
          </cell>
        </row>
        <row r="215">
          <cell r="A215" t="str">
            <v>ASISTENTE DE BIOLOGIA I</v>
          </cell>
        </row>
        <row r="216">
          <cell r="A216" t="str">
            <v>ASISTENTE DE BIOLOGIA II</v>
          </cell>
        </row>
        <row r="217">
          <cell r="A217" t="str">
            <v>ASISTENTE DE CAPITAN DE PUERTO I</v>
          </cell>
        </row>
        <row r="218">
          <cell r="A218" t="str">
            <v>ASISTENTE DE CAPITAN DE PUERTO II</v>
          </cell>
        </row>
        <row r="219">
          <cell r="A219" t="str">
            <v>ASISTENTE DE COMUNICACION SOCIAL I</v>
          </cell>
        </row>
        <row r="220">
          <cell r="A220" t="str">
            <v>ASISTENTE DE COMUNICACION SOCIAL II</v>
          </cell>
        </row>
        <row r="221">
          <cell r="A221" t="str">
            <v>ASISTENTE DE CONTROL FINANCIERO</v>
          </cell>
        </row>
        <row r="222">
          <cell r="A222" t="str">
            <v>ASISTENTE DE DIETETICA</v>
          </cell>
        </row>
        <row r="223">
          <cell r="A223" t="str">
            <v>ASISTENTE DE ECONOMIA I</v>
          </cell>
        </row>
        <row r="224">
          <cell r="A224" t="str">
            <v>ASISTENTE DE ECONOMIA II</v>
          </cell>
        </row>
        <row r="225">
          <cell r="A225" t="str">
            <v>ASISTENTE DE ESCENOGRAFIA</v>
          </cell>
        </row>
        <row r="226">
          <cell r="A226" t="str">
            <v>ASISTENTE DE ESTADISTICA I</v>
          </cell>
        </row>
        <row r="227">
          <cell r="A227" t="str">
            <v>ASISTENTE DE ESTADISTICA II</v>
          </cell>
        </row>
        <row r="228">
          <cell r="A228" t="str">
            <v>ASISTENTE DE ESTADISTICA III</v>
          </cell>
        </row>
        <row r="229">
          <cell r="A229" t="str">
            <v>ASISTENTE DE ESTIMADOR DE ASTILLEROS I</v>
          </cell>
        </row>
        <row r="230">
          <cell r="A230" t="str">
            <v>ASISTENTE DE ESTIMADOR DE ASTILLEROS II</v>
          </cell>
        </row>
        <row r="231">
          <cell r="A231" t="str">
            <v>ASISTENTE DE FARMACIA I</v>
          </cell>
        </row>
        <row r="232">
          <cell r="A232" t="str">
            <v>ASISTENTE DE FARMACIA II</v>
          </cell>
        </row>
        <row r="233">
          <cell r="A233" t="str">
            <v>ASISTENTE DE GUARDAFAUNA I</v>
          </cell>
        </row>
        <row r="234">
          <cell r="A234" t="str">
            <v>ASISTENTE DE GUARDAFAUNA II</v>
          </cell>
        </row>
        <row r="235">
          <cell r="A235" t="str">
            <v>ASISTENTE DE HIDROMETEREOLOGIA I</v>
          </cell>
        </row>
        <row r="236">
          <cell r="A236" t="str">
            <v>ASISTENTE DE HIDROMETERIOLOGIA II</v>
          </cell>
        </row>
        <row r="237">
          <cell r="A237" t="str">
            <v>ASISTENTE DE HIDROMETERIOLOGIA III</v>
          </cell>
        </row>
        <row r="238">
          <cell r="A238" t="str">
            <v>ASISTENTE DE IDENTIFICACION</v>
          </cell>
        </row>
        <row r="239">
          <cell r="A239" t="str">
            <v>ASISTENTE DE INGENIERIA</v>
          </cell>
        </row>
        <row r="240">
          <cell r="A240" t="str">
            <v>ASISTENTE DE INMIGRACION Y EXTRANJERIA</v>
          </cell>
        </row>
        <row r="241">
          <cell r="A241" t="str">
            <v>ASISTENTE DE INVESTIGADOR DE MUSEO</v>
          </cell>
        </row>
        <row r="242">
          <cell r="A242" t="str">
            <v>ASISTENTE DE LABORATORIO CLINICO I</v>
          </cell>
        </row>
        <row r="243">
          <cell r="A243" t="str">
            <v>ASISTENTE DE LABORATORIO CLINICO II</v>
          </cell>
        </row>
        <row r="244">
          <cell r="A244" t="str">
            <v>ASISTENTE DE MUSEOGRAFIA</v>
          </cell>
        </row>
        <row r="245">
          <cell r="A245" t="str">
            <v>ASISTENTE DE OFICINA I</v>
          </cell>
        </row>
        <row r="246">
          <cell r="A246" t="str">
            <v>ASISTENTE DE OFICINA II</v>
          </cell>
        </row>
        <row r="247">
          <cell r="A247" t="str">
            <v>ASISTENTE DE ORTESIS Y/O PROTESIS</v>
          </cell>
        </row>
        <row r="248">
          <cell r="A248" t="str">
            <v>ASISTENTE DE PRE-ESCOLAR</v>
          </cell>
        </row>
        <row r="249">
          <cell r="A249" t="str">
            <v>ASISTENTE DE PRIMEROS AUXILIOS I</v>
          </cell>
        </row>
        <row r="250">
          <cell r="A250" t="str">
            <v>ASISTENTE DE PRIMEROS AUXILIOS II</v>
          </cell>
        </row>
        <row r="251">
          <cell r="A251" t="str">
            <v>ASISTENTE DE PRODUCCION</v>
          </cell>
        </row>
        <row r="252">
          <cell r="A252" t="str">
            <v>ASISTENTE DE PROGRAMACION</v>
          </cell>
        </row>
        <row r="253">
          <cell r="A253" t="str">
            <v>ASISTENTE DE PROMOTOR CULTURA</v>
          </cell>
        </row>
        <row r="254">
          <cell r="A254" t="str">
            <v>ASISTENTE DE PROMOTOR DE EXPORTACIONES</v>
          </cell>
        </row>
        <row r="255">
          <cell r="A255" t="str">
            <v>ASISTENTE DE PROTOCOLO</v>
          </cell>
        </row>
        <row r="256">
          <cell r="A256" t="str">
            <v>ASISTENTE DE PSICOLOGIA I</v>
          </cell>
        </row>
        <row r="257">
          <cell r="A257" t="str">
            <v>ASISTENTE DE PSICOLOGIA II</v>
          </cell>
        </row>
        <row r="258">
          <cell r="A258" t="str">
            <v>ASISTENTE DE PUERICULTURA</v>
          </cell>
        </row>
        <row r="259">
          <cell r="A259" t="str">
            <v>ASISTENTE DE RAYOS X</v>
          </cell>
        </row>
        <row r="260">
          <cell r="A260" t="str">
            <v>ASISTENTE DE RELACIONES PUBLICAS</v>
          </cell>
        </row>
        <row r="261">
          <cell r="A261" t="str">
            <v>ASISTENTE DE RESTAURACION</v>
          </cell>
        </row>
        <row r="262">
          <cell r="A262" t="str">
            <v>ASISTENTE DE SALUD PUBLICA</v>
          </cell>
        </row>
        <row r="263">
          <cell r="A263" t="str">
            <v>ASISTENTE DE SERVICIO SOCIAL</v>
          </cell>
        </row>
        <row r="264">
          <cell r="A264" t="str">
            <v>ASISTENTE DE TALLER N.G.</v>
          </cell>
        </row>
        <row r="265">
          <cell r="A265" t="str">
            <v>ASISTENTE DE TEATRO  IV 139</v>
          </cell>
        </row>
        <row r="266">
          <cell r="A266" t="str">
            <v>ASISTENTE DE TERAPIA</v>
          </cell>
        </row>
        <row r="267">
          <cell r="A267" t="str">
            <v>ASISTENTE DE TOPOGRAFO</v>
          </cell>
        </row>
        <row r="268">
          <cell r="A268" t="str">
            <v>ASISTENTE DE VETERINARIA</v>
          </cell>
        </row>
        <row r="269">
          <cell r="A269" t="str">
            <v>ASISTENTE ESPECIALISTA EN INFORMACION I</v>
          </cell>
        </row>
        <row r="270">
          <cell r="A270" t="str">
            <v>ASISTENTE ESPECIALISTA EN INFORMACION II</v>
          </cell>
        </row>
        <row r="271">
          <cell r="A271" t="str">
            <v>ASISTENTE HABILITADO I</v>
          </cell>
        </row>
        <row r="272">
          <cell r="A272" t="str">
            <v>ASISTENTE HABILITADO II</v>
          </cell>
        </row>
        <row r="273">
          <cell r="A273" t="str">
            <v>ASISTENTE MATEMATICA III</v>
          </cell>
        </row>
        <row r="274">
          <cell r="A274" t="str">
            <v>ASISTENTE MATEMATICAS I</v>
          </cell>
        </row>
        <row r="275">
          <cell r="A275" t="str">
            <v>ASISTENTE MATEMATICAS II</v>
          </cell>
        </row>
        <row r="276">
          <cell r="A276" t="str">
            <v>ASISTENTE TECNICO DE GUARDAFAUNA</v>
          </cell>
        </row>
        <row r="277">
          <cell r="A277" t="str">
            <v>ASISTENTE TECNICO DE INGENIERIA I</v>
          </cell>
        </row>
        <row r="278">
          <cell r="A278" t="str">
            <v>ASISTENTE TECNICO DE INGENIERIA II</v>
          </cell>
        </row>
        <row r="279">
          <cell r="A279" t="str">
            <v>ASISTENTE TECNICO DE INGENIERIA III</v>
          </cell>
        </row>
        <row r="280">
          <cell r="A280" t="str">
            <v>ASISTENTE TECNICO EN REPARACION Y MANTE.</v>
          </cell>
        </row>
        <row r="281">
          <cell r="A281" t="str">
            <v>ASTRONOMO</v>
          </cell>
        </row>
        <row r="282">
          <cell r="A282" t="str">
            <v>AUDITOR I</v>
          </cell>
        </row>
        <row r="283">
          <cell r="A283" t="str">
            <v>AUDITOR II</v>
          </cell>
        </row>
        <row r="284">
          <cell r="A284" t="str">
            <v>AUDITOR III</v>
          </cell>
        </row>
        <row r="285">
          <cell r="A285" t="str">
            <v>AUDITOR IV</v>
          </cell>
        </row>
        <row r="286">
          <cell r="A286" t="str">
            <v>AUDITOR JEFE</v>
          </cell>
        </row>
        <row r="287">
          <cell r="A287" t="str">
            <v>AUTOGRAFISTA</v>
          </cell>
        </row>
        <row r="288">
          <cell r="A288" t="str">
            <v>AUX. BIBLIOTECA PUB. I   77</v>
          </cell>
        </row>
        <row r="289">
          <cell r="A289" t="str">
            <v>AUX. BIBLIOTECA PUB. I  139</v>
          </cell>
        </row>
        <row r="290">
          <cell r="A290" t="str">
            <v>AUX. BIBLIOTECA PUB. II  77</v>
          </cell>
        </row>
        <row r="291">
          <cell r="A291" t="str">
            <v>AUX. BIBLIOTECA PUB. II 139</v>
          </cell>
        </row>
        <row r="292">
          <cell r="A292" t="str">
            <v>AUX. BIBLIOTECA PUB. III 77</v>
          </cell>
        </row>
        <row r="293">
          <cell r="A293" t="str">
            <v>AUX. BIBLIOTECA PUB. IV  77</v>
          </cell>
        </row>
        <row r="294">
          <cell r="A294" t="str">
            <v>AUX. BIBLIOTECA PUB. IV 139</v>
          </cell>
        </row>
        <row r="295">
          <cell r="A295" t="str">
            <v>AUX. BIBLIOTECA PUB. N.G.</v>
          </cell>
        </row>
        <row r="296">
          <cell r="A296" t="str">
            <v>AUX. BIBLIOTECA PUB. V   77</v>
          </cell>
        </row>
        <row r="297">
          <cell r="A297" t="str">
            <v>AUX. BIBLIOTECA PUB. V  139</v>
          </cell>
        </row>
        <row r="298">
          <cell r="A298" t="str">
            <v>AUX. BIBLIOTECA PUB. VI  77</v>
          </cell>
        </row>
        <row r="299">
          <cell r="A299" t="str">
            <v>AUX. BIBLIOTECA PUB. VI 139</v>
          </cell>
        </row>
        <row r="300">
          <cell r="A300" t="str">
            <v>AUX. BIBLIOTECA PUB.III 139</v>
          </cell>
        </row>
        <row r="301">
          <cell r="A301" t="str">
            <v>AUX. BIBLIOTECA TCVN</v>
          </cell>
        </row>
        <row r="302">
          <cell r="A302" t="str">
            <v>AUXILIAR DE BIBLIOTECA N.G.</v>
          </cell>
        </row>
        <row r="303">
          <cell r="A303" t="str">
            <v>AUXILIAR DE BIBLIOTECA TID</v>
          </cell>
        </row>
        <row r="304">
          <cell r="A304" t="str">
            <v>AUXILIAR DE OFICINA I</v>
          </cell>
        </row>
        <row r="305">
          <cell r="A305" t="str">
            <v>AUXILIAR DE PRE-ESCOLAR</v>
          </cell>
        </row>
        <row r="306">
          <cell r="A306" t="str">
            <v>AUXILIAR DE TERAPIA</v>
          </cell>
        </row>
        <row r="307">
          <cell r="A307" t="str">
            <v>AUXILIAR DE TERAPIA N.G.</v>
          </cell>
        </row>
        <row r="308">
          <cell r="A308" t="str">
            <v>AUXILIAR DE TERAPIA NG</v>
          </cell>
        </row>
        <row r="309">
          <cell r="A309" t="str">
            <v>AVALUADOR DE INMUEBLES I</v>
          </cell>
        </row>
        <row r="310">
          <cell r="A310" t="str">
            <v>AVALUADOR DE INMUEBLES II</v>
          </cell>
        </row>
        <row r="311">
          <cell r="A311" t="str">
            <v>AVALUADOR DE INMUEBLES III</v>
          </cell>
        </row>
        <row r="312">
          <cell r="A312" t="str">
            <v>AVALUADOR DE INMUEBLES JEFE</v>
          </cell>
        </row>
        <row r="313">
          <cell r="A313" t="str">
            <v>BIBLIOTECARIA</v>
          </cell>
        </row>
        <row r="314">
          <cell r="A314" t="str">
            <v>BIBLIOTECOLOGO I</v>
          </cell>
        </row>
        <row r="315">
          <cell r="A315" t="str">
            <v>BIBLIOTECOLOGO II</v>
          </cell>
        </row>
        <row r="316">
          <cell r="A316" t="str">
            <v>BIBLIOTECOLOGO III</v>
          </cell>
        </row>
        <row r="317">
          <cell r="A317" t="str">
            <v>BIBLIOTECOLOGO IV</v>
          </cell>
        </row>
        <row r="318">
          <cell r="A318" t="str">
            <v>BIOANALISTA I</v>
          </cell>
        </row>
        <row r="319">
          <cell r="A319" t="str">
            <v>BIOANALISTA II</v>
          </cell>
        </row>
        <row r="320">
          <cell r="A320" t="str">
            <v>BIOANALISTA III</v>
          </cell>
        </row>
        <row r="321">
          <cell r="A321" t="str">
            <v>BIOANALISTA IV</v>
          </cell>
        </row>
        <row r="322">
          <cell r="A322" t="str">
            <v>BIOANALISTA V</v>
          </cell>
        </row>
        <row r="323">
          <cell r="A323" t="str">
            <v>BIOANALISTA VI</v>
          </cell>
        </row>
        <row r="324">
          <cell r="A324" t="str">
            <v>BIOLOGO I</v>
          </cell>
        </row>
        <row r="325">
          <cell r="A325" t="str">
            <v>BIOLOGO II</v>
          </cell>
        </row>
        <row r="326">
          <cell r="A326" t="str">
            <v>BIOLOGO III</v>
          </cell>
        </row>
        <row r="327">
          <cell r="A327" t="str">
            <v>BIOLOGO JEFE</v>
          </cell>
        </row>
        <row r="328">
          <cell r="A328" t="str">
            <v>BOMBARDINO SOLISTA</v>
          </cell>
        </row>
        <row r="329">
          <cell r="A329" t="str">
            <v>BOMBERO (BOMBERO)</v>
          </cell>
        </row>
        <row r="330">
          <cell r="A330" t="str">
            <v>BOMBERO I</v>
          </cell>
        </row>
        <row r="331">
          <cell r="A331" t="str">
            <v>BOMBERO II</v>
          </cell>
        </row>
        <row r="332">
          <cell r="A332" t="str">
            <v>BOMBERO III</v>
          </cell>
        </row>
        <row r="333">
          <cell r="A333" t="str">
            <v>BOMBERO IV</v>
          </cell>
        </row>
        <row r="334">
          <cell r="A334" t="str">
            <v>BOMBERO JEFE I</v>
          </cell>
        </row>
        <row r="335">
          <cell r="A335" t="str">
            <v>BOMBERO JEFE II</v>
          </cell>
        </row>
        <row r="336">
          <cell r="A336" t="str">
            <v>BOMBO 3</v>
          </cell>
        </row>
        <row r="337">
          <cell r="A337" t="str">
            <v>BOTANICO I</v>
          </cell>
        </row>
        <row r="338">
          <cell r="A338" t="str">
            <v>BOTANICO II</v>
          </cell>
        </row>
        <row r="339">
          <cell r="A339" t="str">
            <v>BOTANICO III</v>
          </cell>
        </row>
        <row r="340">
          <cell r="A340" t="str">
            <v>BOTANICO JEFE</v>
          </cell>
        </row>
        <row r="341">
          <cell r="A341" t="str">
            <v>CABO 1RO</v>
          </cell>
        </row>
        <row r="342">
          <cell r="A342" t="str">
            <v>CABO 1RO (BOMBERO)</v>
          </cell>
        </row>
        <row r="343">
          <cell r="A343" t="str">
            <v>CABO 2DO</v>
          </cell>
        </row>
        <row r="344">
          <cell r="A344" t="str">
            <v>CABO 2DO (BOMBERO)</v>
          </cell>
        </row>
        <row r="345">
          <cell r="A345" t="str">
            <v>CAJERO I</v>
          </cell>
        </row>
        <row r="346">
          <cell r="A346" t="str">
            <v>CAJERO II</v>
          </cell>
        </row>
        <row r="347">
          <cell r="A347" t="str">
            <v>CAJERO III</v>
          </cell>
        </row>
        <row r="348">
          <cell r="A348" t="str">
            <v>CAJERO JEFE</v>
          </cell>
        </row>
        <row r="349">
          <cell r="A349" t="str">
            <v>CALCULISTA DE HIDROCARBUROS I</v>
          </cell>
        </row>
        <row r="350">
          <cell r="A350" t="str">
            <v>CALCULISTA DE HIDROCARBUROS II</v>
          </cell>
        </row>
        <row r="351">
          <cell r="A351" t="str">
            <v>CALCULISTA DE HIDROCARBUROS III</v>
          </cell>
        </row>
        <row r="352">
          <cell r="A352" t="str">
            <v>CALIGRAFO</v>
          </cell>
        </row>
        <row r="353">
          <cell r="A353" t="str">
            <v>CAPELLAN I</v>
          </cell>
        </row>
        <row r="354">
          <cell r="A354" t="str">
            <v>CAPELLAN II</v>
          </cell>
        </row>
        <row r="355">
          <cell r="A355" t="str">
            <v>CAPITAN (BOMBERO)</v>
          </cell>
        </row>
        <row r="356">
          <cell r="A356" t="str">
            <v>CAPITAN DE HELICOPTERO</v>
          </cell>
        </row>
        <row r="357">
          <cell r="A357" t="str">
            <v>CAPITAN DE JET</v>
          </cell>
        </row>
        <row r="358">
          <cell r="A358" t="str">
            <v>CAPITAN DE PISTON</v>
          </cell>
        </row>
        <row r="359">
          <cell r="A359" t="str">
            <v>CAPITAN DE PUERTOS I</v>
          </cell>
        </row>
        <row r="360">
          <cell r="A360" t="str">
            <v>CAPITAN DE PUERTOS II</v>
          </cell>
        </row>
        <row r="361">
          <cell r="A361" t="str">
            <v>CAPITAN DE REMOLCADOR</v>
          </cell>
        </row>
        <row r="362">
          <cell r="A362" t="str">
            <v>CAPITAN DE TRANSPORTE NAVAL</v>
          </cell>
        </row>
        <row r="363">
          <cell r="A363" t="str">
            <v>CAPITAN I</v>
          </cell>
        </row>
        <row r="364">
          <cell r="A364" t="str">
            <v>CAPITAN II</v>
          </cell>
        </row>
        <row r="365">
          <cell r="A365" t="str">
            <v>CAPITAN III</v>
          </cell>
        </row>
        <row r="366">
          <cell r="A366" t="str">
            <v>CENSOR RADIO Y TV</v>
          </cell>
        </row>
        <row r="367">
          <cell r="A367" t="str">
            <v>CITOTECNOLOG III</v>
          </cell>
        </row>
        <row r="368">
          <cell r="A368" t="str">
            <v>CITOTECNOLOGO I</v>
          </cell>
        </row>
        <row r="369">
          <cell r="A369" t="str">
            <v>CITOTECNOLOGO II</v>
          </cell>
        </row>
        <row r="370">
          <cell r="A370" t="str">
            <v>CLARINETE 1</v>
          </cell>
        </row>
        <row r="371">
          <cell r="A371" t="str">
            <v>CLARINETE 2</v>
          </cell>
        </row>
        <row r="372">
          <cell r="A372" t="str">
            <v>CLARINETE 3</v>
          </cell>
        </row>
        <row r="373">
          <cell r="A373" t="str">
            <v>CLARINETE I</v>
          </cell>
        </row>
        <row r="374">
          <cell r="A374" t="str">
            <v>CLARINETE II</v>
          </cell>
        </row>
        <row r="375">
          <cell r="A375" t="str">
            <v>CLARINETE SOLISTA</v>
          </cell>
        </row>
        <row r="376">
          <cell r="A376" t="str">
            <v>COBRADOR JEFE I</v>
          </cell>
        </row>
        <row r="377">
          <cell r="A377" t="str">
            <v>COBRADOR JEFE II</v>
          </cell>
        </row>
        <row r="378">
          <cell r="A378" t="str">
            <v>COLECTOR</v>
          </cell>
        </row>
        <row r="379">
          <cell r="A379" t="str">
            <v>COMANDANTE</v>
          </cell>
        </row>
        <row r="380">
          <cell r="A380" t="str">
            <v>COMANDANTE DE HELICOPTERO</v>
          </cell>
        </row>
        <row r="381">
          <cell r="A381" t="str">
            <v>COMANDANTE DE JET</v>
          </cell>
        </row>
        <row r="382">
          <cell r="A382" t="str">
            <v>COMANDANTE DE TURBO</v>
          </cell>
        </row>
        <row r="383">
          <cell r="A383" t="str">
            <v>COMANDANTE GENERAL</v>
          </cell>
        </row>
        <row r="384">
          <cell r="A384" t="str">
            <v>COMISARIO</v>
          </cell>
        </row>
        <row r="385">
          <cell r="A385" t="str">
            <v>COMISARIO GENERAL</v>
          </cell>
        </row>
        <row r="386">
          <cell r="A386" t="str">
            <v>COMISARIO JEFE</v>
          </cell>
        </row>
        <row r="387">
          <cell r="A387" t="str">
            <v>COMISIONADO</v>
          </cell>
        </row>
        <row r="388">
          <cell r="A388" t="str">
            <v>COMISIONADO (GRADO 0)</v>
          </cell>
        </row>
        <row r="389">
          <cell r="A389" t="str">
            <v>COMISIONADO (GRADO 1)</v>
          </cell>
        </row>
        <row r="390">
          <cell r="A390" t="str">
            <v>COMISIONADO (GRADO 2)</v>
          </cell>
        </row>
        <row r="391">
          <cell r="A391" t="str">
            <v>COMISIONADO AGREGADO</v>
          </cell>
        </row>
        <row r="392">
          <cell r="A392" t="str">
            <v>COMISIONADO AGREGADO (GRADO 0)</v>
          </cell>
        </row>
        <row r="393">
          <cell r="A393" t="str">
            <v>COMISIONADO AGREGADO (GRADO 1)</v>
          </cell>
        </row>
        <row r="394">
          <cell r="A394" t="str">
            <v>COMISIONADO AGREGADO (GRADO 2)</v>
          </cell>
        </row>
        <row r="395">
          <cell r="A395" t="str">
            <v>COMISIONADO ASUNTOS INTERINSTITUCIONALES</v>
          </cell>
        </row>
        <row r="396">
          <cell r="A396" t="str">
            <v>COMISIONADO DEL TRABAJO</v>
          </cell>
        </row>
        <row r="397">
          <cell r="A397" t="str">
            <v>COMISIONADO ESPECIAL DE TRABAJO I</v>
          </cell>
        </row>
        <row r="398">
          <cell r="A398" t="str">
            <v>COMISIONADO ESPECIAL DE TRABAJO II</v>
          </cell>
        </row>
        <row r="399">
          <cell r="A399" t="str">
            <v>COMISIONADO JEFE</v>
          </cell>
        </row>
        <row r="400">
          <cell r="A400" t="str">
            <v>COMISIONADO JEFE (GRADO 0)</v>
          </cell>
        </row>
        <row r="401">
          <cell r="A401" t="str">
            <v>COMISIONADO JEFE (GRADO 1)</v>
          </cell>
        </row>
        <row r="402">
          <cell r="A402" t="str">
            <v>COMISIONADO JEFE (GRADO 2)</v>
          </cell>
        </row>
        <row r="403">
          <cell r="A403" t="str">
            <v>COMISIONADO JEFE (GRADO 3)</v>
          </cell>
        </row>
        <row r="404">
          <cell r="A404" t="str">
            <v>COMISIONADO.</v>
          </cell>
        </row>
        <row r="405">
          <cell r="A405" t="str">
            <v>COMPRADOR I</v>
          </cell>
        </row>
        <row r="406">
          <cell r="A406" t="str">
            <v>COMPRADOR II</v>
          </cell>
        </row>
        <row r="407">
          <cell r="A407" t="str">
            <v>COMPRADOR III</v>
          </cell>
        </row>
        <row r="408">
          <cell r="A408" t="str">
            <v>COMPRADOR JEFE I</v>
          </cell>
        </row>
        <row r="409">
          <cell r="A409" t="str">
            <v>COMPRADOR JEFE II</v>
          </cell>
        </row>
        <row r="410">
          <cell r="A410" t="str">
            <v>COMUNICADOR SOCIAL I</v>
          </cell>
        </row>
        <row r="411">
          <cell r="A411" t="str">
            <v>COMUNICADOR SOCIAL II</v>
          </cell>
        </row>
        <row r="412">
          <cell r="A412" t="str">
            <v>COMUNICADOR SOCIAL III</v>
          </cell>
        </row>
        <row r="413">
          <cell r="A413" t="str">
            <v>CONDUCTORES DE 1RA</v>
          </cell>
        </row>
        <row r="414">
          <cell r="A414" t="str">
            <v>CONDUCTORES DE 2DA</v>
          </cell>
        </row>
        <row r="415">
          <cell r="A415" t="str">
            <v>CONDUCTORES DE 3RA</v>
          </cell>
        </row>
        <row r="416">
          <cell r="A416" t="str">
            <v>CONSULTOR JURIDICO</v>
          </cell>
        </row>
        <row r="417">
          <cell r="A417" t="str">
            <v>CONTABILISTA I</v>
          </cell>
        </row>
        <row r="418">
          <cell r="A418" t="str">
            <v>CONTABILISTA II</v>
          </cell>
        </row>
        <row r="419">
          <cell r="A419" t="str">
            <v>CONTABILISTA III</v>
          </cell>
        </row>
        <row r="420">
          <cell r="A420" t="str">
            <v>CONTADOR I</v>
          </cell>
        </row>
        <row r="421">
          <cell r="A421" t="str">
            <v>CONTADOR II</v>
          </cell>
        </row>
        <row r="422">
          <cell r="A422" t="str">
            <v>CONTADOR III</v>
          </cell>
        </row>
        <row r="423">
          <cell r="A423" t="str">
            <v>CONTADOR IV</v>
          </cell>
        </row>
        <row r="424">
          <cell r="A424" t="str">
            <v>CONTADOR JEFE</v>
          </cell>
        </row>
        <row r="425">
          <cell r="A425" t="str">
            <v>CONTRABAJO</v>
          </cell>
        </row>
        <row r="426">
          <cell r="A426" t="str">
            <v>CONTRABAJO</v>
          </cell>
        </row>
        <row r="427">
          <cell r="A427" t="str">
            <v>CONTRABAJO 1</v>
          </cell>
        </row>
        <row r="428">
          <cell r="A428" t="str">
            <v>CONTRABAJO I/ INST. I N.G. (16 HORAS)</v>
          </cell>
        </row>
        <row r="429">
          <cell r="A429" t="str">
            <v>CONTRABAJO II</v>
          </cell>
        </row>
        <row r="430">
          <cell r="A430" t="str">
            <v>CONTRALOR INTERNO</v>
          </cell>
        </row>
        <row r="431">
          <cell r="A431" t="str">
            <v>CONTROLADOR DE ARMAS Y EXPLOSIVOS I</v>
          </cell>
        </row>
        <row r="432">
          <cell r="A432" t="str">
            <v>CONTROLADOR DE ARMAS Y EXPLOSIVOS II</v>
          </cell>
        </row>
        <row r="433">
          <cell r="A433" t="str">
            <v>CONTROLADOR DE ARMAS Y EXPLOSIVOS III</v>
          </cell>
        </row>
        <row r="434">
          <cell r="A434" t="str">
            <v>CONTROLADOR DE TRANSITO AEREO I</v>
          </cell>
        </row>
        <row r="435">
          <cell r="A435" t="str">
            <v>CONTROLADOR DE TRANSITO AEREO II</v>
          </cell>
        </row>
        <row r="436">
          <cell r="A436" t="str">
            <v>CONTROLADOR DE TRANSITO AEREO III</v>
          </cell>
        </row>
        <row r="437">
          <cell r="A437" t="str">
            <v>CONTROLADOR DE TRANSITO AEREO IV</v>
          </cell>
        </row>
        <row r="438">
          <cell r="A438" t="str">
            <v>CONTROLADOR DE TRANSITO AEREO JEFE I</v>
          </cell>
        </row>
        <row r="439">
          <cell r="A439" t="str">
            <v>CONTROLADOR DE TRANSITO AEREO JEFE II</v>
          </cell>
        </row>
        <row r="440">
          <cell r="A440" t="str">
            <v>CONTROLADOR DE TRANSITO AEREO JEFE III</v>
          </cell>
        </row>
        <row r="441">
          <cell r="A441" t="str">
            <v>CONTROLADOR DE TRANSITO AEREO V</v>
          </cell>
        </row>
        <row r="442">
          <cell r="A442" t="str">
            <v>CONTROLADOR DE TRANSITO AEREO VI</v>
          </cell>
        </row>
        <row r="443">
          <cell r="A443" t="str">
            <v>COORD DOC VI 77 TID (36 HORAS) Y DOCENTE BASICO VI (06 HORAS)</v>
          </cell>
        </row>
        <row r="444">
          <cell r="A444" t="str">
            <v>COORD.  I   77</v>
          </cell>
        </row>
        <row r="445">
          <cell r="A445" t="str">
            <v>COORD.  II  77</v>
          </cell>
        </row>
        <row r="446">
          <cell r="A446" t="str">
            <v>COORD.  III 77</v>
          </cell>
        </row>
        <row r="447">
          <cell r="A447" t="str">
            <v>COORD.  IV  77</v>
          </cell>
        </row>
        <row r="448">
          <cell r="A448" t="str">
            <v>COORD.  V   77</v>
          </cell>
        </row>
        <row r="449">
          <cell r="A449" t="str">
            <v>COORD.  VI  77</v>
          </cell>
        </row>
        <row r="450">
          <cell r="A450" t="str">
            <v>COORD. CONSERV. Y M.</v>
          </cell>
        </row>
        <row r="451">
          <cell r="A451" t="str">
            <v>COORD. DE DIFUSIONLITER. Y TEATRAL</v>
          </cell>
        </row>
        <row r="452">
          <cell r="A452" t="str">
            <v>COORD. DE SEGUIMIENTO Y EVAL. DE POLITICAS PUBLICAS</v>
          </cell>
        </row>
        <row r="453">
          <cell r="A453" t="str">
            <v>COORD. DEL COMITE ESTADAL DE LA VIVIENDA</v>
          </cell>
        </row>
        <row r="454">
          <cell r="A454" t="str">
            <v>COORD. DESARROLLO DE RECURSOS HUMANOS II</v>
          </cell>
        </row>
        <row r="455">
          <cell r="A455" t="str">
            <v>COORD. DOCENTE 77</v>
          </cell>
        </row>
        <row r="456">
          <cell r="A456" t="str">
            <v>COORD. DOCENTE I   77</v>
          </cell>
        </row>
        <row r="457">
          <cell r="A457" t="str">
            <v>COORD. DOCENTE II  77</v>
          </cell>
        </row>
        <row r="458">
          <cell r="A458" t="str">
            <v>COORD. DOCENTE III 77</v>
          </cell>
        </row>
        <row r="459">
          <cell r="A459" t="str">
            <v>COORD. DOCENTE IV  77</v>
          </cell>
        </row>
        <row r="460">
          <cell r="A460" t="str">
            <v>COORD. DOCENTE IV 77 TC (36 HORAS) Y DOCENTE IV 77 TCVNMA (16 HORAS)</v>
          </cell>
        </row>
        <row r="461">
          <cell r="A461" t="str">
            <v>COORD. DOCENTE V   77</v>
          </cell>
        </row>
        <row r="462">
          <cell r="A462" t="str">
            <v>COORD. DOCENTE VI  77</v>
          </cell>
        </row>
        <row r="463">
          <cell r="A463" t="str">
            <v>COORD. ENTES P Y P DE CULTURA Y DEPORTE</v>
          </cell>
        </row>
        <row r="464">
          <cell r="A464" t="str">
            <v>COORD. I   139</v>
          </cell>
        </row>
        <row r="465">
          <cell r="A465" t="str">
            <v>COORD. II  139</v>
          </cell>
        </row>
        <row r="466">
          <cell r="A466" t="str">
            <v>COORD. III 139</v>
          </cell>
        </row>
        <row r="467">
          <cell r="A467" t="str">
            <v>COORD. INV. Y FLOK.</v>
          </cell>
        </row>
        <row r="468">
          <cell r="A468" t="str">
            <v>COORD. IV  139</v>
          </cell>
        </row>
        <row r="469">
          <cell r="A469" t="str">
            <v>COORD. RED DE BIBLIOTECAS E INFORM. ESTA</v>
          </cell>
        </row>
        <row r="470">
          <cell r="A470" t="str">
            <v>COORD. REGISTRO NACIONAL PERMANENTE</v>
          </cell>
        </row>
        <row r="471">
          <cell r="A471" t="str">
            <v>COORD. V   139</v>
          </cell>
        </row>
        <row r="472">
          <cell r="A472" t="str">
            <v>COORD. VI  139</v>
          </cell>
        </row>
        <row r="473">
          <cell r="A473" t="str">
            <v>COORD.DIF.C.CUL.VI 139</v>
          </cell>
        </row>
        <row r="474">
          <cell r="A474" t="str">
            <v>COORD.DIF.Y PROM.DOC.BAS.16 TC.139</v>
          </cell>
        </row>
        <row r="475">
          <cell r="A475" t="str">
            <v>COORD.DOCENTE BAS.16TC. VI 77</v>
          </cell>
        </row>
        <row r="476">
          <cell r="A476" t="str">
            <v>COORD.DOCENTE N.G.</v>
          </cell>
        </row>
        <row r="477">
          <cell r="A477" t="str">
            <v>COORD.EDUC.RURAL</v>
          </cell>
        </row>
        <row r="478">
          <cell r="A478" t="str">
            <v>COORD.MANT. Y CONSERV.</v>
          </cell>
        </row>
        <row r="479">
          <cell r="A479" t="str">
            <v>COORDINADOR</v>
          </cell>
        </row>
        <row r="480">
          <cell r="A480" t="str">
            <v>COORDINADOR</v>
          </cell>
        </row>
        <row r="481">
          <cell r="A481" t="str">
            <v>COORDINADOR ADMINISTRATIVO</v>
          </cell>
        </row>
        <row r="482">
          <cell r="A482" t="str">
            <v>COORDINADOR DE  ASISTENCIA TECNICA</v>
          </cell>
        </row>
        <row r="483">
          <cell r="A483" t="str">
            <v>COORDINADOR DE  FORMACION CULTURAL</v>
          </cell>
        </row>
        <row r="484">
          <cell r="A484" t="str">
            <v>COORDINADOR DE ASUNTOS CINEMATOGRAFICOS I</v>
          </cell>
        </row>
        <row r="485">
          <cell r="A485" t="str">
            <v>COORDINADOR DE ASUNTOS CINEMATOGRAFICOS II</v>
          </cell>
        </row>
        <row r="486">
          <cell r="A486" t="str">
            <v>COORDINADOR DE ASUNTOS CINEMATOGRAFICOS III</v>
          </cell>
        </row>
        <row r="487">
          <cell r="A487" t="str">
            <v>COORDINADOR DE ASUNTOS INTERNACIONALES I</v>
          </cell>
        </row>
        <row r="488">
          <cell r="A488" t="str">
            <v>COORDINADOR DE ASUNTOS INTERNACIONALES II</v>
          </cell>
        </row>
        <row r="489">
          <cell r="A489" t="str">
            <v>COORDINADOR DE ASUNTOS INTERNACIONALES III</v>
          </cell>
        </row>
        <row r="490">
          <cell r="A490" t="str">
            <v>COORDINADOR DE ASUNTOS LABORALES I</v>
          </cell>
        </row>
        <row r="491">
          <cell r="A491" t="str">
            <v>COORDINADOR DE ASUNTOS LABORALES II</v>
          </cell>
        </row>
        <row r="492">
          <cell r="A492" t="str">
            <v>COORDINADOR DE ASUNTOS LITERARIOS</v>
          </cell>
        </row>
        <row r="493">
          <cell r="A493" t="str">
            <v>COORDINADOR DE AYUDA JUVENIL</v>
          </cell>
        </row>
        <row r="494">
          <cell r="A494" t="str">
            <v>COORDINADOR DE CENTRO I</v>
          </cell>
        </row>
        <row r="495">
          <cell r="A495" t="str">
            <v>COORDINADOR DE CENTRO II</v>
          </cell>
        </row>
        <row r="496">
          <cell r="A496" t="str">
            <v>COORDINADOR DE CIENCIAS POLITICAS</v>
          </cell>
        </row>
        <row r="497">
          <cell r="A497" t="str">
            <v>COORDINADOR DE DESARROLLO DE RECURSOS HUMANOS I</v>
          </cell>
        </row>
        <row r="498">
          <cell r="A498" t="str">
            <v>COORDINADOR DE ESCUELAS DE ENFERMERIA</v>
          </cell>
        </row>
        <row r="499">
          <cell r="A499" t="str">
            <v>COORDINADOR DE EVENTOS Y PROTOCOLO</v>
          </cell>
        </row>
        <row r="500">
          <cell r="A500" t="str">
            <v>COORDINADOR DE FORMACION EMPRESARIA I</v>
          </cell>
        </row>
        <row r="501">
          <cell r="A501" t="str">
            <v>COORDINADOR DE FORMACION EMPRESARIAL II</v>
          </cell>
        </row>
        <row r="502">
          <cell r="A502" t="str">
            <v>COORDINADOR DE FORMACION PROFESIONAL</v>
          </cell>
        </row>
        <row r="503">
          <cell r="A503" t="str">
            <v>COORDINADOR DE FRONTERAS</v>
          </cell>
        </row>
        <row r="504">
          <cell r="A504" t="str">
            <v>COORDINADOR DE PREFECTURAS</v>
          </cell>
        </row>
        <row r="505">
          <cell r="A505" t="str">
            <v>COORDINADOR DE PROGRAMA (SAPNNAET)</v>
          </cell>
        </row>
        <row r="506">
          <cell r="A506" t="str">
            <v>COORDINADOR DE PROGRAMAS DE FORMACION I</v>
          </cell>
        </row>
        <row r="507">
          <cell r="A507" t="str">
            <v>COORDINADOR DE PROGRAMAS DE FORMACION II</v>
          </cell>
        </row>
        <row r="508">
          <cell r="A508" t="str">
            <v>COORDINADOR DE PROGRAMAS TV</v>
          </cell>
        </row>
        <row r="509">
          <cell r="A509" t="str">
            <v>COORDINADOR DE PROTOCOLO</v>
          </cell>
        </row>
        <row r="510">
          <cell r="A510" t="str">
            <v>COORDINADOR DE RENDICION DE CUENTA</v>
          </cell>
        </row>
        <row r="511">
          <cell r="A511" t="str">
            <v>COORDINADOR DE SERVICIOS TURISTICOS I</v>
          </cell>
        </row>
        <row r="512">
          <cell r="A512" t="str">
            <v>COORDINADOR DE SERVICIOS TURISTICOS II</v>
          </cell>
        </row>
        <row r="513">
          <cell r="A513" t="str">
            <v>COORDINADOR DEASUNTOS INTERNACIONALES JEFE</v>
          </cell>
        </row>
        <row r="514">
          <cell r="A514" t="str">
            <v>COORDINADOR DEFENSA CIVIL</v>
          </cell>
        </row>
        <row r="515">
          <cell r="A515" t="str">
            <v>COORDINADOR DOCENTE BASICO VI 77 TID (36 HORAS) Y TCVD (7HORAS)</v>
          </cell>
        </row>
        <row r="516">
          <cell r="A516" t="str">
            <v>COORDINADOR DOCENTE BASICO VI TC (36 HORAS) Y DOC. BAS. VI TC (11 HORAS)</v>
          </cell>
        </row>
        <row r="517">
          <cell r="A517" t="str">
            <v>COORDINADOR DOCENTE BASICO VI TCVD</v>
          </cell>
        </row>
        <row r="518">
          <cell r="A518" t="str">
            <v>COORDINADOR GENERAL DE PERSONAL</v>
          </cell>
        </row>
        <row r="519">
          <cell r="A519" t="str">
            <v>COORDINADOR PUBLICITARIO</v>
          </cell>
        </row>
        <row r="520">
          <cell r="A520" t="str">
            <v>COORDINADOR RECREACION</v>
          </cell>
        </row>
        <row r="521">
          <cell r="A521" t="str">
            <v>COORDINADOR ZONAL</v>
          </cell>
        </row>
        <row r="522">
          <cell r="A522" t="str">
            <v>COORDINADORA DOCENTE V 77 Y DOCENTE BASICA V 77 TCVN Y DOCENTE AULA V (ZONA EDUCATIVA)</v>
          </cell>
        </row>
        <row r="523">
          <cell r="A523" t="str">
            <v>COPILOTO DE HELICOPTERO I</v>
          </cell>
        </row>
        <row r="524">
          <cell r="A524" t="str">
            <v>COPILOTO DE HELICOTERO II</v>
          </cell>
        </row>
        <row r="525">
          <cell r="A525" t="str">
            <v>COPILOTO DE PISTON I</v>
          </cell>
        </row>
        <row r="526">
          <cell r="A526" t="str">
            <v>COPILOTO DE PISTON II</v>
          </cell>
        </row>
        <row r="527">
          <cell r="A527" t="str">
            <v>COPILOTO DE TURBO</v>
          </cell>
        </row>
        <row r="528">
          <cell r="A528" t="str">
            <v>COPISTA ARCHIVERO</v>
          </cell>
        </row>
        <row r="529">
          <cell r="A529" t="str">
            <v>CORDINADOR DE ORGANISMOS CULTURALES</v>
          </cell>
        </row>
        <row r="530">
          <cell r="A530" t="str">
            <v>CORNO 2</v>
          </cell>
        </row>
        <row r="531">
          <cell r="A531" t="str">
            <v>CORNO 3</v>
          </cell>
        </row>
        <row r="532">
          <cell r="A532" t="str">
            <v>CORNO I</v>
          </cell>
        </row>
        <row r="533">
          <cell r="A533" t="str">
            <v>CORONEL (BOMBERO)</v>
          </cell>
        </row>
        <row r="534">
          <cell r="A534" t="str">
            <v>CORRECTOR DE ESTILO</v>
          </cell>
        </row>
        <row r="535">
          <cell r="A535" t="str">
            <v>CRIMINOLOGO</v>
          </cell>
        </row>
        <row r="536">
          <cell r="A536" t="str">
            <v>CUATRO</v>
          </cell>
        </row>
        <row r="537">
          <cell r="A537" t="str">
            <v>DELEGADO PRUEBA I</v>
          </cell>
        </row>
        <row r="538">
          <cell r="A538" t="str">
            <v>DELEGADO PRUEBA II</v>
          </cell>
        </row>
        <row r="539">
          <cell r="A539" t="str">
            <v>DELEGADO PRUEBA III</v>
          </cell>
        </row>
        <row r="540">
          <cell r="A540" t="str">
            <v>DELEGADO PRUEBA IV</v>
          </cell>
        </row>
        <row r="541">
          <cell r="A541" t="str">
            <v>DELEGADO PRUEBA V</v>
          </cell>
        </row>
        <row r="542">
          <cell r="A542" t="str">
            <v>DEMOSTRADORA DEL HOGAR I</v>
          </cell>
        </row>
        <row r="543">
          <cell r="A543" t="str">
            <v>DEMOSTRADORA DEL HOGAR II</v>
          </cell>
        </row>
        <row r="544">
          <cell r="A544" t="str">
            <v>DEMOSTRADORA DEL HOGAR III</v>
          </cell>
        </row>
        <row r="545">
          <cell r="A545" t="str">
            <v>DEMOSTRADORA DEL HOGAR JEFE</v>
          </cell>
        </row>
        <row r="546">
          <cell r="A546" t="str">
            <v>DEPOSITARIO DE ESPECIES FISCALES</v>
          </cell>
        </row>
        <row r="547">
          <cell r="A547" t="str">
            <v>DEPOSITARIO DE ESPECIES FISCALES JEFE</v>
          </cell>
        </row>
        <row r="548">
          <cell r="A548" t="str">
            <v>DIAGRAMADOR</v>
          </cell>
        </row>
        <row r="549">
          <cell r="A549" t="str">
            <v>DIBUJANTE CARTOGRAFICIO I</v>
          </cell>
        </row>
        <row r="550">
          <cell r="A550" t="str">
            <v>DIBUJANTE CARTOGRAFICO II</v>
          </cell>
        </row>
        <row r="551">
          <cell r="A551" t="str">
            <v>DIBUJANTE CARTOGRAFICO III</v>
          </cell>
        </row>
        <row r="552">
          <cell r="A552" t="str">
            <v>DIBUJANTE CARTOGRAFICO IV</v>
          </cell>
        </row>
        <row r="553">
          <cell r="A553" t="str">
            <v>DIBUJANTE CARTOGRAFICO JEFE</v>
          </cell>
        </row>
        <row r="554">
          <cell r="A554" t="str">
            <v>DIBUJANTE I</v>
          </cell>
        </row>
        <row r="555">
          <cell r="A555" t="str">
            <v>DIBUJANTE II</v>
          </cell>
        </row>
        <row r="556">
          <cell r="A556" t="str">
            <v>DIBUJANTE III</v>
          </cell>
        </row>
        <row r="557">
          <cell r="A557" t="str">
            <v>DIBUJANTE ILUSTRADOR I</v>
          </cell>
        </row>
        <row r="558">
          <cell r="A558" t="str">
            <v>DIBUJANTE ILUSTRADOR II</v>
          </cell>
        </row>
        <row r="559">
          <cell r="A559" t="str">
            <v>DIBUJANTE ILUSTRADOR JEFE</v>
          </cell>
        </row>
        <row r="560">
          <cell r="A560" t="str">
            <v>DIBUJANTE JEFE</v>
          </cell>
        </row>
        <row r="561">
          <cell r="A561" t="str">
            <v>DIETISTA I</v>
          </cell>
        </row>
        <row r="562">
          <cell r="A562" t="str">
            <v>DIETISTA II</v>
          </cell>
        </row>
        <row r="563">
          <cell r="A563" t="str">
            <v>DIETISTA III</v>
          </cell>
        </row>
        <row r="564">
          <cell r="A564" t="str">
            <v>DIETISTA IV</v>
          </cell>
        </row>
        <row r="565">
          <cell r="A565" t="str">
            <v>DIETISTA JEFE</v>
          </cell>
        </row>
        <row r="566">
          <cell r="A566" t="str">
            <v>DIRECTOR</v>
          </cell>
        </row>
        <row r="567">
          <cell r="A567" t="str">
            <v>DIRECTOR</v>
          </cell>
        </row>
        <row r="568">
          <cell r="A568" t="str">
            <v>DIRECTOR BASICO VI TID (36 HORAS) Y DOCENTE BASICO VI 77 TCVD (18 HORAS)</v>
          </cell>
        </row>
        <row r="569">
          <cell r="A569" t="str">
            <v>DIRECTOR CENTRO DE CULTURA</v>
          </cell>
        </row>
        <row r="570">
          <cell r="A570" t="str">
            <v>DIRECTOR DE BANDA</v>
          </cell>
        </row>
        <row r="571">
          <cell r="A571" t="str">
            <v>DIRECTOR DE BANDA Y PROFESOR DE FLAUTA Y PIANO</v>
          </cell>
        </row>
        <row r="572">
          <cell r="A572" t="str">
            <v>DIRECTOR DE CULTURA Y PROFESOR PH NOCTURNO GR</v>
          </cell>
        </row>
        <row r="573">
          <cell r="A573" t="str">
            <v>DIRECTOR DE ESCUELA 139 III</v>
          </cell>
        </row>
        <row r="574">
          <cell r="A574" t="str">
            <v>DIRECTOR DE ESCUELAS DE ENFERMERIA</v>
          </cell>
        </row>
        <row r="575">
          <cell r="A575" t="str">
            <v>DIRECTOR DE PROGRAMAS DE CURSOS</v>
          </cell>
        </row>
        <row r="576">
          <cell r="A576" t="str">
            <v>DIRECTOR DE PROGRAMAS TV</v>
          </cell>
        </row>
        <row r="577">
          <cell r="A577" t="str">
            <v>DIRECTOR ESCUELA 139 III</v>
          </cell>
        </row>
        <row r="578">
          <cell r="A578" t="str">
            <v>DIRECTOR ESCUELA N.G.</v>
          </cell>
        </row>
        <row r="579">
          <cell r="A579" t="str">
            <v>DIRECTOR GENERAL</v>
          </cell>
        </row>
        <row r="580">
          <cell r="A580" t="str">
            <v>DIRECTOR I   139</v>
          </cell>
        </row>
        <row r="581">
          <cell r="A581" t="str">
            <v>DIRECTOR I   77</v>
          </cell>
        </row>
        <row r="582">
          <cell r="A582" t="str">
            <v>DIRECTOR II  139</v>
          </cell>
        </row>
        <row r="583">
          <cell r="A583" t="str">
            <v>DIRECTOR II  77</v>
          </cell>
        </row>
        <row r="584">
          <cell r="A584" t="str">
            <v>DIRECTOR III 139</v>
          </cell>
        </row>
        <row r="585">
          <cell r="A585" t="str">
            <v>DIRECTOR III 77</v>
          </cell>
        </row>
        <row r="586">
          <cell r="A586" t="str">
            <v>DIRECTOR IV  139</v>
          </cell>
        </row>
        <row r="587">
          <cell r="A587" t="str">
            <v>DIRECTOR IV  77</v>
          </cell>
        </row>
        <row r="588">
          <cell r="A588" t="str">
            <v>DIRECTOR TOPOGRAFO</v>
          </cell>
        </row>
        <row r="589">
          <cell r="A589" t="str">
            <v>DIRECTOR V   139</v>
          </cell>
        </row>
        <row r="590">
          <cell r="A590" t="str">
            <v>DIRECTOR V   77</v>
          </cell>
        </row>
        <row r="591">
          <cell r="A591" t="str">
            <v>DIRECTOR VI  139</v>
          </cell>
        </row>
        <row r="592">
          <cell r="A592" t="str">
            <v>DIRECTOR VI  77</v>
          </cell>
        </row>
        <row r="593">
          <cell r="A593" t="str">
            <v>DIRECTORA DOCENTE BASICA VI 139 TID Y DOCENTE BASICA VI 139 TCVN</v>
          </cell>
        </row>
        <row r="594">
          <cell r="A594" t="str">
            <v>DIRECTORA ESCUELA ANDRES BLANCO Y MAESTRA PH GR NOCTURNO VALERA</v>
          </cell>
        </row>
        <row r="595">
          <cell r="A595" t="str">
            <v>DISEÑADOR GRAFICO</v>
          </cell>
        </row>
        <row r="596">
          <cell r="A596" t="str">
            <v>DISEÑADOR GRAFICO</v>
          </cell>
        </row>
        <row r="597">
          <cell r="A597" t="str">
            <v>DISEÑADOR GRAFICO II</v>
          </cell>
        </row>
        <row r="598">
          <cell r="A598" t="str">
            <v>DISEÑADOR GRAFICO III</v>
          </cell>
        </row>
        <row r="599">
          <cell r="A599" t="str">
            <v>DISEÑADOR GRAFICO IV</v>
          </cell>
        </row>
        <row r="600">
          <cell r="A600" t="str">
            <v>DISTINGUIDO</v>
          </cell>
        </row>
        <row r="601">
          <cell r="A601" t="str">
            <v>DISTINGUIDO (BOMBERO)</v>
          </cell>
        </row>
        <row r="602">
          <cell r="A602" t="str">
            <v>DOC. 77-TC. III.</v>
          </cell>
        </row>
        <row r="603">
          <cell r="A603" t="str">
            <v>DOC. BAS I 77 TCVD INTERINO</v>
          </cell>
        </row>
        <row r="604">
          <cell r="A604" t="str">
            <v>DOC. BAS I TSE TCVDMA INTERINO</v>
          </cell>
        </row>
        <row r="605">
          <cell r="A605" t="str">
            <v>DOC. BAS. 77 TCVNMA/DOC IV AULA ADULTOS/DIRECTOR DE EDUCACION</v>
          </cell>
        </row>
        <row r="606">
          <cell r="A606" t="str">
            <v>DOC. BAS. DIR. VI 77 T.C. V.N.</v>
          </cell>
        </row>
        <row r="607">
          <cell r="A607" t="str">
            <v>DOC. BAS. I (03 HORAS) Y DOC BAS IV 77 TID (33 HORAS9 /TCVD (09 HORAS)</v>
          </cell>
        </row>
        <row r="608">
          <cell r="A608" t="str">
            <v>DOC. BAS. I 77 INTERINO</v>
          </cell>
        </row>
        <row r="609">
          <cell r="A609" t="str">
            <v>DOC. BAS. I 77 TCVDMA INTERINO</v>
          </cell>
        </row>
        <row r="610">
          <cell r="A610" t="str">
            <v>DOC. BAS. I 77 TID (33.33 HORAS)/TCVD (18 HORAS)</v>
          </cell>
        </row>
        <row r="611">
          <cell r="A611" t="str">
            <v>DOC. BAS. I 77 TID INTERINO</v>
          </cell>
        </row>
        <row r="612">
          <cell r="A612" t="str">
            <v>DOC. BAS. I T.S.E. TID INTERINO</v>
          </cell>
        </row>
        <row r="613">
          <cell r="A613" t="str">
            <v>DOC. BAS. III T.S.E  TCVD</v>
          </cell>
        </row>
        <row r="614">
          <cell r="A614" t="str">
            <v>DOC. BAS. IV  77  TID (33.33 HORAS)/TCVD (14 HORAS)</v>
          </cell>
        </row>
        <row r="615">
          <cell r="A615" t="str">
            <v>DOC. BAS. IV 77 TID (33.33 HORAS)/ TCVD (16 HORAS)</v>
          </cell>
        </row>
        <row r="616">
          <cell r="A616" t="str">
            <v>DOC. BAS. IV 77 TID (33.33 HORAS)/TCVD (06 HORAS)</v>
          </cell>
        </row>
        <row r="617">
          <cell r="A617" t="str">
            <v>DOC. BAS. N.G. TCVNMA / AUXILIAR DE BIBLIOTECA</v>
          </cell>
        </row>
        <row r="618">
          <cell r="A618" t="str">
            <v>DOC. BAS. PLANIF. V TC 77</v>
          </cell>
        </row>
        <row r="619">
          <cell r="A619" t="str">
            <v>DOC. BAS. V   77  TID (33,33 HORAS) /TCVD (11 HORAS)</v>
          </cell>
        </row>
        <row r="620">
          <cell r="A620" t="str">
            <v>DOC. BAS. V   77  TID (33,33 HORAS) /TCVD (13 HORAS)</v>
          </cell>
        </row>
        <row r="621">
          <cell r="A621" t="str">
            <v>DOC. BAS. V 77 TID (33.33 HORAS) /TCVD (10 HORAS)</v>
          </cell>
        </row>
        <row r="622">
          <cell r="A622" t="str">
            <v>DOC. BAS. VI  77  TID (33.33 HORAS)/TCVD (12 HORAS)</v>
          </cell>
        </row>
        <row r="623">
          <cell r="A623" t="str">
            <v>DOC. BAS. VI  77  TID (33.33 HORAS)/TCVD (19 HORAS)</v>
          </cell>
        </row>
        <row r="624">
          <cell r="A624" t="str">
            <v>DOC. BAS. VI  TID (33.33 HORAS)/TCVD (14 HORAS)</v>
          </cell>
        </row>
        <row r="625">
          <cell r="A625" t="str">
            <v>DOC. BAS. VI 139 TID / INSTRUCTOR I (16 HORAS)</v>
          </cell>
        </row>
        <row r="626">
          <cell r="A626" t="str">
            <v>DOC. BAS. VI 77 TID (33.33 HORAS) /TCVD (16 HORAS)</v>
          </cell>
        </row>
        <row r="627">
          <cell r="A627" t="str">
            <v>DOC. BAS.PLANIF.IV TC 77</v>
          </cell>
        </row>
        <row r="628">
          <cell r="A628" t="str">
            <v>DOC. BAS.V TCVD (16 HORAS) /TCVNMA (10 HORAS)</v>
          </cell>
        </row>
        <row r="629">
          <cell r="A629" t="str">
            <v>DOC. BASCO V  T.S.E. TCVNMA</v>
          </cell>
        </row>
        <row r="630">
          <cell r="A630" t="str">
            <v>DOC. BASICA 16- TSE TID VI</v>
          </cell>
        </row>
        <row r="631">
          <cell r="A631" t="str">
            <v>DOC. BASICA 16-789 TSE TCVD I</v>
          </cell>
        </row>
        <row r="632">
          <cell r="A632" t="str">
            <v>DOC. BASICA 16-789 TSE TCVD II</v>
          </cell>
        </row>
        <row r="633">
          <cell r="A633" t="str">
            <v>DOC. BASICA 16-789 TSE TCVD III</v>
          </cell>
        </row>
        <row r="634">
          <cell r="A634" t="str">
            <v>DOC. BASICA 16-789 TSE TCVD IV</v>
          </cell>
        </row>
        <row r="635">
          <cell r="A635" t="str">
            <v>DOC. BASICA 16-789 TSE TCVD V</v>
          </cell>
        </row>
        <row r="636">
          <cell r="A636" t="str">
            <v>DOC. BASICA 16-789 TSE TCVD VI</v>
          </cell>
        </row>
        <row r="637">
          <cell r="A637" t="str">
            <v>DOC. BASICA 16-TSE TID I</v>
          </cell>
        </row>
        <row r="638">
          <cell r="A638" t="str">
            <v>DOC. BASICA 16-TSE TID II</v>
          </cell>
        </row>
        <row r="639">
          <cell r="A639" t="str">
            <v>DOC. BASICA 16-TSE TID III</v>
          </cell>
        </row>
        <row r="640">
          <cell r="A640" t="str">
            <v>DOC. BASICA 16-TSE TID IV</v>
          </cell>
        </row>
        <row r="641">
          <cell r="A641" t="str">
            <v>DOC. BASICA 16-TSE TID V</v>
          </cell>
        </row>
        <row r="642">
          <cell r="A642" t="str">
            <v>DOC. BASICA 77  TCVD</v>
          </cell>
        </row>
        <row r="643">
          <cell r="A643" t="str">
            <v>DOC. BASICA 77  TID</v>
          </cell>
        </row>
        <row r="644">
          <cell r="A644" t="str">
            <v>DOC. BASICA 789-TSE TCVD I</v>
          </cell>
        </row>
        <row r="645">
          <cell r="A645" t="str">
            <v>DOC. BASICA 789-TSE TCVD II</v>
          </cell>
        </row>
        <row r="646">
          <cell r="A646" t="str">
            <v>DOC. BASICA 789-TSE TCVD III</v>
          </cell>
        </row>
        <row r="647">
          <cell r="A647" t="str">
            <v>DOC. BASICA 789-TSE TCVD IV</v>
          </cell>
        </row>
        <row r="648">
          <cell r="A648" t="str">
            <v>DOC. BASICA 789-TSE TCVD V</v>
          </cell>
        </row>
        <row r="649">
          <cell r="A649" t="str">
            <v>DOC. BASICA 789-TSE TCVD VI</v>
          </cell>
        </row>
        <row r="650">
          <cell r="A650" t="str">
            <v>DOC. BASICA I    77 TCVNMA</v>
          </cell>
        </row>
        <row r="651">
          <cell r="A651" t="str">
            <v>DOC. BASICA I    77 TCVNMA</v>
          </cell>
        </row>
        <row r="652">
          <cell r="A652" t="str">
            <v>DOC. BASICA I   139 TCVD</v>
          </cell>
        </row>
        <row r="653">
          <cell r="A653" t="str">
            <v>DOC. BASICA I   139 TCVNMA</v>
          </cell>
        </row>
        <row r="654">
          <cell r="A654" t="str">
            <v>DOC. BASICA I   139 TID</v>
          </cell>
        </row>
        <row r="655">
          <cell r="A655" t="str">
            <v>DOC. BASICA I   77  TCVD</v>
          </cell>
        </row>
        <row r="656">
          <cell r="A656" t="str">
            <v>DOC. BASICA I   77 16 TSE</v>
          </cell>
        </row>
        <row r="657">
          <cell r="A657" t="str">
            <v>DOC. BASICA I 77 TID</v>
          </cell>
        </row>
        <row r="658">
          <cell r="A658" t="str">
            <v>DOC. BASICA II  139 TCVD</v>
          </cell>
        </row>
        <row r="659">
          <cell r="A659" t="str">
            <v>DOC. BASICA II  139 TCVNMA</v>
          </cell>
        </row>
        <row r="660">
          <cell r="A660" t="str">
            <v>DOC. BASICA II  139 TID</v>
          </cell>
        </row>
        <row r="661">
          <cell r="A661" t="str">
            <v>DOC. BASICA II  77  TID</v>
          </cell>
        </row>
        <row r="662">
          <cell r="A662" t="str">
            <v>DOC. BASICA II  77 16 TSE</v>
          </cell>
        </row>
        <row r="663">
          <cell r="A663" t="str">
            <v>DOC. BASICA II 77</v>
          </cell>
        </row>
        <row r="664">
          <cell r="A664" t="str">
            <v>DOC. BASICA II 77  TCVD</v>
          </cell>
        </row>
        <row r="665">
          <cell r="A665" t="str">
            <v>DOC. BASICA II 77 TCVNMA</v>
          </cell>
        </row>
        <row r="666">
          <cell r="A666" t="str">
            <v>DOC. BASICA II 77 TCVNMA</v>
          </cell>
        </row>
        <row r="667">
          <cell r="A667" t="str">
            <v>DOC. BASICA III  77 TCVNMA</v>
          </cell>
        </row>
        <row r="668">
          <cell r="A668" t="str">
            <v>DOC. BASICA III  77 TCVNMA</v>
          </cell>
        </row>
        <row r="669">
          <cell r="A669" t="str">
            <v>DOC. BASICA III 139 TCVD</v>
          </cell>
        </row>
        <row r="670">
          <cell r="A670" t="str">
            <v>DOC. BASICA III 139 TCVNMA</v>
          </cell>
        </row>
        <row r="671">
          <cell r="A671" t="str">
            <v>DOC. BASICA III 139 TID</v>
          </cell>
        </row>
        <row r="672">
          <cell r="A672" t="str">
            <v>DOC. BASICA III 77  TCVD</v>
          </cell>
        </row>
        <row r="673">
          <cell r="A673" t="str">
            <v>DOC. BASICA III 77  TID</v>
          </cell>
        </row>
        <row r="674">
          <cell r="A674" t="str">
            <v>DOC. BASICA III 77 TCVN</v>
          </cell>
        </row>
        <row r="675">
          <cell r="A675" t="str">
            <v>DOC. BASICA IV   77 TCVNMA</v>
          </cell>
        </row>
        <row r="676">
          <cell r="A676" t="str">
            <v>DOC. BASICA IV   77 TCVNMA</v>
          </cell>
        </row>
        <row r="677">
          <cell r="A677" t="str">
            <v>DOC. BASICA IV  139 TCVD</v>
          </cell>
        </row>
        <row r="678">
          <cell r="A678" t="str">
            <v>DOC. BASICA IV  139 TCVNMA</v>
          </cell>
        </row>
        <row r="679">
          <cell r="A679" t="str">
            <v>DOC. BASICA IV  139 TID</v>
          </cell>
        </row>
        <row r="680">
          <cell r="A680" t="str">
            <v>DOC. BASICA IV  77  TCVD</v>
          </cell>
        </row>
        <row r="681">
          <cell r="A681" t="str">
            <v>DOC. BASICA IV  77  TID</v>
          </cell>
        </row>
        <row r="682">
          <cell r="A682" t="str">
            <v>DOC. BASICA IV  77  TID  (33 HORAS) /TCVD (14 HORAS)</v>
          </cell>
        </row>
        <row r="683">
          <cell r="A683" t="str">
            <v>DOC. BASICA IV  77 TC-V</v>
          </cell>
        </row>
        <row r="684">
          <cell r="A684" t="str">
            <v>DOC. BASICA IV 77 TCVD (19 HORAS) TID  (33.33 HORAS)</v>
          </cell>
        </row>
        <row r="685">
          <cell r="A685" t="str">
            <v>DOC. BASICA N.G. 16 TCVNMA</v>
          </cell>
        </row>
        <row r="686">
          <cell r="A686" t="str">
            <v>DOC. BASICA N.G. 19 TID</v>
          </cell>
        </row>
        <row r="687">
          <cell r="A687" t="str">
            <v>DOC. BASICA N.G. 789 TCVNHC</v>
          </cell>
        </row>
        <row r="688">
          <cell r="A688" t="str">
            <v>DOC. BASICA N.G. 789 TCVNMA</v>
          </cell>
        </row>
        <row r="689">
          <cell r="A689" t="str">
            <v>DOC. BASICA N.G. TCVD</v>
          </cell>
        </row>
        <row r="690">
          <cell r="A690" t="str">
            <v>DOC. BASICA N.G. TCVID</v>
          </cell>
        </row>
        <row r="691">
          <cell r="A691" t="str">
            <v>DOC. BASICA V    77 TCVNMA</v>
          </cell>
        </row>
        <row r="692">
          <cell r="A692" t="str">
            <v>DOC. BASICA V    77 TCVNMA</v>
          </cell>
        </row>
        <row r="693">
          <cell r="A693" t="str">
            <v>DOC. BASICA V   139 TCVD</v>
          </cell>
        </row>
        <row r="694">
          <cell r="A694" t="str">
            <v>DOC. BASICA V   139 TCVNMA</v>
          </cell>
        </row>
        <row r="695">
          <cell r="A695" t="str">
            <v>DOC. BASICA V   139 TID</v>
          </cell>
        </row>
        <row r="696">
          <cell r="A696" t="str">
            <v>DOC. BASICA V   77  TCVD</v>
          </cell>
        </row>
        <row r="697">
          <cell r="A697" t="str">
            <v>DOC. BASICA V   77  TID</v>
          </cell>
        </row>
        <row r="698">
          <cell r="A698" t="str">
            <v>DOC. BASICA V   77  TID (33.33 HORAS /TCVD (10 HORAS)</v>
          </cell>
        </row>
        <row r="699">
          <cell r="A699" t="str">
            <v>DOC. BASICA V   77  TID (33.33 HORAS) /TCVD (13 HORAS)</v>
          </cell>
        </row>
        <row r="700">
          <cell r="A700" t="str">
            <v>DOC. BASICA V   77 TC-V 79</v>
          </cell>
        </row>
        <row r="701">
          <cell r="A701" t="str">
            <v>DOC. BASICA V  139 TCVD-MEF</v>
          </cell>
        </row>
        <row r="702">
          <cell r="A702" t="str">
            <v>DOC. BASICA V  77  TCVD  (10 HORAS) Y TCVNMA (16) HORAS</v>
          </cell>
        </row>
        <row r="703">
          <cell r="A703" t="str">
            <v>DOC. BASICA V  77  TID/TCVNMA</v>
          </cell>
        </row>
        <row r="704">
          <cell r="A704" t="str">
            <v>DOC. BASICA V 77 TID (33.33) TCVD (20 HORAS)</v>
          </cell>
        </row>
        <row r="705">
          <cell r="A705" t="str">
            <v>DOC. BASICA V ORIENT.77 TID</v>
          </cell>
        </row>
        <row r="706">
          <cell r="A706" t="str">
            <v>DOC. BASICA VI   77 TCVD</v>
          </cell>
        </row>
        <row r="707">
          <cell r="A707" t="str">
            <v>DOC. BASICA VI   77 TCVNMA</v>
          </cell>
        </row>
        <row r="708">
          <cell r="A708" t="str">
            <v>DOC. BASICA VI   77 TCVNMA</v>
          </cell>
        </row>
        <row r="709">
          <cell r="A709" t="str">
            <v>DOC. BASICA VI  139 TCVD</v>
          </cell>
        </row>
        <row r="710">
          <cell r="A710" t="str">
            <v>DOC. BASICA VI  139 TCVNMA</v>
          </cell>
        </row>
        <row r="711">
          <cell r="A711" t="str">
            <v>DOC. BASICA VI  139 TID</v>
          </cell>
        </row>
        <row r="712">
          <cell r="A712" t="str">
            <v>DOC. BASICA VI  77  TCVD</v>
          </cell>
        </row>
        <row r="713">
          <cell r="A713" t="str">
            <v>DOC. BASICA VI  77  TID</v>
          </cell>
        </row>
        <row r="714">
          <cell r="A714" t="str">
            <v>DOC. BASICA VI 77 TID (33.33 HORAS) TCVN (12 HORAS)</v>
          </cell>
        </row>
        <row r="715">
          <cell r="A715" t="str">
            <v>DOC. BASICA VI 77 TID (33.33 HORAS) TCVNMA (11 HORAS)</v>
          </cell>
        </row>
        <row r="716">
          <cell r="A716" t="str">
            <v>DOC. BASICO  VI  T.S.E. TCVNMA</v>
          </cell>
        </row>
        <row r="717">
          <cell r="A717" t="str">
            <v>DOC. BASICO I  T.S.E. TCVNMA</v>
          </cell>
        </row>
        <row r="718">
          <cell r="A718" t="str">
            <v>DOC. BASICO II  T.S.E. TCVNMA</v>
          </cell>
        </row>
        <row r="719">
          <cell r="A719" t="str">
            <v>DOC. BASICO III T.S.E. TCVNMA</v>
          </cell>
        </row>
        <row r="720">
          <cell r="A720" t="str">
            <v>DOC. BASICO IV  T.S.E. TCVNMA</v>
          </cell>
        </row>
        <row r="721">
          <cell r="A721" t="str">
            <v>DOC. DIR. BASICA  VI 139 TID (36 HORAS) Y DOC. BAS. VI 139 TCVNMA (16 HORAS)</v>
          </cell>
        </row>
        <row r="722">
          <cell r="A722" t="str">
            <v>DOC. DIRECTOR 77-TC  IV.</v>
          </cell>
        </row>
        <row r="723">
          <cell r="A723" t="str">
            <v>DOC. DIRECTOR ARTES P.</v>
          </cell>
        </row>
        <row r="724">
          <cell r="A724" t="str">
            <v>DOC. DIRECTOR BAS. N.G. 16 TCVNMA</v>
          </cell>
        </row>
        <row r="725">
          <cell r="A725" t="str">
            <v>DOC. DIRECTOR BAS. N.G. 789 TCVNMA</v>
          </cell>
        </row>
        <row r="726">
          <cell r="A726" t="str">
            <v>DOC. DIRECTOR BASICA  I 139 TCVNMA</v>
          </cell>
        </row>
        <row r="727">
          <cell r="A727" t="str">
            <v>DOC. DIRECTOR BASICA  V  77 TCVNMA</v>
          </cell>
        </row>
        <row r="728">
          <cell r="A728" t="str">
            <v>DOC. DIRECTOR BASICA  V 139 TCVNMA</v>
          </cell>
        </row>
        <row r="729">
          <cell r="A729" t="str">
            <v>DOC. DIRECTOR BASICA  V T.S.E TID</v>
          </cell>
        </row>
        <row r="730">
          <cell r="A730" t="str">
            <v>DOC. DIRECTOR BASICA 77  TID</v>
          </cell>
        </row>
        <row r="731">
          <cell r="A731" t="str">
            <v>DOC. DIRECTOR BASICA 77 TCVNMA</v>
          </cell>
        </row>
        <row r="732">
          <cell r="A732" t="str">
            <v>DOC. DIRECTOR BASICA I   77  TID</v>
          </cell>
        </row>
        <row r="733">
          <cell r="A733" t="str">
            <v>DOC. DIRECTOR BASICA I  77 TCVNMA</v>
          </cell>
        </row>
        <row r="734">
          <cell r="A734" t="str">
            <v>DOC. DIRECTOR BASICA II  77  TID</v>
          </cell>
        </row>
        <row r="735">
          <cell r="A735" t="str">
            <v>DOC. DIRECTOR BASICA III 139 TID</v>
          </cell>
        </row>
        <row r="736">
          <cell r="A736" t="str">
            <v>DOC. DIRECTOR BASICA III 77 TID</v>
          </cell>
        </row>
        <row r="737">
          <cell r="A737" t="str">
            <v>DOC. DIRECTOR BASICA IV  77 TCVNMA</v>
          </cell>
        </row>
        <row r="738">
          <cell r="A738" t="str">
            <v>DOC. DIRECTOR BASICA IV  77 TID</v>
          </cell>
        </row>
        <row r="739">
          <cell r="A739" t="str">
            <v>DOC. DIRECTOR BASICA IV 139 TCVNMA</v>
          </cell>
        </row>
        <row r="740">
          <cell r="A740" t="str">
            <v>DOC. DIRECTOR BASICA IV 139 TID</v>
          </cell>
        </row>
        <row r="741">
          <cell r="A741" t="str">
            <v>DOC. DIRECTOR BASICA IV T.S.E TID</v>
          </cell>
        </row>
        <row r="742">
          <cell r="A742" t="str">
            <v>DOC. DIRECTOR BASICA V   77 TID</v>
          </cell>
        </row>
        <row r="743">
          <cell r="A743" t="str">
            <v>DOC. DIRECTOR BASICA V  139 TID</v>
          </cell>
        </row>
        <row r="744">
          <cell r="A744" t="str">
            <v>DOC. DIRECTOR BASICA VI  77 TCVNMA</v>
          </cell>
        </row>
        <row r="745">
          <cell r="A745" t="str">
            <v>DOC. DIRECTOR BASICA VI  77 TID</v>
          </cell>
        </row>
        <row r="746">
          <cell r="A746" t="str">
            <v>DOC. DIRECTOR BASICA VI  77 TINMA</v>
          </cell>
        </row>
        <row r="747">
          <cell r="A747" t="str">
            <v>DOC. DIRECTOR BASICA VI 139 TCVNMA</v>
          </cell>
        </row>
        <row r="748">
          <cell r="A748" t="str">
            <v>DOC. DIRECTOR BASICA VI 139 TID</v>
          </cell>
        </row>
        <row r="749">
          <cell r="A749" t="str">
            <v>DOC. DIRECTOR BASICO I  T.S.E.</v>
          </cell>
        </row>
        <row r="750">
          <cell r="A750" t="str">
            <v>DOC. DIRECTOR BASICO II  T.S.E.</v>
          </cell>
        </row>
        <row r="751">
          <cell r="A751" t="str">
            <v>DOC. DIRECTOR BASICO III  T.S.E.</v>
          </cell>
        </row>
        <row r="752">
          <cell r="A752" t="str">
            <v>DOC. DIRECTOR BASICO IV  T.S.E.</v>
          </cell>
        </row>
        <row r="753">
          <cell r="A753" t="str">
            <v>DOC. DIRECTOR BASICO V  T.S.E.</v>
          </cell>
        </row>
        <row r="754">
          <cell r="A754" t="str">
            <v>DOC. DIRECTOR BASICO VI  T.S.E.</v>
          </cell>
        </row>
        <row r="755">
          <cell r="A755" t="str">
            <v>DOC. DIRECTOR N.G.</v>
          </cell>
        </row>
        <row r="756">
          <cell r="A756" t="str">
            <v>DOC. DIRECTOR PRE-ESC  II  77  TID</v>
          </cell>
        </row>
        <row r="757">
          <cell r="A757" t="str">
            <v>DOC. DIRECTOR PRE-ESC. I   77  TID</v>
          </cell>
        </row>
        <row r="758">
          <cell r="A758" t="str">
            <v>DOC. DIRECTOR PRE-ESC. III  77 TID</v>
          </cell>
        </row>
        <row r="759">
          <cell r="A759" t="str">
            <v>DOC. DIRECTOR PRE-ESC. III 139 TID</v>
          </cell>
        </row>
        <row r="760">
          <cell r="A760" t="str">
            <v>DOC. DIRECTOR PRE-ESC. IV  139 TID</v>
          </cell>
        </row>
        <row r="761">
          <cell r="A761" t="str">
            <v>DOC. DIRECTOR PRE-ESC. IV  77  TID</v>
          </cell>
        </row>
        <row r="762">
          <cell r="A762" t="str">
            <v>DOC. DIRECTOR PRE-ESC. V   139 TID</v>
          </cell>
        </row>
        <row r="763">
          <cell r="A763" t="str">
            <v>DOC. DIRECTOR PRE-ESC. V   77  TID</v>
          </cell>
        </row>
        <row r="764">
          <cell r="A764" t="str">
            <v>DOC. DIRECTOR PRE-ESC. VI  139 TID</v>
          </cell>
        </row>
        <row r="765">
          <cell r="A765" t="str">
            <v>DOC. DIRECTOR PRE-ESC. VI  77  TID</v>
          </cell>
        </row>
        <row r="766">
          <cell r="A766" t="str">
            <v>DOC. DIRECTOR TCV NMA 77-III</v>
          </cell>
        </row>
        <row r="767">
          <cell r="A767" t="str">
            <v>DOC. DIRECTOR VI 139</v>
          </cell>
        </row>
        <row r="768">
          <cell r="A768" t="str">
            <v>DOC. DIRECTOR VI 77</v>
          </cell>
        </row>
        <row r="769">
          <cell r="A769" t="str">
            <v>DOC. N.G.  TCVID (10 HORAS)/ TCVNMA (09 HORAS)</v>
          </cell>
        </row>
        <row r="770">
          <cell r="A770" t="str">
            <v>DOC. ORI.BAS. III 77</v>
          </cell>
        </row>
        <row r="771">
          <cell r="A771" t="str">
            <v>DOC. ORIEN. I 77 1-6 TC</v>
          </cell>
        </row>
        <row r="772">
          <cell r="A772" t="str">
            <v>DOC. ORIEN. V 77 1-6 TID</v>
          </cell>
        </row>
        <row r="773">
          <cell r="A773" t="str">
            <v>DOC. ORIENT. 77  III TID</v>
          </cell>
        </row>
        <row r="774">
          <cell r="A774" t="str">
            <v>DOC. ORIENTADOR 77 TC IV</v>
          </cell>
        </row>
        <row r="775">
          <cell r="A775" t="str">
            <v>DOC. ORIENTADOR 77 TC V</v>
          </cell>
        </row>
        <row r="776">
          <cell r="A776" t="str">
            <v>DOC. ORIENTADOR 77-TC. I.</v>
          </cell>
        </row>
        <row r="777">
          <cell r="A777" t="str">
            <v>DOC. PLAN.16 77  V</v>
          </cell>
        </row>
        <row r="778">
          <cell r="A778" t="str">
            <v>DOC. PLAN.16 77 IV</v>
          </cell>
        </row>
        <row r="779">
          <cell r="A779" t="str">
            <v>DOC. PLAN.16 77 VI</v>
          </cell>
        </row>
        <row r="780">
          <cell r="A780" t="str">
            <v>DOC. PLANIF. V   TC</v>
          </cell>
        </row>
        <row r="781">
          <cell r="A781" t="str">
            <v>DOC. PRE-ESC I 77 TID INTERINO</v>
          </cell>
        </row>
        <row r="782">
          <cell r="A782" t="str">
            <v>DOC. PRE-ESC I TSE TID INTERINO</v>
          </cell>
        </row>
        <row r="783">
          <cell r="A783" t="str">
            <v>DOC. PRE-ESC TSE TID I</v>
          </cell>
        </row>
        <row r="784">
          <cell r="A784" t="str">
            <v>DOC. PRE-ESC TSE TID II</v>
          </cell>
        </row>
        <row r="785">
          <cell r="A785" t="str">
            <v>DOC. PRE-ESC TSE TID III</v>
          </cell>
        </row>
        <row r="786">
          <cell r="A786" t="str">
            <v>DOC. PRE-ESC TSE TID IV</v>
          </cell>
        </row>
        <row r="787">
          <cell r="A787" t="str">
            <v>DOC. PRE-ESC TSE TID V</v>
          </cell>
        </row>
        <row r="788">
          <cell r="A788" t="str">
            <v>DOC. PRE-ESC TSE TID VI</v>
          </cell>
        </row>
        <row r="789">
          <cell r="A789" t="str">
            <v>DOC. PRE-ESC. I   139 TID</v>
          </cell>
        </row>
        <row r="790">
          <cell r="A790" t="str">
            <v>DOC. PRE-ESC. I   77  TID</v>
          </cell>
        </row>
        <row r="791">
          <cell r="A791" t="str">
            <v>DOC. PRE-ESC. II  139 TID</v>
          </cell>
        </row>
        <row r="792">
          <cell r="A792" t="str">
            <v>DOC. PRE-ESC. II  77  TID</v>
          </cell>
        </row>
        <row r="793">
          <cell r="A793" t="str">
            <v>DOC. PRE-ESC. III 139 TID</v>
          </cell>
        </row>
        <row r="794">
          <cell r="A794" t="str">
            <v>DOC. PRE-ESC. III 77  TID</v>
          </cell>
        </row>
        <row r="795">
          <cell r="A795" t="str">
            <v>DOC. PRE-ESC. IV  139 TID</v>
          </cell>
        </row>
        <row r="796">
          <cell r="A796" t="str">
            <v>DOC. PRE-ESC. IV  77  TID</v>
          </cell>
        </row>
        <row r="797">
          <cell r="A797" t="str">
            <v>DOC. PRE-ESC. V   139 TID</v>
          </cell>
        </row>
        <row r="798">
          <cell r="A798" t="str">
            <v>DOC. PRE-ESC. V   77  TID</v>
          </cell>
        </row>
        <row r="799">
          <cell r="A799" t="str">
            <v>DOC. PRE-ESC. VI  139 TID</v>
          </cell>
        </row>
        <row r="800">
          <cell r="A800" t="str">
            <v>DOC. PRE-ESC. VI  77  TID</v>
          </cell>
        </row>
        <row r="801">
          <cell r="A801" t="str">
            <v>DOC. PRE-ESCOLAR N.G.</v>
          </cell>
        </row>
        <row r="802">
          <cell r="A802" t="str">
            <v>DOC. SUB DIR. IV  77 TID /DOC BASICA IV 77 TCVNMA</v>
          </cell>
        </row>
        <row r="803">
          <cell r="A803" t="str">
            <v>DOC. SUB DIRECTOR BASICA  I  139 TID</v>
          </cell>
        </row>
        <row r="804">
          <cell r="A804" t="str">
            <v>DOC. SUB DIRECTOR BASICA  II 139 TID</v>
          </cell>
        </row>
        <row r="805">
          <cell r="A805" t="str">
            <v>DOC. SUB DIRECTOR BASICA 77 TID</v>
          </cell>
        </row>
        <row r="806">
          <cell r="A806" t="str">
            <v>DOC. SUB DIRECTOR BASICA I 77 TID</v>
          </cell>
        </row>
        <row r="807">
          <cell r="A807" t="str">
            <v>DOC. SUB DIRECTOR BASICA II  77 TID</v>
          </cell>
        </row>
        <row r="808">
          <cell r="A808" t="str">
            <v>DOC. SUB DIRECTOR BASICA III  77 TID</v>
          </cell>
        </row>
        <row r="809">
          <cell r="A809" t="str">
            <v>DOC. SUB DIRECTOR BASICA III 139 TID</v>
          </cell>
        </row>
        <row r="810">
          <cell r="A810" t="str">
            <v>DOC. SUB DIRECTOR BASICA IV  77 TID</v>
          </cell>
        </row>
        <row r="811">
          <cell r="A811" t="str">
            <v>DOC. SUB DIRECTOR BASICA IV  T.S.E</v>
          </cell>
        </row>
        <row r="812">
          <cell r="A812" t="str">
            <v>DOC. SUB DIRECTOR BASICA IV  TID</v>
          </cell>
        </row>
        <row r="813">
          <cell r="A813" t="str">
            <v>DOC. SUB DIRECTOR BASICA IV 139 TID</v>
          </cell>
        </row>
        <row r="814">
          <cell r="A814" t="str">
            <v>DOC. SUB DIRECTOR BASICA V   77 TID</v>
          </cell>
        </row>
        <row r="815">
          <cell r="A815" t="str">
            <v>DOC. SUB DIRECTOR BASICA V  139 TID</v>
          </cell>
        </row>
        <row r="816">
          <cell r="A816" t="str">
            <v>DOC. SUB DIRECTOR BASICA VI  77 TCVNMA</v>
          </cell>
        </row>
        <row r="817">
          <cell r="A817" t="str">
            <v>DOC. SUB DIRECTOR BASICA VI  77 TID</v>
          </cell>
        </row>
        <row r="818">
          <cell r="A818" t="str">
            <v>DOC. SUB DIRECTOR BASICA VI 139 TID</v>
          </cell>
        </row>
        <row r="819">
          <cell r="A819" t="str">
            <v>DOC. SUB DIRECTOR BASICO I  T.S.E.</v>
          </cell>
        </row>
        <row r="820">
          <cell r="A820" t="str">
            <v>DOC. SUB DIRECTOR BASICO IV  T.S.E.</v>
          </cell>
        </row>
        <row r="821">
          <cell r="A821" t="str">
            <v>DOC. SUB DIRECTOR BASICO V  T.S.E.</v>
          </cell>
        </row>
        <row r="822">
          <cell r="A822" t="str">
            <v>DOC. SUB DIRECTOR BASICO VI T.S.E.</v>
          </cell>
        </row>
        <row r="823">
          <cell r="A823" t="str">
            <v>DOC. SUB DIRECTOR N.G. TIDN</v>
          </cell>
        </row>
        <row r="824">
          <cell r="A824" t="str">
            <v>DOC. SUB DIRECTOR PRE-ESC. T.S.E. TID II</v>
          </cell>
        </row>
        <row r="825">
          <cell r="A825" t="str">
            <v>DOC. SUB DIRECTOR PRE-ESC. T.S.E. TID II</v>
          </cell>
        </row>
        <row r="826">
          <cell r="A826" t="str">
            <v>DOC. SUB DIRECTOR PRE-ESC. T.S.E. TID IV</v>
          </cell>
        </row>
        <row r="827">
          <cell r="A827" t="str">
            <v>DOC. SUB DIRECTOR PRE-ESC. T.S.E. TID V</v>
          </cell>
        </row>
        <row r="828">
          <cell r="A828" t="str">
            <v>DOC. SUB DIRECTOR PRE-ESC. T.S.E. TID VI</v>
          </cell>
        </row>
        <row r="829">
          <cell r="A829" t="str">
            <v>DOC. SUB DIRECTOR PRE-ESCOLAR II 139</v>
          </cell>
        </row>
        <row r="830">
          <cell r="A830" t="str">
            <v>DOC. SUB DIRECTOR PRE-ESCOLAR II 77</v>
          </cell>
        </row>
        <row r="831">
          <cell r="A831" t="str">
            <v>DOC. SUB DIRECTOR PRE-ESCOLAR III 77</v>
          </cell>
        </row>
        <row r="832">
          <cell r="A832" t="str">
            <v>DOC. SUB DIRECTOR PRE-ESCOLAR IV 77</v>
          </cell>
        </row>
        <row r="833">
          <cell r="A833" t="str">
            <v>DOC. SUB DIRECTOR PRE-ESCOLAR V  139</v>
          </cell>
        </row>
        <row r="834">
          <cell r="A834" t="str">
            <v>DOC. SUB DIRECTOR PRE-ESCOLAR V  77</v>
          </cell>
        </row>
        <row r="835">
          <cell r="A835" t="str">
            <v>DOC. SUB DIRECTOR PRE-ESCOLAR VI 139</v>
          </cell>
        </row>
        <row r="836">
          <cell r="A836" t="str">
            <v>DOC. SUB DIRECTOR PRE-ESCOLAR VI 77</v>
          </cell>
        </row>
        <row r="837">
          <cell r="A837" t="str">
            <v>DOC. SUB. DIR. BAS. VI 77 (36 HORAS) DOC BAS VI 77 TCVD (14 HORAS)</v>
          </cell>
        </row>
        <row r="838">
          <cell r="A838" t="str">
            <v>DOC. SUBDIR. BAS. (36 HORAS) Y PROF. DE KINDER MUSICAL (16 HORAS)</v>
          </cell>
        </row>
        <row r="839">
          <cell r="A839" t="str">
            <v>DOC. SUP. BAS.  VI 77 TC (40 HORAS) TCVNMA (16 HORAS)</v>
          </cell>
        </row>
        <row r="840">
          <cell r="A840" t="str">
            <v>DOC. SUP. BAS. III 77</v>
          </cell>
        </row>
        <row r="841">
          <cell r="A841" t="str">
            <v>DOC. SUP.BAS  VI 77  TC</v>
          </cell>
        </row>
        <row r="842">
          <cell r="A842" t="str">
            <v>DOC. SUP.BAS. II 77  TC</v>
          </cell>
        </row>
        <row r="843">
          <cell r="A843" t="str">
            <v>DOC. SUP.BAS. IV 139 TC</v>
          </cell>
        </row>
        <row r="844">
          <cell r="A844" t="str">
            <v>DOC. SUP.BAS. IV 77  TC</v>
          </cell>
        </row>
        <row r="845">
          <cell r="A845" t="str">
            <v>DOC. SUP.BAS. V  139 TC</v>
          </cell>
        </row>
        <row r="846">
          <cell r="A846" t="str">
            <v>DOC. SUP.BAS. V  77  TC</v>
          </cell>
        </row>
        <row r="847">
          <cell r="A847" t="str">
            <v>DOC. SUP.BAS. VI 139 TC</v>
          </cell>
        </row>
        <row r="848">
          <cell r="A848" t="str">
            <v>DOC. SUP.NG. III MEFDTC</v>
          </cell>
        </row>
        <row r="849">
          <cell r="A849" t="str">
            <v>DOC.BAS VI 77 TID (33.33 HORAS) / TCVD (16 HORAS)</v>
          </cell>
        </row>
        <row r="850">
          <cell r="A850" t="str">
            <v>DOC.BAS. V 77 TID (33.33 HORAS) /TCVD (05 HORAS)</v>
          </cell>
        </row>
        <row r="851">
          <cell r="A851" t="str">
            <v>DOC.BAS. V 77 TID (33.33 HORAS)-TCVD (05 HORAS)</v>
          </cell>
        </row>
        <row r="852">
          <cell r="A852" t="str">
            <v>DOC.BAS. VI 77 TID  (33.33 HORAS) /TCVD (05 HORAS)</v>
          </cell>
        </row>
        <row r="853">
          <cell r="A853" t="str">
            <v>DOC.BAS. VI 77 TID (33,33 HORAS) / TCVD (20 HORAS)</v>
          </cell>
        </row>
        <row r="854">
          <cell r="A854" t="str">
            <v>DOC.BAS. VI 77 TID (33.33 HORAS) /TCVD (20 HORAS)</v>
          </cell>
        </row>
        <row r="855">
          <cell r="A855" t="str">
            <v>DOC.BAS. VI 77 TID (36 HORAS) /TCVD (08 HORAS)</v>
          </cell>
        </row>
        <row r="856">
          <cell r="A856" t="str">
            <v>DOC.BAS. VI 77 TID (36 HORAS) /TCVD (14 HORAS)</v>
          </cell>
        </row>
        <row r="857">
          <cell r="A857" t="str">
            <v>DOC.BAS. VI 77TID (33.33 HORAS) / TCVMNA (16 HORAS)</v>
          </cell>
        </row>
        <row r="858">
          <cell r="A858" t="str">
            <v>DOC.BAS.VI 77 TID (33 HORAS) /TCVD (14 HORAS)</v>
          </cell>
        </row>
        <row r="859">
          <cell r="A859" t="str">
            <v>DOC.BAS.VI 77 TID (33.33 HORAS) /TCVD (10 HORAS)</v>
          </cell>
        </row>
        <row r="860">
          <cell r="A860" t="str">
            <v>DOC.DIRECTOR BASICA VI 139 TID (36HRS) Y ALFABETIZADOR V 139 (16HRS)</v>
          </cell>
        </row>
        <row r="861">
          <cell r="A861" t="str">
            <v>DOC.PRE-ESC. /TID (33.33) Y TCVD (17 HORAS)</v>
          </cell>
        </row>
        <row r="862">
          <cell r="A862" t="str">
            <v>DOC.SUB.BAS.IV TID (36 HOTAS) /TCVD (4 HORAS) Y (8 HORAS)</v>
          </cell>
        </row>
        <row r="863">
          <cell r="A863" t="str">
            <v>DOCENTE AULA IV</v>
          </cell>
        </row>
        <row r="864">
          <cell r="A864" t="str">
            <v>DOCENTE BASICA 19-77 TID</v>
          </cell>
        </row>
        <row r="865">
          <cell r="A865" t="str">
            <v>DOCENTE BASICA DIRECTORA 16-77 TID</v>
          </cell>
        </row>
        <row r="866">
          <cell r="A866" t="str">
            <v>DOCENTE BASICA DIRECTORA V 77 TCVD (20 HORAS) Y TC (40 HORAS)</v>
          </cell>
        </row>
        <row r="867">
          <cell r="A867" t="str">
            <v>DOCENTE BASICA I 77 TCVD  (12 HORAS) Y DOCENTE BASICA I 77 TCVD (08 HORAS)</v>
          </cell>
        </row>
        <row r="868">
          <cell r="A868" t="str">
            <v>DOCENTE BASICA III 77 TID/TCVD</v>
          </cell>
        </row>
        <row r="869">
          <cell r="A869" t="str">
            <v>DOCENTE BASICA IV 139 TCVNMA (16 HORAS)</v>
          </cell>
        </row>
        <row r="870">
          <cell r="A870" t="str">
            <v>DOCENTE BASICA IV 77 TCVD (18 HORAS) Y DOCENTE BASICA IV 77 TID (33,33 HORAS)</v>
          </cell>
        </row>
        <row r="871">
          <cell r="A871" t="str">
            <v>DOCENTE BASICA IV 77 TCVD (22 HORAS) Y DOCENTE BASICA IV 77 TID (33,33 HORAS)</v>
          </cell>
        </row>
        <row r="872">
          <cell r="A872" t="str">
            <v>DOCENTE BASICA IV 77 TCVD Y DOCENTE IV 77 TCVD</v>
          </cell>
        </row>
        <row r="873">
          <cell r="A873" t="str">
            <v>DOCENTE BASICA IV 77 TID (33,33 HORAS) Y ALFABETIZADORA (16 HORAS)</v>
          </cell>
        </row>
        <row r="874">
          <cell r="A874" t="str">
            <v>DOCENTE BASICA IV 77 TID (33,33 HORAS) Y DOCENTE BASICA IV 77 TCVD (10 HORAS)</v>
          </cell>
        </row>
        <row r="875">
          <cell r="A875" t="str">
            <v>DOCENTE BASICA IV 77 TID (33,33 HORAS) Y DOCENTE BASICA IV TCVD (14 HORAS)</v>
          </cell>
        </row>
        <row r="876">
          <cell r="A876" t="str">
            <v>DOCENTE BASICA IV 77 TID (33,33 HORAS) Y TCVD (12 HORAS)</v>
          </cell>
        </row>
        <row r="877">
          <cell r="A877" t="str">
            <v>DOCENTE BASICA IV 77 TID (33,33 HORAS) Y TCVD (20 HORAS)</v>
          </cell>
        </row>
        <row r="878">
          <cell r="A878" t="str">
            <v>DOCENTE BASICA IV 77 TID Y DOCENTE BASICA IV 77 TCVD</v>
          </cell>
        </row>
        <row r="879">
          <cell r="A879" t="str">
            <v>DOCENTE BASICA IV 77 TID Y DOCENTE DE AULA (ZONA EDUCATIVA)</v>
          </cell>
        </row>
        <row r="880">
          <cell r="A880" t="str">
            <v>DOCENTE BASICA NG 16 TCVNMA (16 HORAS)</v>
          </cell>
        </row>
        <row r="881">
          <cell r="A881" t="str">
            <v>DOCENTE BASICA NG TCVD (07 HORAS)</v>
          </cell>
        </row>
        <row r="882">
          <cell r="A882" t="str">
            <v>DOCENTE BASICA NG TCVD (12 HORAS)</v>
          </cell>
        </row>
        <row r="883">
          <cell r="A883" t="str">
            <v>DOCENTE BASICA NG TCVD (12 HR) Y INSTRUCTOR II (24 HR)</v>
          </cell>
        </row>
        <row r="884">
          <cell r="A884" t="str">
            <v>DOCENTE BASICA NG TCVD (20 HORAS)</v>
          </cell>
        </row>
        <row r="885">
          <cell r="A885" t="str">
            <v>DOCENTE BASICA SUPERVISORA VI 139 TC Y DOCENTE BASICA VI 139 TCVNM</v>
          </cell>
        </row>
        <row r="886">
          <cell r="A886" t="str">
            <v>DOCENTE BASICA V  77 TID (33,33 HORAS) Y DOCENTE BASICA V 77 TCVD (19HORAS)</v>
          </cell>
        </row>
        <row r="887">
          <cell r="A887" t="str">
            <v>DOCENTE BASICA V 139 TID Y DOCENTE BASICA V 139 TCVN</v>
          </cell>
        </row>
        <row r="888">
          <cell r="A888" t="str">
            <v>DOCENTE BASICA V 77 TID (33,33 HORAS)  Y TCVNMA (16 HORAS)</v>
          </cell>
        </row>
        <row r="889">
          <cell r="A889" t="str">
            <v>DOCENTE BASICA V 77 TID (33,33 HORAS) Y TCVD (02 HORAS)</v>
          </cell>
        </row>
        <row r="890">
          <cell r="A890" t="str">
            <v>DOCENTE BASICA V 77 TID (33,33 HORAS) Y TCVD (08 HORAS)</v>
          </cell>
        </row>
        <row r="891">
          <cell r="A891" t="str">
            <v>DOCENTE BASICA V 77 TID (33,33 HORAS) Y TCVD (17 HORAS)</v>
          </cell>
        </row>
        <row r="892">
          <cell r="A892" t="str">
            <v>DOCENTE BASICA V 77 TID (33,33 HORAS) Y TCVD (19 HORAS)</v>
          </cell>
        </row>
        <row r="893">
          <cell r="A893" t="str">
            <v>DOCENTE BASICA V 77 TID Y V 77 (33,33 HORAS) TCVD (10 HORAS)</v>
          </cell>
        </row>
        <row r="894">
          <cell r="A894" t="str">
            <v>DOCENTE BASICA V 77 TID Y V 77 (33,33 HORAS) TCVD (20 HORAS)</v>
          </cell>
        </row>
        <row r="895">
          <cell r="A895" t="str">
            <v>DOCENTE BASICA VI 139 TID (33.33 HORAS) Y DOCENTE BASICA VI 139 TCVD (16 HORAS)</v>
          </cell>
        </row>
        <row r="896">
          <cell r="A896" t="str">
            <v>DOCENTE BASICA VI 139 TID Y COORDINADORA VI 139</v>
          </cell>
        </row>
        <row r="897">
          <cell r="A897" t="str">
            <v>DOCENTE BASICA VI 139 TID Y DOCENTE BASICA VI 139 TCVD</v>
          </cell>
        </row>
        <row r="898">
          <cell r="A898" t="str">
            <v>DOCENTE BASICA VI 139 TID Y DOCENTE BASICA VI 139 TCVNM</v>
          </cell>
        </row>
        <row r="899">
          <cell r="A899" t="str">
            <v>DOCENTE BASICA VI 77 TCVD (13 HORAS) Y COORDINADORA VI (36 HORAS)</v>
          </cell>
        </row>
        <row r="900">
          <cell r="A900" t="str">
            <v>DOCENTE BASICA VI 77 TCVNM, MAESTRA ALFABETIZADORA, DIRECTORA DOCENTE BASICA VI TCVN, DOCENTE BASICA</v>
          </cell>
        </row>
        <row r="901">
          <cell r="A901" t="str">
            <v>DOCENTE BASICA VI 77 TID  (33.33 HORAS) Y TCVNMA  (16 HORAS)</v>
          </cell>
        </row>
        <row r="902">
          <cell r="A902" t="str">
            <v>DOCENTE BASICA VI 77 TID  (33.33) / TCVD (12 HORAS)</v>
          </cell>
        </row>
        <row r="903">
          <cell r="A903" t="str">
            <v>DOCENTE BASICA VI 77 TID (10 HORAS)  /TCVD (33,33 HORAS)</v>
          </cell>
        </row>
        <row r="904">
          <cell r="A904" t="str">
            <v>DOCENTE BASICA VI 77 TID (33 HORAS) Y TCVD (07 HORAS)</v>
          </cell>
        </row>
        <row r="905">
          <cell r="A905" t="str">
            <v>DOCENTE BASICA VI 77 TID (33 HORAS) Y TCVD (08 HORAS)</v>
          </cell>
        </row>
        <row r="906">
          <cell r="A906" t="str">
            <v>DOCENTE BASICA VI 77 TID (33 HORAS), V 77 TCVD (08 HORAS)</v>
          </cell>
        </row>
        <row r="907">
          <cell r="A907" t="str">
            <v>DOCENTE BASICA VI 77 TID (33,33 HORAS)  Y TCVD (20 HORAS)</v>
          </cell>
        </row>
        <row r="908">
          <cell r="A908" t="str">
            <v>DOCENTE BASICA VI 77 TID (33,33 HORAS) /TCVNMA (15 HORAS)</v>
          </cell>
        </row>
        <row r="909">
          <cell r="A909" t="str">
            <v>DOCENTE BASICA VI 77 TID (33,33 HORAS) Y  TCVD (6 HORAS)</v>
          </cell>
        </row>
        <row r="910">
          <cell r="A910" t="str">
            <v>DOCENTE BASICA VI 77 TID (33,33 HORAS) Y ALFABETIZADORA VI 77 (16 HORAS)</v>
          </cell>
        </row>
        <row r="911">
          <cell r="A911" t="str">
            <v>DOCENTE BASICA VI 77 TID (33,33 HORAS) Y TCVD (04 HORAS)</v>
          </cell>
        </row>
        <row r="912">
          <cell r="A912" t="str">
            <v>DOCENTE BASICA VI 77 TID (33,33 HORAS) Y TCVD (04 HORAS)</v>
          </cell>
        </row>
        <row r="913">
          <cell r="A913" t="str">
            <v>DOCENTE BASICA VI 77 TID (33,33 HORAS) Y TCVD (04 HORAS)</v>
          </cell>
        </row>
        <row r="914">
          <cell r="A914" t="str">
            <v>DOCENTE BASICA VI 77 TID (33,33 HORAS) Y TCVD (11 HORAS)</v>
          </cell>
        </row>
        <row r="915">
          <cell r="A915" t="str">
            <v>DOCENTE BASICA VI 77 TID (33,33 HORAS) Y TCVNMA (14 HORAS)</v>
          </cell>
        </row>
        <row r="916">
          <cell r="A916" t="str">
            <v>DOCENTE BASICA VI 77 TID (33,33) Y DOCENTE BASICO VI 77 TCVD (12 HORAS)</v>
          </cell>
        </row>
        <row r="917">
          <cell r="A917" t="str">
            <v>DOCENTE BASICA VI 77 TID (33,33) Y TCVD (14 HORAS)</v>
          </cell>
        </row>
        <row r="918">
          <cell r="A918" t="str">
            <v>DOCENTE BASICA VI 77 TID (33.33 HORAS) Y TCVD (16 HORAS)</v>
          </cell>
        </row>
        <row r="919">
          <cell r="A919" t="str">
            <v>DOCENTE BASICA VI 77 TID (33.33 HORAS) Y TCVD (19 HORAS)</v>
          </cell>
        </row>
        <row r="920">
          <cell r="A920" t="str">
            <v>DOCENTE BASICA VI 77 TID (36 HORAS) Y DOCENTE BASICO TCVD (12 HORAS)</v>
          </cell>
        </row>
        <row r="921">
          <cell r="A921" t="str">
            <v>DOCENTE BASICA VI 77 TID Y DOCENTE BASICA VI 77 TCNM</v>
          </cell>
        </row>
        <row r="922">
          <cell r="A922" t="str">
            <v>DOCENTE BASICA VI 77 TID Y DOCENTE DE AULA (ZONA EDUCATIVA)</v>
          </cell>
        </row>
        <row r="923">
          <cell r="A923" t="str">
            <v>DOCENTE BASICO 16-139 TCVN Y DOCENTE DIRECTOR BASICO 139 TID VI</v>
          </cell>
        </row>
        <row r="924">
          <cell r="A924" t="str">
            <v>DOCENTE BASICO 16-139 TCVNMA</v>
          </cell>
        </row>
        <row r="925">
          <cell r="A925" t="str">
            <v>DOCENTE BASICO 16-77 TCVNM/MA VI Y DOCENTE SUB-DIRECTOR 16-77 TID VI Y PH (08 HORAS)</v>
          </cell>
        </row>
        <row r="926">
          <cell r="A926" t="str">
            <v>DOCENTE BASICO 16-77 TCVNMA VI, Y SUPERVISOR BASICO</v>
          </cell>
        </row>
        <row r="927">
          <cell r="A927" t="str">
            <v>DOCENTE BASICO DE ADULTOS Y COORD PROM DIF CULT</v>
          </cell>
        </row>
        <row r="928">
          <cell r="A928" t="str">
            <v>DOCENTE BASICO IV 77 TCVD (36 HORAS)</v>
          </cell>
        </row>
        <row r="929">
          <cell r="A929" t="str">
            <v>DOCENTE BASICO IV 77 TID (33,33 HORAS) Y TCVD (08 HORAS)</v>
          </cell>
        </row>
        <row r="930">
          <cell r="A930" t="str">
            <v>DOCENTE BASICO IV 77 TID (33,33 HORAS) Y TCVD (08 HORAS)</v>
          </cell>
        </row>
        <row r="931">
          <cell r="A931" t="str">
            <v>DOCENTE BASICO IV 77 TID (33,33 HORAS) Y TCVD (12 HORAS)</v>
          </cell>
        </row>
        <row r="932">
          <cell r="A932" t="str">
            <v>DOCENTE BASICO IV 77 TID (33,33 HORAS) Y TCVD (16 HORAS)</v>
          </cell>
        </row>
        <row r="933">
          <cell r="A933" t="str">
            <v>DOCENTE BASICO IV 77 TID (33,33 HORAS) Y TCVD (18 HORAS)</v>
          </cell>
        </row>
        <row r="934">
          <cell r="A934" t="str">
            <v>DOCENTE BASICO IV 77 TID (33,33 HORAS) Y TCVD (20 HORAS)</v>
          </cell>
        </row>
        <row r="935">
          <cell r="A935" t="str">
            <v>DOCENTE BASICO IV 77 TID (33,33 HORAS) Y TCVNMA (16 HORAS)</v>
          </cell>
        </row>
        <row r="936">
          <cell r="A936" t="str">
            <v>DOCENTE BASICO IV 77 TID/TCVD</v>
          </cell>
        </row>
        <row r="937">
          <cell r="A937" t="str">
            <v>DOCENTE BASICO NG TID (33,33 HORAS) Y DOCENTE BASICA NG TCVNMA (16 HORAS)</v>
          </cell>
        </row>
        <row r="938">
          <cell r="A938" t="str">
            <v>DOCENTE BASICO V 77 TCVNMA (16 HORAS) Y DOCENTE SUPERVISOR BASICO V 77 TC (40 HORAS)</v>
          </cell>
        </row>
        <row r="939">
          <cell r="A939" t="str">
            <v>DOCENTE BASICO V 77 TID (33 HORAS) Y TVCNMA (16 HORAS)</v>
          </cell>
        </row>
        <row r="940">
          <cell r="A940" t="str">
            <v>DOCENTE BASICO V 77 TID (33,33 HORAS) Y TCVD (05 HORAS)</v>
          </cell>
        </row>
        <row r="941">
          <cell r="A941" t="str">
            <v>DOCENTE BASICO V 77 TID (33,33 HORAS) Y TCVD (14 HORAS)</v>
          </cell>
        </row>
        <row r="942">
          <cell r="A942" t="str">
            <v>DOCENTE BASICO V 77 TID (33,33 HORAS) Y TCVN (10 HORAS)</v>
          </cell>
        </row>
        <row r="943">
          <cell r="A943" t="str">
            <v>DOCENTE BASICO V 77 TID (33,33 HORAS) Y TCVN (16 HORAS)</v>
          </cell>
        </row>
        <row r="944">
          <cell r="A944" t="str">
            <v>DOCENTE BASICO V 77 TID (33,33 HORAS)Y TCVD (07 HORAS)</v>
          </cell>
        </row>
        <row r="945">
          <cell r="A945" t="str">
            <v>DOCENTE BASICO V 77 TID (33.33 HORAS) Y TCVD (21 HORAS)</v>
          </cell>
        </row>
        <row r="946">
          <cell r="A946" t="str">
            <v>DOCENTE BASICO V TID (33.33 HORAS), Y TCVD (11 HORAS)</v>
          </cell>
        </row>
        <row r="947">
          <cell r="A947" t="str">
            <v>DOCENTE BASICO V TSE TCVNMA (16 HR)</v>
          </cell>
        </row>
        <row r="948">
          <cell r="A948" t="str">
            <v>DOCENTE BASICO VI  77 TID (33,33 HORAS) Y TCVD (14 HORAS)</v>
          </cell>
        </row>
        <row r="949">
          <cell r="A949" t="str">
            <v>DOCENTE BASICO VI 77 (33,33 HORAS)  TID Y TCVD (8 HORAS)</v>
          </cell>
        </row>
        <row r="950">
          <cell r="A950" t="str">
            <v>DOCENTE BASICO VI 77 TCVD (33 HORAS) TID (17 HORAS)</v>
          </cell>
        </row>
        <row r="951">
          <cell r="A951" t="str">
            <v>DOCENTE BASICO VI 77 TCVD / TCVD</v>
          </cell>
        </row>
        <row r="952">
          <cell r="A952" t="str">
            <v>DOCENTE BASICO VI 77 TID (33,33 HORAS) / TCVD (6 HORAS) / TCVD (12 HORAS)</v>
          </cell>
        </row>
        <row r="953">
          <cell r="A953" t="str">
            <v>DOCENTE BASICO VI 77 TID (33,33 HORAS) Y DOCENTE BASICO VI 77 TCVD (8 HORAS)</v>
          </cell>
        </row>
        <row r="954">
          <cell r="A954" t="str">
            <v>DOCENTE BASICO VI 77 TID (33,33 HORAS) Y TCVD (20 HORAS)</v>
          </cell>
        </row>
        <row r="955">
          <cell r="A955" t="str">
            <v>DOCENTE BASICO VI 77 TID (33,33 HORAS) Y TCVD (6 HORAS)</v>
          </cell>
        </row>
        <row r="956">
          <cell r="A956" t="str">
            <v>DOCENTE BASICO VI 77 TID (33,33)  / TCVNMA (11)</v>
          </cell>
        </row>
        <row r="957">
          <cell r="A957" t="str">
            <v>DOCENTE BASICO VI 77 TID (33.33 HORAS) Y TCVD (6 HORAS)</v>
          </cell>
        </row>
        <row r="958">
          <cell r="A958" t="str">
            <v>DOCENTE BASICO VI 77 TID Y DOCENTE BASICO VI 77 TCVD Y DOCENTE BASICO VI 77 TCVD Y 2 CARGOS MAS</v>
          </cell>
        </row>
        <row r="959">
          <cell r="A959" t="str">
            <v>DOCENTE BASICO Y DIRECTOR 16-139 TID VI</v>
          </cell>
        </row>
        <row r="960">
          <cell r="A960" t="str">
            <v>DOCENTE COOD. 139 VI TID (33,33 HORAS) Y DOCENTE BASICO VI 139 TCVNMA (16 HORAS)</v>
          </cell>
        </row>
        <row r="961">
          <cell r="A961" t="str">
            <v>DOCENTE DE BASICA III TSE 16 H Y AUXILIAR DE BIBLIOTECA</v>
          </cell>
        </row>
        <row r="962">
          <cell r="A962" t="str">
            <v>DOCENTE DIRECTOR BASICA IV 77 TCVD Y COORDINADOR DOCENTE</v>
          </cell>
        </row>
        <row r="963">
          <cell r="A963" t="str">
            <v>DOCENTE DIRECTOR BASICA VI 139 TID (36 HORAS)</v>
          </cell>
        </row>
        <row r="964">
          <cell r="A964" t="str">
            <v>DOCENTE DIRECTOR BASICA VI 77 TID (36 HORAS) Y TCVNMA (16 HORAS)</v>
          </cell>
        </row>
        <row r="965">
          <cell r="A965" t="str">
            <v>DOCENTE DIRECTOR BASICA VI 77 TID (36HORAS) Y TCVD (10 HORAS)</v>
          </cell>
        </row>
        <row r="966">
          <cell r="A966" t="str">
            <v>DOCENTE DIRECTOR BASICO V 77 TID (40 HORAS) Y DOCENTE BASICO V 77 TCVM (16 HORAS)</v>
          </cell>
        </row>
        <row r="967">
          <cell r="A967" t="str">
            <v>DOCENTE DIRECTOR BASICO VI 139 TID (36 HORAS), Y DOCENTE DIRECTOR BASICO VI 139 TCVN (20 HORAS)</v>
          </cell>
        </row>
        <row r="968">
          <cell r="A968" t="str">
            <v>DOCENTE DIRECTOR BASICO VI 77 TID (36 HORAS) Y DOC BASICO VI 77 TCVD (13 HORAS)</v>
          </cell>
        </row>
        <row r="969">
          <cell r="A969" t="str">
            <v>DOCENTE DIRECTOR BASICO VI 77 TID (36 HORAS) Y TCVD (17 HORAS)</v>
          </cell>
        </row>
        <row r="970">
          <cell r="A970" t="str">
            <v>DOCENTE DIRECTOR BASICO VI 77 TID (40 HORAS) Y DOC BASICO VI 77 TCVD (06 HORAS)</v>
          </cell>
        </row>
        <row r="971">
          <cell r="A971" t="str">
            <v>DOCENTE DIRECTOR BASICO VI 77 TID (40 HORAS) Y DOCENTE BASICO VI 77 TCVNMA (16 HORAS)</v>
          </cell>
        </row>
        <row r="972">
          <cell r="A972" t="str">
            <v>DOCENTE DIRECTOR PRE-ESCOLAR VI 77 TID (36 HORAS)</v>
          </cell>
        </row>
        <row r="973">
          <cell r="A973" t="str">
            <v>DOCENTE DIRECTORA BASICA IV 77 TID (36 HORAS)</v>
          </cell>
        </row>
        <row r="974">
          <cell r="A974" t="str">
            <v>DOCENTE DIRECTORA BASICA V 77 TCVNMA 20HRS</v>
          </cell>
        </row>
        <row r="975">
          <cell r="A975" t="str">
            <v>DOCENTE DIRECTORA BASICA VI 139 (36 HORAS) TID Y ALFABETIZADORA VI 139</v>
          </cell>
        </row>
        <row r="976">
          <cell r="A976" t="str">
            <v>DOCENTE DIRECTORA BASICA VI 77 TID (36 HORAS) Y DOCENTE BASICA V 77 TCVD (4 HORAS)</v>
          </cell>
        </row>
        <row r="977">
          <cell r="A977" t="str">
            <v>DOCENTE N.G 1-6 TCVD (33,33 HORAS) / DOC BASICA NG TCVD (14 HORAS)</v>
          </cell>
        </row>
        <row r="978">
          <cell r="A978" t="str">
            <v>DOCENTE N.G. 1-6</v>
          </cell>
        </row>
        <row r="979">
          <cell r="A979" t="str">
            <v>DOCENTE ORIENTADOR</v>
          </cell>
        </row>
        <row r="980">
          <cell r="A980" t="str">
            <v>DOCENTE ORIENTADOR V 77 1-6 TID (36 HORAS)</v>
          </cell>
        </row>
        <row r="981">
          <cell r="A981" t="str">
            <v>DOCENTE PLANIFICADOR VI 77 TC (36 HORAS) Y DOCENTE BASICA VI 77 TCVNMA (16 HORAS)</v>
          </cell>
        </row>
        <row r="982">
          <cell r="A982" t="str">
            <v>DOCENTE PLANIFICADORA 16-77 VI (36 HORAS) Y DOC BAS VI 77 TCVMA (16 HORAS)</v>
          </cell>
        </row>
        <row r="983">
          <cell r="A983" t="str">
            <v>DOCENTE PRE-ESCOLAR IV 77 TID (33,33 HORAS) Y DOCENTE BASICA IV 77 TCVD (06 HORAS)</v>
          </cell>
        </row>
        <row r="984">
          <cell r="A984" t="str">
            <v>DOCENTE PRE-ESCOLAR VI 139 TID (33,33 HORAS) Y DOC. BASICA VI 139 TCVNMA  (16 HORAS)</v>
          </cell>
        </row>
        <row r="985">
          <cell r="A985" t="str">
            <v>DOCENTE PREESCOLAR VI 77 TID (33.33 HORAS) Y DOCENTE BASICO V 77 TCVNMA (16 HORAS)</v>
          </cell>
        </row>
        <row r="986">
          <cell r="A986" t="str">
            <v>DOCENTE SD BASICA VI 77 TID (40 HORAS) Y TCVD (14 HORAS)</v>
          </cell>
        </row>
        <row r="987">
          <cell r="A987" t="str">
            <v>DOCENTE SUB-DIRECTOR BASICA IV 77 TID (36 HORAS)</v>
          </cell>
        </row>
        <row r="988">
          <cell r="A988" t="str">
            <v>DOCENTE SUB-DIRECTOR BASICA IV 77 TID (36 HORAS)Y DOCENTE IV BASICO TCVD (16 HORAS)</v>
          </cell>
        </row>
        <row r="989">
          <cell r="A989" t="str">
            <v>DOCENTE SUB-DIRECTOR BASICO IV 77 TID (40 HORAS) Y DOCENTE BASICO IV 77 TCVD (08 HORAS)</v>
          </cell>
        </row>
        <row r="990">
          <cell r="A990" t="str">
            <v>DOCENTE SUB-DIRECTORA BASICA V 77 TID (36 HORAS) Y TCVD (08 HORAS)</v>
          </cell>
        </row>
        <row r="991">
          <cell r="A991" t="str">
            <v>DOCENTE SUB-DIRECTORA BASICA V TSE (36 HORAS)</v>
          </cell>
        </row>
        <row r="992">
          <cell r="A992" t="str">
            <v>DOCENTE SUB-DIRECTORA BASICA VI 77 TID (40 HORAS) Y (07 HORAS)</v>
          </cell>
        </row>
        <row r="993">
          <cell r="A993" t="str">
            <v>DOCENTE SUB-DIRECTORA BASICO VI 77 TID (36 HORAS) Y (16 HORAS)</v>
          </cell>
        </row>
        <row r="994">
          <cell r="A994" t="str">
            <v>DOCENTE SUP BASICA VI 77 TC (40 HORAS), DOCENTE BAS VI TCVN (16 HORAS) Y DOCENTE VI AULA (5 HORAS)</v>
          </cell>
        </row>
        <row r="995">
          <cell r="A995" t="str">
            <v>DOCENTE SUPERVISOR BASICO V 77 TC Y DOCENTE BASICO V 77 TCVN Y DOCENTE DE AULA V (ZONA EDUC)</v>
          </cell>
        </row>
        <row r="996">
          <cell r="A996" t="str">
            <v>DOCENTE SUPERVISOR BASICO VI 139 TC (40 HORAS) Y DOCENTE BASICO VI 139 TCVNMA (16 HORAS)</v>
          </cell>
        </row>
        <row r="997">
          <cell r="A997" t="str">
            <v>DOCENTE SUPERVISOR BASICO VI 77 TC Y DOCENTE IV AULA (13 HORAS)</v>
          </cell>
        </row>
        <row r="998">
          <cell r="A998" t="str">
            <v>DOCENTE SUPERVISOR BASICO VI 77 TCVNMA</v>
          </cell>
        </row>
        <row r="999">
          <cell r="A999" t="str">
            <v>DOCENTE SUPERVISOR V 77 TC</v>
          </cell>
        </row>
        <row r="1000">
          <cell r="A1000" t="str">
            <v>DOCENTE V 77 TID (33,33 HORAS) Y TCVD (13 HORAS)</v>
          </cell>
        </row>
        <row r="1001">
          <cell r="A1001" t="str">
            <v>ECONOMA I</v>
          </cell>
        </row>
        <row r="1002">
          <cell r="A1002" t="str">
            <v>ECONOMA II</v>
          </cell>
        </row>
        <row r="1003">
          <cell r="A1003" t="str">
            <v>ECONOMISTA I</v>
          </cell>
        </row>
        <row r="1004">
          <cell r="A1004" t="str">
            <v>ECONOMISTA II</v>
          </cell>
        </row>
        <row r="1005">
          <cell r="A1005" t="str">
            <v>ECONOMISTA III</v>
          </cell>
        </row>
        <row r="1006">
          <cell r="A1006" t="str">
            <v>ECONOMISTA JEFE I</v>
          </cell>
        </row>
        <row r="1007">
          <cell r="A1007" t="str">
            <v>ECONOMISTA JEFE II</v>
          </cell>
        </row>
        <row r="1008">
          <cell r="A1008" t="str">
            <v>ECONOMISTA JEFE III</v>
          </cell>
        </row>
        <row r="1009">
          <cell r="A1009" t="str">
            <v>EDITOR</v>
          </cell>
        </row>
        <row r="1010">
          <cell r="A1010" t="str">
            <v>EDITOR DE NOTICIAS EDUCATIVAS</v>
          </cell>
        </row>
        <row r="1011">
          <cell r="A1011" t="str">
            <v>EDITOR FILMICO</v>
          </cell>
        </row>
        <row r="1012">
          <cell r="A1012" t="str">
            <v>EDITOR HISTORICO</v>
          </cell>
        </row>
        <row r="1013">
          <cell r="A1013" t="str">
            <v>EDITOR JEFE</v>
          </cell>
        </row>
        <row r="1014">
          <cell r="A1014" t="str">
            <v>EJECUTANTE DE CLARINETE</v>
          </cell>
        </row>
        <row r="1015">
          <cell r="A1015" t="str">
            <v>ENCUADERNADOR DE CONSERVACION II</v>
          </cell>
        </row>
        <row r="1016">
          <cell r="A1016" t="str">
            <v>ENCUADERNADOR DE CONSERVACION III</v>
          </cell>
        </row>
        <row r="1017">
          <cell r="A1017" t="str">
            <v>ENCUADERNADOR DE CONSERVACION JEFE</v>
          </cell>
        </row>
        <row r="1018">
          <cell r="A1018" t="str">
            <v>ENFERMERA ANESTESISTA</v>
          </cell>
        </row>
        <row r="1019">
          <cell r="A1019" t="str">
            <v>ENFERMERA DE SALUD PUBLICA I</v>
          </cell>
        </row>
        <row r="1020">
          <cell r="A1020" t="str">
            <v>ENFERMERA DE SALUD PUBLICA II</v>
          </cell>
        </row>
        <row r="1021">
          <cell r="A1021" t="str">
            <v>ENFERMERA DE SALUD PUBLICA III</v>
          </cell>
        </row>
        <row r="1022">
          <cell r="A1022" t="str">
            <v>ENFERMERA DE SALUD PUBLICA IV</v>
          </cell>
        </row>
        <row r="1023">
          <cell r="A1023" t="str">
            <v>ENFERMERA DE SALUD PUBLICA JEFE II</v>
          </cell>
        </row>
        <row r="1024">
          <cell r="A1024" t="str">
            <v>ENFERMERA DE SALUD PUBLICA JEFE III</v>
          </cell>
        </row>
        <row r="1025">
          <cell r="A1025" t="str">
            <v>ENFERMERA DE SALUD PUBLICA JEFE V</v>
          </cell>
        </row>
        <row r="1026">
          <cell r="A1026" t="str">
            <v>ENFERMERA DE SALUD PUBLICA V</v>
          </cell>
        </row>
        <row r="1027">
          <cell r="A1027" t="str">
            <v>ENFERMERA HEMOTERAPISTA I</v>
          </cell>
        </row>
        <row r="1028">
          <cell r="A1028" t="str">
            <v>ENFERMERA HEMOTERAPISTA II</v>
          </cell>
        </row>
        <row r="1029">
          <cell r="A1029" t="str">
            <v>ENFERMERA HEMOTERAPISTA III</v>
          </cell>
        </row>
        <row r="1030">
          <cell r="A1030" t="str">
            <v>ENFERMERA I</v>
          </cell>
        </row>
        <row r="1031">
          <cell r="A1031" t="str">
            <v>ENFERMERA II</v>
          </cell>
        </row>
        <row r="1032">
          <cell r="A1032" t="str">
            <v>ENFERMERA III</v>
          </cell>
        </row>
        <row r="1033">
          <cell r="A1033" t="str">
            <v>ENFERMERA JEFE I</v>
          </cell>
        </row>
        <row r="1034">
          <cell r="A1034" t="str">
            <v>ENFERMERA JEFE II</v>
          </cell>
        </row>
        <row r="1035">
          <cell r="A1035" t="str">
            <v>ENFERMERA JEFE III</v>
          </cell>
        </row>
        <row r="1036">
          <cell r="A1036" t="str">
            <v>ENTRENADOR DEPORTIVO II</v>
          </cell>
        </row>
        <row r="1037">
          <cell r="A1037" t="str">
            <v>ENTRENADOR DEPORTIVO I</v>
          </cell>
        </row>
        <row r="1038">
          <cell r="A1038" t="str">
            <v>ENTRENADOR DEPORTIVO III</v>
          </cell>
        </row>
        <row r="1039">
          <cell r="A1039" t="str">
            <v>ENTRENADOR DEPORTIVO IV</v>
          </cell>
        </row>
        <row r="1040">
          <cell r="A1040" t="str">
            <v>ENTRENADOR DEPORTIVO V</v>
          </cell>
        </row>
        <row r="1041">
          <cell r="A1041" t="str">
            <v>ENTRENADOR DEPORTIVO VI</v>
          </cell>
        </row>
        <row r="1042">
          <cell r="A1042" t="str">
            <v>ENTRENADOR DEPORTIVO VII</v>
          </cell>
        </row>
        <row r="1043">
          <cell r="A1043" t="str">
            <v>ESCENOGRAFO</v>
          </cell>
        </row>
        <row r="1044">
          <cell r="A1044" t="str">
            <v>ESCRIBIENTE DE REGISTRO I</v>
          </cell>
        </row>
        <row r="1045">
          <cell r="A1045" t="str">
            <v>ESCRIBIENTE DE REGISTROS  II</v>
          </cell>
        </row>
        <row r="1046">
          <cell r="A1046" t="str">
            <v>ESPECIALISTA EN ASISTENCIA TECNICA</v>
          </cell>
        </row>
        <row r="1047">
          <cell r="A1047" t="str">
            <v>ESPECIALISTA EN EXTENSION I</v>
          </cell>
        </row>
        <row r="1048">
          <cell r="A1048" t="str">
            <v>ESPECIALISTA EN EXTENSION II</v>
          </cell>
        </row>
        <row r="1049">
          <cell r="A1049" t="str">
            <v>ESPECIALISTA EN EXTENSION III</v>
          </cell>
        </row>
        <row r="1050">
          <cell r="A1050" t="str">
            <v>ESPECIALISTA EN EXTENSION IV</v>
          </cell>
        </row>
        <row r="1051">
          <cell r="A1051" t="str">
            <v>ESPECIALISTA EN INFORMACION I</v>
          </cell>
        </row>
        <row r="1052">
          <cell r="A1052" t="str">
            <v>ESPECIALISTA EN INFORMACION II</v>
          </cell>
        </row>
        <row r="1053">
          <cell r="A1053" t="str">
            <v>ESPECIALISTA EN INFORMACION III</v>
          </cell>
        </row>
        <row r="1054">
          <cell r="A1054" t="str">
            <v>ESPECIALISTA EN INFORMATICA I</v>
          </cell>
        </row>
        <row r="1055">
          <cell r="A1055" t="str">
            <v>ESPECIALISTA EN INFORMATICA II</v>
          </cell>
        </row>
        <row r="1056">
          <cell r="A1056" t="str">
            <v>ESTADISTICO I</v>
          </cell>
        </row>
        <row r="1057">
          <cell r="A1057" t="str">
            <v>ESTADISTICO II</v>
          </cell>
        </row>
        <row r="1058">
          <cell r="A1058" t="str">
            <v>ESTADISTICO III</v>
          </cell>
        </row>
        <row r="1059">
          <cell r="A1059" t="str">
            <v>ESTADISTICO JEFE I</v>
          </cell>
        </row>
        <row r="1060">
          <cell r="A1060" t="str">
            <v>ESTADISTICO JEFE II</v>
          </cell>
        </row>
        <row r="1061">
          <cell r="A1061" t="str">
            <v>ESTIMADOR DE ASTILLEROS</v>
          </cell>
        </row>
        <row r="1062">
          <cell r="A1062" t="str">
            <v>EXAMINADOR AUXILIADOR DE BANCO</v>
          </cell>
        </row>
        <row r="1063">
          <cell r="A1063" t="str">
            <v>EXAMINADOR DE BANCOS I</v>
          </cell>
        </row>
        <row r="1064">
          <cell r="A1064" t="str">
            <v>EXAMINADOR DE BANCOS II</v>
          </cell>
        </row>
        <row r="1065">
          <cell r="A1065" t="str">
            <v>EXAMINADOR DE BANCOS III</v>
          </cell>
        </row>
        <row r="1066">
          <cell r="A1066" t="str">
            <v>EXAMINADOR DE BANCOS IV</v>
          </cell>
        </row>
        <row r="1067">
          <cell r="A1067" t="str">
            <v>EXAMINADOR DE BANCOS JEFE</v>
          </cell>
        </row>
        <row r="1068">
          <cell r="A1068" t="str">
            <v>EXAMINADOR DE BANCOS V</v>
          </cell>
        </row>
        <row r="1069">
          <cell r="A1069" t="str">
            <v>EXPENDEDOR DE ESPECIES FISCALES I</v>
          </cell>
        </row>
        <row r="1070">
          <cell r="A1070" t="str">
            <v>EXPENDEDOR DE ESPECIES FISCALES II</v>
          </cell>
        </row>
        <row r="1071">
          <cell r="A1071" t="str">
            <v>FAGOT</v>
          </cell>
        </row>
        <row r="1072">
          <cell r="A1072" t="str">
            <v>FAGOT 1</v>
          </cell>
        </row>
        <row r="1073">
          <cell r="A1073" t="str">
            <v>FAGOT 2</v>
          </cell>
        </row>
        <row r="1074">
          <cell r="A1074" t="str">
            <v>FARMACEUTICO I</v>
          </cell>
        </row>
        <row r="1075">
          <cell r="A1075" t="str">
            <v>FARMACEUTICO II</v>
          </cell>
        </row>
        <row r="1076">
          <cell r="A1076" t="str">
            <v>FARMACEUTICO III</v>
          </cell>
        </row>
        <row r="1077">
          <cell r="A1077" t="str">
            <v>FARMACEUTICO JEFE I</v>
          </cell>
        </row>
        <row r="1078">
          <cell r="A1078" t="str">
            <v>FARMACEUTICO JEFE II</v>
          </cell>
        </row>
        <row r="1079">
          <cell r="A1079" t="str">
            <v>FARMACOLOGO I</v>
          </cell>
        </row>
        <row r="1080">
          <cell r="A1080" t="str">
            <v>FARMACOLOGO II</v>
          </cell>
        </row>
        <row r="1081">
          <cell r="A1081" t="str">
            <v>FARMACOLOGO III</v>
          </cell>
        </row>
        <row r="1082">
          <cell r="A1082" t="str">
            <v>FARMACOLOGO JEFE</v>
          </cell>
        </row>
        <row r="1083">
          <cell r="A1083" t="str">
            <v>FISCAL DE BIENES COMERCIALES</v>
          </cell>
        </row>
        <row r="1084">
          <cell r="A1084" t="str">
            <v>FISCAL DE COTIZACIONES I</v>
          </cell>
        </row>
        <row r="1085">
          <cell r="A1085" t="str">
            <v>FISCAL DE COTIZACIONES II</v>
          </cell>
        </row>
        <row r="1086">
          <cell r="A1086" t="str">
            <v>FISCAL DE EMPRESAS</v>
          </cell>
        </row>
        <row r="1087">
          <cell r="A1087" t="str">
            <v>FISCAL DE OBRAS I</v>
          </cell>
        </row>
        <row r="1088">
          <cell r="A1088" t="str">
            <v>FISCAL DE PREVENSION Y VIGILANCIA I</v>
          </cell>
        </row>
        <row r="1089">
          <cell r="A1089" t="str">
            <v>FISCAL DE PREVENSION Y VIGILANCIA II</v>
          </cell>
        </row>
        <row r="1090">
          <cell r="A1090" t="str">
            <v>FISCAL DE PREVENSION Y VIGILANCIA JEFE</v>
          </cell>
        </row>
        <row r="1091">
          <cell r="A1091" t="str">
            <v>FISCAL DE RENTAS I</v>
          </cell>
        </row>
        <row r="1092">
          <cell r="A1092" t="str">
            <v>FISCAL DE RENTAS II</v>
          </cell>
        </row>
        <row r="1093">
          <cell r="A1093" t="str">
            <v>FISCAL DE RENTAS III</v>
          </cell>
        </row>
        <row r="1094">
          <cell r="A1094" t="str">
            <v>FISCAL DE RENTAS IV</v>
          </cell>
        </row>
        <row r="1095">
          <cell r="A1095" t="str">
            <v>FISCAL DE RENTAS JEFE</v>
          </cell>
        </row>
        <row r="1096">
          <cell r="A1096" t="str">
            <v>FISCAL DE RENTAS V</v>
          </cell>
        </row>
        <row r="1097">
          <cell r="A1097" t="str">
            <v>FISCAL TECNICO I</v>
          </cell>
        </row>
        <row r="1098">
          <cell r="A1098" t="str">
            <v>FISCAL TECNICO II</v>
          </cell>
        </row>
        <row r="1099">
          <cell r="A1099" t="str">
            <v>FISCAL TECNICO III</v>
          </cell>
        </row>
        <row r="1100">
          <cell r="A1100" t="str">
            <v>FISCAL TECNICO JEFE</v>
          </cell>
        </row>
        <row r="1101">
          <cell r="A1101" t="str">
            <v>FISIOTERAPEUTA I</v>
          </cell>
        </row>
        <row r="1102">
          <cell r="A1102" t="str">
            <v>FISIOTERAPEUTA II</v>
          </cell>
        </row>
        <row r="1103">
          <cell r="A1103" t="str">
            <v>FISIOTERAPEUTA III</v>
          </cell>
        </row>
        <row r="1104">
          <cell r="A1104" t="str">
            <v>FISIOTERAPEUTA IV</v>
          </cell>
        </row>
        <row r="1105">
          <cell r="A1105" t="str">
            <v>FLAUTA 1</v>
          </cell>
        </row>
        <row r="1106">
          <cell r="A1106" t="str">
            <v>FLAUTA 2</v>
          </cell>
        </row>
        <row r="1107">
          <cell r="A1107" t="str">
            <v>FLAUTA 2/ INSTRUCTOR I 16HRS</v>
          </cell>
        </row>
        <row r="1108">
          <cell r="A1108" t="str">
            <v>FLAUTA I</v>
          </cell>
        </row>
        <row r="1109">
          <cell r="A1109" t="str">
            <v>FORMADOR DE INSTRUCTORES</v>
          </cell>
        </row>
        <row r="1110">
          <cell r="A1110" t="str">
            <v>FORMAS MUSICALES</v>
          </cell>
        </row>
        <row r="1111">
          <cell r="A1111" t="str">
            <v>FOTOGRAFO ARTISTICO I</v>
          </cell>
        </row>
        <row r="1112">
          <cell r="A1112" t="str">
            <v>FOTOGRAFO ARTISTICO II</v>
          </cell>
        </row>
        <row r="1113">
          <cell r="A1113" t="str">
            <v>FOTOGRAFO I</v>
          </cell>
        </row>
        <row r="1114">
          <cell r="A1114" t="str">
            <v>FOTOGRAFO II</v>
          </cell>
        </row>
        <row r="1115">
          <cell r="A1115" t="str">
            <v>FOTOGRAFO III</v>
          </cell>
        </row>
        <row r="1116">
          <cell r="A1116" t="str">
            <v>FOTOGRAFO IV</v>
          </cell>
        </row>
        <row r="1117">
          <cell r="A1117" t="str">
            <v>FOTOGRAMETRISTA I</v>
          </cell>
        </row>
        <row r="1118">
          <cell r="A1118" t="str">
            <v>FOTOGRAMETRISTA II</v>
          </cell>
        </row>
        <row r="1119">
          <cell r="A1119" t="str">
            <v>FOTOGRAMETRISTA III</v>
          </cell>
        </row>
        <row r="1120">
          <cell r="A1120" t="str">
            <v>FOTOGRAMETRISTA IV</v>
          </cell>
        </row>
        <row r="1121">
          <cell r="A1121" t="str">
            <v>FOTOGRAMETRISTA JEFE</v>
          </cell>
        </row>
        <row r="1122">
          <cell r="A1122" t="str">
            <v>GEMOLOGO I</v>
          </cell>
        </row>
        <row r="1123">
          <cell r="A1123" t="str">
            <v>GEMOLOGO II</v>
          </cell>
        </row>
        <row r="1124">
          <cell r="A1124" t="str">
            <v>GEOGRAFO I</v>
          </cell>
        </row>
        <row r="1125">
          <cell r="A1125" t="str">
            <v>GEOGRAFO II</v>
          </cell>
        </row>
        <row r="1126">
          <cell r="A1126" t="str">
            <v>GEOGRAFO III</v>
          </cell>
        </row>
        <row r="1127">
          <cell r="A1127" t="str">
            <v>GEOLOGO I</v>
          </cell>
        </row>
        <row r="1128">
          <cell r="A1128" t="str">
            <v>GEOLOGO II</v>
          </cell>
        </row>
        <row r="1129">
          <cell r="A1129" t="str">
            <v>GEOLOGO III</v>
          </cell>
        </row>
        <row r="1130">
          <cell r="A1130" t="str">
            <v>GEOLOGO JEFE I</v>
          </cell>
        </row>
        <row r="1131">
          <cell r="A1131" t="str">
            <v>GEOLOGO JEFE II</v>
          </cell>
        </row>
        <row r="1132">
          <cell r="A1132" t="str">
            <v>GERENTE</v>
          </cell>
        </row>
        <row r="1133">
          <cell r="A1133" t="str">
            <v>GOBERNADOR</v>
          </cell>
        </row>
        <row r="1134">
          <cell r="A1134" t="str">
            <v>GUARDAFAUNA I</v>
          </cell>
        </row>
        <row r="1135">
          <cell r="A1135" t="str">
            <v>GUARDAFAUNA II</v>
          </cell>
        </row>
        <row r="1136">
          <cell r="A1136" t="str">
            <v>GUARDAFAUNA III</v>
          </cell>
        </row>
        <row r="1137">
          <cell r="A1137" t="str">
            <v>GUIA DE CENTRO I</v>
          </cell>
        </row>
        <row r="1138">
          <cell r="A1138" t="str">
            <v>GUIA DE CENTRO I  (NOCTURNO)</v>
          </cell>
        </row>
        <row r="1139">
          <cell r="A1139" t="str">
            <v>GUIA DE CENTRO II</v>
          </cell>
        </row>
        <row r="1140">
          <cell r="A1140" t="str">
            <v>GUIA DE CENTRO II  (NOCTURNO)</v>
          </cell>
        </row>
        <row r="1141">
          <cell r="A1141" t="str">
            <v>GUITARRA</v>
          </cell>
        </row>
        <row r="1142">
          <cell r="A1142" t="str">
            <v>HABILITADO I</v>
          </cell>
        </row>
        <row r="1143">
          <cell r="A1143" t="str">
            <v>HABILITADO II</v>
          </cell>
        </row>
        <row r="1144">
          <cell r="A1144" t="str">
            <v>HABILITADO III</v>
          </cell>
        </row>
        <row r="1145">
          <cell r="A1145" t="str">
            <v>HABILITADO IV</v>
          </cell>
        </row>
        <row r="1146">
          <cell r="A1146" t="str">
            <v>HABILITADO JEFE</v>
          </cell>
        </row>
        <row r="1147">
          <cell r="A1147" t="str">
            <v>HIDROGRAFO I</v>
          </cell>
        </row>
        <row r="1148">
          <cell r="A1148" t="str">
            <v>HIDROGRAFO II</v>
          </cell>
        </row>
        <row r="1149">
          <cell r="A1149" t="str">
            <v>HIDROGRAFO JEFE</v>
          </cell>
        </row>
        <row r="1150">
          <cell r="A1150" t="str">
            <v>HIDROMETEOROLOGISTA I</v>
          </cell>
        </row>
        <row r="1151">
          <cell r="A1151" t="str">
            <v>HIDROMETEOROLOGISTA II</v>
          </cell>
        </row>
        <row r="1152">
          <cell r="A1152" t="str">
            <v>HIDROMETEOROLOGISTA III</v>
          </cell>
        </row>
        <row r="1153">
          <cell r="A1153" t="str">
            <v>HIGIENISTA DENTAL I</v>
          </cell>
        </row>
        <row r="1154">
          <cell r="A1154" t="str">
            <v>HIGIENISTA DENTAL II</v>
          </cell>
        </row>
        <row r="1155">
          <cell r="A1155" t="str">
            <v>INFORMADOR DE AEROPUERTO I</v>
          </cell>
        </row>
        <row r="1156">
          <cell r="A1156" t="str">
            <v>INFORMADOR DE AEROPUERTO II</v>
          </cell>
        </row>
        <row r="1157">
          <cell r="A1157" t="str">
            <v>INFORMADOR TURISTICO  I</v>
          </cell>
        </row>
        <row r="1158">
          <cell r="A1158" t="str">
            <v>INFORMADOR TURISTICO I</v>
          </cell>
        </row>
        <row r="1159">
          <cell r="A1159" t="str">
            <v>INFORMADOR TURISTICO II</v>
          </cell>
        </row>
        <row r="1160">
          <cell r="A1160" t="str">
            <v>INFORMADOR TURISTICO III</v>
          </cell>
        </row>
        <row r="1161">
          <cell r="A1161" t="str">
            <v>INFORMADOR TURISTICO IV</v>
          </cell>
        </row>
        <row r="1162">
          <cell r="A1162" t="str">
            <v>INFORMADOR TURISTICO JEFE</v>
          </cell>
        </row>
        <row r="1163">
          <cell r="A1163" t="str">
            <v>INGENIERO AERONAUTICO I</v>
          </cell>
        </row>
        <row r="1164">
          <cell r="A1164" t="str">
            <v>INGENIERO AERONAUTICO II</v>
          </cell>
        </row>
        <row r="1165">
          <cell r="A1165" t="str">
            <v>INGENIERO AGRICOLA I</v>
          </cell>
        </row>
        <row r="1166">
          <cell r="A1166" t="str">
            <v>INGENIERO AGRICOLA II</v>
          </cell>
        </row>
        <row r="1167">
          <cell r="A1167" t="str">
            <v>INGENIERO AGRICOLA III</v>
          </cell>
        </row>
        <row r="1168">
          <cell r="A1168" t="str">
            <v>INGENIERO AGRICOLA IV</v>
          </cell>
        </row>
        <row r="1169">
          <cell r="A1169" t="str">
            <v>INGENIERO AGRICOLA V</v>
          </cell>
        </row>
        <row r="1170">
          <cell r="A1170" t="str">
            <v>INGENIERO AGRONOMO I</v>
          </cell>
        </row>
        <row r="1171">
          <cell r="A1171" t="str">
            <v>INGENIERO AGRONOMO II</v>
          </cell>
        </row>
        <row r="1172">
          <cell r="A1172" t="str">
            <v>INGENIERO AGRONOMO III</v>
          </cell>
        </row>
        <row r="1173">
          <cell r="A1173" t="str">
            <v>INGENIERO AGRONOMO IV</v>
          </cell>
        </row>
        <row r="1174">
          <cell r="A1174" t="str">
            <v>INGENIERO AGRONOMO JEFE</v>
          </cell>
        </row>
        <row r="1175">
          <cell r="A1175" t="str">
            <v>INGENIERO AGRONOMO V</v>
          </cell>
        </row>
        <row r="1176">
          <cell r="A1176" t="str">
            <v>INGENIERO CIVIL I</v>
          </cell>
        </row>
        <row r="1177">
          <cell r="A1177" t="str">
            <v>INGENIERO CIVIL II</v>
          </cell>
        </row>
        <row r="1178">
          <cell r="A1178" t="str">
            <v>INGENIERO CIVIL III</v>
          </cell>
        </row>
        <row r="1179">
          <cell r="A1179" t="str">
            <v>INGENIERO CIVIL JEFE I</v>
          </cell>
        </row>
        <row r="1180">
          <cell r="A1180" t="str">
            <v>INGENIERO CIVIL JEFE II</v>
          </cell>
        </row>
        <row r="1181">
          <cell r="A1181" t="str">
            <v>INGENIERO CIVIL JEFE III</v>
          </cell>
        </row>
        <row r="1182">
          <cell r="A1182" t="str">
            <v>INGENIERO DE GAS I</v>
          </cell>
        </row>
        <row r="1183">
          <cell r="A1183" t="str">
            <v>INGENIERO DE MINA I</v>
          </cell>
        </row>
        <row r="1184">
          <cell r="A1184" t="str">
            <v>INGENIERO DE MINAS II</v>
          </cell>
        </row>
        <row r="1185">
          <cell r="A1185" t="str">
            <v>INGENIERO DE MINAS III</v>
          </cell>
        </row>
        <row r="1186">
          <cell r="A1186" t="str">
            <v>INGENIERO DE MINAS JEFE I</v>
          </cell>
        </row>
        <row r="1187">
          <cell r="A1187" t="str">
            <v>INGENIERO DE MINAS JEFE II</v>
          </cell>
        </row>
        <row r="1188">
          <cell r="A1188" t="str">
            <v>INGENIERO ELECTRICISTA I</v>
          </cell>
        </row>
        <row r="1189">
          <cell r="A1189" t="str">
            <v>INGENIERO ELECTRICISTA II</v>
          </cell>
        </row>
        <row r="1190">
          <cell r="A1190" t="str">
            <v>INGENIERO ELECTRICISTA III</v>
          </cell>
        </row>
        <row r="1191">
          <cell r="A1191" t="str">
            <v>INGENIERO ELECTRICISTA JEFE</v>
          </cell>
        </row>
        <row r="1192">
          <cell r="A1192" t="str">
            <v>INGENIERO EN AGROSISTEMAS I</v>
          </cell>
        </row>
        <row r="1193">
          <cell r="A1193" t="str">
            <v>INGENIERO EN CONSTRUCCION CIVIL I</v>
          </cell>
        </row>
        <row r="1194">
          <cell r="A1194" t="str">
            <v>INGENIERO EN CONSTRUCCION CIVIL II</v>
          </cell>
        </row>
        <row r="1195">
          <cell r="A1195" t="str">
            <v>INGENIERO EN CONSTRUCCION CIVIL III</v>
          </cell>
        </row>
        <row r="1196">
          <cell r="A1196" t="str">
            <v>INGENIERO EN INFORMATICA I</v>
          </cell>
        </row>
        <row r="1197">
          <cell r="A1197" t="str">
            <v>INGENIERO EN TELECOMUNICACIONES II</v>
          </cell>
        </row>
        <row r="1198">
          <cell r="A1198" t="str">
            <v>INGENIERO FORESTAL I</v>
          </cell>
        </row>
        <row r="1199">
          <cell r="A1199" t="str">
            <v>INGENIERO FORESTAL II</v>
          </cell>
        </row>
        <row r="1200">
          <cell r="A1200" t="str">
            <v>INGENIERO FORESTAL III</v>
          </cell>
        </row>
        <row r="1201">
          <cell r="A1201" t="str">
            <v>INGENIERO FORESTAL JEFE I</v>
          </cell>
        </row>
        <row r="1202">
          <cell r="A1202" t="str">
            <v>INGENIERO FORESTAL JEFE II</v>
          </cell>
        </row>
        <row r="1203">
          <cell r="A1203" t="str">
            <v>INGENIERO GEODESTA I</v>
          </cell>
        </row>
        <row r="1204">
          <cell r="A1204" t="str">
            <v>INGENIERO GEODESTA II</v>
          </cell>
        </row>
        <row r="1205">
          <cell r="A1205" t="str">
            <v>INGENIERO GEODESTA III</v>
          </cell>
        </row>
        <row r="1206">
          <cell r="A1206" t="str">
            <v>INGENIERO GEODESTA JEFE I</v>
          </cell>
        </row>
        <row r="1207">
          <cell r="A1207" t="str">
            <v>INGENIERO GEODESTA JEFE II</v>
          </cell>
        </row>
        <row r="1208">
          <cell r="A1208" t="str">
            <v>INGENIERO HIDROMETEOROLISTA JEFE I</v>
          </cell>
        </row>
        <row r="1209">
          <cell r="A1209" t="str">
            <v>INGENIERO HIDROMETEOROLISTA JEFE II</v>
          </cell>
        </row>
        <row r="1210">
          <cell r="A1210" t="str">
            <v>INGENIERO HIDROMETEOROLOGISTA I</v>
          </cell>
        </row>
        <row r="1211">
          <cell r="A1211" t="str">
            <v>INGENIERO HIDROMETEOROLOSTA II</v>
          </cell>
        </row>
        <row r="1212">
          <cell r="A1212" t="str">
            <v>INGENIERO HIROMETEROLOGISTA III</v>
          </cell>
        </row>
        <row r="1213">
          <cell r="A1213" t="str">
            <v>INGENIERO INDUSTRIAL I</v>
          </cell>
        </row>
        <row r="1214">
          <cell r="A1214" t="str">
            <v>INGENIERO INDUSTRIAL II</v>
          </cell>
        </row>
        <row r="1215">
          <cell r="A1215" t="str">
            <v>INGENIERO INDUSTRIAL III</v>
          </cell>
        </row>
        <row r="1216">
          <cell r="A1216" t="str">
            <v>INGENIERO INDUSTRIAL IV</v>
          </cell>
        </row>
        <row r="1217">
          <cell r="A1217" t="str">
            <v>INGENIERO MECANICO I</v>
          </cell>
        </row>
        <row r="1218">
          <cell r="A1218" t="str">
            <v>INGENIERO MECANICO II</v>
          </cell>
        </row>
        <row r="1219">
          <cell r="A1219" t="str">
            <v>INGENIERO MECANICO III</v>
          </cell>
        </row>
        <row r="1220">
          <cell r="A1220" t="str">
            <v>INGENIERO MECANICO JEFE</v>
          </cell>
        </row>
        <row r="1221">
          <cell r="A1221" t="str">
            <v>INGENIERO METALURGICO</v>
          </cell>
        </row>
        <row r="1222">
          <cell r="A1222" t="str">
            <v>INGENIERO NAVAL I</v>
          </cell>
        </row>
        <row r="1223">
          <cell r="A1223" t="str">
            <v>INGENIERO NAVAL II</v>
          </cell>
        </row>
        <row r="1224">
          <cell r="A1224" t="str">
            <v>INGENIERO NAVAL III</v>
          </cell>
        </row>
        <row r="1225">
          <cell r="A1225" t="str">
            <v>INGENIERO NAVAL JEFE</v>
          </cell>
        </row>
        <row r="1226">
          <cell r="A1226" t="str">
            <v>INGENIERO NUCLEAR I</v>
          </cell>
        </row>
        <row r="1227">
          <cell r="A1227" t="str">
            <v>INGENIERO NUCLEAR II</v>
          </cell>
        </row>
        <row r="1228">
          <cell r="A1228" t="str">
            <v>INGENIERO NUCLEAR III</v>
          </cell>
        </row>
        <row r="1229">
          <cell r="A1229" t="str">
            <v>INGENIERO NUCLEAR JEFE</v>
          </cell>
        </row>
        <row r="1230">
          <cell r="A1230" t="str">
            <v>INGENIERO PETROLERO I</v>
          </cell>
        </row>
        <row r="1231">
          <cell r="A1231" t="str">
            <v>INGENIERO PETROLERO II</v>
          </cell>
        </row>
        <row r="1232">
          <cell r="A1232" t="str">
            <v>INGENIERO PETROLERO III</v>
          </cell>
        </row>
        <row r="1233">
          <cell r="A1233" t="str">
            <v>INGENIERO PETROLERO JEFE I</v>
          </cell>
        </row>
        <row r="1234">
          <cell r="A1234" t="str">
            <v>INGENIERO PETROLERO JEFE II</v>
          </cell>
        </row>
        <row r="1235">
          <cell r="A1235" t="str">
            <v>INGENIERO QUIMICO I</v>
          </cell>
        </row>
        <row r="1236">
          <cell r="A1236" t="str">
            <v>INGENIERO QUIMICO II</v>
          </cell>
        </row>
        <row r="1237">
          <cell r="A1237" t="str">
            <v>INGENIERO QUIMICO III</v>
          </cell>
        </row>
        <row r="1238">
          <cell r="A1238" t="str">
            <v>INGENIERO QUIMICO JEFE I</v>
          </cell>
        </row>
        <row r="1239">
          <cell r="A1239" t="str">
            <v>INGENIERO QUMICO JEFE II</v>
          </cell>
        </row>
        <row r="1240">
          <cell r="A1240" t="str">
            <v>INGENIERO SANITARIO I</v>
          </cell>
        </row>
        <row r="1241">
          <cell r="A1241" t="str">
            <v>INGENIERO SANITARIO II</v>
          </cell>
        </row>
        <row r="1242">
          <cell r="A1242" t="str">
            <v>INGENIERO SANITARIO III</v>
          </cell>
        </row>
        <row r="1243">
          <cell r="A1243" t="str">
            <v>INGENIERO SANITARIO JEFE I</v>
          </cell>
        </row>
        <row r="1244">
          <cell r="A1244" t="str">
            <v>INGENIERO SANITARIO JEFE II</v>
          </cell>
        </row>
        <row r="1245">
          <cell r="A1245" t="str">
            <v>INGENIERO SANITARIO JEFE III</v>
          </cell>
        </row>
        <row r="1246">
          <cell r="A1246" t="str">
            <v>INPECTOR DE MAQUINARIAS I</v>
          </cell>
        </row>
        <row r="1247">
          <cell r="A1247" t="str">
            <v>INSP. NACIONAL DE REGIST Y NOTARIAS III</v>
          </cell>
        </row>
        <row r="1248">
          <cell r="A1248" t="str">
            <v>INSP. NACIONAL DE REGIST. Y NOTARIAS II</v>
          </cell>
        </row>
        <row r="1249">
          <cell r="A1249" t="str">
            <v>INSPEC NACIONAL DE REG. Y NOTARIAS JEFE</v>
          </cell>
        </row>
        <row r="1250">
          <cell r="A1250" t="str">
            <v>INSPEC.  RELACIONES CON EL SEGURO SOCIAL</v>
          </cell>
        </row>
        <row r="1251">
          <cell r="A1251" t="str">
            <v>INSPEC. NACIONAL DE REGISTROS Y NOTARIAS</v>
          </cell>
        </row>
        <row r="1252">
          <cell r="A1252" t="str">
            <v>INSPEC. RELACIONES SEGURO SOCIAL II</v>
          </cell>
        </row>
        <row r="1253">
          <cell r="A1253" t="str">
            <v>INSPECTOR</v>
          </cell>
        </row>
        <row r="1254">
          <cell r="A1254" t="str">
            <v>INSPECTOR ADMINISTRATIVO I</v>
          </cell>
        </row>
        <row r="1255">
          <cell r="A1255" t="str">
            <v>INSPECTOR ADMINISTRATIVO III</v>
          </cell>
        </row>
        <row r="1256">
          <cell r="A1256" t="str">
            <v>INSPECTOR ADMINISTRATIVO IV</v>
          </cell>
        </row>
        <row r="1257">
          <cell r="A1257" t="str">
            <v>INSPECTOR ADMINISTRATIVO JEFE</v>
          </cell>
        </row>
        <row r="1258">
          <cell r="A1258" t="str">
            <v>INSPECTOR AMDINISTRATIVO II</v>
          </cell>
        </row>
        <row r="1259">
          <cell r="A1259" t="str">
            <v>INSPECTOR AUX. DE OBRAS DE INGENIERIA</v>
          </cell>
        </row>
        <row r="1260">
          <cell r="A1260" t="str">
            <v>INSPECTOR DE AEROPUERTOS</v>
          </cell>
        </row>
        <row r="1261">
          <cell r="A1261" t="str">
            <v>INSPECTOR DE DERIVADOS HIDROCARBUROS I</v>
          </cell>
        </row>
        <row r="1262">
          <cell r="A1262" t="str">
            <v>INSPECTOR DE DERIVADOS HIDROCARBUROS II</v>
          </cell>
        </row>
        <row r="1263">
          <cell r="A1263" t="str">
            <v>INSPECTOR DE INMUEBLES</v>
          </cell>
        </row>
        <row r="1264">
          <cell r="A1264" t="str">
            <v>INSPECTOR DE MAQUINARIAS II</v>
          </cell>
        </row>
        <row r="1265">
          <cell r="A1265" t="str">
            <v>INSPECTOR DE MECANICA DE AVIACION I</v>
          </cell>
        </row>
        <row r="1266">
          <cell r="A1266" t="str">
            <v>INSPECTOR DE MECANICA DE AVIACION II</v>
          </cell>
        </row>
        <row r="1267">
          <cell r="A1267" t="str">
            <v>INSPECTOR DE MECANICA DE AVIACION III</v>
          </cell>
        </row>
        <row r="1268">
          <cell r="A1268" t="str">
            <v>INSPECTOR DE OBRAS DE INGENIERIA I</v>
          </cell>
        </row>
        <row r="1269">
          <cell r="A1269" t="str">
            <v>INSPECTOR DE OBRAS DE INGENIERIA II</v>
          </cell>
        </row>
        <row r="1270">
          <cell r="A1270" t="str">
            <v>INSPECTOR DE OBRAS DE INGENIERIA III</v>
          </cell>
        </row>
        <row r="1271">
          <cell r="A1271" t="str">
            <v>INSPECTOR DE PRISIONES</v>
          </cell>
        </row>
        <row r="1272">
          <cell r="A1272" t="str">
            <v>INSPECTOR DE PRISIONES JEFE</v>
          </cell>
        </row>
        <row r="1273">
          <cell r="A1273" t="str">
            <v>INSPECTOR DE PUERTOS</v>
          </cell>
        </row>
        <row r="1274">
          <cell r="A1274" t="str">
            <v>INSPECTOR DE RENTAS I</v>
          </cell>
        </row>
        <row r="1275">
          <cell r="A1275" t="str">
            <v>INSPECTOR DE RENTAS II</v>
          </cell>
        </row>
        <row r="1276">
          <cell r="A1276" t="str">
            <v>INSPECTOR DE RENTAS JEFE</v>
          </cell>
        </row>
        <row r="1277">
          <cell r="A1277" t="str">
            <v>INSPECTOR DE SALID PUBLICA III</v>
          </cell>
        </row>
        <row r="1278">
          <cell r="A1278" t="str">
            <v>INSPECTOR DE SALUD PUBLICA I</v>
          </cell>
        </row>
        <row r="1279">
          <cell r="A1279" t="str">
            <v>INSPECTOR DE SALUD PUBLICA II</v>
          </cell>
        </row>
        <row r="1280">
          <cell r="A1280" t="str">
            <v>INSPECTOR DE SALUD PUBLICA IV</v>
          </cell>
        </row>
        <row r="1281">
          <cell r="A1281" t="str">
            <v>INSPECTOR DE SEGURIDAD INDUSTRIAL</v>
          </cell>
        </row>
        <row r="1282">
          <cell r="A1282" t="str">
            <v>INSPECTOR DE SEGURIDAD INDUSTRIAL II</v>
          </cell>
        </row>
        <row r="1283">
          <cell r="A1283" t="str">
            <v>INSPECTOR DE SEGURIDAD INDUSTRIAL III</v>
          </cell>
        </row>
        <row r="1284">
          <cell r="A1284" t="str">
            <v>INSPECTOR DE SEGURIDAD INDUSTRIAL IV</v>
          </cell>
        </row>
        <row r="1285">
          <cell r="A1285" t="str">
            <v>INSPECTOR DE SEGUROS COMERCIALES I</v>
          </cell>
        </row>
        <row r="1286">
          <cell r="A1286" t="str">
            <v>INSPECTOR DE SEGUROS COMERCIALES II</v>
          </cell>
        </row>
        <row r="1287">
          <cell r="A1287" t="str">
            <v>INSPECTOR DE SEGUROS COMERIALES JEFE</v>
          </cell>
        </row>
        <row r="1288">
          <cell r="A1288" t="str">
            <v>INSPECTOR DE SEUGROS COMERCIALES III</v>
          </cell>
        </row>
        <row r="1289">
          <cell r="A1289" t="str">
            <v>INSPECTOR DE TELECOMUNICACIONES I</v>
          </cell>
        </row>
        <row r="1290">
          <cell r="A1290" t="str">
            <v>INSPECTOR DE TELECOMUNICACIONES II</v>
          </cell>
        </row>
        <row r="1291">
          <cell r="A1291" t="str">
            <v>INSPECTOR DE TELECOMUNICACIONES III</v>
          </cell>
        </row>
        <row r="1292">
          <cell r="A1292" t="str">
            <v>INSPECTOR DE TRABAJO I</v>
          </cell>
        </row>
        <row r="1293">
          <cell r="A1293" t="str">
            <v>INSPECTOR DE TRABAJO II</v>
          </cell>
        </row>
        <row r="1294">
          <cell r="A1294" t="str">
            <v>INSPECTOR DE TRABAJO III</v>
          </cell>
        </row>
        <row r="1295">
          <cell r="A1295" t="str">
            <v>INSPECTOR DE TRABAJO IV</v>
          </cell>
        </row>
        <row r="1296">
          <cell r="A1296" t="str">
            <v>INSPECTOR DE TRABAJO V</v>
          </cell>
        </row>
        <row r="1297">
          <cell r="A1297" t="str">
            <v>INSPECTOR DE TRANSPORTE I</v>
          </cell>
        </row>
        <row r="1298">
          <cell r="A1298" t="str">
            <v>INSPECTOR DE TRANSPORTE II</v>
          </cell>
        </row>
        <row r="1299">
          <cell r="A1299" t="str">
            <v>INSPECTOR DE ZONAS MARITIMAS</v>
          </cell>
        </row>
        <row r="1300">
          <cell r="A1300" t="str">
            <v>INSPECTOR ELECTRICISTA</v>
          </cell>
        </row>
        <row r="1301">
          <cell r="A1301" t="str">
            <v>INSPECTOR GENERAL DE HACIENDA I</v>
          </cell>
        </row>
        <row r="1302">
          <cell r="A1302" t="str">
            <v>INSPECTOR GENERAL DE HACIENDA II</v>
          </cell>
        </row>
        <row r="1303">
          <cell r="A1303" t="str">
            <v>INSPECTOR GENERAL DE HACIENDA III</v>
          </cell>
        </row>
        <row r="1304">
          <cell r="A1304" t="str">
            <v>INSPECTOR GENERAL DE HACIENDA IV</v>
          </cell>
        </row>
        <row r="1305">
          <cell r="A1305" t="str">
            <v>INSPECTOR IDENTIFICACION Y EXTRANJERIA</v>
          </cell>
        </row>
        <row r="1306">
          <cell r="A1306" t="str">
            <v>INSPECTOR JEFE</v>
          </cell>
        </row>
        <row r="1307">
          <cell r="A1307" t="str">
            <v>INSPECTOR TURISTICO I</v>
          </cell>
        </row>
        <row r="1308">
          <cell r="A1308" t="str">
            <v>INSPECTOR TURISTICO II</v>
          </cell>
        </row>
        <row r="1309">
          <cell r="A1309" t="str">
            <v>INSPECTOR TURISTICO III</v>
          </cell>
        </row>
        <row r="1310">
          <cell r="A1310" t="str">
            <v>INSPECTOR TURISTICO IV</v>
          </cell>
        </row>
        <row r="1311">
          <cell r="A1311" t="str">
            <v>INSPECTOR TURISTICO JEFE I</v>
          </cell>
        </row>
        <row r="1312">
          <cell r="A1312" t="str">
            <v>INSPECTOR TURISTICO JEFE II</v>
          </cell>
        </row>
        <row r="1313">
          <cell r="A1313" t="str">
            <v>INST. ARTES MANUALES N.G.</v>
          </cell>
        </row>
        <row r="1314">
          <cell r="A1314" t="str">
            <v>INST. B. Y DANZAS 77 III</v>
          </cell>
        </row>
        <row r="1315">
          <cell r="A1315" t="str">
            <v>INST. CORTE Y CONF. 77 III</v>
          </cell>
        </row>
        <row r="1316">
          <cell r="A1316" t="str">
            <v>INST. MUSICAL 77 IV</v>
          </cell>
        </row>
        <row r="1317">
          <cell r="A1317" t="str">
            <v>INST. MUSICAL N.G.</v>
          </cell>
        </row>
        <row r="1318">
          <cell r="A1318" t="str">
            <v>INST. TEATRO Y TITERES N.G.</v>
          </cell>
        </row>
        <row r="1319">
          <cell r="A1319" t="str">
            <v>INST.BALLET Y DANZAS N.G.</v>
          </cell>
        </row>
        <row r="1320">
          <cell r="A1320" t="str">
            <v>INST.BORDADO A MAQUINA N.G.</v>
          </cell>
        </row>
        <row r="1321">
          <cell r="A1321" t="str">
            <v>INST.CERAMICA Y ESC. N.G.</v>
          </cell>
        </row>
        <row r="1322">
          <cell r="A1322" t="str">
            <v>INST.CORT.Y CONFECC. N.G.</v>
          </cell>
        </row>
        <row r="1323">
          <cell r="A1323" t="str">
            <v>INST.CORTE Y CONF. 77 VI</v>
          </cell>
        </row>
        <row r="1324">
          <cell r="A1324" t="str">
            <v>INST.DANZAS FOLKLORICAS N.G.</v>
          </cell>
        </row>
        <row r="1325">
          <cell r="A1325" t="str">
            <v>INST.DANZAS III N.G.</v>
          </cell>
        </row>
        <row r="1326">
          <cell r="A1326" t="str">
            <v>INST.DE PELUQUERIA N.G.</v>
          </cell>
        </row>
        <row r="1327">
          <cell r="A1327" t="str">
            <v>INST.DIBUJO INFANTIL N.G.</v>
          </cell>
        </row>
        <row r="1328">
          <cell r="A1328" t="str">
            <v>INST.MANUALIDADES N.G.</v>
          </cell>
        </row>
        <row r="1329">
          <cell r="A1329" t="str">
            <v>INST.PINTURA 77 III</v>
          </cell>
        </row>
        <row r="1330">
          <cell r="A1330" t="str">
            <v>INST.PINTURA Y D. N.G.</v>
          </cell>
        </row>
        <row r="1331">
          <cell r="A1331" t="str">
            <v>INST.PINTURA Y DIB. VI 139</v>
          </cell>
        </row>
        <row r="1332">
          <cell r="A1332" t="str">
            <v>INST.REPOSTERIA C. N.G.</v>
          </cell>
        </row>
        <row r="1333">
          <cell r="A1333" t="str">
            <v>INST.TEATRO-TITERES 139 III</v>
          </cell>
        </row>
        <row r="1334">
          <cell r="A1334" t="str">
            <v>INST.TEJIDO E HILADO 77 IV</v>
          </cell>
        </row>
        <row r="1335">
          <cell r="A1335" t="str">
            <v>INSTRC. DE ALFABETIZACION Y EDUC. BASICA</v>
          </cell>
        </row>
        <row r="1336">
          <cell r="A1336" t="str">
            <v>INSTRC. FORMACION PROF. EN EL AREA COMER</v>
          </cell>
        </row>
        <row r="1337">
          <cell r="A1337" t="str">
            <v>INSTRUC FORMACION PROF, ART,Y SERV.</v>
          </cell>
        </row>
        <row r="1338">
          <cell r="A1338" t="str">
            <v>INSTRUCTOR</v>
          </cell>
        </row>
        <row r="1339">
          <cell r="A1339" t="str">
            <v>INSTRUCTOR AGROPECUARIO I</v>
          </cell>
        </row>
        <row r="1340">
          <cell r="A1340" t="str">
            <v>INSTRUCTOR AGROPECUARIO III</v>
          </cell>
        </row>
        <row r="1341">
          <cell r="A1341" t="str">
            <v>INSTRUCTOR AGROPECUARIO JEFE I</v>
          </cell>
        </row>
        <row r="1342">
          <cell r="A1342" t="str">
            <v>INSTRUCTOR AGROPECURIO JEFE II</v>
          </cell>
        </row>
        <row r="1343">
          <cell r="A1343" t="str">
            <v>INSTRUCTOR DE ENFERMERIA</v>
          </cell>
        </row>
        <row r="1344">
          <cell r="A1344" t="str">
            <v>INSTRUCTOR DE ERONAUTICA CIVIL</v>
          </cell>
        </row>
        <row r="1345">
          <cell r="A1345" t="str">
            <v>INSTRUCTOR DE FORM. PROFESIONAL EN EL AREA DE OFICINA</v>
          </cell>
        </row>
        <row r="1346">
          <cell r="A1346" t="str">
            <v>INSTRUCTOR DE FORMACION EMPRESARIA II</v>
          </cell>
        </row>
        <row r="1347">
          <cell r="A1347" t="str">
            <v>INSTRUCTOR DE FORMACION EMPRESARIAL</v>
          </cell>
        </row>
        <row r="1348">
          <cell r="A1348" t="str">
            <v>INSTRUCTOR DE FORMACION EMPRESARIAL III</v>
          </cell>
        </row>
        <row r="1349">
          <cell r="A1349" t="str">
            <v>INSTRUCTOR DE MANUALIDADES TCVD</v>
          </cell>
        </row>
        <row r="1350">
          <cell r="A1350" t="str">
            <v>INSTRUCTOR DE PRE-ESCOLAR</v>
          </cell>
        </row>
        <row r="1351">
          <cell r="A1351" t="str">
            <v>INSTRUCTOR DE TECNICAS NAUTICAS</v>
          </cell>
        </row>
        <row r="1352">
          <cell r="A1352" t="str">
            <v>INSTRUCTOR DE TECNICAS NAUTICAS JEFE</v>
          </cell>
        </row>
        <row r="1353">
          <cell r="A1353" t="str">
            <v>INSTRUCTOR ECONOMIA DOMESTICA</v>
          </cell>
        </row>
        <row r="1354">
          <cell r="A1354" t="str">
            <v>INSTRUCTOR I</v>
          </cell>
        </row>
        <row r="1355">
          <cell r="A1355" t="str">
            <v>INSTRUCTOR I   139</v>
          </cell>
        </row>
        <row r="1356">
          <cell r="A1356" t="str">
            <v>INSTRUCTOR I   77</v>
          </cell>
        </row>
        <row r="1357">
          <cell r="A1357" t="str">
            <v>INSTRUCTOR I   N.G.</v>
          </cell>
        </row>
        <row r="1358">
          <cell r="A1358" t="str">
            <v>INSTRUCTOR I (16 HORAS) / DIREC.  BAND (16 HORAS)</v>
          </cell>
        </row>
        <row r="1359">
          <cell r="A1359" t="str">
            <v>INSTRUCTOR I (16HRS) Y DOC NG (33.33HRS.)</v>
          </cell>
        </row>
        <row r="1360">
          <cell r="A1360" t="str">
            <v>INSTRUCTOR I Y III NG (16 H)</v>
          </cell>
        </row>
        <row r="1361">
          <cell r="A1361" t="str">
            <v>INSTRUCTOR II  139</v>
          </cell>
        </row>
        <row r="1362">
          <cell r="A1362" t="str">
            <v>INSTRUCTOR II  77</v>
          </cell>
        </row>
        <row r="1363">
          <cell r="A1363" t="str">
            <v>INSTRUCTOR II  N.G.</v>
          </cell>
        </row>
        <row r="1364">
          <cell r="A1364" t="str">
            <v>INSTRUCTOR III 139</v>
          </cell>
        </row>
        <row r="1365">
          <cell r="A1365" t="str">
            <v>INSTRUCTOR III 77</v>
          </cell>
        </row>
        <row r="1366">
          <cell r="A1366" t="str">
            <v>INSTRUCTOR III N.G.</v>
          </cell>
        </row>
        <row r="1367">
          <cell r="A1367" t="str">
            <v>INSTRUCTOR III NG (33,33 HORAS) Y DOCENTE BASICO 16 TSE TCVD I (04 HR)</v>
          </cell>
        </row>
        <row r="1368">
          <cell r="A1368" t="str">
            <v>INSTRUCTOR III NG (33,33 HORAS) Y ENTRENADOR DEPORTIVO (33,33 HORAS)</v>
          </cell>
        </row>
        <row r="1369">
          <cell r="A1369" t="str">
            <v>INSTRUCTOR III NG (33,33) Y DOCENTE BASICA NG TCVNMA (16 HORAS)</v>
          </cell>
        </row>
        <row r="1370">
          <cell r="A1370" t="str">
            <v>INSTRUCTOR INSTRUMENTAL DE VUELO</v>
          </cell>
        </row>
        <row r="1371">
          <cell r="A1371" t="str">
            <v>INSTRUCTOR IV  139</v>
          </cell>
        </row>
        <row r="1372">
          <cell r="A1372" t="str">
            <v>INSTRUCTOR IV  77</v>
          </cell>
        </row>
        <row r="1373">
          <cell r="A1373" t="str">
            <v>INSTRUCTOR MANUALIDADES I</v>
          </cell>
        </row>
        <row r="1374">
          <cell r="A1374" t="str">
            <v>INSTRUCTOR MANUALIDADES II</v>
          </cell>
        </row>
        <row r="1375">
          <cell r="A1375" t="str">
            <v>INSTRUCTOR MANUALIDADES III</v>
          </cell>
        </row>
        <row r="1376">
          <cell r="A1376" t="str">
            <v>INSTRUCTOR MARROQUINERIA</v>
          </cell>
        </row>
        <row r="1377">
          <cell r="A1377" t="str">
            <v>INSTRUCTOR MUSICAL</v>
          </cell>
        </row>
        <row r="1378">
          <cell r="A1378" t="str">
            <v>INSTRUCTOR MUSICAL Y DOCENTE IV AULA</v>
          </cell>
        </row>
        <row r="1379">
          <cell r="A1379" t="str">
            <v>INSTRUCTOR N.G TCVD</v>
          </cell>
        </row>
        <row r="1380">
          <cell r="A1380" t="str">
            <v>INSTRUCTOR V   139</v>
          </cell>
        </row>
        <row r="1381">
          <cell r="A1381" t="str">
            <v>INSTRUCTOR V   77</v>
          </cell>
        </row>
        <row r="1382">
          <cell r="A1382" t="str">
            <v>INSTRUCTOR VI  139</v>
          </cell>
        </row>
        <row r="1383">
          <cell r="A1383" t="str">
            <v>INSTRUCTOR VI  77</v>
          </cell>
        </row>
        <row r="1384">
          <cell r="A1384" t="str">
            <v>INSTRUCTORA DE COCINA Y ARTE CULINARIA</v>
          </cell>
        </row>
        <row r="1385">
          <cell r="A1385" t="str">
            <v>INSTRUCTORA III NG (16 HORAS) Y DOCENTE BASICA NG 1-6 TCVNM (33,33 HORAS)</v>
          </cell>
        </row>
        <row r="1386">
          <cell r="A1386" t="str">
            <v>INSTRUMENTO I</v>
          </cell>
        </row>
        <row r="1387">
          <cell r="A1387" t="str">
            <v>INSTRUMENTO II</v>
          </cell>
        </row>
        <row r="1388">
          <cell r="A1388" t="str">
            <v>INSTRUMENTO III</v>
          </cell>
        </row>
        <row r="1389">
          <cell r="A1389" t="str">
            <v>INSTURCTOR AGROPECUARIO II</v>
          </cell>
        </row>
        <row r="1390">
          <cell r="A1390" t="str">
            <v>INTENDENTE DE HOSPITAL I</v>
          </cell>
        </row>
        <row r="1391">
          <cell r="A1391" t="str">
            <v>INTENDENTE DE HOSPITAL II</v>
          </cell>
        </row>
        <row r="1392">
          <cell r="A1392" t="str">
            <v>INTENDENTE DE HOSPITAL III</v>
          </cell>
        </row>
        <row r="1393">
          <cell r="A1393" t="str">
            <v>INTENDENTE DE HOSPITAL IV</v>
          </cell>
        </row>
        <row r="1394">
          <cell r="A1394" t="str">
            <v>INTENDENTE DE HOSPITAL V</v>
          </cell>
        </row>
        <row r="1395">
          <cell r="A1395" t="str">
            <v>INTERVENTOR DE ADUANAS II</v>
          </cell>
        </row>
        <row r="1396">
          <cell r="A1396" t="str">
            <v>INTERVENTOR DE ADUANAS III</v>
          </cell>
        </row>
        <row r="1397">
          <cell r="A1397" t="str">
            <v>INTERVENTOR DE ADUNAS I</v>
          </cell>
        </row>
        <row r="1398">
          <cell r="A1398" t="str">
            <v>INTRUCTOR DEPORTIVO</v>
          </cell>
        </row>
        <row r="1399">
          <cell r="A1399" t="str">
            <v>INVESTIGADOR DE MUSEO I</v>
          </cell>
        </row>
        <row r="1400">
          <cell r="A1400" t="str">
            <v>INVESTIGADOR DE MUSEO II</v>
          </cell>
        </row>
        <row r="1401">
          <cell r="A1401" t="str">
            <v>INVESTIGADOR DE MUSEO III</v>
          </cell>
        </row>
        <row r="1402">
          <cell r="A1402" t="str">
            <v>INVESTIGADOR EN ADIESTRAMIENTO</v>
          </cell>
        </row>
        <row r="1403">
          <cell r="A1403" t="str">
            <v>INVESTIGADOR I</v>
          </cell>
        </row>
        <row r="1404">
          <cell r="A1404" t="str">
            <v>INVESTIGADOR II</v>
          </cell>
        </row>
        <row r="1405">
          <cell r="A1405" t="str">
            <v>INVESTIGADOR III</v>
          </cell>
        </row>
        <row r="1406">
          <cell r="A1406" t="str">
            <v>INVESTIGADOR IV</v>
          </cell>
        </row>
        <row r="1407">
          <cell r="A1407" t="str">
            <v>INVESTIGADOR JEFE</v>
          </cell>
        </row>
        <row r="1408">
          <cell r="A1408" t="str">
            <v>INVESTIGADOR SOCIAL I</v>
          </cell>
        </row>
        <row r="1409">
          <cell r="A1409" t="str">
            <v>INVESTIGADOR SOCIAL II</v>
          </cell>
        </row>
        <row r="1410">
          <cell r="A1410" t="str">
            <v>INVESTIGADOR SOCIAL III</v>
          </cell>
        </row>
        <row r="1411">
          <cell r="A1411" t="str">
            <v>INVESTIGADOR SOCIAL JEFE</v>
          </cell>
        </row>
        <row r="1412">
          <cell r="A1412" t="str">
            <v>INVESTIGADOR V</v>
          </cell>
        </row>
        <row r="1413">
          <cell r="A1413" t="str">
            <v>JEE DE SERVICIOS PORTUARIOS I</v>
          </cell>
        </row>
        <row r="1414">
          <cell r="A1414" t="str">
            <v>JEFE CAPITAN DE PUERTO</v>
          </cell>
        </row>
        <row r="1415">
          <cell r="A1415" t="str">
            <v>JEFE CENTRO ATENCION POR ABANDONO</v>
          </cell>
        </row>
        <row r="1416">
          <cell r="A1416" t="str">
            <v>JEFE CENTRO ATENCION POR TRATAMIENTO</v>
          </cell>
        </row>
        <row r="1417">
          <cell r="A1417" t="str">
            <v>JEFE CENTRO AUDIOVISUAL</v>
          </cell>
        </row>
        <row r="1418">
          <cell r="A1418" t="str">
            <v>JEFE CENTRO DE PREVENCION</v>
          </cell>
        </row>
        <row r="1419">
          <cell r="A1419" t="str">
            <v>JEFE CENTRO INDIGENISTA II</v>
          </cell>
        </row>
        <row r="1420">
          <cell r="A1420" t="str">
            <v>JEFE CENTRO INDIGENITA I</v>
          </cell>
        </row>
        <row r="1421">
          <cell r="A1421" t="str">
            <v>JEFE DE AEROPUERTO I</v>
          </cell>
        </row>
        <row r="1422">
          <cell r="A1422" t="str">
            <v>JEFE DE AEROPUERTO II</v>
          </cell>
        </row>
        <row r="1423">
          <cell r="A1423" t="str">
            <v>JEFE DE AEROPUERTO III</v>
          </cell>
        </row>
        <row r="1424">
          <cell r="A1424" t="str">
            <v>JEFE DE AEROPUERTO IV</v>
          </cell>
        </row>
        <row r="1425">
          <cell r="A1425" t="str">
            <v>JEFE DE AEROPUERTO V</v>
          </cell>
        </row>
        <row r="1426">
          <cell r="A1426" t="str">
            <v>JEFE DE ARTE Y FOLKLORE</v>
          </cell>
        </row>
        <row r="1427">
          <cell r="A1427" t="str">
            <v>JEFE DE CONTROL DE MAQUINAS</v>
          </cell>
        </row>
        <row r="1428">
          <cell r="A1428" t="str">
            <v>JEFE DE DEPARTAMENTO</v>
          </cell>
        </row>
        <row r="1429">
          <cell r="A1429" t="str">
            <v>JEFE DE DIVISION</v>
          </cell>
        </row>
        <row r="1430">
          <cell r="A1430" t="str">
            <v>JEFE DE DIVISION ADMINISTRATIVO</v>
          </cell>
        </row>
        <row r="1431">
          <cell r="A1431" t="str">
            <v>JEFE DE EJECUCION Y CONTROL DE PRESUPUES</v>
          </cell>
        </row>
        <row r="1432">
          <cell r="A1432" t="str">
            <v>JEFE DE INFORMATICA I</v>
          </cell>
        </row>
        <row r="1433">
          <cell r="A1433" t="str">
            <v>JEFE DE INFORMATICA II</v>
          </cell>
        </row>
        <row r="1434">
          <cell r="A1434" t="str">
            <v>JEFE DE INFORMATICA III</v>
          </cell>
        </row>
        <row r="1435">
          <cell r="A1435" t="str">
            <v>JEFE DE LABORATORIO DE AEROFOTOGRAFIA</v>
          </cell>
        </row>
        <row r="1436">
          <cell r="A1436" t="str">
            <v>JEFE DE MAQUINAS I</v>
          </cell>
        </row>
        <row r="1437">
          <cell r="A1437" t="str">
            <v>JEFE DE MAQUINAS II</v>
          </cell>
        </row>
        <row r="1438">
          <cell r="A1438" t="str">
            <v>JEFE DE OBREROS</v>
          </cell>
        </row>
        <row r="1439">
          <cell r="A1439" t="str">
            <v>JEFE DE OFICINA</v>
          </cell>
        </row>
        <row r="1440">
          <cell r="A1440" t="str">
            <v>JEFE DE PABELLON DE FERIAS</v>
          </cell>
        </row>
        <row r="1441">
          <cell r="A1441" t="str">
            <v>JEFE DE PRE-ESCOLAR</v>
          </cell>
        </row>
        <row r="1442">
          <cell r="A1442" t="str">
            <v>JEFE DE RELACIONES PUBLICAS I</v>
          </cell>
        </row>
        <row r="1443">
          <cell r="A1443" t="str">
            <v>JEFE DE RELACIONES PUBLICAS II</v>
          </cell>
        </row>
        <row r="1444">
          <cell r="A1444" t="str">
            <v>JEFE DE RELACIONES PUBLICAS III</v>
          </cell>
        </row>
        <row r="1445">
          <cell r="A1445" t="str">
            <v>JEFE DE SECCION</v>
          </cell>
        </row>
        <row r="1446">
          <cell r="A1446" t="str">
            <v>JEFE DE SERVICIOS PORTUARIOS II</v>
          </cell>
        </row>
        <row r="1447">
          <cell r="A1447" t="str">
            <v>JEFE DE SERVICIOS PORTUARIOS III</v>
          </cell>
        </row>
        <row r="1448">
          <cell r="A1448" t="str">
            <v>JEFE DE SERVICIOS PORTUARIOS IV</v>
          </cell>
        </row>
        <row r="1449">
          <cell r="A1449" t="str">
            <v>JEFE DE TRANSPORTE AUTOMOTOR I</v>
          </cell>
        </row>
        <row r="1450">
          <cell r="A1450" t="str">
            <v>JEFE DE TRANSPORTE AUTONOMOR III</v>
          </cell>
        </row>
        <row r="1451">
          <cell r="A1451" t="str">
            <v>JEFE DE TRASPORTE AUTOMOTOR II</v>
          </cell>
        </row>
        <row r="1452">
          <cell r="A1452" t="str">
            <v>JEFE DE UNIDAD</v>
          </cell>
        </row>
        <row r="1453">
          <cell r="A1453" t="str">
            <v>JEFE DE ZONA</v>
          </cell>
        </row>
        <row r="1454">
          <cell r="A1454" t="str">
            <v>JEFE DE ZONA DE SANEAMIENTO AMBIENTAL</v>
          </cell>
        </row>
        <row r="1455">
          <cell r="A1455" t="str">
            <v>JEFE ESTACION DE PILOTO</v>
          </cell>
        </row>
        <row r="1456">
          <cell r="A1456" t="str">
            <v>JEFE SECCION DE RENDICION DE CUENTAS</v>
          </cell>
        </row>
        <row r="1457">
          <cell r="A1457" t="str">
            <v>JEFE TECNICO AMDINISTRATIVO</v>
          </cell>
        </row>
        <row r="1458">
          <cell r="A1458" t="str">
            <v>LABORATORISTA CINEMATOGRAFICO</v>
          </cell>
        </row>
        <row r="1459">
          <cell r="A1459" t="str">
            <v>LABORATORISTA I</v>
          </cell>
        </row>
        <row r="1460">
          <cell r="A1460" t="str">
            <v>LABORATORISTA II</v>
          </cell>
        </row>
        <row r="1461">
          <cell r="A1461" t="str">
            <v>LABORATORISTA III</v>
          </cell>
        </row>
        <row r="1462">
          <cell r="A1462" t="str">
            <v>LCDO(A) EN GESTION AMBIENTAL</v>
          </cell>
        </row>
        <row r="1463">
          <cell r="A1463" t="str">
            <v>LCDO(A) EN GESTION SOCIAL</v>
          </cell>
        </row>
        <row r="1464">
          <cell r="A1464" t="str">
            <v>LENGUAJE MUSICAL</v>
          </cell>
        </row>
        <row r="1465">
          <cell r="A1465" t="str">
            <v>LIBRETISTA DE RADIO</v>
          </cell>
        </row>
        <row r="1466">
          <cell r="A1466" t="str">
            <v>LIQUIDADOR DE HIDROCARBUROS I</v>
          </cell>
        </row>
        <row r="1467">
          <cell r="A1467" t="str">
            <v>LIQUIDADOR DE HIDROCARBUROS II</v>
          </cell>
        </row>
        <row r="1468">
          <cell r="A1468" t="str">
            <v>LIQUIDADOR DE HIDROCARBUROS III</v>
          </cell>
        </row>
        <row r="1469">
          <cell r="A1469" t="str">
            <v>LIQUIDADOR DE HIDROCARBUROS JEFE</v>
          </cell>
        </row>
        <row r="1470">
          <cell r="A1470" t="str">
            <v>LIQUIDADOR I</v>
          </cell>
        </row>
        <row r="1471">
          <cell r="A1471" t="str">
            <v>LIQUIDADOR II</v>
          </cell>
        </row>
        <row r="1472">
          <cell r="A1472" t="str">
            <v>LIQUIDADOR III</v>
          </cell>
        </row>
        <row r="1473">
          <cell r="A1473" t="str">
            <v>LIQUIDADOR JEFE</v>
          </cell>
        </row>
        <row r="1474">
          <cell r="A1474" t="str">
            <v>LOCUTOR I</v>
          </cell>
        </row>
        <row r="1475">
          <cell r="A1475" t="str">
            <v>LOCUTOR II</v>
          </cell>
        </row>
        <row r="1476">
          <cell r="A1476" t="str">
            <v>MAESTRA (33.33 HORAS) Y PROF. PH GR (20 HORAS)</v>
          </cell>
        </row>
        <row r="1477">
          <cell r="A1477" t="str">
            <v>MAESTRA ALFABETIZADORA</v>
          </cell>
        </row>
        <row r="1478">
          <cell r="A1478" t="str">
            <v>MAESTRA BIBLIOTECARIA</v>
          </cell>
        </row>
        <row r="1479">
          <cell r="A1479" t="str">
            <v>MAESTRA COORDINADORA</v>
          </cell>
        </row>
        <row r="1480">
          <cell r="A1480" t="str">
            <v>MAESTRA N§ 10</v>
          </cell>
        </row>
        <row r="1481">
          <cell r="A1481" t="str">
            <v>MAESTRA N§ 2</v>
          </cell>
        </row>
        <row r="1482">
          <cell r="A1482" t="str">
            <v>MAESTRA NORMALISTA</v>
          </cell>
        </row>
        <row r="1483">
          <cell r="A1483" t="str">
            <v>MAESTRA TIPO A</v>
          </cell>
        </row>
        <row r="1484">
          <cell r="A1484" t="str">
            <v>MAESTRO TCVDNMA</v>
          </cell>
        </row>
        <row r="1485">
          <cell r="A1485" t="str">
            <v>MAESTRO(A)</v>
          </cell>
        </row>
        <row r="1486">
          <cell r="A1486" t="str">
            <v>MANDOLINA</v>
          </cell>
        </row>
        <row r="1487">
          <cell r="A1487" t="str">
            <v>MAQUETISTA I</v>
          </cell>
        </row>
        <row r="1488">
          <cell r="A1488" t="str">
            <v>MAQUETISTA II</v>
          </cell>
        </row>
        <row r="1489">
          <cell r="A1489" t="str">
            <v>MAQUILLADOR</v>
          </cell>
        </row>
        <row r="1490">
          <cell r="A1490" t="str">
            <v>MAQUINISTA DE REMOLCADOR</v>
          </cell>
        </row>
        <row r="1491">
          <cell r="A1491" t="str">
            <v>MAQUINISTA DE TRANSPORTE NAVAL</v>
          </cell>
        </row>
        <row r="1492">
          <cell r="A1492" t="str">
            <v>MATEMATICO I</v>
          </cell>
        </row>
        <row r="1493">
          <cell r="A1493" t="str">
            <v>MATEMATICO II</v>
          </cell>
        </row>
        <row r="1494">
          <cell r="A1494" t="str">
            <v>MAYOR (BOMBERO)</v>
          </cell>
        </row>
        <row r="1495">
          <cell r="A1495" t="str">
            <v>MECANOGRAFA(O) II</v>
          </cell>
        </row>
        <row r="1496">
          <cell r="A1496" t="str">
            <v>MEDICO DE SALUD PUBLICA I</v>
          </cell>
        </row>
        <row r="1497">
          <cell r="A1497" t="str">
            <v>MEDICO DE SALUD PUBLICA II</v>
          </cell>
        </row>
        <row r="1498">
          <cell r="A1498" t="str">
            <v>MEDICO DE SALUD PUBLICA III</v>
          </cell>
        </row>
        <row r="1499">
          <cell r="A1499" t="str">
            <v>MEDICO DE SALUD PUBLICA JEFE</v>
          </cell>
        </row>
        <row r="1500">
          <cell r="A1500" t="str">
            <v>MEDICO DE SALUD PUBLICA JEFE II</v>
          </cell>
        </row>
        <row r="1501">
          <cell r="A1501" t="str">
            <v>MEDICO DE SALUD PUBLICA JEFE III</v>
          </cell>
        </row>
        <row r="1502">
          <cell r="A1502" t="str">
            <v>MEDICO DIRECTOR DE HOSPITAL I</v>
          </cell>
        </row>
        <row r="1503">
          <cell r="A1503" t="str">
            <v>MEDICO DIRECTOR DE HOSPITAL II</v>
          </cell>
        </row>
        <row r="1504">
          <cell r="A1504" t="str">
            <v>MEDICO DIRECTOR DE HOSPITAL III</v>
          </cell>
        </row>
        <row r="1505">
          <cell r="A1505" t="str">
            <v>MEDICO DIRECTOR DE HOSPITAL IV</v>
          </cell>
        </row>
        <row r="1506">
          <cell r="A1506" t="str">
            <v>MEDICO ESPECIALISTA I</v>
          </cell>
        </row>
        <row r="1507">
          <cell r="A1507" t="str">
            <v>MEDICO ESPECIALISTA II</v>
          </cell>
        </row>
        <row r="1508">
          <cell r="A1508" t="str">
            <v>MEDICO I</v>
          </cell>
        </row>
        <row r="1509">
          <cell r="A1509" t="str">
            <v>MEDICO II</v>
          </cell>
        </row>
        <row r="1510">
          <cell r="A1510" t="str">
            <v>MEDICO INTERNO</v>
          </cell>
        </row>
        <row r="1511">
          <cell r="A1511" t="str">
            <v>MEDICO JEFE I</v>
          </cell>
        </row>
        <row r="1512">
          <cell r="A1512" t="str">
            <v>MEDICO JEFE II</v>
          </cell>
        </row>
        <row r="1513">
          <cell r="A1513" t="str">
            <v>MEDICO JEFE III</v>
          </cell>
        </row>
        <row r="1514">
          <cell r="A1514" t="str">
            <v>MEDICO JEFE IV</v>
          </cell>
        </row>
        <row r="1515">
          <cell r="A1515" t="str">
            <v>MEDICO RESIDENTE</v>
          </cell>
        </row>
        <row r="1516">
          <cell r="A1516" t="str">
            <v>MEDICO VETERINARIO I</v>
          </cell>
        </row>
        <row r="1517">
          <cell r="A1517" t="str">
            <v>MEDICO VETERINARIO II</v>
          </cell>
        </row>
        <row r="1518">
          <cell r="A1518" t="str">
            <v>MEDICO VETERINARIO III</v>
          </cell>
        </row>
        <row r="1519">
          <cell r="A1519" t="str">
            <v>MEDICO VETERINARIO JEFE I</v>
          </cell>
        </row>
        <row r="1520">
          <cell r="A1520" t="str">
            <v>MEDICO VETERINARIO JEFE II</v>
          </cell>
        </row>
        <row r="1521">
          <cell r="A1521" t="str">
            <v>METROLOGO I</v>
          </cell>
        </row>
        <row r="1522">
          <cell r="A1522" t="str">
            <v>METROLOGO II</v>
          </cell>
        </row>
        <row r="1523">
          <cell r="A1523" t="str">
            <v>METROLOGO III</v>
          </cell>
        </row>
        <row r="1524">
          <cell r="A1524" t="str">
            <v>METROLOGO JEFE I</v>
          </cell>
        </row>
        <row r="1525">
          <cell r="A1525" t="str">
            <v>METROLOGO JEFE II</v>
          </cell>
        </row>
        <row r="1526">
          <cell r="A1526" t="str">
            <v>MICROBIOLOGO I</v>
          </cell>
        </row>
        <row r="1527">
          <cell r="A1527" t="str">
            <v>MICROBIOLOGO II</v>
          </cell>
        </row>
        <row r="1528">
          <cell r="A1528" t="str">
            <v>MICROBIOLOGO III</v>
          </cell>
        </row>
        <row r="1529">
          <cell r="A1529" t="str">
            <v>MICROBIOLOGO JEFE</v>
          </cell>
        </row>
        <row r="1530">
          <cell r="A1530" t="str">
            <v>MICROFILMADOR I</v>
          </cell>
        </row>
        <row r="1531">
          <cell r="A1531" t="str">
            <v>MICROFILMADOR II</v>
          </cell>
        </row>
        <row r="1532">
          <cell r="A1532" t="str">
            <v>MICROFILMADOR III</v>
          </cell>
        </row>
        <row r="1533">
          <cell r="A1533" t="str">
            <v>MICROFILMADOR IV</v>
          </cell>
        </row>
        <row r="1534">
          <cell r="A1534" t="str">
            <v>MUSEOGRAFO I</v>
          </cell>
        </row>
        <row r="1535">
          <cell r="A1535" t="str">
            <v>MUSEOGRAFO II</v>
          </cell>
        </row>
        <row r="1536">
          <cell r="A1536" t="str">
            <v>MUSEOGRAFO III</v>
          </cell>
        </row>
        <row r="1537">
          <cell r="A1537" t="str">
            <v>MUSEOLOGO</v>
          </cell>
        </row>
        <row r="1538">
          <cell r="A1538" t="str">
            <v>MUSEOLOGO II</v>
          </cell>
        </row>
        <row r="1539">
          <cell r="A1539" t="str">
            <v>MUSEOLOGO III</v>
          </cell>
        </row>
        <row r="1540">
          <cell r="A1540" t="str">
            <v>MUSEOLOGO IV</v>
          </cell>
        </row>
        <row r="1541">
          <cell r="A1541" t="str">
            <v>OBOE</v>
          </cell>
        </row>
        <row r="1542">
          <cell r="A1542" t="str">
            <v>OBOE</v>
          </cell>
        </row>
        <row r="1543">
          <cell r="A1543" t="str">
            <v>OBOE 1</v>
          </cell>
        </row>
        <row r="1544">
          <cell r="A1544" t="str">
            <v>OBOE 2</v>
          </cell>
        </row>
        <row r="1545">
          <cell r="A1545" t="str">
            <v>OBSERVADOR DE RADIO Y TV I</v>
          </cell>
        </row>
        <row r="1546">
          <cell r="A1546" t="str">
            <v>OBSERVADOR DE RADIO Y TV II</v>
          </cell>
        </row>
        <row r="1547">
          <cell r="A1547" t="str">
            <v>ODONTOLO II</v>
          </cell>
        </row>
        <row r="1548">
          <cell r="A1548" t="str">
            <v>ODONTOLOGO I</v>
          </cell>
        </row>
        <row r="1549">
          <cell r="A1549" t="str">
            <v>ODONTOLOGO III</v>
          </cell>
        </row>
        <row r="1550">
          <cell r="A1550" t="str">
            <v>ODONTOLOGO JEFE I</v>
          </cell>
        </row>
        <row r="1551">
          <cell r="A1551" t="str">
            <v>ODONTOLOGO JEFE II</v>
          </cell>
        </row>
        <row r="1552">
          <cell r="A1552" t="str">
            <v>OFICIAL</v>
          </cell>
        </row>
        <row r="1553">
          <cell r="A1553" t="str">
            <v>OFICIAL (GRADO 0)</v>
          </cell>
        </row>
        <row r="1554">
          <cell r="A1554" t="str">
            <v>OFICIAL (GRADO 1)</v>
          </cell>
        </row>
        <row r="1555">
          <cell r="A1555" t="str">
            <v>OFICIAL (GRADO 2)</v>
          </cell>
        </row>
        <row r="1556">
          <cell r="A1556" t="str">
            <v>OFICIAL AGREGADO</v>
          </cell>
        </row>
        <row r="1557">
          <cell r="A1557" t="str">
            <v>OFICIAL AGREGADO (GRADO 0)</v>
          </cell>
        </row>
        <row r="1558">
          <cell r="A1558" t="str">
            <v>OFICIAL AGREGADO (GRADO 1)</v>
          </cell>
        </row>
        <row r="1559">
          <cell r="A1559" t="str">
            <v>OFICIAL AGREGADO (GRADO 2)</v>
          </cell>
        </row>
        <row r="1560">
          <cell r="A1560" t="str">
            <v>OFICIAL DE BUSQUEDA Y SALVAMENTO I</v>
          </cell>
        </row>
        <row r="1561">
          <cell r="A1561" t="str">
            <v>OFICIAL DE BUSQUEDA Y SALVAMENTO II</v>
          </cell>
        </row>
        <row r="1562">
          <cell r="A1562" t="str">
            <v>OFICIAL DE BUSQUEDA Y SALVAMENTO III</v>
          </cell>
        </row>
        <row r="1563">
          <cell r="A1563" t="str">
            <v>OFICIAL DE BUSQUEDA Y SALVAMENTO IV</v>
          </cell>
        </row>
        <row r="1564">
          <cell r="A1564" t="str">
            <v>OFICIAL DE MAQUINAS I</v>
          </cell>
        </row>
        <row r="1565">
          <cell r="A1565" t="str">
            <v>OFICIAL DE MAQUINAS II</v>
          </cell>
        </row>
        <row r="1566">
          <cell r="A1566" t="str">
            <v>OFICIAL DE MAQUINAS III</v>
          </cell>
        </row>
        <row r="1567">
          <cell r="A1567" t="str">
            <v>OFICIAL DE MARINA I</v>
          </cell>
        </row>
        <row r="1568">
          <cell r="A1568" t="str">
            <v>OFICIAL DE MARINA II</v>
          </cell>
        </row>
        <row r="1569">
          <cell r="A1569" t="str">
            <v>OFICIAL DE MARINA III</v>
          </cell>
        </row>
        <row r="1570">
          <cell r="A1570" t="str">
            <v>OFICIAL DE MARINA IV</v>
          </cell>
        </row>
        <row r="1571">
          <cell r="A1571" t="str">
            <v>OFICIAL DE MARINA JEFE I</v>
          </cell>
        </row>
        <row r="1572">
          <cell r="A1572" t="str">
            <v>OFICIAL DE MARINA JEFE II</v>
          </cell>
        </row>
        <row r="1573">
          <cell r="A1573" t="str">
            <v>OFICIAL DE MARINA JEFE III</v>
          </cell>
        </row>
        <row r="1574">
          <cell r="A1574" t="str">
            <v>OFICIAL DE NAVEGACION I</v>
          </cell>
        </row>
        <row r="1575">
          <cell r="A1575" t="str">
            <v>OFICIAL DE NAVEGACION II</v>
          </cell>
        </row>
        <row r="1576">
          <cell r="A1576" t="str">
            <v>OFICIAL DE NAVEGACION III</v>
          </cell>
        </row>
        <row r="1577">
          <cell r="A1577" t="str">
            <v>OFICIAL JEFE</v>
          </cell>
        </row>
        <row r="1578">
          <cell r="A1578" t="str">
            <v>OFICIAL JEFE (GRADO 0)</v>
          </cell>
        </row>
        <row r="1579">
          <cell r="A1579" t="str">
            <v>OFICIAL JEFE (GRADO 1)</v>
          </cell>
        </row>
        <row r="1580">
          <cell r="A1580" t="str">
            <v>OFICIAL JEFE (GRADO 2)</v>
          </cell>
        </row>
        <row r="1581">
          <cell r="A1581" t="str">
            <v>OPERADOR DE EQUIPOS DE COMPUTACION I</v>
          </cell>
        </row>
        <row r="1582">
          <cell r="A1582" t="str">
            <v>OPERADOR DE EQUIPOS DE COMPUTACION II</v>
          </cell>
        </row>
        <row r="1583">
          <cell r="A1583" t="str">
            <v>OPERADOR DE EQUIPOS DE COMPUTACION III</v>
          </cell>
        </row>
        <row r="1584">
          <cell r="A1584" t="str">
            <v>OPERADOR DE EQUIPOS DE TV Y/O CINE</v>
          </cell>
        </row>
        <row r="1585">
          <cell r="A1585" t="str">
            <v>OPERADOR DE QUPOS DE DRAGADO</v>
          </cell>
        </row>
        <row r="1586">
          <cell r="A1586" t="str">
            <v>OPERADOR DE REPRODUCCION I</v>
          </cell>
        </row>
        <row r="1587">
          <cell r="A1587" t="str">
            <v>OPERADOR DE SOPORTE TECNICO</v>
          </cell>
        </row>
        <row r="1588">
          <cell r="A1588" t="str">
            <v>OPERADOR DE TELECOMUNICACIONES AERO. I</v>
          </cell>
        </row>
        <row r="1589">
          <cell r="A1589" t="str">
            <v>OPERADOR DE TELECOMUNICACIONES AERON. II</v>
          </cell>
        </row>
        <row r="1590">
          <cell r="A1590" t="str">
            <v>OPERADOR DE TELECOMUNICACIONES I</v>
          </cell>
        </row>
        <row r="1591">
          <cell r="A1591" t="str">
            <v>OPERADOR DE TELECOMUNICACIONES II</v>
          </cell>
        </row>
        <row r="1592">
          <cell r="A1592" t="str">
            <v>OPERADOR DE TELECOMUNICACIONES III</v>
          </cell>
        </row>
        <row r="1593">
          <cell r="A1593" t="str">
            <v>OPERADOR DE TELECOMUNICACIONES IV</v>
          </cell>
        </row>
        <row r="1594">
          <cell r="A1594" t="str">
            <v>OPERADOR DE TELECOMUNICACIONES JEFE</v>
          </cell>
        </row>
        <row r="1595">
          <cell r="A1595" t="str">
            <v>OPERADOR TELECOMUNICACIONES AER. JEFE I</v>
          </cell>
        </row>
        <row r="1596">
          <cell r="A1596" t="str">
            <v>OPERADOR TELECOMUNICACIONES AERON. III</v>
          </cell>
        </row>
        <row r="1597">
          <cell r="A1597" t="str">
            <v>OPERADOR TELECOMUNICACIONES AERON. IV</v>
          </cell>
        </row>
        <row r="1598">
          <cell r="A1598" t="str">
            <v>OPERADOR TELECOMUNICACIONES AERON. V</v>
          </cell>
        </row>
        <row r="1599">
          <cell r="A1599" t="str">
            <v>OPERADOR TELECOMUNICAICONES AER. JEFE II</v>
          </cell>
        </row>
        <row r="1600">
          <cell r="A1600" t="str">
            <v>OPERADOR TELECOMUNICAICONES AERON.VI</v>
          </cell>
        </row>
        <row r="1601">
          <cell r="A1601" t="str">
            <v>ORDENANZA  I</v>
          </cell>
        </row>
        <row r="1602">
          <cell r="A1602" t="str">
            <v>ORDENANZA II</v>
          </cell>
        </row>
        <row r="1603">
          <cell r="A1603" t="str">
            <v>ORDENANZA III</v>
          </cell>
        </row>
        <row r="1604">
          <cell r="A1604" t="str">
            <v>PALEONTOLOGO</v>
          </cell>
        </row>
        <row r="1605">
          <cell r="A1605" t="str">
            <v>PATRON DE LANCHA</v>
          </cell>
        </row>
        <row r="1606">
          <cell r="A1606" t="str">
            <v>PERCUSION</v>
          </cell>
        </row>
        <row r="1607">
          <cell r="A1607" t="str">
            <v>PERITO FORESTAL  III</v>
          </cell>
        </row>
        <row r="1608">
          <cell r="A1608" t="str">
            <v>PERITO FORESTAL I</v>
          </cell>
        </row>
        <row r="1609">
          <cell r="A1609" t="str">
            <v>PERITO FORESTAL II</v>
          </cell>
        </row>
        <row r="1610">
          <cell r="A1610" t="str">
            <v>PERITO FORESTAL JEFE I</v>
          </cell>
        </row>
        <row r="1611">
          <cell r="A1611" t="str">
            <v>PERITO FORESTAL JEFE II</v>
          </cell>
        </row>
        <row r="1612">
          <cell r="A1612" t="str">
            <v>PERITO NAVAL</v>
          </cell>
        </row>
        <row r="1613">
          <cell r="A1613" t="str">
            <v>PERSONAL ADMINISTRATIVO NO CLASIFICADO</v>
          </cell>
        </row>
        <row r="1614">
          <cell r="A1614" t="str">
            <v>PIANO COMPLEMENTARIO</v>
          </cell>
        </row>
        <row r="1615">
          <cell r="A1615" t="str">
            <v>PIANO COMPLEMENTARIO</v>
          </cell>
        </row>
        <row r="1616">
          <cell r="A1616" t="str">
            <v>PILOTO DE BUSQUEDA Y SALVAMENTO I</v>
          </cell>
        </row>
        <row r="1617">
          <cell r="A1617" t="str">
            <v>PILOTO DE BUSQUEDA Y SALVAMENTO II</v>
          </cell>
        </row>
        <row r="1618">
          <cell r="A1618" t="str">
            <v>PILOTO DE BUSQUEDA Y SALVAMENTO III</v>
          </cell>
        </row>
        <row r="1619">
          <cell r="A1619" t="str">
            <v>PILOTO DE BUSQUEDA Y SALVAMENTO IV</v>
          </cell>
        </row>
        <row r="1620">
          <cell r="A1620" t="str">
            <v>PILOTO DE HELICOPTERO BUSQUD. Y SALV.III</v>
          </cell>
        </row>
        <row r="1621">
          <cell r="A1621" t="str">
            <v>PILOTO DE HELICOPTERO BUSQUEDA Y SALV II</v>
          </cell>
        </row>
        <row r="1622">
          <cell r="A1622" t="str">
            <v>PILOTO DE HELICOPTERO DE BUSQUEDA Y SALV</v>
          </cell>
        </row>
        <row r="1623">
          <cell r="A1623" t="str">
            <v>PILOTO INSPECTOR DE VUELO I</v>
          </cell>
        </row>
        <row r="1624">
          <cell r="A1624" t="str">
            <v>PILOTO INSPECTOR DE VUELO II</v>
          </cell>
        </row>
        <row r="1625">
          <cell r="A1625" t="str">
            <v>PILOTO INSTRUCTOR DE VUELO II</v>
          </cell>
        </row>
        <row r="1626">
          <cell r="A1626" t="str">
            <v>PILOTO INSTRUCTOR DE VUELO III</v>
          </cell>
        </row>
        <row r="1627">
          <cell r="A1627" t="str">
            <v>PILOTO INSTRUCTOR DE VUELO JEFE</v>
          </cell>
        </row>
        <row r="1628">
          <cell r="A1628" t="str">
            <v>PILOTO JEFE</v>
          </cell>
        </row>
        <row r="1629">
          <cell r="A1629" t="str">
            <v>PILOTO JEFE DE OPERACIONES</v>
          </cell>
        </row>
        <row r="1630">
          <cell r="A1630" t="str">
            <v>PILOTO OFICIAL DE LA MARINA MERCANTE</v>
          </cell>
        </row>
        <row r="1631">
          <cell r="A1631" t="str">
            <v>PLANIFICADOR CENTRAL EN FORMACION</v>
          </cell>
        </row>
        <row r="1632">
          <cell r="A1632" t="str">
            <v>PLANIFICADOR CENTRAL I</v>
          </cell>
        </row>
        <row r="1633">
          <cell r="A1633" t="str">
            <v>PLANIFICADOR CENTRAL II</v>
          </cell>
        </row>
        <row r="1634">
          <cell r="A1634" t="str">
            <v>PLANIFICADOR CENTRAL III</v>
          </cell>
        </row>
        <row r="1635">
          <cell r="A1635" t="str">
            <v>PLANIFICADOR CENTRAL IV</v>
          </cell>
        </row>
        <row r="1636">
          <cell r="A1636" t="str">
            <v>PLANIFICADOR CENTRAL JEFE</v>
          </cell>
        </row>
        <row r="1637">
          <cell r="A1637" t="str">
            <v>PLANIFICADOR I</v>
          </cell>
        </row>
        <row r="1638">
          <cell r="A1638" t="str">
            <v>PLANIFICADOR II</v>
          </cell>
        </row>
        <row r="1639">
          <cell r="A1639" t="str">
            <v>PLANIFICADOR III</v>
          </cell>
        </row>
        <row r="1640">
          <cell r="A1640" t="str">
            <v>PLANIFICADOR IV</v>
          </cell>
        </row>
        <row r="1641">
          <cell r="A1641" t="str">
            <v>PLANIFICADOR JEFE</v>
          </cell>
        </row>
        <row r="1642">
          <cell r="A1642" t="str">
            <v>PLANIFICADOR V</v>
          </cell>
        </row>
        <row r="1643">
          <cell r="A1643" t="str">
            <v>PRECEPTOR</v>
          </cell>
        </row>
        <row r="1644">
          <cell r="A1644" t="str">
            <v>PREFECTO DE MUNICIPIO</v>
          </cell>
        </row>
        <row r="1645">
          <cell r="A1645" t="str">
            <v>PREFECTO DE PARROQUIA</v>
          </cell>
        </row>
        <row r="1646">
          <cell r="A1646" t="str">
            <v>PRESIDENTE</v>
          </cell>
        </row>
        <row r="1647">
          <cell r="A1647" t="str">
            <v>PRIMER OFICIAL DE JET I</v>
          </cell>
        </row>
        <row r="1648">
          <cell r="A1648" t="str">
            <v>PRIMER OFICIAL DE JET II</v>
          </cell>
        </row>
        <row r="1649">
          <cell r="A1649" t="str">
            <v>PRIMER OFICIAL DE TURBO</v>
          </cell>
        </row>
        <row r="1650">
          <cell r="A1650" t="str">
            <v>PROCURADOR DE TRABAJADORES</v>
          </cell>
        </row>
        <row r="1651">
          <cell r="A1651" t="str">
            <v>PRODUCTOR DE RADIO</v>
          </cell>
        </row>
        <row r="1652">
          <cell r="A1652" t="str">
            <v>PROF DE CUATRO</v>
          </cell>
        </row>
        <row r="1653">
          <cell r="A1653" t="str">
            <v>PROF. ARMONIA COMPLEMENTARIA</v>
          </cell>
        </row>
        <row r="1654">
          <cell r="A1654" t="str">
            <v>PROF. BALLET Y DANZAS</v>
          </cell>
        </row>
        <row r="1655">
          <cell r="A1655" t="str">
            <v>PROF. CERAMICA N.G.</v>
          </cell>
        </row>
        <row r="1656">
          <cell r="A1656" t="str">
            <v>PROF. CLARINETE II  77</v>
          </cell>
        </row>
        <row r="1657">
          <cell r="A1657" t="str">
            <v>PROF. CLARINETE N.G.</v>
          </cell>
        </row>
        <row r="1658">
          <cell r="A1658" t="str">
            <v>PROF. CLARINETE VI</v>
          </cell>
        </row>
        <row r="1659">
          <cell r="A1659" t="str">
            <v>PROF. CORNO I</v>
          </cell>
        </row>
        <row r="1660">
          <cell r="A1660" t="str">
            <v>PROF. CORTE Y CONF. 77  IV</v>
          </cell>
        </row>
        <row r="1661">
          <cell r="A1661" t="str">
            <v>PROF. DE PIANO  IV  139</v>
          </cell>
        </row>
        <row r="1662">
          <cell r="A1662" t="str">
            <v>PROF. DE PIANO III  77</v>
          </cell>
        </row>
        <row r="1663">
          <cell r="A1663" t="str">
            <v>PROF. DIB. Y DEC. G.III 77</v>
          </cell>
        </row>
        <row r="1664">
          <cell r="A1664" t="str">
            <v>PROF. DIBUJO Y DEC. VI 77</v>
          </cell>
        </row>
        <row r="1665">
          <cell r="A1665" t="str">
            <v>PROF. ESCULTURA N.G.</v>
          </cell>
        </row>
        <row r="1666">
          <cell r="A1666" t="str">
            <v>PROF. FLAUTA</v>
          </cell>
        </row>
        <row r="1667">
          <cell r="A1667" t="str">
            <v>PROF. FORMACION CORAL</v>
          </cell>
        </row>
        <row r="1668">
          <cell r="A1668" t="str">
            <v>PROF. FOTOGRAFIA  VI  139</v>
          </cell>
        </row>
        <row r="1669">
          <cell r="A1669" t="str">
            <v>PROF. GUITARRA VI 139</v>
          </cell>
        </row>
        <row r="1670">
          <cell r="A1670" t="str">
            <v>PROF. HIST. MUSICA VI  139</v>
          </cell>
        </row>
        <row r="1671">
          <cell r="A1671" t="str">
            <v>PROF. HISTORIA DEL A.IV 77</v>
          </cell>
        </row>
        <row r="1672">
          <cell r="A1672" t="str">
            <v>PROF. HISTORIA DEL A.VI 77</v>
          </cell>
        </row>
        <row r="1673">
          <cell r="A1673" t="str">
            <v>PROF. HISTORIA EST.III 77</v>
          </cell>
        </row>
        <row r="1674">
          <cell r="A1674" t="str">
            <v>PROF. HISTORIA ESTETICA</v>
          </cell>
        </row>
        <row r="1675">
          <cell r="A1675" t="str">
            <v>PROF. HORAS DE BASICA(2746HRAS)</v>
          </cell>
        </row>
        <row r="1676">
          <cell r="A1676" t="str">
            <v>PROF. HORAS EDUC MEDIA(1373 HRAS)</v>
          </cell>
        </row>
        <row r="1677">
          <cell r="A1677" t="str">
            <v>PROF. KINDER MUSICAL N.G.</v>
          </cell>
        </row>
        <row r="1678">
          <cell r="A1678" t="str">
            <v>PROF. KINDER MUSICAL VI 77</v>
          </cell>
        </row>
        <row r="1679">
          <cell r="A1679" t="str">
            <v>PROF. LANG. PLASTICO I 77</v>
          </cell>
        </row>
        <row r="1680">
          <cell r="A1680" t="str">
            <v>PROF. MANUALIDADES 77 II</v>
          </cell>
        </row>
        <row r="1681">
          <cell r="A1681" t="str">
            <v>PROF. MANUALIDADES III 77</v>
          </cell>
        </row>
        <row r="1682">
          <cell r="A1682" t="str">
            <v>PROF. MUSICA POP. VI   77</v>
          </cell>
        </row>
        <row r="1683">
          <cell r="A1683" t="str">
            <v>PROF. OBOE</v>
          </cell>
        </row>
        <row r="1684">
          <cell r="A1684" t="str">
            <v>PROF. PIANO COMPLEMENTARIO</v>
          </cell>
        </row>
        <row r="1685">
          <cell r="A1685" t="str">
            <v>PROF. PIANO PRINCIPAL III 77</v>
          </cell>
        </row>
        <row r="1686">
          <cell r="A1686" t="str">
            <v>PROF. PINTURA INFAN. V 77</v>
          </cell>
        </row>
        <row r="1687">
          <cell r="A1687" t="str">
            <v>PROF. PINTURA Y DIBUJO</v>
          </cell>
        </row>
        <row r="1688">
          <cell r="A1688" t="str">
            <v>PROF. RECURSOS AUDIO N.G</v>
          </cell>
        </row>
        <row r="1689">
          <cell r="A1689" t="str">
            <v>PROF. TEORIA Y SOLFEO</v>
          </cell>
        </row>
        <row r="1690">
          <cell r="A1690" t="str">
            <v>PROF. TROMPETA N.G.</v>
          </cell>
        </row>
        <row r="1691">
          <cell r="A1691" t="str">
            <v>PROF. VIOLA III 77</v>
          </cell>
        </row>
        <row r="1692">
          <cell r="A1692" t="str">
            <v>PROF. VIOLIN III 77</v>
          </cell>
        </row>
        <row r="1693">
          <cell r="A1693" t="str">
            <v>PROF. VIOLONCELLO III 77</v>
          </cell>
        </row>
        <row r="1694">
          <cell r="A1694" t="str">
            <v>PROF.CERAMICA ARTISTICA N.G.</v>
          </cell>
        </row>
        <row r="1695">
          <cell r="A1695" t="str">
            <v>PROF.TEATRO N.G.</v>
          </cell>
        </row>
        <row r="1696">
          <cell r="A1696" t="str">
            <v>PROFESOR DE CONTRABAJO</v>
          </cell>
        </row>
        <row r="1697">
          <cell r="A1697" t="str">
            <v>PROFESOR DE ESCULTURA Y ARTES GRAFICAS Y DOCENTE AULA MEDIA PROFESIONAL NG</v>
          </cell>
        </row>
        <row r="1698">
          <cell r="A1698" t="str">
            <v>PROFESOR DE MANUALIDADES</v>
          </cell>
        </row>
        <row r="1699">
          <cell r="A1699" t="str">
            <v>PROFESOR DE MUSICA</v>
          </cell>
        </row>
        <row r="1700">
          <cell r="A1700" t="str">
            <v>PROFESOR DE VIOLA N.G.</v>
          </cell>
        </row>
        <row r="1701">
          <cell r="A1701" t="str">
            <v>PROFESOR DE VIOLIN N.G.</v>
          </cell>
        </row>
        <row r="1702">
          <cell r="A1702" t="str">
            <v>PROFESOR I TID</v>
          </cell>
        </row>
        <row r="1703">
          <cell r="A1703" t="str">
            <v>PROFESOR POR HORA (24 HORAS)</v>
          </cell>
        </row>
        <row r="1704">
          <cell r="A1704" t="str">
            <v>PROFESOR(A) DE CORTE Y CONFECCIÓN</v>
          </cell>
        </row>
        <row r="1705">
          <cell r="A1705" t="str">
            <v>PROFESORA DE CORTE Y COSTURA Y DIRECTORA DE LA ESCUELA ANDRES ELOY BLANCO</v>
          </cell>
        </row>
        <row r="1706">
          <cell r="A1706" t="str">
            <v>PROFESORA DE MECANOGRAFIA</v>
          </cell>
        </row>
        <row r="1707">
          <cell r="A1707" t="str">
            <v>PROFESORA DE PINTURA INFANTIL, PROFESORA DE EDUCACION ARTISTICA Y COORDINADORA DOCENTE.</v>
          </cell>
        </row>
        <row r="1708">
          <cell r="A1708" t="str">
            <v>PROFESORA DE PINTURA Y DIBUJO (06 HORAS) Y DOCENTE IV COORDINADOR (24 HORAS)</v>
          </cell>
        </row>
        <row r="1709">
          <cell r="A1709" t="str">
            <v>PROFESORA NOCTURNA (NACIONAL) Y COORDINADORA DOCENTE VI</v>
          </cell>
        </row>
        <row r="1710">
          <cell r="A1710" t="str">
            <v>PROGRAMADOR DE FORMACION PROFES. JEFE</v>
          </cell>
        </row>
        <row r="1711">
          <cell r="A1711" t="str">
            <v>PROGRAMADOR DE FORMACION PROFESIONAL</v>
          </cell>
        </row>
        <row r="1712">
          <cell r="A1712" t="str">
            <v>PROGRAMADOR I</v>
          </cell>
        </row>
        <row r="1713">
          <cell r="A1713" t="str">
            <v>PROGRAMADOR II</v>
          </cell>
        </row>
        <row r="1714">
          <cell r="A1714" t="str">
            <v>PROGRAMADOR III</v>
          </cell>
        </row>
        <row r="1715">
          <cell r="A1715" t="str">
            <v>PROGRAMADOR IV</v>
          </cell>
        </row>
        <row r="1716">
          <cell r="A1716" t="str">
            <v>PROGRAMADOR V</v>
          </cell>
        </row>
        <row r="1717">
          <cell r="A1717" t="str">
            <v>PROMOTOR  SOCIAL I</v>
          </cell>
        </row>
        <row r="1718">
          <cell r="A1718" t="str">
            <v>PROMOTOR CULTURAL I</v>
          </cell>
        </row>
        <row r="1719">
          <cell r="A1719" t="str">
            <v>PROMOTOR CULTURAL II</v>
          </cell>
        </row>
        <row r="1720">
          <cell r="A1720" t="str">
            <v>PROMOTOR DE BIENESTAR SOCIAL</v>
          </cell>
        </row>
        <row r="1721">
          <cell r="A1721" t="str">
            <v>PROMOTOR DE CURSOS</v>
          </cell>
        </row>
        <row r="1722">
          <cell r="A1722" t="str">
            <v>PROMOTOR DE EXPORTACIONES I</v>
          </cell>
        </row>
        <row r="1723">
          <cell r="A1723" t="str">
            <v>PROMOTOR DE EXPORTACIONES II</v>
          </cell>
        </row>
        <row r="1724">
          <cell r="A1724" t="str">
            <v>PROMOTOR DE EXPORTACIONES III</v>
          </cell>
        </row>
        <row r="1725">
          <cell r="A1725" t="str">
            <v>PROMOTOR DE EXPORTACIONES JEFE</v>
          </cell>
        </row>
        <row r="1726">
          <cell r="A1726" t="str">
            <v>PROMOTOR DEPORTIVO</v>
          </cell>
        </row>
        <row r="1727">
          <cell r="A1727" t="str">
            <v>PROMOTOR RURAL</v>
          </cell>
        </row>
        <row r="1728">
          <cell r="A1728" t="str">
            <v>PROMOTOR TURISTICO I</v>
          </cell>
        </row>
        <row r="1729">
          <cell r="A1729" t="str">
            <v>PROMOTOR TURISTICO II</v>
          </cell>
        </row>
        <row r="1730">
          <cell r="A1730" t="str">
            <v>PROMOTOR TURISTICO III</v>
          </cell>
        </row>
        <row r="1731">
          <cell r="A1731" t="str">
            <v>PROMOTOR TURISTICO IV</v>
          </cell>
        </row>
        <row r="1732">
          <cell r="A1732" t="str">
            <v>PROMOTOR TURISTICO JEFE</v>
          </cell>
        </row>
        <row r="1733">
          <cell r="A1733" t="str">
            <v>PROYECTISTA DE PABELLON DE FERIAS</v>
          </cell>
        </row>
        <row r="1734">
          <cell r="A1734" t="str">
            <v>PSICOLOGO I</v>
          </cell>
        </row>
        <row r="1735">
          <cell r="A1735" t="str">
            <v>PSICOLOGO II</v>
          </cell>
        </row>
        <row r="1736">
          <cell r="A1736" t="str">
            <v>PSICOLOGO III</v>
          </cell>
        </row>
        <row r="1737">
          <cell r="A1737" t="str">
            <v>PSICOLOGO JEFE</v>
          </cell>
        </row>
        <row r="1738">
          <cell r="A1738" t="str">
            <v>PSICOPEDAGOGO</v>
          </cell>
        </row>
        <row r="1739">
          <cell r="A1739" t="str">
            <v>PUERICULTORA</v>
          </cell>
        </row>
        <row r="1740">
          <cell r="A1740" t="str">
            <v>QUIMICO I</v>
          </cell>
        </row>
        <row r="1741">
          <cell r="A1741" t="str">
            <v>QUIMICO II</v>
          </cell>
        </row>
        <row r="1742">
          <cell r="A1742" t="str">
            <v>QUIMICO III</v>
          </cell>
        </row>
        <row r="1743">
          <cell r="A1743" t="str">
            <v>QUIMICO JEFE I</v>
          </cell>
        </row>
        <row r="1744">
          <cell r="A1744" t="str">
            <v>QUIMICO JEFE II</v>
          </cell>
        </row>
        <row r="1745">
          <cell r="A1745" t="str">
            <v>RADIO OPERADOR DE CRIPTOGRAFO I</v>
          </cell>
        </row>
        <row r="1746">
          <cell r="A1746" t="str">
            <v>RADIO OPERADOR DE CRIPTOGRAFO II</v>
          </cell>
        </row>
        <row r="1747">
          <cell r="A1747" t="str">
            <v>RADIO OPERADOR DE CRIPTOGRAFO JEFE</v>
          </cell>
        </row>
        <row r="1748">
          <cell r="A1748" t="str">
            <v>RADIOTELEFONISTA</v>
          </cell>
        </row>
        <row r="1749">
          <cell r="A1749" t="str">
            <v>RECEPCIONISTA</v>
          </cell>
        </row>
        <row r="1750">
          <cell r="A1750" t="str">
            <v>REDOBLANTE 1</v>
          </cell>
        </row>
        <row r="1751">
          <cell r="A1751" t="str">
            <v>REGISTRADOR DE BIENES Y MATERIAS I</v>
          </cell>
        </row>
        <row r="1752">
          <cell r="A1752" t="str">
            <v>REGISTRADOR DE BIENES Y MATERIAS II</v>
          </cell>
        </row>
        <row r="1753">
          <cell r="A1753" t="str">
            <v>REGISTRADOR DE BIENES Y MATERIAS III</v>
          </cell>
        </row>
        <row r="1754">
          <cell r="A1754" t="str">
            <v>REGISTRADOR DE BIENES Y MATERIAS IV</v>
          </cell>
        </row>
        <row r="1755">
          <cell r="A1755" t="str">
            <v>REGISTRADOR DE BIENES Y MATERIAS V</v>
          </cell>
        </row>
        <row r="1756">
          <cell r="A1756" t="str">
            <v>REGISTRADOR DE MUSEO</v>
          </cell>
        </row>
        <row r="1757">
          <cell r="A1757" t="str">
            <v>RESTAURADOR I</v>
          </cell>
        </row>
        <row r="1758">
          <cell r="A1758" t="str">
            <v>RESTAURADOR II</v>
          </cell>
        </row>
        <row r="1759">
          <cell r="A1759" t="str">
            <v>RESTAURADOR III</v>
          </cell>
        </row>
        <row r="1760">
          <cell r="A1760" t="str">
            <v>RESTAURADOR JEFE</v>
          </cell>
        </row>
        <row r="1761">
          <cell r="A1761" t="str">
            <v>REVISOR DE CONTRALORIA I</v>
          </cell>
        </row>
        <row r="1762">
          <cell r="A1762" t="str">
            <v>REVISOR DE CONTRALORIA II</v>
          </cell>
        </row>
        <row r="1763">
          <cell r="A1763" t="str">
            <v>REVISOR DE CONTRALORIA III</v>
          </cell>
        </row>
        <row r="1764">
          <cell r="A1764" t="str">
            <v>REVISOR DE CONTRALORIA IV</v>
          </cell>
        </row>
        <row r="1765">
          <cell r="A1765" t="str">
            <v>REVISOR DE CONTRALORIA V</v>
          </cell>
        </row>
        <row r="1766">
          <cell r="A1766" t="str">
            <v>SARGENTO 1RA</v>
          </cell>
        </row>
        <row r="1767">
          <cell r="A1767" t="str">
            <v>SARGENTO 1RO (BOMBERO)</v>
          </cell>
        </row>
        <row r="1768">
          <cell r="A1768" t="str">
            <v>SARGENTO 2DA</v>
          </cell>
        </row>
        <row r="1769">
          <cell r="A1769" t="str">
            <v>SARGENTO 2DO (BOMBERO)</v>
          </cell>
        </row>
        <row r="1770">
          <cell r="A1770" t="str">
            <v>SARGENTO AYUDANTE (BOMBERO)</v>
          </cell>
        </row>
        <row r="1771">
          <cell r="A1771" t="str">
            <v>SARGENTO MAYOR</v>
          </cell>
        </row>
        <row r="1772">
          <cell r="A1772" t="str">
            <v>SAXO ALTO 1</v>
          </cell>
        </row>
        <row r="1773">
          <cell r="A1773" t="str">
            <v>SAXO ALTO 2</v>
          </cell>
        </row>
        <row r="1774">
          <cell r="A1774" t="str">
            <v>SAXO TENOR</v>
          </cell>
        </row>
        <row r="1775">
          <cell r="A1775" t="str">
            <v>SAXO-BARITONO</v>
          </cell>
        </row>
        <row r="1776">
          <cell r="A1776" t="str">
            <v>SECRETARIA EJECUTIVA [SUB DIRECTORA]</v>
          </cell>
        </row>
        <row r="1777">
          <cell r="A1777" t="str">
            <v>SECRETARIA GRAL. ENCARGADA</v>
          </cell>
        </row>
        <row r="1778">
          <cell r="A1778" t="str">
            <v>SECRETARIO (A) PRIVADO (A)</v>
          </cell>
        </row>
        <row r="1779">
          <cell r="A1779" t="str">
            <v>SECRETARIO BILINGUE I</v>
          </cell>
        </row>
        <row r="1780">
          <cell r="A1780" t="str">
            <v>SECRETARIO BILINGUE II</v>
          </cell>
        </row>
        <row r="1781">
          <cell r="A1781" t="str">
            <v>SECRETARIO DE DESPACHO</v>
          </cell>
        </row>
        <row r="1782">
          <cell r="A1782" t="str">
            <v>SECRETARIO EJECUTIVO DEL COMITE SUPERIOR DEL G.E.P.D.T</v>
          </cell>
        </row>
        <row r="1783">
          <cell r="A1783" t="str">
            <v>SECRETARIO EJECUTIVO I</v>
          </cell>
        </row>
        <row r="1784">
          <cell r="A1784" t="str">
            <v>SECRETARIO EJECUTIVO II</v>
          </cell>
        </row>
        <row r="1785">
          <cell r="A1785" t="str">
            <v>SECRETARIO EJECUTIVO III</v>
          </cell>
        </row>
        <row r="1786">
          <cell r="A1786" t="str">
            <v>SECRETARIO GRAL .DE GOBIERNO</v>
          </cell>
        </row>
        <row r="1787">
          <cell r="A1787" t="str">
            <v>SECRETARIO I</v>
          </cell>
        </row>
        <row r="1788">
          <cell r="A1788" t="str">
            <v>SECRETARIO II</v>
          </cell>
        </row>
        <row r="1789">
          <cell r="A1789" t="str">
            <v>SECRETARIO III</v>
          </cell>
        </row>
        <row r="1790">
          <cell r="A1790" t="str">
            <v>SECRETARIO(A) DE DESPACHO</v>
          </cell>
        </row>
        <row r="1791">
          <cell r="A1791" t="str">
            <v>SIN CARGO</v>
          </cell>
        </row>
        <row r="1792">
          <cell r="A1792" t="str">
            <v>SOCIOLOG JEFE</v>
          </cell>
        </row>
        <row r="1793">
          <cell r="A1793" t="str">
            <v>SOCIOLOGO I</v>
          </cell>
        </row>
        <row r="1794">
          <cell r="A1794" t="str">
            <v>SOCIOLOGO II</v>
          </cell>
        </row>
        <row r="1795">
          <cell r="A1795" t="str">
            <v>SOCIOLOGO III</v>
          </cell>
        </row>
        <row r="1796">
          <cell r="A1796" t="str">
            <v>SOLISTA</v>
          </cell>
        </row>
        <row r="1797">
          <cell r="A1797" t="str">
            <v>SOPLADOR DE VIDRIO I</v>
          </cell>
        </row>
        <row r="1798">
          <cell r="A1798" t="str">
            <v>SOPLADOR DE VIDRIO II</v>
          </cell>
        </row>
        <row r="1799">
          <cell r="A1799" t="str">
            <v>SOPLADOR DE VIDRIO JEFE</v>
          </cell>
        </row>
        <row r="1800">
          <cell r="A1800" t="str">
            <v>SUB COMISARIO</v>
          </cell>
        </row>
        <row r="1801">
          <cell r="A1801" t="str">
            <v>SUB DIRECTOR DE ORQUESTA</v>
          </cell>
        </row>
        <row r="1802">
          <cell r="A1802" t="str">
            <v>SUB DIRECTOR N.G.</v>
          </cell>
        </row>
        <row r="1803">
          <cell r="A1803" t="str">
            <v>SUB DIRECTOR VI 139</v>
          </cell>
        </row>
        <row r="1804">
          <cell r="A1804" t="str">
            <v>SUB DIRECTOR Y PROFESOR DE MANUALIDADES</v>
          </cell>
        </row>
        <row r="1805">
          <cell r="A1805" t="str">
            <v>SUB DIRECTORA (36 HORAS) Y DIRECTORA (20 HORAS)</v>
          </cell>
        </row>
        <row r="1806">
          <cell r="A1806" t="str">
            <v>SUB INSPECTOR</v>
          </cell>
        </row>
        <row r="1807">
          <cell r="A1807" t="str">
            <v>SUB INSPECTOR GENERAL DE HACIENDA</v>
          </cell>
        </row>
        <row r="1808">
          <cell r="A1808" t="str">
            <v>SUBDIR. (36 HORAS) PROF. DE PIANO Y KINDER MUSICAL (26 HORAS)</v>
          </cell>
        </row>
        <row r="1809">
          <cell r="A1809" t="str">
            <v>SUB-DIRECTOR</v>
          </cell>
        </row>
        <row r="1810">
          <cell r="A1810" t="str">
            <v>SUB-DIRECTOR (35 HORAS)  NG Y CLARINETE</v>
          </cell>
        </row>
        <row r="1811">
          <cell r="A1811" t="str">
            <v>SUB-DIRECTOR Y MAESTRO TCVDNMA</v>
          </cell>
        </row>
        <row r="1812">
          <cell r="A1812" t="str">
            <v>SUBTENIENTE (BOMBERO)</v>
          </cell>
        </row>
        <row r="1813">
          <cell r="A1813" t="str">
            <v>SUPERVISOR</v>
          </cell>
        </row>
        <row r="1814">
          <cell r="A1814" t="str">
            <v>SUPERVISOR (GRADO 0)</v>
          </cell>
        </row>
        <row r="1815">
          <cell r="A1815" t="str">
            <v>SUPERVISOR (GRADO 1)</v>
          </cell>
        </row>
        <row r="1816">
          <cell r="A1816" t="str">
            <v>SUPERVISOR (GRADO 2)</v>
          </cell>
        </row>
        <row r="1817">
          <cell r="A1817" t="str">
            <v>SUPERVISOR AGREGADO</v>
          </cell>
        </row>
        <row r="1818">
          <cell r="A1818" t="str">
            <v>SUPERVISOR AGREGADO (GRADO 0)</v>
          </cell>
        </row>
        <row r="1819">
          <cell r="A1819" t="str">
            <v>SUPERVISOR AGREGADO (GRADO 1)</v>
          </cell>
        </row>
        <row r="1820">
          <cell r="A1820" t="str">
            <v>SUPERVISOR AGREGADO (GRADO 2)</v>
          </cell>
        </row>
        <row r="1821">
          <cell r="A1821" t="str">
            <v>SUPERVISOR ALFABETIZACION Y EDUC BAS III</v>
          </cell>
        </row>
        <row r="1822">
          <cell r="A1822" t="str">
            <v>SUPERVISOR ALFABETIZACION Y EDUC BAS. I</v>
          </cell>
        </row>
        <row r="1823">
          <cell r="A1823" t="str">
            <v>SUPERVISOR ALFABETIZACION Y EDUC.BAS II</v>
          </cell>
        </row>
        <row r="1824">
          <cell r="A1824" t="str">
            <v>SUPERVISOR AUTOGRAFISTA</v>
          </cell>
        </row>
        <row r="1825">
          <cell r="A1825" t="str">
            <v>SUPERVISOR DE ALMACEN</v>
          </cell>
        </row>
        <row r="1826">
          <cell r="A1826" t="str">
            <v>SUPERVISOR DE APRENDIZAJE I</v>
          </cell>
        </row>
        <row r="1827">
          <cell r="A1827" t="str">
            <v>SUPERVISOR DE APRENDIZAJE II</v>
          </cell>
        </row>
        <row r="1828">
          <cell r="A1828" t="str">
            <v>SUPERVISOR DE APRENDIZAJE III</v>
          </cell>
        </row>
        <row r="1829">
          <cell r="A1829" t="str">
            <v>SUPERVISOR DE APRENDIZAJE IV</v>
          </cell>
        </row>
        <row r="1830">
          <cell r="A1830" t="str">
            <v>SUPERVISOR DE ASTILLEROS I</v>
          </cell>
        </row>
        <row r="1831">
          <cell r="A1831" t="str">
            <v>SUPERVISOR DE ASTILLEROS II</v>
          </cell>
        </row>
        <row r="1832">
          <cell r="A1832" t="str">
            <v>SUPERVISOR DE CAPORALES</v>
          </cell>
        </row>
        <row r="1833">
          <cell r="A1833" t="str">
            <v>SUPERVISOR DE COLECTORES</v>
          </cell>
        </row>
        <row r="1834">
          <cell r="A1834" t="str">
            <v>SUPERVISOR DE CONSERVACION AUTOM. I</v>
          </cell>
        </row>
        <row r="1835">
          <cell r="A1835" t="str">
            <v>SUPERVISOR DE CONSERVACION AUTOMOTORA II</v>
          </cell>
        </row>
        <row r="1836">
          <cell r="A1836" t="str">
            <v>SUPERVISOR DE CREDITOS AGROPECUARIO II</v>
          </cell>
        </row>
        <row r="1837">
          <cell r="A1837" t="str">
            <v>SUPERVISOR DE CREDITOS AGROPECUARIOS I</v>
          </cell>
        </row>
        <row r="1838">
          <cell r="A1838" t="str">
            <v>SUPERVISOR DE CREDITOS AGROPECUARIOS III</v>
          </cell>
        </row>
        <row r="1839">
          <cell r="A1839" t="str">
            <v>SUPERVISOR DE EQUIPOS DE DRAGADO</v>
          </cell>
        </row>
        <row r="1840">
          <cell r="A1840" t="str">
            <v>SUPERVISOR DE EXTENSION I</v>
          </cell>
        </row>
        <row r="1841">
          <cell r="A1841" t="str">
            <v>SUPERVISOR DE EXTENSION II</v>
          </cell>
        </row>
        <row r="1842">
          <cell r="A1842" t="str">
            <v>SUPERVISOR DE INSPECTORES DE INMUEBLES</v>
          </cell>
        </row>
        <row r="1843">
          <cell r="A1843" t="str">
            <v>SUPERVISOR DE INSTRUCCION A DISTANCIA I</v>
          </cell>
        </row>
        <row r="1844">
          <cell r="A1844" t="str">
            <v>SUPERVISOR DE INSTRUCCION A DISTANCIA II</v>
          </cell>
        </row>
        <row r="1845">
          <cell r="A1845" t="str">
            <v>SUPERVISOR DE INSTRUCCION A DISTANCIA III</v>
          </cell>
        </row>
        <row r="1846">
          <cell r="A1846" t="str">
            <v>SUPERVISOR DE MANTENIMIENTO DE PARQUES I</v>
          </cell>
        </row>
        <row r="1847">
          <cell r="A1847" t="str">
            <v>SUPERVISOR DE MANTENIMIENTO DE PARQUES II</v>
          </cell>
        </row>
        <row r="1848">
          <cell r="A1848" t="str">
            <v>SUPERVISOR DE MANTENIMIENTO DE PARQUES III</v>
          </cell>
        </row>
        <row r="1849">
          <cell r="A1849" t="str">
            <v>SUPERVISOR DE MANTENIMIENTO DE PARQUES IV</v>
          </cell>
        </row>
        <row r="1850">
          <cell r="A1850" t="str">
            <v>SUPERVISOR DE MECANICOS AUTOMOTORES I</v>
          </cell>
        </row>
        <row r="1851">
          <cell r="A1851" t="str">
            <v>SUPERVISOR DE MECANICOS AUTOMOTORES II</v>
          </cell>
        </row>
        <row r="1852">
          <cell r="A1852" t="str">
            <v>SUPERVISOR DE OBRAS PUBLICAS</v>
          </cell>
        </row>
        <row r="1853">
          <cell r="A1853" t="str">
            <v>SUPERVISOR DE OBRAS SANITARIAS</v>
          </cell>
        </row>
        <row r="1854">
          <cell r="A1854" t="str">
            <v>SUPERVISOR DE PRODUCCION I</v>
          </cell>
        </row>
        <row r="1855">
          <cell r="A1855" t="str">
            <v>SUPERVISOR DE PRODUCCION II</v>
          </cell>
        </row>
        <row r="1856">
          <cell r="A1856" t="str">
            <v>SUPERVISOR DE PROGRAMACION</v>
          </cell>
        </row>
        <row r="1857">
          <cell r="A1857" t="str">
            <v>SUPERVISOR DE REPRODUCCION II</v>
          </cell>
        </row>
        <row r="1858">
          <cell r="A1858" t="str">
            <v>SUPERVISOR DE SERVICIOS GENERAL IV</v>
          </cell>
        </row>
        <row r="1859">
          <cell r="A1859" t="str">
            <v>SUPERVISOR DE SERVICIOS GENERALES I</v>
          </cell>
        </row>
        <row r="1860">
          <cell r="A1860" t="str">
            <v>SUPERVISOR DE SERVICIOS GENERALES II</v>
          </cell>
        </row>
        <row r="1861">
          <cell r="A1861" t="str">
            <v>SUPERVISOR DE SERVICIOS GENERALES III</v>
          </cell>
        </row>
        <row r="1862">
          <cell r="A1862" t="str">
            <v>SUPERVISOR DE TALLER DE IMPRENTA I</v>
          </cell>
        </row>
        <row r="1863">
          <cell r="A1863" t="str">
            <v>SUPERVISOR DE TALLER DE IMPRENTA II</v>
          </cell>
        </row>
        <row r="1864">
          <cell r="A1864" t="str">
            <v>SUPERVISOR DE TALLER DE IMPRENTA III</v>
          </cell>
        </row>
        <row r="1865">
          <cell r="A1865" t="str">
            <v>SUPERVISOR DE TELEFONISTA</v>
          </cell>
        </row>
        <row r="1866">
          <cell r="A1866" t="str">
            <v>SUPERVISOR DOCENTE</v>
          </cell>
        </row>
        <row r="1867">
          <cell r="A1867" t="str">
            <v>SUPERVISOR DOCENTE JEFE</v>
          </cell>
        </row>
        <row r="1868">
          <cell r="A1868" t="str">
            <v>SUPERVISOR FISCAL DE COTIZACIONES</v>
          </cell>
        </row>
        <row r="1869">
          <cell r="A1869" t="str">
            <v>SUPERVISOR FISCAL JEFE</v>
          </cell>
        </row>
        <row r="1870">
          <cell r="A1870" t="str">
            <v>SUPERVISOR I</v>
          </cell>
        </row>
        <row r="1871">
          <cell r="A1871" t="str">
            <v>SUPERVISOR I (171)</v>
          </cell>
        </row>
        <row r="1872">
          <cell r="A1872" t="str">
            <v>SUPERVISOR II Y MAESTRO PH GR NOCTURNO</v>
          </cell>
        </row>
        <row r="1873">
          <cell r="A1873" t="str">
            <v>SUPERVISOR JEFE</v>
          </cell>
        </row>
        <row r="1874">
          <cell r="A1874" t="str">
            <v>SUPERVISOR JEFE (GRADO 0)</v>
          </cell>
        </row>
        <row r="1875">
          <cell r="A1875" t="str">
            <v>SUPERVISOR JEFE (GRADO 1)</v>
          </cell>
        </row>
        <row r="1876">
          <cell r="A1876" t="str">
            <v>SUPERVISOR JEFE (GRADO 2)</v>
          </cell>
        </row>
        <row r="1877">
          <cell r="A1877" t="str">
            <v>SUPERVISOR OPERADOR EQUIPOS DE COMPUTACION</v>
          </cell>
        </row>
        <row r="1878">
          <cell r="A1878" t="str">
            <v>SUPERVISORA III</v>
          </cell>
        </row>
        <row r="1879">
          <cell r="A1879" t="str">
            <v>TAXIDERMISTA</v>
          </cell>
        </row>
        <row r="1880">
          <cell r="A1880" t="str">
            <v>TEC EN RADIOCOMUNICACIONES AERON. JEFE</v>
          </cell>
        </row>
        <row r="1881">
          <cell r="A1881" t="str">
            <v>TEC. EN DOTACION DE EQUIPOS DE HOSPITAL</v>
          </cell>
        </row>
        <row r="1882">
          <cell r="A1882" t="str">
            <v>TEC. EN FABRICACION DE CUCHILLAS DE DIAM</v>
          </cell>
        </row>
        <row r="1883">
          <cell r="A1883" t="str">
            <v>TEC. EN RADIOCOMUNICACIONES AER.JEFE II</v>
          </cell>
        </row>
        <row r="1884">
          <cell r="A1884" t="str">
            <v>TEC. EN RADIOCOMUNICACIONES AERON. I</v>
          </cell>
        </row>
        <row r="1885">
          <cell r="A1885" t="str">
            <v>TEC. EN RADIOCOMUNICACIONES AERONA. II</v>
          </cell>
        </row>
        <row r="1886">
          <cell r="A1886" t="str">
            <v>TEC. EN RADIOCOMUNICACIONES AERONAU. IV</v>
          </cell>
        </row>
        <row r="1887">
          <cell r="A1887" t="str">
            <v>TEC. EN RADIOCOMUNICACIONES AERONAU. V</v>
          </cell>
        </row>
        <row r="1888">
          <cell r="A1888" t="str">
            <v>TEC. EN RADIOCOMUNICACIONES AERONAU. VI</v>
          </cell>
        </row>
        <row r="1889">
          <cell r="A1889" t="str">
            <v>TEC. EN RADIOCOMUNICAICONES AERONA. III</v>
          </cell>
        </row>
        <row r="1890">
          <cell r="A1890" t="str">
            <v>TEC. FABRICACION CUCHILLA DIAMANTE IV</v>
          </cell>
        </row>
        <row r="1891">
          <cell r="A1891" t="str">
            <v>TEC. FABRICACION CUCHILLAS DIAMANTES II</v>
          </cell>
        </row>
        <row r="1892">
          <cell r="A1892" t="str">
            <v>TEC. FABRICACION CUCHILLAS DIAMANTES III</v>
          </cell>
        </row>
        <row r="1893">
          <cell r="A1893" t="str">
            <v>TECNICO AERNAUTICO II</v>
          </cell>
        </row>
        <row r="1894">
          <cell r="A1894" t="str">
            <v>TECNICO AERONAUTICO I</v>
          </cell>
        </row>
        <row r="1895">
          <cell r="A1895" t="str">
            <v>TECNICO AERONAUTICO JEFE</v>
          </cell>
        </row>
        <row r="1896">
          <cell r="A1896" t="str">
            <v>TECNICO AGROPECUARIO I</v>
          </cell>
        </row>
        <row r="1897">
          <cell r="A1897" t="str">
            <v>TECNICO AGROPECUARIO II</v>
          </cell>
        </row>
        <row r="1898">
          <cell r="A1898" t="str">
            <v>TECNICO AGROPECUARIO III</v>
          </cell>
        </row>
        <row r="1899">
          <cell r="A1899" t="str">
            <v>TECNICO AGROPECUARIO IV</v>
          </cell>
        </row>
        <row r="1900">
          <cell r="A1900" t="str">
            <v>TECNICO AGROPECUARIO JEFE</v>
          </cell>
        </row>
        <row r="1901">
          <cell r="A1901" t="str">
            <v>TECNICO ARANCELARIO I</v>
          </cell>
        </row>
        <row r="1902">
          <cell r="A1902" t="str">
            <v>TECNICO ARANCELARIO JEFE</v>
          </cell>
        </row>
        <row r="1903">
          <cell r="A1903" t="str">
            <v>TECNICO ARANGELARIO II</v>
          </cell>
        </row>
        <row r="1904">
          <cell r="A1904" t="str">
            <v>TECNICO DE ASTILLEROS</v>
          </cell>
        </row>
        <row r="1905">
          <cell r="A1905" t="str">
            <v>TECNICO DE BALIZAMIENTO</v>
          </cell>
        </row>
        <row r="1906">
          <cell r="A1906" t="str">
            <v>TECNICO DE BALIZAMIENTO JEFE</v>
          </cell>
        </row>
        <row r="1907">
          <cell r="A1907" t="str">
            <v>TECNICO DE EQUIPOS MEDICOS I</v>
          </cell>
        </row>
        <row r="1908">
          <cell r="A1908" t="str">
            <v>TECNICO DE EQUIPOS MEDICOS II</v>
          </cell>
        </row>
        <row r="1909">
          <cell r="A1909" t="str">
            <v>TECNICO DE EQUIPOS MEDICOS III</v>
          </cell>
        </row>
        <row r="1910">
          <cell r="A1910" t="str">
            <v>TECNICO DE IDENTIDICACION I</v>
          </cell>
        </row>
        <row r="1911">
          <cell r="A1911" t="str">
            <v>TECNICO DE IDENTIFICACION II</v>
          </cell>
        </row>
        <row r="1912">
          <cell r="A1912" t="str">
            <v>TECNICO DE IDENTIFICACION III</v>
          </cell>
        </row>
        <row r="1913">
          <cell r="A1913" t="str">
            <v>TECNICO DE REGISTRO Y EST. DE SALUD I</v>
          </cell>
        </row>
        <row r="1914">
          <cell r="A1914" t="str">
            <v>TECNICO DE REGISTRO Y EST. DE SALUD II</v>
          </cell>
        </row>
        <row r="1915">
          <cell r="A1915" t="str">
            <v>TECNICO DE REGISTRO Y ESTAD DE SALUD III</v>
          </cell>
        </row>
        <row r="1916">
          <cell r="A1916" t="str">
            <v>TECNICO DE REGISTRO Y ESTAD DE SALUD IV</v>
          </cell>
        </row>
        <row r="1917">
          <cell r="A1917" t="str">
            <v>TECNICO DE REPARACION Y MANTENIMIENTO I</v>
          </cell>
        </row>
        <row r="1918">
          <cell r="A1918" t="str">
            <v>TECNICO DE REPARACION Y MANTENIMIENTO II</v>
          </cell>
        </row>
        <row r="1919">
          <cell r="A1919" t="str">
            <v>TECNICO DE REPARACION Y MANTENIMIENTO III</v>
          </cell>
        </row>
        <row r="1920">
          <cell r="A1920" t="str">
            <v>TECNICO EN AGROALIMENTARIA</v>
          </cell>
        </row>
        <row r="1921">
          <cell r="A1921" t="str">
            <v>TECNICO EN DRAGADO I</v>
          </cell>
        </row>
        <row r="1922">
          <cell r="A1922" t="str">
            <v>TECNICO EN DRAGADO II</v>
          </cell>
        </row>
        <row r="1923">
          <cell r="A1923" t="str">
            <v>TECNICO EN DRAGADO III</v>
          </cell>
        </row>
        <row r="1924">
          <cell r="A1924" t="str">
            <v>TECNICO EN GEOLOGIA Y MINAS I</v>
          </cell>
        </row>
        <row r="1925">
          <cell r="A1925" t="str">
            <v>TECNICO EN GEOLOGIA Y MINAS II</v>
          </cell>
        </row>
        <row r="1926">
          <cell r="A1926" t="str">
            <v>TECNICO EN GEOLOGIA Y MINAS III</v>
          </cell>
        </row>
        <row r="1927">
          <cell r="A1927" t="str">
            <v>TECNICO EN GERONTOLOGIA</v>
          </cell>
        </row>
        <row r="1928">
          <cell r="A1928" t="str">
            <v>TECNICO EN INFORMACION AERONAUTICA I</v>
          </cell>
        </row>
        <row r="1929">
          <cell r="A1929" t="str">
            <v>TECNICO EN INFORMACION AERONAUTICA II</v>
          </cell>
        </row>
        <row r="1930">
          <cell r="A1930" t="str">
            <v>TECNICO EN INFORMACION AERONAUTICA III</v>
          </cell>
        </row>
        <row r="1931">
          <cell r="A1931" t="str">
            <v>TECNICO EN INFORMACION AERONAUTICA IV</v>
          </cell>
        </row>
        <row r="1932">
          <cell r="A1932" t="str">
            <v>TECNICO EN INFORMACION AERONAUTICA JEFE</v>
          </cell>
        </row>
        <row r="1933">
          <cell r="A1933" t="str">
            <v>TECNICO EN INFORMACION AERONAUTICA V</v>
          </cell>
        </row>
        <row r="1934">
          <cell r="A1934" t="str">
            <v>TECNICO EN METROLOGIA I</v>
          </cell>
        </row>
        <row r="1935">
          <cell r="A1935" t="str">
            <v>TECNICO EN METROLOGIA II</v>
          </cell>
        </row>
        <row r="1936">
          <cell r="A1936" t="str">
            <v>TECNICO EN METROLOGIA III</v>
          </cell>
        </row>
        <row r="1937">
          <cell r="A1937" t="str">
            <v>TECNICO EN ORTEIS Y/O PROTESIS</v>
          </cell>
        </row>
        <row r="1938">
          <cell r="A1938" t="str">
            <v>TECNICO EN PETROLEO I</v>
          </cell>
        </row>
        <row r="1939">
          <cell r="A1939" t="str">
            <v>TECNICO EN PETROLEO II</v>
          </cell>
        </row>
        <row r="1940">
          <cell r="A1940" t="str">
            <v>TECNICO EN PETROLEO III</v>
          </cell>
        </row>
        <row r="1941">
          <cell r="A1941" t="str">
            <v>TECNICO EN TELECOMUNICACIONES I</v>
          </cell>
        </row>
        <row r="1942">
          <cell r="A1942" t="str">
            <v>TECNICO EN TELECOMUNICACIONES II</v>
          </cell>
        </row>
        <row r="1943">
          <cell r="A1943" t="str">
            <v>TECNICO EN TELECOMUNICACIONES III</v>
          </cell>
        </row>
        <row r="1944">
          <cell r="A1944" t="str">
            <v>TECNICO EN TELECOMUNICACIONES IV</v>
          </cell>
        </row>
        <row r="1945">
          <cell r="A1945" t="str">
            <v>TECNICO EN TELECOMUNICACIONES JEFE I</v>
          </cell>
        </row>
        <row r="1946">
          <cell r="A1946" t="str">
            <v>TECNICO EN TELECOMUNICACIONES JEFE II</v>
          </cell>
        </row>
        <row r="1947">
          <cell r="A1947" t="str">
            <v>TECNICO EN TELECOMUNICACIONES JEFE III</v>
          </cell>
        </row>
        <row r="1948">
          <cell r="A1948" t="str">
            <v>TECNICO EN TELECOMUNICACIONES V</v>
          </cell>
        </row>
        <row r="1949">
          <cell r="A1949" t="str">
            <v>TECNICO EN TELECOMUNICACIONES VI</v>
          </cell>
        </row>
        <row r="1950">
          <cell r="A1950" t="str">
            <v>TECNICO HISTOLOGO</v>
          </cell>
        </row>
        <row r="1951">
          <cell r="A1951" t="str">
            <v>TECNICO NORMALIZADOR I</v>
          </cell>
        </row>
        <row r="1952">
          <cell r="A1952" t="str">
            <v>TECNICO NORMALIZADOR II</v>
          </cell>
        </row>
        <row r="1953">
          <cell r="A1953" t="str">
            <v>TECNICO NORMALIZADOR III</v>
          </cell>
        </row>
        <row r="1954">
          <cell r="A1954" t="str">
            <v>TECNICO PORTUARIO I</v>
          </cell>
        </row>
        <row r="1955">
          <cell r="A1955" t="str">
            <v>TECNICO PORTUARIO II</v>
          </cell>
        </row>
        <row r="1956">
          <cell r="A1956" t="str">
            <v>TECNICO PORTUARIO JEFE</v>
          </cell>
        </row>
        <row r="1957">
          <cell r="A1957" t="str">
            <v>TECNICO QUIMICO I</v>
          </cell>
        </row>
        <row r="1958">
          <cell r="A1958" t="str">
            <v>TECNICO QUIMICO II</v>
          </cell>
        </row>
        <row r="1959">
          <cell r="A1959" t="str">
            <v>TECNICO QUIMICO III</v>
          </cell>
        </row>
        <row r="1960">
          <cell r="A1960" t="str">
            <v>TECNICO QUIMICO IV</v>
          </cell>
        </row>
        <row r="1961">
          <cell r="A1961" t="str">
            <v>TECNICO RADIOLOGO I</v>
          </cell>
        </row>
        <row r="1962">
          <cell r="A1962" t="str">
            <v>TECNICO RADIOLOGO II</v>
          </cell>
        </row>
        <row r="1963">
          <cell r="A1963" t="str">
            <v>TECNICO RADIOLOGO III</v>
          </cell>
        </row>
        <row r="1964">
          <cell r="A1964" t="str">
            <v>TECNICO SUPERIOR AGRICULTOR</v>
          </cell>
        </row>
        <row r="1965">
          <cell r="A1965" t="str">
            <v>TECNICO SUPERIOR EN TRABAJO SOCIAL I</v>
          </cell>
        </row>
        <row r="1966">
          <cell r="A1966" t="str">
            <v>TECNICO SUPERIOR EN TRABAJO SOCIAL II</v>
          </cell>
        </row>
        <row r="1967">
          <cell r="A1967" t="str">
            <v>TECNICO SUPERIOR III 77 TID</v>
          </cell>
        </row>
        <row r="1968">
          <cell r="A1968" t="str">
            <v>TECNICO SUPERIOR PESQUERO</v>
          </cell>
        </row>
        <row r="1969">
          <cell r="A1969" t="str">
            <v>TECNICO VALORADOR I</v>
          </cell>
        </row>
        <row r="1970">
          <cell r="A1970" t="str">
            <v>TECNICO VALORADOR II</v>
          </cell>
        </row>
        <row r="1971">
          <cell r="A1971" t="str">
            <v>TECNICO VALORADOR III</v>
          </cell>
        </row>
        <row r="1972">
          <cell r="A1972" t="str">
            <v>TECNICO VALORADOR JEFE</v>
          </cell>
        </row>
        <row r="1973">
          <cell r="A1973" t="str">
            <v>TELEFONISTA</v>
          </cell>
        </row>
        <row r="1974">
          <cell r="A1974" t="str">
            <v>TENIENTE (BOMBERO)</v>
          </cell>
        </row>
        <row r="1975">
          <cell r="A1975" t="str">
            <v>TENIENTE CORONEL (BOMBERO)</v>
          </cell>
        </row>
        <row r="1976">
          <cell r="A1976" t="str">
            <v>TERAPEUTA OCUPACIONAL I</v>
          </cell>
        </row>
        <row r="1977">
          <cell r="A1977" t="str">
            <v>TERAPEUTA OCUPACIONAL II</v>
          </cell>
        </row>
        <row r="1978">
          <cell r="A1978" t="str">
            <v>TERAPEUTA OCUPACIONAL III</v>
          </cell>
        </row>
        <row r="1979">
          <cell r="A1979" t="str">
            <v>TERAPEUTA OCUPACIONAL IV</v>
          </cell>
        </row>
        <row r="1980">
          <cell r="A1980" t="str">
            <v>TERAPISTA DE LENGUAJE I</v>
          </cell>
        </row>
        <row r="1981">
          <cell r="A1981" t="str">
            <v>TERAPISTA DE LENGUAJE II</v>
          </cell>
        </row>
        <row r="1982">
          <cell r="A1982" t="str">
            <v>TESORERO(A) GENERAL DEL ESTADO</v>
          </cell>
        </row>
        <row r="1983">
          <cell r="A1983" t="str">
            <v>TIMBAL 1</v>
          </cell>
        </row>
        <row r="1984">
          <cell r="A1984" t="str">
            <v>TOPOGRAFO CARTOGRAFICO I</v>
          </cell>
        </row>
        <row r="1985">
          <cell r="A1985" t="str">
            <v>TOPOGRAFO CARTOGRAFICO II</v>
          </cell>
        </row>
        <row r="1986">
          <cell r="A1986" t="str">
            <v>TOPOGRAFO CARTOGRAFICO JEFE</v>
          </cell>
        </row>
        <row r="1987">
          <cell r="A1987" t="str">
            <v>TOPOGRAFO I</v>
          </cell>
        </row>
        <row r="1988">
          <cell r="A1988" t="str">
            <v>TOPOGRAFO II</v>
          </cell>
        </row>
        <row r="1989">
          <cell r="A1989" t="str">
            <v>TRABAJADOR SOCIAL I</v>
          </cell>
        </row>
        <row r="1990">
          <cell r="A1990" t="str">
            <v>TRABAJADOR SOCIAL II</v>
          </cell>
        </row>
        <row r="1991">
          <cell r="A1991" t="str">
            <v>TRABAJADOR SOCIAL III</v>
          </cell>
        </row>
        <row r="1992">
          <cell r="A1992" t="str">
            <v>TRABAJADOR SOCIAL IV</v>
          </cell>
        </row>
        <row r="1993">
          <cell r="A1993" t="str">
            <v>TRADUCTOR I</v>
          </cell>
        </row>
        <row r="1994">
          <cell r="A1994" t="str">
            <v>TRADUCTOR II</v>
          </cell>
        </row>
        <row r="1995">
          <cell r="A1995" t="str">
            <v>TRADUCTOR III</v>
          </cell>
        </row>
        <row r="1996">
          <cell r="A1996" t="str">
            <v>TRADUCTOR MULTILINGUE II</v>
          </cell>
        </row>
        <row r="1997">
          <cell r="A1997" t="str">
            <v>TRADUCTOR MULTILUNGUE I</v>
          </cell>
        </row>
        <row r="1998">
          <cell r="A1998" t="str">
            <v>TRAMITADOR DE ASUNTOS DE ADUANA I</v>
          </cell>
        </row>
        <row r="1999">
          <cell r="A1999" t="str">
            <v>TRAMITADOR DE ASUNTOS DE ADUANA II</v>
          </cell>
        </row>
        <row r="2000">
          <cell r="A2000" t="str">
            <v>TRAMITADOR DE ASUNTOS DE ADUANA JEFE</v>
          </cell>
        </row>
        <row r="2001">
          <cell r="A2001" t="str">
            <v>TROMBON 1</v>
          </cell>
        </row>
        <row r="2002">
          <cell r="A2002" t="str">
            <v>TROMBON 2</v>
          </cell>
        </row>
        <row r="2003">
          <cell r="A2003" t="str">
            <v>TROMBON 3</v>
          </cell>
        </row>
        <row r="2004">
          <cell r="A2004" t="str">
            <v>TROMPETA 1</v>
          </cell>
        </row>
        <row r="2005">
          <cell r="A2005" t="str">
            <v>TROMPETA 2</v>
          </cell>
        </row>
        <row r="2006">
          <cell r="A2006" t="str">
            <v>TROMPETA 3</v>
          </cell>
        </row>
        <row r="2007">
          <cell r="A2007" t="str">
            <v>TROMPETA SOLISTA</v>
          </cell>
        </row>
        <row r="2008">
          <cell r="A2008" t="str">
            <v>TUBA 1</v>
          </cell>
        </row>
        <row r="2009">
          <cell r="A2009" t="str">
            <v>TUBA 2</v>
          </cell>
        </row>
        <row r="2010">
          <cell r="A2010" t="str">
            <v>TUTOR FACILITADOR I</v>
          </cell>
        </row>
        <row r="2011">
          <cell r="A2011" t="str">
            <v>TUTOR FACILITADOR II</v>
          </cell>
        </row>
        <row r="2012">
          <cell r="A2012" t="str">
            <v>TUTOR FACILITADOR III</v>
          </cell>
        </row>
        <row r="2013">
          <cell r="A2013" t="str">
            <v>URBANISTA I</v>
          </cell>
        </row>
        <row r="2014">
          <cell r="A2014" t="str">
            <v>URBANISTA II</v>
          </cell>
        </row>
        <row r="2015">
          <cell r="A2015" t="str">
            <v>URBANISTA III</v>
          </cell>
        </row>
        <row r="2016">
          <cell r="A2016" t="str">
            <v>URBANISTA JEFE</v>
          </cell>
        </row>
        <row r="2017">
          <cell r="A2017" t="str">
            <v>VICEPRESIDENTE</v>
          </cell>
        </row>
        <row r="2018">
          <cell r="A2018" t="str">
            <v>VIOLA</v>
          </cell>
        </row>
        <row r="2019">
          <cell r="A2019" t="str">
            <v>VIOLIN</v>
          </cell>
        </row>
        <row r="2020">
          <cell r="A2020" t="str">
            <v>VIOLIN 1</v>
          </cell>
        </row>
        <row r="2021">
          <cell r="A2021" t="str">
            <v>VIOLINCILLO</v>
          </cell>
        </row>
        <row r="2022">
          <cell r="A2022" t="str">
            <v>VIOLONCELLO</v>
          </cell>
        </row>
        <row r="2023">
          <cell r="A2023" t="str">
            <v>VIOLONCHELO</v>
          </cell>
        </row>
        <row r="2024">
          <cell r="A2024" t="str">
            <v>ZOOLOGO I</v>
          </cell>
        </row>
        <row r="2025">
          <cell r="A2025" t="str">
            <v>ZOOLOGO II</v>
          </cell>
        </row>
        <row r="2026">
          <cell r="A2026" t="str">
            <v>ZOOTECNISTA I</v>
          </cell>
        </row>
        <row r="2027">
          <cell r="A2027" t="str">
            <v>ZOOTECNISTA II</v>
          </cell>
        </row>
        <row r="2028">
          <cell r="A2028" t="str">
            <v>ZOOTECNISTA III</v>
          </cell>
        </row>
        <row r="2029">
          <cell r="A2029" t="str">
            <v>ZOOTECNISTA IV</v>
          </cell>
        </row>
        <row r="2030">
          <cell r="A2030" t="str">
            <v>ZOOTECNISTA JEFE</v>
          </cell>
        </row>
        <row r="2031">
          <cell r="A2031" t="str">
            <v>ZOOTECNISTA V</v>
          </cell>
        </row>
        <row r="2032">
          <cell r="A2032">
            <v>0</v>
          </cell>
        </row>
        <row r="2033">
          <cell r="A2033" t="str">
            <v>ACARREADOR</v>
          </cell>
        </row>
        <row r="2034">
          <cell r="A2034" t="str">
            <v>ALBAÑIL</v>
          </cell>
        </row>
        <row r="2035">
          <cell r="A2035" t="str">
            <v>ARMADOR DE PUERTOS</v>
          </cell>
        </row>
        <row r="2036">
          <cell r="A2036" t="str">
            <v>ASCENSORISTA</v>
          </cell>
        </row>
        <row r="2037">
          <cell r="A2037" t="str">
            <v>ASEADOR</v>
          </cell>
        </row>
        <row r="2038">
          <cell r="A2038" t="str">
            <v>ASEADOR AREAS PUBLICAS</v>
          </cell>
        </row>
        <row r="2039">
          <cell r="A2039" t="str">
            <v>ASEADOR DE MATERIALES DE LABORATORIO</v>
          </cell>
        </row>
        <row r="2040">
          <cell r="A2040" t="str">
            <v>AUXILIAR DE AUTOPSIA</v>
          </cell>
        </row>
        <row r="2041">
          <cell r="A2041" t="str">
            <v>AUXILIAR DE CRISTALERIA</v>
          </cell>
        </row>
        <row r="2042">
          <cell r="A2042" t="str">
            <v>AUXILIAR DE ENFERMERIA</v>
          </cell>
        </row>
        <row r="2043">
          <cell r="A2043" t="str">
            <v>AUXILIAR DE FARMACIA</v>
          </cell>
        </row>
        <row r="2044">
          <cell r="A2044" t="str">
            <v>AUXILIAR DE LABORATORIO</v>
          </cell>
        </row>
        <row r="2045">
          <cell r="A2045" t="str">
            <v>AUXILIAR DE MEZCLAS PRODUCTOS FARMACEUTICOS</v>
          </cell>
        </row>
        <row r="2046">
          <cell r="A2046" t="str">
            <v>AUXILIAR DE NUTRICION</v>
          </cell>
        </row>
        <row r="2047">
          <cell r="A2047" t="str">
            <v>AUXILIAR DE ODONTOLOGIA</v>
          </cell>
        </row>
        <row r="2048">
          <cell r="A2048" t="str">
            <v>AUXILIAR DE PRUEBAS PRODUCTOS FARMACEUTICOS</v>
          </cell>
        </row>
        <row r="2049">
          <cell r="A2049" t="str">
            <v>AUXILIAR DE RAYOS X</v>
          </cell>
        </row>
        <row r="2050">
          <cell r="A2050" t="str">
            <v>AUXILIAR DE SERVICIOS DE OFICINA</v>
          </cell>
        </row>
        <row r="2051">
          <cell r="A2051" t="str">
            <v>AUXILIAR DE SERVICIOS DE TREN</v>
          </cell>
        </row>
        <row r="2052">
          <cell r="A2052" t="str">
            <v>AUXILIAR DE TELECOMUNICACIONES</v>
          </cell>
        </row>
        <row r="2053">
          <cell r="A2053" t="str">
            <v>AUXILIAR DE VETERINARIA</v>
          </cell>
        </row>
        <row r="2054">
          <cell r="A2054" t="str">
            <v>AYUDANTE AGROPECUARIO</v>
          </cell>
        </row>
        <row r="2055">
          <cell r="A2055" t="str">
            <v>AYUDANTE BARMAN</v>
          </cell>
        </row>
        <row r="2056">
          <cell r="A2056" t="str">
            <v>AYUDANTE DE ALBAÑIL</v>
          </cell>
        </row>
        <row r="2057">
          <cell r="A2057" t="str">
            <v>AYUDANTE DE ALMACEN</v>
          </cell>
        </row>
        <row r="2058">
          <cell r="A2058" t="str">
            <v>AYUDANTE DE ARTES GRAFICAS</v>
          </cell>
        </row>
        <row r="2059">
          <cell r="A2059" t="str">
            <v>AYUDANTE DE AULA</v>
          </cell>
        </row>
        <row r="2060">
          <cell r="A2060" t="str">
            <v>AYUDANTE DE CARGA</v>
          </cell>
        </row>
        <row r="2061">
          <cell r="A2061" t="str">
            <v>AYUDANTE DE CARPINTERIA</v>
          </cell>
        </row>
        <row r="2062">
          <cell r="A2062" t="str">
            <v>AYUDANTE DE COSTURA</v>
          </cell>
        </row>
        <row r="2063">
          <cell r="A2063" t="str">
            <v>AYUDANTE DE INSTALADOR DE ANTENA</v>
          </cell>
        </row>
        <row r="2064">
          <cell r="A2064" t="str">
            <v>AYUDANTE DE LABORATORIO GEONALITICO</v>
          </cell>
        </row>
        <row r="2065">
          <cell r="A2065" t="str">
            <v>AYUDANTE DE MAQUINARIA</v>
          </cell>
        </row>
        <row r="2066">
          <cell r="A2066" t="str">
            <v>AYUDANTE DE MECANICO</v>
          </cell>
        </row>
        <row r="2067">
          <cell r="A2067" t="str">
            <v>AYUDANTE DE OPERACIONES FERROVIARIAS</v>
          </cell>
        </row>
        <row r="2068">
          <cell r="A2068" t="str">
            <v>AYUDANTE DE PANADEROS Y PASTELERO</v>
          </cell>
        </row>
        <row r="2069">
          <cell r="A2069" t="str">
            <v>AYUDANTE DE SERV. DE PUERTO Y AEROPUERTO</v>
          </cell>
        </row>
        <row r="2070">
          <cell r="A2070" t="str">
            <v>AYUDANTE DE SERVICIOS DE COCINA</v>
          </cell>
        </row>
        <row r="2071">
          <cell r="A2071" t="str">
            <v>AYUDANTE DE SERVICIOS GENERALES</v>
          </cell>
        </row>
        <row r="2072">
          <cell r="A2072" t="str">
            <v>AYUDANTE DE TOPOGRAFIA</v>
          </cell>
        </row>
        <row r="2073">
          <cell r="A2073" t="str">
            <v>AYUDANTE INSPECTOR</v>
          </cell>
        </row>
        <row r="2074">
          <cell r="A2074" t="str">
            <v>AYUDANTE MANTENIMIENTO DE VIAS TERRESTRE</v>
          </cell>
        </row>
        <row r="2075">
          <cell r="A2075" t="str">
            <v>AYUDANTE MANTENIMIENTO VIAS FERROVIARIAS</v>
          </cell>
        </row>
        <row r="2076">
          <cell r="A2076" t="str">
            <v>AYUDANTE POSTAL TELEGRAFICO</v>
          </cell>
        </row>
        <row r="2077">
          <cell r="A2077" t="str">
            <v>BARBERO</v>
          </cell>
        </row>
        <row r="2078">
          <cell r="A2078" t="str">
            <v>BARMAN</v>
          </cell>
        </row>
        <row r="2079">
          <cell r="A2079" t="str">
            <v>BOTONES</v>
          </cell>
        </row>
        <row r="2080">
          <cell r="A2080" t="str">
            <v>BUZO</v>
          </cell>
        </row>
        <row r="2081">
          <cell r="A2081" t="str">
            <v>CAJISTA</v>
          </cell>
        </row>
        <row r="2082">
          <cell r="A2082" t="str">
            <v>CAMARERA</v>
          </cell>
        </row>
        <row r="2083">
          <cell r="A2083" t="str">
            <v>CAMILLERO</v>
          </cell>
        </row>
        <row r="2084">
          <cell r="A2084" t="str">
            <v>CAPITAN DE MESONEROS</v>
          </cell>
        </row>
        <row r="2085">
          <cell r="A2085" t="str">
            <v>CAPORAL DE EQUIPOS</v>
          </cell>
        </row>
        <row r="2086">
          <cell r="A2086" t="str">
            <v>CARNICERO</v>
          </cell>
        </row>
        <row r="2087">
          <cell r="A2087" t="str">
            <v>CARPINTERO</v>
          </cell>
        </row>
        <row r="2088">
          <cell r="A2088" t="str">
            <v>CERRAJERO</v>
          </cell>
        </row>
        <row r="2089">
          <cell r="A2089" t="str">
            <v>CHOFER</v>
          </cell>
        </row>
        <row r="2090">
          <cell r="A2090" t="str">
            <v>CHOFER DE CARGA</v>
          </cell>
        </row>
        <row r="2091">
          <cell r="A2091" t="str">
            <v>CHOFER DE CISTERNA</v>
          </cell>
        </row>
        <row r="2092">
          <cell r="A2092" t="str">
            <v>CHOFER DE TRANSPORTE</v>
          </cell>
        </row>
        <row r="2093">
          <cell r="A2093" t="str">
            <v>CLASIFICADOR DE FRUTOS</v>
          </cell>
        </row>
        <row r="2094">
          <cell r="A2094" t="str">
            <v>CLASIFICADOS POSTAL TELEGRAFICO</v>
          </cell>
        </row>
        <row r="2095">
          <cell r="A2095" t="str">
            <v>COCINERO</v>
          </cell>
        </row>
        <row r="2096">
          <cell r="A2096" t="str">
            <v>CONSERJE</v>
          </cell>
        </row>
        <row r="2097">
          <cell r="A2097" t="str">
            <v>CONTRAMAESTRE</v>
          </cell>
        </row>
        <row r="2098">
          <cell r="A2098" t="str">
            <v>CONTROL ASIST, MEDICAS</v>
          </cell>
        </row>
        <row r="2099">
          <cell r="A2099" t="str">
            <v>COORDINADOR DE MAQUINARIA PESADA</v>
          </cell>
        </row>
        <row r="2100">
          <cell r="A2100" t="str">
            <v>COSTURERA</v>
          </cell>
        </row>
        <row r="2101">
          <cell r="A2101" t="str">
            <v>CUIDADOR DE ANIMALES</v>
          </cell>
        </row>
        <row r="2102">
          <cell r="A2102" t="str">
            <v>DEPOSITARIO</v>
          </cell>
        </row>
        <row r="2103">
          <cell r="A2103" t="str">
            <v>DESPACHADOR DE COMBUSTIBLE</v>
          </cell>
        </row>
        <row r="2104">
          <cell r="A2104" t="str">
            <v>DESPACHADOR DE MERCANCIA</v>
          </cell>
        </row>
        <row r="2105">
          <cell r="A2105" t="str">
            <v>DESPENSERO</v>
          </cell>
        </row>
        <row r="2106">
          <cell r="A2106" t="str">
            <v>ELECTRICISTA DE ALTA TENSION</v>
          </cell>
        </row>
        <row r="2107">
          <cell r="A2107" t="str">
            <v>ELECTROMECANICO</v>
          </cell>
        </row>
        <row r="2108">
          <cell r="A2108" t="str">
            <v>EMBALADOR</v>
          </cell>
        </row>
        <row r="2109">
          <cell r="A2109" t="str">
            <v>ESCOLTA</v>
          </cell>
        </row>
        <row r="2110">
          <cell r="A2110" t="str">
            <v>ESPESORISTA</v>
          </cell>
        </row>
        <row r="2111">
          <cell r="A2111" t="str">
            <v>FISCAL DE MATADERO</v>
          </cell>
        </row>
        <row r="2112">
          <cell r="A2112" t="str">
            <v>FISCAL I  (OBREROS)</v>
          </cell>
        </row>
        <row r="2113">
          <cell r="A2113" t="str">
            <v>FISCAL II (OBREROS)</v>
          </cell>
        </row>
        <row r="2114">
          <cell r="A2114" t="str">
            <v>FOTOGRABADOR PLANCHISTA</v>
          </cell>
        </row>
        <row r="2115">
          <cell r="A2115" t="str">
            <v>FUMIGADOR</v>
          </cell>
        </row>
        <row r="2116">
          <cell r="A2116" t="str">
            <v>GUARDA BARRERA</v>
          </cell>
        </row>
        <row r="2117">
          <cell r="A2117" t="str">
            <v>GUARDAPARQUES</v>
          </cell>
        </row>
        <row r="2118">
          <cell r="A2118" t="str">
            <v>GUARDAPARQUEZ</v>
          </cell>
        </row>
        <row r="2119">
          <cell r="A2119" t="str">
            <v>GUIA VACACIONISTA</v>
          </cell>
        </row>
        <row r="2120">
          <cell r="A2120" t="str">
            <v>GUILLOTINERO</v>
          </cell>
        </row>
        <row r="2121">
          <cell r="A2121" t="str">
            <v>HERRERO</v>
          </cell>
        </row>
        <row r="2122">
          <cell r="A2122" t="str">
            <v>INCINERADOR</v>
          </cell>
        </row>
        <row r="2123">
          <cell r="A2123" t="str">
            <v>INSPECTOR AUXILIAR DE OBRAS</v>
          </cell>
        </row>
        <row r="2124">
          <cell r="A2124" t="str">
            <v>INSPECTOR AUXILIAR DE OPERACIONES DE AREAS PUBLICAS</v>
          </cell>
        </row>
        <row r="2125">
          <cell r="A2125" t="str">
            <v>INSTALADOR DE ANTENA</v>
          </cell>
        </row>
        <row r="2126">
          <cell r="A2126" t="str">
            <v>JARDINERO</v>
          </cell>
        </row>
        <row r="2127">
          <cell r="A2127" t="str">
            <v>JEFE DE OBRERO</v>
          </cell>
        </row>
        <row r="2128">
          <cell r="A2128" t="str">
            <v>JEFE DE SERVICIO (SALUD)</v>
          </cell>
        </row>
        <row r="2129">
          <cell r="A2129" t="str">
            <v>LATONERO Y PINTOR</v>
          </cell>
        </row>
        <row r="2130">
          <cell r="A2130" t="str">
            <v>LAVADOR Y ENGRASADOR</v>
          </cell>
        </row>
        <row r="2131">
          <cell r="A2131" t="str">
            <v>LAVANDERO</v>
          </cell>
        </row>
        <row r="2132">
          <cell r="A2132" t="str">
            <v>LENCERO</v>
          </cell>
        </row>
        <row r="2133">
          <cell r="A2133" t="str">
            <v>LINOTIPISTA</v>
          </cell>
        </row>
        <row r="2134">
          <cell r="A2134" t="str">
            <v>MAITRE</v>
          </cell>
        </row>
        <row r="2135">
          <cell r="A2135" t="str">
            <v>MANIPULADOR DE FRUTOS</v>
          </cell>
        </row>
        <row r="2136">
          <cell r="A2136" t="str">
            <v>MAQUINISTA</v>
          </cell>
        </row>
        <row r="2137">
          <cell r="A2137" t="str">
            <v>MARINERO</v>
          </cell>
        </row>
        <row r="2138">
          <cell r="A2138" t="str">
            <v>MECANICO AUTOMOTRIZ</v>
          </cell>
        </row>
        <row r="2139">
          <cell r="A2139" t="str">
            <v>MECANICO DE AVIACION</v>
          </cell>
        </row>
        <row r="2140">
          <cell r="A2140" t="str">
            <v>MECANICO DE BOBLIWG</v>
          </cell>
        </row>
        <row r="2141">
          <cell r="A2141" t="str">
            <v>MECANICO DE BOGIS FERROVIARIO</v>
          </cell>
        </row>
        <row r="2142">
          <cell r="A2142" t="str">
            <v>MECANICO DE MOTO</v>
          </cell>
        </row>
        <row r="2143">
          <cell r="A2143" t="str">
            <v>MECANICO DE MOTORES DIESEL</v>
          </cell>
        </row>
        <row r="2144">
          <cell r="A2144" t="str">
            <v>MECANICO DE REFRIGERACION</v>
          </cell>
        </row>
        <row r="2145">
          <cell r="A2145" t="str">
            <v>MECANICO SISTEMA NEUMATICO FERROVIARIO</v>
          </cell>
        </row>
        <row r="2146">
          <cell r="A2146" t="str">
            <v>MENSAJERO</v>
          </cell>
        </row>
        <row r="2147">
          <cell r="A2147" t="str">
            <v>MENSAJERO MOTORIZADO</v>
          </cell>
        </row>
        <row r="2148">
          <cell r="A2148" t="str">
            <v>MESONERO</v>
          </cell>
        </row>
        <row r="2149">
          <cell r="A2149" t="str">
            <v>MODISTO</v>
          </cell>
        </row>
        <row r="2150">
          <cell r="A2150" t="str">
            <v>NIÑERA</v>
          </cell>
        </row>
        <row r="2151">
          <cell r="A2151" t="str">
            <v>OBRERO DE MANTENIMIENTO</v>
          </cell>
        </row>
        <row r="2152">
          <cell r="A2152" t="str">
            <v>OBRERO NO CLASIFICADO</v>
          </cell>
        </row>
        <row r="2153">
          <cell r="A2153" t="str">
            <v>OPERADOR DE CALDERA</v>
          </cell>
        </row>
        <row r="2154">
          <cell r="A2154" t="str">
            <v>OPERADOR DE MAQUINARIA PESADA</v>
          </cell>
        </row>
        <row r="2155">
          <cell r="A2155" t="str">
            <v>OPERADOR DE PRENSA DE IMPRESION</v>
          </cell>
        </row>
        <row r="2156">
          <cell r="A2156" t="str">
            <v>OPERADOR DE SALAS MOVILES</v>
          </cell>
        </row>
        <row r="2157">
          <cell r="A2157" t="str">
            <v>OPERADOR DE SONIDO</v>
          </cell>
        </row>
        <row r="2158">
          <cell r="A2158" t="str">
            <v>OPERADOR FERROVIARIO DE MANTENIMIENTO</v>
          </cell>
        </row>
        <row r="2159">
          <cell r="A2159" t="str">
            <v>OPERADOR MAQUINARIA DE VIA FERREA</v>
          </cell>
        </row>
        <row r="2160">
          <cell r="A2160" t="str">
            <v>OPERARIO COMPAGINACION Y ENCUADERNACION</v>
          </cell>
        </row>
        <row r="2161">
          <cell r="A2161" t="str">
            <v>OPERARIO DE ACUEDUCTO</v>
          </cell>
        </row>
        <row r="2162">
          <cell r="A2162" t="str">
            <v>OPERARIO DE EQUIPO DE TELECOMUNICACION</v>
          </cell>
        </row>
        <row r="2163">
          <cell r="A2163" t="str">
            <v>OPERARIO DE FARO</v>
          </cell>
        </row>
        <row r="2164">
          <cell r="A2164" t="str">
            <v>OPERARIO DE MAQUINA FOTOCOPIADORA</v>
          </cell>
        </row>
        <row r="2165">
          <cell r="A2165" t="str">
            <v>OPERARIO DE MAQUINA LIVIANA</v>
          </cell>
        </row>
        <row r="2166">
          <cell r="A2166" t="str">
            <v>OPERARIO DE PISCINA</v>
          </cell>
        </row>
        <row r="2167">
          <cell r="A2167" t="str">
            <v>OPERARIO DE PLANTA HIDROELECTRICA</v>
          </cell>
        </row>
        <row r="2168">
          <cell r="A2168" t="str">
            <v>OPERARIO MANTENIMIENTO VIAS TERRESTRES</v>
          </cell>
        </row>
        <row r="2169">
          <cell r="A2169" t="str">
            <v>OPERARIO MAQUINA PRODUCCION FARMACEUTICA</v>
          </cell>
        </row>
        <row r="2170">
          <cell r="A2170" t="str">
            <v>PAGADOR</v>
          </cell>
        </row>
        <row r="2171">
          <cell r="A2171" t="str">
            <v>PANADERO</v>
          </cell>
        </row>
        <row r="2172">
          <cell r="A2172" t="str">
            <v>PASTELERO</v>
          </cell>
        </row>
        <row r="2173">
          <cell r="A2173" t="str">
            <v>PESCADOR</v>
          </cell>
        </row>
        <row r="2174">
          <cell r="A2174" t="str">
            <v>PINTOR</v>
          </cell>
        </row>
        <row r="2175">
          <cell r="A2175" t="str">
            <v>PLANCHADOR</v>
          </cell>
        </row>
        <row r="2176">
          <cell r="A2176" t="str">
            <v>PLOMERO</v>
          </cell>
        </row>
        <row r="2177">
          <cell r="A2177" t="str">
            <v>PORTERO</v>
          </cell>
        </row>
        <row r="2178">
          <cell r="A2178" t="str">
            <v>PRACTICO FLUVIAL</v>
          </cell>
        </row>
        <row r="2179">
          <cell r="A2179" t="str">
            <v>RAPARADOR DE BICICLETA</v>
          </cell>
        </row>
        <row r="2180">
          <cell r="A2180" t="str">
            <v>RASTRILLERO</v>
          </cell>
        </row>
        <row r="2181">
          <cell r="A2181" t="str">
            <v>RECEPTOR INFORMADOR</v>
          </cell>
        </row>
        <row r="2182">
          <cell r="A2182" t="str">
            <v>REPARADOR DE MQUINA DE OFICINA</v>
          </cell>
        </row>
        <row r="2183">
          <cell r="A2183" t="str">
            <v>REPARADOR DE NEUMATICO</v>
          </cell>
        </row>
        <row r="2184">
          <cell r="A2184" t="str">
            <v>REPARADOR DE PARACAIDAS</v>
          </cell>
        </row>
        <row r="2185">
          <cell r="A2185" t="str">
            <v>REPARADOR DE RADIADOR</v>
          </cell>
        </row>
        <row r="2186">
          <cell r="A2186" t="str">
            <v>REPARTIDOR DE ALIMENTOS</v>
          </cell>
        </row>
        <row r="2187">
          <cell r="A2187" t="str">
            <v>REPARTIDOR POSTAL TELEGRAFICO</v>
          </cell>
        </row>
        <row r="2188">
          <cell r="A2188" t="str">
            <v>SALVAVIDAS</v>
          </cell>
        </row>
        <row r="2189">
          <cell r="A2189" t="str">
            <v>SOLDADOR</v>
          </cell>
        </row>
        <row r="2190">
          <cell r="A2190" t="str">
            <v>SUPERV. MANTENIMIENTO VIAS FERROVIARIA</v>
          </cell>
        </row>
        <row r="2191">
          <cell r="A2191" t="str">
            <v>SUPERVISOR ASISTENCIAL</v>
          </cell>
        </row>
        <row r="2192">
          <cell r="A2192" t="str">
            <v>SUPERVISOR DE ARMADOR DE PUENTES</v>
          </cell>
        </row>
        <row r="2193">
          <cell r="A2193" t="str">
            <v>SUPERVISOR DE ASCENSORISTAS</v>
          </cell>
        </row>
        <row r="2194">
          <cell r="A2194" t="str">
            <v>SUPERVISOR DE AUXILIAR DE VETERINARIA</v>
          </cell>
        </row>
        <row r="2195">
          <cell r="A2195" t="str">
            <v>SUPERVISOR DE CAMARERAS</v>
          </cell>
        </row>
        <row r="2196">
          <cell r="A2196" t="str">
            <v>SUPERVISOR DE CAMIONES CISTERNA</v>
          </cell>
        </row>
        <row r="2197">
          <cell r="A2197" t="str">
            <v>SUPERVISOR DE COCINA</v>
          </cell>
        </row>
        <row r="2198">
          <cell r="A2198" t="str">
            <v>SUPERVISOR DE FUMIGACION</v>
          </cell>
        </row>
        <row r="2199">
          <cell r="A2199" t="str">
            <v>SUPERVISOR DE MANTENIMIENTO DE AREAS PUBLICAS</v>
          </cell>
        </row>
        <row r="2200">
          <cell r="A2200" t="str">
            <v>SUPERVISOR DE MANTENIMIENTO I (OPE)</v>
          </cell>
        </row>
        <row r="2201">
          <cell r="A2201" t="str">
            <v>SUPERVISOR DE PLANTA HIDROELECTRICA</v>
          </cell>
        </row>
        <row r="2202">
          <cell r="A2202" t="str">
            <v>SUPERVISOR DE SEGURIDAD</v>
          </cell>
        </row>
        <row r="2203">
          <cell r="A2203" t="str">
            <v>SUPERVISOR DE SERVICIOS DE REPROD. E IMP</v>
          </cell>
        </row>
        <row r="2204">
          <cell r="A2204" t="str">
            <v>SUPERVISOR DE SERVICIOS ESPECIALIZADOS</v>
          </cell>
        </row>
        <row r="2205">
          <cell r="A2205" t="str">
            <v>SUPERVISOR DE SERVICIOS INTERNOS</v>
          </cell>
        </row>
        <row r="2206">
          <cell r="A2206" t="str">
            <v>SUPERVISOR DE VIGILANCIA</v>
          </cell>
        </row>
        <row r="2207">
          <cell r="A2207" t="str">
            <v>SUPERVISOR DE VIVEROS</v>
          </cell>
        </row>
        <row r="2208">
          <cell r="A2208" t="str">
            <v>SUPERVISOR DE ZONA (OPE)</v>
          </cell>
        </row>
        <row r="2209">
          <cell r="A2209" t="str">
            <v>SUPERVISOR EMPAQUE Y ENVASE PROD. FARM.</v>
          </cell>
        </row>
        <row r="2210">
          <cell r="A2210" t="str">
            <v>SUPERVISOR OPERACIONES FERROVIARIAS</v>
          </cell>
        </row>
        <row r="2211">
          <cell r="A2211" t="str">
            <v>TALABARTERO</v>
          </cell>
        </row>
        <row r="2212">
          <cell r="A2212" t="str">
            <v>TAPICERO</v>
          </cell>
        </row>
        <row r="2213">
          <cell r="A2213" t="str">
            <v>TAQUILLERO</v>
          </cell>
        </row>
        <row r="2214">
          <cell r="A2214" t="str">
            <v>TIMONEL DE EMBARCACION</v>
          </cell>
        </row>
        <row r="2215">
          <cell r="A2215" t="str">
            <v>TORNERO</v>
          </cell>
        </row>
        <row r="2216">
          <cell r="A2216" t="str">
            <v>VIGILANTE</v>
          </cell>
        </row>
        <row r="2217">
          <cell r="A2217" t="str">
            <v>VIGILANTE NOCTURNO</v>
          </cell>
        </row>
        <row r="2218">
          <cell r="A2218" t="str">
            <v>ZAPATERO</v>
          </cell>
        </row>
      </sheetData>
      <sheetData sheetId="21"/>
      <sheetData sheetId="22"/>
      <sheetData sheetId="23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Agui"/>
      <sheetName val="Imprimir CT"/>
      <sheetName val="Imprimir 2a"/>
      <sheetName val="Aportes"/>
      <sheetName val="Imprimir 1ra"/>
      <sheetName val="RAC"/>
      <sheetName val="EJEMPLO CALCULO AGUINALDOS"/>
      <sheetName val="CONCEPTOS Y PARAMETROS"/>
      <sheetName val="TAB EMP"/>
      <sheetName val="TAB OBR"/>
      <sheetName val="HIJOS "/>
      <sheetName val="CARGOS"/>
      <sheetName val="CARGOS POA"/>
      <sheetName val="TAB EMP (2)"/>
      <sheetName val="V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J3" t="str">
            <v>ENERO</v>
          </cell>
        </row>
        <row r="4">
          <cell r="J4" t="str">
            <v>FEBRERO</v>
          </cell>
        </row>
        <row r="5">
          <cell r="J5" t="str">
            <v>MARZO</v>
          </cell>
        </row>
        <row r="6">
          <cell r="J6" t="str">
            <v>ABRIL</v>
          </cell>
        </row>
        <row r="7">
          <cell r="J7" t="str">
            <v>MAYO</v>
          </cell>
        </row>
        <row r="8">
          <cell r="J8" t="str">
            <v>JUNIO</v>
          </cell>
        </row>
        <row r="9">
          <cell r="J9" t="str">
            <v>JULIO</v>
          </cell>
        </row>
        <row r="10">
          <cell r="J10" t="str">
            <v>AGOSTO</v>
          </cell>
        </row>
        <row r="11">
          <cell r="J11" t="str">
            <v>SEPTIEMBRE</v>
          </cell>
        </row>
        <row r="12">
          <cell r="J12" t="str">
            <v>OCTUBRE</v>
          </cell>
        </row>
        <row r="13">
          <cell r="J13" t="str">
            <v>NOVIEMBRE</v>
          </cell>
        </row>
        <row r="14">
          <cell r="J14" t="str">
            <v>DICIEMBRE</v>
          </cell>
        </row>
        <row r="59">
          <cell r="A59">
            <v>0</v>
          </cell>
        </row>
        <row r="60">
          <cell r="A60">
            <v>1</v>
          </cell>
        </row>
        <row r="61">
          <cell r="A61">
            <v>2</v>
          </cell>
        </row>
        <row r="74">
          <cell r="A74">
            <v>0</v>
          </cell>
        </row>
        <row r="75">
          <cell r="A75">
            <v>1</v>
          </cell>
        </row>
        <row r="76">
          <cell r="A76">
            <v>2</v>
          </cell>
        </row>
        <row r="77">
          <cell r="A77">
            <v>3</v>
          </cell>
        </row>
        <row r="78">
          <cell r="A78">
            <v>4</v>
          </cell>
        </row>
        <row r="79">
          <cell r="A79">
            <v>5</v>
          </cell>
        </row>
        <row r="80">
          <cell r="A80">
            <v>6</v>
          </cell>
        </row>
        <row r="81">
          <cell r="A81">
            <v>7</v>
          </cell>
        </row>
        <row r="82">
          <cell r="A82">
            <v>8</v>
          </cell>
        </row>
        <row r="83">
          <cell r="A83">
            <v>9</v>
          </cell>
        </row>
        <row r="84">
          <cell r="A84">
            <v>10</v>
          </cell>
        </row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  <row r="101">
          <cell r="A101">
            <v>0</v>
          </cell>
        </row>
        <row r="102">
          <cell r="A102">
            <v>1389</v>
          </cell>
        </row>
        <row r="107">
          <cell r="A107">
            <v>0</v>
          </cell>
        </row>
        <row r="108">
          <cell r="A108" t="str">
            <v>NOCTURN</v>
          </cell>
        </row>
      </sheetData>
      <sheetData sheetId="14">
        <row r="2">
          <cell r="A2" t="str">
            <v>B1   (0-2 AÑOS)</v>
          </cell>
        </row>
        <row r="3">
          <cell r="A3" t="str">
            <v>B2   (3-5 AÑOS)</v>
          </cell>
        </row>
        <row r="4">
          <cell r="A4" t="str">
            <v>B3   (6-8 AÑOS)</v>
          </cell>
        </row>
        <row r="5">
          <cell r="A5" t="str">
            <v>B3I   (9-11 AÑOS)</v>
          </cell>
        </row>
        <row r="6">
          <cell r="A6" t="str">
            <v>B3II   (12-14 AÑOS)</v>
          </cell>
        </row>
        <row r="7">
          <cell r="A7" t="str">
            <v>B3III   (15-17 AÑOS)</v>
          </cell>
        </row>
        <row r="8">
          <cell r="A8" t="str">
            <v>B3IV   (18 EN ADELANTE)</v>
          </cell>
        </row>
        <row r="9">
          <cell r="A9" t="str">
            <v>T1   (0-2 AÑOS)</v>
          </cell>
        </row>
        <row r="10">
          <cell r="A10" t="str">
            <v>T2   (3-5 AÑOS)</v>
          </cell>
        </row>
        <row r="11">
          <cell r="A11" t="str">
            <v>T2I   (6-8 AÑOS)</v>
          </cell>
        </row>
        <row r="12">
          <cell r="A12" t="str">
            <v>T2II   (9-11 AÑOS)</v>
          </cell>
        </row>
        <row r="13">
          <cell r="A13" t="str">
            <v>T2III   (12-14 AÑOS)</v>
          </cell>
        </row>
        <row r="14">
          <cell r="A14" t="str">
            <v>T2IV   (15-17 AÑOS)</v>
          </cell>
        </row>
        <row r="15">
          <cell r="A15" t="str">
            <v>T2V   (18 EN ADELANTE)</v>
          </cell>
        </row>
        <row r="16">
          <cell r="A16" t="str">
            <v>P1   (0-2 AÑOS)</v>
          </cell>
        </row>
        <row r="17">
          <cell r="A17" t="str">
            <v>P2   (3-5 AÑOS)</v>
          </cell>
        </row>
        <row r="18">
          <cell r="A18" t="str">
            <v>P2I   (6-8 AÑOS)</v>
          </cell>
        </row>
        <row r="19">
          <cell r="A19" t="str">
            <v xml:space="preserve">P2II   (9-11 AÑOS)  </v>
          </cell>
        </row>
        <row r="20">
          <cell r="A20" t="str">
            <v>P2III   (12-14 AÑOS)</v>
          </cell>
        </row>
        <row r="21">
          <cell r="A21" t="str">
            <v>P2IV   (15-17 AÑOS)</v>
          </cell>
        </row>
        <row r="22">
          <cell r="A22" t="str">
            <v>P2V    (18 EN ADELANTE)</v>
          </cell>
        </row>
        <row r="23">
          <cell r="A23" t="str">
            <v>P3    (0-2 AÑOS)</v>
          </cell>
        </row>
        <row r="24">
          <cell r="A24" t="str">
            <v>P3I     (3-5 AÑOS)</v>
          </cell>
        </row>
        <row r="25">
          <cell r="A25" t="str">
            <v>P3II     (6-8 AÑOS)</v>
          </cell>
        </row>
        <row r="26">
          <cell r="A26" t="str">
            <v xml:space="preserve">P3III    (9-11 AÑOS)    </v>
          </cell>
        </row>
        <row r="27">
          <cell r="A27" t="str">
            <v>P3IV    (12-14 AÑOS)</v>
          </cell>
        </row>
        <row r="28">
          <cell r="A28" t="str">
            <v>P3V    (15-17 AÑOS)</v>
          </cell>
        </row>
        <row r="29">
          <cell r="A29" t="str">
            <v>P3VI   (18 EN ADELANTE)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15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16"/>
      <sheetData sheetId="17">
        <row r="2">
          <cell r="A2">
            <v>0</v>
          </cell>
        </row>
        <row r="3">
          <cell r="A3" t="str">
            <v>DOC. BASICO SUPERVISOR (40 HORAS) Y DIRECTOR VI 77 (16 HORAS)</v>
          </cell>
        </row>
        <row r="4">
          <cell r="A4" t="str">
            <v>ABOGADO FISCAL I</v>
          </cell>
        </row>
        <row r="5">
          <cell r="A5" t="str">
            <v>ABOGADO FISCAL II</v>
          </cell>
        </row>
        <row r="6">
          <cell r="A6" t="str">
            <v>ABOGADO FISCAL III</v>
          </cell>
        </row>
        <row r="7">
          <cell r="A7" t="str">
            <v>ABOGADO FISCAL IV</v>
          </cell>
        </row>
        <row r="8">
          <cell r="A8" t="str">
            <v>ABOGADO FISCAL JEFE</v>
          </cell>
        </row>
        <row r="9">
          <cell r="A9" t="str">
            <v>ABOGADO I</v>
          </cell>
        </row>
        <row r="10">
          <cell r="A10" t="str">
            <v>ABOGADO II</v>
          </cell>
        </row>
        <row r="11">
          <cell r="A11" t="str">
            <v>ABOGADO III</v>
          </cell>
        </row>
        <row r="12">
          <cell r="A12" t="str">
            <v>ABOGADO IV</v>
          </cell>
        </row>
        <row r="13">
          <cell r="A13" t="str">
            <v>ABOGADO JEFE</v>
          </cell>
        </row>
        <row r="14">
          <cell r="A14" t="str">
            <v>ABOGADO PROCURADURIA I</v>
          </cell>
        </row>
        <row r="15">
          <cell r="A15" t="str">
            <v>ABOGADO PROCURADURIA II</v>
          </cell>
        </row>
        <row r="16">
          <cell r="A16" t="str">
            <v>ABOGADO PROCURADURIA III</v>
          </cell>
        </row>
        <row r="17">
          <cell r="A17" t="str">
            <v>ABOGADO PROCURADURIA IV</v>
          </cell>
        </row>
        <row r="18">
          <cell r="A18" t="str">
            <v>ACTUARIO I</v>
          </cell>
        </row>
        <row r="19">
          <cell r="A19" t="str">
            <v>ACTUARIO II</v>
          </cell>
        </row>
        <row r="20">
          <cell r="A20" t="str">
            <v>ACTUARIO III</v>
          </cell>
        </row>
        <row r="21">
          <cell r="A21" t="str">
            <v>ACTUARIO IV</v>
          </cell>
        </row>
        <row r="22">
          <cell r="A22" t="str">
            <v>ACTUARIO V</v>
          </cell>
        </row>
        <row r="23">
          <cell r="A23" t="str">
            <v>ADJUNTO INTERVENTOR DE ADUANAS I</v>
          </cell>
        </row>
        <row r="24">
          <cell r="A24" t="str">
            <v>ADJUNTO INTERVENTOR DE ADUANAS II</v>
          </cell>
        </row>
        <row r="25">
          <cell r="A25" t="str">
            <v>ADJUNTO INTERVENTOR DE ADUANAS III</v>
          </cell>
        </row>
        <row r="26">
          <cell r="A26" t="str">
            <v>ADMINISTRADOR DE COLECCIONES</v>
          </cell>
        </row>
        <row r="27">
          <cell r="A27" t="str">
            <v>ADMINISTRADOR I</v>
          </cell>
        </row>
        <row r="28">
          <cell r="A28" t="str">
            <v>ADMINISTRADOR II</v>
          </cell>
        </row>
        <row r="29">
          <cell r="A29" t="str">
            <v>ADMINISTRADOR III</v>
          </cell>
        </row>
        <row r="30">
          <cell r="A30" t="str">
            <v>ADMINISTRADOR IV</v>
          </cell>
        </row>
        <row r="31">
          <cell r="A31" t="str">
            <v>ADMINISTRADOR JEFE</v>
          </cell>
        </row>
        <row r="32">
          <cell r="A32" t="str">
            <v>ADMINISTRADOR V</v>
          </cell>
        </row>
        <row r="33">
          <cell r="A33" t="str">
            <v>AEROTOPOGRAFO I</v>
          </cell>
        </row>
        <row r="34">
          <cell r="A34" t="str">
            <v>AEROTOPOGRAFO II</v>
          </cell>
        </row>
        <row r="35">
          <cell r="A35" t="str">
            <v>AEROTOPOGRAFO III</v>
          </cell>
        </row>
        <row r="36">
          <cell r="A36" t="str">
            <v>AEROTOPOGRAFO IV</v>
          </cell>
        </row>
        <row r="37">
          <cell r="A37" t="str">
            <v>AEROTOPOGRAFO JEFE</v>
          </cell>
        </row>
        <row r="38">
          <cell r="A38" t="str">
            <v>AFERIDOR I</v>
          </cell>
        </row>
        <row r="39">
          <cell r="A39" t="str">
            <v>AFERIDOR II</v>
          </cell>
        </row>
        <row r="40">
          <cell r="A40" t="str">
            <v>AFORADOR DE HIDROCARBUROS</v>
          </cell>
        </row>
        <row r="41">
          <cell r="A41" t="str">
            <v>AGENTE</v>
          </cell>
        </row>
        <row r="42">
          <cell r="A42" t="str">
            <v>AGENTE AYUDA JUVENIL I</v>
          </cell>
        </row>
        <row r="43">
          <cell r="A43" t="str">
            <v>AGENTE AYUDA JUVENIL II</v>
          </cell>
        </row>
        <row r="44">
          <cell r="A44" t="str">
            <v>AGENTE COOPERATIVISTA I</v>
          </cell>
        </row>
        <row r="45">
          <cell r="A45" t="str">
            <v>AGENTE COOPERATIVISTA II</v>
          </cell>
        </row>
        <row r="46">
          <cell r="A46" t="str">
            <v>AGENTE DE INMIGRACION Y EXTRANJERIA I</v>
          </cell>
        </row>
        <row r="47">
          <cell r="A47" t="str">
            <v>AGENTE DE INMIGRACION Y EXTRANJERIA II</v>
          </cell>
        </row>
        <row r="48">
          <cell r="A48" t="str">
            <v>AGENTE DE INMIGRACION Y EXTRANJERIA III</v>
          </cell>
        </row>
        <row r="49">
          <cell r="A49" t="str">
            <v>AGENTE DE VIVIENDA I</v>
          </cell>
        </row>
        <row r="50">
          <cell r="A50" t="str">
            <v>AGENTE DE VIVIENDA II</v>
          </cell>
        </row>
        <row r="51">
          <cell r="A51" t="str">
            <v>AGENTE DE VIVIENDA III</v>
          </cell>
        </row>
        <row r="52">
          <cell r="A52" t="str">
            <v>AGENTE DISIP</v>
          </cell>
        </row>
        <row r="53">
          <cell r="A53" t="str">
            <v>AGRIMENSOR I</v>
          </cell>
        </row>
        <row r="54">
          <cell r="A54" t="str">
            <v>AGRIMENSOR II</v>
          </cell>
        </row>
        <row r="55">
          <cell r="A55" t="str">
            <v>AGRIMENSOR III</v>
          </cell>
        </row>
        <row r="56">
          <cell r="A56" t="str">
            <v>AGRIMENSOR JEFE</v>
          </cell>
        </row>
        <row r="57">
          <cell r="A57" t="str">
            <v>ALFABETIZADOR</v>
          </cell>
        </row>
        <row r="58">
          <cell r="A58" t="str">
            <v>ALFABETIZADOR I   139</v>
          </cell>
        </row>
        <row r="59">
          <cell r="A59" t="str">
            <v>ALFABETIZADOR I   77</v>
          </cell>
        </row>
        <row r="60">
          <cell r="A60" t="str">
            <v>ALFABETIZADOR I TCVDMA</v>
          </cell>
        </row>
        <row r="61">
          <cell r="A61" t="str">
            <v>ALFABETIZADOR II  139</v>
          </cell>
        </row>
        <row r="62">
          <cell r="A62" t="str">
            <v>ALFABETIZADOR II  77</v>
          </cell>
        </row>
        <row r="63">
          <cell r="A63" t="str">
            <v>ALFABETIZADOR II TCVDMA</v>
          </cell>
        </row>
        <row r="64">
          <cell r="A64" t="str">
            <v>ALFABETIZADOR III 139</v>
          </cell>
        </row>
        <row r="65">
          <cell r="A65" t="str">
            <v>ALFABETIZADOR III 77</v>
          </cell>
        </row>
        <row r="66">
          <cell r="A66" t="str">
            <v>ALFABETIZADOR III TCVDMA</v>
          </cell>
        </row>
        <row r="67">
          <cell r="A67" t="str">
            <v>ALFABETIZADOR IV  139</v>
          </cell>
        </row>
        <row r="68">
          <cell r="A68" t="str">
            <v>ALFABETIZADOR IV  77</v>
          </cell>
        </row>
        <row r="69">
          <cell r="A69" t="str">
            <v>ALFABETIZADOR IV TCVDMA</v>
          </cell>
        </row>
        <row r="70">
          <cell r="A70" t="str">
            <v>ALFABETIZADOR N.G.</v>
          </cell>
        </row>
        <row r="71">
          <cell r="A71" t="str">
            <v>ALFABETIZADOR NG TCVDMA</v>
          </cell>
        </row>
        <row r="72">
          <cell r="A72" t="str">
            <v>ALFABETIZADOR V   139</v>
          </cell>
        </row>
        <row r="73">
          <cell r="A73" t="str">
            <v>ALFABETIZADOR V   77</v>
          </cell>
        </row>
        <row r="74">
          <cell r="A74" t="str">
            <v>ALFABETIZADOR V TCVDMA</v>
          </cell>
        </row>
        <row r="75">
          <cell r="A75" t="str">
            <v>ALFABETIZADOR VI  139</v>
          </cell>
        </row>
        <row r="76">
          <cell r="A76" t="str">
            <v>ALFABETIZADOR VI  77</v>
          </cell>
        </row>
        <row r="77">
          <cell r="A77" t="str">
            <v>ALFABETIZADOR VI TCVDMA</v>
          </cell>
        </row>
        <row r="78">
          <cell r="A78" t="str">
            <v>ALMACENISTA I</v>
          </cell>
        </row>
        <row r="79">
          <cell r="A79" t="str">
            <v>ALMACENISTA II</v>
          </cell>
        </row>
        <row r="80">
          <cell r="A80" t="str">
            <v>ANALISTA CENTRAL DE PERSONAL I</v>
          </cell>
        </row>
        <row r="81">
          <cell r="A81" t="str">
            <v>ANALISTA CENTRAL DE PERSONAL II</v>
          </cell>
        </row>
        <row r="82">
          <cell r="A82" t="str">
            <v>ANALISTA CENTRAL DE PERSONAL III</v>
          </cell>
        </row>
        <row r="83">
          <cell r="A83" t="str">
            <v>ANALISTA CENTRAL DE PERSONAL IV</v>
          </cell>
        </row>
        <row r="84">
          <cell r="A84" t="str">
            <v>ANALISTA CENTRAL DE PERSONAL JEFE</v>
          </cell>
        </row>
        <row r="85">
          <cell r="A85" t="str">
            <v>ANALISTA CENTRAL DE PRESUPUESTO I</v>
          </cell>
        </row>
        <row r="86">
          <cell r="A86" t="str">
            <v>ANALISTA CENTRAL DE PRESUPUESTO II</v>
          </cell>
        </row>
        <row r="87">
          <cell r="A87" t="str">
            <v>ANALISTA CENTRAL DE PRESUPUESTO III</v>
          </cell>
        </row>
        <row r="88">
          <cell r="A88" t="str">
            <v>ANALISTA CENTRAL DE PRESUPUESTO IV</v>
          </cell>
        </row>
        <row r="89">
          <cell r="A89" t="str">
            <v>ANALISTA CENTRAL DE PRESUPUESTO JEFE</v>
          </cell>
        </row>
        <row r="90">
          <cell r="A90" t="str">
            <v>ANALISTA CENTRAL ORGAN. Y SISTEMAS I</v>
          </cell>
        </row>
        <row r="91">
          <cell r="A91" t="str">
            <v>ANALISTA CENTRAL ORGAN. Y SISTEMAS II</v>
          </cell>
        </row>
        <row r="92">
          <cell r="A92" t="str">
            <v>ANALISTA CENTRAL ORGAN. Y SISTEMAS III</v>
          </cell>
        </row>
        <row r="93">
          <cell r="A93" t="str">
            <v>ANALISTA CENTRAL ORGAN. Y SISTEMAS IV</v>
          </cell>
        </row>
        <row r="94">
          <cell r="A94" t="str">
            <v>ANALISTA CENTRAL ORGAN. Y SISTEMAS JEFE</v>
          </cell>
        </row>
        <row r="95">
          <cell r="A95" t="str">
            <v>ANALISTA CENTRAL ORGAN. Y SISTEMAS V</v>
          </cell>
        </row>
        <row r="96">
          <cell r="A96" t="str">
            <v>ANALISTA CENTRAL PERSONAL EN FORMACION</v>
          </cell>
        </row>
        <row r="97">
          <cell r="A97" t="str">
            <v>ANALISTA CENTRAL PRESUP EN FORMACION</v>
          </cell>
        </row>
        <row r="98">
          <cell r="A98" t="str">
            <v>ANALISTA DE ASUNTOS AUDIOVISUALES</v>
          </cell>
        </row>
        <row r="99">
          <cell r="A99" t="str">
            <v>ANALISTA DE COLOCACION Y SEGUIMIENTO</v>
          </cell>
        </row>
        <row r="100">
          <cell r="A100" t="str">
            <v>ANALISTA DE CONTROL FINANCIERO I</v>
          </cell>
        </row>
        <row r="101">
          <cell r="A101" t="str">
            <v>ANALISTA DE CONTROL FINANCIERO II</v>
          </cell>
        </row>
        <row r="102">
          <cell r="A102" t="str">
            <v>ANALISTA DE CONTROL FINANCIERO III</v>
          </cell>
        </row>
        <row r="103">
          <cell r="A103" t="str">
            <v>ANALISTA DE CONTROL FINANCIERO IV</v>
          </cell>
        </row>
        <row r="104">
          <cell r="A104" t="str">
            <v>ANALISTA DE CONTROL FINANCIERO JEFE</v>
          </cell>
        </row>
        <row r="105">
          <cell r="A105" t="str">
            <v>ANALISTA DE CONTROL FINANCIERO JEFE II</v>
          </cell>
        </row>
        <row r="106">
          <cell r="A106" t="str">
            <v>ANALISTA DE CONTROL FINANCIERO V</v>
          </cell>
        </row>
        <row r="107">
          <cell r="A107" t="str">
            <v>ANALISTA DE CREDITOS AGROPECUARIO III</v>
          </cell>
        </row>
        <row r="108">
          <cell r="A108" t="str">
            <v>ANALISTA DE CREDITOS AGROPECUARIOS I</v>
          </cell>
        </row>
        <row r="109">
          <cell r="A109" t="str">
            <v>ANALISTA DE CREDITOS AGROPECUARIOS II</v>
          </cell>
        </row>
        <row r="110">
          <cell r="A110" t="str">
            <v>ANALISTA DE CREDITOS AGROPECUARIOS JEFE</v>
          </cell>
        </row>
        <row r="111">
          <cell r="A111" t="str">
            <v>ANALISTA DE ORGANIZACION Y SISTEMAS I</v>
          </cell>
        </row>
        <row r="112">
          <cell r="A112" t="str">
            <v>ANALISTA DE ORGANIZACION Y SISTEMAS II</v>
          </cell>
        </row>
        <row r="113">
          <cell r="A113" t="str">
            <v>ANALISTA DE ORGANIZACION Y SISTEMAS III</v>
          </cell>
        </row>
        <row r="114">
          <cell r="A114" t="str">
            <v>ANALISTA DE ORGANIZACION Y SISTEMAS IV</v>
          </cell>
        </row>
        <row r="115">
          <cell r="A115" t="str">
            <v>ANALISTA DE ORGANIZACION Y SISTEMAS JEFE</v>
          </cell>
        </row>
        <row r="116">
          <cell r="A116" t="str">
            <v>ANALISTA DE PERSONAL I</v>
          </cell>
        </row>
        <row r="117">
          <cell r="A117" t="str">
            <v>ANALISTA DE PERSONAL II</v>
          </cell>
        </row>
        <row r="118">
          <cell r="A118" t="str">
            <v>ANALISTA DE PERSONAL III</v>
          </cell>
        </row>
        <row r="119">
          <cell r="A119" t="str">
            <v>ANALISTA DE PERSONAL IV</v>
          </cell>
        </row>
        <row r="120">
          <cell r="A120" t="str">
            <v>ANALISTA DE PERSONAL V</v>
          </cell>
        </row>
        <row r="121">
          <cell r="A121" t="str">
            <v>ANALISTA DE PERSONAL VI</v>
          </cell>
        </row>
        <row r="122">
          <cell r="A122" t="str">
            <v>ANALISTA DE PRESUPUESTO I</v>
          </cell>
        </row>
        <row r="123">
          <cell r="A123" t="str">
            <v>ANALISTA DE PRESUPUESTO II</v>
          </cell>
        </row>
        <row r="124">
          <cell r="A124" t="str">
            <v>ANALISTA DE PRESUPUESTO III</v>
          </cell>
        </row>
        <row r="125">
          <cell r="A125" t="str">
            <v>ANALISTA DE PRESUPUESTO IV</v>
          </cell>
        </row>
        <row r="126">
          <cell r="A126" t="str">
            <v>ANALISTA DE PRESUPUESTO JEFE</v>
          </cell>
        </row>
        <row r="127">
          <cell r="A127" t="str">
            <v>ANALISTA DE PROCESAMIENTO DE DATOS I</v>
          </cell>
        </row>
        <row r="128">
          <cell r="A128" t="str">
            <v>ANALISTA DE PROCESAMIENTO DE DATOS II</v>
          </cell>
        </row>
        <row r="129">
          <cell r="A129" t="str">
            <v>ANALISTA DE PROCESAMIENTO DE DATOS III</v>
          </cell>
        </row>
        <row r="130">
          <cell r="A130" t="str">
            <v>ANALISTA DE PROCESAMIENTO DE DATOS IV</v>
          </cell>
        </row>
        <row r="131">
          <cell r="A131" t="str">
            <v>ANALISTA DE PROCESAMIENTO DE DATOS V</v>
          </cell>
        </row>
        <row r="132">
          <cell r="A132" t="str">
            <v>ANALISTA DE PROYECTOS AGROPECUARIOS I</v>
          </cell>
        </row>
        <row r="133">
          <cell r="A133" t="str">
            <v>ANALISTA DE PROYECTOS AGROPECUARIOS II</v>
          </cell>
        </row>
        <row r="134">
          <cell r="A134" t="str">
            <v>ANALISTA DE PROYECTOS AGROPECUARIOS III</v>
          </cell>
        </row>
        <row r="135">
          <cell r="A135" t="str">
            <v>ANALISTA DE PROYECTOS INDUSTRIALES I</v>
          </cell>
        </row>
        <row r="136">
          <cell r="A136" t="str">
            <v>ANALISTA DE PROYECTOS INDUSTRIALES II</v>
          </cell>
        </row>
        <row r="137">
          <cell r="A137" t="str">
            <v>ANALISTA DE PROYECTOS INDUSTRIALES III</v>
          </cell>
        </row>
        <row r="138">
          <cell r="A138" t="str">
            <v>ANALISTA DE SEGURIDAD Y DEFENSA I</v>
          </cell>
        </row>
        <row r="139">
          <cell r="A139" t="str">
            <v>ANALISTA DE SEGURIDAD Y DEFENSA III</v>
          </cell>
        </row>
        <row r="140">
          <cell r="A140" t="str">
            <v>ANALISTA DE SEGURIDAD Y DEFENSA IV</v>
          </cell>
        </row>
        <row r="141">
          <cell r="A141" t="str">
            <v>ANALISTA DE SEGURIDAD Y DEFENSA JEFE</v>
          </cell>
        </row>
        <row r="142">
          <cell r="A142" t="str">
            <v>ANALISTA DE SEGURIDAD Y DENFENSA II</v>
          </cell>
        </row>
        <row r="143">
          <cell r="A143" t="str">
            <v>ANALISTA DE SUPERV. DE CREDITOS AGRO II</v>
          </cell>
        </row>
        <row r="144">
          <cell r="A144" t="str">
            <v>ANALISTA DE SUPERV. DE CREDITOS AGRO III</v>
          </cell>
        </row>
        <row r="145">
          <cell r="A145" t="str">
            <v>ANALISTA DE SUPERV. DE CREDITOS AGRO. I</v>
          </cell>
        </row>
        <row r="146">
          <cell r="A146" t="str">
            <v>ANALISTA FINANCIERO I</v>
          </cell>
        </row>
        <row r="147">
          <cell r="A147" t="str">
            <v>ANALISTA FINANCIERO II</v>
          </cell>
        </row>
        <row r="148">
          <cell r="A148" t="str">
            <v>ANALISTA FINANCIERO III</v>
          </cell>
        </row>
        <row r="149">
          <cell r="A149" t="str">
            <v>ANALISTA FINANCIERO IV</v>
          </cell>
        </row>
        <row r="150">
          <cell r="A150" t="str">
            <v>ANALISTA FINANCIERO JEFE</v>
          </cell>
        </row>
        <row r="151">
          <cell r="A151" t="str">
            <v>ANALISTA FINANCIERO V</v>
          </cell>
        </row>
        <row r="152">
          <cell r="A152" t="str">
            <v>ANALISTA OCUPACIONAL  JEFE</v>
          </cell>
        </row>
        <row r="153">
          <cell r="A153" t="str">
            <v>ANALISTA OCUPACIONAL I</v>
          </cell>
        </row>
        <row r="154">
          <cell r="A154" t="str">
            <v>ANALISTA OCUPACIONAL II</v>
          </cell>
        </row>
        <row r="155">
          <cell r="A155" t="str">
            <v>ANTROPOLOGO I</v>
          </cell>
        </row>
        <row r="156">
          <cell r="A156" t="str">
            <v>ANTROPOLOGO II</v>
          </cell>
        </row>
        <row r="157">
          <cell r="A157" t="str">
            <v>ANTROPOLOGO III</v>
          </cell>
        </row>
        <row r="158">
          <cell r="A158" t="str">
            <v>ARCHIVISTA I</v>
          </cell>
        </row>
        <row r="159">
          <cell r="A159" t="str">
            <v>ARCHIVISTA II</v>
          </cell>
        </row>
        <row r="160">
          <cell r="A160" t="str">
            <v>ARCHIVISTA III</v>
          </cell>
        </row>
        <row r="161">
          <cell r="A161" t="str">
            <v>ARCHIVOLOGO I</v>
          </cell>
        </row>
        <row r="162">
          <cell r="A162" t="str">
            <v>ARCHIVOLOGO II</v>
          </cell>
        </row>
        <row r="163">
          <cell r="A163" t="str">
            <v>ARCHIVOLOGO III</v>
          </cell>
        </row>
        <row r="164">
          <cell r="A164" t="str">
            <v>ARCHIVOLOGO IV</v>
          </cell>
        </row>
        <row r="165">
          <cell r="A165" t="str">
            <v>ARMONICA</v>
          </cell>
        </row>
        <row r="166">
          <cell r="A166" t="str">
            <v>ARQUITECTO I</v>
          </cell>
        </row>
        <row r="167">
          <cell r="A167" t="str">
            <v>ARQUITECTO II</v>
          </cell>
        </row>
        <row r="168">
          <cell r="A168" t="str">
            <v>ARQUITECTO III</v>
          </cell>
        </row>
        <row r="169">
          <cell r="A169" t="str">
            <v>ARQUITECTO JEFE I</v>
          </cell>
        </row>
        <row r="170">
          <cell r="A170" t="str">
            <v>ARQUITECTO JEFE II</v>
          </cell>
        </row>
        <row r="171">
          <cell r="A171" t="str">
            <v>ARQUITECTO PAISAJISTA I</v>
          </cell>
        </row>
        <row r="172">
          <cell r="A172" t="str">
            <v>ARQUITECTO PAISAJISTA II</v>
          </cell>
        </row>
        <row r="173">
          <cell r="A173" t="str">
            <v>ARQUITECTO PAISAJISTA III</v>
          </cell>
        </row>
        <row r="174">
          <cell r="A174" t="str">
            <v>ARQUITECTO PAISAJISTA JEFE I</v>
          </cell>
        </row>
        <row r="175">
          <cell r="A175" t="str">
            <v>ARQUITECTO PAISAJISTA JEFE II</v>
          </cell>
        </row>
        <row r="176">
          <cell r="A176" t="str">
            <v>ASIS. COORD. RED. B. IV 139</v>
          </cell>
        </row>
        <row r="177">
          <cell r="A177" t="str">
            <v>ASIST. BIBLIOTECA III</v>
          </cell>
        </row>
        <row r="178">
          <cell r="A178" t="str">
            <v>ASIST. BIBLIOTECA TCVN</v>
          </cell>
        </row>
        <row r="179">
          <cell r="A179" t="str">
            <v>ASIST. DE TALLER II</v>
          </cell>
        </row>
        <row r="180">
          <cell r="A180" t="str">
            <v>ASIST. DE TALLER III N.G.</v>
          </cell>
        </row>
        <row r="181">
          <cell r="A181" t="str">
            <v>ASIST.COORD.RED.B. IV 77</v>
          </cell>
        </row>
        <row r="182">
          <cell r="A182" t="str">
            <v>ASISTENTE  PABELLON DE FERIAS</v>
          </cell>
        </row>
        <row r="183">
          <cell r="A183" t="str">
            <v>ASISTENTE A LA SECRETARIA PRIVADA</v>
          </cell>
        </row>
        <row r="184">
          <cell r="A184" t="str">
            <v>ASISTENTE ADMINISTRATIVO I</v>
          </cell>
        </row>
        <row r="185">
          <cell r="A185" t="str">
            <v>ASISTENTE ADMINISTRATIVO II</v>
          </cell>
        </row>
        <row r="186">
          <cell r="A186" t="str">
            <v>ASISTENTE ADMINISTRATIVO III</v>
          </cell>
        </row>
        <row r="187">
          <cell r="A187" t="str">
            <v>ASISTENTE ADMINISTRATIVO IV</v>
          </cell>
        </row>
        <row r="188">
          <cell r="A188" t="str">
            <v>ASISTENTE ADMINISTRATIVO V</v>
          </cell>
        </row>
        <row r="189">
          <cell r="A189" t="str">
            <v>ASISTENTE ADMINISTRATIVO VI</v>
          </cell>
        </row>
        <row r="190">
          <cell r="A190" t="str">
            <v>ASISTENTE AEROPUERTO I</v>
          </cell>
        </row>
        <row r="191">
          <cell r="A191" t="str">
            <v>ASISTENTE AEROPUERTO II</v>
          </cell>
        </row>
        <row r="192">
          <cell r="A192" t="str">
            <v>ASISTENTE AEROPUERTO III</v>
          </cell>
        </row>
        <row r="193">
          <cell r="A193" t="str">
            <v>ASISTENTE AGROPECUARIO I</v>
          </cell>
        </row>
        <row r="194">
          <cell r="A194" t="str">
            <v>ASISTENTE AGROPECUARIO II</v>
          </cell>
        </row>
        <row r="195">
          <cell r="A195" t="str">
            <v>ASISTENTE AL COORDINADOR</v>
          </cell>
        </row>
        <row r="196">
          <cell r="A196" t="str">
            <v>ASISTENTE AL DIRECTOR</v>
          </cell>
        </row>
        <row r="197">
          <cell r="A197" t="str">
            <v>ASISTENTE AL JEFE CAPITANIA DE PUERTOS</v>
          </cell>
        </row>
        <row r="198">
          <cell r="A198" t="str">
            <v>ASISTENTE AL PRESIDENTE</v>
          </cell>
        </row>
        <row r="199">
          <cell r="A199" t="str">
            <v>ASISTENTE AL SECRETARIO</v>
          </cell>
        </row>
        <row r="200">
          <cell r="A200" t="str">
            <v>ASISTENTE ANALISTA FINANCIERO I</v>
          </cell>
        </row>
        <row r="201">
          <cell r="A201" t="str">
            <v>ASISTENTE ANALISTA FINANCIERO II</v>
          </cell>
        </row>
        <row r="202">
          <cell r="A202" t="str">
            <v>ASISTENTE ASUNTOS LITERARIOS</v>
          </cell>
        </row>
        <row r="203">
          <cell r="A203" t="str">
            <v>ASISTENTE AUXILIAR DE HIDROMETERIOLOGIA</v>
          </cell>
        </row>
        <row r="204">
          <cell r="A204" t="str">
            <v>ASISTENTE AUXILIAR DE SERVICIO SOCIAL</v>
          </cell>
        </row>
        <row r="205">
          <cell r="A205" t="str">
            <v>ASISTENTE CENTRAL DE ORGAN. Y SISTEMAS</v>
          </cell>
        </row>
        <row r="206">
          <cell r="A206" t="str">
            <v>ASISTENTE DE ANALISTA I</v>
          </cell>
        </row>
        <row r="207">
          <cell r="A207" t="str">
            <v>ASISTENTE DE ANALISTA II</v>
          </cell>
        </row>
        <row r="208">
          <cell r="A208" t="str">
            <v>ASISTENTE DE ANALISTA III</v>
          </cell>
        </row>
        <row r="209">
          <cell r="A209" t="str">
            <v>ASISTENTE DE ASUNTOS CINEMATOGRAFICOS</v>
          </cell>
        </row>
        <row r="210">
          <cell r="A210" t="str">
            <v>ASISTENTE DE ASUNTOS LEGALES I</v>
          </cell>
        </row>
        <row r="211">
          <cell r="A211" t="str">
            <v>ASISTENTE DE ASUNTOS LEGALES II</v>
          </cell>
        </row>
        <row r="212">
          <cell r="A212" t="str">
            <v>ASISTENTE DE BIBLIOTECA I</v>
          </cell>
        </row>
        <row r="213">
          <cell r="A213" t="str">
            <v>ASISTENTE DE BIBLIOTECA II</v>
          </cell>
        </row>
        <row r="214">
          <cell r="A214" t="str">
            <v>ASISTENTE DE BIBLIOTECA III</v>
          </cell>
        </row>
        <row r="215">
          <cell r="A215" t="str">
            <v>ASISTENTE DE BIOLOGIA I</v>
          </cell>
        </row>
        <row r="216">
          <cell r="A216" t="str">
            <v>ASISTENTE DE BIOLOGIA II</v>
          </cell>
        </row>
        <row r="217">
          <cell r="A217" t="str">
            <v>ASISTENTE DE CAPITAN DE PUERTO I</v>
          </cell>
        </row>
        <row r="218">
          <cell r="A218" t="str">
            <v>ASISTENTE DE CAPITAN DE PUERTO II</v>
          </cell>
        </row>
        <row r="219">
          <cell r="A219" t="str">
            <v>ASISTENTE DE COMUNICACION SOCIAL I</v>
          </cell>
        </row>
        <row r="220">
          <cell r="A220" t="str">
            <v>ASISTENTE DE COMUNICACION SOCIAL II</v>
          </cell>
        </row>
        <row r="221">
          <cell r="A221" t="str">
            <v>ASISTENTE DE CONTROL FINANCIERO</v>
          </cell>
        </row>
        <row r="222">
          <cell r="A222" t="str">
            <v>ASISTENTE DE DIETETICA</v>
          </cell>
        </row>
        <row r="223">
          <cell r="A223" t="str">
            <v>ASISTENTE DE ECONOMIA I</v>
          </cell>
        </row>
        <row r="224">
          <cell r="A224" t="str">
            <v>ASISTENTE DE ECONOMIA II</v>
          </cell>
        </row>
        <row r="225">
          <cell r="A225" t="str">
            <v>ASISTENTE DE ESCENOGRAFIA</v>
          </cell>
        </row>
        <row r="226">
          <cell r="A226" t="str">
            <v>ASISTENTE DE ESTADISTICA I</v>
          </cell>
        </row>
        <row r="227">
          <cell r="A227" t="str">
            <v>ASISTENTE DE ESTADISTICA II</v>
          </cell>
        </row>
        <row r="228">
          <cell r="A228" t="str">
            <v>ASISTENTE DE ESTADISTICA III</v>
          </cell>
        </row>
        <row r="229">
          <cell r="A229" t="str">
            <v>ASISTENTE DE ESTIMADOR DE ASTILLEROS I</v>
          </cell>
        </row>
        <row r="230">
          <cell r="A230" t="str">
            <v>ASISTENTE DE ESTIMADOR DE ASTILLEROS II</v>
          </cell>
        </row>
        <row r="231">
          <cell r="A231" t="str">
            <v>ASISTENTE DE FARMACIA I</v>
          </cell>
        </row>
        <row r="232">
          <cell r="A232" t="str">
            <v>ASISTENTE DE FARMACIA II</v>
          </cell>
        </row>
        <row r="233">
          <cell r="A233" t="str">
            <v>ASISTENTE DE GUARDAFAUNA I</v>
          </cell>
        </row>
        <row r="234">
          <cell r="A234" t="str">
            <v>ASISTENTE DE GUARDAFAUNA II</v>
          </cell>
        </row>
        <row r="235">
          <cell r="A235" t="str">
            <v>ASISTENTE DE HIDROMETEREOLOGIA I</v>
          </cell>
        </row>
        <row r="236">
          <cell r="A236" t="str">
            <v>ASISTENTE DE HIDROMETERIOLOGIA II</v>
          </cell>
        </row>
        <row r="237">
          <cell r="A237" t="str">
            <v>ASISTENTE DE HIDROMETERIOLOGIA III</v>
          </cell>
        </row>
        <row r="238">
          <cell r="A238" t="str">
            <v>ASISTENTE DE IDENTIFICACION</v>
          </cell>
        </row>
        <row r="239">
          <cell r="A239" t="str">
            <v>ASISTENTE DE INGENIERIA</v>
          </cell>
        </row>
        <row r="240">
          <cell r="A240" t="str">
            <v>ASISTENTE DE INMIGRACION Y EXTRANJERIA</v>
          </cell>
        </row>
        <row r="241">
          <cell r="A241" t="str">
            <v>ASISTENTE DE INVESTIGADOR DE MUSEO</v>
          </cell>
        </row>
        <row r="242">
          <cell r="A242" t="str">
            <v>ASISTENTE DE LABORATORIO CLINICO I</v>
          </cell>
        </row>
        <row r="243">
          <cell r="A243" t="str">
            <v>ASISTENTE DE LABORATORIO CLINICO II</v>
          </cell>
        </row>
        <row r="244">
          <cell r="A244" t="str">
            <v>ASISTENTE DE MUSEOGRAFIA</v>
          </cell>
        </row>
        <row r="245">
          <cell r="A245" t="str">
            <v>ASISTENTE DE OFICINA I</v>
          </cell>
        </row>
        <row r="246">
          <cell r="A246" t="str">
            <v>ASISTENTE DE OFICINA II</v>
          </cell>
        </row>
        <row r="247">
          <cell r="A247" t="str">
            <v>ASISTENTE DE ORTESIS Y/O PROTESIS</v>
          </cell>
        </row>
        <row r="248">
          <cell r="A248" t="str">
            <v>ASISTENTE DE PRE-ESCOLAR</v>
          </cell>
        </row>
        <row r="249">
          <cell r="A249" t="str">
            <v>ASISTENTE DE PRIMEROS AUXILIOS I</v>
          </cell>
        </row>
        <row r="250">
          <cell r="A250" t="str">
            <v>ASISTENTE DE PRIMEROS AUXILIOS II</v>
          </cell>
        </row>
        <row r="251">
          <cell r="A251" t="str">
            <v>ASISTENTE DE PRODUCCION</v>
          </cell>
        </row>
        <row r="252">
          <cell r="A252" t="str">
            <v>ASISTENTE DE PROGRAMACION</v>
          </cell>
        </row>
        <row r="253">
          <cell r="A253" t="str">
            <v>ASISTENTE DE PROMOTOR CULTURA</v>
          </cell>
        </row>
        <row r="254">
          <cell r="A254" t="str">
            <v>ASISTENTE DE PROMOTOR DE EXPORTACIONES</v>
          </cell>
        </row>
        <row r="255">
          <cell r="A255" t="str">
            <v>ASISTENTE DE PROTOCOLO</v>
          </cell>
        </row>
        <row r="256">
          <cell r="A256" t="str">
            <v>ASISTENTE DE PSICOLOGIA I</v>
          </cell>
        </row>
        <row r="257">
          <cell r="A257" t="str">
            <v>ASISTENTE DE PSICOLOGIA II</v>
          </cell>
        </row>
        <row r="258">
          <cell r="A258" t="str">
            <v>ASISTENTE DE PUERICULTURA</v>
          </cell>
        </row>
        <row r="259">
          <cell r="A259" t="str">
            <v>ASISTENTE DE RAYOS X</v>
          </cell>
        </row>
        <row r="260">
          <cell r="A260" t="str">
            <v>ASISTENTE DE RELACIONES PUBLICAS</v>
          </cell>
        </row>
        <row r="261">
          <cell r="A261" t="str">
            <v>ASISTENTE DE RESTAURACION</v>
          </cell>
        </row>
        <row r="262">
          <cell r="A262" t="str">
            <v>ASISTENTE DE SALUD PUBLICA</v>
          </cell>
        </row>
        <row r="263">
          <cell r="A263" t="str">
            <v>ASISTENTE DE SERVICIO SOCIAL</v>
          </cell>
        </row>
        <row r="264">
          <cell r="A264" t="str">
            <v>ASISTENTE DE TALLER N.G.</v>
          </cell>
        </row>
        <row r="265">
          <cell r="A265" t="str">
            <v>ASISTENTE DE TEATRO  IV 139</v>
          </cell>
        </row>
        <row r="266">
          <cell r="A266" t="str">
            <v>ASISTENTE DE TERAPIA</v>
          </cell>
        </row>
        <row r="267">
          <cell r="A267" t="str">
            <v>ASISTENTE DE TOPOGRAFO</v>
          </cell>
        </row>
        <row r="268">
          <cell r="A268" t="str">
            <v>ASISTENTE DE VETERINARIA</v>
          </cell>
        </row>
        <row r="269">
          <cell r="A269" t="str">
            <v>ASISTENTE ESPECIALISTA EN INFORMACION I</v>
          </cell>
        </row>
        <row r="270">
          <cell r="A270" t="str">
            <v>ASISTENTE ESPECIALISTA EN INFORMACION II</v>
          </cell>
        </row>
        <row r="271">
          <cell r="A271" t="str">
            <v>ASISTENTE HABILITADO I</v>
          </cell>
        </row>
        <row r="272">
          <cell r="A272" t="str">
            <v>ASISTENTE HABILITADO II</v>
          </cell>
        </row>
        <row r="273">
          <cell r="A273" t="str">
            <v>ASISTENTE MATEMATICA III</v>
          </cell>
        </row>
        <row r="274">
          <cell r="A274" t="str">
            <v>ASISTENTE MATEMATICAS I</v>
          </cell>
        </row>
        <row r="275">
          <cell r="A275" t="str">
            <v>ASISTENTE MATEMATICAS II</v>
          </cell>
        </row>
        <row r="276">
          <cell r="A276" t="str">
            <v>ASISTENTE TECNICO DE GUARDAFAUNA</v>
          </cell>
        </row>
        <row r="277">
          <cell r="A277" t="str">
            <v>ASISTENTE TECNICO DE INGENIERIA I</v>
          </cell>
        </row>
        <row r="278">
          <cell r="A278" t="str">
            <v>ASISTENTE TECNICO DE INGENIERIA II</v>
          </cell>
        </row>
        <row r="279">
          <cell r="A279" t="str">
            <v>ASISTENTE TECNICO DE INGENIERIA III</v>
          </cell>
        </row>
        <row r="280">
          <cell r="A280" t="str">
            <v>ASISTENTE TECNICO EN REPARACION Y MANTE.</v>
          </cell>
        </row>
        <row r="281">
          <cell r="A281" t="str">
            <v>ASTRONOMO</v>
          </cell>
        </row>
        <row r="282">
          <cell r="A282" t="str">
            <v>AUDITOR I</v>
          </cell>
        </row>
        <row r="283">
          <cell r="A283" t="str">
            <v>AUDITOR II</v>
          </cell>
        </row>
        <row r="284">
          <cell r="A284" t="str">
            <v>AUDITOR III</v>
          </cell>
        </row>
        <row r="285">
          <cell r="A285" t="str">
            <v>AUDITOR IV</v>
          </cell>
        </row>
        <row r="286">
          <cell r="A286" t="str">
            <v>AUDITOR JEFE</v>
          </cell>
        </row>
        <row r="287">
          <cell r="A287" t="str">
            <v>AUTOGRAFISTA</v>
          </cell>
        </row>
        <row r="288">
          <cell r="A288" t="str">
            <v>AUX. BIBLIOTECA PUB. I   77</v>
          </cell>
        </row>
        <row r="289">
          <cell r="A289" t="str">
            <v>AUX. BIBLIOTECA PUB. I  139</v>
          </cell>
        </row>
        <row r="290">
          <cell r="A290" t="str">
            <v>AUX. BIBLIOTECA PUB. II  77</v>
          </cell>
        </row>
        <row r="291">
          <cell r="A291" t="str">
            <v>AUX. BIBLIOTECA PUB. II 139</v>
          </cell>
        </row>
        <row r="292">
          <cell r="A292" t="str">
            <v>AUX. BIBLIOTECA PUB. III 77</v>
          </cell>
        </row>
        <row r="293">
          <cell r="A293" t="str">
            <v>AUX. BIBLIOTECA PUB. IV  77</v>
          </cell>
        </row>
        <row r="294">
          <cell r="A294" t="str">
            <v>AUX. BIBLIOTECA PUB. IV 139</v>
          </cell>
        </row>
        <row r="295">
          <cell r="A295" t="str">
            <v>AUX. BIBLIOTECA PUB. N.G.</v>
          </cell>
        </row>
        <row r="296">
          <cell r="A296" t="str">
            <v>AUX. BIBLIOTECA PUB. V   77</v>
          </cell>
        </row>
        <row r="297">
          <cell r="A297" t="str">
            <v>AUX. BIBLIOTECA PUB. V  139</v>
          </cell>
        </row>
        <row r="298">
          <cell r="A298" t="str">
            <v>AUX. BIBLIOTECA PUB. VI  77</v>
          </cell>
        </row>
        <row r="299">
          <cell r="A299" t="str">
            <v>AUX. BIBLIOTECA PUB. VI 139</v>
          </cell>
        </row>
        <row r="300">
          <cell r="A300" t="str">
            <v>AUX. BIBLIOTECA PUB.III 139</v>
          </cell>
        </row>
        <row r="301">
          <cell r="A301" t="str">
            <v>AUX. BIBLIOTECA TCVN</v>
          </cell>
        </row>
        <row r="302">
          <cell r="A302" t="str">
            <v>AUXILIAR DE BIBLIOTECA N.G.</v>
          </cell>
        </row>
        <row r="303">
          <cell r="A303" t="str">
            <v>AUXILIAR DE BIBLIOTECA TID</v>
          </cell>
        </row>
        <row r="304">
          <cell r="A304" t="str">
            <v>AUXILIAR DE OFICINA I</v>
          </cell>
        </row>
        <row r="305">
          <cell r="A305" t="str">
            <v>AUXILIAR DE PRE-ESCOLAR</v>
          </cell>
        </row>
        <row r="306">
          <cell r="A306" t="str">
            <v>AUXILIAR DE TERAPIA</v>
          </cell>
        </row>
        <row r="307">
          <cell r="A307" t="str">
            <v>AUXILIAR DE TERAPIA N.G.</v>
          </cell>
        </row>
        <row r="308">
          <cell r="A308" t="str">
            <v>AUXILIAR DE TERAPIA NG</v>
          </cell>
        </row>
        <row r="309">
          <cell r="A309" t="str">
            <v>AVALUADOR DE INMUEBLES I</v>
          </cell>
        </row>
        <row r="310">
          <cell r="A310" t="str">
            <v>AVALUADOR DE INMUEBLES II</v>
          </cell>
        </row>
        <row r="311">
          <cell r="A311" t="str">
            <v>AVALUADOR DE INMUEBLES III</v>
          </cell>
        </row>
        <row r="312">
          <cell r="A312" t="str">
            <v>AVALUADOR DE INMUEBLES JEFE</v>
          </cell>
        </row>
        <row r="313">
          <cell r="A313" t="str">
            <v>BIBLIOTECARIA</v>
          </cell>
        </row>
        <row r="314">
          <cell r="A314" t="str">
            <v>BIBLIOTECOLOGO I</v>
          </cell>
        </row>
        <row r="315">
          <cell r="A315" t="str">
            <v>BIBLIOTECOLOGO II</v>
          </cell>
        </row>
        <row r="316">
          <cell r="A316" t="str">
            <v>BIBLIOTECOLOGO III</v>
          </cell>
        </row>
        <row r="317">
          <cell r="A317" t="str">
            <v>BIBLIOTECOLOGO IV</v>
          </cell>
        </row>
        <row r="318">
          <cell r="A318" t="str">
            <v>BIOANALISTA I</v>
          </cell>
        </row>
        <row r="319">
          <cell r="A319" t="str">
            <v>BIOANALISTA II</v>
          </cell>
        </row>
        <row r="320">
          <cell r="A320" t="str">
            <v>BIOANALISTA III</v>
          </cell>
        </row>
        <row r="321">
          <cell r="A321" t="str">
            <v>BIOANALISTA IV</v>
          </cell>
        </row>
        <row r="322">
          <cell r="A322" t="str">
            <v>BIOANALISTA V</v>
          </cell>
        </row>
        <row r="323">
          <cell r="A323" t="str">
            <v>BIOANALISTA VI</v>
          </cell>
        </row>
        <row r="324">
          <cell r="A324" t="str">
            <v>BIOLOGO I</v>
          </cell>
        </row>
        <row r="325">
          <cell r="A325" t="str">
            <v>BIOLOGO II</v>
          </cell>
        </row>
        <row r="326">
          <cell r="A326" t="str">
            <v>BIOLOGO III</v>
          </cell>
        </row>
        <row r="327">
          <cell r="A327" t="str">
            <v>BIOLOGO JEFE</v>
          </cell>
        </row>
        <row r="328">
          <cell r="A328" t="str">
            <v>BOMBARDINO SOLISTA</v>
          </cell>
        </row>
        <row r="329">
          <cell r="A329" t="str">
            <v>BOMBERO (BOMBERO)</v>
          </cell>
        </row>
        <row r="330">
          <cell r="A330" t="str">
            <v>BOMBERO I</v>
          </cell>
        </row>
        <row r="331">
          <cell r="A331" t="str">
            <v>BOMBERO II</v>
          </cell>
        </row>
        <row r="332">
          <cell r="A332" t="str">
            <v>BOMBERO III</v>
          </cell>
        </row>
        <row r="333">
          <cell r="A333" t="str">
            <v>BOMBERO IV</v>
          </cell>
        </row>
        <row r="334">
          <cell r="A334" t="str">
            <v>BOMBERO JEFE I</v>
          </cell>
        </row>
        <row r="335">
          <cell r="A335" t="str">
            <v>BOMBERO JEFE II</v>
          </cell>
        </row>
        <row r="336">
          <cell r="A336" t="str">
            <v>BOMBO 3</v>
          </cell>
        </row>
        <row r="337">
          <cell r="A337" t="str">
            <v>BOTANICO I</v>
          </cell>
        </row>
        <row r="338">
          <cell r="A338" t="str">
            <v>BOTANICO II</v>
          </cell>
        </row>
        <row r="339">
          <cell r="A339" t="str">
            <v>BOTANICO III</v>
          </cell>
        </row>
        <row r="340">
          <cell r="A340" t="str">
            <v>BOTANICO JEFE</v>
          </cell>
        </row>
        <row r="341">
          <cell r="A341" t="str">
            <v>CABO 1RO</v>
          </cell>
        </row>
        <row r="342">
          <cell r="A342" t="str">
            <v>CABO 1RO (BOMBERO)</v>
          </cell>
        </row>
        <row r="343">
          <cell r="A343" t="str">
            <v>CABO 2DO</v>
          </cell>
        </row>
        <row r="344">
          <cell r="A344" t="str">
            <v>CABO 2DO (BOMBERO)</v>
          </cell>
        </row>
        <row r="345">
          <cell r="A345" t="str">
            <v>CAJERO I</v>
          </cell>
        </row>
        <row r="346">
          <cell r="A346" t="str">
            <v>CAJERO II</v>
          </cell>
        </row>
        <row r="347">
          <cell r="A347" t="str">
            <v>CAJERO III</v>
          </cell>
        </row>
        <row r="348">
          <cell r="A348" t="str">
            <v>CAJERO JEFE</v>
          </cell>
        </row>
        <row r="349">
          <cell r="A349" t="str">
            <v>CALCULISTA DE HIDROCARBUROS I</v>
          </cell>
        </row>
        <row r="350">
          <cell r="A350" t="str">
            <v>CALCULISTA DE HIDROCARBUROS II</v>
          </cell>
        </row>
        <row r="351">
          <cell r="A351" t="str">
            <v>CALCULISTA DE HIDROCARBUROS III</v>
          </cell>
        </row>
        <row r="352">
          <cell r="A352" t="str">
            <v>CALIGRAFO</v>
          </cell>
        </row>
        <row r="353">
          <cell r="A353" t="str">
            <v>CAPELLAN I</v>
          </cell>
        </row>
        <row r="354">
          <cell r="A354" t="str">
            <v>CAPELLAN II</v>
          </cell>
        </row>
        <row r="355">
          <cell r="A355" t="str">
            <v>CAPITAN (BOMBERO)</v>
          </cell>
        </row>
        <row r="356">
          <cell r="A356" t="str">
            <v>CAPITAN DE HELICOPTERO</v>
          </cell>
        </row>
        <row r="357">
          <cell r="A357" t="str">
            <v>CAPITAN DE JET</v>
          </cell>
        </row>
        <row r="358">
          <cell r="A358" t="str">
            <v>CAPITAN DE PISTON</v>
          </cell>
        </row>
        <row r="359">
          <cell r="A359" t="str">
            <v>CAPITAN DE PUERTOS I</v>
          </cell>
        </row>
        <row r="360">
          <cell r="A360" t="str">
            <v>CAPITAN DE PUERTOS II</v>
          </cell>
        </row>
        <row r="361">
          <cell r="A361" t="str">
            <v>CAPITAN DE REMOLCADOR</v>
          </cell>
        </row>
        <row r="362">
          <cell r="A362" t="str">
            <v>CAPITAN DE TRANSPORTE NAVAL</v>
          </cell>
        </row>
        <row r="363">
          <cell r="A363" t="str">
            <v>CAPITAN I</v>
          </cell>
        </row>
        <row r="364">
          <cell r="A364" t="str">
            <v>CAPITAN II</v>
          </cell>
        </row>
        <row r="365">
          <cell r="A365" t="str">
            <v>CAPITAN III</v>
          </cell>
        </row>
        <row r="366">
          <cell r="A366" t="str">
            <v>CENSOR RADIO Y TV</v>
          </cell>
        </row>
        <row r="367">
          <cell r="A367" t="str">
            <v>CITOTECNOLOG III</v>
          </cell>
        </row>
        <row r="368">
          <cell r="A368" t="str">
            <v>CITOTECNOLOGO I</v>
          </cell>
        </row>
        <row r="369">
          <cell r="A369" t="str">
            <v>CITOTECNOLOGO II</v>
          </cell>
        </row>
        <row r="370">
          <cell r="A370" t="str">
            <v>CLARINETE 1</v>
          </cell>
        </row>
        <row r="371">
          <cell r="A371" t="str">
            <v>CLARINETE 2</v>
          </cell>
        </row>
        <row r="372">
          <cell r="A372" t="str">
            <v>CLARINETE 3</v>
          </cell>
        </row>
        <row r="373">
          <cell r="A373" t="str">
            <v>CLARINETE I</v>
          </cell>
        </row>
        <row r="374">
          <cell r="A374" t="str">
            <v>CLARINETE II</v>
          </cell>
        </row>
        <row r="375">
          <cell r="A375" t="str">
            <v>CLARINETE SOLISTA</v>
          </cell>
        </row>
        <row r="376">
          <cell r="A376" t="str">
            <v>COBRADOR JEFE I</v>
          </cell>
        </row>
        <row r="377">
          <cell r="A377" t="str">
            <v>COBRADOR JEFE II</v>
          </cell>
        </row>
        <row r="378">
          <cell r="A378" t="str">
            <v>COLECTOR</v>
          </cell>
        </row>
        <row r="379">
          <cell r="A379" t="str">
            <v>COMANDANTE</v>
          </cell>
        </row>
        <row r="380">
          <cell r="A380" t="str">
            <v>COMANDANTE DE HELICOPTERO</v>
          </cell>
        </row>
        <row r="381">
          <cell r="A381" t="str">
            <v>COMANDANTE DE JET</v>
          </cell>
        </row>
        <row r="382">
          <cell r="A382" t="str">
            <v>COMANDANTE DE TURBO</v>
          </cell>
        </row>
        <row r="383">
          <cell r="A383" t="str">
            <v>COMANDANTE GENERAL</v>
          </cell>
        </row>
        <row r="384">
          <cell r="A384" t="str">
            <v>COMISARIO</v>
          </cell>
        </row>
        <row r="385">
          <cell r="A385" t="str">
            <v>COMISARIO GENERAL</v>
          </cell>
        </row>
        <row r="386">
          <cell r="A386" t="str">
            <v>COMISARIO JEFE</v>
          </cell>
        </row>
        <row r="387">
          <cell r="A387" t="str">
            <v>COMISIONADO</v>
          </cell>
        </row>
        <row r="388">
          <cell r="A388" t="str">
            <v>COMISIONADO (GRADO 0)</v>
          </cell>
        </row>
        <row r="389">
          <cell r="A389" t="str">
            <v>COMISIONADO (GRADO 1)</v>
          </cell>
        </row>
        <row r="390">
          <cell r="A390" t="str">
            <v>COMISIONADO (GRADO 2)</v>
          </cell>
        </row>
        <row r="391">
          <cell r="A391" t="str">
            <v>COMISIONADO AGREGADO</v>
          </cell>
        </row>
        <row r="392">
          <cell r="A392" t="str">
            <v>COMISIONADO AGREGADO (GRADO 0)</v>
          </cell>
        </row>
        <row r="393">
          <cell r="A393" t="str">
            <v>COMISIONADO AGREGADO (GRADO 1)</v>
          </cell>
        </row>
        <row r="394">
          <cell r="A394" t="str">
            <v>COMISIONADO AGREGADO (GRADO 2)</v>
          </cell>
        </row>
        <row r="395">
          <cell r="A395" t="str">
            <v>COMISIONADO ASUNTOS INTERINSTITUCIONALES</v>
          </cell>
        </row>
        <row r="396">
          <cell r="A396" t="str">
            <v>COMISIONADO DEL TRABAJO</v>
          </cell>
        </row>
        <row r="397">
          <cell r="A397" t="str">
            <v>COMISIONADO ESPECIAL DE TRABAJO I</v>
          </cell>
        </row>
        <row r="398">
          <cell r="A398" t="str">
            <v>COMISIONADO ESPECIAL DE TRABAJO II</v>
          </cell>
        </row>
        <row r="399">
          <cell r="A399" t="str">
            <v>COMISIONADO JEFE</v>
          </cell>
        </row>
        <row r="400">
          <cell r="A400" t="str">
            <v>COMISIONADO JEFE (GRADO 0)</v>
          </cell>
        </row>
        <row r="401">
          <cell r="A401" t="str">
            <v>COMISIONADO JEFE (GRADO 1)</v>
          </cell>
        </row>
        <row r="402">
          <cell r="A402" t="str">
            <v>COMISIONADO JEFE (GRADO 2)</v>
          </cell>
        </row>
        <row r="403">
          <cell r="A403" t="str">
            <v>COMISIONADO JEFE (GRADO 3)</v>
          </cell>
        </row>
        <row r="404">
          <cell r="A404" t="str">
            <v>COMISIONADO.</v>
          </cell>
        </row>
        <row r="405">
          <cell r="A405" t="str">
            <v>COMPRADOR I</v>
          </cell>
        </row>
        <row r="406">
          <cell r="A406" t="str">
            <v>COMPRADOR II</v>
          </cell>
        </row>
        <row r="407">
          <cell r="A407" t="str">
            <v>COMPRADOR III</v>
          </cell>
        </row>
        <row r="408">
          <cell r="A408" t="str">
            <v>COMPRADOR JEFE I</v>
          </cell>
        </row>
        <row r="409">
          <cell r="A409" t="str">
            <v>COMPRADOR JEFE II</v>
          </cell>
        </row>
        <row r="410">
          <cell r="A410" t="str">
            <v>COMUNICADOR SOCIAL I</v>
          </cell>
        </row>
        <row r="411">
          <cell r="A411" t="str">
            <v>COMUNICADOR SOCIAL II</v>
          </cell>
        </row>
        <row r="412">
          <cell r="A412" t="str">
            <v>COMUNICADOR SOCIAL III</v>
          </cell>
        </row>
        <row r="413">
          <cell r="A413" t="str">
            <v>CONDUCTORES DE 1RA</v>
          </cell>
        </row>
        <row r="414">
          <cell r="A414" t="str">
            <v>CONDUCTORES DE 2DA</v>
          </cell>
        </row>
        <row r="415">
          <cell r="A415" t="str">
            <v>CONDUCTORES DE 3RA</v>
          </cell>
        </row>
        <row r="416">
          <cell r="A416" t="str">
            <v>CONSULTOR JURIDICO</v>
          </cell>
        </row>
        <row r="417">
          <cell r="A417" t="str">
            <v>CONTABILISTA I</v>
          </cell>
        </row>
        <row r="418">
          <cell r="A418" t="str">
            <v>CONTABILISTA II</v>
          </cell>
        </row>
        <row r="419">
          <cell r="A419" t="str">
            <v>CONTABILISTA III</v>
          </cell>
        </row>
        <row r="420">
          <cell r="A420" t="str">
            <v>CONTADOR I</v>
          </cell>
        </row>
        <row r="421">
          <cell r="A421" t="str">
            <v>CONTADOR II</v>
          </cell>
        </row>
        <row r="422">
          <cell r="A422" t="str">
            <v>CONTADOR III</v>
          </cell>
        </row>
        <row r="423">
          <cell r="A423" t="str">
            <v>CONTADOR IV</v>
          </cell>
        </row>
        <row r="424">
          <cell r="A424" t="str">
            <v>CONTADOR JEFE</v>
          </cell>
        </row>
        <row r="425">
          <cell r="A425" t="str">
            <v>CONTRABAJO</v>
          </cell>
        </row>
        <row r="426">
          <cell r="A426" t="str">
            <v>CONTRABAJO</v>
          </cell>
        </row>
        <row r="427">
          <cell r="A427" t="str">
            <v>CONTRABAJO 1</v>
          </cell>
        </row>
        <row r="428">
          <cell r="A428" t="str">
            <v>CONTRABAJO I/ INST. I N.G. (16 HORAS)</v>
          </cell>
        </row>
        <row r="429">
          <cell r="A429" t="str">
            <v>CONTRABAJO II</v>
          </cell>
        </row>
        <row r="430">
          <cell r="A430" t="str">
            <v>CONTRALOR INTERNO</v>
          </cell>
        </row>
        <row r="431">
          <cell r="A431" t="str">
            <v>CONTROLADOR DE ARMAS Y EXPLOSIVOS I</v>
          </cell>
        </row>
        <row r="432">
          <cell r="A432" t="str">
            <v>CONTROLADOR DE ARMAS Y EXPLOSIVOS II</v>
          </cell>
        </row>
        <row r="433">
          <cell r="A433" t="str">
            <v>CONTROLADOR DE ARMAS Y EXPLOSIVOS III</v>
          </cell>
        </row>
        <row r="434">
          <cell r="A434" t="str">
            <v>CONTROLADOR DE TRANSITO AEREO I</v>
          </cell>
        </row>
        <row r="435">
          <cell r="A435" t="str">
            <v>CONTROLADOR DE TRANSITO AEREO II</v>
          </cell>
        </row>
        <row r="436">
          <cell r="A436" t="str">
            <v>CONTROLADOR DE TRANSITO AEREO III</v>
          </cell>
        </row>
        <row r="437">
          <cell r="A437" t="str">
            <v>CONTROLADOR DE TRANSITO AEREO IV</v>
          </cell>
        </row>
        <row r="438">
          <cell r="A438" t="str">
            <v>CONTROLADOR DE TRANSITO AEREO JEFE I</v>
          </cell>
        </row>
        <row r="439">
          <cell r="A439" t="str">
            <v>CONTROLADOR DE TRANSITO AEREO JEFE II</v>
          </cell>
        </row>
        <row r="440">
          <cell r="A440" t="str">
            <v>CONTROLADOR DE TRANSITO AEREO JEFE III</v>
          </cell>
        </row>
        <row r="441">
          <cell r="A441" t="str">
            <v>CONTROLADOR DE TRANSITO AEREO V</v>
          </cell>
        </row>
        <row r="442">
          <cell r="A442" t="str">
            <v>CONTROLADOR DE TRANSITO AEREO VI</v>
          </cell>
        </row>
        <row r="443">
          <cell r="A443" t="str">
            <v>COORD DOC VI 77 TID (36 HORAS) Y DOCENTE BASICO VI (06 HORAS)</v>
          </cell>
        </row>
        <row r="444">
          <cell r="A444" t="str">
            <v>COORD.  I   77</v>
          </cell>
        </row>
        <row r="445">
          <cell r="A445" t="str">
            <v>COORD.  II  77</v>
          </cell>
        </row>
        <row r="446">
          <cell r="A446" t="str">
            <v>COORD.  III 77</v>
          </cell>
        </row>
        <row r="447">
          <cell r="A447" t="str">
            <v>COORD.  IV  77</v>
          </cell>
        </row>
        <row r="448">
          <cell r="A448" t="str">
            <v>COORD.  V   77</v>
          </cell>
        </row>
        <row r="449">
          <cell r="A449" t="str">
            <v>COORD.  VI  77</v>
          </cell>
        </row>
        <row r="450">
          <cell r="A450" t="str">
            <v>COORD. CONSERV. Y M.</v>
          </cell>
        </row>
        <row r="451">
          <cell r="A451" t="str">
            <v>COORD. DE DIFUSIONLITER. Y TEATRAL</v>
          </cell>
        </row>
        <row r="452">
          <cell r="A452" t="str">
            <v>COORD. DE SEGUIMIENTO Y EVAL. DE POLITICAS PUBLICAS</v>
          </cell>
        </row>
        <row r="453">
          <cell r="A453" t="str">
            <v>COORD. DEL COMITE ESTADAL DE LA VIVIENDA</v>
          </cell>
        </row>
        <row r="454">
          <cell r="A454" t="str">
            <v>COORD. DESARROLLO DE RECURSOS HUMANOS II</v>
          </cell>
        </row>
        <row r="455">
          <cell r="A455" t="str">
            <v>COORD. DOCENTE 77</v>
          </cell>
        </row>
        <row r="456">
          <cell r="A456" t="str">
            <v>COORD. DOCENTE I   77</v>
          </cell>
        </row>
        <row r="457">
          <cell r="A457" t="str">
            <v>COORD. DOCENTE II  77</v>
          </cell>
        </row>
        <row r="458">
          <cell r="A458" t="str">
            <v>COORD. DOCENTE III 77</v>
          </cell>
        </row>
        <row r="459">
          <cell r="A459" t="str">
            <v>COORD. DOCENTE IV  77</v>
          </cell>
        </row>
        <row r="460">
          <cell r="A460" t="str">
            <v>COORD. DOCENTE IV 77 TC (36 HORAS) Y DOCENTE IV 77 TCVNMA (16 HORAS)</v>
          </cell>
        </row>
        <row r="461">
          <cell r="A461" t="str">
            <v>COORD. DOCENTE V   77</v>
          </cell>
        </row>
        <row r="462">
          <cell r="A462" t="str">
            <v>COORD. DOCENTE VI  77</v>
          </cell>
        </row>
        <row r="463">
          <cell r="A463" t="str">
            <v>COORD. ENTES P Y P DE CULTURA Y DEPORTE</v>
          </cell>
        </row>
        <row r="464">
          <cell r="A464" t="str">
            <v>COORD. I   139</v>
          </cell>
        </row>
        <row r="465">
          <cell r="A465" t="str">
            <v>COORD. II  139</v>
          </cell>
        </row>
        <row r="466">
          <cell r="A466" t="str">
            <v>COORD. III 139</v>
          </cell>
        </row>
        <row r="467">
          <cell r="A467" t="str">
            <v>COORD. INV. Y FLOK.</v>
          </cell>
        </row>
        <row r="468">
          <cell r="A468" t="str">
            <v>COORD. IV  139</v>
          </cell>
        </row>
        <row r="469">
          <cell r="A469" t="str">
            <v>COORD. RED DE BIBLIOTECAS E INFORM. ESTA</v>
          </cell>
        </row>
        <row r="470">
          <cell r="A470" t="str">
            <v>COORD. REGISTRO NACIONAL PERMANENTE</v>
          </cell>
        </row>
        <row r="471">
          <cell r="A471" t="str">
            <v>COORD. V   139</v>
          </cell>
        </row>
        <row r="472">
          <cell r="A472" t="str">
            <v>COORD. VI  139</v>
          </cell>
        </row>
        <row r="473">
          <cell r="A473" t="str">
            <v>COORD.DIF.C.CUL.VI 139</v>
          </cell>
        </row>
        <row r="474">
          <cell r="A474" t="str">
            <v>COORD.DIF.Y PROM.DOC.BAS.16 TC.139</v>
          </cell>
        </row>
        <row r="475">
          <cell r="A475" t="str">
            <v>COORD.DOCENTE BAS.16TC. VI 77</v>
          </cell>
        </row>
        <row r="476">
          <cell r="A476" t="str">
            <v>COORD.DOCENTE N.G.</v>
          </cell>
        </row>
        <row r="477">
          <cell r="A477" t="str">
            <v>COORD.EDUC.RURAL</v>
          </cell>
        </row>
        <row r="478">
          <cell r="A478" t="str">
            <v>COORD.MANT. Y CONSERV.</v>
          </cell>
        </row>
        <row r="479">
          <cell r="A479" t="str">
            <v>COORDINADOR</v>
          </cell>
        </row>
        <row r="480">
          <cell r="A480" t="str">
            <v>COORDINADOR</v>
          </cell>
        </row>
        <row r="481">
          <cell r="A481" t="str">
            <v>COORDINADOR ADMINISTRATIVO</v>
          </cell>
        </row>
        <row r="482">
          <cell r="A482" t="str">
            <v>COORDINADOR DE  ASISTENCIA TECNICA</v>
          </cell>
        </row>
        <row r="483">
          <cell r="A483" t="str">
            <v>COORDINADOR DE  FORMACION CULTURAL</v>
          </cell>
        </row>
        <row r="484">
          <cell r="A484" t="str">
            <v>COORDINADOR DE ASUNTOS CINEMATOGRAFICOS I</v>
          </cell>
        </row>
        <row r="485">
          <cell r="A485" t="str">
            <v>COORDINADOR DE ASUNTOS CINEMATOGRAFICOS II</v>
          </cell>
        </row>
        <row r="486">
          <cell r="A486" t="str">
            <v>COORDINADOR DE ASUNTOS CINEMATOGRAFICOS III</v>
          </cell>
        </row>
        <row r="487">
          <cell r="A487" t="str">
            <v>COORDINADOR DE ASUNTOS INTERNACIONALES I</v>
          </cell>
        </row>
        <row r="488">
          <cell r="A488" t="str">
            <v>COORDINADOR DE ASUNTOS INTERNACIONALES II</v>
          </cell>
        </row>
        <row r="489">
          <cell r="A489" t="str">
            <v>COORDINADOR DE ASUNTOS INTERNACIONALES III</v>
          </cell>
        </row>
        <row r="490">
          <cell r="A490" t="str">
            <v>COORDINADOR DE ASUNTOS LABORALES I</v>
          </cell>
        </row>
        <row r="491">
          <cell r="A491" t="str">
            <v>COORDINADOR DE ASUNTOS LABORALES II</v>
          </cell>
        </row>
        <row r="492">
          <cell r="A492" t="str">
            <v>COORDINADOR DE ASUNTOS LITERARIOS</v>
          </cell>
        </row>
        <row r="493">
          <cell r="A493" t="str">
            <v>COORDINADOR DE AYUDA JUVENIL</v>
          </cell>
        </row>
        <row r="494">
          <cell r="A494" t="str">
            <v>COORDINADOR DE CENTRO I</v>
          </cell>
        </row>
        <row r="495">
          <cell r="A495" t="str">
            <v>COORDINADOR DE CENTRO II</v>
          </cell>
        </row>
        <row r="496">
          <cell r="A496" t="str">
            <v>COORDINADOR DE CIENCIAS POLITICAS</v>
          </cell>
        </row>
        <row r="497">
          <cell r="A497" t="str">
            <v>COORDINADOR DE DESARROLLO DE RECURSOS HUMANOS I</v>
          </cell>
        </row>
        <row r="498">
          <cell r="A498" t="str">
            <v>COORDINADOR DE ESCUELAS DE ENFERMERIA</v>
          </cell>
        </row>
        <row r="499">
          <cell r="A499" t="str">
            <v>COORDINADOR DE EVENTOS Y PROTOCOLO</v>
          </cell>
        </row>
        <row r="500">
          <cell r="A500" t="str">
            <v>COORDINADOR DE FORMACION EMPRESARIA I</v>
          </cell>
        </row>
        <row r="501">
          <cell r="A501" t="str">
            <v>COORDINADOR DE FORMACION EMPRESARIAL II</v>
          </cell>
        </row>
        <row r="502">
          <cell r="A502" t="str">
            <v>COORDINADOR DE FORMACION PROFESIONAL</v>
          </cell>
        </row>
        <row r="503">
          <cell r="A503" t="str">
            <v>COORDINADOR DE FRONTERAS</v>
          </cell>
        </row>
        <row r="504">
          <cell r="A504" t="str">
            <v>COORDINADOR DE PREFECTURAS</v>
          </cell>
        </row>
        <row r="505">
          <cell r="A505" t="str">
            <v>COORDINADOR DE PROGRAMA (SAPNNAET)</v>
          </cell>
        </row>
        <row r="506">
          <cell r="A506" t="str">
            <v>COORDINADOR DE PROGRAMAS DE FORMACION I</v>
          </cell>
        </row>
        <row r="507">
          <cell r="A507" t="str">
            <v>COORDINADOR DE PROGRAMAS DE FORMACION II</v>
          </cell>
        </row>
        <row r="508">
          <cell r="A508" t="str">
            <v>COORDINADOR DE PROGRAMAS TV</v>
          </cell>
        </row>
        <row r="509">
          <cell r="A509" t="str">
            <v>COORDINADOR DE PROTOCOLO</v>
          </cell>
        </row>
        <row r="510">
          <cell r="A510" t="str">
            <v>COORDINADOR DE RENDICION DE CUENTA</v>
          </cell>
        </row>
        <row r="511">
          <cell r="A511" t="str">
            <v>COORDINADOR DE SERVICIOS TURISTICOS I</v>
          </cell>
        </row>
        <row r="512">
          <cell r="A512" t="str">
            <v>COORDINADOR DE SERVICIOS TURISTICOS II</v>
          </cell>
        </row>
        <row r="513">
          <cell r="A513" t="str">
            <v>COORDINADOR DEASUNTOS INTERNACIONALES JEFE</v>
          </cell>
        </row>
        <row r="514">
          <cell r="A514" t="str">
            <v>COORDINADOR DEFENSA CIVIL</v>
          </cell>
        </row>
        <row r="515">
          <cell r="A515" t="str">
            <v>COORDINADOR DOCENTE BASICO VI 77 TID (36 HORAS) Y TCVD (7HORAS)</v>
          </cell>
        </row>
        <row r="516">
          <cell r="A516" t="str">
            <v>COORDINADOR DOCENTE BASICO VI TC (36 HORAS) Y DOC. BAS. VI TC (11 HORAS)</v>
          </cell>
        </row>
        <row r="517">
          <cell r="A517" t="str">
            <v>COORDINADOR DOCENTE BASICO VI TCVD</v>
          </cell>
        </row>
        <row r="518">
          <cell r="A518" t="str">
            <v>COORDINADOR GENERAL DE PERSONAL</v>
          </cell>
        </row>
        <row r="519">
          <cell r="A519" t="str">
            <v>COORDINADOR PUBLICITARIO</v>
          </cell>
        </row>
        <row r="520">
          <cell r="A520" t="str">
            <v>COORDINADOR RECREACION</v>
          </cell>
        </row>
        <row r="521">
          <cell r="A521" t="str">
            <v>COORDINADOR ZONAL</v>
          </cell>
        </row>
        <row r="522">
          <cell r="A522" t="str">
            <v>COORDINADORA DOCENTE V 77 Y DOCENTE BASICA V 77 TCVN Y DOCENTE AULA V (ZONA EDUCATIVA)</v>
          </cell>
        </row>
        <row r="523">
          <cell r="A523" t="str">
            <v>COPILOTO DE HELICOPTERO I</v>
          </cell>
        </row>
        <row r="524">
          <cell r="A524" t="str">
            <v>COPILOTO DE HELICOTERO II</v>
          </cell>
        </row>
        <row r="525">
          <cell r="A525" t="str">
            <v>COPILOTO DE PISTON I</v>
          </cell>
        </row>
        <row r="526">
          <cell r="A526" t="str">
            <v>COPILOTO DE PISTON II</v>
          </cell>
        </row>
        <row r="527">
          <cell r="A527" t="str">
            <v>COPILOTO DE TURBO</v>
          </cell>
        </row>
        <row r="528">
          <cell r="A528" t="str">
            <v>COPISTA ARCHIVERO</v>
          </cell>
        </row>
        <row r="529">
          <cell r="A529" t="str">
            <v>CORDINADOR DE ORGANISMOS CULTURALES</v>
          </cell>
        </row>
        <row r="530">
          <cell r="A530" t="str">
            <v>CORNO 2</v>
          </cell>
        </row>
        <row r="531">
          <cell r="A531" t="str">
            <v>CORNO 3</v>
          </cell>
        </row>
        <row r="532">
          <cell r="A532" t="str">
            <v>CORNO I</v>
          </cell>
        </row>
        <row r="533">
          <cell r="A533" t="str">
            <v>CORONEL (BOMBERO)</v>
          </cell>
        </row>
        <row r="534">
          <cell r="A534" t="str">
            <v>CORRECTOR DE ESTILO</v>
          </cell>
        </row>
        <row r="535">
          <cell r="A535" t="str">
            <v>CRIMINOLOGO</v>
          </cell>
        </row>
        <row r="536">
          <cell r="A536" t="str">
            <v>CUATRO</v>
          </cell>
        </row>
        <row r="537">
          <cell r="A537" t="str">
            <v>DELEGADO PRUEBA I</v>
          </cell>
        </row>
        <row r="538">
          <cell r="A538" t="str">
            <v>DELEGADO PRUEBA II</v>
          </cell>
        </row>
        <row r="539">
          <cell r="A539" t="str">
            <v>DELEGADO PRUEBA III</v>
          </cell>
        </row>
        <row r="540">
          <cell r="A540" t="str">
            <v>DELEGADO PRUEBA IV</v>
          </cell>
        </row>
        <row r="541">
          <cell r="A541" t="str">
            <v>DELEGADO PRUEBA V</v>
          </cell>
        </row>
        <row r="542">
          <cell r="A542" t="str">
            <v>DEMOSTRADORA DEL HOGAR I</v>
          </cell>
        </row>
        <row r="543">
          <cell r="A543" t="str">
            <v>DEMOSTRADORA DEL HOGAR II</v>
          </cell>
        </row>
        <row r="544">
          <cell r="A544" t="str">
            <v>DEMOSTRADORA DEL HOGAR III</v>
          </cell>
        </row>
        <row r="545">
          <cell r="A545" t="str">
            <v>DEMOSTRADORA DEL HOGAR JEFE</v>
          </cell>
        </row>
        <row r="546">
          <cell r="A546" t="str">
            <v>DEPOSITARIO DE ESPECIES FISCALES</v>
          </cell>
        </row>
        <row r="547">
          <cell r="A547" t="str">
            <v>DEPOSITARIO DE ESPECIES FISCALES JEFE</v>
          </cell>
        </row>
        <row r="548">
          <cell r="A548" t="str">
            <v>DIAGRAMADOR</v>
          </cell>
        </row>
        <row r="549">
          <cell r="A549" t="str">
            <v>DIBUJANTE CARTOGRAFICIO I</v>
          </cell>
        </row>
        <row r="550">
          <cell r="A550" t="str">
            <v>DIBUJANTE CARTOGRAFICO II</v>
          </cell>
        </row>
        <row r="551">
          <cell r="A551" t="str">
            <v>DIBUJANTE CARTOGRAFICO III</v>
          </cell>
        </row>
        <row r="552">
          <cell r="A552" t="str">
            <v>DIBUJANTE CARTOGRAFICO IV</v>
          </cell>
        </row>
        <row r="553">
          <cell r="A553" t="str">
            <v>DIBUJANTE CARTOGRAFICO JEFE</v>
          </cell>
        </row>
        <row r="554">
          <cell r="A554" t="str">
            <v>DIBUJANTE I</v>
          </cell>
        </row>
        <row r="555">
          <cell r="A555" t="str">
            <v>DIBUJANTE II</v>
          </cell>
        </row>
        <row r="556">
          <cell r="A556" t="str">
            <v>DIBUJANTE III</v>
          </cell>
        </row>
        <row r="557">
          <cell r="A557" t="str">
            <v>DIBUJANTE ILUSTRADOR I</v>
          </cell>
        </row>
        <row r="558">
          <cell r="A558" t="str">
            <v>DIBUJANTE ILUSTRADOR II</v>
          </cell>
        </row>
        <row r="559">
          <cell r="A559" t="str">
            <v>DIBUJANTE ILUSTRADOR JEFE</v>
          </cell>
        </row>
        <row r="560">
          <cell r="A560" t="str">
            <v>DIBUJANTE JEFE</v>
          </cell>
        </row>
        <row r="561">
          <cell r="A561" t="str">
            <v>DIETISTA I</v>
          </cell>
        </row>
        <row r="562">
          <cell r="A562" t="str">
            <v>DIETISTA II</v>
          </cell>
        </row>
        <row r="563">
          <cell r="A563" t="str">
            <v>DIETISTA III</v>
          </cell>
        </row>
        <row r="564">
          <cell r="A564" t="str">
            <v>DIETISTA IV</v>
          </cell>
        </row>
        <row r="565">
          <cell r="A565" t="str">
            <v>DIETISTA JEFE</v>
          </cell>
        </row>
        <row r="566">
          <cell r="A566" t="str">
            <v>DIRECTOR</v>
          </cell>
        </row>
        <row r="567">
          <cell r="A567" t="str">
            <v>DIRECTOR</v>
          </cell>
        </row>
        <row r="568">
          <cell r="A568" t="str">
            <v>DIRECTOR BASICO VI TID (36 HORAS) Y DOCENTE BASICO VI 77 TCVD (18 HORAS)</v>
          </cell>
        </row>
        <row r="569">
          <cell r="A569" t="str">
            <v>DIRECTOR CENTRO DE CULTURA</v>
          </cell>
        </row>
        <row r="570">
          <cell r="A570" t="str">
            <v>DIRECTOR DE BANDA</v>
          </cell>
        </row>
        <row r="571">
          <cell r="A571" t="str">
            <v>DIRECTOR DE BANDA Y PROFESOR DE FLAUTA Y PIANO</v>
          </cell>
        </row>
        <row r="572">
          <cell r="A572" t="str">
            <v>DIRECTOR DE CULTURA Y PROFESOR PH NOCTURNO GR</v>
          </cell>
        </row>
        <row r="573">
          <cell r="A573" t="str">
            <v>DIRECTOR DE ESCUELA 139 III</v>
          </cell>
        </row>
        <row r="574">
          <cell r="A574" t="str">
            <v>DIRECTOR DE ESCUELAS DE ENFERMERIA</v>
          </cell>
        </row>
        <row r="575">
          <cell r="A575" t="str">
            <v>DIRECTOR DE PROGRAMAS DE CURSOS</v>
          </cell>
        </row>
        <row r="576">
          <cell r="A576" t="str">
            <v>DIRECTOR DE PROGRAMAS TV</v>
          </cell>
        </row>
        <row r="577">
          <cell r="A577" t="str">
            <v>DIRECTOR ESCUELA 139 III</v>
          </cell>
        </row>
        <row r="578">
          <cell r="A578" t="str">
            <v>DIRECTOR ESCUELA N.G.</v>
          </cell>
        </row>
        <row r="579">
          <cell r="A579" t="str">
            <v>DIRECTOR GENERAL</v>
          </cell>
        </row>
        <row r="580">
          <cell r="A580" t="str">
            <v>DIRECTOR I   139</v>
          </cell>
        </row>
        <row r="581">
          <cell r="A581" t="str">
            <v>DIRECTOR I   77</v>
          </cell>
        </row>
        <row r="582">
          <cell r="A582" t="str">
            <v>DIRECTOR II  139</v>
          </cell>
        </row>
        <row r="583">
          <cell r="A583" t="str">
            <v>DIRECTOR II  77</v>
          </cell>
        </row>
        <row r="584">
          <cell r="A584" t="str">
            <v>DIRECTOR III 139</v>
          </cell>
        </row>
        <row r="585">
          <cell r="A585" t="str">
            <v>DIRECTOR III 77</v>
          </cell>
        </row>
        <row r="586">
          <cell r="A586" t="str">
            <v>DIRECTOR IV  139</v>
          </cell>
        </row>
        <row r="587">
          <cell r="A587" t="str">
            <v>DIRECTOR IV  77</v>
          </cell>
        </row>
        <row r="588">
          <cell r="A588" t="str">
            <v>DIRECTOR TOPOGRAFO</v>
          </cell>
        </row>
        <row r="589">
          <cell r="A589" t="str">
            <v>DIRECTOR V   139</v>
          </cell>
        </row>
        <row r="590">
          <cell r="A590" t="str">
            <v>DIRECTOR V   77</v>
          </cell>
        </row>
        <row r="591">
          <cell r="A591" t="str">
            <v>DIRECTOR VI  139</v>
          </cell>
        </row>
        <row r="592">
          <cell r="A592" t="str">
            <v>DIRECTOR VI  77</v>
          </cell>
        </row>
        <row r="593">
          <cell r="A593" t="str">
            <v>DIRECTORA DOCENTE BASICA VI 139 TID Y DOCENTE BASICA VI 139 TCVN</v>
          </cell>
        </row>
        <row r="594">
          <cell r="A594" t="str">
            <v>DIRECTORA ESCUELA ANDRES BLANCO Y MAESTRA PH GR NOCTURNO VALERA</v>
          </cell>
        </row>
        <row r="595">
          <cell r="A595" t="str">
            <v>DISEÑADOR GRAFICO</v>
          </cell>
        </row>
        <row r="596">
          <cell r="A596" t="str">
            <v>DISEÑADOR GRAFICO</v>
          </cell>
        </row>
        <row r="597">
          <cell r="A597" t="str">
            <v>DISEÑADOR GRAFICO II</v>
          </cell>
        </row>
        <row r="598">
          <cell r="A598" t="str">
            <v>DISEÑADOR GRAFICO III</v>
          </cell>
        </row>
        <row r="599">
          <cell r="A599" t="str">
            <v>DISEÑADOR GRAFICO IV</v>
          </cell>
        </row>
        <row r="600">
          <cell r="A600" t="str">
            <v>DISTINGUIDO</v>
          </cell>
        </row>
        <row r="601">
          <cell r="A601" t="str">
            <v>DISTINGUIDO (BOMBERO)</v>
          </cell>
        </row>
        <row r="602">
          <cell r="A602" t="str">
            <v>DOC. 77-TC. III.</v>
          </cell>
        </row>
        <row r="603">
          <cell r="A603" t="str">
            <v>DOC. BAS I 77 TCVD INTERINO</v>
          </cell>
        </row>
        <row r="604">
          <cell r="A604" t="str">
            <v>DOC. BAS I TSE TCVDMA INTERINO</v>
          </cell>
        </row>
        <row r="605">
          <cell r="A605" t="str">
            <v>DOC. BAS. 77 TCVNMA/DOC IV AULA ADULTOS/DIRECTOR DE EDUCACION</v>
          </cell>
        </row>
        <row r="606">
          <cell r="A606" t="str">
            <v>DOC. BAS. DIR. VI 77 T.C. V.N.</v>
          </cell>
        </row>
        <row r="607">
          <cell r="A607" t="str">
            <v>DOC. BAS. I (03 HORAS) Y DOC BAS IV 77 TID (33 HORAS9 /TCVD (09 HORAS)</v>
          </cell>
        </row>
        <row r="608">
          <cell r="A608" t="str">
            <v>DOC. BAS. I 77 INTERINO</v>
          </cell>
        </row>
        <row r="609">
          <cell r="A609" t="str">
            <v>DOC. BAS. I 77 TCVDMA INTERINO</v>
          </cell>
        </row>
        <row r="610">
          <cell r="A610" t="str">
            <v>DOC. BAS. I 77 TID (33.33 HORAS)/TCVD (18 HORAS)</v>
          </cell>
        </row>
        <row r="611">
          <cell r="A611" t="str">
            <v>DOC. BAS. I 77 TID INTERINO</v>
          </cell>
        </row>
        <row r="612">
          <cell r="A612" t="str">
            <v>DOC. BAS. I T.S.E. TID INTERINO</v>
          </cell>
        </row>
        <row r="613">
          <cell r="A613" t="str">
            <v>DOC. BAS. III T.S.E  TCVD</v>
          </cell>
        </row>
        <row r="614">
          <cell r="A614" t="str">
            <v>DOC. BAS. IV  77  TID (33.33 HORAS)/TCVD (14 HORAS)</v>
          </cell>
        </row>
        <row r="615">
          <cell r="A615" t="str">
            <v>DOC. BAS. IV 77 TID (33.33 HORAS)/ TCVD (16 HORAS)</v>
          </cell>
        </row>
        <row r="616">
          <cell r="A616" t="str">
            <v>DOC. BAS. IV 77 TID (33.33 HORAS)/TCVD (06 HORAS)</v>
          </cell>
        </row>
        <row r="617">
          <cell r="A617" t="str">
            <v>DOC. BAS. N.G. TCVNMA / AUXILIAR DE BIBLIOTECA</v>
          </cell>
        </row>
        <row r="618">
          <cell r="A618" t="str">
            <v>DOC. BAS. PLANIF. V TC 77</v>
          </cell>
        </row>
        <row r="619">
          <cell r="A619" t="str">
            <v>DOC. BAS. V   77  TID (33,33 HORAS) /TCVD (11 HORAS)</v>
          </cell>
        </row>
        <row r="620">
          <cell r="A620" t="str">
            <v>DOC. BAS. V   77  TID (33,33 HORAS) /TCVD (13 HORAS)</v>
          </cell>
        </row>
        <row r="621">
          <cell r="A621" t="str">
            <v>DOC. BAS. V 77 TID (33.33 HORAS) /TCVD (10 HORAS)</v>
          </cell>
        </row>
        <row r="622">
          <cell r="A622" t="str">
            <v>DOC. BAS. VI  77  TID (33.33 HORAS)/TCVD (12 HORAS)</v>
          </cell>
        </row>
        <row r="623">
          <cell r="A623" t="str">
            <v>DOC. BAS. VI  77  TID (33.33 HORAS)/TCVD (19 HORAS)</v>
          </cell>
        </row>
        <row r="624">
          <cell r="A624" t="str">
            <v>DOC. BAS. VI  TID (33.33 HORAS)/TCVD (14 HORAS)</v>
          </cell>
        </row>
        <row r="625">
          <cell r="A625" t="str">
            <v>DOC. BAS. VI 139 TID / INSTRUCTOR I (16 HORAS)</v>
          </cell>
        </row>
        <row r="626">
          <cell r="A626" t="str">
            <v>DOC. BAS. VI 77 TID (33.33 HORAS) /TCVD (16 HORAS)</v>
          </cell>
        </row>
        <row r="627">
          <cell r="A627" t="str">
            <v>DOC. BAS.PLANIF.IV TC 77</v>
          </cell>
        </row>
        <row r="628">
          <cell r="A628" t="str">
            <v>DOC. BAS.V TCVD (16 HORAS) /TCVNMA (10 HORAS)</v>
          </cell>
        </row>
        <row r="629">
          <cell r="A629" t="str">
            <v>DOC. BASCO V  T.S.E. TCVNMA</v>
          </cell>
        </row>
        <row r="630">
          <cell r="A630" t="str">
            <v>DOC. BASICA 16- TSE TID VI</v>
          </cell>
        </row>
        <row r="631">
          <cell r="A631" t="str">
            <v>DOC. BASICA 16-789 TSE TCVD I</v>
          </cell>
        </row>
        <row r="632">
          <cell r="A632" t="str">
            <v>DOC. BASICA 16-789 TSE TCVD II</v>
          </cell>
        </row>
        <row r="633">
          <cell r="A633" t="str">
            <v>DOC. BASICA 16-789 TSE TCVD III</v>
          </cell>
        </row>
        <row r="634">
          <cell r="A634" t="str">
            <v>DOC. BASICA 16-789 TSE TCVD IV</v>
          </cell>
        </row>
        <row r="635">
          <cell r="A635" t="str">
            <v>DOC. BASICA 16-789 TSE TCVD V</v>
          </cell>
        </row>
        <row r="636">
          <cell r="A636" t="str">
            <v>DOC. BASICA 16-789 TSE TCVD VI</v>
          </cell>
        </row>
        <row r="637">
          <cell r="A637" t="str">
            <v>DOC. BASICA 16-TSE TID I</v>
          </cell>
        </row>
        <row r="638">
          <cell r="A638" t="str">
            <v>DOC. BASICA 16-TSE TID II</v>
          </cell>
        </row>
        <row r="639">
          <cell r="A639" t="str">
            <v>DOC. BASICA 16-TSE TID III</v>
          </cell>
        </row>
        <row r="640">
          <cell r="A640" t="str">
            <v>DOC. BASICA 16-TSE TID IV</v>
          </cell>
        </row>
        <row r="641">
          <cell r="A641" t="str">
            <v>DOC. BASICA 16-TSE TID V</v>
          </cell>
        </row>
        <row r="642">
          <cell r="A642" t="str">
            <v>DOC. BASICA 77  TCVD</v>
          </cell>
        </row>
        <row r="643">
          <cell r="A643" t="str">
            <v>DOC. BASICA 77  TID</v>
          </cell>
        </row>
        <row r="644">
          <cell r="A644" t="str">
            <v>DOC. BASICA 789-TSE TCVD I</v>
          </cell>
        </row>
        <row r="645">
          <cell r="A645" t="str">
            <v>DOC. BASICA 789-TSE TCVD II</v>
          </cell>
        </row>
        <row r="646">
          <cell r="A646" t="str">
            <v>DOC. BASICA 789-TSE TCVD III</v>
          </cell>
        </row>
        <row r="647">
          <cell r="A647" t="str">
            <v>DOC. BASICA 789-TSE TCVD IV</v>
          </cell>
        </row>
        <row r="648">
          <cell r="A648" t="str">
            <v>DOC. BASICA 789-TSE TCVD V</v>
          </cell>
        </row>
        <row r="649">
          <cell r="A649" t="str">
            <v>DOC. BASICA 789-TSE TCVD VI</v>
          </cell>
        </row>
        <row r="650">
          <cell r="A650" t="str">
            <v>DOC. BASICA I    77 TCVNMA</v>
          </cell>
        </row>
        <row r="651">
          <cell r="A651" t="str">
            <v>DOC. BASICA I    77 TCVNMA</v>
          </cell>
        </row>
        <row r="652">
          <cell r="A652" t="str">
            <v>DOC. BASICA I   139 TCVD</v>
          </cell>
        </row>
        <row r="653">
          <cell r="A653" t="str">
            <v>DOC. BASICA I   139 TCVNMA</v>
          </cell>
        </row>
        <row r="654">
          <cell r="A654" t="str">
            <v>DOC. BASICA I   139 TID</v>
          </cell>
        </row>
        <row r="655">
          <cell r="A655" t="str">
            <v>DOC. BASICA I   77  TCVD</v>
          </cell>
        </row>
        <row r="656">
          <cell r="A656" t="str">
            <v>DOC. BASICA I   77 16 TSE</v>
          </cell>
        </row>
        <row r="657">
          <cell r="A657" t="str">
            <v>DOC. BASICA I 77 TID</v>
          </cell>
        </row>
        <row r="658">
          <cell r="A658" t="str">
            <v>DOC. BASICA II  139 TCVD</v>
          </cell>
        </row>
        <row r="659">
          <cell r="A659" t="str">
            <v>DOC. BASICA II  139 TCVNMA</v>
          </cell>
        </row>
        <row r="660">
          <cell r="A660" t="str">
            <v>DOC. BASICA II  139 TID</v>
          </cell>
        </row>
        <row r="661">
          <cell r="A661" t="str">
            <v>DOC. BASICA II  77  TID</v>
          </cell>
        </row>
        <row r="662">
          <cell r="A662" t="str">
            <v>DOC. BASICA II  77 16 TSE</v>
          </cell>
        </row>
        <row r="663">
          <cell r="A663" t="str">
            <v>DOC. BASICA II 77</v>
          </cell>
        </row>
        <row r="664">
          <cell r="A664" t="str">
            <v>DOC. BASICA II 77  TCVD</v>
          </cell>
        </row>
        <row r="665">
          <cell r="A665" t="str">
            <v>DOC. BASICA II 77 TCVNMA</v>
          </cell>
        </row>
        <row r="666">
          <cell r="A666" t="str">
            <v>DOC. BASICA II 77 TCVNMA</v>
          </cell>
        </row>
        <row r="667">
          <cell r="A667" t="str">
            <v>DOC. BASICA III  77 TCVNMA</v>
          </cell>
        </row>
        <row r="668">
          <cell r="A668" t="str">
            <v>DOC. BASICA III  77 TCVNMA</v>
          </cell>
        </row>
        <row r="669">
          <cell r="A669" t="str">
            <v>DOC. BASICA III 139 TCVD</v>
          </cell>
        </row>
        <row r="670">
          <cell r="A670" t="str">
            <v>DOC. BASICA III 139 TCVNMA</v>
          </cell>
        </row>
        <row r="671">
          <cell r="A671" t="str">
            <v>DOC. BASICA III 139 TID</v>
          </cell>
        </row>
        <row r="672">
          <cell r="A672" t="str">
            <v>DOC. BASICA III 77  TCVD</v>
          </cell>
        </row>
        <row r="673">
          <cell r="A673" t="str">
            <v>DOC. BASICA III 77  TID</v>
          </cell>
        </row>
        <row r="674">
          <cell r="A674" t="str">
            <v>DOC. BASICA III 77 TCVN</v>
          </cell>
        </row>
        <row r="675">
          <cell r="A675" t="str">
            <v>DOC. BASICA IV   77 TCVNMA</v>
          </cell>
        </row>
        <row r="676">
          <cell r="A676" t="str">
            <v>DOC. BASICA IV   77 TCVNMA</v>
          </cell>
        </row>
        <row r="677">
          <cell r="A677" t="str">
            <v>DOC. BASICA IV  139 TCVD</v>
          </cell>
        </row>
        <row r="678">
          <cell r="A678" t="str">
            <v>DOC. BASICA IV  139 TCVNMA</v>
          </cell>
        </row>
        <row r="679">
          <cell r="A679" t="str">
            <v>DOC. BASICA IV  139 TID</v>
          </cell>
        </row>
        <row r="680">
          <cell r="A680" t="str">
            <v>DOC. BASICA IV  77  TCVD</v>
          </cell>
        </row>
        <row r="681">
          <cell r="A681" t="str">
            <v>DOC. BASICA IV  77  TID</v>
          </cell>
        </row>
        <row r="682">
          <cell r="A682" t="str">
            <v>DOC. BASICA IV  77  TID  (33 HORAS) /TCVD (14 HORAS)</v>
          </cell>
        </row>
        <row r="683">
          <cell r="A683" t="str">
            <v>DOC. BASICA IV  77 TC-V</v>
          </cell>
        </row>
        <row r="684">
          <cell r="A684" t="str">
            <v>DOC. BASICA IV 77 TCVD (19 HORAS) TID  (33.33 HORAS)</v>
          </cell>
        </row>
        <row r="685">
          <cell r="A685" t="str">
            <v>DOC. BASICA N.G. 16 TCVNMA</v>
          </cell>
        </row>
        <row r="686">
          <cell r="A686" t="str">
            <v>DOC. BASICA N.G. 19 TID</v>
          </cell>
        </row>
        <row r="687">
          <cell r="A687" t="str">
            <v>DOC. BASICA N.G. 789 TCVNHC</v>
          </cell>
        </row>
        <row r="688">
          <cell r="A688" t="str">
            <v>DOC. BASICA N.G. 789 TCVNMA</v>
          </cell>
        </row>
        <row r="689">
          <cell r="A689" t="str">
            <v>DOC. BASICA N.G. TCVD</v>
          </cell>
        </row>
        <row r="690">
          <cell r="A690" t="str">
            <v>DOC. BASICA N.G. TCVID</v>
          </cell>
        </row>
        <row r="691">
          <cell r="A691" t="str">
            <v>DOC. BASICA V    77 TCVNMA</v>
          </cell>
        </row>
        <row r="692">
          <cell r="A692" t="str">
            <v>DOC. BASICA V    77 TCVNMA</v>
          </cell>
        </row>
        <row r="693">
          <cell r="A693" t="str">
            <v>DOC. BASICA V   139 TCVD</v>
          </cell>
        </row>
        <row r="694">
          <cell r="A694" t="str">
            <v>DOC. BASICA V   139 TCVNMA</v>
          </cell>
        </row>
        <row r="695">
          <cell r="A695" t="str">
            <v>DOC. BASICA V   139 TID</v>
          </cell>
        </row>
        <row r="696">
          <cell r="A696" t="str">
            <v>DOC. BASICA V   77  TCVD</v>
          </cell>
        </row>
        <row r="697">
          <cell r="A697" t="str">
            <v>DOC. BASICA V   77  TID</v>
          </cell>
        </row>
        <row r="698">
          <cell r="A698" t="str">
            <v>DOC. BASICA V   77  TID (33.33 HORAS /TCVD (10 HORAS)</v>
          </cell>
        </row>
        <row r="699">
          <cell r="A699" t="str">
            <v>DOC. BASICA V   77  TID (33.33 HORAS) /TCVD (13 HORAS)</v>
          </cell>
        </row>
        <row r="700">
          <cell r="A700" t="str">
            <v>DOC. BASICA V   77 TC-V 79</v>
          </cell>
        </row>
        <row r="701">
          <cell r="A701" t="str">
            <v>DOC. BASICA V  139 TCVD-MEF</v>
          </cell>
        </row>
        <row r="702">
          <cell r="A702" t="str">
            <v>DOC. BASICA V  77  TCVD  (10 HORAS) Y TCVNMA (16) HORAS</v>
          </cell>
        </row>
        <row r="703">
          <cell r="A703" t="str">
            <v>DOC. BASICA V  77  TID/TCVNMA</v>
          </cell>
        </row>
        <row r="704">
          <cell r="A704" t="str">
            <v>DOC. BASICA V 77 TID (33.33) TCVD (20 HORAS)</v>
          </cell>
        </row>
        <row r="705">
          <cell r="A705" t="str">
            <v>DOC. BASICA V ORIENT.77 TID</v>
          </cell>
        </row>
        <row r="706">
          <cell r="A706" t="str">
            <v>DOC. BASICA VI   77 TCVD</v>
          </cell>
        </row>
        <row r="707">
          <cell r="A707" t="str">
            <v>DOC. BASICA VI   77 TCVNMA</v>
          </cell>
        </row>
        <row r="708">
          <cell r="A708" t="str">
            <v>DOC. BASICA VI   77 TCVNMA</v>
          </cell>
        </row>
        <row r="709">
          <cell r="A709" t="str">
            <v>DOC. BASICA VI  139 TCVD</v>
          </cell>
        </row>
        <row r="710">
          <cell r="A710" t="str">
            <v>DOC. BASICA VI  139 TCVNMA</v>
          </cell>
        </row>
        <row r="711">
          <cell r="A711" t="str">
            <v>DOC. BASICA VI  139 TID</v>
          </cell>
        </row>
        <row r="712">
          <cell r="A712" t="str">
            <v>DOC. BASICA VI  77  TCVD</v>
          </cell>
        </row>
        <row r="713">
          <cell r="A713" t="str">
            <v>DOC. BASICA VI  77  TID</v>
          </cell>
        </row>
        <row r="714">
          <cell r="A714" t="str">
            <v>DOC. BASICA VI 77 TID (33.33 HORAS) TCVN (12 HORAS)</v>
          </cell>
        </row>
        <row r="715">
          <cell r="A715" t="str">
            <v>DOC. BASICA VI 77 TID (33.33 HORAS) TCVNMA (11 HORAS)</v>
          </cell>
        </row>
        <row r="716">
          <cell r="A716" t="str">
            <v>DOC. BASICO  VI  T.S.E. TCVNMA</v>
          </cell>
        </row>
        <row r="717">
          <cell r="A717" t="str">
            <v>DOC. BASICO I  T.S.E. TCVNMA</v>
          </cell>
        </row>
        <row r="718">
          <cell r="A718" t="str">
            <v>DOC. BASICO II  T.S.E. TCVNMA</v>
          </cell>
        </row>
        <row r="719">
          <cell r="A719" t="str">
            <v>DOC. BASICO III T.S.E. TCVNMA</v>
          </cell>
        </row>
        <row r="720">
          <cell r="A720" t="str">
            <v>DOC. BASICO IV  T.S.E. TCVNMA</v>
          </cell>
        </row>
        <row r="721">
          <cell r="A721" t="str">
            <v>DOC. DIR. BASICA  VI 139 TID (36 HORAS) Y DOC. BAS. VI 139 TCVNMA (16 HORAS)</v>
          </cell>
        </row>
        <row r="722">
          <cell r="A722" t="str">
            <v>DOC. DIRECTOR 77-TC  IV.</v>
          </cell>
        </row>
        <row r="723">
          <cell r="A723" t="str">
            <v>DOC. DIRECTOR ARTES P.</v>
          </cell>
        </row>
        <row r="724">
          <cell r="A724" t="str">
            <v>DOC. DIRECTOR BAS. N.G. 16 TCVNMA</v>
          </cell>
        </row>
        <row r="725">
          <cell r="A725" t="str">
            <v>DOC. DIRECTOR BAS. N.G. 789 TCVNMA</v>
          </cell>
        </row>
        <row r="726">
          <cell r="A726" t="str">
            <v>DOC. DIRECTOR BASICA  I 139 TCVNMA</v>
          </cell>
        </row>
        <row r="727">
          <cell r="A727" t="str">
            <v>DOC. DIRECTOR BASICA  V  77 TCVNMA</v>
          </cell>
        </row>
        <row r="728">
          <cell r="A728" t="str">
            <v>DOC. DIRECTOR BASICA  V 139 TCVNMA</v>
          </cell>
        </row>
        <row r="729">
          <cell r="A729" t="str">
            <v>DOC. DIRECTOR BASICA  V T.S.E TID</v>
          </cell>
        </row>
        <row r="730">
          <cell r="A730" t="str">
            <v>DOC. DIRECTOR BASICA 77  TID</v>
          </cell>
        </row>
        <row r="731">
          <cell r="A731" t="str">
            <v>DOC. DIRECTOR BASICA 77 TCVNMA</v>
          </cell>
        </row>
        <row r="732">
          <cell r="A732" t="str">
            <v>DOC. DIRECTOR BASICA I   77  TID</v>
          </cell>
        </row>
        <row r="733">
          <cell r="A733" t="str">
            <v>DOC. DIRECTOR BASICA I  77 TCVNMA</v>
          </cell>
        </row>
        <row r="734">
          <cell r="A734" t="str">
            <v>DOC. DIRECTOR BASICA II  77  TID</v>
          </cell>
        </row>
        <row r="735">
          <cell r="A735" t="str">
            <v>DOC. DIRECTOR BASICA III 139 TID</v>
          </cell>
        </row>
        <row r="736">
          <cell r="A736" t="str">
            <v>DOC. DIRECTOR BASICA III 77 TID</v>
          </cell>
        </row>
        <row r="737">
          <cell r="A737" t="str">
            <v>DOC. DIRECTOR BASICA IV  77 TCVNMA</v>
          </cell>
        </row>
        <row r="738">
          <cell r="A738" t="str">
            <v>DOC. DIRECTOR BASICA IV  77 TID</v>
          </cell>
        </row>
        <row r="739">
          <cell r="A739" t="str">
            <v>DOC. DIRECTOR BASICA IV 139 TCVNMA</v>
          </cell>
        </row>
        <row r="740">
          <cell r="A740" t="str">
            <v>DOC. DIRECTOR BASICA IV 139 TID</v>
          </cell>
        </row>
        <row r="741">
          <cell r="A741" t="str">
            <v>DOC. DIRECTOR BASICA IV T.S.E TID</v>
          </cell>
        </row>
        <row r="742">
          <cell r="A742" t="str">
            <v>DOC. DIRECTOR BASICA V   77 TID</v>
          </cell>
        </row>
        <row r="743">
          <cell r="A743" t="str">
            <v>DOC. DIRECTOR BASICA V  139 TID</v>
          </cell>
        </row>
        <row r="744">
          <cell r="A744" t="str">
            <v>DOC. DIRECTOR BASICA VI  77 TCVNMA</v>
          </cell>
        </row>
        <row r="745">
          <cell r="A745" t="str">
            <v>DOC. DIRECTOR BASICA VI  77 TID</v>
          </cell>
        </row>
        <row r="746">
          <cell r="A746" t="str">
            <v>DOC. DIRECTOR BASICA VI  77 TINMA</v>
          </cell>
        </row>
        <row r="747">
          <cell r="A747" t="str">
            <v>DOC. DIRECTOR BASICA VI 139 TCVNMA</v>
          </cell>
        </row>
        <row r="748">
          <cell r="A748" t="str">
            <v>DOC. DIRECTOR BASICA VI 139 TID</v>
          </cell>
        </row>
        <row r="749">
          <cell r="A749" t="str">
            <v>DOC. DIRECTOR BASICO I  T.S.E.</v>
          </cell>
        </row>
        <row r="750">
          <cell r="A750" t="str">
            <v>DOC. DIRECTOR BASICO II  T.S.E.</v>
          </cell>
        </row>
        <row r="751">
          <cell r="A751" t="str">
            <v>DOC. DIRECTOR BASICO III  T.S.E.</v>
          </cell>
        </row>
        <row r="752">
          <cell r="A752" t="str">
            <v>DOC. DIRECTOR BASICO IV  T.S.E.</v>
          </cell>
        </row>
        <row r="753">
          <cell r="A753" t="str">
            <v>DOC. DIRECTOR BASICO V  T.S.E.</v>
          </cell>
        </row>
        <row r="754">
          <cell r="A754" t="str">
            <v>DOC. DIRECTOR BASICO VI  T.S.E.</v>
          </cell>
        </row>
        <row r="755">
          <cell r="A755" t="str">
            <v>DOC. DIRECTOR N.G.</v>
          </cell>
        </row>
        <row r="756">
          <cell r="A756" t="str">
            <v>DOC. DIRECTOR PRE-ESC  II  77  TID</v>
          </cell>
        </row>
        <row r="757">
          <cell r="A757" t="str">
            <v>DOC. DIRECTOR PRE-ESC. I   77  TID</v>
          </cell>
        </row>
        <row r="758">
          <cell r="A758" t="str">
            <v>DOC. DIRECTOR PRE-ESC. III  77 TID</v>
          </cell>
        </row>
        <row r="759">
          <cell r="A759" t="str">
            <v>DOC. DIRECTOR PRE-ESC. III 139 TID</v>
          </cell>
        </row>
        <row r="760">
          <cell r="A760" t="str">
            <v>DOC. DIRECTOR PRE-ESC. IV  139 TID</v>
          </cell>
        </row>
        <row r="761">
          <cell r="A761" t="str">
            <v>DOC. DIRECTOR PRE-ESC. IV  77  TID</v>
          </cell>
        </row>
        <row r="762">
          <cell r="A762" t="str">
            <v>DOC. DIRECTOR PRE-ESC. V   139 TID</v>
          </cell>
        </row>
        <row r="763">
          <cell r="A763" t="str">
            <v>DOC. DIRECTOR PRE-ESC. V   77  TID</v>
          </cell>
        </row>
        <row r="764">
          <cell r="A764" t="str">
            <v>DOC. DIRECTOR PRE-ESC. VI  139 TID</v>
          </cell>
        </row>
        <row r="765">
          <cell r="A765" t="str">
            <v>DOC. DIRECTOR PRE-ESC. VI  77  TID</v>
          </cell>
        </row>
        <row r="766">
          <cell r="A766" t="str">
            <v>DOC. DIRECTOR TCV NMA 77-III</v>
          </cell>
        </row>
        <row r="767">
          <cell r="A767" t="str">
            <v>DOC. DIRECTOR VI 139</v>
          </cell>
        </row>
        <row r="768">
          <cell r="A768" t="str">
            <v>DOC. DIRECTOR VI 77</v>
          </cell>
        </row>
        <row r="769">
          <cell r="A769" t="str">
            <v>DOC. N.G.  TCVID (10 HORAS)/ TCVNMA (09 HORAS)</v>
          </cell>
        </row>
        <row r="770">
          <cell r="A770" t="str">
            <v>DOC. ORI.BAS. III 77</v>
          </cell>
        </row>
        <row r="771">
          <cell r="A771" t="str">
            <v>DOC. ORIEN. I 77 1-6 TC</v>
          </cell>
        </row>
        <row r="772">
          <cell r="A772" t="str">
            <v>DOC. ORIEN. V 77 1-6 TID</v>
          </cell>
        </row>
        <row r="773">
          <cell r="A773" t="str">
            <v>DOC. ORIENT. 77  III TID</v>
          </cell>
        </row>
        <row r="774">
          <cell r="A774" t="str">
            <v>DOC. ORIENTADOR 77 TC IV</v>
          </cell>
        </row>
        <row r="775">
          <cell r="A775" t="str">
            <v>DOC. ORIENTADOR 77 TC V</v>
          </cell>
        </row>
        <row r="776">
          <cell r="A776" t="str">
            <v>DOC. ORIENTADOR 77-TC. I.</v>
          </cell>
        </row>
        <row r="777">
          <cell r="A777" t="str">
            <v>DOC. PLAN.16 77  V</v>
          </cell>
        </row>
        <row r="778">
          <cell r="A778" t="str">
            <v>DOC. PLAN.16 77 IV</v>
          </cell>
        </row>
        <row r="779">
          <cell r="A779" t="str">
            <v>DOC. PLAN.16 77 VI</v>
          </cell>
        </row>
        <row r="780">
          <cell r="A780" t="str">
            <v>DOC. PLANIF. V   TC</v>
          </cell>
        </row>
        <row r="781">
          <cell r="A781" t="str">
            <v>DOC. PRE-ESC I 77 TID INTERINO</v>
          </cell>
        </row>
        <row r="782">
          <cell r="A782" t="str">
            <v>DOC. PRE-ESC I TSE TID INTERINO</v>
          </cell>
        </row>
        <row r="783">
          <cell r="A783" t="str">
            <v>DOC. PRE-ESC TSE TID I</v>
          </cell>
        </row>
        <row r="784">
          <cell r="A784" t="str">
            <v>DOC. PRE-ESC TSE TID II</v>
          </cell>
        </row>
        <row r="785">
          <cell r="A785" t="str">
            <v>DOC. PRE-ESC TSE TID III</v>
          </cell>
        </row>
        <row r="786">
          <cell r="A786" t="str">
            <v>DOC. PRE-ESC TSE TID IV</v>
          </cell>
        </row>
        <row r="787">
          <cell r="A787" t="str">
            <v>DOC. PRE-ESC TSE TID V</v>
          </cell>
        </row>
        <row r="788">
          <cell r="A788" t="str">
            <v>DOC. PRE-ESC TSE TID VI</v>
          </cell>
        </row>
        <row r="789">
          <cell r="A789" t="str">
            <v>DOC. PRE-ESC. I   139 TID</v>
          </cell>
        </row>
        <row r="790">
          <cell r="A790" t="str">
            <v>DOC. PRE-ESC. I   77  TID</v>
          </cell>
        </row>
        <row r="791">
          <cell r="A791" t="str">
            <v>DOC. PRE-ESC. II  139 TID</v>
          </cell>
        </row>
        <row r="792">
          <cell r="A792" t="str">
            <v>DOC. PRE-ESC. II  77  TID</v>
          </cell>
        </row>
        <row r="793">
          <cell r="A793" t="str">
            <v>DOC. PRE-ESC. III 139 TID</v>
          </cell>
        </row>
        <row r="794">
          <cell r="A794" t="str">
            <v>DOC. PRE-ESC. III 77  TID</v>
          </cell>
        </row>
        <row r="795">
          <cell r="A795" t="str">
            <v>DOC. PRE-ESC. IV  139 TID</v>
          </cell>
        </row>
        <row r="796">
          <cell r="A796" t="str">
            <v>DOC. PRE-ESC. IV  77  TID</v>
          </cell>
        </row>
        <row r="797">
          <cell r="A797" t="str">
            <v>DOC. PRE-ESC. V   139 TID</v>
          </cell>
        </row>
        <row r="798">
          <cell r="A798" t="str">
            <v>DOC. PRE-ESC. V   77  TID</v>
          </cell>
        </row>
        <row r="799">
          <cell r="A799" t="str">
            <v>DOC. PRE-ESC. VI  139 TID</v>
          </cell>
        </row>
        <row r="800">
          <cell r="A800" t="str">
            <v>DOC. PRE-ESC. VI  77  TID</v>
          </cell>
        </row>
        <row r="801">
          <cell r="A801" t="str">
            <v>DOC. PRE-ESCOLAR N.G.</v>
          </cell>
        </row>
        <row r="802">
          <cell r="A802" t="str">
            <v>DOC. SUB DIR. IV  77 TID /DOC BASICA IV 77 TCVNMA</v>
          </cell>
        </row>
        <row r="803">
          <cell r="A803" t="str">
            <v>DOC. SUB DIRECTOR BASICA  I  139 TID</v>
          </cell>
        </row>
        <row r="804">
          <cell r="A804" t="str">
            <v>DOC. SUB DIRECTOR BASICA  II 139 TID</v>
          </cell>
        </row>
        <row r="805">
          <cell r="A805" t="str">
            <v>DOC. SUB DIRECTOR BASICA 77 TID</v>
          </cell>
        </row>
        <row r="806">
          <cell r="A806" t="str">
            <v>DOC. SUB DIRECTOR BASICA I 77 TID</v>
          </cell>
        </row>
        <row r="807">
          <cell r="A807" t="str">
            <v>DOC. SUB DIRECTOR BASICA II  77 TID</v>
          </cell>
        </row>
        <row r="808">
          <cell r="A808" t="str">
            <v>DOC. SUB DIRECTOR BASICA III  77 TID</v>
          </cell>
        </row>
        <row r="809">
          <cell r="A809" t="str">
            <v>DOC. SUB DIRECTOR BASICA III 139 TID</v>
          </cell>
        </row>
        <row r="810">
          <cell r="A810" t="str">
            <v>DOC. SUB DIRECTOR BASICA IV  77 TID</v>
          </cell>
        </row>
        <row r="811">
          <cell r="A811" t="str">
            <v>DOC. SUB DIRECTOR BASICA IV  T.S.E</v>
          </cell>
        </row>
        <row r="812">
          <cell r="A812" t="str">
            <v>DOC. SUB DIRECTOR BASICA IV  TID</v>
          </cell>
        </row>
        <row r="813">
          <cell r="A813" t="str">
            <v>DOC. SUB DIRECTOR BASICA IV 139 TID</v>
          </cell>
        </row>
        <row r="814">
          <cell r="A814" t="str">
            <v>DOC. SUB DIRECTOR BASICA V   77 TID</v>
          </cell>
        </row>
        <row r="815">
          <cell r="A815" t="str">
            <v>DOC. SUB DIRECTOR BASICA V  139 TID</v>
          </cell>
        </row>
        <row r="816">
          <cell r="A816" t="str">
            <v>DOC. SUB DIRECTOR BASICA VI  77 TCVNMA</v>
          </cell>
        </row>
        <row r="817">
          <cell r="A817" t="str">
            <v>DOC. SUB DIRECTOR BASICA VI  77 TID</v>
          </cell>
        </row>
        <row r="818">
          <cell r="A818" t="str">
            <v>DOC. SUB DIRECTOR BASICA VI 139 TID</v>
          </cell>
        </row>
        <row r="819">
          <cell r="A819" t="str">
            <v>DOC. SUB DIRECTOR BASICO I  T.S.E.</v>
          </cell>
        </row>
        <row r="820">
          <cell r="A820" t="str">
            <v>DOC. SUB DIRECTOR BASICO IV  T.S.E.</v>
          </cell>
        </row>
        <row r="821">
          <cell r="A821" t="str">
            <v>DOC. SUB DIRECTOR BASICO V  T.S.E.</v>
          </cell>
        </row>
        <row r="822">
          <cell r="A822" t="str">
            <v>DOC. SUB DIRECTOR BASICO VI T.S.E.</v>
          </cell>
        </row>
        <row r="823">
          <cell r="A823" t="str">
            <v>DOC. SUB DIRECTOR N.G. TIDN</v>
          </cell>
        </row>
        <row r="824">
          <cell r="A824" t="str">
            <v>DOC. SUB DIRECTOR PRE-ESC. T.S.E. TID II</v>
          </cell>
        </row>
        <row r="825">
          <cell r="A825" t="str">
            <v>DOC. SUB DIRECTOR PRE-ESC. T.S.E. TID II</v>
          </cell>
        </row>
        <row r="826">
          <cell r="A826" t="str">
            <v>DOC. SUB DIRECTOR PRE-ESC. T.S.E. TID IV</v>
          </cell>
        </row>
        <row r="827">
          <cell r="A827" t="str">
            <v>DOC. SUB DIRECTOR PRE-ESC. T.S.E. TID V</v>
          </cell>
        </row>
        <row r="828">
          <cell r="A828" t="str">
            <v>DOC. SUB DIRECTOR PRE-ESC. T.S.E. TID VI</v>
          </cell>
        </row>
        <row r="829">
          <cell r="A829" t="str">
            <v>DOC. SUB DIRECTOR PRE-ESCOLAR II 139</v>
          </cell>
        </row>
        <row r="830">
          <cell r="A830" t="str">
            <v>DOC. SUB DIRECTOR PRE-ESCOLAR II 77</v>
          </cell>
        </row>
        <row r="831">
          <cell r="A831" t="str">
            <v>DOC. SUB DIRECTOR PRE-ESCOLAR III 77</v>
          </cell>
        </row>
        <row r="832">
          <cell r="A832" t="str">
            <v>DOC. SUB DIRECTOR PRE-ESCOLAR IV 77</v>
          </cell>
        </row>
        <row r="833">
          <cell r="A833" t="str">
            <v>DOC. SUB DIRECTOR PRE-ESCOLAR V  139</v>
          </cell>
        </row>
        <row r="834">
          <cell r="A834" t="str">
            <v>DOC. SUB DIRECTOR PRE-ESCOLAR V  77</v>
          </cell>
        </row>
        <row r="835">
          <cell r="A835" t="str">
            <v>DOC. SUB DIRECTOR PRE-ESCOLAR VI 139</v>
          </cell>
        </row>
        <row r="836">
          <cell r="A836" t="str">
            <v>DOC. SUB DIRECTOR PRE-ESCOLAR VI 77</v>
          </cell>
        </row>
        <row r="837">
          <cell r="A837" t="str">
            <v>DOC. SUB. DIR. BAS. VI 77 (36 HORAS) DOC BAS VI 77 TCVD (14 HORAS)</v>
          </cell>
        </row>
        <row r="838">
          <cell r="A838" t="str">
            <v>DOC. SUBDIR. BAS. (36 HORAS) Y PROF. DE KINDER MUSICAL (16 HORAS)</v>
          </cell>
        </row>
        <row r="839">
          <cell r="A839" t="str">
            <v>DOC. SUP. BAS.  VI 77 TC (40 HORAS) TCVNMA (16 HORAS)</v>
          </cell>
        </row>
        <row r="840">
          <cell r="A840" t="str">
            <v>DOC. SUP. BAS. III 77</v>
          </cell>
        </row>
        <row r="841">
          <cell r="A841" t="str">
            <v>DOC. SUP.BAS  VI 77  TC</v>
          </cell>
        </row>
        <row r="842">
          <cell r="A842" t="str">
            <v>DOC. SUP.BAS. II 77  TC</v>
          </cell>
        </row>
        <row r="843">
          <cell r="A843" t="str">
            <v>DOC. SUP.BAS. IV 139 TC</v>
          </cell>
        </row>
        <row r="844">
          <cell r="A844" t="str">
            <v>DOC. SUP.BAS. IV 77  TC</v>
          </cell>
        </row>
        <row r="845">
          <cell r="A845" t="str">
            <v>DOC. SUP.BAS. V  139 TC</v>
          </cell>
        </row>
        <row r="846">
          <cell r="A846" t="str">
            <v>DOC. SUP.BAS. V  77  TC</v>
          </cell>
        </row>
        <row r="847">
          <cell r="A847" t="str">
            <v>DOC. SUP.BAS. VI 139 TC</v>
          </cell>
        </row>
        <row r="848">
          <cell r="A848" t="str">
            <v>DOC. SUP.NG. III MEFDTC</v>
          </cell>
        </row>
        <row r="849">
          <cell r="A849" t="str">
            <v>DOC.BAS VI 77 TID (33.33 HORAS) / TCVD (16 HORAS)</v>
          </cell>
        </row>
        <row r="850">
          <cell r="A850" t="str">
            <v>DOC.BAS. V 77 TID (33.33 HORAS) /TCVD (05 HORAS)</v>
          </cell>
        </row>
        <row r="851">
          <cell r="A851" t="str">
            <v>DOC.BAS. V 77 TID (33.33 HORAS)-TCVD (05 HORAS)</v>
          </cell>
        </row>
        <row r="852">
          <cell r="A852" t="str">
            <v>DOC.BAS. VI 77 TID  (33.33 HORAS) /TCVD (05 HORAS)</v>
          </cell>
        </row>
        <row r="853">
          <cell r="A853" t="str">
            <v>DOC.BAS. VI 77 TID (33,33 HORAS) / TCVD (20 HORAS)</v>
          </cell>
        </row>
        <row r="854">
          <cell r="A854" t="str">
            <v>DOC.BAS. VI 77 TID (33.33 HORAS) /TCVD (20 HORAS)</v>
          </cell>
        </row>
        <row r="855">
          <cell r="A855" t="str">
            <v>DOC.BAS. VI 77 TID (36 HORAS) /TCVD (08 HORAS)</v>
          </cell>
        </row>
        <row r="856">
          <cell r="A856" t="str">
            <v>DOC.BAS. VI 77 TID (36 HORAS) /TCVD (14 HORAS)</v>
          </cell>
        </row>
        <row r="857">
          <cell r="A857" t="str">
            <v>DOC.BAS. VI 77TID (33.33 HORAS) / TCVMNA (16 HORAS)</v>
          </cell>
        </row>
        <row r="858">
          <cell r="A858" t="str">
            <v>DOC.BAS.VI 77 TID (33 HORAS) /TCVD (14 HORAS)</v>
          </cell>
        </row>
        <row r="859">
          <cell r="A859" t="str">
            <v>DOC.BAS.VI 77 TID (33.33 HORAS) /TCVD (10 HORAS)</v>
          </cell>
        </row>
        <row r="860">
          <cell r="A860" t="str">
            <v>DOC.DIRECTOR BASICA VI 139 TID (36HRS) Y ALFABETIZADOR V 139 (16HRS)</v>
          </cell>
        </row>
        <row r="861">
          <cell r="A861" t="str">
            <v>DOC.PRE-ESC. /TID (33.33) Y TCVD (17 HORAS)</v>
          </cell>
        </row>
        <row r="862">
          <cell r="A862" t="str">
            <v>DOC.SUB.BAS.IV TID (36 HOTAS) /TCVD (4 HORAS) Y (8 HORAS)</v>
          </cell>
        </row>
        <row r="863">
          <cell r="A863" t="str">
            <v>DOCENTE AULA IV</v>
          </cell>
        </row>
        <row r="864">
          <cell r="A864" t="str">
            <v>DOCENTE BASICA 19-77 TID</v>
          </cell>
        </row>
        <row r="865">
          <cell r="A865" t="str">
            <v>DOCENTE BASICA DIRECTORA 16-77 TID</v>
          </cell>
        </row>
        <row r="866">
          <cell r="A866" t="str">
            <v>DOCENTE BASICA DIRECTORA V 77 TCVD (20 HORAS) Y TC (40 HORAS)</v>
          </cell>
        </row>
        <row r="867">
          <cell r="A867" t="str">
            <v>DOCENTE BASICA I 77 TCVD  (12 HORAS) Y DOCENTE BASICA I 77 TCVD (08 HORAS)</v>
          </cell>
        </row>
        <row r="868">
          <cell r="A868" t="str">
            <v>DOCENTE BASICA III 77 TID/TCVD</v>
          </cell>
        </row>
        <row r="869">
          <cell r="A869" t="str">
            <v>DOCENTE BASICA IV 139 TCVNMA (16 HORAS)</v>
          </cell>
        </row>
        <row r="870">
          <cell r="A870" t="str">
            <v>DOCENTE BASICA IV 77 TCVD (18 HORAS) Y DOCENTE BASICA IV 77 TID (33,33 HORAS)</v>
          </cell>
        </row>
        <row r="871">
          <cell r="A871" t="str">
            <v>DOCENTE BASICA IV 77 TCVD (22 HORAS) Y DOCENTE BASICA IV 77 TID (33,33 HORAS)</v>
          </cell>
        </row>
        <row r="872">
          <cell r="A872" t="str">
            <v>DOCENTE BASICA IV 77 TCVD Y DOCENTE IV 77 TCVD</v>
          </cell>
        </row>
        <row r="873">
          <cell r="A873" t="str">
            <v>DOCENTE BASICA IV 77 TID (33,33 HORAS) Y ALFABETIZADORA (16 HORAS)</v>
          </cell>
        </row>
        <row r="874">
          <cell r="A874" t="str">
            <v>DOCENTE BASICA IV 77 TID (33,33 HORAS) Y DOCENTE BASICA IV 77 TCVD (10 HORAS)</v>
          </cell>
        </row>
        <row r="875">
          <cell r="A875" t="str">
            <v>DOCENTE BASICA IV 77 TID (33,33 HORAS) Y DOCENTE BASICA IV TCVD (14 HORAS)</v>
          </cell>
        </row>
        <row r="876">
          <cell r="A876" t="str">
            <v>DOCENTE BASICA IV 77 TID (33,33 HORAS) Y TCVD (12 HORAS)</v>
          </cell>
        </row>
        <row r="877">
          <cell r="A877" t="str">
            <v>DOCENTE BASICA IV 77 TID (33,33 HORAS) Y TCVD (20 HORAS)</v>
          </cell>
        </row>
        <row r="878">
          <cell r="A878" t="str">
            <v>DOCENTE BASICA IV 77 TID Y DOCENTE BASICA IV 77 TCVD</v>
          </cell>
        </row>
        <row r="879">
          <cell r="A879" t="str">
            <v>DOCENTE BASICA IV 77 TID Y DOCENTE DE AULA (ZONA EDUCATIVA)</v>
          </cell>
        </row>
        <row r="880">
          <cell r="A880" t="str">
            <v>DOCENTE BASICA NG 16 TCVNMA (16 HORAS)</v>
          </cell>
        </row>
        <row r="881">
          <cell r="A881" t="str">
            <v>DOCENTE BASICA NG TCVD (07 HORAS)</v>
          </cell>
        </row>
        <row r="882">
          <cell r="A882" t="str">
            <v>DOCENTE BASICA NG TCVD (12 HORAS)</v>
          </cell>
        </row>
        <row r="883">
          <cell r="A883" t="str">
            <v>DOCENTE BASICA NG TCVD (12 HR) Y INSTRUCTOR II (24 HR)</v>
          </cell>
        </row>
        <row r="884">
          <cell r="A884" t="str">
            <v>DOCENTE BASICA NG TCVD (20 HORAS)</v>
          </cell>
        </row>
        <row r="885">
          <cell r="A885" t="str">
            <v>DOCENTE BASICA SUPERVISORA VI 139 TC Y DOCENTE BASICA VI 139 TCVNM</v>
          </cell>
        </row>
        <row r="886">
          <cell r="A886" t="str">
            <v>DOCENTE BASICA V  77 TID (33,33 HORAS) Y DOCENTE BASICA V 77 TCVD (19HORAS)</v>
          </cell>
        </row>
        <row r="887">
          <cell r="A887" t="str">
            <v>DOCENTE BASICA V 139 TID Y DOCENTE BASICA V 139 TCVN</v>
          </cell>
        </row>
        <row r="888">
          <cell r="A888" t="str">
            <v>DOCENTE BASICA V 77 TID (33,33 HORAS)  Y TCVNMA (16 HORAS)</v>
          </cell>
        </row>
        <row r="889">
          <cell r="A889" t="str">
            <v>DOCENTE BASICA V 77 TID (33,33 HORAS) Y TCVD (02 HORAS)</v>
          </cell>
        </row>
        <row r="890">
          <cell r="A890" t="str">
            <v>DOCENTE BASICA V 77 TID (33,33 HORAS) Y TCVD (08 HORAS)</v>
          </cell>
        </row>
        <row r="891">
          <cell r="A891" t="str">
            <v>DOCENTE BASICA V 77 TID (33,33 HORAS) Y TCVD (17 HORAS)</v>
          </cell>
        </row>
        <row r="892">
          <cell r="A892" t="str">
            <v>DOCENTE BASICA V 77 TID (33,33 HORAS) Y TCVD (19 HORAS)</v>
          </cell>
        </row>
        <row r="893">
          <cell r="A893" t="str">
            <v>DOCENTE BASICA V 77 TID Y V 77 (33,33 HORAS) TCVD (10 HORAS)</v>
          </cell>
        </row>
        <row r="894">
          <cell r="A894" t="str">
            <v>DOCENTE BASICA V 77 TID Y V 77 (33,33 HORAS) TCVD (20 HORAS)</v>
          </cell>
        </row>
        <row r="895">
          <cell r="A895" t="str">
            <v>DOCENTE BASICA VI 139 TID (33.33 HORAS) Y DOCENTE BASICA VI 139 TCVD (16 HORAS)</v>
          </cell>
        </row>
        <row r="896">
          <cell r="A896" t="str">
            <v>DOCENTE BASICA VI 139 TID Y COORDINADORA VI 139</v>
          </cell>
        </row>
        <row r="897">
          <cell r="A897" t="str">
            <v>DOCENTE BASICA VI 139 TID Y DOCENTE BASICA VI 139 TCVD</v>
          </cell>
        </row>
        <row r="898">
          <cell r="A898" t="str">
            <v>DOCENTE BASICA VI 139 TID Y DOCENTE BASICA VI 139 TCVNM</v>
          </cell>
        </row>
        <row r="899">
          <cell r="A899" t="str">
            <v>DOCENTE BASICA VI 77 TCVD (13 HORAS) Y COORDINADORA VI (36 HORAS)</v>
          </cell>
        </row>
        <row r="900">
          <cell r="A900" t="str">
            <v>DOCENTE BASICA VI 77 TCVNM, MAESTRA ALFABETIZADORA, DIRECTORA DOCENTE BASICA VI TCVN, DOCENTE BASICA</v>
          </cell>
        </row>
        <row r="901">
          <cell r="A901" t="str">
            <v>DOCENTE BASICA VI 77 TID  (33.33 HORAS) Y TCVNMA  (16 HORAS)</v>
          </cell>
        </row>
        <row r="902">
          <cell r="A902" t="str">
            <v>DOCENTE BASICA VI 77 TID  (33.33) / TCVD (12 HORAS)</v>
          </cell>
        </row>
        <row r="903">
          <cell r="A903" t="str">
            <v>DOCENTE BASICA VI 77 TID (10 HORAS)  /TCVD (33,33 HORAS)</v>
          </cell>
        </row>
        <row r="904">
          <cell r="A904" t="str">
            <v>DOCENTE BASICA VI 77 TID (33 HORAS) Y TCVD (07 HORAS)</v>
          </cell>
        </row>
        <row r="905">
          <cell r="A905" t="str">
            <v>DOCENTE BASICA VI 77 TID (33 HORAS) Y TCVD (08 HORAS)</v>
          </cell>
        </row>
        <row r="906">
          <cell r="A906" t="str">
            <v>DOCENTE BASICA VI 77 TID (33 HORAS), V 77 TCVD (08 HORAS)</v>
          </cell>
        </row>
        <row r="907">
          <cell r="A907" t="str">
            <v>DOCENTE BASICA VI 77 TID (33,33 HORAS)  Y TCVD (20 HORAS)</v>
          </cell>
        </row>
        <row r="908">
          <cell r="A908" t="str">
            <v>DOCENTE BASICA VI 77 TID (33,33 HORAS) /TCVNMA (15 HORAS)</v>
          </cell>
        </row>
        <row r="909">
          <cell r="A909" t="str">
            <v>DOCENTE BASICA VI 77 TID (33,33 HORAS) Y  TCVD (6 HORAS)</v>
          </cell>
        </row>
        <row r="910">
          <cell r="A910" t="str">
            <v>DOCENTE BASICA VI 77 TID (33,33 HORAS) Y ALFABETIZADORA VI 77 (16 HORAS)</v>
          </cell>
        </row>
        <row r="911">
          <cell r="A911" t="str">
            <v>DOCENTE BASICA VI 77 TID (33,33 HORAS) Y TCVD (04 HORAS)</v>
          </cell>
        </row>
        <row r="912">
          <cell r="A912" t="str">
            <v>DOCENTE BASICA VI 77 TID (33,33 HORAS) Y TCVD (04 HORAS)</v>
          </cell>
        </row>
        <row r="913">
          <cell r="A913" t="str">
            <v>DOCENTE BASICA VI 77 TID (33,33 HORAS) Y TCVD (04 HORAS)</v>
          </cell>
        </row>
        <row r="914">
          <cell r="A914" t="str">
            <v>DOCENTE BASICA VI 77 TID (33,33 HORAS) Y TCVD (11 HORAS)</v>
          </cell>
        </row>
        <row r="915">
          <cell r="A915" t="str">
            <v>DOCENTE BASICA VI 77 TID (33,33 HORAS) Y TCVNMA (14 HORAS)</v>
          </cell>
        </row>
        <row r="916">
          <cell r="A916" t="str">
            <v>DOCENTE BASICA VI 77 TID (33,33) Y DOCENTE BASICO VI 77 TCVD (12 HORAS)</v>
          </cell>
        </row>
        <row r="917">
          <cell r="A917" t="str">
            <v>DOCENTE BASICA VI 77 TID (33,33) Y TCVD (14 HORAS)</v>
          </cell>
        </row>
        <row r="918">
          <cell r="A918" t="str">
            <v>DOCENTE BASICA VI 77 TID (33.33 HORAS) Y TCVD (16 HORAS)</v>
          </cell>
        </row>
        <row r="919">
          <cell r="A919" t="str">
            <v>DOCENTE BASICA VI 77 TID (33.33 HORAS) Y TCVD (19 HORAS)</v>
          </cell>
        </row>
        <row r="920">
          <cell r="A920" t="str">
            <v>DOCENTE BASICA VI 77 TID (36 HORAS) Y DOCENTE BASICO TCVD (12 HORAS)</v>
          </cell>
        </row>
        <row r="921">
          <cell r="A921" t="str">
            <v>DOCENTE BASICA VI 77 TID Y DOCENTE BASICA VI 77 TCNM</v>
          </cell>
        </row>
        <row r="922">
          <cell r="A922" t="str">
            <v>DOCENTE BASICA VI 77 TID Y DOCENTE DE AULA (ZONA EDUCATIVA)</v>
          </cell>
        </row>
        <row r="923">
          <cell r="A923" t="str">
            <v>DOCENTE BASICO 16-139 TCVN Y DOCENTE DIRECTOR BASICO 139 TID VI</v>
          </cell>
        </row>
        <row r="924">
          <cell r="A924" t="str">
            <v>DOCENTE BASICO 16-139 TCVNMA</v>
          </cell>
        </row>
        <row r="925">
          <cell r="A925" t="str">
            <v>DOCENTE BASICO 16-77 TCVNM/MA VI Y DOCENTE SUB-DIRECTOR 16-77 TID VI Y PH (08 HORAS)</v>
          </cell>
        </row>
        <row r="926">
          <cell r="A926" t="str">
            <v>DOCENTE BASICO 16-77 TCVNMA VI, Y SUPERVISOR BASICO</v>
          </cell>
        </row>
        <row r="927">
          <cell r="A927" t="str">
            <v>DOCENTE BASICO DE ADULTOS Y COORD PROM DIF CULT</v>
          </cell>
        </row>
        <row r="928">
          <cell r="A928" t="str">
            <v>DOCENTE BASICO IV 77 TCVD (36 HORAS)</v>
          </cell>
        </row>
        <row r="929">
          <cell r="A929" t="str">
            <v>DOCENTE BASICO IV 77 TID (33,33 HORAS) Y TCVD (08 HORAS)</v>
          </cell>
        </row>
        <row r="930">
          <cell r="A930" t="str">
            <v>DOCENTE BASICO IV 77 TID (33,33 HORAS) Y TCVD (08 HORAS)</v>
          </cell>
        </row>
        <row r="931">
          <cell r="A931" t="str">
            <v>DOCENTE BASICO IV 77 TID (33,33 HORAS) Y TCVD (12 HORAS)</v>
          </cell>
        </row>
        <row r="932">
          <cell r="A932" t="str">
            <v>DOCENTE BASICO IV 77 TID (33,33 HORAS) Y TCVD (16 HORAS)</v>
          </cell>
        </row>
        <row r="933">
          <cell r="A933" t="str">
            <v>DOCENTE BASICO IV 77 TID (33,33 HORAS) Y TCVD (18 HORAS)</v>
          </cell>
        </row>
        <row r="934">
          <cell r="A934" t="str">
            <v>DOCENTE BASICO IV 77 TID (33,33 HORAS) Y TCVD (20 HORAS)</v>
          </cell>
        </row>
        <row r="935">
          <cell r="A935" t="str">
            <v>DOCENTE BASICO IV 77 TID (33,33 HORAS) Y TCVNMA (16 HORAS)</v>
          </cell>
        </row>
        <row r="936">
          <cell r="A936" t="str">
            <v>DOCENTE BASICO IV 77 TID/TCVD</v>
          </cell>
        </row>
        <row r="937">
          <cell r="A937" t="str">
            <v>DOCENTE BASICO NG TID (33,33 HORAS) Y DOCENTE BASICA NG TCVNMA (16 HORAS)</v>
          </cell>
        </row>
        <row r="938">
          <cell r="A938" t="str">
            <v>DOCENTE BASICO V 77 TCVNMA (16 HORAS) Y DOCENTE SUPERVISOR BASICO V 77 TC (40 HORAS)</v>
          </cell>
        </row>
        <row r="939">
          <cell r="A939" t="str">
            <v>DOCENTE BASICO V 77 TID (33 HORAS) Y TVCNMA (16 HORAS)</v>
          </cell>
        </row>
        <row r="940">
          <cell r="A940" t="str">
            <v>DOCENTE BASICO V 77 TID (33,33 HORAS) Y TCVD (05 HORAS)</v>
          </cell>
        </row>
        <row r="941">
          <cell r="A941" t="str">
            <v>DOCENTE BASICO V 77 TID (33,33 HORAS) Y TCVD (14 HORAS)</v>
          </cell>
        </row>
        <row r="942">
          <cell r="A942" t="str">
            <v>DOCENTE BASICO V 77 TID (33,33 HORAS) Y TCVN (10 HORAS)</v>
          </cell>
        </row>
        <row r="943">
          <cell r="A943" t="str">
            <v>DOCENTE BASICO V 77 TID (33,33 HORAS) Y TCVN (16 HORAS)</v>
          </cell>
        </row>
        <row r="944">
          <cell r="A944" t="str">
            <v>DOCENTE BASICO V 77 TID (33,33 HORAS)Y TCVD (07 HORAS)</v>
          </cell>
        </row>
        <row r="945">
          <cell r="A945" t="str">
            <v>DOCENTE BASICO V 77 TID (33.33 HORAS) Y TCVD (21 HORAS)</v>
          </cell>
        </row>
        <row r="946">
          <cell r="A946" t="str">
            <v>DOCENTE BASICO V TID (33.33 HORAS), Y TCVD (11 HORAS)</v>
          </cell>
        </row>
        <row r="947">
          <cell r="A947" t="str">
            <v>DOCENTE BASICO V TSE TCVNMA (16 HR)</v>
          </cell>
        </row>
        <row r="948">
          <cell r="A948" t="str">
            <v>DOCENTE BASICO VI  77 TID (33,33 HORAS) Y TCVD (14 HORAS)</v>
          </cell>
        </row>
        <row r="949">
          <cell r="A949" t="str">
            <v>DOCENTE BASICO VI 77 (33,33 HORAS)  TID Y TCVD (8 HORAS)</v>
          </cell>
        </row>
        <row r="950">
          <cell r="A950" t="str">
            <v>DOCENTE BASICO VI 77 TCVD (33 HORAS) TID (17 HORAS)</v>
          </cell>
        </row>
        <row r="951">
          <cell r="A951" t="str">
            <v>DOCENTE BASICO VI 77 TCVD / TCVD</v>
          </cell>
        </row>
        <row r="952">
          <cell r="A952" t="str">
            <v>DOCENTE BASICO VI 77 TID (33,33 HORAS) / TCVD (6 HORAS) / TCVD (12 HORAS)</v>
          </cell>
        </row>
        <row r="953">
          <cell r="A953" t="str">
            <v>DOCENTE BASICO VI 77 TID (33,33 HORAS) Y DOCENTE BASICO VI 77 TCVD (8 HORAS)</v>
          </cell>
        </row>
        <row r="954">
          <cell r="A954" t="str">
            <v>DOCENTE BASICO VI 77 TID (33,33 HORAS) Y TCVD (20 HORAS)</v>
          </cell>
        </row>
        <row r="955">
          <cell r="A955" t="str">
            <v>DOCENTE BASICO VI 77 TID (33,33 HORAS) Y TCVD (6 HORAS)</v>
          </cell>
        </row>
        <row r="956">
          <cell r="A956" t="str">
            <v>DOCENTE BASICO VI 77 TID (33,33)  / TCVNMA (11)</v>
          </cell>
        </row>
        <row r="957">
          <cell r="A957" t="str">
            <v>DOCENTE BASICO VI 77 TID (33.33 HORAS) Y TCVD (6 HORAS)</v>
          </cell>
        </row>
        <row r="958">
          <cell r="A958" t="str">
            <v>DOCENTE BASICO VI 77 TID Y DOCENTE BASICO VI 77 TCVD Y DOCENTE BASICO VI 77 TCVD Y 2 CARGOS MAS</v>
          </cell>
        </row>
        <row r="959">
          <cell r="A959" t="str">
            <v>DOCENTE BASICO Y DIRECTOR 16-139 TID VI</v>
          </cell>
        </row>
        <row r="960">
          <cell r="A960" t="str">
            <v>DOCENTE COOD. 139 VI TID (33,33 HORAS) Y DOCENTE BASICO VI 139 TCVNMA (16 HORAS)</v>
          </cell>
        </row>
        <row r="961">
          <cell r="A961" t="str">
            <v>DOCENTE DE BASICA III TSE 16 H Y AUXILIAR DE BIBLIOTECA</v>
          </cell>
        </row>
        <row r="962">
          <cell r="A962" t="str">
            <v>DOCENTE DIRECTOR BASICA IV 77 TCVD Y COORDINADOR DOCENTE</v>
          </cell>
        </row>
        <row r="963">
          <cell r="A963" t="str">
            <v>DOCENTE DIRECTOR BASICA VI 139 TID (36 HORAS)</v>
          </cell>
        </row>
        <row r="964">
          <cell r="A964" t="str">
            <v>DOCENTE DIRECTOR BASICA VI 77 TID (36 HORAS) Y TCVNMA (16 HORAS)</v>
          </cell>
        </row>
        <row r="965">
          <cell r="A965" t="str">
            <v>DOCENTE DIRECTOR BASICA VI 77 TID (36HORAS) Y TCVD (10 HORAS)</v>
          </cell>
        </row>
        <row r="966">
          <cell r="A966" t="str">
            <v>DOCENTE DIRECTOR BASICO V 77 TID (40 HORAS) Y DOCENTE BASICO V 77 TCVM (16 HORAS)</v>
          </cell>
        </row>
        <row r="967">
          <cell r="A967" t="str">
            <v>DOCENTE DIRECTOR BASICO VI 139 TID (36 HORAS), Y DOCENTE DIRECTOR BASICO VI 139 TCVN (20 HORAS)</v>
          </cell>
        </row>
        <row r="968">
          <cell r="A968" t="str">
            <v>DOCENTE DIRECTOR BASICO VI 77 TID (36 HORAS) Y DOC BASICO VI 77 TCVD (13 HORAS)</v>
          </cell>
        </row>
        <row r="969">
          <cell r="A969" t="str">
            <v>DOCENTE DIRECTOR BASICO VI 77 TID (36 HORAS) Y TCVD (17 HORAS)</v>
          </cell>
        </row>
        <row r="970">
          <cell r="A970" t="str">
            <v>DOCENTE DIRECTOR BASICO VI 77 TID (40 HORAS) Y DOC BASICO VI 77 TCVD (06 HORAS)</v>
          </cell>
        </row>
        <row r="971">
          <cell r="A971" t="str">
            <v>DOCENTE DIRECTOR BASICO VI 77 TID (40 HORAS) Y DOCENTE BASICO VI 77 TCVNMA (16 HORAS)</v>
          </cell>
        </row>
        <row r="972">
          <cell r="A972" t="str">
            <v>DOCENTE DIRECTOR PRE-ESCOLAR VI 77 TID (36 HORAS)</v>
          </cell>
        </row>
        <row r="973">
          <cell r="A973" t="str">
            <v>DOCENTE DIRECTORA BASICA IV 77 TID (36 HORAS)</v>
          </cell>
        </row>
        <row r="974">
          <cell r="A974" t="str">
            <v>DOCENTE DIRECTORA BASICA V 77 TCVNMA 20HRS</v>
          </cell>
        </row>
        <row r="975">
          <cell r="A975" t="str">
            <v>DOCENTE DIRECTORA BASICA VI 139 (36 HORAS) TID Y ALFABETIZADORA VI 139</v>
          </cell>
        </row>
        <row r="976">
          <cell r="A976" t="str">
            <v>DOCENTE DIRECTORA BASICA VI 77 TID (36 HORAS) Y DOCENTE BASICA V 77 TCVD (4 HORAS)</v>
          </cell>
        </row>
        <row r="977">
          <cell r="A977" t="str">
            <v>DOCENTE N.G 1-6 TCVD (33,33 HORAS) / DOC BASICA NG TCVD (14 HORAS)</v>
          </cell>
        </row>
        <row r="978">
          <cell r="A978" t="str">
            <v>DOCENTE N.G. 1-6</v>
          </cell>
        </row>
        <row r="979">
          <cell r="A979" t="str">
            <v>DOCENTE ORIENTADOR</v>
          </cell>
        </row>
        <row r="980">
          <cell r="A980" t="str">
            <v>DOCENTE ORIENTADOR V 77 1-6 TID (36 HORAS)</v>
          </cell>
        </row>
        <row r="981">
          <cell r="A981" t="str">
            <v>DOCENTE PLANIFICADOR VI 77 TC (36 HORAS) Y DOCENTE BASICA VI 77 TCVNMA (16 HORAS)</v>
          </cell>
        </row>
        <row r="982">
          <cell r="A982" t="str">
            <v>DOCENTE PLANIFICADORA 16-77 VI (36 HORAS) Y DOC BAS VI 77 TCVMA (16 HORAS)</v>
          </cell>
        </row>
        <row r="983">
          <cell r="A983" t="str">
            <v>DOCENTE PRE-ESCOLAR IV 77 TID (33,33 HORAS) Y DOCENTE BASICA IV 77 TCVD (06 HORAS)</v>
          </cell>
        </row>
        <row r="984">
          <cell r="A984" t="str">
            <v>DOCENTE PRE-ESCOLAR VI 139 TID (33,33 HORAS) Y DOC. BASICA VI 139 TCVNMA  (16 HORAS)</v>
          </cell>
        </row>
        <row r="985">
          <cell r="A985" t="str">
            <v>DOCENTE PREESCOLAR VI 77 TID (33.33 HORAS) Y DOCENTE BASICO V 77 TCVNMA (16 HORAS)</v>
          </cell>
        </row>
        <row r="986">
          <cell r="A986" t="str">
            <v>DOCENTE SD BASICA VI 77 TID (40 HORAS) Y TCVD (14 HORAS)</v>
          </cell>
        </row>
        <row r="987">
          <cell r="A987" t="str">
            <v>DOCENTE SUB-DIRECTOR BASICA IV 77 TID (36 HORAS)</v>
          </cell>
        </row>
        <row r="988">
          <cell r="A988" t="str">
            <v>DOCENTE SUB-DIRECTOR BASICA IV 77 TID (36 HORAS)Y DOCENTE IV BASICO TCVD (16 HORAS)</v>
          </cell>
        </row>
        <row r="989">
          <cell r="A989" t="str">
            <v>DOCENTE SUB-DIRECTOR BASICO IV 77 TID (40 HORAS) Y DOCENTE BASICO IV 77 TCVD (08 HORAS)</v>
          </cell>
        </row>
        <row r="990">
          <cell r="A990" t="str">
            <v>DOCENTE SUB-DIRECTORA BASICA V 77 TID (36 HORAS) Y TCVD (08 HORAS)</v>
          </cell>
        </row>
        <row r="991">
          <cell r="A991" t="str">
            <v>DOCENTE SUB-DIRECTORA BASICA V TSE (36 HORAS)</v>
          </cell>
        </row>
        <row r="992">
          <cell r="A992" t="str">
            <v>DOCENTE SUB-DIRECTORA BASICA VI 77 TID (40 HORAS) Y (07 HORAS)</v>
          </cell>
        </row>
        <row r="993">
          <cell r="A993" t="str">
            <v>DOCENTE SUB-DIRECTORA BASICO VI 77 TID (36 HORAS) Y (16 HORAS)</v>
          </cell>
        </row>
        <row r="994">
          <cell r="A994" t="str">
            <v>DOCENTE SUP BASICA VI 77 TC (40 HORAS), DOCENTE BAS VI TCVN (16 HORAS) Y DOCENTE VI AULA (5 HORAS)</v>
          </cell>
        </row>
        <row r="995">
          <cell r="A995" t="str">
            <v>DOCENTE SUPERVISOR BASICO V 77 TC Y DOCENTE BASICO V 77 TCVN Y DOCENTE DE AULA V (ZONA EDUC)</v>
          </cell>
        </row>
        <row r="996">
          <cell r="A996" t="str">
            <v>DOCENTE SUPERVISOR BASICO VI 139 TC (40 HORAS) Y DOCENTE BASICO VI 139 TCVNMA (16 HORAS)</v>
          </cell>
        </row>
        <row r="997">
          <cell r="A997" t="str">
            <v>DOCENTE SUPERVISOR BASICO VI 77 TC Y DOCENTE IV AULA (13 HORAS)</v>
          </cell>
        </row>
        <row r="998">
          <cell r="A998" t="str">
            <v>DOCENTE SUPERVISOR BASICO VI 77 TCVNMA</v>
          </cell>
        </row>
        <row r="999">
          <cell r="A999" t="str">
            <v>DOCENTE SUPERVISOR V 77 TC</v>
          </cell>
        </row>
        <row r="1000">
          <cell r="A1000" t="str">
            <v>DOCENTE V 77 TID (33,33 HORAS) Y TCVD (13 HORAS)</v>
          </cell>
        </row>
        <row r="1001">
          <cell r="A1001" t="str">
            <v>ECONOMA I</v>
          </cell>
        </row>
        <row r="1002">
          <cell r="A1002" t="str">
            <v>ECONOMA II</v>
          </cell>
        </row>
        <row r="1003">
          <cell r="A1003" t="str">
            <v>ECONOMISTA I</v>
          </cell>
        </row>
        <row r="1004">
          <cell r="A1004" t="str">
            <v>ECONOMISTA II</v>
          </cell>
        </row>
        <row r="1005">
          <cell r="A1005" t="str">
            <v>ECONOMISTA III</v>
          </cell>
        </row>
        <row r="1006">
          <cell r="A1006" t="str">
            <v>ECONOMISTA JEFE I</v>
          </cell>
        </row>
        <row r="1007">
          <cell r="A1007" t="str">
            <v>ECONOMISTA JEFE II</v>
          </cell>
        </row>
        <row r="1008">
          <cell r="A1008" t="str">
            <v>ECONOMISTA JEFE III</v>
          </cell>
        </row>
        <row r="1009">
          <cell r="A1009" t="str">
            <v>EDITOR</v>
          </cell>
        </row>
        <row r="1010">
          <cell r="A1010" t="str">
            <v>EDITOR DE NOTICIAS EDUCATIVAS</v>
          </cell>
        </row>
        <row r="1011">
          <cell r="A1011" t="str">
            <v>EDITOR FILMICO</v>
          </cell>
        </row>
        <row r="1012">
          <cell r="A1012" t="str">
            <v>EDITOR HISTORICO</v>
          </cell>
        </row>
        <row r="1013">
          <cell r="A1013" t="str">
            <v>EDITOR JEFE</v>
          </cell>
        </row>
        <row r="1014">
          <cell r="A1014" t="str">
            <v>EJECUTANTE DE CLARINETE</v>
          </cell>
        </row>
        <row r="1015">
          <cell r="A1015" t="str">
            <v>ENCUADERNADOR DE CONSERVACION II</v>
          </cell>
        </row>
        <row r="1016">
          <cell r="A1016" t="str">
            <v>ENCUADERNADOR DE CONSERVACION III</v>
          </cell>
        </row>
        <row r="1017">
          <cell r="A1017" t="str">
            <v>ENCUADERNADOR DE CONSERVACION JEFE</v>
          </cell>
        </row>
        <row r="1018">
          <cell r="A1018" t="str">
            <v>ENFERMERA ANESTESISTA</v>
          </cell>
        </row>
        <row r="1019">
          <cell r="A1019" t="str">
            <v>ENFERMERA DE SALUD PUBLICA I</v>
          </cell>
        </row>
        <row r="1020">
          <cell r="A1020" t="str">
            <v>ENFERMERA DE SALUD PUBLICA II</v>
          </cell>
        </row>
        <row r="1021">
          <cell r="A1021" t="str">
            <v>ENFERMERA DE SALUD PUBLICA III</v>
          </cell>
        </row>
        <row r="1022">
          <cell r="A1022" t="str">
            <v>ENFERMERA DE SALUD PUBLICA IV</v>
          </cell>
        </row>
        <row r="1023">
          <cell r="A1023" t="str">
            <v>ENFERMERA DE SALUD PUBLICA JEFE II</v>
          </cell>
        </row>
        <row r="1024">
          <cell r="A1024" t="str">
            <v>ENFERMERA DE SALUD PUBLICA JEFE III</v>
          </cell>
        </row>
        <row r="1025">
          <cell r="A1025" t="str">
            <v>ENFERMERA DE SALUD PUBLICA JEFE V</v>
          </cell>
        </row>
        <row r="1026">
          <cell r="A1026" t="str">
            <v>ENFERMERA DE SALUD PUBLICA V</v>
          </cell>
        </row>
        <row r="1027">
          <cell r="A1027" t="str">
            <v>ENFERMERA HEMOTERAPISTA I</v>
          </cell>
        </row>
        <row r="1028">
          <cell r="A1028" t="str">
            <v>ENFERMERA HEMOTERAPISTA II</v>
          </cell>
        </row>
        <row r="1029">
          <cell r="A1029" t="str">
            <v>ENFERMERA HEMOTERAPISTA III</v>
          </cell>
        </row>
        <row r="1030">
          <cell r="A1030" t="str">
            <v>ENFERMERA I</v>
          </cell>
        </row>
        <row r="1031">
          <cell r="A1031" t="str">
            <v>ENFERMERA II</v>
          </cell>
        </row>
        <row r="1032">
          <cell r="A1032" t="str">
            <v>ENFERMERA III</v>
          </cell>
        </row>
        <row r="1033">
          <cell r="A1033" t="str">
            <v>ENFERMERA JEFE I</v>
          </cell>
        </row>
        <row r="1034">
          <cell r="A1034" t="str">
            <v>ENFERMERA JEFE II</v>
          </cell>
        </row>
        <row r="1035">
          <cell r="A1035" t="str">
            <v>ENFERMERA JEFE III</v>
          </cell>
        </row>
        <row r="1036">
          <cell r="A1036" t="str">
            <v>ENTRENADOR DE PORTIVO II</v>
          </cell>
        </row>
        <row r="1037">
          <cell r="A1037" t="str">
            <v>ENTRENADOR DEPORTIVO I</v>
          </cell>
        </row>
        <row r="1038">
          <cell r="A1038" t="str">
            <v>ENTRENADOR DEPORTIVO III</v>
          </cell>
        </row>
        <row r="1039">
          <cell r="A1039" t="str">
            <v>ENTRENADOR DEPORTIVO IV</v>
          </cell>
        </row>
        <row r="1040">
          <cell r="A1040" t="str">
            <v>ENTRENADOR DEPORTIVO V</v>
          </cell>
        </row>
        <row r="1041">
          <cell r="A1041" t="str">
            <v>ENTRENADOR DEPORTIVO VI</v>
          </cell>
        </row>
        <row r="1042">
          <cell r="A1042" t="str">
            <v>ENTRENADOR DEPORTIVO VII</v>
          </cell>
        </row>
        <row r="1043">
          <cell r="A1043" t="str">
            <v>ESCENOGRAFO</v>
          </cell>
        </row>
        <row r="1044">
          <cell r="A1044" t="str">
            <v>ESCRIBIENTE DE REGISTRO I</v>
          </cell>
        </row>
        <row r="1045">
          <cell r="A1045" t="str">
            <v>ESCRIBIENTE DE REGISTROS  II</v>
          </cell>
        </row>
        <row r="1046">
          <cell r="A1046" t="str">
            <v>ESPECIALISTA EN ASISTENCIA TECNICA</v>
          </cell>
        </row>
        <row r="1047">
          <cell r="A1047" t="str">
            <v>ESPECIALISTA EN EXTENSION I</v>
          </cell>
        </row>
        <row r="1048">
          <cell r="A1048" t="str">
            <v>ESPECIALISTA EN EXTENSION II</v>
          </cell>
        </row>
        <row r="1049">
          <cell r="A1049" t="str">
            <v>ESPECIALISTA EN EXTENSION III</v>
          </cell>
        </row>
        <row r="1050">
          <cell r="A1050" t="str">
            <v>ESPECIALISTA EN EXTENSION IV</v>
          </cell>
        </row>
        <row r="1051">
          <cell r="A1051" t="str">
            <v>ESPECIALISTA EN INFORMACION I</v>
          </cell>
        </row>
        <row r="1052">
          <cell r="A1052" t="str">
            <v>ESPECIALISTA EN INFORMACION II</v>
          </cell>
        </row>
        <row r="1053">
          <cell r="A1053" t="str">
            <v>ESPECIALISTA EN INFORMACION III</v>
          </cell>
        </row>
        <row r="1054">
          <cell r="A1054" t="str">
            <v>ESPECIALISTA EN INFORMATICA I</v>
          </cell>
        </row>
        <row r="1055">
          <cell r="A1055" t="str">
            <v>ESPECIALISTA EN INFORMATICA II</v>
          </cell>
        </row>
        <row r="1056">
          <cell r="A1056" t="str">
            <v>ESTADISTICO I</v>
          </cell>
        </row>
        <row r="1057">
          <cell r="A1057" t="str">
            <v>ESTADISTICO II</v>
          </cell>
        </row>
        <row r="1058">
          <cell r="A1058" t="str">
            <v>ESTADISTICO III</v>
          </cell>
        </row>
        <row r="1059">
          <cell r="A1059" t="str">
            <v>ESTADISTICO JEFE I</v>
          </cell>
        </row>
        <row r="1060">
          <cell r="A1060" t="str">
            <v>ESTADISTICO JEFE II</v>
          </cell>
        </row>
        <row r="1061">
          <cell r="A1061" t="str">
            <v>ESTIMADOR DE ASTILLEROS</v>
          </cell>
        </row>
        <row r="1062">
          <cell r="A1062" t="str">
            <v>EXAMINADOR AUXILIADOR DE BANCO</v>
          </cell>
        </row>
        <row r="1063">
          <cell r="A1063" t="str">
            <v>EXAMINADOR DE BANCOS I</v>
          </cell>
        </row>
        <row r="1064">
          <cell r="A1064" t="str">
            <v>EXAMINADOR DE BANCOS II</v>
          </cell>
        </row>
        <row r="1065">
          <cell r="A1065" t="str">
            <v>EXAMINADOR DE BANCOS III</v>
          </cell>
        </row>
        <row r="1066">
          <cell r="A1066" t="str">
            <v>EXAMINADOR DE BANCOS IV</v>
          </cell>
        </row>
        <row r="1067">
          <cell r="A1067" t="str">
            <v>EXAMINADOR DE BANCOS JEFE</v>
          </cell>
        </row>
        <row r="1068">
          <cell r="A1068" t="str">
            <v>EXAMINADOR DE BANCOS V</v>
          </cell>
        </row>
        <row r="1069">
          <cell r="A1069" t="str">
            <v>EXPENDEDOR DE ESPECIES FISCALES I</v>
          </cell>
        </row>
        <row r="1070">
          <cell r="A1070" t="str">
            <v>EXPENDEDOR DE ESPECIES FISCALES II</v>
          </cell>
        </row>
        <row r="1071">
          <cell r="A1071" t="str">
            <v>FAGOT</v>
          </cell>
        </row>
        <row r="1072">
          <cell r="A1072" t="str">
            <v>FAGOT 1</v>
          </cell>
        </row>
        <row r="1073">
          <cell r="A1073" t="str">
            <v>FAGOT 2</v>
          </cell>
        </row>
        <row r="1074">
          <cell r="A1074" t="str">
            <v>FARMACEUTICO I</v>
          </cell>
        </row>
        <row r="1075">
          <cell r="A1075" t="str">
            <v>FARMACEUTICO II</v>
          </cell>
        </row>
        <row r="1076">
          <cell r="A1076" t="str">
            <v>FARMACEUTICO III</v>
          </cell>
        </row>
        <row r="1077">
          <cell r="A1077" t="str">
            <v>FARMACEUTICO JEFE I</v>
          </cell>
        </row>
        <row r="1078">
          <cell r="A1078" t="str">
            <v>FARMACEUTICO JEFE II</v>
          </cell>
        </row>
        <row r="1079">
          <cell r="A1079" t="str">
            <v>FARMACOLOGO I</v>
          </cell>
        </row>
        <row r="1080">
          <cell r="A1080" t="str">
            <v>FARMACOLOGO II</v>
          </cell>
        </row>
        <row r="1081">
          <cell r="A1081" t="str">
            <v>FARMACOLOGO III</v>
          </cell>
        </row>
        <row r="1082">
          <cell r="A1082" t="str">
            <v>FARMACOLOGO JEFE</v>
          </cell>
        </row>
        <row r="1083">
          <cell r="A1083" t="str">
            <v>FISCAL DE BIENES COMERCIALES</v>
          </cell>
        </row>
        <row r="1084">
          <cell r="A1084" t="str">
            <v>FISCAL DE COTIZACIONES I</v>
          </cell>
        </row>
        <row r="1085">
          <cell r="A1085" t="str">
            <v>FISCAL DE COTIZACIONES II</v>
          </cell>
        </row>
        <row r="1086">
          <cell r="A1086" t="str">
            <v>FISCAL DE EMPRESAS</v>
          </cell>
        </row>
        <row r="1087">
          <cell r="A1087" t="str">
            <v>FISCAL DE OBRAS I</v>
          </cell>
        </row>
        <row r="1088">
          <cell r="A1088" t="str">
            <v>FISCAL DE PREVENSION Y VIGILANCIA I</v>
          </cell>
        </row>
        <row r="1089">
          <cell r="A1089" t="str">
            <v>FISCAL DE PREVENSION Y VIGILANCIA II</v>
          </cell>
        </row>
        <row r="1090">
          <cell r="A1090" t="str">
            <v>FISCAL DE PREVENSION Y VIGILANCIA JEFE</v>
          </cell>
        </row>
        <row r="1091">
          <cell r="A1091" t="str">
            <v>FISCAL DE RENTAS I</v>
          </cell>
        </row>
        <row r="1092">
          <cell r="A1092" t="str">
            <v>FISCAL DE RENTAS II</v>
          </cell>
        </row>
        <row r="1093">
          <cell r="A1093" t="str">
            <v>FISCAL DE RENTAS III</v>
          </cell>
        </row>
        <row r="1094">
          <cell r="A1094" t="str">
            <v>FISCAL DE RENTAS IV</v>
          </cell>
        </row>
        <row r="1095">
          <cell r="A1095" t="str">
            <v>FISCAL DE RENTAS JEFE</v>
          </cell>
        </row>
        <row r="1096">
          <cell r="A1096" t="str">
            <v>FISCAL DE RENTAS V</v>
          </cell>
        </row>
        <row r="1097">
          <cell r="A1097" t="str">
            <v>FISCAL TECNICO I</v>
          </cell>
        </row>
        <row r="1098">
          <cell r="A1098" t="str">
            <v>FISCAL TECNICO II</v>
          </cell>
        </row>
        <row r="1099">
          <cell r="A1099" t="str">
            <v>FISCAL TECNICO III</v>
          </cell>
        </row>
        <row r="1100">
          <cell r="A1100" t="str">
            <v>FISCAL TECNICO JEFE</v>
          </cell>
        </row>
        <row r="1101">
          <cell r="A1101" t="str">
            <v>FISIOTERAPEUTA I</v>
          </cell>
        </row>
        <row r="1102">
          <cell r="A1102" t="str">
            <v>FISIOTERAPEUTA II</v>
          </cell>
        </row>
        <row r="1103">
          <cell r="A1103" t="str">
            <v>FISIOTERAPEUTA III</v>
          </cell>
        </row>
        <row r="1104">
          <cell r="A1104" t="str">
            <v>FISIOTERAPEUTA IV</v>
          </cell>
        </row>
        <row r="1105">
          <cell r="A1105" t="str">
            <v>FLAUTA 1</v>
          </cell>
        </row>
        <row r="1106">
          <cell r="A1106" t="str">
            <v>FLAUTA 2</v>
          </cell>
        </row>
        <row r="1107">
          <cell r="A1107" t="str">
            <v>FLAUTA 2/ INSTRUCTOR I 16HRS</v>
          </cell>
        </row>
        <row r="1108">
          <cell r="A1108" t="str">
            <v>FLAUTA I</v>
          </cell>
        </row>
        <row r="1109">
          <cell r="A1109" t="str">
            <v>FORMADOR DE INSTRUCTORES</v>
          </cell>
        </row>
        <row r="1110">
          <cell r="A1110" t="str">
            <v>FORMAS MUSICALES</v>
          </cell>
        </row>
        <row r="1111">
          <cell r="A1111" t="str">
            <v>FOTOGRAFO ARTISTICO I</v>
          </cell>
        </row>
        <row r="1112">
          <cell r="A1112" t="str">
            <v>FOTOGRAFO ARTISTICO II</v>
          </cell>
        </row>
        <row r="1113">
          <cell r="A1113" t="str">
            <v>FOTOGRAFO I</v>
          </cell>
        </row>
        <row r="1114">
          <cell r="A1114" t="str">
            <v>FOTOGRAFO II</v>
          </cell>
        </row>
        <row r="1115">
          <cell r="A1115" t="str">
            <v>FOTOGRAFO III</v>
          </cell>
        </row>
        <row r="1116">
          <cell r="A1116" t="str">
            <v>FOTOGRAFO IV</v>
          </cell>
        </row>
        <row r="1117">
          <cell r="A1117" t="str">
            <v>FOTOGRAMETRISTA I</v>
          </cell>
        </row>
        <row r="1118">
          <cell r="A1118" t="str">
            <v>FOTOGRAMETRISTA II</v>
          </cell>
        </row>
        <row r="1119">
          <cell r="A1119" t="str">
            <v>FOTOGRAMETRISTA III</v>
          </cell>
        </row>
        <row r="1120">
          <cell r="A1120" t="str">
            <v>FOTOGRAMETRISTA IV</v>
          </cell>
        </row>
        <row r="1121">
          <cell r="A1121" t="str">
            <v>FOTOGRAMETRISTA JEFE</v>
          </cell>
        </row>
        <row r="1122">
          <cell r="A1122" t="str">
            <v>GEMOLOGO I</v>
          </cell>
        </row>
        <row r="1123">
          <cell r="A1123" t="str">
            <v>GEMOLOGO II</v>
          </cell>
        </row>
        <row r="1124">
          <cell r="A1124" t="str">
            <v>GEOGRAFO I</v>
          </cell>
        </row>
        <row r="1125">
          <cell r="A1125" t="str">
            <v>GEOGRAFO II</v>
          </cell>
        </row>
        <row r="1126">
          <cell r="A1126" t="str">
            <v>GEOGRAFO III</v>
          </cell>
        </row>
        <row r="1127">
          <cell r="A1127" t="str">
            <v>GEOLOGO I</v>
          </cell>
        </row>
        <row r="1128">
          <cell r="A1128" t="str">
            <v>GEOLOGO II</v>
          </cell>
        </row>
        <row r="1129">
          <cell r="A1129" t="str">
            <v>GEOLOGO III</v>
          </cell>
        </row>
        <row r="1130">
          <cell r="A1130" t="str">
            <v>GEOLOGO JEFE I</v>
          </cell>
        </row>
        <row r="1131">
          <cell r="A1131" t="str">
            <v>GEOLOGO JEFE II</v>
          </cell>
        </row>
        <row r="1132">
          <cell r="A1132" t="str">
            <v>GERENTE</v>
          </cell>
        </row>
        <row r="1133">
          <cell r="A1133" t="str">
            <v>GOBERNADOR</v>
          </cell>
        </row>
        <row r="1134">
          <cell r="A1134" t="str">
            <v>GUARDAFAUNA I</v>
          </cell>
        </row>
        <row r="1135">
          <cell r="A1135" t="str">
            <v>GUARDAFAUNA II</v>
          </cell>
        </row>
        <row r="1136">
          <cell r="A1136" t="str">
            <v>GUARDAFAUNA III</v>
          </cell>
        </row>
        <row r="1137">
          <cell r="A1137" t="str">
            <v>GUIA DE CENTRO I</v>
          </cell>
        </row>
        <row r="1138">
          <cell r="A1138" t="str">
            <v>GUIA DE CENTRO I  (NOCTURNO)</v>
          </cell>
        </row>
        <row r="1139">
          <cell r="A1139" t="str">
            <v>GUIA DE CENTRO II</v>
          </cell>
        </row>
        <row r="1140">
          <cell r="A1140" t="str">
            <v>GUIA DE CENTRO II  (NOCTURNO)</v>
          </cell>
        </row>
        <row r="1141">
          <cell r="A1141" t="str">
            <v>GUITARRA</v>
          </cell>
        </row>
        <row r="1142">
          <cell r="A1142" t="str">
            <v>HABILITADO I</v>
          </cell>
        </row>
        <row r="1143">
          <cell r="A1143" t="str">
            <v>HABILITADO II</v>
          </cell>
        </row>
        <row r="1144">
          <cell r="A1144" t="str">
            <v>HABILITADO III</v>
          </cell>
        </row>
        <row r="1145">
          <cell r="A1145" t="str">
            <v>HABILITADO IV</v>
          </cell>
        </row>
        <row r="1146">
          <cell r="A1146" t="str">
            <v>HABILITADO JEFE</v>
          </cell>
        </row>
        <row r="1147">
          <cell r="A1147" t="str">
            <v>HIDROGRAFO I</v>
          </cell>
        </row>
        <row r="1148">
          <cell r="A1148" t="str">
            <v>HIDROGRAFO II</v>
          </cell>
        </row>
        <row r="1149">
          <cell r="A1149" t="str">
            <v>HIDROGRAFO JEFE</v>
          </cell>
        </row>
        <row r="1150">
          <cell r="A1150" t="str">
            <v>HIDROMETEOROLOGISTA I</v>
          </cell>
        </row>
        <row r="1151">
          <cell r="A1151" t="str">
            <v>HIDROMETEOROLOGISTA II</v>
          </cell>
        </row>
        <row r="1152">
          <cell r="A1152" t="str">
            <v>HIDROMETEOROLOGISTA III</v>
          </cell>
        </row>
        <row r="1153">
          <cell r="A1153" t="str">
            <v>HIGIENISTA DENTAL I</v>
          </cell>
        </row>
        <row r="1154">
          <cell r="A1154" t="str">
            <v>HIGIENISTA DENTAL II</v>
          </cell>
        </row>
        <row r="1155">
          <cell r="A1155" t="str">
            <v>INFORMADOR DE AEROPUERTO I</v>
          </cell>
        </row>
        <row r="1156">
          <cell r="A1156" t="str">
            <v>INFORMADOR DE AEROPUERTO II</v>
          </cell>
        </row>
        <row r="1157">
          <cell r="A1157" t="str">
            <v>INFORMADOR TURISTICO  I</v>
          </cell>
        </row>
        <row r="1158">
          <cell r="A1158" t="str">
            <v>INFORMADOR TURISTICO I</v>
          </cell>
        </row>
        <row r="1159">
          <cell r="A1159" t="str">
            <v>INFORMADOR TURISTICO II</v>
          </cell>
        </row>
        <row r="1160">
          <cell r="A1160" t="str">
            <v>INFORMADOR TURISTICO III</v>
          </cell>
        </row>
        <row r="1161">
          <cell r="A1161" t="str">
            <v>INFORMADOR TURISTICO IV</v>
          </cell>
        </row>
        <row r="1162">
          <cell r="A1162" t="str">
            <v>INFORMADOR TURISTICO JEFE</v>
          </cell>
        </row>
        <row r="1163">
          <cell r="A1163" t="str">
            <v>INGENIERO AERONAUTICO I</v>
          </cell>
        </row>
        <row r="1164">
          <cell r="A1164" t="str">
            <v>INGENIERO AERONAUTICO II</v>
          </cell>
        </row>
        <row r="1165">
          <cell r="A1165" t="str">
            <v>INGENIERO AGRICOLA I</v>
          </cell>
        </row>
        <row r="1166">
          <cell r="A1166" t="str">
            <v>INGENIERO AGRICOLA II</v>
          </cell>
        </row>
        <row r="1167">
          <cell r="A1167" t="str">
            <v>INGENIERO AGRICOLA III</v>
          </cell>
        </row>
        <row r="1168">
          <cell r="A1168" t="str">
            <v>INGENIERO AGRICOLA IV</v>
          </cell>
        </row>
        <row r="1169">
          <cell r="A1169" t="str">
            <v>INGENIERO AGRICOLA V</v>
          </cell>
        </row>
        <row r="1170">
          <cell r="A1170" t="str">
            <v>INGENIERO AGRONOMO I</v>
          </cell>
        </row>
        <row r="1171">
          <cell r="A1171" t="str">
            <v>INGENIERO AGRONOMO II</v>
          </cell>
        </row>
        <row r="1172">
          <cell r="A1172" t="str">
            <v>INGENIERO AGRONOMO III</v>
          </cell>
        </row>
        <row r="1173">
          <cell r="A1173" t="str">
            <v>INGENIERO AGRONOMO IV</v>
          </cell>
        </row>
        <row r="1174">
          <cell r="A1174" t="str">
            <v>INGENIERO AGRONOMO JEFE</v>
          </cell>
        </row>
        <row r="1175">
          <cell r="A1175" t="str">
            <v>INGENIERO AGRONOMO V</v>
          </cell>
        </row>
        <row r="1176">
          <cell r="A1176" t="str">
            <v>INGENIERO CIVIL I</v>
          </cell>
        </row>
        <row r="1177">
          <cell r="A1177" t="str">
            <v>INGENIERO CIVIL II</v>
          </cell>
        </row>
        <row r="1178">
          <cell r="A1178" t="str">
            <v>INGENIERO CIVIL III</v>
          </cell>
        </row>
        <row r="1179">
          <cell r="A1179" t="str">
            <v>INGENIERO CIVIL JEFE I</v>
          </cell>
        </row>
        <row r="1180">
          <cell r="A1180" t="str">
            <v>INGENIERO CIVIL JEFE II</v>
          </cell>
        </row>
        <row r="1181">
          <cell r="A1181" t="str">
            <v>INGENIERO CIVIL JEFE III</v>
          </cell>
        </row>
        <row r="1182">
          <cell r="A1182" t="str">
            <v>INGENIERO DE GAS I</v>
          </cell>
        </row>
        <row r="1183">
          <cell r="A1183" t="str">
            <v>INGENIERO DE MINA I</v>
          </cell>
        </row>
        <row r="1184">
          <cell r="A1184" t="str">
            <v>INGENIERO DE MINAS II</v>
          </cell>
        </row>
        <row r="1185">
          <cell r="A1185" t="str">
            <v>INGENIERO DE MINAS III</v>
          </cell>
        </row>
        <row r="1186">
          <cell r="A1186" t="str">
            <v>INGENIERO DE MINAS JEFE I</v>
          </cell>
        </row>
        <row r="1187">
          <cell r="A1187" t="str">
            <v>INGENIERO DE MINAS JEFE II</v>
          </cell>
        </row>
        <row r="1188">
          <cell r="A1188" t="str">
            <v>INGENIERO ELECTRICISTA I</v>
          </cell>
        </row>
        <row r="1189">
          <cell r="A1189" t="str">
            <v>INGENIERO ELECTRICISTA II</v>
          </cell>
        </row>
        <row r="1190">
          <cell r="A1190" t="str">
            <v>INGENIERO ELECTRICISTA III</v>
          </cell>
        </row>
        <row r="1191">
          <cell r="A1191" t="str">
            <v>INGENIERO ELECTRICISTA JEFE</v>
          </cell>
        </row>
        <row r="1192">
          <cell r="A1192" t="str">
            <v>INGENIERO EN AGROSISTEMAS I</v>
          </cell>
        </row>
        <row r="1193">
          <cell r="A1193" t="str">
            <v>INGENIERO EN CONSTRUCCION CIVIL I</v>
          </cell>
        </row>
        <row r="1194">
          <cell r="A1194" t="str">
            <v>INGENIERO EN CONSTRUCCION CIVIL II</v>
          </cell>
        </row>
        <row r="1195">
          <cell r="A1195" t="str">
            <v>INGENIERO EN CONSTRUCCION CIVIL III</v>
          </cell>
        </row>
        <row r="1196">
          <cell r="A1196" t="str">
            <v>INGENIERO EN INFORMATICA I</v>
          </cell>
        </row>
        <row r="1197">
          <cell r="A1197" t="str">
            <v>INGENIERO EN TELECOMUNICACIONES II</v>
          </cell>
        </row>
        <row r="1198">
          <cell r="A1198" t="str">
            <v>INGENIERO FORESTAL I</v>
          </cell>
        </row>
        <row r="1199">
          <cell r="A1199" t="str">
            <v>INGENIERO FORESTAL II</v>
          </cell>
        </row>
        <row r="1200">
          <cell r="A1200" t="str">
            <v>INGENIERO FORESTAL III</v>
          </cell>
        </row>
        <row r="1201">
          <cell r="A1201" t="str">
            <v>INGENIERO FORESTAL JEFE I</v>
          </cell>
        </row>
        <row r="1202">
          <cell r="A1202" t="str">
            <v>INGENIERO FORESTAL JEFE II</v>
          </cell>
        </row>
        <row r="1203">
          <cell r="A1203" t="str">
            <v>INGENIERO GEODESTA I</v>
          </cell>
        </row>
        <row r="1204">
          <cell r="A1204" t="str">
            <v>INGENIERO GEODESTA II</v>
          </cell>
        </row>
        <row r="1205">
          <cell r="A1205" t="str">
            <v>INGENIERO GEODESTA III</v>
          </cell>
        </row>
        <row r="1206">
          <cell r="A1206" t="str">
            <v>INGENIERO GEODESTA JEFE I</v>
          </cell>
        </row>
        <row r="1207">
          <cell r="A1207" t="str">
            <v>INGENIERO GEODESTA JEFE II</v>
          </cell>
        </row>
        <row r="1208">
          <cell r="A1208" t="str">
            <v>INGENIERO HIDROMETEOROLISTA JEFE I</v>
          </cell>
        </row>
        <row r="1209">
          <cell r="A1209" t="str">
            <v>INGENIERO HIDROMETEOROLISTA JEFE II</v>
          </cell>
        </row>
        <row r="1210">
          <cell r="A1210" t="str">
            <v>INGENIERO HIDROMETEOROLOGISTA I</v>
          </cell>
        </row>
        <row r="1211">
          <cell r="A1211" t="str">
            <v>INGENIERO HIDROMETEOROLOSTA II</v>
          </cell>
        </row>
        <row r="1212">
          <cell r="A1212" t="str">
            <v>INGENIERO HIROMETEROLOGISTA III</v>
          </cell>
        </row>
        <row r="1213">
          <cell r="A1213" t="str">
            <v>INGENIERO INDUSTRIAL I</v>
          </cell>
        </row>
        <row r="1214">
          <cell r="A1214" t="str">
            <v>INGENIERO INDUSTRIAL II</v>
          </cell>
        </row>
        <row r="1215">
          <cell r="A1215" t="str">
            <v>INGENIERO INDUSTRIAL III</v>
          </cell>
        </row>
        <row r="1216">
          <cell r="A1216" t="str">
            <v>INGENIERO INDUSTRIAL IV</v>
          </cell>
        </row>
        <row r="1217">
          <cell r="A1217" t="str">
            <v>INGENIERO MECANICO I</v>
          </cell>
        </row>
        <row r="1218">
          <cell r="A1218" t="str">
            <v>INGENIERO MECANICO II</v>
          </cell>
        </row>
        <row r="1219">
          <cell r="A1219" t="str">
            <v>INGENIERO MECANICO III</v>
          </cell>
        </row>
        <row r="1220">
          <cell r="A1220" t="str">
            <v>INGENIERO MECANICO JEFE</v>
          </cell>
        </row>
        <row r="1221">
          <cell r="A1221" t="str">
            <v>INGENIERO METALURGICO</v>
          </cell>
        </row>
        <row r="1222">
          <cell r="A1222" t="str">
            <v>INGENIERO NAVAL I</v>
          </cell>
        </row>
        <row r="1223">
          <cell r="A1223" t="str">
            <v>INGENIERO NAVAL II</v>
          </cell>
        </row>
        <row r="1224">
          <cell r="A1224" t="str">
            <v>INGENIERO NAVAL III</v>
          </cell>
        </row>
        <row r="1225">
          <cell r="A1225" t="str">
            <v>INGENIERO NAVAL JEFE</v>
          </cell>
        </row>
        <row r="1226">
          <cell r="A1226" t="str">
            <v>INGENIERO NUCLEAR I</v>
          </cell>
        </row>
        <row r="1227">
          <cell r="A1227" t="str">
            <v>INGENIERO NUCLEAR II</v>
          </cell>
        </row>
        <row r="1228">
          <cell r="A1228" t="str">
            <v>INGENIERO NUCLEAR III</v>
          </cell>
        </row>
        <row r="1229">
          <cell r="A1229" t="str">
            <v>INGENIERO NUCLEAR JEFE</v>
          </cell>
        </row>
        <row r="1230">
          <cell r="A1230" t="str">
            <v>INGENIERO PETROLERO I</v>
          </cell>
        </row>
        <row r="1231">
          <cell r="A1231" t="str">
            <v>INGENIERO PETROLERO II</v>
          </cell>
        </row>
        <row r="1232">
          <cell r="A1232" t="str">
            <v>INGENIERO PETROLERO III</v>
          </cell>
        </row>
        <row r="1233">
          <cell r="A1233" t="str">
            <v>INGENIERO PETROLERO JEFE I</v>
          </cell>
        </row>
        <row r="1234">
          <cell r="A1234" t="str">
            <v>INGENIERO PETROLERO JEFE II</v>
          </cell>
        </row>
        <row r="1235">
          <cell r="A1235" t="str">
            <v>INGENIERO QUIMICO I</v>
          </cell>
        </row>
        <row r="1236">
          <cell r="A1236" t="str">
            <v>INGENIERO QUIMICO II</v>
          </cell>
        </row>
        <row r="1237">
          <cell r="A1237" t="str">
            <v>INGENIERO QUIMICO III</v>
          </cell>
        </row>
        <row r="1238">
          <cell r="A1238" t="str">
            <v>INGENIERO QUIMICO JEFE I</v>
          </cell>
        </row>
        <row r="1239">
          <cell r="A1239" t="str">
            <v>INGENIERO QUMICO JEFE II</v>
          </cell>
        </row>
        <row r="1240">
          <cell r="A1240" t="str">
            <v>INGENIERO SANITARIO I</v>
          </cell>
        </row>
        <row r="1241">
          <cell r="A1241" t="str">
            <v>INGENIERO SANITARIO II</v>
          </cell>
        </row>
        <row r="1242">
          <cell r="A1242" t="str">
            <v>INGENIERO SANITARIO III</v>
          </cell>
        </row>
        <row r="1243">
          <cell r="A1243" t="str">
            <v>INGENIERO SANITARIO JEFE I</v>
          </cell>
        </row>
        <row r="1244">
          <cell r="A1244" t="str">
            <v>INGENIERO SANITARIO JEFE II</v>
          </cell>
        </row>
        <row r="1245">
          <cell r="A1245" t="str">
            <v>INGENIERO SANITARIO JEFE III</v>
          </cell>
        </row>
        <row r="1246">
          <cell r="A1246" t="str">
            <v>INPECTOR DE MAQUINARIAS I</v>
          </cell>
        </row>
        <row r="1247">
          <cell r="A1247" t="str">
            <v>INSP. NACIONAL DE REGIST Y NOTARIAS III</v>
          </cell>
        </row>
        <row r="1248">
          <cell r="A1248" t="str">
            <v>INSP. NACIONAL DE REGIST. Y NOTARIAS II</v>
          </cell>
        </row>
        <row r="1249">
          <cell r="A1249" t="str">
            <v>INSPEC NACIONAL DE REG. Y NOTARIAS JEFE</v>
          </cell>
        </row>
        <row r="1250">
          <cell r="A1250" t="str">
            <v>INSPEC.  RELACIONES CON EL SEGURO SOCIAL</v>
          </cell>
        </row>
        <row r="1251">
          <cell r="A1251" t="str">
            <v>INSPEC. NACIONAL DE REGISTROS Y NOTARIAS</v>
          </cell>
        </row>
        <row r="1252">
          <cell r="A1252" t="str">
            <v>INSPEC. RELACIONES SEGURO SOCIAL II</v>
          </cell>
        </row>
        <row r="1253">
          <cell r="A1253" t="str">
            <v>INSPECTOR</v>
          </cell>
        </row>
        <row r="1254">
          <cell r="A1254" t="str">
            <v>INSPECTOR ADMINISTRATIVO I</v>
          </cell>
        </row>
        <row r="1255">
          <cell r="A1255" t="str">
            <v>INSPECTOR ADMINISTRATIVO III</v>
          </cell>
        </row>
        <row r="1256">
          <cell r="A1256" t="str">
            <v>INSPECTOR ADMINISTRATIVO IV</v>
          </cell>
        </row>
        <row r="1257">
          <cell r="A1257" t="str">
            <v>INSPECTOR ADMINISTRATIVO JEFE</v>
          </cell>
        </row>
        <row r="1258">
          <cell r="A1258" t="str">
            <v>INSPECTOR AMDINISTRATIVO II</v>
          </cell>
        </row>
        <row r="1259">
          <cell r="A1259" t="str">
            <v>INSPECTOR AUX. DE OBRAS DE INGENIERIA</v>
          </cell>
        </row>
        <row r="1260">
          <cell r="A1260" t="str">
            <v>INSPECTOR DE AEROPUERTOS</v>
          </cell>
        </row>
        <row r="1261">
          <cell r="A1261" t="str">
            <v>INSPECTOR DE DERIVADOS HIDROCARBUROS I</v>
          </cell>
        </row>
        <row r="1262">
          <cell r="A1262" t="str">
            <v>INSPECTOR DE DERIVADOS HIDROCARBUROS II</v>
          </cell>
        </row>
        <row r="1263">
          <cell r="A1263" t="str">
            <v>INSPECTOR DE INMUEBLES</v>
          </cell>
        </row>
        <row r="1264">
          <cell r="A1264" t="str">
            <v>INSPECTOR DE MAQUINARIAS II</v>
          </cell>
        </row>
        <row r="1265">
          <cell r="A1265" t="str">
            <v>INSPECTOR DE MECANICA DE AVIACION I</v>
          </cell>
        </row>
        <row r="1266">
          <cell r="A1266" t="str">
            <v>INSPECTOR DE MECANICA DE AVIACION II</v>
          </cell>
        </row>
        <row r="1267">
          <cell r="A1267" t="str">
            <v>INSPECTOR DE MECANICA DE AVIACION III</v>
          </cell>
        </row>
        <row r="1268">
          <cell r="A1268" t="str">
            <v>INSPECTOR DE OBRAS DE INGENIERIA I</v>
          </cell>
        </row>
        <row r="1269">
          <cell r="A1269" t="str">
            <v>INSPECTOR DE OBRAS DE INGENIERIA II</v>
          </cell>
        </row>
        <row r="1270">
          <cell r="A1270" t="str">
            <v>INSPECTOR DE OBRAS DE INGENIERIA III</v>
          </cell>
        </row>
        <row r="1271">
          <cell r="A1271" t="str">
            <v>INSPECTOR DE PRISIONES</v>
          </cell>
        </row>
        <row r="1272">
          <cell r="A1272" t="str">
            <v>INSPECTOR DE PRISIONES JEFE</v>
          </cell>
        </row>
        <row r="1273">
          <cell r="A1273" t="str">
            <v>INSPECTOR DE PUERTOS</v>
          </cell>
        </row>
        <row r="1274">
          <cell r="A1274" t="str">
            <v>INSPECTOR DE RENTAS I</v>
          </cell>
        </row>
        <row r="1275">
          <cell r="A1275" t="str">
            <v>INSPECTOR DE RENTAS II</v>
          </cell>
        </row>
        <row r="1276">
          <cell r="A1276" t="str">
            <v>INSPECTOR DE RENTAS JEFE</v>
          </cell>
        </row>
        <row r="1277">
          <cell r="A1277" t="str">
            <v>INSPECTOR DE SALID PUBLICA III</v>
          </cell>
        </row>
        <row r="1278">
          <cell r="A1278" t="str">
            <v>INSPECTOR DE SALUD PUBLICA I</v>
          </cell>
        </row>
        <row r="1279">
          <cell r="A1279" t="str">
            <v>INSPECTOR DE SALUD PUBLICA II</v>
          </cell>
        </row>
        <row r="1280">
          <cell r="A1280" t="str">
            <v>INSPECTOR DE SALUD PUBLICA IV</v>
          </cell>
        </row>
        <row r="1281">
          <cell r="A1281" t="str">
            <v>INSPECTOR DE SEGURIDAD INDUSTRIAL</v>
          </cell>
        </row>
        <row r="1282">
          <cell r="A1282" t="str">
            <v>INSPECTOR DE SEGURIDAD INDUSTRIAL II</v>
          </cell>
        </row>
        <row r="1283">
          <cell r="A1283" t="str">
            <v>INSPECTOR DE SEGURIDAD INDUSTRIAL III</v>
          </cell>
        </row>
        <row r="1284">
          <cell r="A1284" t="str">
            <v>INSPECTOR DE SEGURIDAD INDUSTRIAL IV</v>
          </cell>
        </row>
        <row r="1285">
          <cell r="A1285" t="str">
            <v>INSPECTOR DE SEGUROS COMERCIALES I</v>
          </cell>
        </row>
        <row r="1286">
          <cell r="A1286" t="str">
            <v>INSPECTOR DE SEGUROS COMERCIALES II</v>
          </cell>
        </row>
        <row r="1287">
          <cell r="A1287" t="str">
            <v>INSPECTOR DE SEGUROS COMERIALES JEFE</v>
          </cell>
        </row>
        <row r="1288">
          <cell r="A1288" t="str">
            <v>INSPECTOR DE SEUGROS COMERCIALES III</v>
          </cell>
        </row>
        <row r="1289">
          <cell r="A1289" t="str">
            <v>INSPECTOR DE TELECOMUNICACIONES I</v>
          </cell>
        </row>
        <row r="1290">
          <cell r="A1290" t="str">
            <v>INSPECTOR DE TELECOMUNICACIONES II</v>
          </cell>
        </row>
        <row r="1291">
          <cell r="A1291" t="str">
            <v>INSPECTOR DE TELECOMUNICACIONES III</v>
          </cell>
        </row>
        <row r="1292">
          <cell r="A1292" t="str">
            <v>INSPECTOR DE TRABAJO I</v>
          </cell>
        </row>
        <row r="1293">
          <cell r="A1293" t="str">
            <v>INSPECTOR DE TRABAJO II</v>
          </cell>
        </row>
        <row r="1294">
          <cell r="A1294" t="str">
            <v>INSPECTOR DE TRABAJO III</v>
          </cell>
        </row>
        <row r="1295">
          <cell r="A1295" t="str">
            <v>INSPECTOR DE TRABAJO IV</v>
          </cell>
        </row>
        <row r="1296">
          <cell r="A1296" t="str">
            <v>INSPECTOR DE TRABAJO V</v>
          </cell>
        </row>
        <row r="1297">
          <cell r="A1297" t="str">
            <v>INSPECTOR DE TRANSPORTE I</v>
          </cell>
        </row>
        <row r="1298">
          <cell r="A1298" t="str">
            <v>INSPECTOR DE TRANSPORTE II</v>
          </cell>
        </row>
        <row r="1299">
          <cell r="A1299" t="str">
            <v>INSPECTOR DE ZONAS MARITIMAS</v>
          </cell>
        </row>
        <row r="1300">
          <cell r="A1300" t="str">
            <v>INSPECTOR ELECTRICISTA</v>
          </cell>
        </row>
        <row r="1301">
          <cell r="A1301" t="str">
            <v>INSPECTOR GENERAL DE HACIENDA I</v>
          </cell>
        </row>
        <row r="1302">
          <cell r="A1302" t="str">
            <v>INSPECTOR GENERAL DE HACIENDA II</v>
          </cell>
        </row>
        <row r="1303">
          <cell r="A1303" t="str">
            <v>INSPECTOR GENERAL DE HACIENDA III</v>
          </cell>
        </row>
        <row r="1304">
          <cell r="A1304" t="str">
            <v>INSPECTOR GENERAL DE HACIENDA IV</v>
          </cell>
        </row>
        <row r="1305">
          <cell r="A1305" t="str">
            <v>INSPECTOR IDENTIFICACION Y EXTRANJERIA</v>
          </cell>
        </row>
        <row r="1306">
          <cell r="A1306" t="str">
            <v>INSPECTOR JEFE</v>
          </cell>
        </row>
        <row r="1307">
          <cell r="A1307" t="str">
            <v>INSPECTOR TURISTICO I</v>
          </cell>
        </row>
        <row r="1308">
          <cell r="A1308" t="str">
            <v>INSPECTOR TURISTICO II</v>
          </cell>
        </row>
        <row r="1309">
          <cell r="A1309" t="str">
            <v>INSPECTOR TURISTICO III</v>
          </cell>
        </row>
        <row r="1310">
          <cell r="A1310" t="str">
            <v>INSPECTOR TURISTICO IV</v>
          </cell>
        </row>
        <row r="1311">
          <cell r="A1311" t="str">
            <v>INSPECTOR TURISTICO JEFE I</v>
          </cell>
        </row>
        <row r="1312">
          <cell r="A1312" t="str">
            <v>INSPECTOR TURISTICO JEFE II</v>
          </cell>
        </row>
        <row r="1313">
          <cell r="A1313" t="str">
            <v>INST. ARTES MANUALES N.G.</v>
          </cell>
        </row>
        <row r="1314">
          <cell r="A1314" t="str">
            <v>INST. B. Y DANZAS 77 III</v>
          </cell>
        </row>
        <row r="1315">
          <cell r="A1315" t="str">
            <v>INST. CORTE Y CONF. 77 III</v>
          </cell>
        </row>
        <row r="1316">
          <cell r="A1316" t="str">
            <v>INST. MUSICAL 77 IV</v>
          </cell>
        </row>
        <row r="1317">
          <cell r="A1317" t="str">
            <v>INST. MUSICAL N.G.</v>
          </cell>
        </row>
        <row r="1318">
          <cell r="A1318" t="str">
            <v>INST. TEATRO Y TITERES N.G.</v>
          </cell>
        </row>
        <row r="1319">
          <cell r="A1319" t="str">
            <v>INST.BALLET Y DANZAS N.G.</v>
          </cell>
        </row>
        <row r="1320">
          <cell r="A1320" t="str">
            <v>INST.BORDADO A MAQUINA N.G.</v>
          </cell>
        </row>
        <row r="1321">
          <cell r="A1321" t="str">
            <v>INST.CERAMICA Y ESC. N.G.</v>
          </cell>
        </row>
        <row r="1322">
          <cell r="A1322" t="str">
            <v>INST.CORT.Y CONFECC. N.G.</v>
          </cell>
        </row>
        <row r="1323">
          <cell r="A1323" t="str">
            <v>INST.CORTE Y CONF. 77 VI</v>
          </cell>
        </row>
        <row r="1324">
          <cell r="A1324" t="str">
            <v>INST.DANZAS FOLKLORICAS N.G.</v>
          </cell>
        </row>
        <row r="1325">
          <cell r="A1325" t="str">
            <v>INST.DANZAS III N.G.</v>
          </cell>
        </row>
        <row r="1326">
          <cell r="A1326" t="str">
            <v>INST.DE PELUQUERIA N.G.</v>
          </cell>
        </row>
        <row r="1327">
          <cell r="A1327" t="str">
            <v>INST.DIBUJO INFANTIL N.G.</v>
          </cell>
        </row>
        <row r="1328">
          <cell r="A1328" t="str">
            <v>INST.MANUALIDADES N.G.</v>
          </cell>
        </row>
        <row r="1329">
          <cell r="A1329" t="str">
            <v>INST.PINTURA 77 III</v>
          </cell>
        </row>
        <row r="1330">
          <cell r="A1330" t="str">
            <v>INST.PINTURA Y D. N.G.</v>
          </cell>
        </row>
        <row r="1331">
          <cell r="A1331" t="str">
            <v>INST.PINTURA Y DIB. VI 139</v>
          </cell>
        </row>
        <row r="1332">
          <cell r="A1332" t="str">
            <v>INST.REPOSTERIA C. N.G.</v>
          </cell>
        </row>
        <row r="1333">
          <cell r="A1333" t="str">
            <v>INST.TEATRO-TITERES 139 III</v>
          </cell>
        </row>
        <row r="1334">
          <cell r="A1334" t="str">
            <v>INST.TEJIDO E HILADO 77 IV</v>
          </cell>
        </row>
        <row r="1335">
          <cell r="A1335" t="str">
            <v>INSTRC. DE ALFABETIZACION Y EDUC. BASICA</v>
          </cell>
        </row>
        <row r="1336">
          <cell r="A1336" t="str">
            <v>INSTRC. FORMACION PROF. EN EL AREA COMER</v>
          </cell>
        </row>
        <row r="1337">
          <cell r="A1337" t="str">
            <v>INSTRUC FORMACION PROF, ART,Y SERV.</v>
          </cell>
        </row>
        <row r="1338">
          <cell r="A1338" t="str">
            <v>INSTRUCTOR</v>
          </cell>
        </row>
        <row r="1339">
          <cell r="A1339" t="str">
            <v>INSTRUCTOR AGROPECUARIO I</v>
          </cell>
        </row>
        <row r="1340">
          <cell r="A1340" t="str">
            <v>INSTRUCTOR AGROPECUARIO III</v>
          </cell>
        </row>
        <row r="1341">
          <cell r="A1341" t="str">
            <v>INSTRUCTOR AGROPECUARIO JEFE I</v>
          </cell>
        </row>
        <row r="1342">
          <cell r="A1342" t="str">
            <v>INSTRUCTOR AGROPECURIO JEFE II</v>
          </cell>
        </row>
        <row r="1343">
          <cell r="A1343" t="str">
            <v>INSTRUCTOR DE ENFERMERIA</v>
          </cell>
        </row>
        <row r="1344">
          <cell r="A1344" t="str">
            <v>INSTRUCTOR DE ERONAUTICA CIVIL</v>
          </cell>
        </row>
        <row r="1345">
          <cell r="A1345" t="str">
            <v>INSTRUCTOR DE FORM. PROFESIONAL EN EL AREA DE OFICINA</v>
          </cell>
        </row>
        <row r="1346">
          <cell r="A1346" t="str">
            <v>INSTRUCTOR DE FORMACION EMPRESARIA II</v>
          </cell>
        </row>
        <row r="1347">
          <cell r="A1347" t="str">
            <v>INSTRUCTOR DE FORMACION EMPRESARIAL</v>
          </cell>
        </row>
        <row r="1348">
          <cell r="A1348" t="str">
            <v>INSTRUCTOR DE FORMACION EMPRESARIAL III</v>
          </cell>
        </row>
        <row r="1349">
          <cell r="A1349" t="str">
            <v>INSTRUCTOR DE MANUALIDADES TCVD</v>
          </cell>
        </row>
        <row r="1350">
          <cell r="A1350" t="str">
            <v>INSTRUCTOR DE PRE-ESCOLAR</v>
          </cell>
        </row>
        <row r="1351">
          <cell r="A1351" t="str">
            <v>INSTRUCTOR DE TECNICAS NAUTICAS</v>
          </cell>
        </row>
        <row r="1352">
          <cell r="A1352" t="str">
            <v>INSTRUCTOR DE TECNICAS NAUTICAS JEFE</v>
          </cell>
        </row>
        <row r="1353">
          <cell r="A1353" t="str">
            <v>INSTRUCTOR ECONOMIA DOMESTICA</v>
          </cell>
        </row>
        <row r="1354">
          <cell r="A1354" t="str">
            <v>INSTRUCTOR I</v>
          </cell>
        </row>
        <row r="1355">
          <cell r="A1355" t="str">
            <v>INSTRUCTOR I   139</v>
          </cell>
        </row>
        <row r="1356">
          <cell r="A1356" t="str">
            <v>INSTRUCTOR I   77</v>
          </cell>
        </row>
        <row r="1357">
          <cell r="A1357" t="str">
            <v>INSTRUCTOR I   N.G.</v>
          </cell>
        </row>
        <row r="1358">
          <cell r="A1358" t="str">
            <v>INSTRUCTOR I (16 HORAS) / DIREC.  BAND (16 HORAS)</v>
          </cell>
        </row>
        <row r="1359">
          <cell r="A1359" t="str">
            <v>INSTRUCTOR I (16HRS) Y DOC NG (33.33HRS.)</v>
          </cell>
        </row>
        <row r="1360">
          <cell r="A1360" t="str">
            <v>INSTRUCTOR I Y III NG (16 H)</v>
          </cell>
        </row>
        <row r="1361">
          <cell r="A1361" t="str">
            <v>INSTRUCTOR II  139</v>
          </cell>
        </row>
        <row r="1362">
          <cell r="A1362" t="str">
            <v>INSTRUCTOR II  77</v>
          </cell>
        </row>
        <row r="1363">
          <cell r="A1363" t="str">
            <v>INSTRUCTOR II  N.G.</v>
          </cell>
        </row>
        <row r="1364">
          <cell r="A1364" t="str">
            <v>INSTRUCTOR III 139</v>
          </cell>
        </row>
        <row r="1365">
          <cell r="A1365" t="str">
            <v>INSTRUCTOR III 77</v>
          </cell>
        </row>
        <row r="1366">
          <cell r="A1366" t="str">
            <v>INSTRUCTOR III N.G.</v>
          </cell>
        </row>
        <row r="1367">
          <cell r="A1367" t="str">
            <v>INSTRUCTOR III NG (33,33 HORAS) Y DOCENTE BASICO 16 TSE TCVD I (04 HR)</v>
          </cell>
        </row>
        <row r="1368">
          <cell r="A1368" t="str">
            <v>INSTRUCTOR III NG (33,33 HORAS) Y ENTRENADOR DEPORTIVO (33,33 HORAS)</v>
          </cell>
        </row>
        <row r="1369">
          <cell r="A1369" t="str">
            <v>INSTRUCTOR III NG (33,33) Y DOCENTE BASICA NG TCVNMA (16 HORAS)</v>
          </cell>
        </row>
        <row r="1370">
          <cell r="A1370" t="str">
            <v>INSTRUCTOR INSTRUMENTAL DE VUELO</v>
          </cell>
        </row>
        <row r="1371">
          <cell r="A1371" t="str">
            <v>INSTRUCTOR IV  139</v>
          </cell>
        </row>
        <row r="1372">
          <cell r="A1372" t="str">
            <v>INSTRUCTOR IV  77</v>
          </cell>
        </row>
        <row r="1373">
          <cell r="A1373" t="str">
            <v>INSTRUCTOR MANUALIDADES I</v>
          </cell>
        </row>
        <row r="1374">
          <cell r="A1374" t="str">
            <v>INSTRUCTOR MANUALIDADES II</v>
          </cell>
        </row>
        <row r="1375">
          <cell r="A1375" t="str">
            <v>INSTRUCTOR MANUALIDADES III</v>
          </cell>
        </row>
        <row r="1376">
          <cell r="A1376" t="str">
            <v>INSTRUCTOR MARROQUINERIA</v>
          </cell>
        </row>
        <row r="1377">
          <cell r="A1377" t="str">
            <v>INSTRUCTOR MUSICAL</v>
          </cell>
        </row>
        <row r="1378">
          <cell r="A1378" t="str">
            <v>INSTRUCTOR MUSICAL Y DOCENTE IV AULA</v>
          </cell>
        </row>
        <row r="1379">
          <cell r="A1379" t="str">
            <v>INSTRUCTOR N.G TCVD</v>
          </cell>
        </row>
        <row r="1380">
          <cell r="A1380" t="str">
            <v>INSTRUCTOR V   139</v>
          </cell>
        </row>
        <row r="1381">
          <cell r="A1381" t="str">
            <v>INSTRUCTOR V   77</v>
          </cell>
        </row>
        <row r="1382">
          <cell r="A1382" t="str">
            <v>INSTRUCTOR VI  139</v>
          </cell>
        </row>
        <row r="1383">
          <cell r="A1383" t="str">
            <v>INSTRUCTOR VI  77</v>
          </cell>
        </row>
        <row r="1384">
          <cell r="A1384" t="str">
            <v>INSTRUCTORA DE COCINA Y ARTE CULINARIA</v>
          </cell>
        </row>
        <row r="1385">
          <cell r="A1385" t="str">
            <v>INSTRUCTORA III NG (16 HORAS) Y DOCENTE BASICA NG 1-6 TCVNM (33,33 HORAS)</v>
          </cell>
        </row>
        <row r="1386">
          <cell r="A1386" t="str">
            <v>INSTRUMENTO I</v>
          </cell>
        </row>
        <row r="1387">
          <cell r="A1387" t="str">
            <v>INSTRUMENTO II</v>
          </cell>
        </row>
        <row r="1388">
          <cell r="A1388" t="str">
            <v>INSTRUMENTO III</v>
          </cell>
        </row>
        <row r="1389">
          <cell r="A1389" t="str">
            <v>INSTURCTOR AGROPECUARIO II</v>
          </cell>
        </row>
        <row r="1390">
          <cell r="A1390" t="str">
            <v>INTENDENTE DE HOSPITAL I</v>
          </cell>
        </row>
        <row r="1391">
          <cell r="A1391" t="str">
            <v>INTENDENTE DE HOSPITAL II</v>
          </cell>
        </row>
        <row r="1392">
          <cell r="A1392" t="str">
            <v>INTENDENTE DE HOSPITAL III</v>
          </cell>
        </row>
        <row r="1393">
          <cell r="A1393" t="str">
            <v>INTENDENTE DE HOSPITAL IV</v>
          </cell>
        </row>
        <row r="1394">
          <cell r="A1394" t="str">
            <v>INTENDENTE DE HOSPITAL V</v>
          </cell>
        </row>
        <row r="1395">
          <cell r="A1395" t="str">
            <v>INTERVENTOR DE ADUANAS II</v>
          </cell>
        </row>
        <row r="1396">
          <cell r="A1396" t="str">
            <v>INTERVENTOR DE ADUANAS III</v>
          </cell>
        </row>
        <row r="1397">
          <cell r="A1397" t="str">
            <v>INTERVENTOR DE ADUNAS I</v>
          </cell>
        </row>
        <row r="1398">
          <cell r="A1398" t="str">
            <v>INTRUCTOR DEPORTIVO</v>
          </cell>
        </row>
        <row r="1399">
          <cell r="A1399" t="str">
            <v>INVESTIGADOR DE MUSEO I</v>
          </cell>
        </row>
        <row r="1400">
          <cell r="A1400" t="str">
            <v>INVESTIGADOR DE MUSEO II</v>
          </cell>
        </row>
        <row r="1401">
          <cell r="A1401" t="str">
            <v>INVESTIGADOR DE MUSEO III</v>
          </cell>
        </row>
        <row r="1402">
          <cell r="A1402" t="str">
            <v>INVESTIGADOR EN ADIESTRAMIENTO</v>
          </cell>
        </row>
        <row r="1403">
          <cell r="A1403" t="str">
            <v>INVESTIGADOR I</v>
          </cell>
        </row>
        <row r="1404">
          <cell r="A1404" t="str">
            <v>INVESTIGADOR II</v>
          </cell>
        </row>
        <row r="1405">
          <cell r="A1405" t="str">
            <v>INVESTIGADOR III</v>
          </cell>
        </row>
        <row r="1406">
          <cell r="A1406" t="str">
            <v>INVESTIGADOR IV</v>
          </cell>
        </row>
        <row r="1407">
          <cell r="A1407" t="str">
            <v>INVESTIGADOR JEFE</v>
          </cell>
        </row>
        <row r="1408">
          <cell r="A1408" t="str">
            <v>INVESTIGADOR SOCIAL I</v>
          </cell>
        </row>
        <row r="1409">
          <cell r="A1409" t="str">
            <v>INVESTIGADOR SOCIAL II</v>
          </cell>
        </row>
        <row r="1410">
          <cell r="A1410" t="str">
            <v>INVESTIGADOR SOCIAL III</v>
          </cell>
        </row>
        <row r="1411">
          <cell r="A1411" t="str">
            <v>INVESTIGADOR SOCIAL JEFE</v>
          </cell>
        </row>
        <row r="1412">
          <cell r="A1412" t="str">
            <v>INVESTIGADOR V</v>
          </cell>
        </row>
        <row r="1413">
          <cell r="A1413" t="str">
            <v>JEE DE SERVICIOS PORTUARIOS I</v>
          </cell>
        </row>
        <row r="1414">
          <cell r="A1414" t="str">
            <v>JEFE CAPITAN DE PUERTO</v>
          </cell>
        </row>
        <row r="1415">
          <cell r="A1415" t="str">
            <v>JEFE CENTRO ATENCION POR ABANDONO</v>
          </cell>
        </row>
        <row r="1416">
          <cell r="A1416" t="str">
            <v>JEFE CENTRO ATENCION POR TRATAMIENTO</v>
          </cell>
        </row>
        <row r="1417">
          <cell r="A1417" t="str">
            <v>JEFE CENTRO AUDIOVISUAL</v>
          </cell>
        </row>
        <row r="1418">
          <cell r="A1418" t="str">
            <v>JEFE CENTRO DE PREVENCION</v>
          </cell>
        </row>
        <row r="1419">
          <cell r="A1419" t="str">
            <v>JEFE CENTRO INDIGENISTA II</v>
          </cell>
        </row>
        <row r="1420">
          <cell r="A1420" t="str">
            <v>JEFE CENTRO INDIGENITA I</v>
          </cell>
        </row>
        <row r="1421">
          <cell r="A1421" t="str">
            <v>JEFE DE AEROPUERTO I</v>
          </cell>
        </row>
        <row r="1422">
          <cell r="A1422" t="str">
            <v>JEFE DE AEROPUERTO II</v>
          </cell>
        </row>
        <row r="1423">
          <cell r="A1423" t="str">
            <v>JEFE DE AEROPUERTO III</v>
          </cell>
        </row>
        <row r="1424">
          <cell r="A1424" t="str">
            <v>JEFE DE AEROPUERTO IV</v>
          </cell>
        </row>
        <row r="1425">
          <cell r="A1425" t="str">
            <v>JEFE DE AEROPUERTO V</v>
          </cell>
        </row>
        <row r="1426">
          <cell r="A1426" t="str">
            <v>JEFE DE ARTE Y FOLKLORE</v>
          </cell>
        </row>
        <row r="1427">
          <cell r="A1427" t="str">
            <v>JEFE DE CONTROL DE MAQUINAS</v>
          </cell>
        </row>
        <row r="1428">
          <cell r="A1428" t="str">
            <v>JEFE DE DEPARTAMENTO</v>
          </cell>
        </row>
        <row r="1429">
          <cell r="A1429" t="str">
            <v>JEFE DE DIVISION</v>
          </cell>
        </row>
        <row r="1430">
          <cell r="A1430" t="str">
            <v>JEFE DE DIVISION ADMINISTRATIVO</v>
          </cell>
        </row>
        <row r="1431">
          <cell r="A1431" t="str">
            <v>JEFE DE EJECUCION Y CONTROL DE PRESUPUES</v>
          </cell>
        </row>
        <row r="1432">
          <cell r="A1432" t="str">
            <v>JEFE DE INFORMATICA I</v>
          </cell>
        </row>
        <row r="1433">
          <cell r="A1433" t="str">
            <v>JEFE DE INFORMATICA II</v>
          </cell>
        </row>
        <row r="1434">
          <cell r="A1434" t="str">
            <v>JEFE DE INFORMATICA III</v>
          </cell>
        </row>
        <row r="1435">
          <cell r="A1435" t="str">
            <v>JEFE DE LABORATORIO DE AEROFOTOGRAFIA</v>
          </cell>
        </row>
        <row r="1436">
          <cell r="A1436" t="str">
            <v>JEFE DE MAQUINAS I</v>
          </cell>
        </row>
        <row r="1437">
          <cell r="A1437" t="str">
            <v>JEFE DE MAQUINAS II</v>
          </cell>
        </row>
        <row r="1438">
          <cell r="A1438" t="str">
            <v>JEFE DE OBREROS</v>
          </cell>
        </row>
        <row r="1439">
          <cell r="A1439" t="str">
            <v>JEFE DE OFICINA</v>
          </cell>
        </row>
        <row r="1440">
          <cell r="A1440" t="str">
            <v>JEFE DE PABELLON DE FERIAS</v>
          </cell>
        </row>
        <row r="1441">
          <cell r="A1441" t="str">
            <v>JEFE DE PRE-ESCOLAR</v>
          </cell>
        </row>
        <row r="1442">
          <cell r="A1442" t="str">
            <v>JEFE DE RELACIONES PUBLICAS I</v>
          </cell>
        </row>
        <row r="1443">
          <cell r="A1443" t="str">
            <v>JEFE DE RELACIONES PUBLICAS II</v>
          </cell>
        </row>
        <row r="1444">
          <cell r="A1444" t="str">
            <v>JEFE DE RELACIONES PUBLICAS III</v>
          </cell>
        </row>
        <row r="1445">
          <cell r="A1445" t="str">
            <v>JEFE DE SECCION</v>
          </cell>
        </row>
        <row r="1446">
          <cell r="A1446" t="str">
            <v>JEFE DE SERVICIOS PORTUARIOS II</v>
          </cell>
        </row>
        <row r="1447">
          <cell r="A1447" t="str">
            <v>JEFE DE SERVICIOS PORTUARIOS III</v>
          </cell>
        </row>
        <row r="1448">
          <cell r="A1448" t="str">
            <v>JEFE DE SERVICIOS PORTUARIOS IV</v>
          </cell>
        </row>
        <row r="1449">
          <cell r="A1449" t="str">
            <v>JEFE DE TRANSPORTE AUTOMOTOR I</v>
          </cell>
        </row>
        <row r="1450">
          <cell r="A1450" t="str">
            <v>JEFE DE TRANSPORTE AUTONOMOR III</v>
          </cell>
        </row>
        <row r="1451">
          <cell r="A1451" t="str">
            <v>JEFE DE TRASPORTE AUTOMOTOR II</v>
          </cell>
        </row>
        <row r="1452">
          <cell r="A1452" t="str">
            <v>JEFE DE UNIDAD</v>
          </cell>
        </row>
        <row r="1453">
          <cell r="A1453" t="str">
            <v>JEFE DE ZONA</v>
          </cell>
        </row>
        <row r="1454">
          <cell r="A1454" t="str">
            <v>JEFE DE ZONA DE SANEAMIENTO AMBIENTAL</v>
          </cell>
        </row>
        <row r="1455">
          <cell r="A1455" t="str">
            <v>JEFE ESTACION DE PILOTO</v>
          </cell>
        </row>
        <row r="1456">
          <cell r="A1456" t="str">
            <v>JEFE SECCION DE RENDICION DE CUENTAS</v>
          </cell>
        </row>
        <row r="1457">
          <cell r="A1457" t="str">
            <v>JEFE TECNICO AMDINISTRATIVO</v>
          </cell>
        </row>
        <row r="1458">
          <cell r="A1458" t="str">
            <v>LABORATORISTA CINEMATOGRAFICO</v>
          </cell>
        </row>
        <row r="1459">
          <cell r="A1459" t="str">
            <v>LABORATORISTA I</v>
          </cell>
        </row>
        <row r="1460">
          <cell r="A1460" t="str">
            <v>LABORATORISTA II</v>
          </cell>
        </row>
        <row r="1461">
          <cell r="A1461" t="str">
            <v>LABORATORISTA III</v>
          </cell>
        </row>
        <row r="1462">
          <cell r="A1462" t="str">
            <v>LCDO(A) EN GESTION AMBIENTAL</v>
          </cell>
        </row>
        <row r="1463">
          <cell r="A1463" t="str">
            <v>LCDO(A) EN GESTION SOCIAL</v>
          </cell>
        </row>
        <row r="1464">
          <cell r="A1464" t="str">
            <v>LENGUAJE MUSICAL</v>
          </cell>
        </row>
        <row r="1465">
          <cell r="A1465" t="str">
            <v>LIBRETISTA DE RADIO</v>
          </cell>
        </row>
        <row r="1466">
          <cell r="A1466" t="str">
            <v>LIQUIDADOR DE HIDROCARBUROS I</v>
          </cell>
        </row>
        <row r="1467">
          <cell r="A1467" t="str">
            <v>LIQUIDADOR DE HIDROCARBUROS II</v>
          </cell>
        </row>
        <row r="1468">
          <cell r="A1468" t="str">
            <v>LIQUIDADOR DE HIDROCARBUROS III</v>
          </cell>
        </row>
        <row r="1469">
          <cell r="A1469" t="str">
            <v>LIQUIDADOR DE HIDROCARBUROS JEFE</v>
          </cell>
        </row>
        <row r="1470">
          <cell r="A1470" t="str">
            <v>LIQUIDADOR I</v>
          </cell>
        </row>
        <row r="1471">
          <cell r="A1471" t="str">
            <v>LIQUIDADOR II</v>
          </cell>
        </row>
        <row r="1472">
          <cell r="A1472" t="str">
            <v>LIQUIDADOR III</v>
          </cell>
        </row>
        <row r="1473">
          <cell r="A1473" t="str">
            <v>LIQUIDADOR JEFE</v>
          </cell>
        </row>
        <row r="1474">
          <cell r="A1474" t="str">
            <v>LOCUTOR I</v>
          </cell>
        </row>
        <row r="1475">
          <cell r="A1475" t="str">
            <v>LOCUTOR II</v>
          </cell>
        </row>
        <row r="1476">
          <cell r="A1476" t="str">
            <v>MAESTRA (33.33 HORAS) Y PROF. PH GR (20 HORAS)</v>
          </cell>
        </row>
        <row r="1477">
          <cell r="A1477" t="str">
            <v>MAESTRA ALFABETIZADORA</v>
          </cell>
        </row>
        <row r="1478">
          <cell r="A1478" t="str">
            <v>MAESTRA BIBLIOTECARIA</v>
          </cell>
        </row>
        <row r="1479">
          <cell r="A1479" t="str">
            <v>MAESTRA COORDINADORA</v>
          </cell>
        </row>
        <row r="1480">
          <cell r="A1480" t="str">
            <v>MAESTRA N§ 10</v>
          </cell>
        </row>
        <row r="1481">
          <cell r="A1481" t="str">
            <v>MAESTRA N§ 2</v>
          </cell>
        </row>
        <row r="1482">
          <cell r="A1482" t="str">
            <v>MAESTRA NORMALISTA</v>
          </cell>
        </row>
        <row r="1483">
          <cell r="A1483" t="str">
            <v>MAESTRA TIPO A</v>
          </cell>
        </row>
        <row r="1484">
          <cell r="A1484" t="str">
            <v>MAESTRO TCVDNMA</v>
          </cell>
        </row>
        <row r="1485">
          <cell r="A1485" t="str">
            <v>MAESTRO(A)</v>
          </cell>
        </row>
        <row r="1486">
          <cell r="A1486" t="str">
            <v>MANDOLINA</v>
          </cell>
        </row>
        <row r="1487">
          <cell r="A1487" t="str">
            <v>MAQUETISTA I</v>
          </cell>
        </row>
        <row r="1488">
          <cell r="A1488" t="str">
            <v>MAQUETISTA II</v>
          </cell>
        </row>
        <row r="1489">
          <cell r="A1489" t="str">
            <v>MAQUILLADOR</v>
          </cell>
        </row>
        <row r="1490">
          <cell r="A1490" t="str">
            <v>MAQUINISTA DE REMOLCADOR</v>
          </cell>
        </row>
        <row r="1491">
          <cell r="A1491" t="str">
            <v>MAQUINISTA DE TRANSPORTE NAVAL</v>
          </cell>
        </row>
        <row r="1492">
          <cell r="A1492" t="str">
            <v>MATEMATICO I</v>
          </cell>
        </row>
        <row r="1493">
          <cell r="A1493" t="str">
            <v>MATEMATICO II</v>
          </cell>
        </row>
        <row r="1494">
          <cell r="A1494" t="str">
            <v>MAYOR (BOMBERO)</v>
          </cell>
        </row>
        <row r="1495">
          <cell r="A1495" t="str">
            <v>MECANOGRAFA(O) II</v>
          </cell>
        </row>
        <row r="1496">
          <cell r="A1496" t="str">
            <v>MEDICO DE SALUD PUBLICA I</v>
          </cell>
        </row>
        <row r="1497">
          <cell r="A1497" t="str">
            <v>MEDICO DE SALUD PUBLICA II</v>
          </cell>
        </row>
        <row r="1498">
          <cell r="A1498" t="str">
            <v>MEDICO DE SALUD PUBLICA III</v>
          </cell>
        </row>
        <row r="1499">
          <cell r="A1499" t="str">
            <v>MEDICO DE SALUD PUBLICA JEFE</v>
          </cell>
        </row>
        <row r="1500">
          <cell r="A1500" t="str">
            <v>MEDICO DE SALUD PUBLICA JEFE II</v>
          </cell>
        </row>
        <row r="1501">
          <cell r="A1501" t="str">
            <v>MEDICO DE SALUD PUBLICA JEFE III</v>
          </cell>
        </row>
        <row r="1502">
          <cell r="A1502" t="str">
            <v>MEDICO DIRECTOR DE HOSPITAL I</v>
          </cell>
        </row>
        <row r="1503">
          <cell r="A1503" t="str">
            <v>MEDICO DIRECTOR DE HOSPITAL II</v>
          </cell>
        </row>
        <row r="1504">
          <cell r="A1504" t="str">
            <v>MEDICO DIRECTOR DE HOSPITAL III</v>
          </cell>
        </row>
        <row r="1505">
          <cell r="A1505" t="str">
            <v>MEDICO DIRECTOR DE HOSPITAL IV</v>
          </cell>
        </row>
        <row r="1506">
          <cell r="A1506" t="str">
            <v>MEDICO ESPECIALISTA I</v>
          </cell>
        </row>
        <row r="1507">
          <cell r="A1507" t="str">
            <v>MEDICO ESPECIALISTA II</v>
          </cell>
        </row>
        <row r="1508">
          <cell r="A1508" t="str">
            <v>MEDICO I</v>
          </cell>
        </row>
        <row r="1509">
          <cell r="A1509" t="str">
            <v>MEDICO II</v>
          </cell>
        </row>
        <row r="1510">
          <cell r="A1510" t="str">
            <v>MEDICO INTERNO</v>
          </cell>
        </row>
        <row r="1511">
          <cell r="A1511" t="str">
            <v>MEDICO JEFE I</v>
          </cell>
        </row>
        <row r="1512">
          <cell r="A1512" t="str">
            <v>MEDICO JEFE II</v>
          </cell>
        </row>
        <row r="1513">
          <cell r="A1513" t="str">
            <v>MEDICO JEFE III</v>
          </cell>
        </row>
        <row r="1514">
          <cell r="A1514" t="str">
            <v>MEDICO JEFE IV</v>
          </cell>
        </row>
        <row r="1515">
          <cell r="A1515" t="str">
            <v>MEDICO RESIDENTE</v>
          </cell>
        </row>
        <row r="1516">
          <cell r="A1516" t="str">
            <v>MEDICO VETERINARIO I</v>
          </cell>
        </row>
        <row r="1517">
          <cell r="A1517" t="str">
            <v>MEDICO VETERINARIO II</v>
          </cell>
        </row>
        <row r="1518">
          <cell r="A1518" t="str">
            <v>MEDICO VETERINARIO III</v>
          </cell>
        </row>
        <row r="1519">
          <cell r="A1519" t="str">
            <v>MEDICO VETERINARIO JEFE I</v>
          </cell>
        </row>
        <row r="1520">
          <cell r="A1520" t="str">
            <v>MEDICO VETERINARIO JEFE II</v>
          </cell>
        </row>
        <row r="1521">
          <cell r="A1521" t="str">
            <v>METROLOGO I</v>
          </cell>
        </row>
        <row r="1522">
          <cell r="A1522" t="str">
            <v>METROLOGO II</v>
          </cell>
        </row>
        <row r="1523">
          <cell r="A1523" t="str">
            <v>METROLOGO III</v>
          </cell>
        </row>
        <row r="1524">
          <cell r="A1524" t="str">
            <v>METROLOGO JEFE I</v>
          </cell>
        </row>
        <row r="1525">
          <cell r="A1525" t="str">
            <v>METROLOGO JEFE II</v>
          </cell>
        </row>
        <row r="1526">
          <cell r="A1526" t="str">
            <v>MICROBIOLOGO I</v>
          </cell>
        </row>
        <row r="1527">
          <cell r="A1527" t="str">
            <v>MICROBIOLOGO II</v>
          </cell>
        </row>
        <row r="1528">
          <cell r="A1528" t="str">
            <v>MICROBIOLOGO III</v>
          </cell>
        </row>
        <row r="1529">
          <cell r="A1529" t="str">
            <v>MICROBIOLOGO JEFE</v>
          </cell>
        </row>
        <row r="1530">
          <cell r="A1530" t="str">
            <v>MICROFILMADOR I</v>
          </cell>
        </row>
        <row r="1531">
          <cell r="A1531" t="str">
            <v>MICROFILMADOR II</v>
          </cell>
        </row>
        <row r="1532">
          <cell r="A1532" t="str">
            <v>MICROFILMADOR III</v>
          </cell>
        </row>
        <row r="1533">
          <cell r="A1533" t="str">
            <v>MICROFILMADOR IV</v>
          </cell>
        </row>
        <row r="1534">
          <cell r="A1534" t="str">
            <v>MUSEOGRAFO I</v>
          </cell>
        </row>
        <row r="1535">
          <cell r="A1535" t="str">
            <v>MUSEOGRAFO II</v>
          </cell>
        </row>
        <row r="1536">
          <cell r="A1536" t="str">
            <v>MUSEOGRAFO III</v>
          </cell>
        </row>
        <row r="1537">
          <cell r="A1537" t="str">
            <v>MUSEOLOGO</v>
          </cell>
        </row>
        <row r="1538">
          <cell r="A1538" t="str">
            <v>MUSEOLOGO II</v>
          </cell>
        </row>
        <row r="1539">
          <cell r="A1539" t="str">
            <v>MUSEOLOGO III</v>
          </cell>
        </row>
        <row r="1540">
          <cell r="A1540" t="str">
            <v>MUSEOLOGO IV</v>
          </cell>
        </row>
        <row r="1541">
          <cell r="A1541" t="str">
            <v>OBOE</v>
          </cell>
        </row>
        <row r="1542">
          <cell r="A1542" t="str">
            <v>OBOE</v>
          </cell>
        </row>
        <row r="1543">
          <cell r="A1543" t="str">
            <v>OBOE 1</v>
          </cell>
        </row>
        <row r="1544">
          <cell r="A1544" t="str">
            <v>OBOE 2</v>
          </cell>
        </row>
        <row r="1545">
          <cell r="A1545" t="str">
            <v>OBSERVADOR DE RADIO Y TV I</v>
          </cell>
        </row>
        <row r="1546">
          <cell r="A1546" t="str">
            <v>OBSERVADOR DE RADIO Y TV II</v>
          </cell>
        </row>
        <row r="1547">
          <cell r="A1547" t="str">
            <v>ODONTOLO II</v>
          </cell>
        </row>
        <row r="1548">
          <cell r="A1548" t="str">
            <v>ODONTOLOGO I</v>
          </cell>
        </row>
        <row r="1549">
          <cell r="A1549" t="str">
            <v>ODONTOLOGO III</v>
          </cell>
        </row>
        <row r="1550">
          <cell r="A1550" t="str">
            <v>ODONTOLOGO JEFE I</v>
          </cell>
        </row>
        <row r="1551">
          <cell r="A1551" t="str">
            <v>ODONTOLOGO JEFE II</v>
          </cell>
        </row>
        <row r="1552">
          <cell r="A1552" t="str">
            <v>OFICIAL</v>
          </cell>
        </row>
        <row r="1553">
          <cell r="A1553" t="str">
            <v>OFICIAL (GRADO 0)</v>
          </cell>
        </row>
        <row r="1554">
          <cell r="A1554" t="str">
            <v>OFICIAL (GRADO 1)</v>
          </cell>
        </row>
        <row r="1555">
          <cell r="A1555" t="str">
            <v>OFICIAL (GRADO 2)</v>
          </cell>
        </row>
        <row r="1556">
          <cell r="A1556" t="str">
            <v>OFICIAL AGREGADO</v>
          </cell>
        </row>
        <row r="1557">
          <cell r="A1557" t="str">
            <v>OFICIAL AGREGADO (GRADO 0)</v>
          </cell>
        </row>
        <row r="1558">
          <cell r="A1558" t="str">
            <v>OFICIAL AGREGADO (GRADO 1)</v>
          </cell>
        </row>
        <row r="1559">
          <cell r="A1559" t="str">
            <v>OFICIAL AGREGADO (GRADO 2)</v>
          </cell>
        </row>
        <row r="1560">
          <cell r="A1560" t="str">
            <v>OFICIAL DE BUSQUEDA Y SALVAMENTO I</v>
          </cell>
        </row>
        <row r="1561">
          <cell r="A1561" t="str">
            <v>OFICIAL DE BUSQUEDA Y SALVAMENTO II</v>
          </cell>
        </row>
        <row r="1562">
          <cell r="A1562" t="str">
            <v>OFICIAL DE BUSQUEDA Y SALVAMENTO III</v>
          </cell>
        </row>
        <row r="1563">
          <cell r="A1563" t="str">
            <v>OFICIAL DE BUSQUEDA Y SALVAMENTO IV</v>
          </cell>
        </row>
        <row r="1564">
          <cell r="A1564" t="str">
            <v>OFICIAL DE MAQUINAS I</v>
          </cell>
        </row>
        <row r="1565">
          <cell r="A1565" t="str">
            <v>OFICIAL DE MAQUINAS II</v>
          </cell>
        </row>
        <row r="1566">
          <cell r="A1566" t="str">
            <v>OFICIAL DE MAQUINAS III</v>
          </cell>
        </row>
        <row r="1567">
          <cell r="A1567" t="str">
            <v>OFICIAL DE MARINA I</v>
          </cell>
        </row>
        <row r="1568">
          <cell r="A1568" t="str">
            <v>OFICIAL DE MARINA II</v>
          </cell>
        </row>
        <row r="1569">
          <cell r="A1569" t="str">
            <v>OFICIAL DE MARINA III</v>
          </cell>
        </row>
        <row r="1570">
          <cell r="A1570" t="str">
            <v>OFICIAL DE MARINA IV</v>
          </cell>
        </row>
        <row r="1571">
          <cell r="A1571" t="str">
            <v>OFICIAL DE MARINA JEFE I</v>
          </cell>
        </row>
        <row r="1572">
          <cell r="A1572" t="str">
            <v>OFICIAL DE MARINA JEFE II</v>
          </cell>
        </row>
        <row r="1573">
          <cell r="A1573" t="str">
            <v>OFICIAL DE MARINA JEFE III</v>
          </cell>
        </row>
        <row r="1574">
          <cell r="A1574" t="str">
            <v>OFICIAL DE NAVEGACION I</v>
          </cell>
        </row>
        <row r="1575">
          <cell r="A1575" t="str">
            <v>OFICIAL DE NAVEGACION II</v>
          </cell>
        </row>
        <row r="1576">
          <cell r="A1576" t="str">
            <v>OFICIAL DE NAVEGACION III</v>
          </cell>
        </row>
        <row r="1577">
          <cell r="A1577" t="str">
            <v>OFICIAL JEFE</v>
          </cell>
        </row>
        <row r="1578">
          <cell r="A1578" t="str">
            <v>OFICIAL JEFE (GRADO 0)</v>
          </cell>
        </row>
        <row r="1579">
          <cell r="A1579" t="str">
            <v>OFICIAL JEFE (GRADO 1)</v>
          </cell>
        </row>
        <row r="1580">
          <cell r="A1580" t="str">
            <v>OFICIAL JEFE (GRADO 2)</v>
          </cell>
        </row>
        <row r="1581">
          <cell r="A1581" t="str">
            <v>OPERADOR DE EQUIPOS DE COMPUTACION I</v>
          </cell>
        </row>
        <row r="1582">
          <cell r="A1582" t="str">
            <v>OPERADOR DE EQUIPOS DE COMPUTACION II</v>
          </cell>
        </row>
        <row r="1583">
          <cell r="A1583" t="str">
            <v>OPERADOR DE EQUIPOS DE COMPUTACION III</v>
          </cell>
        </row>
        <row r="1584">
          <cell r="A1584" t="str">
            <v>OPERADOR DE EQUIPOS DE TV Y/O CINE</v>
          </cell>
        </row>
        <row r="1585">
          <cell r="A1585" t="str">
            <v>OPERADOR DE QUPOS DE DRAGADO</v>
          </cell>
        </row>
        <row r="1586">
          <cell r="A1586" t="str">
            <v>OPERADOR DE REPRODUCCION I</v>
          </cell>
        </row>
        <row r="1587">
          <cell r="A1587" t="str">
            <v>OPERADOR DE SOPORTE TECNICO</v>
          </cell>
        </row>
        <row r="1588">
          <cell r="A1588" t="str">
            <v>OPERADOR DE TELECOMUNICACIONES AERO. I</v>
          </cell>
        </row>
        <row r="1589">
          <cell r="A1589" t="str">
            <v>OPERADOR DE TELECOMUNICACIONES AERON. II</v>
          </cell>
        </row>
        <row r="1590">
          <cell r="A1590" t="str">
            <v>OPERADOR DE TELECOMUNICACIONES I</v>
          </cell>
        </row>
        <row r="1591">
          <cell r="A1591" t="str">
            <v>OPERADOR DE TELECOMUNICACIONES II</v>
          </cell>
        </row>
        <row r="1592">
          <cell r="A1592" t="str">
            <v>OPERADOR DE TELECOMUNICACIONES III</v>
          </cell>
        </row>
        <row r="1593">
          <cell r="A1593" t="str">
            <v>OPERADOR DE TELECOMUNICACIONES IV</v>
          </cell>
        </row>
        <row r="1594">
          <cell r="A1594" t="str">
            <v>OPERADOR DE TELECOMUNICACIONES JEFE</v>
          </cell>
        </row>
        <row r="1595">
          <cell r="A1595" t="str">
            <v>OPERADOR TELECOMUNICACIONES AER. JEFE I</v>
          </cell>
        </row>
        <row r="1596">
          <cell r="A1596" t="str">
            <v>OPERADOR TELECOMUNICACIONES AERON. III</v>
          </cell>
        </row>
        <row r="1597">
          <cell r="A1597" t="str">
            <v>OPERADOR TELECOMUNICACIONES AERON. IV</v>
          </cell>
        </row>
        <row r="1598">
          <cell r="A1598" t="str">
            <v>OPERADOR TELECOMUNICACIONES AERON. V</v>
          </cell>
        </row>
        <row r="1599">
          <cell r="A1599" t="str">
            <v>OPERADOR TELECOMUNICAICONES AER. JEFE II</v>
          </cell>
        </row>
        <row r="1600">
          <cell r="A1600" t="str">
            <v>OPERADOR TELECOMUNICAICONES AERON.VI</v>
          </cell>
        </row>
        <row r="1601">
          <cell r="A1601" t="str">
            <v>ORDENANZA  I</v>
          </cell>
        </row>
        <row r="1602">
          <cell r="A1602" t="str">
            <v>ORDENANZA II</v>
          </cell>
        </row>
        <row r="1603">
          <cell r="A1603" t="str">
            <v>ORDENANZA III</v>
          </cell>
        </row>
        <row r="1604">
          <cell r="A1604" t="str">
            <v>PALEONTOLOGO</v>
          </cell>
        </row>
        <row r="1605">
          <cell r="A1605" t="str">
            <v>PATRON DE LANCHA</v>
          </cell>
        </row>
        <row r="1606">
          <cell r="A1606" t="str">
            <v>PERCUSION</v>
          </cell>
        </row>
        <row r="1607">
          <cell r="A1607" t="str">
            <v>PERITO FORESTAL  III</v>
          </cell>
        </row>
        <row r="1608">
          <cell r="A1608" t="str">
            <v>PERITO FORESTAL I</v>
          </cell>
        </row>
        <row r="1609">
          <cell r="A1609" t="str">
            <v>PERITO FORESTAL II</v>
          </cell>
        </row>
        <row r="1610">
          <cell r="A1610" t="str">
            <v>PERITO FORESTAL JEFE I</v>
          </cell>
        </row>
        <row r="1611">
          <cell r="A1611" t="str">
            <v>PERITO FORESTAL JEFE II</v>
          </cell>
        </row>
        <row r="1612">
          <cell r="A1612" t="str">
            <v>PERITO NAVAL</v>
          </cell>
        </row>
        <row r="1613">
          <cell r="A1613" t="str">
            <v>PERSONAL ADMINISTRATIVO NO CLASIFICADO</v>
          </cell>
        </row>
        <row r="1614">
          <cell r="A1614" t="str">
            <v>PIANO COMPLEMENTARIO</v>
          </cell>
        </row>
        <row r="1615">
          <cell r="A1615" t="str">
            <v>PIANO COMPLEMENTARIO</v>
          </cell>
        </row>
        <row r="1616">
          <cell r="A1616" t="str">
            <v>PILOTO DE BUSQUEDA Y SALVAMENTO I</v>
          </cell>
        </row>
        <row r="1617">
          <cell r="A1617" t="str">
            <v>PILOTO DE BUSQUEDA Y SALVAMENTO II</v>
          </cell>
        </row>
        <row r="1618">
          <cell r="A1618" t="str">
            <v>PILOTO DE BUSQUEDA Y SALVAMENTO III</v>
          </cell>
        </row>
        <row r="1619">
          <cell r="A1619" t="str">
            <v>PILOTO DE BUSQUEDA Y SALVAMENTO IV</v>
          </cell>
        </row>
        <row r="1620">
          <cell r="A1620" t="str">
            <v>PILOTO DE HELICOPTERO BUSQUD. Y SALV.III</v>
          </cell>
        </row>
        <row r="1621">
          <cell r="A1621" t="str">
            <v>PILOTO DE HELICOPTERO BUSQUEDA Y SALV II</v>
          </cell>
        </row>
        <row r="1622">
          <cell r="A1622" t="str">
            <v>PILOTO DE HELICOPTERO DE BUSQUEDA Y SALV</v>
          </cell>
        </row>
        <row r="1623">
          <cell r="A1623" t="str">
            <v>PILOTO INSPECTOR DE VUELO I</v>
          </cell>
        </row>
        <row r="1624">
          <cell r="A1624" t="str">
            <v>PILOTO INSPECTOR DE VUELO II</v>
          </cell>
        </row>
        <row r="1625">
          <cell r="A1625" t="str">
            <v>PILOTO INSTRUCTOR DE VUELO II</v>
          </cell>
        </row>
        <row r="1626">
          <cell r="A1626" t="str">
            <v>PILOTO INSTRUCTOR DE VUELO III</v>
          </cell>
        </row>
        <row r="1627">
          <cell r="A1627" t="str">
            <v>PILOTO INSTRUCTOR DE VUELO JEFE</v>
          </cell>
        </row>
        <row r="1628">
          <cell r="A1628" t="str">
            <v>PILOTO JEFE</v>
          </cell>
        </row>
        <row r="1629">
          <cell r="A1629" t="str">
            <v>PILOTO JEFE DE OPERACIONES</v>
          </cell>
        </row>
        <row r="1630">
          <cell r="A1630" t="str">
            <v>PILOTO OFICIAL DE LA MARINA MERCANTE</v>
          </cell>
        </row>
        <row r="1631">
          <cell r="A1631" t="str">
            <v>PLANIFICADOR CENTRAL EN FORMACION</v>
          </cell>
        </row>
        <row r="1632">
          <cell r="A1632" t="str">
            <v>PLANIFICADOR CENTRAL I</v>
          </cell>
        </row>
        <row r="1633">
          <cell r="A1633" t="str">
            <v>PLANIFICADOR CENTRAL II</v>
          </cell>
        </row>
        <row r="1634">
          <cell r="A1634" t="str">
            <v>PLANIFICADOR CENTRAL III</v>
          </cell>
        </row>
        <row r="1635">
          <cell r="A1635" t="str">
            <v>PLANIFICADOR CENTRAL IV</v>
          </cell>
        </row>
        <row r="1636">
          <cell r="A1636" t="str">
            <v>PLANIFICADOR CENTRAL JEFE</v>
          </cell>
        </row>
        <row r="1637">
          <cell r="A1637" t="str">
            <v>PLANIFICADOR I</v>
          </cell>
        </row>
        <row r="1638">
          <cell r="A1638" t="str">
            <v>PLANIFICADOR II</v>
          </cell>
        </row>
        <row r="1639">
          <cell r="A1639" t="str">
            <v>PLANIFICADOR III</v>
          </cell>
        </row>
        <row r="1640">
          <cell r="A1640" t="str">
            <v>PLANIFICADOR IV</v>
          </cell>
        </row>
        <row r="1641">
          <cell r="A1641" t="str">
            <v>PLANIFICADOR JEFE</v>
          </cell>
        </row>
        <row r="1642">
          <cell r="A1642" t="str">
            <v>PLANIFICADOR V</v>
          </cell>
        </row>
        <row r="1643">
          <cell r="A1643" t="str">
            <v>PRECEPTOR</v>
          </cell>
        </row>
        <row r="1644">
          <cell r="A1644" t="str">
            <v>PREFECTO DE MUNICIPIO</v>
          </cell>
        </row>
        <row r="1645">
          <cell r="A1645" t="str">
            <v>PREFECTO DE PARROQUIA</v>
          </cell>
        </row>
        <row r="1646">
          <cell r="A1646" t="str">
            <v>PRESIDENTE</v>
          </cell>
        </row>
        <row r="1647">
          <cell r="A1647" t="str">
            <v>PRIMER OFICIAL DE JET I</v>
          </cell>
        </row>
        <row r="1648">
          <cell r="A1648" t="str">
            <v>PRIMER OFICIAL DE JET II</v>
          </cell>
        </row>
        <row r="1649">
          <cell r="A1649" t="str">
            <v>PRIMER OFICIAL DE TURBO</v>
          </cell>
        </row>
        <row r="1650">
          <cell r="A1650" t="str">
            <v>PROCURADOR DE TRABAJADORES</v>
          </cell>
        </row>
        <row r="1651">
          <cell r="A1651" t="str">
            <v>PRODUCTOR DE RADIO</v>
          </cell>
        </row>
        <row r="1652">
          <cell r="A1652" t="str">
            <v>PROF DE CUATRO</v>
          </cell>
        </row>
        <row r="1653">
          <cell r="A1653" t="str">
            <v>PROF. ARMONIA COMPLEMENTARIA</v>
          </cell>
        </row>
        <row r="1654">
          <cell r="A1654" t="str">
            <v>PROF. BALLET Y DANZAS</v>
          </cell>
        </row>
        <row r="1655">
          <cell r="A1655" t="str">
            <v>PROF. CERAMICA N.G.</v>
          </cell>
        </row>
        <row r="1656">
          <cell r="A1656" t="str">
            <v>PROF. CLARINETE II  77</v>
          </cell>
        </row>
        <row r="1657">
          <cell r="A1657" t="str">
            <v>PROF. CLARINETE N.G.</v>
          </cell>
        </row>
        <row r="1658">
          <cell r="A1658" t="str">
            <v>PROF. CLARINETE VI</v>
          </cell>
        </row>
        <row r="1659">
          <cell r="A1659" t="str">
            <v>PROF. CORNO I</v>
          </cell>
        </row>
        <row r="1660">
          <cell r="A1660" t="str">
            <v>PROF. CORTE Y CONF. 77  IV</v>
          </cell>
        </row>
        <row r="1661">
          <cell r="A1661" t="str">
            <v>PROF. DE PIANO  IV  139</v>
          </cell>
        </row>
        <row r="1662">
          <cell r="A1662" t="str">
            <v>PROF. DE PIANO III  77</v>
          </cell>
        </row>
        <row r="1663">
          <cell r="A1663" t="str">
            <v>PROF. DIB. Y DEC. G.III 77</v>
          </cell>
        </row>
        <row r="1664">
          <cell r="A1664" t="str">
            <v>PROF. DIBUJO Y DEC. VI 77</v>
          </cell>
        </row>
        <row r="1665">
          <cell r="A1665" t="str">
            <v>PROF. ESCULTURA N.G.</v>
          </cell>
        </row>
        <row r="1666">
          <cell r="A1666" t="str">
            <v>PROF. FLAUTA</v>
          </cell>
        </row>
        <row r="1667">
          <cell r="A1667" t="str">
            <v>PROF. FORMACION CORAL</v>
          </cell>
        </row>
        <row r="1668">
          <cell r="A1668" t="str">
            <v>PROF. FOTOGRAFIA  VI  139</v>
          </cell>
        </row>
        <row r="1669">
          <cell r="A1669" t="str">
            <v>PROF. GUITARRA VI 139</v>
          </cell>
        </row>
        <row r="1670">
          <cell r="A1670" t="str">
            <v>PROF. HIST. MUSICA VI  139</v>
          </cell>
        </row>
        <row r="1671">
          <cell r="A1671" t="str">
            <v>PROF. HISTORIA DEL A.IV 77</v>
          </cell>
        </row>
        <row r="1672">
          <cell r="A1672" t="str">
            <v>PROF. HISTORIA DEL A.VI 77</v>
          </cell>
        </row>
        <row r="1673">
          <cell r="A1673" t="str">
            <v>PROF. HISTORIA EST.III 77</v>
          </cell>
        </row>
        <row r="1674">
          <cell r="A1674" t="str">
            <v>PROF. HISTORIA ESTETICA</v>
          </cell>
        </row>
        <row r="1675">
          <cell r="A1675" t="str">
            <v>PROF. HORAS DE BASICA(2746HRAS)</v>
          </cell>
        </row>
        <row r="1676">
          <cell r="A1676" t="str">
            <v>PROF. HORAS EDUC MEDIA(1373 HRAS)</v>
          </cell>
        </row>
        <row r="1677">
          <cell r="A1677" t="str">
            <v>PROF. KINDER MUSICAL N.G.</v>
          </cell>
        </row>
        <row r="1678">
          <cell r="A1678" t="str">
            <v>PROF. KINDER MUSICAL VI 77</v>
          </cell>
        </row>
        <row r="1679">
          <cell r="A1679" t="str">
            <v>PROF. LANG. PLASTICO I 77</v>
          </cell>
        </row>
        <row r="1680">
          <cell r="A1680" t="str">
            <v>PROF. MANUALIDADES 77 II</v>
          </cell>
        </row>
        <row r="1681">
          <cell r="A1681" t="str">
            <v>PROF. MANUALIDADES III 77</v>
          </cell>
        </row>
        <row r="1682">
          <cell r="A1682" t="str">
            <v>PROF. MUSICA POP. VI   77</v>
          </cell>
        </row>
        <row r="1683">
          <cell r="A1683" t="str">
            <v>PROF. OBOE</v>
          </cell>
        </row>
        <row r="1684">
          <cell r="A1684" t="str">
            <v>PROF. PIANO COMPLEMENTARIO</v>
          </cell>
        </row>
        <row r="1685">
          <cell r="A1685" t="str">
            <v>PROF. PIANO PRINCIPAL III 77</v>
          </cell>
        </row>
        <row r="1686">
          <cell r="A1686" t="str">
            <v>PROF. PINTURA INFAN. V 77</v>
          </cell>
        </row>
        <row r="1687">
          <cell r="A1687" t="str">
            <v>PROF. PINTURA Y DIBUJO</v>
          </cell>
        </row>
        <row r="1688">
          <cell r="A1688" t="str">
            <v>PROF. RECURSOS AUDIO N.G</v>
          </cell>
        </row>
        <row r="1689">
          <cell r="A1689" t="str">
            <v>PROF. TEORIA Y SOLFEO</v>
          </cell>
        </row>
        <row r="1690">
          <cell r="A1690" t="str">
            <v>PROF. TROMPETA N.G.</v>
          </cell>
        </row>
        <row r="1691">
          <cell r="A1691" t="str">
            <v>PROF. VIOLA III 77</v>
          </cell>
        </row>
        <row r="1692">
          <cell r="A1692" t="str">
            <v>PROF. VIOLIN III 77</v>
          </cell>
        </row>
        <row r="1693">
          <cell r="A1693" t="str">
            <v>PROF. VIOLONCELLO III 77</v>
          </cell>
        </row>
        <row r="1694">
          <cell r="A1694" t="str">
            <v>PROF.CERAMICA ARTISTICA N.G.</v>
          </cell>
        </row>
        <row r="1695">
          <cell r="A1695" t="str">
            <v>PROF.TEATRO N.G.</v>
          </cell>
        </row>
        <row r="1696">
          <cell r="A1696" t="str">
            <v>PROFESOR DE CONTRABAJO</v>
          </cell>
        </row>
        <row r="1697">
          <cell r="A1697" t="str">
            <v>PROFESOR DE ESCULTURA Y ARTES GRAFICAS Y DOCENTE AULA MEDIA PROFESIONAL NG</v>
          </cell>
        </row>
        <row r="1698">
          <cell r="A1698" t="str">
            <v>PROFESOR DE MANUALIDADES</v>
          </cell>
        </row>
        <row r="1699">
          <cell r="A1699" t="str">
            <v>PROFESOR DE MUSICA</v>
          </cell>
        </row>
        <row r="1700">
          <cell r="A1700" t="str">
            <v>PROFESOR DE VIOLA N.G.</v>
          </cell>
        </row>
        <row r="1701">
          <cell r="A1701" t="str">
            <v>PROFESOR DE VIOLIN N.G.</v>
          </cell>
        </row>
        <row r="1702">
          <cell r="A1702" t="str">
            <v>PROFESOR I TID</v>
          </cell>
        </row>
        <row r="1703">
          <cell r="A1703" t="str">
            <v>PROFESOR POR HORA (24 HORAS)</v>
          </cell>
        </row>
        <row r="1704">
          <cell r="A1704" t="str">
            <v>PROFESOR(A) DE CORTE Y CONFECCIÓN</v>
          </cell>
        </row>
        <row r="1705">
          <cell r="A1705" t="str">
            <v>PROFESORA DE CORTE Y COSTURA Y DIRECTORA DE LA ESCUELA ANDRES ELOY BLANCO</v>
          </cell>
        </row>
        <row r="1706">
          <cell r="A1706" t="str">
            <v>PROFESORA DE MECANOGRAFIA</v>
          </cell>
        </row>
        <row r="1707">
          <cell r="A1707" t="str">
            <v>PROFESORA DE PINTURA INFANTIL, PROFESORA DE EDUCACION ARTISTICA Y COORDINADORA DOCENTE.</v>
          </cell>
        </row>
        <row r="1708">
          <cell r="A1708" t="str">
            <v>PROFESORA DE PINTURA Y DIBUJO (06 HORAS) Y DOCENTE IV COORDINADOR (24 HORAS)</v>
          </cell>
        </row>
        <row r="1709">
          <cell r="A1709" t="str">
            <v>PROFESORA NOCTURNA (NACIONAL) Y COORDINADORA DOCENTE VI</v>
          </cell>
        </row>
        <row r="1710">
          <cell r="A1710" t="str">
            <v>PROGRAMADOR DE FORMACION PROFES. JEFE</v>
          </cell>
        </row>
        <row r="1711">
          <cell r="A1711" t="str">
            <v>PROGRAMADOR DE FORMACION PROFESIONAL</v>
          </cell>
        </row>
        <row r="1712">
          <cell r="A1712" t="str">
            <v>PROGRAMADOR I</v>
          </cell>
        </row>
        <row r="1713">
          <cell r="A1713" t="str">
            <v>PROGRAMADOR II</v>
          </cell>
        </row>
        <row r="1714">
          <cell r="A1714" t="str">
            <v>PROGRAMADOR III</v>
          </cell>
        </row>
        <row r="1715">
          <cell r="A1715" t="str">
            <v>PROGRAMADOR IV</v>
          </cell>
        </row>
        <row r="1716">
          <cell r="A1716" t="str">
            <v>PROGRAMADOR V</v>
          </cell>
        </row>
        <row r="1717">
          <cell r="A1717" t="str">
            <v>PROMOTOR  SOCIAL I</v>
          </cell>
        </row>
        <row r="1718">
          <cell r="A1718" t="str">
            <v>PROMOTOR CULTURAL I</v>
          </cell>
        </row>
        <row r="1719">
          <cell r="A1719" t="str">
            <v>PROMOTOR CULTURAL II</v>
          </cell>
        </row>
        <row r="1720">
          <cell r="A1720" t="str">
            <v>PROMOTOR DE BIENESTAR SOCIAL</v>
          </cell>
        </row>
        <row r="1721">
          <cell r="A1721" t="str">
            <v>PROMOTOR DE CURSOS</v>
          </cell>
        </row>
        <row r="1722">
          <cell r="A1722" t="str">
            <v>PROMOTOR DE EXPORTACIONES I</v>
          </cell>
        </row>
        <row r="1723">
          <cell r="A1723" t="str">
            <v>PROMOTOR DE EXPORTACIONES II</v>
          </cell>
        </row>
        <row r="1724">
          <cell r="A1724" t="str">
            <v>PROMOTOR DE EXPORTACIONES III</v>
          </cell>
        </row>
        <row r="1725">
          <cell r="A1725" t="str">
            <v>PROMOTOR DE EXPORTACIONES JEFE</v>
          </cell>
        </row>
        <row r="1726">
          <cell r="A1726" t="str">
            <v>PROMOTOR DEPORTIVO</v>
          </cell>
        </row>
        <row r="1727">
          <cell r="A1727" t="str">
            <v>PROMOTOR RURAL</v>
          </cell>
        </row>
        <row r="1728">
          <cell r="A1728" t="str">
            <v>PROMOTOR TURISTICO I</v>
          </cell>
        </row>
        <row r="1729">
          <cell r="A1729" t="str">
            <v>PROMOTOR TURISTICO II</v>
          </cell>
        </row>
        <row r="1730">
          <cell r="A1730" t="str">
            <v>PROMOTOR TURISTICO III</v>
          </cell>
        </row>
        <row r="1731">
          <cell r="A1731" t="str">
            <v>PROMOTOR TURISTICO IV</v>
          </cell>
        </row>
        <row r="1732">
          <cell r="A1732" t="str">
            <v>PROMOTOR TURISTICO JEFE</v>
          </cell>
        </row>
        <row r="1733">
          <cell r="A1733" t="str">
            <v>PROYECTISTA DE PABELLON DE FERIAS</v>
          </cell>
        </row>
        <row r="1734">
          <cell r="A1734" t="str">
            <v>PSICOLOGO I</v>
          </cell>
        </row>
        <row r="1735">
          <cell r="A1735" t="str">
            <v>PSICOLOGO II</v>
          </cell>
        </row>
        <row r="1736">
          <cell r="A1736" t="str">
            <v>PSICOLOGO III</v>
          </cell>
        </row>
        <row r="1737">
          <cell r="A1737" t="str">
            <v>PSICOLOGO JEFE</v>
          </cell>
        </row>
        <row r="1738">
          <cell r="A1738" t="str">
            <v>PSICOPEDAGOGO</v>
          </cell>
        </row>
        <row r="1739">
          <cell r="A1739" t="str">
            <v>PUERICULTORA</v>
          </cell>
        </row>
        <row r="1740">
          <cell r="A1740" t="str">
            <v>QUIMICO I</v>
          </cell>
        </row>
        <row r="1741">
          <cell r="A1741" t="str">
            <v>QUIMICO II</v>
          </cell>
        </row>
        <row r="1742">
          <cell r="A1742" t="str">
            <v>QUIMICO III</v>
          </cell>
        </row>
        <row r="1743">
          <cell r="A1743" t="str">
            <v>QUIMICO JEFE I</v>
          </cell>
        </row>
        <row r="1744">
          <cell r="A1744" t="str">
            <v>QUIMICO JEFE II</v>
          </cell>
        </row>
        <row r="1745">
          <cell r="A1745" t="str">
            <v>RADIO OPERADOR DE CRIPTOGRAFO I</v>
          </cell>
        </row>
        <row r="1746">
          <cell r="A1746" t="str">
            <v>RADIO OPERADOR DE CRIPTOGRAFO II</v>
          </cell>
        </row>
        <row r="1747">
          <cell r="A1747" t="str">
            <v>RADIO OPERADOR DE CRIPTOGRAFO JEFE</v>
          </cell>
        </row>
        <row r="1748">
          <cell r="A1748" t="str">
            <v>RADIOTELEFONISTA</v>
          </cell>
        </row>
        <row r="1749">
          <cell r="A1749" t="str">
            <v>RECEPCIONISTA</v>
          </cell>
        </row>
        <row r="1750">
          <cell r="A1750" t="str">
            <v>REDOBLANTE 1</v>
          </cell>
        </row>
        <row r="1751">
          <cell r="A1751" t="str">
            <v>REGISTRADOR DE BIENES Y MATERIAS I</v>
          </cell>
        </row>
        <row r="1752">
          <cell r="A1752" t="str">
            <v>REGISTRADOR DE BIENES Y MATERIAS II</v>
          </cell>
        </row>
        <row r="1753">
          <cell r="A1753" t="str">
            <v>REGISTRADOR DE BIENES Y MATERIAS III</v>
          </cell>
        </row>
        <row r="1754">
          <cell r="A1754" t="str">
            <v>REGISTRADOR DE BIENES Y MATERIAS IV</v>
          </cell>
        </row>
        <row r="1755">
          <cell r="A1755" t="str">
            <v>REGISTRADOR DE BIENES Y MATERIAS V</v>
          </cell>
        </row>
        <row r="1756">
          <cell r="A1756" t="str">
            <v>REGISTRADOR DE MUSEO</v>
          </cell>
        </row>
        <row r="1757">
          <cell r="A1757" t="str">
            <v>RESTAURADOR I</v>
          </cell>
        </row>
        <row r="1758">
          <cell r="A1758" t="str">
            <v>RESTAURADOR II</v>
          </cell>
        </row>
        <row r="1759">
          <cell r="A1759" t="str">
            <v>RESTAURADOR III</v>
          </cell>
        </row>
        <row r="1760">
          <cell r="A1760" t="str">
            <v>RESTAURADOR JEFE</v>
          </cell>
        </row>
        <row r="1761">
          <cell r="A1761" t="str">
            <v>REVISOR DE CONTRALORIA I</v>
          </cell>
        </row>
        <row r="1762">
          <cell r="A1762" t="str">
            <v>REVISOR DE CONTRALORIA II</v>
          </cell>
        </row>
        <row r="1763">
          <cell r="A1763" t="str">
            <v>REVISOR DE CONTRALORIA III</v>
          </cell>
        </row>
        <row r="1764">
          <cell r="A1764" t="str">
            <v>REVISOR DE CONTRALORIA IV</v>
          </cell>
        </row>
        <row r="1765">
          <cell r="A1765" t="str">
            <v>REVISOR DE CONTRALORIA V</v>
          </cell>
        </row>
        <row r="1766">
          <cell r="A1766" t="str">
            <v>SARGENTO 1RA</v>
          </cell>
        </row>
        <row r="1767">
          <cell r="A1767" t="str">
            <v>SARGENTO 1RO (BOMBERO)</v>
          </cell>
        </row>
        <row r="1768">
          <cell r="A1768" t="str">
            <v>SARGENTO 2DA</v>
          </cell>
        </row>
        <row r="1769">
          <cell r="A1769" t="str">
            <v>SARGENTO 2DO (BOMBERO)</v>
          </cell>
        </row>
        <row r="1770">
          <cell r="A1770" t="str">
            <v>SARGENTO AYUDANTE (BOMBERO)</v>
          </cell>
        </row>
        <row r="1771">
          <cell r="A1771" t="str">
            <v>SARGENTO MAYOR</v>
          </cell>
        </row>
        <row r="1772">
          <cell r="A1772" t="str">
            <v>SAXO ALTO 1</v>
          </cell>
        </row>
        <row r="1773">
          <cell r="A1773" t="str">
            <v>SAXO ALTO 2</v>
          </cell>
        </row>
        <row r="1774">
          <cell r="A1774" t="str">
            <v>SAXO TENOR</v>
          </cell>
        </row>
        <row r="1775">
          <cell r="A1775" t="str">
            <v>SAXO-BARITONO</v>
          </cell>
        </row>
        <row r="1776">
          <cell r="A1776" t="str">
            <v>SECRETARIA EJECUTIVA [SUB DIRECTORA]</v>
          </cell>
        </row>
        <row r="1777">
          <cell r="A1777" t="str">
            <v>SECRETARIA GRAL. ENCARGADA</v>
          </cell>
        </row>
        <row r="1778">
          <cell r="A1778" t="str">
            <v>SECRETARIO (A) PRIVADO (A)</v>
          </cell>
        </row>
        <row r="1779">
          <cell r="A1779" t="str">
            <v>SECRETARIO BILINGUE I</v>
          </cell>
        </row>
        <row r="1780">
          <cell r="A1780" t="str">
            <v>SECRETARIO BILINGUE II</v>
          </cell>
        </row>
        <row r="1781">
          <cell r="A1781" t="str">
            <v>SECRETARIO DE DESPACHO</v>
          </cell>
        </row>
        <row r="1782">
          <cell r="A1782" t="str">
            <v>SECRETARIO EJECUTIVO DEL COMITE SUPERIOR DEL G.E.P.D.T</v>
          </cell>
        </row>
        <row r="1783">
          <cell r="A1783" t="str">
            <v>SECRETARIO EJECUTIVO I</v>
          </cell>
        </row>
        <row r="1784">
          <cell r="A1784" t="str">
            <v>SECRETARIO EJECUTIVO II</v>
          </cell>
        </row>
        <row r="1785">
          <cell r="A1785" t="str">
            <v>SECRETARIO EJECUTIVO III</v>
          </cell>
        </row>
        <row r="1786">
          <cell r="A1786" t="str">
            <v>SECRETARIO GRAL .DE GOBIERNO</v>
          </cell>
        </row>
        <row r="1787">
          <cell r="A1787" t="str">
            <v>SECRETARIO I</v>
          </cell>
        </row>
        <row r="1788">
          <cell r="A1788" t="str">
            <v>SECRETARIO II</v>
          </cell>
        </row>
        <row r="1789">
          <cell r="A1789" t="str">
            <v>SECRETARIO III</v>
          </cell>
        </row>
        <row r="1790">
          <cell r="A1790" t="str">
            <v>SECRETARIO(A) DE DESPACHO</v>
          </cell>
        </row>
        <row r="1791">
          <cell r="A1791" t="str">
            <v>SIN CARGO</v>
          </cell>
        </row>
        <row r="1792">
          <cell r="A1792" t="str">
            <v>SOCIOLOG JEFE</v>
          </cell>
        </row>
        <row r="1793">
          <cell r="A1793" t="str">
            <v>SOCIOLOGO I</v>
          </cell>
        </row>
        <row r="1794">
          <cell r="A1794" t="str">
            <v>SOCIOLOGO II</v>
          </cell>
        </row>
        <row r="1795">
          <cell r="A1795" t="str">
            <v>SOCIOLOGO III</v>
          </cell>
        </row>
        <row r="1796">
          <cell r="A1796" t="str">
            <v>SOLISTA</v>
          </cell>
        </row>
        <row r="1797">
          <cell r="A1797" t="str">
            <v>SOPLADOR DE VIDRIO I</v>
          </cell>
        </row>
        <row r="1798">
          <cell r="A1798" t="str">
            <v>SOPLADOR DE VIDRIO II</v>
          </cell>
        </row>
        <row r="1799">
          <cell r="A1799" t="str">
            <v>SOPLADOR DE VIDRIO JEFE</v>
          </cell>
        </row>
        <row r="1800">
          <cell r="A1800" t="str">
            <v>SUB COMISARIO</v>
          </cell>
        </row>
        <row r="1801">
          <cell r="A1801" t="str">
            <v>SUB DIRECTOR DE ORQUESTA</v>
          </cell>
        </row>
        <row r="1802">
          <cell r="A1802" t="str">
            <v>SUB DIRECTOR N.G.</v>
          </cell>
        </row>
        <row r="1803">
          <cell r="A1803" t="str">
            <v>SUB DIRECTOR VI 139</v>
          </cell>
        </row>
        <row r="1804">
          <cell r="A1804" t="str">
            <v>SUB DIRECTOR Y PROFESOR DE MANUALIDADES</v>
          </cell>
        </row>
        <row r="1805">
          <cell r="A1805" t="str">
            <v>SUB DIRECTORA (36 HORAS) Y DIRECTORA (20 HORAS)</v>
          </cell>
        </row>
        <row r="1806">
          <cell r="A1806" t="str">
            <v>SUB INSPECTOR</v>
          </cell>
        </row>
        <row r="1807">
          <cell r="A1807" t="str">
            <v>SUB INSPECTOR GENERAL DE HACIENDA</v>
          </cell>
        </row>
        <row r="1808">
          <cell r="A1808" t="str">
            <v>SUBDIR. (36 HORAS) PROF. DE PIANO Y KINDER MUSICAL (26 HORAS)</v>
          </cell>
        </row>
        <row r="1809">
          <cell r="A1809" t="str">
            <v>SUB-DIRECTOR</v>
          </cell>
        </row>
        <row r="1810">
          <cell r="A1810" t="str">
            <v>SUB-DIRECTOR (35 HORAS)  NG Y CLARINETE</v>
          </cell>
        </row>
        <row r="1811">
          <cell r="A1811" t="str">
            <v>SUB-DIRECTOR Y MAESTRO TCVDNMA</v>
          </cell>
        </row>
        <row r="1812">
          <cell r="A1812" t="str">
            <v>SUBTENIENTE (BOMBERO)</v>
          </cell>
        </row>
        <row r="1813">
          <cell r="A1813" t="str">
            <v>SUPERVISOR</v>
          </cell>
        </row>
        <row r="1814">
          <cell r="A1814" t="str">
            <v>SUPERVISOR (GRADO 0)</v>
          </cell>
        </row>
        <row r="1815">
          <cell r="A1815" t="str">
            <v>SUPERVISOR (GRADO 1)</v>
          </cell>
        </row>
        <row r="1816">
          <cell r="A1816" t="str">
            <v>SUPERVISOR (GRADO 2)</v>
          </cell>
        </row>
        <row r="1817">
          <cell r="A1817" t="str">
            <v>SUPERVISOR AGREGADO</v>
          </cell>
        </row>
        <row r="1818">
          <cell r="A1818" t="str">
            <v>SUPERVISOR AGREGADO (GRADO 0)</v>
          </cell>
        </row>
        <row r="1819">
          <cell r="A1819" t="str">
            <v>SUPERVISOR AGREGADO (GRADO 1)</v>
          </cell>
        </row>
        <row r="1820">
          <cell r="A1820" t="str">
            <v>SUPERVISOR AGREGADO (GRADO 2)</v>
          </cell>
        </row>
        <row r="1821">
          <cell r="A1821" t="str">
            <v>SUPERVISOR ALFABETIZACION Y EDUC BAS III</v>
          </cell>
        </row>
        <row r="1822">
          <cell r="A1822" t="str">
            <v>SUPERVISOR ALFABETIZACION Y EDUC BAS. I</v>
          </cell>
        </row>
        <row r="1823">
          <cell r="A1823" t="str">
            <v>SUPERVISOR ALFABETIZACION Y EDUC.BAS II</v>
          </cell>
        </row>
        <row r="1824">
          <cell r="A1824" t="str">
            <v>SUPERVISOR AUTOGRAFISTA</v>
          </cell>
        </row>
        <row r="1825">
          <cell r="A1825" t="str">
            <v>SUPERVISOR DE ALMACEN</v>
          </cell>
        </row>
        <row r="1826">
          <cell r="A1826" t="str">
            <v>SUPERVISOR DE APRENDIZAJE I</v>
          </cell>
        </row>
        <row r="1827">
          <cell r="A1827" t="str">
            <v>SUPERVISOR DE APRENDIZAJE II</v>
          </cell>
        </row>
        <row r="1828">
          <cell r="A1828" t="str">
            <v>SUPERVISOR DE APRENDIZAJE III</v>
          </cell>
        </row>
        <row r="1829">
          <cell r="A1829" t="str">
            <v>SUPERVISOR DE APRENDIZAJE IV</v>
          </cell>
        </row>
        <row r="1830">
          <cell r="A1830" t="str">
            <v>SUPERVISOR DE ASTILLEROS I</v>
          </cell>
        </row>
        <row r="1831">
          <cell r="A1831" t="str">
            <v>SUPERVISOR DE ASTILLEROS II</v>
          </cell>
        </row>
        <row r="1832">
          <cell r="A1832" t="str">
            <v>SUPERVISOR DE CAPORALES</v>
          </cell>
        </row>
        <row r="1833">
          <cell r="A1833" t="str">
            <v>SUPERVISOR DE COLECTORES</v>
          </cell>
        </row>
        <row r="1834">
          <cell r="A1834" t="str">
            <v>SUPERVISOR DE CONSERVACION AUTOM. I</v>
          </cell>
        </row>
        <row r="1835">
          <cell r="A1835" t="str">
            <v>SUPERVISOR DE CONSERVACION AUTOMOTORA II</v>
          </cell>
        </row>
        <row r="1836">
          <cell r="A1836" t="str">
            <v>SUPERVISOR DE CREDITOS AGROPECUARIO II</v>
          </cell>
        </row>
        <row r="1837">
          <cell r="A1837" t="str">
            <v>SUPERVISOR DE CREDITOS AGROPECUARIOS I</v>
          </cell>
        </row>
        <row r="1838">
          <cell r="A1838" t="str">
            <v>SUPERVISOR DE CREDITOS AGROPECUARIOS III</v>
          </cell>
        </row>
        <row r="1839">
          <cell r="A1839" t="str">
            <v>SUPERVISOR DE EQUIPOS DE DRAGADO</v>
          </cell>
        </row>
        <row r="1840">
          <cell r="A1840" t="str">
            <v>SUPERVISOR DE EXTENSION I</v>
          </cell>
        </row>
        <row r="1841">
          <cell r="A1841" t="str">
            <v>SUPERVISOR DE EXTENSION II</v>
          </cell>
        </row>
        <row r="1842">
          <cell r="A1842" t="str">
            <v>SUPERVISOR DE INSPECTORES DE INMUEBLES</v>
          </cell>
        </row>
        <row r="1843">
          <cell r="A1843" t="str">
            <v>SUPERVISOR DE INSTRUCCION A DISTANCIA I</v>
          </cell>
        </row>
        <row r="1844">
          <cell r="A1844" t="str">
            <v>SUPERVISOR DE INSTRUCCION A DISTANCIA II</v>
          </cell>
        </row>
        <row r="1845">
          <cell r="A1845" t="str">
            <v>SUPERVISOR DE INSTRUCCION A DISTANCIA III</v>
          </cell>
        </row>
        <row r="1846">
          <cell r="A1846" t="str">
            <v>SUPERVISOR DE MANTENIMIENTO DE PARQUES I</v>
          </cell>
        </row>
        <row r="1847">
          <cell r="A1847" t="str">
            <v>SUPERVISOR DE MANTENIMIENTO DE PARQUES II</v>
          </cell>
        </row>
        <row r="1848">
          <cell r="A1848" t="str">
            <v>SUPERVISOR DE MANTENIMIENTO DE PARQUES III</v>
          </cell>
        </row>
        <row r="1849">
          <cell r="A1849" t="str">
            <v>SUPERVISOR DE MANTENIMIENTO DE PARQUES IV</v>
          </cell>
        </row>
        <row r="1850">
          <cell r="A1850" t="str">
            <v>SUPERVISOR DE MECANICOS AUTOMOTORES I</v>
          </cell>
        </row>
        <row r="1851">
          <cell r="A1851" t="str">
            <v>SUPERVISOR DE MECANICOS AUTOMOTORES II</v>
          </cell>
        </row>
        <row r="1852">
          <cell r="A1852" t="str">
            <v>SUPERVISOR DE OBRAS PUBLICAS</v>
          </cell>
        </row>
        <row r="1853">
          <cell r="A1853" t="str">
            <v>SUPERVISOR DE OBRAS SANITARIAS</v>
          </cell>
        </row>
        <row r="1854">
          <cell r="A1854" t="str">
            <v>SUPERVISOR DE PRODUCCION I</v>
          </cell>
        </row>
        <row r="1855">
          <cell r="A1855" t="str">
            <v>SUPERVISOR DE PRODUCCION II</v>
          </cell>
        </row>
        <row r="1856">
          <cell r="A1856" t="str">
            <v>SUPERVISOR DE PROGRAMACION</v>
          </cell>
        </row>
        <row r="1857">
          <cell r="A1857" t="str">
            <v>SUPERVISOR DE REPRODUCCION II</v>
          </cell>
        </row>
        <row r="1858">
          <cell r="A1858" t="str">
            <v>SUPERVISOR DE SERVICIOS GENERAL IV</v>
          </cell>
        </row>
        <row r="1859">
          <cell r="A1859" t="str">
            <v>SUPERVISOR DE SERVICIOS GENERALES I</v>
          </cell>
        </row>
        <row r="1860">
          <cell r="A1860" t="str">
            <v>SUPERVISOR DE SERVICIOS GENERALES II</v>
          </cell>
        </row>
        <row r="1861">
          <cell r="A1861" t="str">
            <v>SUPERVISOR DE SERVICIOS GENERALES III</v>
          </cell>
        </row>
        <row r="1862">
          <cell r="A1862" t="str">
            <v>SUPERVISOR DE TALLER DE IMPRENTA I</v>
          </cell>
        </row>
        <row r="1863">
          <cell r="A1863" t="str">
            <v>SUPERVISOR DE TALLER DE IMPRENTA II</v>
          </cell>
        </row>
        <row r="1864">
          <cell r="A1864" t="str">
            <v>SUPERVISOR DE TALLER DE IMPRENTA III</v>
          </cell>
        </row>
        <row r="1865">
          <cell r="A1865" t="str">
            <v>SUPERVISOR DE TELEFONISTA</v>
          </cell>
        </row>
        <row r="1866">
          <cell r="A1866" t="str">
            <v>SUPERVISOR DOCENTE</v>
          </cell>
        </row>
        <row r="1867">
          <cell r="A1867" t="str">
            <v>SUPERVISOR DOCENTE JEFE</v>
          </cell>
        </row>
        <row r="1868">
          <cell r="A1868" t="str">
            <v>SUPERVISOR FISCAL DE COTIZACIONES</v>
          </cell>
        </row>
        <row r="1869">
          <cell r="A1869" t="str">
            <v>SUPERVISOR FISCAL JEFE</v>
          </cell>
        </row>
        <row r="1870">
          <cell r="A1870" t="str">
            <v>SUPERVISOR I</v>
          </cell>
        </row>
        <row r="1871">
          <cell r="A1871" t="str">
            <v>SUPERVISOR I (171)</v>
          </cell>
        </row>
        <row r="1872">
          <cell r="A1872" t="str">
            <v>SUPERVISOR II Y MAESTRO PH GR NOCTURNO</v>
          </cell>
        </row>
        <row r="1873">
          <cell r="A1873" t="str">
            <v>SUPERVISOR JEFE</v>
          </cell>
        </row>
        <row r="1874">
          <cell r="A1874" t="str">
            <v>SUPERVISOR JEFE (GRADO 0)</v>
          </cell>
        </row>
        <row r="1875">
          <cell r="A1875" t="str">
            <v>SUPERVISOR JEFE (GRADO 1)</v>
          </cell>
        </row>
        <row r="1876">
          <cell r="A1876" t="str">
            <v>SUPERVISOR JEFE (GRADO 2)</v>
          </cell>
        </row>
        <row r="1877">
          <cell r="A1877" t="str">
            <v>SUPERVISOR OPERADOR EQUIPOS DE COMPUTACION</v>
          </cell>
        </row>
        <row r="1878">
          <cell r="A1878" t="str">
            <v>SUPERVISORA III</v>
          </cell>
        </row>
        <row r="1879">
          <cell r="A1879" t="str">
            <v>TAXIDERMISTA</v>
          </cell>
        </row>
        <row r="1880">
          <cell r="A1880" t="str">
            <v>TEC EN RADIOCOMUNICACIONES AERON. JEFE</v>
          </cell>
        </row>
        <row r="1881">
          <cell r="A1881" t="str">
            <v>TEC. EN DOTACION DE EQUIPOS DE HOSPITAL</v>
          </cell>
        </row>
        <row r="1882">
          <cell r="A1882" t="str">
            <v>TEC. EN FABRICACION DE CUCHILLAS DE DIAM</v>
          </cell>
        </row>
        <row r="1883">
          <cell r="A1883" t="str">
            <v>TEC. EN RADIOCOMUNICACIONES AER.JEFE II</v>
          </cell>
        </row>
        <row r="1884">
          <cell r="A1884" t="str">
            <v>TEC. EN RADIOCOMUNICACIONES AERON. I</v>
          </cell>
        </row>
        <row r="1885">
          <cell r="A1885" t="str">
            <v>TEC. EN RADIOCOMUNICACIONES AERONA. II</v>
          </cell>
        </row>
        <row r="1886">
          <cell r="A1886" t="str">
            <v>TEC. EN RADIOCOMUNICACIONES AERONAU. IV</v>
          </cell>
        </row>
        <row r="1887">
          <cell r="A1887" t="str">
            <v>TEC. EN RADIOCOMUNICACIONES AERONAU. V</v>
          </cell>
        </row>
        <row r="1888">
          <cell r="A1888" t="str">
            <v>TEC. EN RADIOCOMUNICACIONES AERONAU. VI</v>
          </cell>
        </row>
        <row r="1889">
          <cell r="A1889" t="str">
            <v>TEC. EN RADIOCOMUNICAICONES AERONA. III</v>
          </cell>
        </row>
        <row r="1890">
          <cell r="A1890" t="str">
            <v>TEC. FABRICACION CUCHILLA DIAMANTE IV</v>
          </cell>
        </row>
        <row r="1891">
          <cell r="A1891" t="str">
            <v>TEC. FABRICACION CUCHILLAS DIAMANTES II</v>
          </cell>
        </row>
        <row r="1892">
          <cell r="A1892" t="str">
            <v>TEC. FABRICACION CUCHILLAS DIAMANTES III</v>
          </cell>
        </row>
        <row r="1893">
          <cell r="A1893" t="str">
            <v>TECNICO AERNAUTICO II</v>
          </cell>
        </row>
        <row r="1894">
          <cell r="A1894" t="str">
            <v>TECNICO AERONAUTICO I</v>
          </cell>
        </row>
        <row r="1895">
          <cell r="A1895" t="str">
            <v>TECNICO AERONAUTICO JEFE</v>
          </cell>
        </row>
        <row r="1896">
          <cell r="A1896" t="str">
            <v>TECNICO AGROPECUARIO I</v>
          </cell>
        </row>
        <row r="1897">
          <cell r="A1897" t="str">
            <v>TECNICO AGROPECUARIO II</v>
          </cell>
        </row>
        <row r="1898">
          <cell r="A1898" t="str">
            <v>TECNICO AGROPECUARIO III</v>
          </cell>
        </row>
        <row r="1899">
          <cell r="A1899" t="str">
            <v>TECNICO AGROPECUARIO IV</v>
          </cell>
        </row>
        <row r="1900">
          <cell r="A1900" t="str">
            <v>TECNICO AGROPECUARIO JEFE</v>
          </cell>
        </row>
        <row r="1901">
          <cell r="A1901" t="str">
            <v>TECNICO ARANCELARIO I</v>
          </cell>
        </row>
        <row r="1902">
          <cell r="A1902" t="str">
            <v>TECNICO ARANCELARIO JEFE</v>
          </cell>
        </row>
        <row r="1903">
          <cell r="A1903" t="str">
            <v>TECNICO ARANGELARIO II</v>
          </cell>
        </row>
        <row r="1904">
          <cell r="A1904" t="str">
            <v>TECNICO DE ASTILLEROS</v>
          </cell>
        </row>
        <row r="1905">
          <cell r="A1905" t="str">
            <v>TECNICO DE BALIZAMIENTO</v>
          </cell>
        </row>
        <row r="1906">
          <cell r="A1906" t="str">
            <v>TECNICO DE BALIZAMIENTO JEFE</v>
          </cell>
        </row>
        <row r="1907">
          <cell r="A1907" t="str">
            <v>TECNICO DE EQUIPOS MEDICOS I</v>
          </cell>
        </row>
        <row r="1908">
          <cell r="A1908" t="str">
            <v>TECNICO DE EQUIPOS MEDICOS II</v>
          </cell>
        </row>
        <row r="1909">
          <cell r="A1909" t="str">
            <v>TECNICO DE EQUIPOS MEDICOS III</v>
          </cell>
        </row>
        <row r="1910">
          <cell r="A1910" t="str">
            <v>TECNICO DE IDENTIDICACION I</v>
          </cell>
        </row>
        <row r="1911">
          <cell r="A1911" t="str">
            <v>TECNICO DE IDENTIFICACION II</v>
          </cell>
        </row>
        <row r="1912">
          <cell r="A1912" t="str">
            <v>TECNICO DE IDENTIFICACION III</v>
          </cell>
        </row>
        <row r="1913">
          <cell r="A1913" t="str">
            <v>TECNICO DE REGISTRO Y EST. DE SALUD I</v>
          </cell>
        </row>
        <row r="1914">
          <cell r="A1914" t="str">
            <v>TECNICO DE REGISTRO Y EST. DE SALUD II</v>
          </cell>
        </row>
        <row r="1915">
          <cell r="A1915" t="str">
            <v>TECNICO DE REGISTRO Y ESTAD DE SALUD III</v>
          </cell>
        </row>
        <row r="1916">
          <cell r="A1916" t="str">
            <v>TECNICO DE REGISTRO Y ESTAD DE SALUD IV</v>
          </cell>
        </row>
        <row r="1917">
          <cell r="A1917" t="str">
            <v>TECNICO DE REPARACION Y MANTENIMIENTO I</v>
          </cell>
        </row>
        <row r="1918">
          <cell r="A1918" t="str">
            <v>TECNICO DE REPARACION Y MANTENIMIENTO II</v>
          </cell>
        </row>
        <row r="1919">
          <cell r="A1919" t="str">
            <v>TECNICO DE REPARACION Y MANTENIMIENTO III</v>
          </cell>
        </row>
        <row r="1920">
          <cell r="A1920" t="str">
            <v>TECNICO EN AGROALIMENTARIA</v>
          </cell>
        </row>
        <row r="1921">
          <cell r="A1921" t="str">
            <v>TECNICO EN DRAGADO I</v>
          </cell>
        </row>
        <row r="1922">
          <cell r="A1922" t="str">
            <v>TECNICO EN DRAGADO II</v>
          </cell>
        </row>
        <row r="1923">
          <cell r="A1923" t="str">
            <v>TECNICO EN DRAGADO III</v>
          </cell>
        </row>
        <row r="1924">
          <cell r="A1924" t="str">
            <v>TECNICO EN GEOLOGIA Y MINAS I</v>
          </cell>
        </row>
        <row r="1925">
          <cell r="A1925" t="str">
            <v>TECNICO EN GEOLOGIA Y MINAS II</v>
          </cell>
        </row>
        <row r="1926">
          <cell r="A1926" t="str">
            <v>TECNICO EN GEOLOGIA Y MINAS III</v>
          </cell>
        </row>
        <row r="1927">
          <cell r="A1927" t="str">
            <v>TECNICO EN GERONTOLOGIA</v>
          </cell>
        </row>
        <row r="1928">
          <cell r="A1928" t="str">
            <v>TECNICO EN INFORMACION AERONAUTICA I</v>
          </cell>
        </row>
        <row r="1929">
          <cell r="A1929" t="str">
            <v>TECNICO EN INFORMACION AERONAUTICA II</v>
          </cell>
        </row>
        <row r="1930">
          <cell r="A1930" t="str">
            <v>TECNICO EN INFORMACION AERONAUTICA III</v>
          </cell>
        </row>
        <row r="1931">
          <cell r="A1931" t="str">
            <v>TECNICO EN INFORMACION AERONAUTICA IV</v>
          </cell>
        </row>
        <row r="1932">
          <cell r="A1932" t="str">
            <v>TECNICO EN INFORMACION AERONAUTICA JEFE</v>
          </cell>
        </row>
        <row r="1933">
          <cell r="A1933" t="str">
            <v>TECNICO EN INFORMACION AERONAUTICA V</v>
          </cell>
        </row>
        <row r="1934">
          <cell r="A1934" t="str">
            <v>TECNICO EN METROLOGIA I</v>
          </cell>
        </row>
        <row r="1935">
          <cell r="A1935" t="str">
            <v>TECNICO EN METROLOGIA II</v>
          </cell>
        </row>
        <row r="1936">
          <cell r="A1936" t="str">
            <v>TECNICO EN METROLOGIA III</v>
          </cell>
        </row>
        <row r="1937">
          <cell r="A1937" t="str">
            <v>TECNICO EN ORTEIS Y/O PROTESIS</v>
          </cell>
        </row>
        <row r="1938">
          <cell r="A1938" t="str">
            <v>TECNICO EN PETROLEO I</v>
          </cell>
        </row>
        <row r="1939">
          <cell r="A1939" t="str">
            <v>TECNICO EN PETROLEO II</v>
          </cell>
        </row>
        <row r="1940">
          <cell r="A1940" t="str">
            <v>TECNICO EN PETROLEO III</v>
          </cell>
        </row>
        <row r="1941">
          <cell r="A1941" t="str">
            <v>TECNICO EN TELECOMUNICACIONES I</v>
          </cell>
        </row>
        <row r="1942">
          <cell r="A1942" t="str">
            <v>TECNICO EN TELECOMUNICACIONES II</v>
          </cell>
        </row>
        <row r="1943">
          <cell r="A1943" t="str">
            <v>TECNICO EN TELECOMUNICACIONES III</v>
          </cell>
        </row>
        <row r="1944">
          <cell r="A1944" t="str">
            <v>TECNICO EN TELECOMUNICACIONES IV</v>
          </cell>
        </row>
        <row r="1945">
          <cell r="A1945" t="str">
            <v>TECNICO EN TELECOMUNICACIONES JEFE I</v>
          </cell>
        </row>
        <row r="1946">
          <cell r="A1946" t="str">
            <v>TECNICO EN TELECOMUNICACIONES JEFE II</v>
          </cell>
        </row>
        <row r="1947">
          <cell r="A1947" t="str">
            <v>TECNICO EN TELECOMUNICACIONES JEFE III</v>
          </cell>
        </row>
        <row r="1948">
          <cell r="A1948" t="str">
            <v>TECNICO EN TELECOMUNICACIONES V</v>
          </cell>
        </row>
        <row r="1949">
          <cell r="A1949" t="str">
            <v>TECNICO EN TELECOMUNICACIONES VI</v>
          </cell>
        </row>
        <row r="1950">
          <cell r="A1950" t="str">
            <v>TECNICO HISTOLOGO</v>
          </cell>
        </row>
        <row r="1951">
          <cell r="A1951" t="str">
            <v>TECNICO NORMALIZADOR I</v>
          </cell>
        </row>
        <row r="1952">
          <cell r="A1952" t="str">
            <v>TECNICO NORMALIZADOR II</v>
          </cell>
        </row>
        <row r="1953">
          <cell r="A1953" t="str">
            <v>TECNICO NORMALIZADOR III</v>
          </cell>
        </row>
        <row r="1954">
          <cell r="A1954" t="str">
            <v>TECNICO PORTUARIO I</v>
          </cell>
        </row>
        <row r="1955">
          <cell r="A1955" t="str">
            <v>TECNICO PORTUARIO II</v>
          </cell>
        </row>
        <row r="1956">
          <cell r="A1956" t="str">
            <v>TECNICO PORTUARIO JEFE</v>
          </cell>
        </row>
        <row r="1957">
          <cell r="A1957" t="str">
            <v>TECNICO QUIMICO I</v>
          </cell>
        </row>
        <row r="1958">
          <cell r="A1958" t="str">
            <v>TECNICO QUIMICO II</v>
          </cell>
        </row>
        <row r="1959">
          <cell r="A1959" t="str">
            <v>TECNICO QUIMICO III</v>
          </cell>
        </row>
        <row r="1960">
          <cell r="A1960" t="str">
            <v>TECNICO QUIMICO IV</v>
          </cell>
        </row>
        <row r="1961">
          <cell r="A1961" t="str">
            <v>TECNICO RADIOLOGO I</v>
          </cell>
        </row>
        <row r="1962">
          <cell r="A1962" t="str">
            <v>TECNICO RADIOLOGO II</v>
          </cell>
        </row>
        <row r="1963">
          <cell r="A1963" t="str">
            <v>TECNICO RADIOLOGO III</v>
          </cell>
        </row>
        <row r="1964">
          <cell r="A1964" t="str">
            <v>TECNICO SUPERIOR AGRICULTOR</v>
          </cell>
        </row>
        <row r="1965">
          <cell r="A1965" t="str">
            <v>TECNICO SUPERIOR EN TRABAJO SOCIAL I</v>
          </cell>
        </row>
        <row r="1966">
          <cell r="A1966" t="str">
            <v>TECNICO SUPERIOR EN TRABAJO SOCIAL II</v>
          </cell>
        </row>
        <row r="1967">
          <cell r="A1967" t="str">
            <v>TECNICO SUPERIOR III 77 TID</v>
          </cell>
        </row>
        <row r="1968">
          <cell r="A1968" t="str">
            <v>TECNICO SUPERIOR PESQUERO</v>
          </cell>
        </row>
        <row r="1969">
          <cell r="A1969" t="str">
            <v>TECNICO VALORADOR I</v>
          </cell>
        </row>
        <row r="1970">
          <cell r="A1970" t="str">
            <v>TECNICO VALORADOR II</v>
          </cell>
        </row>
        <row r="1971">
          <cell r="A1971" t="str">
            <v>TECNICO VALORADOR III</v>
          </cell>
        </row>
        <row r="1972">
          <cell r="A1972" t="str">
            <v>TECNICO VALORADOR JEFE</v>
          </cell>
        </row>
        <row r="1973">
          <cell r="A1973" t="str">
            <v>TELEFONISTA</v>
          </cell>
        </row>
        <row r="1974">
          <cell r="A1974" t="str">
            <v>TENIENTE (BOMBERO)</v>
          </cell>
        </row>
        <row r="1975">
          <cell r="A1975" t="str">
            <v>TENIENTE CORONEL (BOMBERO)</v>
          </cell>
        </row>
        <row r="1976">
          <cell r="A1976" t="str">
            <v>TERAPEUTA OCUPACIONAL I</v>
          </cell>
        </row>
        <row r="1977">
          <cell r="A1977" t="str">
            <v>TERAPEUTA OCUPACIONAL II</v>
          </cell>
        </row>
        <row r="1978">
          <cell r="A1978" t="str">
            <v>TERAPEUTA OCUPACIONAL III</v>
          </cell>
        </row>
        <row r="1979">
          <cell r="A1979" t="str">
            <v>TERAPEUTA OCUPACIONAL IV</v>
          </cell>
        </row>
        <row r="1980">
          <cell r="A1980" t="str">
            <v>TERAPISTA DE LENGUAJE I</v>
          </cell>
        </row>
        <row r="1981">
          <cell r="A1981" t="str">
            <v>TERAPISTA DE LENGUAJE II</v>
          </cell>
        </row>
        <row r="1982">
          <cell r="A1982" t="str">
            <v>TESORERO(A) GENERAL DEL ESTADO</v>
          </cell>
        </row>
        <row r="1983">
          <cell r="A1983" t="str">
            <v>TIMBAL 1</v>
          </cell>
        </row>
        <row r="1984">
          <cell r="A1984" t="str">
            <v>TOPOGRAFO CARTOGRAFICO I</v>
          </cell>
        </row>
        <row r="1985">
          <cell r="A1985" t="str">
            <v>TOPOGRAFO CARTOGRAFICO II</v>
          </cell>
        </row>
        <row r="1986">
          <cell r="A1986" t="str">
            <v>TOPOGRAFO CARTOGRAFICO JEFE</v>
          </cell>
        </row>
        <row r="1987">
          <cell r="A1987" t="str">
            <v>TOPOGRAFO I</v>
          </cell>
        </row>
        <row r="1988">
          <cell r="A1988" t="str">
            <v>TOPOGRAFO II</v>
          </cell>
        </row>
        <row r="1989">
          <cell r="A1989" t="str">
            <v>TRABAJADOR SOCIAL I</v>
          </cell>
        </row>
        <row r="1990">
          <cell r="A1990" t="str">
            <v>TRABAJADOR SOCIAL II</v>
          </cell>
        </row>
        <row r="1991">
          <cell r="A1991" t="str">
            <v>TRABAJADOR SOCIAL III</v>
          </cell>
        </row>
        <row r="1992">
          <cell r="A1992" t="str">
            <v>TRABAJADOR SOCIAL IV</v>
          </cell>
        </row>
        <row r="1993">
          <cell r="A1993" t="str">
            <v>TRADUCTOR I</v>
          </cell>
        </row>
        <row r="1994">
          <cell r="A1994" t="str">
            <v>TRADUCTOR II</v>
          </cell>
        </row>
        <row r="1995">
          <cell r="A1995" t="str">
            <v>TRADUCTOR III</v>
          </cell>
        </row>
        <row r="1996">
          <cell r="A1996" t="str">
            <v>TRADUCTOR MULTILINGUE II</v>
          </cell>
        </row>
        <row r="1997">
          <cell r="A1997" t="str">
            <v>TRADUCTOR MULTILUNGUE I</v>
          </cell>
        </row>
        <row r="1998">
          <cell r="A1998" t="str">
            <v>TRAMITADOR DE ASUNTOS DE ADUANA I</v>
          </cell>
        </row>
        <row r="1999">
          <cell r="A1999" t="str">
            <v>TRAMITADOR DE ASUNTOS DE ADUANA II</v>
          </cell>
        </row>
        <row r="2000">
          <cell r="A2000" t="str">
            <v>TRAMITADOR DE ASUNTOS DE ADUANA JEFE</v>
          </cell>
        </row>
        <row r="2001">
          <cell r="A2001" t="str">
            <v>TROMBON 1</v>
          </cell>
        </row>
        <row r="2002">
          <cell r="A2002" t="str">
            <v>TROMBON 2</v>
          </cell>
        </row>
        <row r="2003">
          <cell r="A2003" t="str">
            <v>TROMBON 3</v>
          </cell>
        </row>
        <row r="2004">
          <cell r="A2004" t="str">
            <v>TROMPETA 1</v>
          </cell>
        </row>
        <row r="2005">
          <cell r="A2005" t="str">
            <v>TROMPETA 2</v>
          </cell>
        </row>
        <row r="2006">
          <cell r="A2006" t="str">
            <v>TROMPETA 3</v>
          </cell>
        </row>
        <row r="2007">
          <cell r="A2007" t="str">
            <v>TROMPETA SOLISTA</v>
          </cell>
        </row>
        <row r="2008">
          <cell r="A2008" t="str">
            <v>TUBA 1</v>
          </cell>
        </row>
        <row r="2009">
          <cell r="A2009" t="str">
            <v>TUBA 2</v>
          </cell>
        </row>
        <row r="2010">
          <cell r="A2010" t="str">
            <v>TUTOR FACILITADOR I</v>
          </cell>
        </row>
        <row r="2011">
          <cell r="A2011" t="str">
            <v>TUTOR FACILITADOR II</v>
          </cell>
        </row>
        <row r="2012">
          <cell r="A2012" t="str">
            <v>TUTOR FACILITADOR III</v>
          </cell>
        </row>
        <row r="2013">
          <cell r="A2013" t="str">
            <v>URBANISTA I</v>
          </cell>
        </row>
        <row r="2014">
          <cell r="A2014" t="str">
            <v>URBANISTA II</v>
          </cell>
        </row>
        <row r="2015">
          <cell r="A2015" t="str">
            <v>URBANISTA III</v>
          </cell>
        </row>
        <row r="2016">
          <cell r="A2016" t="str">
            <v>URBANISTA JEFE</v>
          </cell>
        </row>
        <row r="2017">
          <cell r="A2017" t="str">
            <v>VICEPRESIDENTE</v>
          </cell>
        </row>
        <row r="2018">
          <cell r="A2018" t="str">
            <v>VIOLA</v>
          </cell>
        </row>
        <row r="2019">
          <cell r="A2019" t="str">
            <v>VIOLIN</v>
          </cell>
        </row>
        <row r="2020">
          <cell r="A2020" t="str">
            <v>VIOLIN 1</v>
          </cell>
        </row>
        <row r="2021">
          <cell r="A2021" t="str">
            <v>VIOLINCILLO</v>
          </cell>
        </row>
        <row r="2022">
          <cell r="A2022" t="str">
            <v>VIOLONCELLO</v>
          </cell>
        </row>
        <row r="2023">
          <cell r="A2023" t="str">
            <v>VIOLONCHELO</v>
          </cell>
        </row>
        <row r="2024">
          <cell r="A2024" t="str">
            <v>ZOOLOGO I</v>
          </cell>
        </row>
        <row r="2025">
          <cell r="A2025" t="str">
            <v>ZOOLOGO II</v>
          </cell>
        </row>
        <row r="2026">
          <cell r="A2026" t="str">
            <v>ZOOTECNISTA I</v>
          </cell>
        </row>
        <row r="2027">
          <cell r="A2027" t="str">
            <v>ZOOTECNISTA II</v>
          </cell>
        </row>
        <row r="2028">
          <cell r="A2028" t="str">
            <v>ZOOTECNISTA III</v>
          </cell>
        </row>
        <row r="2029">
          <cell r="A2029" t="str">
            <v>ZOOTECNISTA IV</v>
          </cell>
        </row>
        <row r="2030">
          <cell r="A2030" t="str">
            <v>ZOOTECNISTA JEFE</v>
          </cell>
        </row>
        <row r="2031">
          <cell r="A2031" t="str">
            <v>ZOOTECNISTA V</v>
          </cell>
        </row>
        <row r="2032">
          <cell r="A2032">
            <v>0</v>
          </cell>
        </row>
        <row r="2033">
          <cell r="A2033" t="str">
            <v>ACARREADOR</v>
          </cell>
        </row>
        <row r="2034">
          <cell r="A2034" t="str">
            <v>ALBAÑIL</v>
          </cell>
        </row>
        <row r="2035">
          <cell r="A2035" t="str">
            <v>ARMADOR DE PUERTOS</v>
          </cell>
        </row>
        <row r="2036">
          <cell r="A2036" t="str">
            <v>ASCENSORISTA</v>
          </cell>
        </row>
        <row r="2037">
          <cell r="A2037" t="str">
            <v>ASEADOR</v>
          </cell>
        </row>
        <row r="2038">
          <cell r="A2038" t="str">
            <v>ASEADOR AREAS PUBLICAS</v>
          </cell>
        </row>
        <row r="2039">
          <cell r="A2039" t="str">
            <v>ASEADOR DE MATERIALES DE LABORATORIO</v>
          </cell>
        </row>
        <row r="2040">
          <cell r="A2040" t="str">
            <v>AUXILIAR DE AUTOPSIA</v>
          </cell>
        </row>
        <row r="2041">
          <cell r="A2041" t="str">
            <v>AUXILIAR DE CRISTALERIA</v>
          </cell>
        </row>
        <row r="2042">
          <cell r="A2042" t="str">
            <v>AUXILIAR DE ENFERMERIA</v>
          </cell>
        </row>
        <row r="2043">
          <cell r="A2043" t="str">
            <v>AUXILIAR DE FARMACIA</v>
          </cell>
        </row>
        <row r="2044">
          <cell r="A2044" t="str">
            <v>AUXILIAR DE LABORATORIO</v>
          </cell>
        </row>
        <row r="2045">
          <cell r="A2045" t="str">
            <v>AUXILIAR DE MEZCLAS PRODUCTOS FARMACEUTICOS</v>
          </cell>
        </row>
        <row r="2046">
          <cell r="A2046" t="str">
            <v>AUXILIAR DE NUTRICION</v>
          </cell>
        </row>
        <row r="2047">
          <cell r="A2047" t="str">
            <v>AUXILIAR DE ODONTOLOGIA</v>
          </cell>
        </row>
        <row r="2048">
          <cell r="A2048" t="str">
            <v>AUXILIAR DE PRUEBAS PRODUCTOS FARMACEUTICOS</v>
          </cell>
        </row>
        <row r="2049">
          <cell r="A2049" t="str">
            <v>AUXILIAR DE RAYOS X</v>
          </cell>
        </row>
        <row r="2050">
          <cell r="A2050" t="str">
            <v>AUXILIAR DE SERVICIOS DE OFICINA</v>
          </cell>
        </row>
        <row r="2051">
          <cell r="A2051" t="str">
            <v>AUXILIAR DE SERVICIOS DE TREN</v>
          </cell>
        </row>
        <row r="2052">
          <cell r="A2052" t="str">
            <v>AUXILIAR DE TELECOMUNICACIONES</v>
          </cell>
        </row>
        <row r="2053">
          <cell r="A2053" t="str">
            <v>AUXILIAR DE VETERINARIA</v>
          </cell>
        </row>
        <row r="2054">
          <cell r="A2054" t="str">
            <v>AYUDANTE AGROPECUARIO</v>
          </cell>
        </row>
        <row r="2055">
          <cell r="A2055" t="str">
            <v>AYUDANTE BARMAN</v>
          </cell>
        </row>
        <row r="2056">
          <cell r="A2056" t="str">
            <v>AYUDANTE DE ALBAÑIL</v>
          </cell>
        </row>
        <row r="2057">
          <cell r="A2057" t="str">
            <v>AYUDANTE DE ALMACEN</v>
          </cell>
        </row>
        <row r="2058">
          <cell r="A2058" t="str">
            <v>AYUDANTE DE ARTES GRAFICAS</v>
          </cell>
        </row>
        <row r="2059">
          <cell r="A2059" t="str">
            <v>AYUDANTE DE AULA</v>
          </cell>
        </row>
        <row r="2060">
          <cell r="A2060" t="str">
            <v>AYUDANTE DE CARGA</v>
          </cell>
        </row>
        <row r="2061">
          <cell r="A2061" t="str">
            <v>AYUDANTE DE CARPINTERIA</v>
          </cell>
        </row>
        <row r="2062">
          <cell r="A2062" t="str">
            <v>AYUDANTE DE COSTURA</v>
          </cell>
        </row>
        <row r="2063">
          <cell r="A2063" t="str">
            <v>AYUDANTE DE INSTALADOR DE ANTENA</v>
          </cell>
        </row>
        <row r="2064">
          <cell r="A2064" t="str">
            <v>AYUDANTE DE LABORATORIO GEONALITICO</v>
          </cell>
        </row>
        <row r="2065">
          <cell r="A2065" t="str">
            <v>AYUDANTE DE MAQUINARIA</v>
          </cell>
        </row>
        <row r="2066">
          <cell r="A2066" t="str">
            <v>AYUDANTE DE MECANICO</v>
          </cell>
        </row>
        <row r="2067">
          <cell r="A2067" t="str">
            <v>AYUDANTE DE OPERACIONES FERROVIARIAS</v>
          </cell>
        </row>
        <row r="2068">
          <cell r="A2068" t="str">
            <v>AYUDANTE DE PANADEROS Y PASTELERO</v>
          </cell>
        </row>
        <row r="2069">
          <cell r="A2069" t="str">
            <v>AYUDANTE DE SERV. DE PUERTO Y AEROPUERTO</v>
          </cell>
        </row>
        <row r="2070">
          <cell r="A2070" t="str">
            <v>AYUDANTE DE SERVICIOS DE COCINA</v>
          </cell>
        </row>
        <row r="2071">
          <cell r="A2071" t="str">
            <v>AYUDANTE DE SERVICIOS GENERALES</v>
          </cell>
        </row>
        <row r="2072">
          <cell r="A2072" t="str">
            <v>AYUDANTE DE TOPOGRAFIA</v>
          </cell>
        </row>
        <row r="2073">
          <cell r="A2073" t="str">
            <v>AYUDANTE INSPECTOR</v>
          </cell>
        </row>
        <row r="2074">
          <cell r="A2074" t="str">
            <v>AYUDANTE MANTENIMIENTO DE VIAS TERRESTRE</v>
          </cell>
        </row>
        <row r="2075">
          <cell r="A2075" t="str">
            <v>AYUDANTE MANTENIMIENTO VIAS FERROVIARIAS</v>
          </cell>
        </row>
        <row r="2076">
          <cell r="A2076" t="str">
            <v>AYUDANTE POSTAL TELEGRAFICO</v>
          </cell>
        </row>
        <row r="2077">
          <cell r="A2077" t="str">
            <v>BARBERO</v>
          </cell>
        </row>
        <row r="2078">
          <cell r="A2078" t="str">
            <v>BARMAN</v>
          </cell>
        </row>
        <row r="2079">
          <cell r="A2079" t="str">
            <v>BOTONES</v>
          </cell>
        </row>
        <row r="2080">
          <cell r="A2080" t="str">
            <v>BUZO</v>
          </cell>
        </row>
        <row r="2081">
          <cell r="A2081" t="str">
            <v>CAJISTA</v>
          </cell>
        </row>
        <row r="2082">
          <cell r="A2082" t="str">
            <v>CAMARERA</v>
          </cell>
        </row>
        <row r="2083">
          <cell r="A2083" t="str">
            <v>CAMILLERO</v>
          </cell>
        </row>
        <row r="2084">
          <cell r="A2084" t="str">
            <v>CAPITAN DE MESONEROS</v>
          </cell>
        </row>
        <row r="2085">
          <cell r="A2085" t="str">
            <v>CAPORAL DE EQUIPOS</v>
          </cell>
        </row>
        <row r="2086">
          <cell r="A2086" t="str">
            <v>CARNICERO</v>
          </cell>
        </row>
        <row r="2087">
          <cell r="A2087" t="str">
            <v>CARPINTERO</v>
          </cell>
        </row>
        <row r="2088">
          <cell r="A2088" t="str">
            <v>CERRAJERO</v>
          </cell>
        </row>
        <row r="2089">
          <cell r="A2089" t="str">
            <v>CHOFER</v>
          </cell>
        </row>
        <row r="2090">
          <cell r="A2090" t="str">
            <v>CHOFER DE CARGA</v>
          </cell>
        </row>
        <row r="2091">
          <cell r="A2091" t="str">
            <v>CHOFER DE CISTERNA</v>
          </cell>
        </row>
        <row r="2092">
          <cell r="A2092" t="str">
            <v>CHOFER DE TRANSPORTE</v>
          </cell>
        </row>
        <row r="2093">
          <cell r="A2093" t="str">
            <v>CLASIFICADOR DE FRUTOS</v>
          </cell>
        </row>
        <row r="2094">
          <cell r="A2094" t="str">
            <v>CLASIFICADOS POSTAL TELEGRAFICO</v>
          </cell>
        </row>
        <row r="2095">
          <cell r="A2095" t="str">
            <v>COCINERO</v>
          </cell>
        </row>
        <row r="2096">
          <cell r="A2096" t="str">
            <v>CONSERJE</v>
          </cell>
        </row>
        <row r="2097">
          <cell r="A2097" t="str">
            <v>CONTRAMAESTRE</v>
          </cell>
        </row>
        <row r="2098">
          <cell r="A2098" t="str">
            <v>CONTROL ASIST, MEDICAS</v>
          </cell>
        </row>
        <row r="2099">
          <cell r="A2099" t="str">
            <v>COORDINADOR DE MAQUINARIA PESADA</v>
          </cell>
        </row>
        <row r="2100">
          <cell r="A2100" t="str">
            <v>COSTURERA</v>
          </cell>
        </row>
        <row r="2101">
          <cell r="A2101" t="str">
            <v>CUIDADOR DE ANIMALES</v>
          </cell>
        </row>
        <row r="2102">
          <cell r="A2102" t="str">
            <v>DEPOSITARIO</v>
          </cell>
        </row>
        <row r="2103">
          <cell r="A2103" t="str">
            <v>DESPACHADOR DE COMBUSTIBLE</v>
          </cell>
        </row>
        <row r="2104">
          <cell r="A2104" t="str">
            <v>DESPACHADOR DE MERCANCIA</v>
          </cell>
        </row>
        <row r="2105">
          <cell r="A2105" t="str">
            <v>DESPENSERO</v>
          </cell>
        </row>
        <row r="2106">
          <cell r="A2106" t="str">
            <v>ELECTRICISTA DE ALTA TENSION</v>
          </cell>
        </row>
        <row r="2107">
          <cell r="A2107" t="str">
            <v>ELECTROMECANICO</v>
          </cell>
        </row>
        <row r="2108">
          <cell r="A2108" t="str">
            <v>EMBALADOR</v>
          </cell>
        </row>
        <row r="2109">
          <cell r="A2109" t="str">
            <v>ESCOLTA</v>
          </cell>
        </row>
        <row r="2110">
          <cell r="A2110" t="str">
            <v>ESPESORISTA</v>
          </cell>
        </row>
        <row r="2111">
          <cell r="A2111" t="str">
            <v>FISCAL DE MATADERO</v>
          </cell>
        </row>
        <row r="2112">
          <cell r="A2112" t="str">
            <v>FISCAL I  (OBREROS)</v>
          </cell>
        </row>
        <row r="2113">
          <cell r="A2113" t="str">
            <v>FISCAL II (OBREROS)</v>
          </cell>
        </row>
        <row r="2114">
          <cell r="A2114" t="str">
            <v>FOTOGRABADOR PLANCHISTA</v>
          </cell>
        </row>
        <row r="2115">
          <cell r="A2115" t="str">
            <v>FUMIGADOR</v>
          </cell>
        </row>
        <row r="2116">
          <cell r="A2116" t="str">
            <v>GUARDA BARRERA</v>
          </cell>
        </row>
        <row r="2117">
          <cell r="A2117" t="str">
            <v>GUARDAPARQUES</v>
          </cell>
        </row>
        <row r="2118">
          <cell r="A2118" t="str">
            <v>GUARDAPARQUEZ</v>
          </cell>
        </row>
        <row r="2119">
          <cell r="A2119" t="str">
            <v>GUIA VACACIONISTA</v>
          </cell>
        </row>
        <row r="2120">
          <cell r="A2120" t="str">
            <v>GUILLOTINERO</v>
          </cell>
        </row>
        <row r="2121">
          <cell r="A2121" t="str">
            <v>HERRERO</v>
          </cell>
        </row>
        <row r="2122">
          <cell r="A2122" t="str">
            <v>INCINERADOR</v>
          </cell>
        </row>
        <row r="2123">
          <cell r="A2123" t="str">
            <v>INSPECTOR AUXILIAR DE OBRAS</v>
          </cell>
        </row>
        <row r="2124">
          <cell r="A2124" t="str">
            <v>INSPECTOR AUXILIAR DE OPERACIONES DE AREAS PUBLICAS</v>
          </cell>
        </row>
        <row r="2125">
          <cell r="A2125" t="str">
            <v>INSTALADOR DE ANTENA</v>
          </cell>
        </row>
        <row r="2126">
          <cell r="A2126" t="str">
            <v>JARDINERO</v>
          </cell>
        </row>
        <row r="2127">
          <cell r="A2127" t="str">
            <v>JEFE DE OBRERO</v>
          </cell>
        </row>
        <row r="2128">
          <cell r="A2128" t="str">
            <v>JEFE DE SERVICIO (SALUD)</v>
          </cell>
        </row>
        <row r="2129">
          <cell r="A2129" t="str">
            <v>LATONERO Y PINTOR</v>
          </cell>
        </row>
        <row r="2130">
          <cell r="A2130" t="str">
            <v>LAVADOR Y ENGRASADOR</v>
          </cell>
        </row>
        <row r="2131">
          <cell r="A2131" t="str">
            <v>LAVANDERO</v>
          </cell>
        </row>
        <row r="2132">
          <cell r="A2132" t="str">
            <v>LENCERO</v>
          </cell>
        </row>
        <row r="2133">
          <cell r="A2133" t="str">
            <v>LINOTIPISTA</v>
          </cell>
        </row>
        <row r="2134">
          <cell r="A2134" t="str">
            <v>MAITRE</v>
          </cell>
        </row>
        <row r="2135">
          <cell r="A2135" t="str">
            <v>MANIPULADOR DE FRUTOS</v>
          </cell>
        </row>
        <row r="2136">
          <cell r="A2136" t="str">
            <v>MAQUINISTA</v>
          </cell>
        </row>
        <row r="2137">
          <cell r="A2137" t="str">
            <v>MARINERO</v>
          </cell>
        </row>
        <row r="2138">
          <cell r="A2138" t="str">
            <v>MECANICO AUTOMOTRIZ</v>
          </cell>
        </row>
        <row r="2139">
          <cell r="A2139" t="str">
            <v>MECANICO DE AVIACION</v>
          </cell>
        </row>
        <row r="2140">
          <cell r="A2140" t="str">
            <v>MECANICO DE BOBLIWG</v>
          </cell>
        </row>
        <row r="2141">
          <cell r="A2141" t="str">
            <v>MECANICO DE BOGIS FERROVIARIO</v>
          </cell>
        </row>
        <row r="2142">
          <cell r="A2142" t="str">
            <v>MECANICO DE MOTO</v>
          </cell>
        </row>
        <row r="2143">
          <cell r="A2143" t="str">
            <v>MECANICO DE MOTORES DIESEL</v>
          </cell>
        </row>
        <row r="2144">
          <cell r="A2144" t="str">
            <v>MECANICO DE REFRIGERACION</v>
          </cell>
        </row>
        <row r="2145">
          <cell r="A2145" t="str">
            <v>MECANICO SISTEMA NEUMATICO FERROVIARIO</v>
          </cell>
        </row>
        <row r="2146">
          <cell r="A2146" t="str">
            <v>MENSAJERO</v>
          </cell>
        </row>
        <row r="2147">
          <cell r="A2147" t="str">
            <v>MENSAJERO MOTORIZADO</v>
          </cell>
        </row>
        <row r="2148">
          <cell r="A2148" t="str">
            <v>MESONERO</v>
          </cell>
        </row>
        <row r="2149">
          <cell r="A2149" t="str">
            <v>MODISTO</v>
          </cell>
        </row>
        <row r="2150">
          <cell r="A2150" t="str">
            <v>NIÑERA</v>
          </cell>
        </row>
        <row r="2151">
          <cell r="A2151" t="str">
            <v>OBRERO DE MANTENIMIENTO</v>
          </cell>
        </row>
        <row r="2152">
          <cell r="A2152" t="str">
            <v>OBRERO NO CLASIFICADO</v>
          </cell>
        </row>
        <row r="2153">
          <cell r="A2153" t="str">
            <v>OPERADOR DE CALDERA</v>
          </cell>
        </row>
        <row r="2154">
          <cell r="A2154" t="str">
            <v>OPERADOR DE MAQUINARIA PESADA</v>
          </cell>
        </row>
        <row r="2155">
          <cell r="A2155" t="str">
            <v>OPERADOR DE PRENSA DE IMPRESION</v>
          </cell>
        </row>
        <row r="2156">
          <cell r="A2156" t="str">
            <v>OPERADOR DE SALAS MOVILES</v>
          </cell>
        </row>
        <row r="2157">
          <cell r="A2157" t="str">
            <v>OPERADOR DE SONIDO</v>
          </cell>
        </row>
        <row r="2158">
          <cell r="A2158" t="str">
            <v>OPERADOR FERROVIARIO DE MANTENIMIENTO</v>
          </cell>
        </row>
        <row r="2159">
          <cell r="A2159" t="str">
            <v>OPERADOR MAQUINARIA DE VIA FERREA</v>
          </cell>
        </row>
        <row r="2160">
          <cell r="A2160" t="str">
            <v>OPERARIO COMPAGINACION Y ENCUADERNACION</v>
          </cell>
        </row>
        <row r="2161">
          <cell r="A2161" t="str">
            <v>OPERARIO DE ACUEDUCTO</v>
          </cell>
        </row>
        <row r="2162">
          <cell r="A2162" t="str">
            <v>OPERARIO DE EQUIPO DE TELECOMUNICACION</v>
          </cell>
        </row>
        <row r="2163">
          <cell r="A2163" t="str">
            <v>OPERARIO DE FARO</v>
          </cell>
        </row>
        <row r="2164">
          <cell r="A2164" t="str">
            <v>OPERARIO DE MAQUINA FOTOCOPIADORA</v>
          </cell>
        </row>
        <row r="2165">
          <cell r="A2165" t="str">
            <v>OPERARIO DE MAQUINA LIVIANA</v>
          </cell>
        </row>
        <row r="2166">
          <cell r="A2166" t="str">
            <v>OPERARIO DE PISCINA</v>
          </cell>
        </row>
        <row r="2167">
          <cell r="A2167" t="str">
            <v>OPERARIO DE PLANTA HIDROELECTRICA</v>
          </cell>
        </row>
        <row r="2168">
          <cell r="A2168" t="str">
            <v>OPERARIO MANTENIMIENTO VIAS TERRESTRES</v>
          </cell>
        </row>
        <row r="2169">
          <cell r="A2169" t="str">
            <v>OPERARIO MAQUINA PRODUCCION FARMACEUTICA</v>
          </cell>
        </row>
        <row r="2170">
          <cell r="A2170" t="str">
            <v>PAGADOR</v>
          </cell>
        </row>
        <row r="2171">
          <cell r="A2171" t="str">
            <v>PANADERO</v>
          </cell>
        </row>
        <row r="2172">
          <cell r="A2172" t="str">
            <v>PASTELERO</v>
          </cell>
        </row>
        <row r="2173">
          <cell r="A2173" t="str">
            <v>PESCADOR</v>
          </cell>
        </row>
        <row r="2174">
          <cell r="A2174" t="str">
            <v>PINTOR</v>
          </cell>
        </row>
        <row r="2175">
          <cell r="A2175" t="str">
            <v>PLANCHADOR</v>
          </cell>
        </row>
        <row r="2176">
          <cell r="A2176" t="str">
            <v>PLOMERO</v>
          </cell>
        </row>
        <row r="2177">
          <cell r="A2177" t="str">
            <v>PORTERO</v>
          </cell>
        </row>
        <row r="2178">
          <cell r="A2178" t="str">
            <v>PRACTICO FLUVIAL</v>
          </cell>
        </row>
        <row r="2179">
          <cell r="A2179" t="str">
            <v>RAPARADOR DE BICICLETA</v>
          </cell>
        </row>
        <row r="2180">
          <cell r="A2180" t="str">
            <v>RASTRILLERO</v>
          </cell>
        </row>
        <row r="2181">
          <cell r="A2181" t="str">
            <v>RECEPTOR INFORMADOR</v>
          </cell>
        </row>
        <row r="2182">
          <cell r="A2182" t="str">
            <v>REPARADOR DE MQUINA DE OFICINA</v>
          </cell>
        </row>
        <row r="2183">
          <cell r="A2183" t="str">
            <v>REPARADOR DE NEUMATICO</v>
          </cell>
        </row>
        <row r="2184">
          <cell r="A2184" t="str">
            <v>REPARADOR DE PARACAIDAS</v>
          </cell>
        </row>
        <row r="2185">
          <cell r="A2185" t="str">
            <v>REPARADOR DE RADIADOR</v>
          </cell>
        </row>
        <row r="2186">
          <cell r="A2186" t="str">
            <v>REPARTIDOR DE ALIMENTOS</v>
          </cell>
        </row>
        <row r="2187">
          <cell r="A2187" t="str">
            <v>REPARTIDOR POSTAL TELEGRAFICO</v>
          </cell>
        </row>
        <row r="2188">
          <cell r="A2188" t="str">
            <v>SALVAVIDAS</v>
          </cell>
        </row>
        <row r="2189">
          <cell r="A2189" t="str">
            <v>SOLDADOR</v>
          </cell>
        </row>
        <row r="2190">
          <cell r="A2190" t="str">
            <v>SUPERV. MANTENIMIENTO VIAS FERROVIARIA</v>
          </cell>
        </row>
        <row r="2191">
          <cell r="A2191" t="str">
            <v>SUPERVISOR ASISTENCIAL</v>
          </cell>
        </row>
        <row r="2192">
          <cell r="A2192" t="str">
            <v>SUPERVISOR DE ARMADOR DE PUENTES</v>
          </cell>
        </row>
        <row r="2193">
          <cell r="A2193" t="str">
            <v>SUPERVISOR DE ASCENSORISTAS</v>
          </cell>
        </row>
        <row r="2194">
          <cell r="A2194" t="str">
            <v>SUPERVISOR DE AUXILIAR DE VETERINARIA</v>
          </cell>
        </row>
        <row r="2195">
          <cell r="A2195" t="str">
            <v>SUPERVISOR DE CAMARERAS</v>
          </cell>
        </row>
        <row r="2196">
          <cell r="A2196" t="str">
            <v>SUPERVISOR DE CAMIONES CISTERNA</v>
          </cell>
        </row>
        <row r="2197">
          <cell r="A2197" t="str">
            <v>SUPERVISOR DE COCINA</v>
          </cell>
        </row>
        <row r="2198">
          <cell r="A2198" t="str">
            <v>SUPERVISOR DE FUMIGACION</v>
          </cell>
        </row>
        <row r="2199">
          <cell r="A2199" t="str">
            <v>SUPERVISOR DE MANTENIMIENTO DE AREAS PUBLICAS</v>
          </cell>
        </row>
        <row r="2200">
          <cell r="A2200" t="str">
            <v>SUPERVISOR DE MANTENIMIENTO I (OPE)</v>
          </cell>
        </row>
        <row r="2201">
          <cell r="A2201" t="str">
            <v>SUPERVISOR DE PLANTA HIDROELECTRICA</v>
          </cell>
        </row>
        <row r="2202">
          <cell r="A2202" t="str">
            <v>SUPERVISOR DE SEGURIDAD</v>
          </cell>
        </row>
        <row r="2203">
          <cell r="A2203" t="str">
            <v>SUPERVISOR DE SERVICIOS DE REPROD. E IMP</v>
          </cell>
        </row>
        <row r="2204">
          <cell r="A2204" t="str">
            <v>SUPERVISOR DE SERVICIOS ESPECIALIZADOS</v>
          </cell>
        </row>
        <row r="2205">
          <cell r="A2205" t="str">
            <v>SUPERVISOR DE SERVICIOS INTERNOS</v>
          </cell>
        </row>
        <row r="2206">
          <cell r="A2206" t="str">
            <v>SUPERVISOR DE VIGILANCIA</v>
          </cell>
        </row>
        <row r="2207">
          <cell r="A2207" t="str">
            <v>SUPERVISOR DE VIVEROS</v>
          </cell>
        </row>
        <row r="2208">
          <cell r="A2208" t="str">
            <v>SUPERVISOR DE ZONA (OPE)</v>
          </cell>
        </row>
        <row r="2209">
          <cell r="A2209" t="str">
            <v>SUPERVISOR EMPAQUE Y ENVASE PROD. FARM.</v>
          </cell>
        </row>
        <row r="2210">
          <cell r="A2210" t="str">
            <v>SUPERVISOR OPERACIONES FERROVIARIAS</v>
          </cell>
        </row>
        <row r="2211">
          <cell r="A2211" t="str">
            <v>TALABARTERO</v>
          </cell>
        </row>
        <row r="2212">
          <cell r="A2212" t="str">
            <v>TAPICERO</v>
          </cell>
        </row>
        <row r="2213">
          <cell r="A2213" t="str">
            <v>TAQUILLERO</v>
          </cell>
        </row>
        <row r="2214">
          <cell r="A2214" t="str">
            <v>TIMONEL DE EMBARCACION</v>
          </cell>
        </row>
        <row r="2215">
          <cell r="A2215" t="str">
            <v>TORNERO</v>
          </cell>
        </row>
        <row r="2216">
          <cell r="A2216" t="str">
            <v>VIGILANTE</v>
          </cell>
        </row>
        <row r="2217">
          <cell r="A2217" t="str">
            <v>VIGILANTE NOCTURNO</v>
          </cell>
        </row>
        <row r="2218">
          <cell r="A2218" t="str">
            <v>ZAPATERO</v>
          </cell>
        </row>
      </sheetData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</sheetNames>
    <sheetDataSet>
      <sheetData sheetId="0" refreshError="1">
        <row r="1">
          <cell r="A1" t="str">
            <v>TITULO UNIVERSITARIO</v>
          </cell>
        </row>
        <row r="2">
          <cell r="A2" t="str">
            <v xml:space="preserve">EDUCACION MEDIA </v>
          </cell>
        </row>
        <row r="3">
          <cell r="A3" t="str">
            <v>EDUCACION PRIMARIA</v>
          </cell>
        </row>
        <row r="4">
          <cell r="A4" t="str">
            <v xml:space="preserve">EDUCACION TECNICA </v>
          </cell>
        </row>
        <row r="5">
          <cell r="A5" t="str">
            <v xml:space="preserve">TECNICO SUPERIOR UNIVERSITARIO </v>
          </cell>
        </row>
        <row r="6">
          <cell r="A6" t="str">
            <v xml:space="preserve">TITULO UNIVERSITARIO </v>
          </cell>
        </row>
        <row r="9">
          <cell r="A9" t="str">
            <v>AVENIDA</v>
          </cell>
          <cell r="C9" t="str">
            <v xml:space="preserve">ADMINISTRADOR </v>
          </cell>
        </row>
        <row r="10">
          <cell r="A10" t="str">
            <v>CALLE</v>
          </cell>
          <cell r="C10" t="str">
            <v xml:space="preserve">ASIST ADMINISTRATIVO </v>
          </cell>
        </row>
        <row r="11">
          <cell r="A11" t="str">
            <v xml:space="preserve">CALLEJON </v>
          </cell>
          <cell r="C11" t="str">
            <v xml:space="preserve">ASISTENTE </v>
          </cell>
        </row>
        <row r="12">
          <cell r="A12" t="str">
            <v xml:space="preserve">CAMINO </v>
          </cell>
          <cell r="C12" t="str">
            <v xml:space="preserve">CHOFER </v>
          </cell>
        </row>
        <row r="13">
          <cell r="A13" t="str">
            <v>CARRETERA</v>
          </cell>
          <cell r="C13" t="str">
            <v xml:space="preserve">DOCENTE </v>
          </cell>
        </row>
        <row r="14">
          <cell r="A14" t="str">
            <v>ESQUINA</v>
          </cell>
          <cell r="C14" t="str">
            <v>ELECTRICISTA</v>
          </cell>
        </row>
        <row r="15">
          <cell r="A15" t="str">
            <v>VIA</v>
          </cell>
          <cell r="C15" t="str">
            <v xml:space="preserve">OBRERO </v>
          </cell>
        </row>
        <row r="16">
          <cell r="A16" t="str">
            <v>VEREDA</v>
          </cell>
          <cell r="C16" t="str">
            <v xml:space="preserve">ANALISTA </v>
          </cell>
        </row>
        <row r="17">
          <cell r="C17" t="str">
            <v>FUNCIONARIO</v>
          </cell>
        </row>
        <row r="18">
          <cell r="C18" t="str">
            <v xml:space="preserve">INGENIERO </v>
          </cell>
        </row>
        <row r="19">
          <cell r="C19" t="str">
            <v>OPERADOR</v>
          </cell>
        </row>
        <row r="20">
          <cell r="A20" t="str">
            <v xml:space="preserve">MUNICIPIO </v>
          </cell>
          <cell r="C20" t="str">
            <v xml:space="preserve">RECEPCIONISTA </v>
          </cell>
        </row>
        <row r="21">
          <cell r="A21" t="str">
            <v xml:space="preserve">SECTOR </v>
          </cell>
        </row>
        <row r="22">
          <cell r="A22" t="str">
            <v>URBANIZACION</v>
          </cell>
        </row>
        <row r="23">
          <cell r="A23" t="str">
            <v xml:space="preserve">ZONA </v>
          </cell>
        </row>
        <row r="26">
          <cell r="A26" t="str">
            <v xml:space="preserve">ADMINISTRADOR </v>
          </cell>
        </row>
        <row r="27">
          <cell r="A27" t="str">
            <v xml:space="preserve">ESTUDIANTE </v>
          </cell>
        </row>
        <row r="28">
          <cell r="A28" t="str">
            <v xml:space="preserve">INGENIERO </v>
          </cell>
        </row>
        <row r="29">
          <cell r="A29" t="str">
            <v xml:space="preserve">MEDICO </v>
          </cell>
        </row>
        <row r="30">
          <cell r="A30" t="str">
            <v xml:space="preserve">OTROS </v>
          </cell>
        </row>
        <row r="31">
          <cell r="A31" t="str">
            <v>ECONOMISTA</v>
          </cell>
        </row>
        <row r="32">
          <cell r="A32" t="str">
            <v xml:space="preserve">ABOGADO </v>
          </cell>
        </row>
        <row r="33">
          <cell r="A33" t="str">
            <v>ELECTRICISTA</v>
          </cell>
        </row>
        <row r="34">
          <cell r="A34" t="str">
            <v xml:space="preserve">LICENCIADO </v>
          </cell>
        </row>
        <row r="35">
          <cell r="A35" t="str">
            <v xml:space="preserve">MECANICO </v>
          </cell>
        </row>
        <row r="36">
          <cell r="A36" t="str">
            <v xml:space="preserve">SECRETARIA </v>
          </cell>
        </row>
        <row r="37">
          <cell r="A37" t="str">
            <v xml:space="preserve">OFICINISTA </v>
          </cell>
        </row>
        <row r="38">
          <cell r="A38" t="str">
            <v xml:space="preserve">CONTADOR PUBLICO 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"/>
      <sheetName val="EJEMPLO CALCULO AGUINALDOS NUEV"/>
      <sheetName val="Hoja1"/>
      <sheetName val="CONCEPTOS Y PARAMETROS"/>
      <sheetName val="POA (2024)"/>
      <sheetName val="TAB EMP"/>
      <sheetName val="TAB OBR"/>
      <sheetName val="CARGOS"/>
    </sheetNames>
    <sheetDataSet>
      <sheetData sheetId="0">
        <row r="8">
          <cell r="DF8" t="str">
            <v>V</v>
          </cell>
          <cell r="DG8" t="str">
            <v>F</v>
          </cell>
        </row>
        <row r="9">
          <cell r="DA9">
            <v>0</v>
          </cell>
          <cell r="DF9" t="str">
            <v>E</v>
          </cell>
          <cell r="DG9" t="str">
            <v>M</v>
          </cell>
        </row>
        <row r="10">
          <cell r="DA10">
            <v>1</v>
          </cell>
        </row>
        <row r="11">
          <cell r="DA11">
            <v>2</v>
          </cell>
        </row>
      </sheetData>
      <sheetData sheetId="1"/>
      <sheetData sheetId="2"/>
      <sheetData sheetId="3">
        <row r="3">
          <cell r="J3" t="str">
            <v>ENERO</v>
          </cell>
        </row>
        <row r="4">
          <cell r="J4" t="str">
            <v>FEBRERO</v>
          </cell>
        </row>
        <row r="5">
          <cell r="J5" t="str">
            <v>MARZO</v>
          </cell>
        </row>
        <row r="6">
          <cell r="J6" t="str">
            <v>ABRIL</v>
          </cell>
        </row>
        <row r="7">
          <cell r="J7" t="str">
            <v>MAYO</v>
          </cell>
        </row>
        <row r="8">
          <cell r="J8" t="str">
            <v>JUNIO</v>
          </cell>
        </row>
        <row r="9">
          <cell r="J9" t="str">
            <v>JULIO</v>
          </cell>
        </row>
        <row r="10">
          <cell r="J10" t="str">
            <v>AGOSTO</v>
          </cell>
        </row>
        <row r="11">
          <cell r="J11" t="str">
            <v>SEPTIEMBRE</v>
          </cell>
        </row>
        <row r="12">
          <cell r="J12" t="str">
            <v>OCTUBRE</v>
          </cell>
        </row>
        <row r="13">
          <cell r="J13" t="str">
            <v>NOVIEMBRE</v>
          </cell>
        </row>
        <row r="14">
          <cell r="J14" t="str">
            <v>DICIEMBRE</v>
          </cell>
        </row>
        <row r="59">
          <cell r="A59">
            <v>0</v>
          </cell>
        </row>
        <row r="60">
          <cell r="A60">
            <v>1</v>
          </cell>
        </row>
        <row r="61">
          <cell r="A61">
            <v>2</v>
          </cell>
        </row>
        <row r="101">
          <cell r="A101">
            <v>0</v>
          </cell>
        </row>
        <row r="102">
          <cell r="A102">
            <v>1466</v>
          </cell>
        </row>
      </sheetData>
      <sheetData sheetId="4"/>
      <sheetData sheetId="5">
        <row r="2">
          <cell r="A2" t="str">
            <v>B1   (0-2 AÑOS)</v>
          </cell>
        </row>
        <row r="3">
          <cell r="A3" t="str">
            <v>B2   (3-5 AÑOS)</v>
          </cell>
        </row>
        <row r="4">
          <cell r="A4" t="str">
            <v>B3   (6-8 AÑOS)</v>
          </cell>
        </row>
        <row r="5">
          <cell r="A5" t="str">
            <v>B3I   (9-11 AÑOS)</v>
          </cell>
        </row>
        <row r="6">
          <cell r="A6" t="str">
            <v>B3II   (12-14 AÑOS)</v>
          </cell>
        </row>
        <row r="7">
          <cell r="A7" t="str">
            <v>B3III   (15-17 AÑOS)</v>
          </cell>
        </row>
        <row r="8">
          <cell r="A8" t="str">
            <v>B3IV   (18 EN ADELANTE)</v>
          </cell>
        </row>
        <row r="9">
          <cell r="A9" t="str">
            <v>T1   (0-2 AÑOS)</v>
          </cell>
        </row>
        <row r="10">
          <cell r="A10" t="str">
            <v>T2   (3-5 AÑOS)</v>
          </cell>
        </row>
        <row r="11">
          <cell r="A11" t="str">
            <v>T2I   (6-8 AÑOS)</v>
          </cell>
        </row>
        <row r="12">
          <cell r="A12" t="str">
            <v>T2II   (9-11 AÑOS)</v>
          </cell>
        </row>
        <row r="13">
          <cell r="A13" t="str">
            <v>T2III   (12-14 AÑOS)</v>
          </cell>
        </row>
        <row r="14">
          <cell r="A14" t="str">
            <v>T2IV   (15-17 AÑOS)</v>
          </cell>
        </row>
        <row r="15">
          <cell r="A15" t="str">
            <v>T2V   (18 EN ADELANTE)</v>
          </cell>
        </row>
        <row r="16">
          <cell r="A16" t="str">
            <v>P1   (0-2 AÑOS)</v>
          </cell>
        </row>
        <row r="17">
          <cell r="A17" t="str">
            <v>P2   (3-5 AÑOS)</v>
          </cell>
        </row>
        <row r="18">
          <cell r="A18" t="str">
            <v>P2I   (6-8 AÑOS)</v>
          </cell>
        </row>
        <row r="19">
          <cell r="A19" t="str">
            <v xml:space="preserve">P2II   (9-11 AÑOS)  </v>
          </cell>
        </row>
        <row r="20">
          <cell r="A20" t="str">
            <v>P2III   (12-14 AÑOS)</v>
          </cell>
        </row>
        <row r="21">
          <cell r="A21" t="str">
            <v>P2IV   (15-17 AÑOS)</v>
          </cell>
        </row>
        <row r="22">
          <cell r="A22" t="str">
            <v>P2V    (18 EN ADELANTE)</v>
          </cell>
        </row>
        <row r="23">
          <cell r="A23" t="str">
            <v>P3    (0-2 AÑOS)</v>
          </cell>
        </row>
        <row r="24">
          <cell r="A24" t="str">
            <v>P3I     (3-5 AÑOS)</v>
          </cell>
        </row>
        <row r="25">
          <cell r="A25" t="str">
            <v>P3II     (6-8 AÑOS)</v>
          </cell>
        </row>
        <row r="26">
          <cell r="A26" t="str">
            <v xml:space="preserve">P3III    (9-11 AÑOS)    </v>
          </cell>
        </row>
        <row r="27">
          <cell r="A27" t="str">
            <v>P3IV    (12-14 AÑOS)</v>
          </cell>
        </row>
        <row r="28">
          <cell r="A28" t="str">
            <v>P3V    (15-17 AÑOS)</v>
          </cell>
        </row>
        <row r="29">
          <cell r="A29" t="str">
            <v>P3VI   (18 EN ADELANTE)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6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7">
        <row r="2">
          <cell r="A2">
            <v>0</v>
          </cell>
        </row>
        <row r="3">
          <cell r="A3" t="str">
            <v>DOC. BASICO SUPERVISOR (40 HORAS) Y DIRECTOR VI 77 (16 HORAS)</v>
          </cell>
        </row>
        <row r="4">
          <cell r="A4" t="str">
            <v>ABOGADO FISCAL I</v>
          </cell>
        </row>
        <row r="5">
          <cell r="A5" t="str">
            <v>ABOGADO FISCAL II</v>
          </cell>
        </row>
        <row r="6">
          <cell r="A6" t="str">
            <v>ABOGADO FISCAL III</v>
          </cell>
        </row>
        <row r="7">
          <cell r="A7" t="str">
            <v>ABOGADO FISCAL IV</v>
          </cell>
        </row>
        <row r="8">
          <cell r="A8" t="str">
            <v>ABOGADO FISCAL JEFE</v>
          </cell>
        </row>
        <row r="9">
          <cell r="A9" t="str">
            <v>ABOGADO I</v>
          </cell>
        </row>
        <row r="10">
          <cell r="A10" t="str">
            <v>ABOGADO II</v>
          </cell>
        </row>
        <row r="11">
          <cell r="A11" t="str">
            <v>ABOGADO III</v>
          </cell>
        </row>
        <row r="12">
          <cell r="A12" t="str">
            <v>ABOGADO IV</v>
          </cell>
        </row>
        <row r="13">
          <cell r="A13" t="str">
            <v>ABOGADO JEFE</v>
          </cell>
        </row>
        <row r="14">
          <cell r="A14" t="str">
            <v>ABOGADO PROCURADURIA I</v>
          </cell>
        </row>
        <row r="15">
          <cell r="A15" t="str">
            <v>ABOGADO PROCURADURIA II</v>
          </cell>
        </row>
        <row r="16">
          <cell r="A16" t="str">
            <v>ABOGADO PROCURADURIA III</v>
          </cell>
        </row>
        <row r="17">
          <cell r="A17" t="str">
            <v>ABOGADO PROCURADURIA IV</v>
          </cell>
        </row>
        <row r="18">
          <cell r="A18" t="str">
            <v>ACTUARIO I</v>
          </cell>
        </row>
        <row r="19">
          <cell r="A19" t="str">
            <v>ACTUARIO II</v>
          </cell>
        </row>
        <row r="20">
          <cell r="A20" t="str">
            <v>ACTUARIO III</v>
          </cell>
        </row>
        <row r="21">
          <cell r="A21" t="str">
            <v>ACTUARIO IV</v>
          </cell>
        </row>
        <row r="22">
          <cell r="A22" t="str">
            <v>ACTUARIO V</v>
          </cell>
        </row>
        <row r="23">
          <cell r="A23" t="str">
            <v>ADJUNTO INTERVENTOR DE ADUANAS I</v>
          </cell>
        </row>
        <row r="24">
          <cell r="A24" t="str">
            <v>ADJUNTO INTERVENTOR DE ADUANAS II</v>
          </cell>
        </row>
        <row r="25">
          <cell r="A25" t="str">
            <v>ADJUNTO INTERVENTOR DE ADUANAS III</v>
          </cell>
        </row>
        <row r="26">
          <cell r="A26" t="str">
            <v>ADMINISTRADOR DE COLECCIONES</v>
          </cell>
        </row>
        <row r="27">
          <cell r="A27" t="str">
            <v>ADMINISTRADOR I</v>
          </cell>
        </row>
        <row r="28">
          <cell r="A28" t="str">
            <v>ADMINISTRADOR II</v>
          </cell>
        </row>
        <row r="29">
          <cell r="A29" t="str">
            <v>ADMINISTRADOR III</v>
          </cell>
        </row>
        <row r="30">
          <cell r="A30" t="str">
            <v>ADMINISTRADOR IV</v>
          </cell>
        </row>
        <row r="31">
          <cell r="A31" t="str">
            <v>ADMINISTRADOR JEFE</v>
          </cell>
        </row>
        <row r="32">
          <cell r="A32" t="str">
            <v>ADMINISTRADOR V</v>
          </cell>
        </row>
        <row r="33">
          <cell r="A33" t="str">
            <v>AEROTOPOGRAFO I</v>
          </cell>
        </row>
        <row r="34">
          <cell r="A34" t="str">
            <v>AEROTOPOGRAFO II</v>
          </cell>
        </row>
        <row r="35">
          <cell r="A35" t="str">
            <v>AEROTOPOGRAFO III</v>
          </cell>
        </row>
        <row r="36">
          <cell r="A36" t="str">
            <v>AEROTOPOGRAFO IV</v>
          </cell>
        </row>
        <row r="37">
          <cell r="A37" t="str">
            <v>AEROTOPOGRAFO JEFE</v>
          </cell>
        </row>
        <row r="38">
          <cell r="A38" t="str">
            <v>AFERIDOR I</v>
          </cell>
        </row>
        <row r="39">
          <cell r="A39" t="str">
            <v>AFERIDOR II</v>
          </cell>
        </row>
        <row r="40">
          <cell r="A40" t="str">
            <v>AFORADOR DE HIDROCARBUROS</v>
          </cell>
        </row>
        <row r="41">
          <cell r="A41" t="str">
            <v>AGENTE</v>
          </cell>
        </row>
        <row r="42">
          <cell r="A42" t="str">
            <v>AGENTE AYUDA JUVENIL I</v>
          </cell>
        </row>
        <row r="43">
          <cell r="A43" t="str">
            <v>AGENTE AYUDA JUVENIL II</v>
          </cell>
        </row>
        <row r="44">
          <cell r="A44" t="str">
            <v>AGENTE COOPERATIVISTA I</v>
          </cell>
        </row>
        <row r="45">
          <cell r="A45" t="str">
            <v>AGENTE COOPERATIVISTA II</v>
          </cell>
        </row>
        <row r="46">
          <cell r="A46" t="str">
            <v>AGENTE DE INMIGRACION Y EXTRANJERIA I</v>
          </cell>
        </row>
        <row r="47">
          <cell r="A47" t="str">
            <v>AGENTE DE INMIGRACION Y EXTRANJERIA II</v>
          </cell>
        </row>
        <row r="48">
          <cell r="A48" t="str">
            <v>AGENTE DE INMIGRACION Y EXTRANJERIA III</v>
          </cell>
        </row>
        <row r="49">
          <cell r="A49" t="str">
            <v>AGENTE DE VIVIENDA I</v>
          </cell>
        </row>
        <row r="50">
          <cell r="A50" t="str">
            <v>AGENTE DE VIVIENDA II</v>
          </cell>
        </row>
        <row r="51">
          <cell r="A51" t="str">
            <v>AGENTE DE VIVIENDA III</v>
          </cell>
        </row>
        <row r="52">
          <cell r="A52" t="str">
            <v>AGENTE DISIP</v>
          </cell>
        </row>
        <row r="53">
          <cell r="A53" t="str">
            <v>AGRIMENSOR I</v>
          </cell>
        </row>
        <row r="54">
          <cell r="A54" t="str">
            <v>AGRIMENSOR II</v>
          </cell>
        </row>
        <row r="55">
          <cell r="A55" t="str">
            <v>AGRIMENSOR III</v>
          </cell>
        </row>
        <row r="56">
          <cell r="A56" t="str">
            <v>AGRIMENSOR JEFE</v>
          </cell>
        </row>
        <row r="57">
          <cell r="A57" t="str">
            <v>ALFABETIZADOR</v>
          </cell>
        </row>
        <row r="58">
          <cell r="A58" t="str">
            <v>ALFABETIZADOR I   139</v>
          </cell>
        </row>
        <row r="59">
          <cell r="A59" t="str">
            <v>ALFABETIZADOR I   77</v>
          </cell>
        </row>
        <row r="60">
          <cell r="A60" t="str">
            <v>ALFABETIZADOR I TCVDMA</v>
          </cell>
        </row>
        <row r="61">
          <cell r="A61" t="str">
            <v>ALFABETIZADOR II  139</v>
          </cell>
        </row>
        <row r="62">
          <cell r="A62" t="str">
            <v>ALFABETIZADOR II  77</v>
          </cell>
        </row>
        <row r="63">
          <cell r="A63" t="str">
            <v>ALFABETIZADOR II TCVDMA</v>
          </cell>
        </row>
        <row r="64">
          <cell r="A64" t="str">
            <v>ALFABETIZADOR III 139</v>
          </cell>
        </row>
        <row r="65">
          <cell r="A65" t="str">
            <v>ALFABETIZADOR III 77</v>
          </cell>
        </row>
        <row r="66">
          <cell r="A66" t="str">
            <v>ALFABETIZADOR III TCVDMA</v>
          </cell>
        </row>
        <row r="67">
          <cell r="A67" t="str">
            <v>ALFABETIZADOR IV  139</v>
          </cell>
        </row>
        <row r="68">
          <cell r="A68" t="str">
            <v>ALFABETIZADOR IV  77</v>
          </cell>
        </row>
        <row r="69">
          <cell r="A69" t="str">
            <v>ALFABETIZADOR IV TCVDMA</v>
          </cell>
        </row>
        <row r="70">
          <cell r="A70" t="str">
            <v>ALFABETIZADOR N.G.</v>
          </cell>
        </row>
        <row r="71">
          <cell r="A71" t="str">
            <v>ALFABETIZADOR NG TCVDMA</v>
          </cell>
        </row>
        <row r="72">
          <cell r="A72" t="str">
            <v>ALFABETIZADOR V   139</v>
          </cell>
        </row>
        <row r="73">
          <cell r="A73" t="str">
            <v>ALFABETIZADOR V   77</v>
          </cell>
        </row>
        <row r="74">
          <cell r="A74" t="str">
            <v>ALFABETIZADOR V TCVDMA</v>
          </cell>
        </row>
        <row r="75">
          <cell r="A75" t="str">
            <v>ALFABETIZADOR VI  139</v>
          </cell>
        </row>
        <row r="76">
          <cell r="A76" t="str">
            <v>ALFABETIZADOR VI  77</v>
          </cell>
        </row>
        <row r="77">
          <cell r="A77" t="str">
            <v>ALFABETIZADOR VI TCVDMA</v>
          </cell>
        </row>
        <row r="78">
          <cell r="A78" t="str">
            <v>ALMACENISTA I</v>
          </cell>
        </row>
        <row r="79">
          <cell r="A79" t="str">
            <v>ALMACENISTA II</v>
          </cell>
        </row>
        <row r="80">
          <cell r="A80" t="str">
            <v>ANALISTA CENTRAL DE PERSONAL I</v>
          </cell>
        </row>
        <row r="81">
          <cell r="A81" t="str">
            <v>ANALISTA CENTRAL DE PERSONAL II</v>
          </cell>
        </row>
        <row r="82">
          <cell r="A82" t="str">
            <v>ANALISTA CENTRAL DE PERSONAL III</v>
          </cell>
        </row>
        <row r="83">
          <cell r="A83" t="str">
            <v>ANALISTA CENTRAL DE PERSONAL IV</v>
          </cell>
        </row>
        <row r="84">
          <cell r="A84" t="str">
            <v>ANALISTA CENTRAL DE PERSONAL JEFE</v>
          </cell>
        </row>
        <row r="85">
          <cell r="A85" t="str">
            <v>ANALISTA CENTRAL DE PRESUPUESTO I</v>
          </cell>
        </row>
        <row r="86">
          <cell r="A86" t="str">
            <v>ANALISTA CENTRAL DE PRESUPUESTO II</v>
          </cell>
        </row>
        <row r="87">
          <cell r="A87" t="str">
            <v>ANALISTA CENTRAL DE PRESUPUESTO III</v>
          </cell>
        </row>
        <row r="88">
          <cell r="A88" t="str">
            <v>ANALISTA CENTRAL DE PRESUPUESTO IV</v>
          </cell>
        </row>
        <row r="89">
          <cell r="A89" t="str">
            <v>ANALISTA CENTRAL DE PRESUPUESTO JEFE</v>
          </cell>
        </row>
        <row r="90">
          <cell r="A90" t="str">
            <v>ANALISTA CENTRAL ORGAN. Y SISTEMAS I</v>
          </cell>
        </row>
        <row r="91">
          <cell r="A91" t="str">
            <v>ANALISTA CENTRAL ORGAN. Y SISTEMAS II</v>
          </cell>
        </row>
        <row r="92">
          <cell r="A92" t="str">
            <v>ANALISTA CENTRAL ORGAN. Y SISTEMAS III</v>
          </cell>
        </row>
        <row r="93">
          <cell r="A93" t="str">
            <v>ANALISTA CENTRAL ORGAN. Y SISTEMAS IV</v>
          </cell>
        </row>
        <row r="94">
          <cell r="A94" t="str">
            <v>ANALISTA CENTRAL ORGAN. Y SISTEMAS JEFE</v>
          </cell>
        </row>
        <row r="95">
          <cell r="A95" t="str">
            <v>ANALISTA CENTRAL ORGAN. Y SISTEMAS V</v>
          </cell>
        </row>
        <row r="96">
          <cell r="A96" t="str">
            <v>ANALISTA CENTRAL PERSONAL EN FORMACION</v>
          </cell>
        </row>
        <row r="97">
          <cell r="A97" t="str">
            <v>ANALISTA CENTRAL PRESUP EN FORMACION</v>
          </cell>
        </row>
        <row r="98">
          <cell r="A98" t="str">
            <v>ANALISTA DE ASUNTOS AUDIOVISUALES</v>
          </cell>
        </row>
        <row r="99">
          <cell r="A99" t="str">
            <v>ANALISTA DE COLOCACION Y SEGUIMIENTO</v>
          </cell>
        </row>
        <row r="100">
          <cell r="A100" t="str">
            <v>ANALISTA DE CONTROL FINANCIERO I</v>
          </cell>
        </row>
        <row r="101">
          <cell r="A101" t="str">
            <v>ANALISTA DE CONTROL FINANCIERO II</v>
          </cell>
        </row>
        <row r="102">
          <cell r="A102" t="str">
            <v>ANALISTA DE CONTROL FINANCIERO III</v>
          </cell>
        </row>
        <row r="103">
          <cell r="A103" t="str">
            <v>ANALISTA DE CONTROL FINANCIERO IV</v>
          </cell>
        </row>
        <row r="104">
          <cell r="A104" t="str">
            <v>ANALISTA DE CONTROL FINANCIERO JEFE</v>
          </cell>
        </row>
        <row r="105">
          <cell r="A105" t="str">
            <v>ANALISTA DE CONTROL FINANCIERO JEFE II</v>
          </cell>
        </row>
        <row r="106">
          <cell r="A106" t="str">
            <v>ANALISTA DE CONTROL FINANCIERO V</v>
          </cell>
        </row>
        <row r="107">
          <cell r="A107" t="str">
            <v>ANALISTA DE CREDITOS AGROPECUARIO III</v>
          </cell>
        </row>
        <row r="108">
          <cell r="A108" t="str">
            <v>ANALISTA DE CREDITOS AGROPECUARIOS I</v>
          </cell>
        </row>
        <row r="109">
          <cell r="A109" t="str">
            <v>ANALISTA DE CREDITOS AGROPECUARIOS II</v>
          </cell>
        </row>
        <row r="110">
          <cell r="A110" t="str">
            <v>ANALISTA DE CREDITOS AGROPECUARIOS JEFE</v>
          </cell>
        </row>
        <row r="111">
          <cell r="A111" t="str">
            <v>ANALISTA DE ORGANIZACION Y SISTEMAS I</v>
          </cell>
        </row>
        <row r="112">
          <cell r="A112" t="str">
            <v>ANALISTA DE ORGANIZACION Y SISTEMAS II</v>
          </cell>
        </row>
        <row r="113">
          <cell r="A113" t="str">
            <v>ANALISTA DE ORGANIZACION Y SISTEMAS III</v>
          </cell>
        </row>
        <row r="114">
          <cell r="A114" t="str">
            <v>ANALISTA DE ORGANIZACION Y SISTEMAS IV</v>
          </cell>
        </row>
        <row r="115">
          <cell r="A115" t="str">
            <v>ANALISTA DE ORGANIZACION Y SISTEMAS JEFE</v>
          </cell>
        </row>
        <row r="116">
          <cell r="A116" t="str">
            <v>ANALISTA DE PERSONAL I</v>
          </cell>
        </row>
        <row r="117">
          <cell r="A117" t="str">
            <v>ANALISTA DE PERSONAL II</v>
          </cell>
        </row>
        <row r="118">
          <cell r="A118" t="str">
            <v>ANALISTA DE PERSONAL III</v>
          </cell>
        </row>
        <row r="119">
          <cell r="A119" t="str">
            <v>ANALISTA DE PERSONAL IV</v>
          </cell>
        </row>
        <row r="120">
          <cell r="A120" t="str">
            <v>ANALISTA DE PERSONAL V</v>
          </cell>
        </row>
        <row r="121">
          <cell r="A121" t="str">
            <v>ANALISTA DE PERSONAL VI</v>
          </cell>
        </row>
        <row r="122">
          <cell r="A122" t="str">
            <v>ANALISTA DE PRESUPUESTO I</v>
          </cell>
        </row>
        <row r="123">
          <cell r="A123" t="str">
            <v>ANALISTA DE PRESUPUESTO II</v>
          </cell>
        </row>
        <row r="124">
          <cell r="A124" t="str">
            <v>ANALISTA DE PRESUPUESTO III</v>
          </cell>
        </row>
        <row r="125">
          <cell r="A125" t="str">
            <v>ANALISTA DE PRESUPUESTO IV</v>
          </cell>
        </row>
        <row r="126">
          <cell r="A126" t="str">
            <v>ANALISTA DE PRESUPUESTO JEFE</v>
          </cell>
        </row>
        <row r="127">
          <cell r="A127" t="str">
            <v>ANALISTA DE PROCESAMIENTO DE DATOS I</v>
          </cell>
        </row>
        <row r="128">
          <cell r="A128" t="str">
            <v>ANALISTA DE PROCESAMIENTO DE DATOS II</v>
          </cell>
        </row>
        <row r="129">
          <cell r="A129" t="str">
            <v>ANALISTA DE PROCESAMIENTO DE DATOS III</v>
          </cell>
        </row>
        <row r="130">
          <cell r="A130" t="str">
            <v>ANALISTA DE PROCESAMIENTO DE DATOS IV</v>
          </cell>
        </row>
        <row r="131">
          <cell r="A131" t="str">
            <v>ANALISTA DE PROCESAMIENTO DE DATOS V</v>
          </cell>
        </row>
        <row r="132">
          <cell r="A132" t="str">
            <v>ANALISTA DE PROYECTOS AGROPECUARIOS I</v>
          </cell>
        </row>
        <row r="133">
          <cell r="A133" t="str">
            <v>ANALISTA DE PROYECTOS AGROPECUARIOS II</v>
          </cell>
        </row>
        <row r="134">
          <cell r="A134" t="str">
            <v>ANALISTA DE PROYECTOS AGROPECUARIOS III</v>
          </cell>
        </row>
        <row r="135">
          <cell r="A135" t="str">
            <v>ANALISTA DE PROYECTOS INDUSTRIALES I</v>
          </cell>
        </row>
        <row r="136">
          <cell r="A136" t="str">
            <v>ANALISTA DE PROYECTOS INDUSTRIALES II</v>
          </cell>
        </row>
        <row r="137">
          <cell r="A137" t="str">
            <v>ANALISTA DE PROYECTOS INDUSTRIALES III</v>
          </cell>
        </row>
        <row r="138">
          <cell r="A138" t="str">
            <v>ANALISTA DE SEGURIDAD Y DEFENSA I</v>
          </cell>
        </row>
        <row r="139">
          <cell r="A139" t="str">
            <v>ANALISTA DE SEGURIDAD Y DEFENSA III</v>
          </cell>
        </row>
        <row r="140">
          <cell r="A140" t="str">
            <v>ANALISTA DE SEGURIDAD Y DEFENSA IV</v>
          </cell>
        </row>
        <row r="141">
          <cell r="A141" t="str">
            <v>ANALISTA DE SEGURIDAD Y DEFENSA JEFE</v>
          </cell>
        </row>
        <row r="142">
          <cell r="A142" t="str">
            <v>ANALISTA DE SEGURIDAD Y DENFENSA II</v>
          </cell>
        </row>
        <row r="143">
          <cell r="A143" t="str">
            <v>ANALISTA DE SUPERV. DE CREDITOS AGRO II</v>
          </cell>
        </row>
        <row r="144">
          <cell r="A144" t="str">
            <v>ANALISTA DE SUPERV. DE CREDITOS AGRO III</v>
          </cell>
        </row>
        <row r="145">
          <cell r="A145" t="str">
            <v>ANALISTA DE SUPERV. DE CREDITOS AGRO. I</v>
          </cell>
        </row>
        <row r="146">
          <cell r="A146" t="str">
            <v>ANALISTA FINANCIERO I</v>
          </cell>
        </row>
        <row r="147">
          <cell r="A147" t="str">
            <v>ANALISTA FINANCIERO II</v>
          </cell>
        </row>
        <row r="148">
          <cell r="A148" t="str">
            <v>ANALISTA FINANCIERO III</v>
          </cell>
        </row>
        <row r="149">
          <cell r="A149" t="str">
            <v>ANALISTA FINANCIERO IV</v>
          </cell>
        </row>
        <row r="150">
          <cell r="A150" t="str">
            <v>ANALISTA FINANCIERO JEFE</v>
          </cell>
        </row>
        <row r="151">
          <cell r="A151" t="str">
            <v>ANALISTA FINANCIERO V</v>
          </cell>
        </row>
        <row r="152">
          <cell r="A152" t="str">
            <v>ANALISTA OCUPACIONAL  JEFE</v>
          </cell>
        </row>
        <row r="153">
          <cell r="A153" t="str">
            <v>ANALISTA OCUPACIONAL I</v>
          </cell>
        </row>
        <row r="154">
          <cell r="A154" t="str">
            <v>ANALISTA OCUPACIONAL II</v>
          </cell>
        </row>
        <row r="155">
          <cell r="A155" t="str">
            <v>ANTROPOLOGO I</v>
          </cell>
        </row>
        <row r="156">
          <cell r="A156" t="str">
            <v>ANTROPOLOGO II</v>
          </cell>
        </row>
        <row r="157">
          <cell r="A157" t="str">
            <v>ANTROPOLOGO III</v>
          </cell>
        </row>
        <row r="158">
          <cell r="A158" t="str">
            <v>ARCHIVISTA I</v>
          </cell>
        </row>
        <row r="159">
          <cell r="A159" t="str">
            <v>ARCHIVISTA II</v>
          </cell>
        </row>
        <row r="160">
          <cell r="A160" t="str">
            <v>ARCHIVISTA III</v>
          </cell>
        </row>
        <row r="161">
          <cell r="A161" t="str">
            <v>ARCHIVOLOGO I</v>
          </cell>
        </row>
        <row r="162">
          <cell r="A162" t="str">
            <v>ARCHIVOLOGO II</v>
          </cell>
        </row>
        <row r="163">
          <cell r="A163" t="str">
            <v>ARCHIVOLOGO III</v>
          </cell>
        </row>
        <row r="164">
          <cell r="A164" t="str">
            <v>ARCHIVOLOGO IV</v>
          </cell>
        </row>
        <row r="165">
          <cell r="A165" t="str">
            <v>ARMONICA</v>
          </cell>
        </row>
        <row r="166">
          <cell r="A166" t="str">
            <v>ARQUITECTO I</v>
          </cell>
        </row>
        <row r="167">
          <cell r="A167" t="str">
            <v>ARQUITECTO II</v>
          </cell>
        </row>
        <row r="168">
          <cell r="A168" t="str">
            <v>ARQUITECTO III</v>
          </cell>
        </row>
        <row r="169">
          <cell r="A169" t="str">
            <v>ARQUITECTO JEFE I</v>
          </cell>
        </row>
        <row r="170">
          <cell r="A170" t="str">
            <v>ARQUITECTO JEFE II</v>
          </cell>
        </row>
        <row r="171">
          <cell r="A171" t="str">
            <v>ARQUITECTO PAISAJISTA I</v>
          </cell>
        </row>
        <row r="172">
          <cell r="A172" t="str">
            <v>ARQUITECTO PAISAJISTA II</v>
          </cell>
        </row>
        <row r="173">
          <cell r="A173" t="str">
            <v>ARQUITECTO PAISAJISTA III</v>
          </cell>
        </row>
        <row r="174">
          <cell r="A174" t="str">
            <v>ARQUITECTO PAISAJISTA JEFE I</v>
          </cell>
        </row>
        <row r="175">
          <cell r="A175" t="str">
            <v>ARQUITECTO PAISAJISTA JEFE II</v>
          </cell>
        </row>
        <row r="176">
          <cell r="A176" t="str">
            <v>ASIS. COORD. RED. B. IV 139</v>
          </cell>
        </row>
        <row r="177">
          <cell r="A177" t="str">
            <v>ASIST. BIBLIOTECA III</v>
          </cell>
        </row>
        <row r="178">
          <cell r="A178" t="str">
            <v>ASIST. BIBLIOTECA TCVN</v>
          </cell>
        </row>
        <row r="179">
          <cell r="A179" t="str">
            <v>ASIST. DE TALLER II</v>
          </cell>
        </row>
        <row r="180">
          <cell r="A180" t="str">
            <v>ASIST. DE TALLER III N.G.</v>
          </cell>
        </row>
        <row r="181">
          <cell r="A181" t="str">
            <v>ASIST.COORD.RED.B. IV 77</v>
          </cell>
        </row>
        <row r="182">
          <cell r="A182" t="str">
            <v>ASISTENTE  PABELLON DE FERIAS</v>
          </cell>
        </row>
        <row r="183">
          <cell r="A183" t="str">
            <v>ASISTENTE A LA SECRETARIA PRIVADA</v>
          </cell>
        </row>
        <row r="184">
          <cell r="A184" t="str">
            <v>ASISTENTE ADMINISTRATIVO I</v>
          </cell>
        </row>
        <row r="185">
          <cell r="A185" t="str">
            <v>ASISTENTE ADMINISTRATIVO II</v>
          </cell>
        </row>
        <row r="186">
          <cell r="A186" t="str">
            <v>ASISTENTE ADMINISTRATIVO III</v>
          </cell>
        </row>
        <row r="187">
          <cell r="A187" t="str">
            <v>ASISTENTE ADMINISTRATIVO IV</v>
          </cell>
        </row>
        <row r="188">
          <cell r="A188" t="str">
            <v>ASISTENTE ADMINISTRATIVO V</v>
          </cell>
        </row>
        <row r="189">
          <cell r="A189" t="str">
            <v>ASISTENTE ADMINISTRATIVO VI</v>
          </cell>
        </row>
        <row r="190">
          <cell r="A190" t="str">
            <v>ASISTENTE AEROPUERTO I</v>
          </cell>
        </row>
        <row r="191">
          <cell r="A191" t="str">
            <v>ASISTENTE AEROPUERTO II</v>
          </cell>
        </row>
        <row r="192">
          <cell r="A192" t="str">
            <v>ASISTENTE AEROPUERTO III</v>
          </cell>
        </row>
        <row r="193">
          <cell r="A193" t="str">
            <v>ASISTENTE AGROPECUARIO I</v>
          </cell>
        </row>
        <row r="194">
          <cell r="A194" t="str">
            <v>ASISTENTE AGROPECUARIO II</v>
          </cell>
        </row>
        <row r="195">
          <cell r="A195" t="str">
            <v>ASISTENTE AL COORDINADOR</v>
          </cell>
        </row>
        <row r="196">
          <cell r="A196" t="str">
            <v>ASISTENTE AL DIRECTOR</v>
          </cell>
        </row>
        <row r="197">
          <cell r="A197" t="str">
            <v>ASISTENTE AL JEFE CAPITANIA DE PUERTOS</v>
          </cell>
        </row>
        <row r="198">
          <cell r="A198" t="str">
            <v>ASISTENTE AL PRESIDENTE</v>
          </cell>
        </row>
        <row r="199">
          <cell r="A199" t="str">
            <v>ASISTENTE AL SECRETARIO</v>
          </cell>
        </row>
        <row r="200">
          <cell r="A200" t="str">
            <v>ASISTENTE ANALISTA FINANCIERO I</v>
          </cell>
        </row>
        <row r="201">
          <cell r="A201" t="str">
            <v>ASISTENTE ANALISTA FINANCIERO II</v>
          </cell>
        </row>
        <row r="202">
          <cell r="A202" t="str">
            <v>ASISTENTE ASUNTOS LITERARIOS</v>
          </cell>
        </row>
        <row r="203">
          <cell r="A203" t="str">
            <v>ASISTENTE AUXILIAR DE HIDROMETERIOLOGIA</v>
          </cell>
        </row>
        <row r="204">
          <cell r="A204" t="str">
            <v>ASISTENTE AUXILIAR DE SERVICIO SOCIAL</v>
          </cell>
        </row>
        <row r="205">
          <cell r="A205" t="str">
            <v>ASISTENTE CENTRAL DE ORGAN. Y SISTEMAS</v>
          </cell>
        </row>
        <row r="206">
          <cell r="A206" t="str">
            <v>ASISTENTE DE ANALISTA I</v>
          </cell>
        </row>
        <row r="207">
          <cell r="A207" t="str">
            <v>ASISTENTE DE ANALISTA II</v>
          </cell>
        </row>
        <row r="208">
          <cell r="A208" t="str">
            <v>ASISTENTE DE ANALISTA III</v>
          </cell>
        </row>
        <row r="209">
          <cell r="A209" t="str">
            <v>ASISTENTE DE ASUNTOS CINEMATOGRAFICOS</v>
          </cell>
        </row>
        <row r="210">
          <cell r="A210" t="str">
            <v>ASISTENTE DE ASUNTOS LEGALES I</v>
          </cell>
        </row>
        <row r="211">
          <cell r="A211" t="str">
            <v>ASISTENTE DE ASUNTOS LEGALES II</v>
          </cell>
        </row>
        <row r="212">
          <cell r="A212" t="str">
            <v>ASISTENTE DE BIBLIOTECA I</v>
          </cell>
        </row>
        <row r="213">
          <cell r="A213" t="str">
            <v>ASISTENTE DE BIBLIOTECA II</v>
          </cell>
        </row>
        <row r="214">
          <cell r="A214" t="str">
            <v>ASISTENTE DE BIBLIOTECA III</v>
          </cell>
        </row>
        <row r="215">
          <cell r="A215" t="str">
            <v>ASISTENTE DE BIOLOGIA I</v>
          </cell>
        </row>
        <row r="216">
          <cell r="A216" t="str">
            <v>ASISTENTE DE BIOLOGIA II</v>
          </cell>
        </row>
        <row r="217">
          <cell r="A217" t="str">
            <v>ASISTENTE DE CAPITAN DE PUERTO I</v>
          </cell>
        </row>
        <row r="218">
          <cell r="A218" t="str">
            <v>ASISTENTE DE CAPITAN DE PUERTO II</v>
          </cell>
        </row>
        <row r="219">
          <cell r="A219" t="str">
            <v>ASISTENTE DE COMUNICACION SOCIAL I</v>
          </cell>
        </row>
        <row r="220">
          <cell r="A220" t="str">
            <v>ASISTENTE DE COMUNICACION SOCIAL II</v>
          </cell>
        </row>
        <row r="221">
          <cell r="A221" t="str">
            <v>ASISTENTE DE CONTROL FINANCIERO</v>
          </cell>
        </row>
        <row r="222">
          <cell r="A222" t="str">
            <v>ASISTENTE DE DIETETICA</v>
          </cell>
        </row>
        <row r="223">
          <cell r="A223" t="str">
            <v>ASISTENTE DE ECONOMIA I</v>
          </cell>
        </row>
        <row r="224">
          <cell r="A224" t="str">
            <v>ASISTENTE DE ECONOMIA II</v>
          </cell>
        </row>
        <row r="225">
          <cell r="A225" t="str">
            <v>ASISTENTE DE ESCENOGRAFIA</v>
          </cell>
        </row>
        <row r="226">
          <cell r="A226" t="str">
            <v>ASISTENTE DE ESTADISTICA I</v>
          </cell>
        </row>
        <row r="227">
          <cell r="A227" t="str">
            <v>ASISTENTE DE ESTADISTICA II</v>
          </cell>
        </row>
        <row r="228">
          <cell r="A228" t="str">
            <v>ASISTENTE DE ESTADISTICA III</v>
          </cell>
        </row>
        <row r="229">
          <cell r="A229" t="str">
            <v>ASISTENTE DE ESTIMADOR DE ASTILLEROS I</v>
          </cell>
        </row>
        <row r="230">
          <cell r="A230" t="str">
            <v>ASISTENTE DE ESTIMADOR DE ASTILLEROS II</v>
          </cell>
        </row>
        <row r="231">
          <cell r="A231" t="str">
            <v>ASISTENTE DE FARMACIA I</v>
          </cell>
        </row>
        <row r="232">
          <cell r="A232" t="str">
            <v>ASISTENTE DE FARMACIA II</v>
          </cell>
        </row>
        <row r="233">
          <cell r="A233" t="str">
            <v>ASISTENTE DE GUARDAFAUNA I</v>
          </cell>
        </row>
        <row r="234">
          <cell r="A234" t="str">
            <v>ASISTENTE DE GUARDAFAUNA II</v>
          </cell>
        </row>
        <row r="235">
          <cell r="A235" t="str">
            <v>ASISTENTE DE HIDROMETEREOLOGIA I</v>
          </cell>
        </row>
        <row r="236">
          <cell r="A236" t="str">
            <v>ASISTENTE DE HIDROMETERIOLOGIA II</v>
          </cell>
        </row>
        <row r="237">
          <cell r="A237" t="str">
            <v>ASISTENTE DE HIDROMETERIOLOGIA III</v>
          </cell>
        </row>
        <row r="238">
          <cell r="A238" t="str">
            <v>ASISTENTE DE IDENTIFICACION</v>
          </cell>
        </row>
        <row r="239">
          <cell r="A239" t="str">
            <v>ASISTENTE DE INGENIERIA</v>
          </cell>
        </row>
        <row r="240">
          <cell r="A240" t="str">
            <v>ASISTENTE DE INMIGRACION Y EXTRANJERIA</v>
          </cell>
        </row>
        <row r="241">
          <cell r="A241" t="str">
            <v>ASISTENTE DE INVESTIGADOR DE MUSEO</v>
          </cell>
        </row>
        <row r="242">
          <cell r="A242" t="str">
            <v>ASISTENTE DE LABORATORIO CLINICO I</v>
          </cell>
        </row>
        <row r="243">
          <cell r="A243" t="str">
            <v>ASISTENTE DE LABORATORIO CLINICO II</v>
          </cell>
        </row>
        <row r="244">
          <cell r="A244" t="str">
            <v>ASISTENTE DE MUSEOGRAFIA</v>
          </cell>
        </row>
        <row r="245">
          <cell r="A245" t="str">
            <v>ASISTENTE DE OFICINA I</v>
          </cell>
        </row>
        <row r="246">
          <cell r="A246" t="str">
            <v>ASISTENTE DE OFICINA II</v>
          </cell>
        </row>
        <row r="247">
          <cell r="A247" t="str">
            <v>ASISTENTE DE ORTESIS Y/O PROTESIS</v>
          </cell>
        </row>
        <row r="248">
          <cell r="A248" t="str">
            <v>ASISTENTE DE PRE-ESCOLAR</v>
          </cell>
        </row>
        <row r="249">
          <cell r="A249" t="str">
            <v>ASISTENTE DE PRIMEROS AUXILIOS I</v>
          </cell>
        </row>
        <row r="250">
          <cell r="A250" t="str">
            <v>ASISTENTE DE PRIMEROS AUXILIOS II</v>
          </cell>
        </row>
        <row r="251">
          <cell r="A251" t="str">
            <v>ASISTENTE DE PRODUCCION</v>
          </cell>
        </row>
        <row r="252">
          <cell r="A252" t="str">
            <v>ASISTENTE DE PROGRAMACION</v>
          </cell>
        </row>
        <row r="253">
          <cell r="A253" t="str">
            <v>ASISTENTE DE PROMOTOR CULTURA</v>
          </cell>
        </row>
        <row r="254">
          <cell r="A254" t="str">
            <v>ASISTENTE DE PROMOTOR DE EXPORTACIONES</v>
          </cell>
        </row>
        <row r="255">
          <cell r="A255" t="str">
            <v>ASISTENTE DE PROTOCOLO</v>
          </cell>
        </row>
        <row r="256">
          <cell r="A256" t="str">
            <v>ASISTENTE DE PSICOLOGIA I</v>
          </cell>
        </row>
        <row r="257">
          <cell r="A257" t="str">
            <v>ASISTENTE DE PSICOLOGIA II</v>
          </cell>
        </row>
        <row r="258">
          <cell r="A258" t="str">
            <v>ASISTENTE DE PUERICULTURA</v>
          </cell>
        </row>
        <row r="259">
          <cell r="A259" t="str">
            <v>ASISTENTE DE RAYOS X</v>
          </cell>
        </row>
        <row r="260">
          <cell r="A260" t="str">
            <v>ASISTENTE DE RELACIONES PUBLICAS</v>
          </cell>
        </row>
        <row r="261">
          <cell r="A261" t="str">
            <v>ASISTENTE DE RESTAURACION</v>
          </cell>
        </row>
        <row r="262">
          <cell r="A262" t="str">
            <v>ASISTENTE DE SALUD PUBLICA</v>
          </cell>
        </row>
        <row r="263">
          <cell r="A263" t="str">
            <v>ASISTENTE DE SERVICIO SOCIAL</v>
          </cell>
        </row>
        <row r="264">
          <cell r="A264" t="str">
            <v>ASISTENTE DE TALLER N.G.</v>
          </cell>
        </row>
        <row r="265">
          <cell r="A265" t="str">
            <v>ASISTENTE DE TEATRO  IV 139</v>
          </cell>
        </row>
        <row r="266">
          <cell r="A266" t="str">
            <v>ASISTENTE DE TERAPIA</v>
          </cell>
        </row>
        <row r="267">
          <cell r="A267" t="str">
            <v>ASISTENTE DE TOPOGRAFO</v>
          </cell>
        </row>
        <row r="268">
          <cell r="A268" t="str">
            <v>ASISTENTE DE VETERINARIA</v>
          </cell>
        </row>
        <row r="269">
          <cell r="A269" t="str">
            <v>ASISTENTE ESPECIALISTA EN INFORMACION I</v>
          </cell>
        </row>
        <row r="270">
          <cell r="A270" t="str">
            <v>ASISTENTE ESPECIALISTA EN INFORMACION II</v>
          </cell>
        </row>
        <row r="271">
          <cell r="A271" t="str">
            <v>ASISTENTE HABILITADO I</v>
          </cell>
        </row>
        <row r="272">
          <cell r="A272" t="str">
            <v>ASISTENTE HABILITADO II</v>
          </cell>
        </row>
        <row r="273">
          <cell r="A273" t="str">
            <v>ASISTENTE MATEMATICA III</v>
          </cell>
        </row>
        <row r="274">
          <cell r="A274" t="str">
            <v>ASISTENTE MATEMATICAS I</v>
          </cell>
        </row>
        <row r="275">
          <cell r="A275" t="str">
            <v>ASISTENTE MATEMATICAS II</v>
          </cell>
        </row>
        <row r="276">
          <cell r="A276" t="str">
            <v>ASISTENTE TECNICO DE GUARDAFAUNA</v>
          </cell>
        </row>
        <row r="277">
          <cell r="A277" t="str">
            <v>ASISTENTE TECNICO DE INGENIERIA I</v>
          </cell>
        </row>
        <row r="278">
          <cell r="A278" t="str">
            <v>ASISTENTE TECNICO DE INGENIERIA II</v>
          </cell>
        </row>
        <row r="279">
          <cell r="A279" t="str">
            <v>ASISTENTE TECNICO DE INGENIERIA III</v>
          </cell>
        </row>
        <row r="280">
          <cell r="A280" t="str">
            <v>ASISTENTE TECNICO EN REPARACION Y MANTE.</v>
          </cell>
        </row>
        <row r="281">
          <cell r="A281" t="str">
            <v>ASTRONOMO</v>
          </cell>
        </row>
        <row r="282">
          <cell r="A282" t="str">
            <v>AUDITOR I</v>
          </cell>
        </row>
        <row r="283">
          <cell r="A283" t="str">
            <v>AUDITOR II</v>
          </cell>
        </row>
        <row r="284">
          <cell r="A284" t="str">
            <v>AUDITOR III</v>
          </cell>
        </row>
        <row r="285">
          <cell r="A285" t="str">
            <v>AUDITOR IV</v>
          </cell>
        </row>
        <row r="286">
          <cell r="A286" t="str">
            <v>AUDITOR JEFE</v>
          </cell>
        </row>
        <row r="287">
          <cell r="A287" t="str">
            <v>AUTOGRAFISTA</v>
          </cell>
        </row>
        <row r="288">
          <cell r="A288" t="str">
            <v>AUX. BIBLIOTECA PUB. I   77</v>
          </cell>
        </row>
        <row r="289">
          <cell r="A289" t="str">
            <v>AUX. BIBLIOTECA PUB. I  139</v>
          </cell>
        </row>
        <row r="290">
          <cell r="A290" t="str">
            <v>AUX. BIBLIOTECA PUB. II  77</v>
          </cell>
        </row>
        <row r="291">
          <cell r="A291" t="str">
            <v>AUX. BIBLIOTECA PUB. II 139</v>
          </cell>
        </row>
        <row r="292">
          <cell r="A292" t="str">
            <v>AUX. BIBLIOTECA PUB. III 77</v>
          </cell>
        </row>
        <row r="293">
          <cell r="A293" t="str">
            <v>AUX. BIBLIOTECA PUB. IV  77</v>
          </cell>
        </row>
        <row r="294">
          <cell r="A294" t="str">
            <v>AUX. BIBLIOTECA PUB. IV 139</v>
          </cell>
        </row>
        <row r="295">
          <cell r="A295" t="str">
            <v>AUX. BIBLIOTECA PUB. N.G.</v>
          </cell>
        </row>
        <row r="296">
          <cell r="A296" t="str">
            <v>AUX. BIBLIOTECA PUB. V   77</v>
          </cell>
        </row>
        <row r="297">
          <cell r="A297" t="str">
            <v>AUX. BIBLIOTECA PUB. V  139</v>
          </cell>
        </row>
        <row r="298">
          <cell r="A298" t="str">
            <v>AUX. BIBLIOTECA PUB. VI  77</v>
          </cell>
        </row>
        <row r="299">
          <cell r="A299" t="str">
            <v>AUX. BIBLIOTECA PUB. VI 139</v>
          </cell>
        </row>
        <row r="300">
          <cell r="A300" t="str">
            <v>AUX. BIBLIOTECA PUB.III 139</v>
          </cell>
        </row>
        <row r="301">
          <cell r="A301" t="str">
            <v>AUX. BIBLIOTECA TCVN</v>
          </cell>
        </row>
        <row r="302">
          <cell r="A302" t="str">
            <v>AUXILIAR DE BIBLIOTECA N.G.</v>
          </cell>
        </row>
        <row r="303">
          <cell r="A303" t="str">
            <v>AUXILIAR DE BIBLIOTECA TID</v>
          </cell>
        </row>
        <row r="304">
          <cell r="A304" t="str">
            <v>AUXILIAR DE OFICINA I</v>
          </cell>
        </row>
        <row r="305">
          <cell r="A305" t="str">
            <v>AUXILIAR DE PRE-ESCOLAR</v>
          </cell>
        </row>
        <row r="306">
          <cell r="A306" t="str">
            <v>AUXILIAR DE TERAPIA</v>
          </cell>
        </row>
        <row r="307">
          <cell r="A307" t="str">
            <v>AUXILIAR DE TERAPIA N.G.</v>
          </cell>
        </row>
        <row r="308">
          <cell r="A308" t="str">
            <v>AUXILIAR DE TERAPIA NG</v>
          </cell>
        </row>
        <row r="309">
          <cell r="A309" t="str">
            <v>AVALUADOR DE INMUEBLES I</v>
          </cell>
        </row>
        <row r="310">
          <cell r="A310" t="str">
            <v>AVALUADOR DE INMUEBLES II</v>
          </cell>
        </row>
        <row r="311">
          <cell r="A311" t="str">
            <v>AVALUADOR DE INMUEBLES III</v>
          </cell>
        </row>
        <row r="312">
          <cell r="A312" t="str">
            <v>AVALUADOR DE INMUEBLES JEFE</v>
          </cell>
        </row>
        <row r="313">
          <cell r="A313" t="str">
            <v>BIBLIOTECARIA</v>
          </cell>
        </row>
        <row r="314">
          <cell r="A314" t="str">
            <v>BIBLIOTECOLOGO I</v>
          </cell>
        </row>
        <row r="315">
          <cell r="A315" t="str">
            <v>BIBLIOTECOLOGO II</v>
          </cell>
        </row>
        <row r="316">
          <cell r="A316" t="str">
            <v>BIBLIOTECOLOGO III</v>
          </cell>
        </row>
        <row r="317">
          <cell r="A317" t="str">
            <v>BIBLIOTECOLOGO IV</v>
          </cell>
        </row>
        <row r="318">
          <cell r="A318" t="str">
            <v>BIOANALISTA I</v>
          </cell>
        </row>
        <row r="319">
          <cell r="A319" t="str">
            <v>BIOANALISTA II</v>
          </cell>
        </row>
        <row r="320">
          <cell r="A320" t="str">
            <v>BIOANALISTA III</v>
          </cell>
        </row>
        <row r="321">
          <cell r="A321" t="str">
            <v>BIOANALISTA IV</v>
          </cell>
        </row>
        <row r="322">
          <cell r="A322" t="str">
            <v>BIOANALISTA V</v>
          </cell>
        </row>
        <row r="323">
          <cell r="A323" t="str">
            <v>BIOANALISTA VI</v>
          </cell>
        </row>
        <row r="324">
          <cell r="A324" t="str">
            <v>BIOLOGO I</v>
          </cell>
        </row>
        <row r="325">
          <cell r="A325" t="str">
            <v>BIOLOGO II</v>
          </cell>
        </row>
        <row r="326">
          <cell r="A326" t="str">
            <v>BIOLOGO III</v>
          </cell>
        </row>
        <row r="327">
          <cell r="A327" t="str">
            <v>BIOLOGO JEFE</v>
          </cell>
        </row>
        <row r="328">
          <cell r="A328" t="str">
            <v>BOMBARDINO SOLISTA</v>
          </cell>
        </row>
        <row r="329">
          <cell r="A329" t="str">
            <v>BOMBERO (BOMBERO)</v>
          </cell>
        </row>
        <row r="330">
          <cell r="A330" t="str">
            <v>BOMBERO I</v>
          </cell>
        </row>
        <row r="331">
          <cell r="A331" t="str">
            <v>BOMBERO II</v>
          </cell>
        </row>
        <row r="332">
          <cell r="A332" t="str">
            <v>BOMBERO III</v>
          </cell>
        </row>
        <row r="333">
          <cell r="A333" t="str">
            <v>BOMBERO IV</v>
          </cell>
        </row>
        <row r="334">
          <cell r="A334" t="str">
            <v>BOMBERO JEFE I</v>
          </cell>
        </row>
        <row r="335">
          <cell r="A335" t="str">
            <v>BOMBERO JEFE II</v>
          </cell>
        </row>
        <row r="336">
          <cell r="A336" t="str">
            <v>BOMBO 3</v>
          </cell>
        </row>
        <row r="337">
          <cell r="A337" t="str">
            <v>BOTANICO I</v>
          </cell>
        </row>
        <row r="338">
          <cell r="A338" t="str">
            <v>BOTANICO II</v>
          </cell>
        </row>
        <row r="339">
          <cell r="A339" t="str">
            <v>BOTANICO III</v>
          </cell>
        </row>
        <row r="340">
          <cell r="A340" t="str">
            <v>BOTANICO JEFE</v>
          </cell>
        </row>
        <row r="341">
          <cell r="A341" t="str">
            <v>CABO 1RO</v>
          </cell>
        </row>
        <row r="342">
          <cell r="A342" t="str">
            <v>CABO 1RO (BOMBERO)</v>
          </cell>
        </row>
        <row r="343">
          <cell r="A343" t="str">
            <v>CABO 2DO</v>
          </cell>
        </row>
        <row r="344">
          <cell r="A344" t="str">
            <v>CABO 2DO (BOMBERO)</v>
          </cell>
        </row>
        <row r="345">
          <cell r="A345" t="str">
            <v>CAJERO I</v>
          </cell>
        </row>
        <row r="346">
          <cell r="A346" t="str">
            <v>CAJERO II</v>
          </cell>
        </row>
        <row r="347">
          <cell r="A347" t="str">
            <v>CAJERO III</v>
          </cell>
        </row>
        <row r="348">
          <cell r="A348" t="str">
            <v>CAJERO JEFE</v>
          </cell>
        </row>
        <row r="349">
          <cell r="A349" t="str">
            <v>CALCULISTA DE HIDROCARBUROS I</v>
          </cell>
        </row>
        <row r="350">
          <cell r="A350" t="str">
            <v>CALCULISTA DE HIDROCARBUROS II</v>
          </cell>
        </row>
        <row r="351">
          <cell r="A351" t="str">
            <v>CALCULISTA DE HIDROCARBUROS III</v>
          </cell>
        </row>
        <row r="352">
          <cell r="A352" t="str">
            <v>CALIGRAFO</v>
          </cell>
        </row>
        <row r="353">
          <cell r="A353" t="str">
            <v>CAPELLAN I</v>
          </cell>
        </row>
        <row r="354">
          <cell r="A354" t="str">
            <v>CAPELLAN II</v>
          </cell>
        </row>
        <row r="355">
          <cell r="A355" t="str">
            <v>CAPITAN (BOMBERO)</v>
          </cell>
        </row>
        <row r="356">
          <cell r="A356" t="str">
            <v>CAPITAN DE HELICOPTERO</v>
          </cell>
        </row>
        <row r="357">
          <cell r="A357" t="str">
            <v>CAPITAN DE JET</v>
          </cell>
        </row>
        <row r="358">
          <cell r="A358" t="str">
            <v>CAPITAN DE PISTON</v>
          </cell>
        </row>
        <row r="359">
          <cell r="A359" t="str">
            <v>CAPITAN DE PUERTOS I</v>
          </cell>
        </row>
        <row r="360">
          <cell r="A360" t="str">
            <v>CAPITAN DE PUERTOS II</v>
          </cell>
        </row>
        <row r="361">
          <cell r="A361" t="str">
            <v>CAPITAN DE REMOLCADOR</v>
          </cell>
        </row>
        <row r="362">
          <cell r="A362" t="str">
            <v>CAPITAN DE TRANSPORTE NAVAL</v>
          </cell>
        </row>
        <row r="363">
          <cell r="A363" t="str">
            <v>CAPITAN I</v>
          </cell>
        </row>
        <row r="364">
          <cell r="A364" t="str">
            <v>CAPITAN II</v>
          </cell>
        </row>
        <row r="365">
          <cell r="A365" t="str">
            <v>CAPITAN III</v>
          </cell>
        </row>
        <row r="366">
          <cell r="A366" t="str">
            <v>CENSOR RADIO Y TV</v>
          </cell>
        </row>
        <row r="367">
          <cell r="A367" t="str">
            <v>CITOTECNOLOG III</v>
          </cell>
        </row>
        <row r="368">
          <cell r="A368" t="str">
            <v>CITOTECNOLOGO I</v>
          </cell>
        </row>
        <row r="369">
          <cell r="A369" t="str">
            <v>CITOTECNOLOGO II</v>
          </cell>
        </row>
        <row r="370">
          <cell r="A370" t="str">
            <v>CLARINETE 1</v>
          </cell>
        </row>
        <row r="371">
          <cell r="A371" t="str">
            <v>CLARINETE 2</v>
          </cell>
        </row>
        <row r="372">
          <cell r="A372" t="str">
            <v>CLARINETE 3</v>
          </cell>
        </row>
        <row r="373">
          <cell r="A373" t="str">
            <v>CLARINETE I</v>
          </cell>
        </row>
        <row r="374">
          <cell r="A374" t="str">
            <v>CLARINETE II</v>
          </cell>
        </row>
        <row r="375">
          <cell r="A375" t="str">
            <v>CLARINETE SOLISTA</v>
          </cell>
        </row>
        <row r="376">
          <cell r="A376" t="str">
            <v>COBRADOR JEFE I</v>
          </cell>
        </row>
        <row r="377">
          <cell r="A377" t="str">
            <v>COBRADOR JEFE II</v>
          </cell>
        </row>
        <row r="378">
          <cell r="A378" t="str">
            <v>COLECTOR</v>
          </cell>
        </row>
        <row r="379">
          <cell r="A379" t="str">
            <v>COMANDANTE</v>
          </cell>
        </row>
        <row r="380">
          <cell r="A380" t="str">
            <v>COMANDANTE DE HELICOPTERO</v>
          </cell>
        </row>
        <row r="381">
          <cell r="A381" t="str">
            <v>COMANDANTE DE JET</v>
          </cell>
        </row>
        <row r="382">
          <cell r="A382" t="str">
            <v>COMANDANTE DE TURBO</v>
          </cell>
        </row>
        <row r="383">
          <cell r="A383" t="str">
            <v>COMANDANTE GENERAL</v>
          </cell>
        </row>
        <row r="384">
          <cell r="A384" t="str">
            <v>COMISARIO</v>
          </cell>
        </row>
        <row r="385">
          <cell r="A385" t="str">
            <v>COMISARIO GENERAL</v>
          </cell>
        </row>
        <row r="386">
          <cell r="A386" t="str">
            <v>COMISARIO JEFE</v>
          </cell>
        </row>
        <row r="387">
          <cell r="A387" t="str">
            <v>COMISIONADO</v>
          </cell>
        </row>
        <row r="388">
          <cell r="A388" t="str">
            <v>COMISIONADO (GRADO 0)</v>
          </cell>
        </row>
        <row r="389">
          <cell r="A389" t="str">
            <v>COMISIONADO (GRADO 1)</v>
          </cell>
        </row>
        <row r="390">
          <cell r="A390" t="str">
            <v>COMISIONADO (GRADO 2)</v>
          </cell>
        </row>
        <row r="391">
          <cell r="A391" t="str">
            <v>COMISIONADO AGREGADO</v>
          </cell>
        </row>
        <row r="392">
          <cell r="A392" t="str">
            <v>COMISIONADO AGREGADO (GRADO 0)</v>
          </cell>
        </row>
        <row r="393">
          <cell r="A393" t="str">
            <v>COMISIONADO AGREGADO (GRADO 1)</v>
          </cell>
        </row>
        <row r="394">
          <cell r="A394" t="str">
            <v>COMISIONADO AGREGADO (GRADO 2)</v>
          </cell>
        </row>
        <row r="395">
          <cell r="A395" t="str">
            <v>COMISIONADO ASUNTOS INTERINSTITUCIONALES</v>
          </cell>
        </row>
        <row r="396">
          <cell r="A396" t="str">
            <v>COMISIONADO DEL TRABAJO</v>
          </cell>
        </row>
        <row r="397">
          <cell r="A397" t="str">
            <v>COMISIONADO ESPECIAL DE TRABAJO I</v>
          </cell>
        </row>
        <row r="398">
          <cell r="A398" t="str">
            <v>COMISIONADO ESPECIAL DE TRABAJO II</v>
          </cell>
        </row>
        <row r="399">
          <cell r="A399" t="str">
            <v>COMISIONADO JEFE</v>
          </cell>
        </row>
        <row r="400">
          <cell r="A400" t="str">
            <v>COMISIONADO JEFE (GRADO 0)</v>
          </cell>
        </row>
        <row r="401">
          <cell r="A401" t="str">
            <v>COMISIONADO JEFE (GRADO 1)</v>
          </cell>
        </row>
        <row r="402">
          <cell r="A402" t="str">
            <v>COMISIONADO JEFE (GRADO 2)</v>
          </cell>
        </row>
        <row r="403">
          <cell r="A403" t="str">
            <v>COMISIONADO JEFE (GRADO 3)</v>
          </cell>
        </row>
        <row r="404">
          <cell r="A404" t="str">
            <v>COMISIONADO.</v>
          </cell>
        </row>
        <row r="405">
          <cell r="A405" t="str">
            <v>COMPRADOR I</v>
          </cell>
        </row>
        <row r="406">
          <cell r="A406" t="str">
            <v>COMPRADOR II</v>
          </cell>
        </row>
        <row r="407">
          <cell r="A407" t="str">
            <v>COMPRADOR III</v>
          </cell>
        </row>
        <row r="408">
          <cell r="A408" t="str">
            <v>COMPRADOR JEFE I</v>
          </cell>
        </row>
        <row r="409">
          <cell r="A409" t="str">
            <v>COMPRADOR JEFE II</v>
          </cell>
        </row>
        <row r="410">
          <cell r="A410" t="str">
            <v>COMUNICADOR SOCIAL I</v>
          </cell>
        </row>
        <row r="411">
          <cell r="A411" t="str">
            <v>COMUNICADOR SOCIAL II</v>
          </cell>
        </row>
        <row r="412">
          <cell r="A412" t="str">
            <v>COMUNICADOR SOCIAL III</v>
          </cell>
        </row>
        <row r="413">
          <cell r="A413" t="str">
            <v>CONDUCTORES DE 1RA</v>
          </cell>
        </row>
        <row r="414">
          <cell r="A414" t="str">
            <v>CONDUCTORES DE 2DA</v>
          </cell>
        </row>
        <row r="415">
          <cell r="A415" t="str">
            <v>CONDUCTORES DE 3RA</v>
          </cell>
        </row>
        <row r="416">
          <cell r="A416" t="str">
            <v>CONSULTOR JURIDICO</v>
          </cell>
        </row>
        <row r="417">
          <cell r="A417" t="str">
            <v>CONTABILISTA I</v>
          </cell>
        </row>
        <row r="418">
          <cell r="A418" t="str">
            <v>CONTABILISTA II</v>
          </cell>
        </row>
        <row r="419">
          <cell r="A419" t="str">
            <v>CONTABILISTA III</v>
          </cell>
        </row>
        <row r="420">
          <cell r="A420" t="str">
            <v>CONTADOR I</v>
          </cell>
        </row>
        <row r="421">
          <cell r="A421" t="str">
            <v>CONTADOR II</v>
          </cell>
        </row>
        <row r="422">
          <cell r="A422" t="str">
            <v>CONTADOR III</v>
          </cell>
        </row>
        <row r="423">
          <cell r="A423" t="str">
            <v>CONTADOR IV</v>
          </cell>
        </row>
        <row r="424">
          <cell r="A424" t="str">
            <v>CONTADOR JEFE</v>
          </cell>
        </row>
        <row r="425">
          <cell r="A425" t="str">
            <v>CONTRABAJO</v>
          </cell>
        </row>
        <row r="426">
          <cell r="A426" t="str">
            <v>CONTRABAJO</v>
          </cell>
        </row>
        <row r="427">
          <cell r="A427" t="str">
            <v>CONTRABAJO 1</v>
          </cell>
        </row>
        <row r="428">
          <cell r="A428" t="str">
            <v>CONTRABAJO I/ INST. I N.G. (16 HORAS)</v>
          </cell>
        </row>
        <row r="429">
          <cell r="A429" t="str">
            <v>CONTRABAJO II</v>
          </cell>
        </row>
        <row r="430">
          <cell r="A430" t="str">
            <v>CONTRALOR INTERNO</v>
          </cell>
        </row>
        <row r="431">
          <cell r="A431" t="str">
            <v>CONTROLADOR DE ARMAS Y EXPLOSIVOS I</v>
          </cell>
        </row>
        <row r="432">
          <cell r="A432" t="str">
            <v>CONTROLADOR DE ARMAS Y EXPLOSIVOS II</v>
          </cell>
        </row>
        <row r="433">
          <cell r="A433" t="str">
            <v>CONTROLADOR DE ARMAS Y EXPLOSIVOS III</v>
          </cell>
        </row>
        <row r="434">
          <cell r="A434" t="str">
            <v>CONTROLADOR DE TRANSITO AEREO I</v>
          </cell>
        </row>
        <row r="435">
          <cell r="A435" t="str">
            <v>CONTROLADOR DE TRANSITO AEREO II</v>
          </cell>
        </row>
        <row r="436">
          <cell r="A436" t="str">
            <v>CONTROLADOR DE TRANSITO AEREO III</v>
          </cell>
        </row>
        <row r="437">
          <cell r="A437" t="str">
            <v>CONTROLADOR DE TRANSITO AEREO IV</v>
          </cell>
        </row>
        <row r="438">
          <cell r="A438" t="str">
            <v>CONTROLADOR DE TRANSITO AEREO JEFE I</v>
          </cell>
        </row>
        <row r="439">
          <cell r="A439" t="str">
            <v>CONTROLADOR DE TRANSITO AEREO JEFE II</v>
          </cell>
        </row>
        <row r="440">
          <cell r="A440" t="str">
            <v>CONTROLADOR DE TRANSITO AEREO JEFE III</v>
          </cell>
        </row>
        <row r="441">
          <cell r="A441" t="str">
            <v>CONTROLADOR DE TRANSITO AEREO V</v>
          </cell>
        </row>
        <row r="442">
          <cell r="A442" t="str">
            <v>CONTROLADOR DE TRANSITO AEREO VI</v>
          </cell>
        </row>
        <row r="443">
          <cell r="A443" t="str">
            <v>COORD DOC VI 77 TID (36 HORAS) Y DOCENTE BASICO VI (06 HORAS)</v>
          </cell>
        </row>
        <row r="444">
          <cell r="A444" t="str">
            <v>COORD.  I   77</v>
          </cell>
        </row>
        <row r="445">
          <cell r="A445" t="str">
            <v>COORD.  II  77</v>
          </cell>
        </row>
        <row r="446">
          <cell r="A446" t="str">
            <v>COORD.  III 77</v>
          </cell>
        </row>
        <row r="447">
          <cell r="A447" t="str">
            <v>COORD.  IV  77</v>
          </cell>
        </row>
        <row r="448">
          <cell r="A448" t="str">
            <v>COORD.  V   77</v>
          </cell>
        </row>
        <row r="449">
          <cell r="A449" t="str">
            <v>COORD.  VI  77</v>
          </cell>
        </row>
        <row r="450">
          <cell r="A450" t="str">
            <v>COORD. CONSERV. Y M.</v>
          </cell>
        </row>
        <row r="451">
          <cell r="A451" t="str">
            <v>COORD. DE DIFUSIONLITER. Y TEATRAL</v>
          </cell>
        </row>
        <row r="452">
          <cell r="A452" t="str">
            <v>COORD. DE SEGUIMIENTO Y EVAL. DE POLITICAS PUBLICAS</v>
          </cell>
        </row>
        <row r="453">
          <cell r="A453" t="str">
            <v>COORD. DEL COMITE ESTADAL DE LA VIVIENDA</v>
          </cell>
        </row>
        <row r="454">
          <cell r="A454" t="str">
            <v>COORD. DESARROLLO DE RECURSOS HUMANOS II</v>
          </cell>
        </row>
        <row r="455">
          <cell r="A455" t="str">
            <v>COORD. DOCENTE 77</v>
          </cell>
        </row>
        <row r="456">
          <cell r="A456" t="str">
            <v>COORD. DOCENTE I   77</v>
          </cell>
        </row>
        <row r="457">
          <cell r="A457" t="str">
            <v>COORD. DOCENTE II  77</v>
          </cell>
        </row>
        <row r="458">
          <cell r="A458" t="str">
            <v>COORD. DOCENTE III 77</v>
          </cell>
        </row>
        <row r="459">
          <cell r="A459" t="str">
            <v>COORD. DOCENTE IV  77</v>
          </cell>
        </row>
        <row r="460">
          <cell r="A460" t="str">
            <v>COORD. DOCENTE IV 77 TC (36 HORAS) Y DOCENTE IV 77 TCVNMA (16 HORAS)</v>
          </cell>
        </row>
        <row r="461">
          <cell r="A461" t="str">
            <v>COORD. DOCENTE V   77</v>
          </cell>
        </row>
        <row r="462">
          <cell r="A462" t="str">
            <v>COORD. DOCENTE VI  77</v>
          </cell>
        </row>
        <row r="463">
          <cell r="A463" t="str">
            <v>COORD. ENTES P Y P DE CULTURA Y DEPORTE</v>
          </cell>
        </row>
        <row r="464">
          <cell r="A464" t="str">
            <v>COORD. I   139</v>
          </cell>
        </row>
        <row r="465">
          <cell r="A465" t="str">
            <v>COORD. II  139</v>
          </cell>
        </row>
        <row r="466">
          <cell r="A466" t="str">
            <v>COORD. III 139</v>
          </cell>
        </row>
        <row r="467">
          <cell r="A467" t="str">
            <v>COORD. INV. Y FLOK.</v>
          </cell>
        </row>
        <row r="468">
          <cell r="A468" t="str">
            <v>COORD. IV  139</v>
          </cell>
        </row>
        <row r="469">
          <cell r="A469" t="str">
            <v>COORD. RED DE BIBLIOTECAS E INFORM. ESTA</v>
          </cell>
        </row>
        <row r="470">
          <cell r="A470" t="str">
            <v>COORD. REGISTRO NACIONAL PERMANENTE</v>
          </cell>
        </row>
        <row r="471">
          <cell r="A471" t="str">
            <v>COORD. V   139</v>
          </cell>
        </row>
        <row r="472">
          <cell r="A472" t="str">
            <v>COORD. VI  139</v>
          </cell>
        </row>
        <row r="473">
          <cell r="A473" t="str">
            <v>COORD.DIF.C.CUL.VI 139</v>
          </cell>
        </row>
        <row r="474">
          <cell r="A474" t="str">
            <v>COORD.DIF.Y PROM.DOC.BAS.16 TC.139</v>
          </cell>
        </row>
        <row r="475">
          <cell r="A475" t="str">
            <v>COORD.DOCENTE BAS.16TC. VI 77</v>
          </cell>
        </row>
        <row r="476">
          <cell r="A476" t="str">
            <v>COORD.DOCENTE N.G.</v>
          </cell>
        </row>
        <row r="477">
          <cell r="A477" t="str">
            <v>COORD.EDUC.RURAL</v>
          </cell>
        </row>
        <row r="478">
          <cell r="A478" t="str">
            <v>COORD.MANT. Y CONSERV.</v>
          </cell>
        </row>
        <row r="479">
          <cell r="A479" t="str">
            <v>COORDINADOR</v>
          </cell>
        </row>
        <row r="480">
          <cell r="A480" t="str">
            <v>COORDINADOR</v>
          </cell>
        </row>
        <row r="481">
          <cell r="A481" t="str">
            <v>COORDINADOR ADMINISTRATIVO</v>
          </cell>
        </row>
        <row r="482">
          <cell r="A482" t="str">
            <v>COORDINADOR DE  ASISTENCIA TECNICA</v>
          </cell>
        </row>
        <row r="483">
          <cell r="A483" t="str">
            <v>COORDINADOR DE  FORMACION CULTURAL</v>
          </cell>
        </row>
        <row r="484">
          <cell r="A484" t="str">
            <v>COORDINADOR DE ASUNTOS CINEMATOGRAFICOS I</v>
          </cell>
        </row>
        <row r="485">
          <cell r="A485" t="str">
            <v>COORDINADOR DE ASUNTOS CINEMATOGRAFICOS II</v>
          </cell>
        </row>
        <row r="486">
          <cell r="A486" t="str">
            <v>COORDINADOR DE ASUNTOS CINEMATOGRAFICOS III</v>
          </cell>
        </row>
        <row r="487">
          <cell r="A487" t="str">
            <v>COORDINADOR DE ASUNTOS INTERNACIONALES I</v>
          </cell>
        </row>
        <row r="488">
          <cell r="A488" t="str">
            <v>COORDINADOR DE ASUNTOS INTERNACIONALES II</v>
          </cell>
        </row>
        <row r="489">
          <cell r="A489" t="str">
            <v>COORDINADOR DE ASUNTOS INTERNACIONALES III</v>
          </cell>
        </row>
        <row r="490">
          <cell r="A490" t="str">
            <v>COORDINADOR DE ASUNTOS LABORALES I</v>
          </cell>
        </row>
        <row r="491">
          <cell r="A491" t="str">
            <v>COORDINADOR DE ASUNTOS LABORALES II</v>
          </cell>
        </row>
        <row r="492">
          <cell r="A492" t="str">
            <v>COORDINADOR DE ASUNTOS LITERARIOS</v>
          </cell>
        </row>
        <row r="493">
          <cell r="A493" t="str">
            <v>COORDINADOR DE AYUDA JUVENIL</v>
          </cell>
        </row>
        <row r="494">
          <cell r="A494" t="str">
            <v>COORDINADOR DE CENTRO I</v>
          </cell>
        </row>
        <row r="495">
          <cell r="A495" t="str">
            <v>COORDINADOR DE CENTRO II</v>
          </cell>
        </row>
        <row r="496">
          <cell r="A496" t="str">
            <v>COORDINADOR DE CIENCIAS POLITICAS</v>
          </cell>
        </row>
        <row r="497">
          <cell r="A497" t="str">
            <v>COORDINADOR DE DESARROLLO DE RECURSOS HUMANOS I</v>
          </cell>
        </row>
        <row r="498">
          <cell r="A498" t="str">
            <v>COORDINADOR DE ESCUELAS DE ENFERMERIA</v>
          </cell>
        </row>
        <row r="499">
          <cell r="A499" t="str">
            <v>COORDINADOR DE EVENTOS Y PROTOCOLO</v>
          </cell>
        </row>
        <row r="500">
          <cell r="A500" t="str">
            <v>COORDINADOR DE FORMACION EMPRESARIA I</v>
          </cell>
        </row>
        <row r="501">
          <cell r="A501" t="str">
            <v>COORDINADOR DE FORMACION EMPRESARIAL II</v>
          </cell>
        </row>
        <row r="502">
          <cell r="A502" t="str">
            <v>COORDINADOR DE FORMACION PROFESIONAL</v>
          </cell>
        </row>
        <row r="503">
          <cell r="A503" t="str">
            <v>COORDINADOR DE FRONTERAS</v>
          </cell>
        </row>
        <row r="504">
          <cell r="A504" t="str">
            <v>COORDINADOR DE PREFECTURAS</v>
          </cell>
        </row>
        <row r="505">
          <cell r="A505" t="str">
            <v>COORDINADOR DE PROGRAMA (SAPNNAET)</v>
          </cell>
        </row>
        <row r="506">
          <cell r="A506" t="str">
            <v>COORDINADOR DE PROGRAMAS DE FORMACION I</v>
          </cell>
        </row>
        <row r="507">
          <cell r="A507" t="str">
            <v>COORDINADOR DE PROGRAMAS DE FORMACION II</v>
          </cell>
        </row>
        <row r="508">
          <cell r="A508" t="str">
            <v>COORDINADOR DE PROGRAMAS TV</v>
          </cell>
        </row>
        <row r="509">
          <cell r="A509" t="str">
            <v>COORDINADOR DE PROTOCOLO</v>
          </cell>
        </row>
        <row r="510">
          <cell r="A510" t="str">
            <v>COORDINADOR DE RENDICION DE CUENTA</v>
          </cell>
        </row>
        <row r="511">
          <cell r="A511" t="str">
            <v>COORDINADOR DE SERVICIOS TURISTICOS I</v>
          </cell>
        </row>
        <row r="512">
          <cell r="A512" t="str">
            <v>COORDINADOR DE SERVICIOS TURISTICOS II</v>
          </cell>
        </row>
        <row r="513">
          <cell r="A513" t="str">
            <v>COORDINADOR DEASUNTOS INTERNACIONALES JEFE</v>
          </cell>
        </row>
        <row r="514">
          <cell r="A514" t="str">
            <v>COORDINADOR DEFENSA CIVIL</v>
          </cell>
        </row>
        <row r="515">
          <cell r="A515" t="str">
            <v>COORDINADOR DOCENTE BASICO VI 77 TID (36 HORAS) Y TCVD (7HORAS)</v>
          </cell>
        </row>
        <row r="516">
          <cell r="A516" t="str">
            <v>COORDINADOR DOCENTE BASICO VI TC (36 HORAS) Y DOC. BAS. VI TC (11 HORAS)</v>
          </cell>
        </row>
        <row r="517">
          <cell r="A517" t="str">
            <v>COORDINADOR DOCENTE BASICO VI TCVD</v>
          </cell>
        </row>
        <row r="518">
          <cell r="A518" t="str">
            <v>COORDINADOR GENERAL DE PERSONAL</v>
          </cell>
        </row>
        <row r="519">
          <cell r="A519" t="str">
            <v>COORDINADOR PUBLICITARIO</v>
          </cell>
        </row>
        <row r="520">
          <cell r="A520" t="str">
            <v>COORDINADOR RECREACION</v>
          </cell>
        </row>
        <row r="521">
          <cell r="A521" t="str">
            <v>COORDINADOR ZONAL</v>
          </cell>
        </row>
        <row r="522">
          <cell r="A522" t="str">
            <v>COORDINADORA DOCENTE V 77 Y DOCENTE BASICA V 77 TCVN Y DOCENTE AULA V (ZONA EDUCATIVA)</v>
          </cell>
        </row>
        <row r="523">
          <cell r="A523" t="str">
            <v>COPILOTO DE HELICOPTERO I</v>
          </cell>
        </row>
        <row r="524">
          <cell r="A524" t="str">
            <v>COPILOTO DE HELICOTERO II</v>
          </cell>
        </row>
        <row r="525">
          <cell r="A525" t="str">
            <v>COPILOTO DE PISTON I</v>
          </cell>
        </row>
        <row r="526">
          <cell r="A526" t="str">
            <v>COPILOTO DE PISTON II</v>
          </cell>
        </row>
        <row r="527">
          <cell r="A527" t="str">
            <v>COPILOTO DE TURBO</v>
          </cell>
        </row>
        <row r="528">
          <cell r="A528" t="str">
            <v>COPISTA ARCHIVERO</v>
          </cell>
        </row>
        <row r="529">
          <cell r="A529" t="str">
            <v>CORDINADOR DE ORGANISMOS CULTURALES</v>
          </cell>
        </row>
        <row r="530">
          <cell r="A530" t="str">
            <v>CORNO 2</v>
          </cell>
        </row>
        <row r="531">
          <cell r="A531" t="str">
            <v>CORNO 3</v>
          </cell>
        </row>
        <row r="532">
          <cell r="A532" t="str">
            <v>CORNO I</v>
          </cell>
        </row>
        <row r="533">
          <cell r="A533" t="str">
            <v>CORONEL (BOMBERO)</v>
          </cell>
        </row>
        <row r="534">
          <cell r="A534" t="str">
            <v>CORRECTOR DE ESTILO</v>
          </cell>
        </row>
        <row r="535">
          <cell r="A535" t="str">
            <v>CRIMINOLOGO</v>
          </cell>
        </row>
        <row r="536">
          <cell r="A536" t="str">
            <v>CUATRO</v>
          </cell>
        </row>
        <row r="537">
          <cell r="A537" t="str">
            <v>DELEGADO PRUEBA I</v>
          </cell>
        </row>
        <row r="538">
          <cell r="A538" t="str">
            <v>DELEGADO PRUEBA II</v>
          </cell>
        </row>
        <row r="539">
          <cell r="A539" t="str">
            <v>DELEGADO PRUEBA III</v>
          </cell>
        </row>
        <row r="540">
          <cell r="A540" t="str">
            <v>DELEGADO PRUEBA IV</v>
          </cell>
        </row>
        <row r="541">
          <cell r="A541" t="str">
            <v>DELEGADO PRUEBA V</v>
          </cell>
        </row>
        <row r="542">
          <cell r="A542" t="str">
            <v>DEMOSTRADORA DEL HOGAR I</v>
          </cell>
        </row>
        <row r="543">
          <cell r="A543" t="str">
            <v>DEMOSTRADORA DEL HOGAR II</v>
          </cell>
        </row>
        <row r="544">
          <cell r="A544" t="str">
            <v>DEMOSTRADORA DEL HOGAR III</v>
          </cell>
        </row>
        <row r="545">
          <cell r="A545" t="str">
            <v>DEMOSTRADORA DEL HOGAR JEFE</v>
          </cell>
        </row>
        <row r="546">
          <cell r="A546" t="str">
            <v>DEPOSITARIO DE ESPECIES FISCALES</v>
          </cell>
        </row>
        <row r="547">
          <cell r="A547" t="str">
            <v>DEPOSITARIO DE ESPECIES FISCALES JEFE</v>
          </cell>
        </row>
        <row r="548">
          <cell r="A548" t="str">
            <v>DIAGRAMADOR</v>
          </cell>
        </row>
        <row r="549">
          <cell r="A549" t="str">
            <v>DIBUJANTE CARTOGRAFICIO I</v>
          </cell>
        </row>
        <row r="550">
          <cell r="A550" t="str">
            <v>DIBUJANTE CARTOGRAFICO II</v>
          </cell>
        </row>
        <row r="551">
          <cell r="A551" t="str">
            <v>DIBUJANTE CARTOGRAFICO III</v>
          </cell>
        </row>
        <row r="552">
          <cell r="A552" t="str">
            <v>DIBUJANTE CARTOGRAFICO IV</v>
          </cell>
        </row>
        <row r="553">
          <cell r="A553" t="str">
            <v>DIBUJANTE CARTOGRAFICO JEFE</v>
          </cell>
        </row>
        <row r="554">
          <cell r="A554" t="str">
            <v>DIBUJANTE I</v>
          </cell>
        </row>
        <row r="555">
          <cell r="A555" t="str">
            <v>DIBUJANTE II</v>
          </cell>
        </row>
        <row r="556">
          <cell r="A556" t="str">
            <v>DIBUJANTE III</v>
          </cell>
        </row>
        <row r="557">
          <cell r="A557" t="str">
            <v>DIBUJANTE ILUSTRADOR I</v>
          </cell>
        </row>
        <row r="558">
          <cell r="A558" t="str">
            <v>DIBUJANTE ILUSTRADOR II</v>
          </cell>
        </row>
        <row r="559">
          <cell r="A559" t="str">
            <v>DIBUJANTE ILUSTRADOR JEFE</v>
          </cell>
        </row>
        <row r="560">
          <cell r="A560" t="str">
            <v>DIBUJANTE JEFE</v>
          </cell>
        </row>
        <row r="561">
          <cell r="A561" t="str">
            <v>DIETISTA I</v>
          </cell>
        </row>
        <row r="562">
          <cell r="A562" t="str">
            <v>DIETISTA II</v>
          </cell>
        </row>
        <row r="563">
          <cell r="A563" t="str">
            <v>DIETISTA III</v>
          </cell>
        </row>
        <row r="564">
          <cell r="A564" t="str">
            <v>DIETISTA IV</v>
          </cell>
        </row>
        <row r="565">
          <cell r="A565" t="str">
            <v>DIETISTA JEFE</v>
          </cell>
        </row>
        <row r="566">
          <cell r="A566" t="str">
            <v>DIRECTOR</v>
          </cell>
        </row>
        <row r="567">
          <cell r="A567" t="str">
            <v>DIRECTOR</v>
          </cell>
        </row>
        <row r="568">
          <cell r="A568" t="str">
            <v>DIRECTOR BASICO VI TID (36 HORAS) Y DOCENTE BASICO VI 77 TCVD (18 HORAS)</v>
          </cell>
        </row>
        <row r="569">
          <cell r="A569" t="str">
            <v>DIRECTOR CENTRO DE CULTURA</v>
          </cell>
        </row>
        <row r="570">
          <cell r="A570" t="str">
            <v>DIRECTOR DE BANDA</v>
          </cell>
        </row>
        <row r="571">
          <cell r="A571" t="str">
            <v>DIRECTOR DE BANDA Y PROFESOR DE FLAUTA Y PIANO</v>
          </cell>
        </row>
        <row r="572">
          <cell r="A572" t="str">
            <v>DIRECTOR DE CULTURA Y PROFESOR PH NOCTURNO GR</v>
          </cell>
        </row>
        <row r="573">
          <cell r="A573" t="str">
            <v>DIRECTOR DE ESCUELA 139 III</v>
          </cell>
        </row>
        <row r="574">
          <cell r="A574" t="str">
            <v>DIRECTOR DE ESCUELAS DE ENFERMERIA</v>
          </cell>
        </row>
        <row r="575">
          <cell r="A575" t="str">
            <v>DIRECTOR DE PROGRAMAS DE CURSOS</v>
          </cell>
        </row>
        <row r="576">
          <cell r="A576" t="str">
            <v>DIRECTOR DE PROGRAMAS TV</v>
          </cell>
        </row>
        <row r="577">
          <cell r="A577" t="str">
            <v>DIRECTOR ESCUELA 139 III</v>
          </cell>
        </row>
        <row r="578">
          <cell r="A578" t="str">
            <v>DIRECTOR ESCUELA N.G.</v>
          </cell>
        </row>
        <row r="579">
          <cell r="A579" t="str">
            <v>DIRECTOR GENERAL</v>
          </cell>
        </row>
        <row r="580">
          <cell r="A580" t="str">
            <v>DIRECTOR I   139</v>
          </cell>
        </row>
        <row r="581">
          <cell r="A581" t="str">
            <v>DIRECTOR I   77</v>
          </cell>
        </row>
        <row r="582">
          <cell r="A582" t="str">
            <v>DIRECTOR II  139</v>
          </cell>
        </row>
        <row r="583">
          <cell r="A583" t="str">
            <v>DIRECTOR II  77</v>
          </cell>
        </row>
        <row r="584">
          <cell r="A584" t="str">
            <v>DIRECTOR III 139</v>
          </cell>
        </row>
        <row r="585">
          <cell r="A585" t="str">
            <v>DIRECTOR III 77</v>
          </cell>
        </row>
        <row r="586">
          <cell r="A586" t="str">
            <v>DIRECTOR IV  139</v>
          </cell>
        </row>
        <row r="587">
          <cell r="A587" t="str">
            <v>DIRECTOR IV  77</v>
          </cell>
        </row>
        <row r="588">
          <cell r="A588" t="str">
            <v>DIRECTOR TOPOGRAFO</v>
          </cell>
        </row>
        <row r="589">
          <cell r="A589" t="str">
            <v>DIRECTOR V   139</v>
          </cell>
        </row>
        <row r="590">
          <cell r="A590" t="str">
            <v>DIRECTOR V   77</v>
          </cell>
        </row>
        <row r="591">
          <cell r="A591" t="str">
            <v>DIRECTOR VI  139</v>
          </cell>
        </row>
        <row r="592">
          <cell r="A592" t="str">
            <v>DIRECTOR VI  77</v>
          </cell>
        </row>
        <row r="593">
          <cell r="A593" t="str">
            <v>DIRECTORA DOCENTE BASICA VI 139 TID Y DOCENTE BASICA VI 139 TCVN</v>
          </cell>
        </row>
        <row r="594">
          <cell r="A594" t="str">
            <v>DIRECTORA ESCUELA ANDRES BLANCO Y MAESTRA PH GR NOCTURNO VALERA</v>
          </cell>
        </row>
        <row r="595">
          <cell r="A595" t="str">
            <v>DISEÑADOR GRAFICO</v>
          </cell>
        </row>
        <row r="596">
          <cell r="A596" t="str">
            <v>DISEÑADOR GRAFICO</v>
          </cell>
        </row>
        <row r="597">
          <cell r="A597" t="str">
            <v>DISEÑADOR GRAFICO II</v>
          </cell>
        </row>
        <row r="598">
          <cell r="A598" t="str">
            <v>DISEÑADOR GRAFICO III</v>
          </cell>
        </row>
        <row r="599">
          <cell r="A599" t="str">
            <v>DISEÑADOR GRAFICO IV</v>
          </cell>
        </row>
        <row r="600">
          <cell r="A600" t="str">
            <v>DISTINGUIDO</v>
          </cell>
        </row>
        <row r="601">
          <cell r="A601" t="str">
            <v>DISTINGUIDO (BOMBERO)</v>
          </cell>
        </row>
        <row r="602">
          <cell r="A602" t="str">
            <v>DOC. 77-TC. III.</v>
          </cell>
        </row>
        <row r="603">
          <cell r="A603" t="str">
            <v>DOC. BAS I 77 TCVD INTERINO</v>
          </cell>
        </row>
        <row r="604">
          <cell r="A604" t="str">
            <v>DOC. BAS I TSE TCVDMA INTERINO</v>
          </cell>
        </row>
        <row r="605">
          <cell r="A605" t="str">
            <v>DOC. BAS. 77 TCVNMA/DOC IV AULA ADULTOS/DIRECTOR DE EDUCACION</v>
          </cell>
        </row>
        <row r="606">
          <cell r="A606" t="str">
            <v>DOC. BAS. DIR. VI 77 T.C. V.N.</v>
          </cell>
        </row>
        <row r="607">
          <cell r="A607" t="str">
            <v>DOC. BAS. I (03 HORAS) Y DOC BAS IV 77 TID (33 HORAS9 /TCVD (09 HORAS)</v>
          </cell>
        </row>
        <row r="608">
          <cell r="A608" t="str">
            <v>DOC. BAS. I 77 INTERINO</v>
          </cell>
        </row>
        <row r="609">
          <cell r="A609" t="str">
            <v>DOC. BAS. I 77 TCVDMA INTERINO</v>
          </cell>
        </row>
        <row r="610">
          <cell r="A610" t="str">
            <v>DOC. BAS. I 77 TID (33.33 HORAS)/TCVD (18 HORAS)</v>
          </cell>
        </row>
        <row r="611">
          <cell r="A611" t="str">
            <v>DOC. BAS. I 77 TID INTERINO</v>
          </cell>
        </row>
        <row r="612">
          <cell r="A612" t="str">
            <v>DOC. BAS. I T.S.E. TID INTERINO</v>
          </cell>
        </row>
        <row r="613">
          <cell r="A613" t="str">
            <v>DOC. BAS. III T.S.E  TCVD</v>
          </cell>
        </row>
        <row r="614">
          <cell r="A614" t="str">
            <v>DOC. BAS. IV  77  TID (33.33 HORAS)/TCVD (14 HORAS)</v>
          </cell>
        </row>
        <row r="615">
          <cell r="A615" t="str">
            <v>DOC. BAS. IV 77 TID (33.33 HORAS)/ TCVD (16 HORAS)</v>
          </cell>
        </row>
        <row r="616">
          <cell r="A616" t="str">
            <v>DOC. BAS. IV 77 TID (33.33 HORAS)/TCVD (06 HORAS)</v>
          </cell>
        </row>
        <row r="617">
          <cell r="A617" t="str">
            <v>DOC. BAS. N.G. TCVNMA / AUXILIAR DE BIBLIOTECA</v>
          </cell>
        </row>
        <row r="618">
          <cell r="A618" t="str">
            <v>DOC. BAS. PLANIF. V TC 77</v>
          </cell>
        </row>
        <row r="619">
          <cell r="A619" t="str">
            <v>DOC. BAS. V   77  TID (33,33 HORAS) /TCVD (11 HORAS)</v>
          </cell>
        </row>
        <row r="620">
          <cell r="A620" t="str">
            <v>DOC. BAS. V   77  TID (33,33 HORAS) /TCVD (13 HORAS)</v>
          </cell>
        </row>
        <row r="621">
          <cell r="A621" t="str">
            <v>DOC. BAS. V 77 TID (33.33 HORAS) /TCVD (10 HORAS)</v>
          </cell>
        </row>
        <row r="622">
          <cell r="A622" t="str">
            <v>DOC. BAS. VI  77  TID (33.33 HORAS)/TCVD (12 HORAS)</v>
          </cell>
        </row>
        <row r="623">
          <cell r="A623" t="str">
            <v>DOC. BAS. VI  77  TID (33.33 HORAS)/TCVD (19 HORAS)</v>
          </cell>
        </row>
        <row r="624">
          <cell r="A624" t="str">
            <v>DOC. BAS. VI  TID (33.33 HORAS)/TCVD (14 HORAS)</v>
          </cell>
        </row>
        <row r="625">
          <cell r="A625" t="str">
            <v>DOC. BAS. VI 139 TID / INSTRUCTOR I (16 HORAS)</v>
          </cell>
        </row>
        <row r="626">
          <cell r="A626" t="str">
            <v>DOC. BAS. VI 77 TID (33.33 HORAS) /TCVD (16 HORAS)</v>
          </cell>
        </row>
        <row r="627">
          <cell r="A627" t="str">
            <v>DOC. BAS.PLANIF.IV TC 77</v>
          </cell>
        </row>
        <row r="628">
          <cell r="A628" t="str">
            <v>DOC. BAS.V TCVD (16 HORAS) /TCVNMA (10 HORAS)</v>
          </cell>
        </row>
        <row r="629">
          <cell r="A629" t="str">
            <v>DOC. BASCO V  T.S.E. TCVNMA</v>
          </cell>
        </row>
        <row r="630">
          <cell r="A630" t="str">
            <v>DOC. BASICA 16- TSE TID VI</v>
          </cell>
        </row>
        <row r="631">
          <cell r="A631" t="str">
            <v>DOC. BASICA 16-789 TSE TCVD I</v>
          </cell>
        </row>
        <row r="632">
          <cell r="A632" t="str">
            <v>DOC. BASICA 16-789 TSE TCVD II</v>
          </cell>
        </row>
        <row r="633">
          <cell r="A633" t="str">
            <v>DOC. BASICA 16-789 TSE TCVD III</v>
          </cell>
        </row>
        <row r="634">
          <cell r="A634" t="str">
            <v>DOC. BASICA 16-789 TSE TCVD IV</v>
          </cell>
        </row>
        <row r="635">
          <cell r="A635" t="str">
            <v>DOC. BASICA 16-789 TSE TCVD V</v>
          </cell>
        </row>
        <row r="636">
          <cell r="A636" t="str">
            <v>DOC. BASICA 16-789 TSE TCVD VI</v>
          </cell>
        </row>
        <row r="637">
          <cell r="A637" t="str">
            <v>DOC. BASICA 16-TSE TID I</v>
          </cell>
        </row>
        <row r="638">
          <cell r="A638" t="str">
            <v>DOC. BASICA 16-TSE TID II</v>
          </cell>
        </row>
        <row r="639">
          <cell r="A639" t="str">
            <v>DOC. BASICA 16-TSE TID III</v>
          </cell>
        </row>
        <row r="640">
          <cell r="A640" t="str">
            <v>DOC. BASICA 16-TSE TID IV</v>
          </cell>
        </row>
        <row r="641">
          <cell r="A641" t="str">
            <v>DOC. BASICA 16-TSE TID V</v>
          </cell>
        </row>
        <row r="642">
          <cell r="A642" t="str">
            <v>DOC. BASICA 77  TCVD</v>
          </cell>
        </row>
        <row r="643">
          <cell r="A643" t="str">
            <v>DOC. BASICA 77  TID</v>
          </cell>
        </row>
        <row r="644">
          <cell r="A644" t="str">
            <v>DOC. BASICA 789-TSE TCVD I</v>
          </cell>
        </row>
        <row r="645">
          <cell r="A645" t="str">
            <v>DOC. BASICA 789-TSE TCVD II</v>
          </cell>
        </row>
        <row r="646">
          <cell r="A646" t="str">
            <v>DOC. BASICA 789-TSE TCVD III</v>
          </cell>
        </row>
        <row r="647">
          <cell r="A647" t="str">
            <v>DOC. BASICA 789-TSE TCVD IV</v>
          </cell>
        </row>
        <row r="648">
          <cell r="A648" t="str">
            <v>DOC. BASICA 789-TSE TCVD V</v>
          </cell>
        </row>
        <row r="649">
          <cell r="A649" t="str">
            <v>DOC. BASICA 789-TSE TCVD VI</v>
          </cell>
        </row>
        <row r="650">
          <cell r="A650" t="str">
            <v>DOC. BASICA I    77 TCVNMA</v>
          </cell>
        </row>
        <row r="651">
          <cell r="A651" t="str">
            <v>DOC. BASICA I    77 TCVNMA</v>
          </cell>
        </row>
        <row r="652">
          <cell r="A652" t="str">
            <v>DOC. BASICA I   139 TCVD</v>
          </cell>
        </row>
        <row r="653">
          <cell r="A653" t="str">
            <v>DOC. BASICA I   139 TCVNMA</v>
          </cell>
        </row>
        <row r="654">
          <cell r="A654" t="str">
            <v>DOC. BASICA I   139 TID</v>
          </cell>
        </row>
        <row r="655">
          <cell r="A655" t="str">
            <v>DOC. BASICA I   77  TCVD</v>
          </cell>
        </row>
        <row r="656">
          <cell r="A656" t="str">
            <v>DOC. BASICA I   77 16 TSE</v>
          </cell>
        </row>
        <row r="657">
          <cell r="A657" t="str">
            <v>DOC. BASICA I 77 TID</v>
          </cell>
        </row>
        <row r="658">
          <cell r="A658" t="str">
            <v>DOC. BASICA II  139 TCVD</v>
          </cell>
        </row>
        <row r="659">
          <cell r="A659" t="str">
            <v>DOC. BASICA II  139 TCVNMA</v>
          </cell>
        </row>
        <row r="660">
          <cell r="A660" t="str">
            <v>DOC. BASICA II  139 TID</v>
          </cell>
        </row>
        <row r="661">
          <cell r="A661" t="str">
            <v>DOC. BASICA II  77  TID</v>
          </cell>
        </row>
        <row r="662">
          <cell r="A662" t="str">
            <v>DOC. BASICA II  77 16 TSE</v>
          </cell>
        </row>
        <row r="663">
          <cell r="A663" t="str">
            <v>DOC. BASICA II 77</v>
          </cell>
        </row>
        <row r="664">
          <cell r="A664" t="str">
            <v>DOC. BASICA II 77  TCVD</v>
          </cell>
        </row>
        <row r="665">
          <cell r="A665" t="str">
            <v>DOC. BASICA II 77 TCVNMA</v>
          </cell>
        </row>
        <row r="666">
          <cell r="A666" t="str">
            <v>DOC. BASICA II 77 TCVNMA</v>
          </cell>
        </row>
        <row r="667">
          <cell r="A667" t="str">
            <v>DOC. BASICA III  77 TCVNMA</v>
          </cell>
        </row>
        <row r="668">
          <cell r="A668" t="str">
            <v>DOC. BASICA III  77 TCVNMA</v>
          </cell>
        </row>
        <row r="669">
          <cell r="A669" t="str">
            <v>DOC. BASICA III 139 TCVD</v>
          </cell>
        </row>
        <row r="670">
          <cell r="A670" t="str">
            <v>DOC. BASICA III 139 TCVNMA</v>
          </cell>
        </row>
        <row r="671">
          <cell r="A671" t="str">
            <v>DOC. BASICA III 139 TID</v>
          </cell>
        </row>
        <row r="672">
          <cell r="A672" t="str">
            <v>DOC. BASICA III 77  TCVD</v>
          </cell>
        </row>
        <row r="673">
          <cell r="A673" t="str">
            <v>DOC. BASICA III 77  TID</v>
          </cell>
        </row>
        <row r="674">
          <cell r="A674" t="str">
            <v>DOC. BASICA III 77 TCVN</v>
          </cell>
        </row>
        <row r="675">
          <cell r="A675" t="str">
            <v>DOC. BASICA IV   77 TCVNMA</v>
          </cell>
        </row>
        <row r="676">
          <cell r="A676" t="str">
            <v>DOC. BASICA IV   77 TCVNMA</v>
          </cell>
        </row>
        <row r="677">
          <cell r="A677" t="str">
            <v>DOC. BASICA IV  139 TCVD</v>
          </cell>
        </row>
        <row r="678">
          <cell r="A678" t="str">
            <v>DOC. BASICA IV  139 TCVNMA</v>
          </cell>
        </row>
        <row r="679">
          <cell r="A679" t="str">
            <v>DOC. BASICA IV  139 TID</v>
          </cell>
        </row>
        <row r="680">
          <cell r="A680" t="str">
            <v>DOC. BASICA IV  77  TCVD</v>
          </cell>
        </row>
        <row r="681">
          <cell r="A681" t="str">
            <v>DOC. BASICA IV  77  TID</v>
          </cell>
        </row>
        <row r="682">
          <cell r="A682" t="str">
            <v>DOC. BASICA IV  77  TID  (33 HORAS) /TCVD (14 HORAS)</v>
          </cell>
        </row>
        <row r="683">
          <cell r="A683" t="str">
            <v>DOC. BASICA IV  77 TC-V</v>
          </cell>
        </row>
        <row r="684">
          <cell r="A684" t="str">
            <v>DOC. BASICA IV 77 TCVD (19 HORAS) TID  (33.33 HORAS)</v>
          </cell>
        </row>
        <row r="685">
          <cell r="A685" t="str">
            <v>DOC. BASICA N.G. 16 TCVNMA</v>
          </cell>
        </row>
        <row r="686">
          <cell r="A686" t="str">
            <v>DOC. BASICA N.G. 19 TID</v>
          </cell>
        </row>
        <row r="687">
          <cell r="A687" t="str">
            <v>DOC. BASICA N.G. 789 TCVNHC</v>
          </cell>
        </row>
        <row r="688">
          <cell r="A688" t="str">
            <v>DOC. BASICA N.G. 789 TCVNMA</v>
          </cell>
        </row>
        <row r="689">
          <cell r="A689" t="str">
            <v>DOC. BASICA N.G. TCVD</v>
          </cell>
        </row>
        <row r="690">
          <cell r="A690" t="str">
            <v>DOC. BASICA N.G. TCVID</v>
          </cell>
        </row>
        <row r="691">
          <cell r="A691" t="str">
            <v>DOC. BASICA V    77 TCVNMA</v>
          </cell>
        </row>
        <row r="692">
          <cell r="A692" t="str">
            <v>DOC. BASICA V    77 TCVNMA</v>
          </cell>
        </row>
        <row r="693">
          <cell r="A693" t="str">
            <v>DOC. BASICA V   139 TCVD</v>
          </cell>
        </row>
        <row r="694">
          <cell r="A694" t="str">
            <v>DOC. BASICA V   139 TCVNMA</v>
          </cell>
        </row>
        <row r="695">
          <cell r="A695" t="str">
            <v>DOC. BASICA V   139 TID</v>
          </cell>
        </row>
        <row r="696">
          <cell r="A696" t="str">
            <v>DOC. BASICA V   77  TCVD</v>
          </cell>
        </row>
        <row r="697">
          <cell r="A697" t="str">
            <v>DOC. BASICA V   77  TID</v>
          </cell>
        </row>
        <row r="698">
          <cell r="A698" t="str">
            <v>DOC. BASICA V   77  TID (33.33 HORAS /TCVD (10 HORAS)</v>
          </cell>
        </row>
        <row r="699">
          <cell r="A699" t="str">
            <v>DOC. BASICA V   77  TID (33.33 HORAS) /TCVD (13 HORAS)</v>
          </cell>
        </row>
        <row r="700">
          <cell r="A700" t="str">
            <v>DOC. BASICA V   77 TC-V 79</v>
          </cell>
        </row>
        <row r="701">
          <cell r="A701" t="str">
            <v>DOC. BASICA V  139 TCVD-MEF</v>
          </cell>
        </row>
        <row r="702">
          <cell r="A702" t="str">
            <v>DOC. BASICA V  77  TCVD  (10 HORAS) Y TCVNMA (16) HORAS</v>
          </cell>
        </row>
        <row r="703">
          <cell r="A703" t="str">
            <v>DOC. BASICA V  77  TID/TCVNMA</v>
          </cell>
        </row>
        <row r="704">
          <cell r="A704" t="str">
            <v>DOC. BASICA V 77 TID (33.33) TCVD (20 HORAS)</v>
          </cell>
        </row>
        <row r="705">
          <cell r="A705" t="str">
            <v>DOC. BASICA V ORIENT.77 TID</v>
          </cell>
        </row>
        <row r="706">
          <cell r="A706" t="str">
            <v>DOC. BASICA VI   77 TCVD</v>
          </cell>
        </row>
        <row r="707">
          <cell r="A707" t="str">
            <v>DOC. BASICA VI   77 TCVNMA</v>
          </cell>
        </row>
        <row r="708">
          <cell r="A708" t="str">
            <v>DOC. BASICA VI   77 TCVNMA</v>
          </cell>
        </row>
        <row r="709">
          <cell r="A709" t="str">
            <v>DOC. BASICA VI  139 TCVD</v>
          </cell>
        </row>
        <row r="710">
          <cell r="A710" t="str">
            <v>DOC. BASICA VI  139 TCVNMA</v>
          </cell>
        </row>
        <row r="711">
          <cell r="A711" t="str">
            <v>DOC. BASICA VI  139 TID</v>
          </cell>
        </row>
        <row r="712">
          <cell r="A712" t="str">
            <v>DOC. BASICA VI  77  TCVD</v>
          </cell>
        </row>
        <row r="713">
          <cell r="A713" t="str">
            <v>DOC. BASICA VI  77  TID</v>
          </cell>
        </row>
        <row r="714">
          <cell r="A714" t="str">
            <v>DOC. BASICA VI 77 TID (33.33 HORAS) TCVN (12 HORAS)</v>
          </cell>
        </row>
        <row r="715">
          <cell r="A715" t="str">
            <v>DOC. BASICA VI 77 TID (33.33 HORAS) TCVNMA (11 HORAS)</v>
          </cell>
        </row>
        <row r="716">
          <cell r="A716" t="str">
            <v>DOC. BASICO  VI  T.S.E. TCVNMA</v>
          </cell>
        </row>
        <row r="717">
          <cell r="A717" t="str">
            <v>DOC. BASICO I  T.S.E. TCVNMA</v>
          </cell>
        </row>
        <row r="718">
          <cell r="A718" t="str">
            <v>DOC. BASICO II  T.S.E. TCVNMA</v>
          </cell>
        </row>
        <row r="719">
          <cell r="A719" t="str">
            <v>DOC. BASICO III T.S.E. TCVNMA</v>
          </cell>
        </row>
        <row r="720">
          <cell r="A720" t="str">
            <v>DOC. BASICO IV  T.S.E. TCVNMA</v>
          </cell>
        </row>
        <row r="721">
          <cell r="A721" t="str">
            <v>DOC. DIR. BASICA  VI 139 TID (36 HORAS) Y DOC. BAS. VI 139 TCVNMA (16 HORAS)</v>
          </cell>
        </row>
        <row r="722">
          <cell r="A722" t="str">
            <v>DOC. DIRECTOR 77-TC  IV.</v>
          </cell>
        </row>
        <row r="723">
          <cell r="A723" t="str">
            <v>DOC. DIRECTOR ARTES P.</v>
          </cell>
        </row>
        <row r="724">
          <cell r="A724" t="str">
            <v>DOC. DIRECTOR BAS. N.G. 16 TCVNMA</v>
          </cell>
        </row>
        <row r="725">
          <cell r="A725" t="str">
            <v>DOC. DIRECTOR BAS. N.G. 789 TCVNMA</v>
          </cell>
        </row>
        <row r="726">
          <cell r="A726" t="str">
            <v>DOC. DIRECTOR BASICA  I 139 TCVNMA</v>
          </cell>
        </row>
        <row r="727">
          <cell r="A727" t="str">
            <v>DOC. DIRECTOR BASICA  V  77 TCVNMA</v>
          </cell>
        </row>
        <row r="728">
          <cell r="A728" t="str">
            <v>DOC. DIRECTOR BASICA  V 139 TCVNMA</v>
          </cell>
        </row>
        <row r="729">
          <cell r="A729" t="str">
            <v>DOC. DIRECTOR BASICA  V T.S.E TID</v>
          </cell>
        </row>
        <row r="730">
          <cell r="A730" t="str">
            <v>DOC. DIRECTOR BASICA 77  TID</v>
          </cell>
        </row>
        <row r="731">
          <cell r="A731" t="str">
            <v>DOC. DIRECTOR BASICA 77 TCVNMA</v>
          </cell>
        </row>
        <row r="732">
          <cell r="A732" t="str">
            <v>DOC. DIRECTOR BASICA I   77  TID</v>
          </cell>
        </row>
        <row r="733">
          <cell r="A733" t="str">
            <v>DOC. DIRECTOR BASICA I  77 TCVNMA</v>
          </cell>
        </row>
        <row r="734">
          <cell r="A734" t="str">
            <v>DOC. DIRECTOR BASICA II  77  TID</v>
          </cell>
        </row>
        <row r="735">
          <cell r="A735" t="str">
            <v>DOC. DIRECTOR BASICA III 139 TID</v>
          </cell>
        </row>
        <row r="736">
          <cell r="A736" t="str">
            <v>DOC. DIRECTOR BASICA III 77 TID</v>
          </cell>
        </row>
        <row r="737">
          <cell r="A737" t="str">
            <v>DOC. DIRECTOR BASICA IV  77 TCVNMA</v>
          </cell>
        </row>
        <row r="738">
          <cell r="A738" t="str">
            <v>DOC. DIRECTOR BASICA IV  77 TID</v>
          </cell>
        </row>
        <row r="739">
          <cell r="A739" t="str">
            <v>DOC. DIRECTOR BASICA IV 139 TCVNMA</v>
          </cell>
        </row>
        <row r="740">
          <cell r="A740" t="str">
            <v>DOC. DIRECTOR BASICA IV 139 TID</v>
          </cell>
        </row>
        <row r="741">
          <cell r="A741" t="str">
            <v>DOC. DIRECTOR BASICA IV T.S.E TID</v>
          </cell>
        </row>
        <row r="742">
          <cell r="A742" t="str">
            <v>DOC. DIRECTOR BASICA V   77 TID</v>
          </cell>
        </row>
        <row r="743">
          <cell r="A743" t="str">
            <v>DOC. DIRECTOR BASICA V  139 TID</v>
          </cell>
        </row>
        <row r="744">
          <cell r="A744" t="str">
            <v>DOC. DIRECTOR BASICA VI  77 TCVNMA</v>
          </cell>
        </row>
        <row r="745">
          <cell r="A745" t="str">
            <v>DOC. DIRECTOR BASICA VI  77 TID</v>
          </cell>
        </row>
        <row r="746">
          <cell r="A746" t="str">
            <v>DOC. DIRECTOR BASICA VI  77 TINMA</v>
          </cell>
        </row>
        <row r="747">
          <cell r="A747" t="str">
            <v>DOC. DIRECTOR BASICA VI 139 TCVNMA</v>
          </cell>
        </row>
        <row r="748">
          <cell r="A748" t="str">
            <v>DOC. DIRECTOR BASICA VI 139 TID</v>
          </cell>
        </row>
        <row r="749">
          <cell r="A749" t="str">
            <v>DOC. DIRECTOR BASICO I  T.S.E.</v>
          </cell>
        </row>
        <row r="750">
          <cell r="A750" t="str">
            <v>DOC. DIRECTOR BASICO II  T.S.E.</v>
          </cell>
        </row>
        <row r="751">
          <cell r="A751" t="str">
            <v>DOC. DIRECTOR BASICO III  T.S.E.</v>
          </cell>
        </row>
        <row r="752">
          <cell r="A752" t="str">
            <v>DOC. DIRECTOR BASICO IV  T.S.E.</v>
          </cell>
        </row>
        <row r="753">
          <cell r="A753" t="str">
            <v>DOC. DIRECTOR BASICO V  T.S.E.</v>
          </cell>
        </row>
        <row r="754">
          <cell r="A754" t="str">
            <v>DOC. DIRECTOR BASICO VI  T.S.E.</v>
          </cell>
        </row>
        <row r="755">
          <cell r="A755" t="str">
            <v>DOC. DIRECTOR N.G.</v>
          </cell>
        </row>
        <row r="756">
          <cell r="A756" t="str">
            <v>DOC. DIRECTOR PRE-ESC  II  77  TID</v>
          </cell>
        </row>
        <row r="757">
          <cell r="A757" t="str">
            <v>DOC. DIRECTOR PRE-ESC. I   77  TID</v>
          </cell>
        </row>
        <row r="758">
          <cell r="A758" t="str">
            <v>DOC. DIRECTOR PRE-ESC. III  77 TID</v>
          </cell>
        </row>
        <row r="759">
          <cell r="A759" t="str">
            <v>DOC. DIRECTOR PRE-ESC. III 139 TID</v>
          </cell>
        </row>
        <row r="760">
          <cell r="A760" t="str">
            <v>DOC. DIRECTOR PRE-ESC. IV  139 TID</v>
          </cell>
        </row>
        <row r="761">
          <cell r="A761" t="str">
            <v>DOC. DIRECTOR PRE-ESC. IV  77  TID</v>
          </cell>
        </row>
        <row r="762">
          <cell r="A762" t="str">
            <v>DOC. DIRECTOR PRE-ESC. V   139 TID</v>
          </cell>
        </row>
        <row r="763">
          <cell r="A763" t="str">
            <v>DOC. DIRECTOR PRE-ESC. V   77  TID</v>
          </cell>
        </row>
        <row r="764">
          <cell r="A764" t="str">
            <v>DOC. DIRECTOR PRE-ESC. VI  139 TID</v>
          </cell>
        </row>
        <row r="765">
          <cell r="A765" t="str">
            <v>DOC. DIRECTOR PRE-ESC. VI  77  TID</v>
          </cell>
        </row>
        <row r="766">
          <cell r="A766" t="str">
            <v>DOC. DIRECTOR TCV NMA 77-III</v>
          </cell>
        </row>
        <row r="767">
          <cell r="A767" t="str">
            <v>DOC. DIRECTOR VI 139</v>
          </cell>
        </row>
        <row r="768">
          <cell r="A768" t="str">
            <v>DOC. DIRECTOR VI 77</v>
          </cell>
        </row>
        <row r="769">
          <cell r="A769" t="str">
            <v>DOC. N.G.  TCVID (10 HORAS)/ TCVNMA (09 HORAS)</v>
          </cell>
        </row>
        <row r="770">
          <cell r="A770" t="str">
            <v>DOC. ORI.BAS. III 77</v>
          </cell>
        </row>
        <row r="771">
          <cell r="A771" t="str">
            <v>DOC. ORIEN. I 77 1-6 TC</v>
          </cell>
        </row>
        <row r="772">
          <cell r="A772" t="str">
            <v>DOC. ORIEN. V 77 1-6 TID</v>
          </cell>
        </row>
        <row r="773">
          <cell r="A773" t="str">
            <v>DOC. ORIENT. 77  III TID</v>
          </cell>
        </row>
        <row r="774">
          <cell r="A774" t="str">
            <v>DOC. ORIENTADOR 77 TC IV</v>
          </cell>
        </row>
        <row r="775">
          <cell r="A775" t="str">
            <v>DOC. ORIENTADOR 77 TC V</v>
          </cell>
        </row>
        <row r="776">
          <cell r="A776" t="str">
            <v>DOC. ORIENTADOR 77-TC. I.</v>
          </cell>
        </row>
        <row r="777">
          <cell r="A777" t="str">
            <v>DOC. PLAN.16 77  V</v>
          </cell>
        </row>
        <row r="778">
          <cell r="A778" t="str">
            <v>DOC. PLAN.16 77 IV</v>
          </cell>
        </row>
        <row r="779">
          <cell r="A779" t="str">
            <v>DOC. PLAN.16 77 VI</v>
          </cell>
        </row>
        <row r="780">
          <cell r="A780" t="str">
            <v>DOC. PLANIF. V   TC</v>
          </cell>
        </row>
        <row r="781">
          <cell r="A781" t="str">
            <v>DOC. PRE-ESC I 77 TID INTERINO</v>
          </cell>
        </row>
        <row r="782">
          <cell r="A782" t="str">
            <v>DOC. PRE-ESC I TSE TID INTERINO</v>
          </cell>
        </row>
        <row r="783">
          <cell r="A783" t="str">
            <v>DOC. PRE-ESC TSE TID I</v>
          </cell>
        </row>
        <row r="784">
          <cell r="A784" t="str">
            <v>DOC. PRE-ESC TSE TID II</v>
          </cell>
        </row>
        <row r="785">
          <cell r="A785" t="str">
            <v>DOC. PRE-ESC TSE TID III</v>
          </cell>
        </row>
        <row r="786">
          <cell r="A786" t="str">
            <v>DOC. PRE-ESC TSE TID IV</v>
          </cell>
        </row>
        <row r="787">
          <cell r="A787" t="str">
            <v>DOC. PRE-ESC TSE TID V</v>
          </cell>
        </row>
        <row r="788">
          <cell r="A788" t="str">
            <v>DOC. PRE-ESC TSE TID VI</v>
          </cell>
        </row>
        <row r="789">
          <cell r="A789" t="str">
            <v>DOC. PRE-ESC. I   139 TID</v>
          </cell>
        </row>
        <row r="790">
          <cell r="A790" t="str">
            <v>DOC. PRE-ESC. I   77  TID</v>
          </cell>
        </row>
        <row r="791">
          <cell r="A791" t="str">
            <v>DOC. PRE-ESC. II  139 TID</v>
          </cell>
        </row>
        <row r="792">
          <cell r="A792" t="str">
            <v>DOC. PRE-ESC. II  77  TID</v>
          </cell>
        </row>
        <row r="793">
          <cell r="A793" t="str">
            <v>DOC. PRE-ESC. III 139 TID</v>
          </cell>
        </row>
        <row r="794">
          <cell r="A794" t="str">
            <v>DOC. PRE-ESC. III 77  TID</v>
          </cell>
        </row>
        <row r="795">
          <cell r="A795" t="str">
            <v>DOC. PRE-ESC. IV  139 TID</v>
          </cell>
        </row>
        <row r="796">
          <cell r="A796" t="str">
            <v>DOC. PRE-ESC. IV  77  TID</v>
          </cell>
        </row>
        <row r="797">
          <cell r="A797" t="str">
            <v>DOC. PRE-ESC. V   139 TID</v>
          </cell>
        </row>
        <row r="798">
          <cell r="A798" t="str">
            <v>DOC. PRE-ESC. V   77  TID</v>
          </cell>
        </row>
        <row r="799">
          <cell r="A799" t="str">
            <v>DOC. PRE-ESC. VI  139 TID</v>
          </cell>
        </row>
        <row r="800">
          <cell r="A800" t="str">
            <v>DOC. PRE-ESC. VI  77  TID</v>
          </cell>
        </row>
        <row r="801">
          <cell r="A801" t="str">
            <v>DOC. PRE-ESCOLAR N.G.</v>
          </cell>
        </row>
        <row r="802">
          <cell r="A802" t="str">
            <v>DOC. SUB DIR. IV  77 TID /DOC BASICA IV 77 TCVNMA</v>
          </cell>
        </row>
        <row r="803">
          <cell r="A803" t="str">
            <v>DOC. SUB DIRECTOR BASICA  I  139 TID</v>
          </cell>
        </row>
        <row r="804">
          <cell r="A804" t="str">
            <v>DOC. SUB DIRECTOR BASICA  II 139 TID</v>
          </cell>
        </row>
        <row r="805">
          <cell r="A805" t="str">
            <v>DOC. SUB DIRECTOR BASICA 77 TID</v>
          </cell>
        </row>
        <row r="806">
          <cell r="A806" t="str">
            <v>DOC. SUB DIRECTOR BASICA I 77 TID</v>
          </cell>
        </row>
        <row r="807">
          <cell r="A807" t="str">
            <v>DOC. SUB DIRECTOR BASICA II  77 TID</v>
          </cell>
        </row>
        <row r="808">
          <cell r="A808" t="str">
            <v>DOC. SUB DIRECTOR BASICA III  77 TID</v>
          </cell>
        </row>
        <row r="809">
          <cell r="A809" t="str">
            <v>DOC. SUB DIRECTOR BASICA III 139 TID</v>
          </cell>
        </row>
        <row r="810">
          <cell r="A810" t="str">
            <v>DOC. SUB DIRECTOR BASICA IV  77 TID</v>
          </cell>
        </row>
        <row r="811">
          <cell r="A811" t="str">
            <v>DOC. SUB DIRECTOR BASICA IV  T.S.E</v>
          </cell>
        </row>
        <row r="812">
          <cell r="A812" t="str">
            <v>DOC. SUB DIRECTOR BASICA IV  TID</v>
          </cell>
        </row>
        <row r="813">
          <cell r="A813" t="str">
            <v>DOC. SUB DIRECTOR BASICA IV 139 TID</v>
          </cell>
        </row>
        <row r="814">
          <cell r="A814" t="str">
            <v>DOC. SUB DIRECTOR BASICA V   77 TID</v>
          </cell>
        </row>
        <row r="815">
          <cell r="A815" t="str">
            <v>DOC. SUB DIRECTOR BASICA V  139 TID</v>
          </cell>
        </row>
        <row r="816">
          <cell r="A816" t="str">
            <v>DOC. SUB DIRECTOR BASICA VI  77 TCVNMA</v>
          </cell>
        </row>
        <row r="817">
          <cell r="A817" t="str">
            <v>DOC. SUB DIRECTOR BASICA VI  77 TID</v>
          </cell>
        </row>
        <row r="818">
          <cell r="A818" t="str">
            <v>DOC. SUB DIRECTOR BASICA VI 139 TID</v>
          </cell>
        </row>
        <row r="819">
          <cell r="A819" t="str">
            <v>DOC. SUB DIRECTOR BASICO I  T.S.E.</v>
          </cell>
        </row>
        <row r="820">
          <cell r="A820" t="str">
            <v>DOC. SUB DIRECTOR BASICO IV  T.S.E.</v>
          </cell>
        </row>
        <row r="821">
          <cell r="A821" t="str">
            <v>DOC. SUB DIRECTOR BASICO V  T.S.E.</v>
          </cell>
        </row>
        <row r="822">
          <cell r="A822" t="str">
            <v>DOC. SUB DIRECTOR BASICO VI T.S.E.</v>
          </cell>
        </row>
        <row r="823">
          <cell r="A823" t="str">
            <v>DOC. SUB DIRECTOR N.G. TIDN</v>
          </cell>
        </row>
        <row r="824">
          <cell r="A824" t="str">
            <v>DOC. SUB DIRECTOR PRE-ESC. T.S.E. TID II</v>
          </cell>
        </row>
        <row r="825">
          <cell r="A825" t="str">
            <v>DOC. SUB DIRECTOR PRE-ESC. T.S.E. TID II</v>
          </cell>
        </row>
        <row r="826">
          <cell r="A826" t="str">
            <v>DOC. SUB DIRECTOR PRE-ESC. T.S.E. TID IV</v>
          </cell>
        </row>
        <row r="827">
          <cell r="A827" t="str">
            <v>DOC. SUB DIRECTOR PRE-ESC. T.S.E. TID V</v>
          </cell>
        </row>
        <row r="828">
          <cell r="A828" t="str">
            <v>DOC. SUB DIRECTOR PRE-ESC. T.S.E. TID VI</v>
          </cell>
        </row>
        <row r="829">
          <cell r="A829" t="str">
            <v>DOC. SUB DIRECTOR PRE-ESCOLAR II 139</v>
          </cell>
        </row>
        <row r="830">
          <cell r="A830" t="str">
            <v>DOC. SUB DIRECTOR PRE-ESCOLAR II 77</v>
          </cell>
        </row>
        <row r="831">
          <cell r="A831" t="str">
            <v>DOC. SUB DIRECTOR PRE-ESCOLAR III 77</v>
          </cell>
        </row>
        <row r="832">
          <cell r="A832" t="str">
            <v>DOC. SUB DIRECTOR PRE-ESCOLAR IV 77</v>
          </cell>
        </row>
        <row r="833">
          <cell r="A833" t="str">
            <v>DOC. SUB DIRECTOR PRE-ESCOLAR V  139</v>
          </cell>
        </row>
        <row r="834">
          <cell r="A834" t="str">
            <v>DOC. SUB DIRECTOR PRE-ESCOLAR V  77</v>
          </cell>
        </row>
        <row r="835">
          <cell r="A835" t="str">
            <v>DOC. SUB DIRECTOR PRE-ESCOLAR VI 139</v>
          </cell>
        </row>
        <row r="836">
          <cell r="A836" t="str">
            <v>DOC. SUB DIRECTOR PRE-ESCOLAR VI 77</v>
          </cell>
        </row>
        <row r="837">
          <cell r="A837" t="str">
            <v>DOC. SUB. DIR. BAS. VI 77 (36 HORAS) DOC BAS VI 77 TCVD (14 HORAS)</v>
          </cell>
        </row>
        <row r="838">
          <cell r="A838" t="str">
            <v>DOC. SUBDIR. BAS. (36 HORAS) Y PROF. DE KINDER MUSICAL (16 HORAS)</v>
          </cell>
        </row>
        <row r="839">
          <cell r="A839" t="str">
            <v>DOC. SUP. BAS.  VI 77 TC (40 HORAS) TCVNMA (16 HORAS)</v>
          </cell>
        </row>
        <row r="840">
          <cell r="A840" t="str">
            <v>DOC. SUP. BAS. III 77</v>
          </cell>
        </row>
        <row r="841">
          <cell r="A841" t="str">
            <v>DOC. SUP.BAS  VI 77  TC</v>
          </cell>
        </row>
        <row r="842">
          <cell r="A842" t="str">
            <v>DOC. SUP.BAS. II 77  TC</v>
          </cell>
        </row>
        <row r="843">
          <cell r="A843" t="str">
            <v>DOC. SUP.BAS. IV 139 TC</v>
          </cell>
        </row>
        <row r="844">
          <cell r="A844" t="str">
            <v>DOC. SUP.BAS. IV 77  TC</v>
          </cell>
        </row>
        <row r="845">
          <cell r="A845" t="str">
            <v>DOC. SUP.BAS. V  139 TC</v>
          </cell>
        </row>
        <row r="846">
          <cell r="A846" t="str">
            <v>DOC. SUP.BAS. V  77  TC</v>
          </cell>
        </row>
        <row r="847">
          <cell r="A847" t="str">
            <v>DOC. SUP.BAS. VI 139 TC</v>
          </cell>
        </row>
        <row r="848">
          <cell r="A848" t="str">
            <v>DOC. SUP.NG. III MEFDTC</v>
          </cell>
        </row>
        <row r="849">
          <cell r="A849" t="str">
            <v>DOC.BAS VI 77 TID (33.33 HORAS) / TCVD (16 HORAS)</v>
          </cell>
        </row>
        <row r="850">
          <cell r="A850" t="str">
            <v>DOC.BAS. V 77 TID (33.33 HORAS) /TCVD (05 HORAS)</v>
          </cell>
        </row>
        <row r="851">
          <cell r="A851" t="str">
            <v>DOC.BAS. V 77 TID (33.33 HORAS)-TCVD (05 HORAS)</v>
          </cell>
        </row>
        <row r="852">
          <cell r="A852" t="str">
            <v>DOC.BAS. VI 77 TID  (33.33 HORAS) /TCVD (05 HORAS)</v>
          </cell>
        </row>
        <row r="853">
          <cell r="A853" t="str">
            <v>DOC.BAS. VI 77 TID (33,33 HORAS) / TCVD (20 HORAS)</v>
          </cell>
        </row>
        <row r="854">
          <cell r="A854" t="str">
            <v>DOC.BAS. VI 77 TID (33.33 HORAS) /TCVD (20 HORAS)</v>
          </cell>
        </row>
        <row r="855">
          <cell r="A855" t="str">
            <v>DOC.BAS. VI 77 TID (36 HORAS) /TCVD (08 HORAS)</v>
          </cell>
        </row>
        <row r="856">
          <cell r="A856" t="str">
            <v>DOC.BAS. VI 77 TID (36 HORAS) /TCVD (14 HORAS)</v>
          </cell>
        </row>
        <row r="857">
          <cell r="A857" t="str">
            <v>DOC.BAS. VI 77TID (33.33 HORAS) / TCVMNA (16 HORAS)</v>
          </cell>
        </row>
        <row r="858">
          <cell r="A858" t="str">
            <v>DOC.BAS.VI 77 TID (33 HORAS) /TCVD (14 HORAS)</v>
          </cell>
        </row>
        <row r="859">
          <cell r="A859" t="str">
            <v>DOC.BAS.VI 77 TID (33.33 HORAS) /TCVD (10 HORAS)</v>
          </cell>
        </row>
        <row r="860">
          <cell r="A860" t="str">
            <v>DOC.DIRECTOR BASICA VI 139 TID (36HRS) Y ALFABETIZADOR V 139 (16HRS)</v>
          </cell>
        </row>
        <row r="861">
          <cell r="A861" t="str">
            <v>DOC.PRE-ESC. /TID (33.33) Y TCVD (17 HORAS)</v>
          </cell>
        </row>
        <row r="862">
          <cell r="A862" t="str">
            <v>DOC.SUB.BAS.IV TID (36 HOTAS) /TCVD (4 HORAS) Y (8 HORAS)</v>
          </cell>
        </row>
        <row r="863">
          <cell r="A863" t="str">
            <v>DOCENTE AULA IV</v>
          </cell>
        </row>
        <row r="864">
          <cell r="A864" t="str">
            <v>DOCENTE BASICA 19-77 TID</v>
          </cell>
        </row>
        <row r="865">
          <cell r="A865" t="str">
            <v>DOCENTE BASICA DIRECTORA 16-77 TID</v>
          </cell>
        </row>
        <row r="866">
          <cell r="A866" t="str">
            <v>DOCENTE BASICA DIRECTORA V 77 TCVD (20 HORAS) Y TC (40 HORAS)</v>
          </cell>
        </row>
        <row r="867">
          <cell r="A867" t="str">
            <v>DOCENTE BASICA I 77 TCVD  (12 HORAS) Y DOCENTE BASICA I 77 TCVD (08 HORAS)</v>
          </cell>
        </row>
        <row r="868">
          <cell r="A868" t="str">
            <v>DOCENTE BASICA III 77 TID/TCVD</v>
          </cell>
        </row>
        <row r="869">
          <cell r="A869" t="str">
            <v>DOCENTE BASICA IV 139 TCVNMA (16 HORAS)</v>
          </cell>
        </row>
        <row r="870">
          <cell r="A870" t="str">
            <v>DOCENTE BASICA IV 77 TCVD (18 HORAS) Y DOCENTE BASICA IV 77 TID (33,33 HORAS)</v>
          </cell>
        </row>
        <row r="871">
          <cell r="A871" t="str">
            <v>DOCENTE BASICA IV 77 TCVD (22 HORAS) Y DOCENTE BASICA IV 77 TID (33,33 HORAS)</v>
          </cell>
        </row>
        <row r="872">
          <cell r="A872" t="str">
            <v>DOCENTE BASICA IV 77 TCVD Y DOCENTE IV 77 TCVD</v>
          </cell>
        </row>
        <row r="873">
          <cell r="A873" t="str">
            <v>DOCENTE BASICA IV 77 TID (33,33 HORAS) Y ALFABETIZADORA (16 HORAS)</v>
          </cell>
        </row>
        <row r="874">
          <cell r="A874" t="str">
            <v>DOCENTE BASICA IV 77 TID (33,33 HORAS) Y DOCENTE BASICA IV 77 TCVD (10 HORAS)</v>
          </cell>
        </row>
        <row r="875">
          <cell r="A875" t="str">
            <v>DOCENTE BASICA IV 77 TID (33,33 HORAS) Y DOCENTE BASICA IV TCVD (14 HORAS)</v>
          </cell>
        </row>
        <row r="876">
          <cell r="A876" t="str">
            <v>DOCENTE BASICA IV 77 TID (33,33 HORAS) Y TCVD (12 HORAS)</v>
          </cell>
        </row>
        <row r="877">
          <cell r="A877" t="str">
            <v>DOCENTE BASICA IV 77 TID (33,33 HORAS) Y TCVD (20 HORAS)</v>
          </cell>
        </row>
        <row r="878">
          <cell r="A878" t="str">
            <v>DOCENTE BASICA IV 77 TID Y DOCENTE BASICA IV 77 TCVD</v>
          </cell>
        </row>
        <row r="879">
          <cell r="A879" t="str">
            <v>DOCENTE BASICA IV 77 TID Y DOCENTE DE AULA (ZONA EDUCATIVA)</v>
          </cell>
        </row>
        <row r="880">
          <cell r="A880" t="str">
            <v>DOCENTE BASICA NG 16 TCVNMA (16 HORAS)</v>
          </cell>
        </row>
        <row r="881">
          <cell r="A881" t="str">
            <v>DOCENTE BASICA NG TCVD (07 HORAS)</v>
          </cell>
        </row>
        <row r="882">
          <cell r="A882" t="str">
            <v>DOCENTE BASICA NG TCVD (12 HORAS)</v>
          </cell>
        </row>
        <row r="883">
          <cell r="A883" t="str">
            <v>DOCENTE BASICA NG TCVD (12 HR) Y INSTRUCTOR II (24 HR)</v>
          </cell>
        </row>
        <row r="884">
          <cell r="A884" t="str">
            <v>DOCENTE BASICA NG TCVD (20 HORAS)</v>
          </cell>
        </row>
        <row r="885">
          <cell r="A885" t="str">
            <v>DOCENTE BASICA SUPERVISORA VI 139 TC Y DOCENTE BASICA VI 139 TCVNM</v>
          </cell>
        </row>
        <row r="886">
          <cell r="A886" t="str">
            <v>DOCENTE BASICA V  77 TID (33,33 HORAS) Y DOCENTE BASICA V 77 TCVD (19HORAS)</v>
          </cell>
        </row>
        <row r="887">
          <cell r="A887" t="str">
            <v>DOCENTE BASICA V 139 TID Y DOCENTE BASICA V 139 TCVN</v>
          </cell>
        </row>
        <row r="888">
          <cell r="A888" t="str">
            <v>DOCENTE BASICA V 77 TID (33,33 HORAS)  Y TCVNMA (16 HORAS)</v>
          </cell>
        </row>
        <row r="889">
          <cell r="A889" t="str">
            <v>DOCENTE BASICA V 77 TID (33,33 HORAS) Y TCVD (02 HORAS)</v>
          </cell>
        </row>
        <row r="890">
          <cell r="A890" t="str">
            <v>DOCENTE BASICA V 77 TID (33,33 HORAS) Y TCVD (08 HORAS)</v>
          </cell>
        </row>
        <row r="891">
          <cell r="A891" t="str">
            <v>DOCENTE BASICA V 77 TID (33,33 HORAS) Y TCVD (17 HORAS)</v>
          </cell>
        </row>
        <row r="892">
          <cell r="A892" t="str">
            <v>DOCENTE BASICA V 77 TID (33,33 HORAS) Y TCVD (19 HORAS)</v>
          </cell>
        </row>
        <row r="893">
          <cell r="A893" t="str">
            <v>DOCENTE BASICA V 77 TID Y V 77 (33,33 HORAS) TCVD (10 HORAS)</v>
          </cell>
        </row>
        <row r="894">
          <cell r="A894" t="str">
            <v>DOCENTE BASICA V 77 TID Y V 77 (33,33 HORAS) TCVD (20 HORAS)</v>
          </cell>
        </row>
        <row r="895">
          <cell r="A895" t="str">
            <v>DOCENTE BASICA VI 139 TID (33.33 HORAS) Y DOCENTE BASICA VI 139 TCVD (16 HORAS)</v>
          </cell>
        </row>
        <row r="896">
          <cell r="A896" t="str">
            <v>DOCENTE BASICA VI 139 TID Y COORDINADORA VI 139</v>
          </cell>
        </row>
        <row r="897">
          <cell r="A897" t="str">
            <v>DOCENTE BASICA VI 139 TID Y DOCENTE BASICA VI 139 TCVD</v>
          </cell>
        </row>
        <row r="898">
          <cell r="A898" t="str">
            <v>DOCENTE BASICA VI 139 TID Y DOCENTE BASICA VI 139 TCVNM</v>
          </cell>
        </row>
        <row r="899">
          <cell r="A899" t="str">
            <v>DOCENTE BASICA VI 77 TCVD (13 HORAS) Y COORDINADORA VI (36 HORAS)</v>
          </cell>
        </row>
        <row r="900">
          <cell r="A900" t="str">
            <v>DOCENTE BASICA VI 77 TCVNM, MAESTRA ALFABETIZADORA, DIRECTORA DOCENTE BASICA VI TCVN, DOCENTE BASICA</v>
          </cell>
        </row>
        <row r="901">
          <cell r="A901" t="str">
            <v>DOCENTE BASICA VI 77 TID  (33.33 HORAS) Y TCVNMA  (16 HORAS)</v>
          </cell>
        </row>
        <row r="902">
          <cell r="A902" t="str">
            <v>DOCENTE BASICA VI 77 TID  (33.33) / TCVD (12 HORAS)</v>
          </cell>
        </row>
        <row r="903">
          <cell r="A903" t="str">
            <v>DOCENTE BASICA VI 77 TID (10 HORAS)  /TCVD (33,33 HORAS)</v>
          </cell>
        </row>
        <row r="904">
          <cell r="A904" t="str">
            <v>DOCENTE BASICA VI 77 TID (33 HORAS) Y TCVD (07 HORAS)</v>
          </cell>
        </row>
        <row r="905">
          <cell r="A905" t="str">
            <v>DOCENTE BASICA VI 77 TID (33 HORAS) Y TCVD (08 HORAS)</v>
          </cell>
        </row>
        <row r="906">
          <cell r="A906" t="str">
            <v>DOCENTE BASICA VI 77 TID (33 HORAS), V 77 TCVD (08 HORAS)</v>
          </cell>
        </row>
        <row r="907">
          <cell r="A907" t="str">
            <v>DOCENTE BASICA VI 77 TID (33,33 HORAS)  Y TCVD (20 HORAS)</v>
          </cell>
        </row>
        <row r="908">
          <cell r="A908" t="str">
            <v>DOCENTE BASICA VI 77 TID (33,33 HORAS) /TCVNMA (15 HORAS)</v>
          </cell>
        </row>
        <row r="909">
          <cell r="A909" t="str">
            <v>DOCENTE BASICA VI 77 TID (33,33 HORAS) Y  TCVD (6 HORAS)</v>
          </cell>
        </row>
        <row r="910">
          <cell r="A910" t="str">
            <v>DOCENTE BASICA VI 77 TID (33,33 HORAS) Y ALFABETIZADORA VI 77 (16 HORAS)</v>
          </cell>
        </row>
        <row r="911">
          <cell r="A911" t="str">
            <v>DOCENTE BASICA VI 77 TID (33,33 HORAS) Y TCVD (04 HORAS)</v>
          </cell>
        </row>
        <row r="912">
          <cell r="A912" t="str">
            <v>DOCENTE BASICA VI 77 TID (33,33 HORAS) Y TCVD (04 HORAS)</v>
          </cell>
        </row>
        <row r="913">
          <cell r="A913" t="str">
            <v>DOCENTE BASICA VI 77 TID (33,33 HORAS) Y TCVD (04 HORAS)</v>
          </cell>
        </row>
        <row r="914">
          <cell r="A914" t="str">
            <v>DOCENTE BASICA VI 77 TID (33,33 HORAS) Y TCVD (11 HORAS)</v>
          </cell>
        </row>
        <row r="915">
          <cell r="A915" t="str">
            <v>DOCENTE BASICA VI 77 TID (33,33 HORAS) Y TCVNMA (14 HORAS)</v>
          </cell>
        </row>
        <row r="916">
          <cell r="A916" t="str">
            <v>DOCENTE BASICA VI 77 TID (33,33) Y DOCENTE BASICO VI 77 TCVD (12 HORAS)</v>
          </cell>
        </row>
        <row r="917">
          <cell r="A917" t="str">
            <v>DOCENTE BASICA VI 77 TID (33,33) Y TCVD (14 HORAS)</v>
          </cell>
        </row>
        <row r="918">
          <cell r="A918" t="str">
            <v>DOCENTE BASICA VI 77 TID (33.33 HORAS) Y TCVD (16 HORAS)</v>
          </cell>
        </row>
        <row r="919">
          <cell r="A919" t="str">
            <v>DOCENTE BASICA VI 77 TID (33.33 HORAS) Y TCVD (19 HORAS)</v>
          </cell>
        </row>
        <row r="920">
          <cell r="A920" t="str">
            <v>DOCENTE BASICA VI 77 TID (36 HORAS) Y DOCENTE BASICO TCVD (12 HORAS)</v>
          </cell>
        </row>
        <row r="921">
          <cell r="A921" t="str">
            <v>DOCENTE BASICA VI 77 TID Y DOCENTE BASICA VI 77 TCNM</v>
          </cell>
        </row>
        <row r="922">
          <cell r="A922" t="str">
            <v>DOCENTE BASICA VI 77 TID Y DOCENTE DE AULA (ZONA EDUCATIVA)</v>
          </cell>
        </row>
        <row r="923">
          <cell r="A923" t="str">
            <v>DOCENTE BASICO 16-139 TCVN Y DOCENTE DIRECTOR BASICO 139 TID VI</v>
          </cell>
        </row>
        <row r="924">
          <cell r="A924" t="str">
            <v>DOCENTE BASICO 16-139 TCVNMA</v>
          </cell>
        </row>
        <row r="925">
          <cell r="A925" t="str">
            <v>DOCENTE BASICO 16-77 TCVNM/MA VI Y DOCENTE SUB-DIRECTOR 16-77 TID VI Y PH (08 HORAS)</v>
          </cell>
        </row>
        <row r="926">
          <cell r="A926" t="str">
            <v>DOCENTE BASICO 16-77 TCVNMA VI, Y SUPERVISOR BASICO</v>
          </cell>
        </row>
        <row r="927">
          <cell r="A927" t="str">
            <v>DOCENTE BASICO DE ADULTOS Y COORD PROM DIF CULT</v>
          </cell>
        </row>
        <row r="928">
          <cell r="A928" t="str">
            <v>DOCENTE BASICO IV 77 TCVD (36 HORAS)</v>
          </cell>
        </row>
        <row r="929">
          <cell r="A929" t="str">
            <v>DOCENTE BASICO IV 77 TID (33,33 HORAS) Y TCVD (08 HORAS)</v>
          </cell>
        </row>
        <row r="930">
          <cell r="A930" t="str">
            <v>DOCENTE BASICO IV 77 TID (33,33 HORAS) Y TCVD (08 HORAS)</v>
          </cell>
        </row>
        <row r="931">
          <cell r="A931" t="str">
            <v>DOCENTE BASICO IV 77 TID (33,33 HORAS) Y TCVD (12 HORAS)</v>
          </cell>
        </row>
        <row r="932">
          <cell r="A932" t="str">
            <v>DOCENTE BASICO IV 77 TID (33,33 HORAS) Y TCVD (16 HORAS)</v>
          </cell>
        </row>
        <row r="933">
          <cell r="A933" t="str">
            <v>DOCENTE BASICO IV 77 TID (33,33 HORAS) Y TCVD (18 HORAS)</v>
          </cell>
        </row>
        <row r="934">
          <cell r="A934" t="str">
            <v>DOCENTE BASICO IV 77 TID (33,33 HORAS) Y TCVD (20 HORAS)</v>
          </cell>
        </row>
        <row r="935">
          <cell r="A935" t="str">
            <v>DOCENTE BASICO IV 77 TID (33,33 HORAS) Y TCVNMA (16 HORAS)</v>
          </cell>
        </row>
        <row r="936">
          <cell r="A936" t="str">
            <v>DOCENTE BASICO IV 77 TID/TCVD</v>
          </cell>
        </row>
        <row r="937">
          <cell r="A937" t="str">
            <v>DOCENTE BASICO NG TID (33,33 HORAS) Y DOCENTE BASICA NG TCVNMA (16 HORAS)</v>
          </cell>
        </row>
        <row r="938">
          <cell r="A938" t="str">
            <v>DOCENTE BASICO V 77 TCVNMA (16 HORAS) Y DOCENTE SUPERVISOR BASICO V 77 TC (40 HORAS)</v>
          </cell>
        </row>
        <row r="939">
          <cell r="A939" t="str">
            <v>DOCENTE BASICO V 77 TID (33 HORAS) Y TVCNMA (16 HORAS)</v>
          </cell>
        </row>
        <row r="940">
          <cell r="A940" t="str">
            <v>DOCENTE BASICO V 77 TID (33,33 HORAS) Y TCVD (05 HORAS)</v>
          </cell>
        </row>
        <row r="941">
          <cell r="A941" t="str">
            <v>DOCENTE BASICO V 77 TID (33,33 HORAS) Y TCVD (14 HORAS)</v>
          </cell>
        </row>
        <row r="942">
          <cell r="A942" t="str">
            <v>DOCENTE BASICO V 77 TID (33,33 HORAS) Y TCVN (10 HORAS)</v>
          </cell>
        </row>
        <row r="943">
          <cell r="A943" t="str">
            <v>DOCENTE BASICO V 77 TID (33,33 HORAS) Y TCVN (16 HORAS)</v>
          </cell>
        </row>
        <row r="944">
          <cell r="A944" t="str">
            <v>DOCENTE BASICO V 77 TID (33,33 HORAS)Y TCVD (07 HORAS)</v>
          </cell>
        </row>
        <row r="945">
          <cell r="A945" t="str">
            <v>DOCENTE BASICO V 77 TID (33.33 HORAS) Y TCVD (21 HORAS)</v>
          </cell>
        </row>
        <row r="946">
          <cell r="A946" t="str">
            <v>DOCENTE BASICO V TID (33.33 HORAS), Y TCVD (11 HORAS)</v>
          </cell>
        </row>
        <row r="947">
          <cell r="A947" t="str">
            <v>DOCENTE BASICO V TSE TCVNMA (16 HR)</v>
          </cell>
        </row>
        <row r="948">
          <cell r="A948" t="str">
            <v>DOCENTE BASICO VI  77 TID (33,33 HORAS) Y TCVD (14 HORAS)</v>
          </cell>
        </row>
        <row r="949">
          <cell r="A949" t="str">
            <v>DOCENTE BASICO VI 77 (33,33 HORAS)  TID Y TCVD (8 HORAS)</v>
          </cell>
        </row>
        <row r="950">
          <cell r="A950" t="str">
            <v>DOCENTE BASICO VI 77 TCVD (33 HORAS) TID (17 HORAS)</v>
          </cell>
        </row>
        <row r="951">
          <cell r="A951" t="str">
            <v>DOCENTE BASICO VI 77 TCVD / TCVD</v>
          </cell>
        </row>
        <row r="952">
          <cell r="A952" t="str">
            <v>DOCENTE BASICO VI 77 TID (33,33 HORAS) / TCVD (6 HORAS) / TCVD (12 HORAS)</v>
          </cell>
        </row>
        <row r="953">
          <cell r="A953" t="str">
            <v>DOCENTE BASICO VI 77 TID (33,33 HORAS) Y DOCENTE BASICO VI 77 TCVD (8 HORAS)</v>
          </cell>
        </row>
        <row r="954">
          <cell r="A954" t="str">
            <v>DOCENTE BASICO VI 77 TID (33,33 HORAS) Y TCVD (20 HORAS)</v>
          </cell>
        </row>
        <row r="955">
          <cell r="A955" t="str">
            <v>DOCENTE BASICO VI 77 TID (33,33 HORAS) Y TCVD (6 HORAS)</v>
          </cell>
        </row>
        <row r="956">
          <cell r="A956" t="str">
            <v>DOCENTE BASICO VI 77 TID (33,33)  / TCVNMA (11)</v>
          </cell>
        </row>
        <row r="957">
          <cell r="A957" t="str">
            <v>DOCENTE BASICO VI 77 TID (33.33 HORAS) Y TCVD (6 HORAS)</v>
          </cell>
        </row>
        <row r="958">
          <cell r="A958" t="str">
            <v>DOCENTE BASICO VI 77 TID Y DOCENTE BASICO VI 77 TCVD Y DOCENTE BASICO VI 77 TCVD Y 2 CARGOS MAS</v>
          </cell>
        </row>
        <row r="959">
          <cell r="A959" t="str">
            <v>DOCENTE BASICO Y DIRECTOR 16-139 TID VI</v>
          </cell>
        </row>
        <row r="960">
          <cell r="A960" t="str">
            <v>DOCENTE COOD. 139 VI TID (33,33 HORAS) Y DOCENTE BASICO VI 139 TCVNMA (16 HORAS)</v>
          </cell>
        </row>
        <row r="961">
          <cell r="A961" t="str">
            <v>DOCENTE DE BASICA III TSE 16 H Y AUXILIAR DE BIBLIOTECA</v>
          </cell>
        </row>
        <row r="962">
          <cell r="A962" t="str">
            <v>DOCENTE DIRECTOR BASICA IV 77 TCVD Y COORDINADOR DOCENTE</v>
          </cell>
        </row>
        <row r="963">
          <cell r="A963" t="str">
            <v>DOCENTE DIRECTOR BASICA VI 139 TID (36 HORAS)</v>
          </cell>
        </row>
        <row r="964">
          <cell r="A964" t="str">
            <v>DOCENTE DIRECTOR BASICA VI 77 TID (36 HORAS) Y TCVNMA (16 HORAS)</v>
          </cell>
        </row>
        <row r="965">
          <cell r="A965" t="str">
            <v>DOCENTE DIRECTOR BASICA VI 77 TID (36HORAS) Y TCVD (10 HORAS)</v>
          </cell>
        </row>
        <row r="966">
          <cell r="A966" t="str">
            <v>DOCENTE DIRECTOR BASICO V 77 TID (40 HORAS) Y DOCENTE BASICO V 77 TCVM (16 HORAS)</v>
          </cell>
        </row>
        <row r="967">
          <cell r="A967" t="str">
            <v>DOCENTE DIRECTOR BASICO VI 139 TID (36 HORAS), Y DOCENTE DIRECTOR BASICO VI 139 TCVN (20 HORAS)</v>
          </cell>
        </row>
        <row r="968">
          <cell r="A968" t="str">
            <v>DOCENTE DIRECTOR BASICO VI 77 TID (36 HORAS) Y DOC BASICO VI 77 TCVD (13 HORAS)</v>
          </cell>
        </row>
        <row r="969">
          <cell r="A969" t="str">
            <v>DOCENTE DIRECTOR BASICO VI 77 TID (36 HORAS) Y TCVD (17 HORAS)</v>
          </cell>
        </row>
        <row r="970">
          <cell r="A970" t="str">
            <v>DOCENTE DIRECTOR BASICO VI 77 TID (40 HORAS) Y DOC BASICO VI 77 TCVD (06 HORAS)</v>
          </cell>
        </row>
        <row r="971">
          <cell r="A971" t="str">
            <v>DOCENTE DIRECTOR BASICO VI 77 TID (40 HORAS) Y DOCENTE BASICO VI 77 TCVNMA (16 HORAS)</v>
          </cell>
        </row>
        <row r="972">
          <cell r="A972" t="str">
            <v>DOCENTE DIRECTOR PRE-ESCOLAR VI 77 TID (36 HORAS)</v>
          </cell>
        </row>
        <row r="973">
          <cell r="A973" t="str">
            <v>DOCENTE DIRECTORA BASICA IV 77 TID (36 HORAS)</v>
          </cell>
        </row>
        <row r="974">
          <cell r="A974" t="str">
            <v>DOCENTE DIRECTORA BASICA V 77 TCVNMA 20HRS</v>
          </cell>
        </row>
        <row r="975">
          <cell r="A975" t="str">
            <v>DOCENTE DIRECTORA BASICA VI 139 (36 HORAS) TID Y ALFABETIZADORA VI 139</v>
          </cell>
        </row>
        <row r="976">
          <cell r="A976" t="str">
            <v>DOCENTE DIRECTORA BASICA VI 77 TID (36 HORAS) Y DOCENTE BASICA V 77 TCVD (4 HORAS)</v>
          </cell>
        </row>
        <row r="977">
          <cell r="A977" t="str">
            <v>DOCENTE N.G 1-6 TCVD (33,33 HORAS) / DOC BASICA NG TCVD (14 HORAS)</v>
          </cell>
        </row>
        <row r="978">
          <cell r="A978" t="str">
            <v>DOCENTE N.G. 1-6</v>
          </cell>
        </row>
        <row r="979">
          <cell r="A979" t="str">
            <v>DOCENTE ORIENTADOR</v>
          </cell>
        </row>
        <row r="980">
          <cell r="A980" t="str">
            <v>DOCENTE ORIENTADOR V 77 1-6 TID (36 HORAS)</v>
          </cell>
        </row>
        <row r="981">
          <cell r="A981" t="str">
            <v>DOCENTE PLANIFICADOR VI 77 TC (36 HORAS) Y DOCENTE BASICA VI 77 TCVNMA (16 HORAS)</v>
          </cell>
        </row>
        <row r="982">
          <cell r="A982" t="str">
            <v>DOCENTE PLANIFICADORA 16-77 VI (36 HORAS) Y DOC BAS VI 77 TCVMA (16 HORAS)</v>
          </cell>
        </row>
        <row r="983">
          <cell r="A983" t="str">
            <v>DOCENTE PRE-ESCOLAR IV 77 TID (33,33 HORAS) Y DOCENTE BASICA IV 77 TCVD (06 HORAS)</v>
          </cell>
        </row>
        <row r="984">
          <cell r="A984" t="str">
            <v>DOCENTE PRE-ESCOLAR VI 139 TID (33,33 HORAS) Y DOC. BASICA VI 139 TCVNMA  (16 HORAS)</v>
          </cell>
        </row>
        <row r="985">
          <cell r="A985" t="str">
            <v>DOCENTE PREESCOLAR VI 77 TID (33.33 HORAS) Y DOCENTE BASICO V 77 TCVNMA (16 HORAS)</v>
          </cell>
        </row>
        <row r="986">
          <cell r="A986" t="str">
            <v>DOCENTE SD BASICA VI 77 TID (40 HORAS) Y TCVD (14 HORAS)</v>
          </cell>
        </row>
        <row r="987">
          <cell r="A987" t="str">
            <v>DOCENTE SUB-DIRECTOR BASICA IV 77 TID (36 HORAS)</v>
          </cell>
        </row>
        <row r="988">
          <cell r="A988" t="str">
            <v>DOCENTE SUB-DIRECTOR BASICA IV 77 TID (36 HORAS)Y DOCENTE IV BASICO TCVD (16 HORAS)</v>
          </cell>
        </row>
        <row r="989">
          <cell r="A989" t="str">
            <v>DOCENTE SUB-DIRECTOR BASICO IV 77 TID (40 HORAS) Y DOCENTE BASICO IV 77 TCVD (08 HORAS)</v>
          </cell>
        </row>
        <row r="990">
          <cell r="A990" t="str">
            <v>DOCENTE SUB-DIRECTORA BASICA V 77 TID (36 HORAS) Y TCVD (08 HORAS)</v>
          </cell>
        </row>
        <row r="991">
          <cell r="A991" t="str">
            <v>DOCENTE SUB-DIRECTORA BASICA V TSE (36 HORAS)</v>
          </cell>
        </row>
        <row r="992">
          <cell r="A992" t="str">
            <v>DOCENTE SUB-DIRECTORA BASICA VI 77 TID (40 HORAS) Y (07 HORAS)</v>
          </cell>
        </row>
        <row r="993">
          <cell r="A993" t="str">
            <v>DOCENTE SUB-DIRECTORA BASICO VI 77 TID (36 HORAS) Y (16 HORAS)</v>
          </cell>
        </row>
        <row r="994">
          <cell r="A994" t="str">
            <v>DOCENTE SUP BASICA VI 77 TC (40 HORAS), DOCENTE BAS VI TCVN (16 HORAS) Y DOCENTE VI AULA (5 HORAS)</v>
          </cell>
        </row>
        <row r="995">
          <cell r="A995" t="str">
            <v>DOCENTE SUPERVISOR BASICO V 77 TC Y DOCENTE BASICO V 77 TCVN Y DOCENTE DE AULA V (ZONA EDUC)</v>
          </cell>
        </row>
        <row r="996">
          <cell r="A996" t="str">
            <v>DOCENTE SUPERVISOR BASICO VI 139 TC (40 HORAS) Y DOCENTE BASICO VI 139 TCVNMA (16 HORAS)</v>
          </cell>
        </row>
        <row r="997">
          <cell r="A997" t="str">
            <v>DOCENTE SUPERVISOR BASICO VI 77 TC Y DOCENTE IV AULA (13 HORAS)</v>
          </cell>
        </row>
        <row r="998">
          <cell r="A998" t="str">
            <v>DOCENTE SUPERVISOR BASICO VI 77 TCVNMA</v>
          </cell>
        </row>
        <row r="999">
          <cell r="A999" t="str">
            <v>DOCENTE SUPERVISOR V 77 TC</v>
          </cell>
        </row>
        <row r="1000">
          <cell r="A1000" t="str">
            <v>DOCENTE V 77 TID (33,33 HORAS) Y TCVD (13 HORAS)</v>
          </cell>
        </row>
        <row r="1001">
          <cell r="A1001" t="str">
            <v>ECONOMA I</v>
          </cell>
        </row>
        <row r="1002">
          <cell r="A1002" t="str">
            <v>ECONOMA II</v>
          </cell>
        </row>
        <row r="1003">
          <cell r="A1003" t="str">
            <v>ECONOMISTA I</v>
          </cell>
        </row>
        <row r="1004">
          <cell r="A1004" t="str">
            <v>ECONOMISTA II</v>
          </cell>
        </row>
        <row r="1005">
          <cell r="A1005" t="str">
            <v>ECONOMISTA III</v>
          </cell>
        </row>
        <row r="1006">
          <cell r="A1006" t="str">
            <v>ECONOMISTA JEFE I</v>
          </cell>
        </row>
        <row r="1007">
          <cell r="A1007" t="str">
            <v>ECONOMISTA JEFE II</v>
          </cell>
        </row>
        <row r="1008">
          <cell r="A1008" t="str">
            <v>ECONOMISTA JEFE III</v>
          </cell>
        </row>
        <row r="1009">
          <cell r="A1009" t="str">
            <v>EDITOR</v>
          </cell>
        </row>
        <row r="1010">
          <cell r="A1010" t="str">
            <v>EDITOR DE NOTICIAS EDUCATIVAS</v>
          </cell>
        </row>
        <row r="1011">
          <cell r="A1011" t="str">
            <v>EDITOR FILMICO</v>
          </cell>
        </row>
        <row r="1012">
          <cell r="A1012" t="str">
            <v>EDITOR HISTORICO</v>
          </cell>
        </row>
        <row r="1013">
          <cell r="A1013" t="str">
            <v>EDITOR JEFE</v>
          </cell>
        </row>
        <row r="1014">
          <cell r="A1014" t="str">
            <v>EJECUTANTE DE CLARINETE</v>
          </cell>
        </row>
        <row r="1015">
          <cell r="A1015" t="str">
            <v>ENCUADERNADOR DE CONSERVACION II</v>
          </cell>
        </row>
        <row r="1016">
          <cell r="A1016" t="str">
            <v>ENCUADERNADOR DE CONSERVACION III</v>
          </cell>
        </row>
        <row r="1017">
          <cell r="A1017" t="str">
            <v>ENCUADERNADOR DE CONSERVACION JEFE</v>
          </cell>
        </row>
        <row r="1018">
          <cell r="A1018" t="str">
            <v>ENFERMERA ANESTESISTA</v>
          </cell>
        </row>
        <row r="1019">
          <cell r="A1019" t="str">
            <v>ENFERMERA DE SALUD PUBLICA I</v>
          </cell>
        </row>
        <row r="1020">
          <cell r="A1020" t="str">
            <v>ENFERMERA DE SALUD PUBLICA II</v>
          </cell>
        </row>
        <row r="1021">
          <cell r="A1021" t="str">
            <v>ENFERMERA DE SALUD PUBLICA III</v>
          </cell>
        </row>
        <row r="1022">
          <cell r="A1022" t="str">
            <v>ENFERMERA DE SALUD PUBLICA IV</v>
          </cell>
        </row>
        <row r="1023">
          <cell r="A1023" t="str">
            <v>ENFERMERA DE SALUD PUBLICA JEFE II</v>
          </cell>
        </row>
        <row r="1024">
          <cell r="A1024" t="str">
            <v>ENFERMERA DE SALUD PUBLICA JEFE III</v>
          </cell>
        </row>
        <row r="1025">
          <cell r="A1025" t="str">
            <v>ENFERMERA DE SALUD PUBLICA JEFE V</v>
          </cell>
        </row>
        <row r="1026">
          <cell r="A1026" t="str">
            <v>ENFERMERA DE SALUD PUBLICA V</v>
          </cell>
        </row>
        <row r="1027">
          <cell r="A1027" t="str">
            <v>ENFERMERA HEMOTERAPISTA I</v>
          </cell>
        </row>
        <row r="1028">
          <cell r="A1028" t="str">
            <v>ENFERMERA HEMOTERAPISTA II</v>
          </cell>
        </row>
        <row r="1029">
          <cell r="A1029" t="str">
            <v>ENFERMERA HEMOTERAPISTA III</v>
          </cell>
        </row>
        <row r="1030">
          <cell r="A1030" t="str">
            <v>ENFERMERA I</v>
          </cell>
        </row>
        <row r="1031">
          <cell r="A1031" t="str">
            <v>ENFERMERA II</v>
          </cell>
        </row>
        <row r="1032">
          <cell r="A1032" t="str">
            <v>ENFERMERA III</v>
          </cell>
        </row>
        <row r="1033">
          <cell r="A1033" t="str">
            <v>ENFERMERA JEFE I</v>
          </cell>
        </row>
        <row r="1034">
          <cell r="A1034" t="str">
            <v>ENFERMERA JEFE II</v>
          </cell>
        </row>
        <row r="1035">
          <cell r="A1035" t="str">
            <v>ENFERMERA JEFE III</v>
          </cell>
        </row>
        <row r="1036">
          <cell r="A1036" t="str">
            <v>ENTRENADOR DE PORTIVO II</v>
          </cell>
        </row>
        <row r="1037">
          <cell r="A1037" t="str">
            <v>ENTRENADOR DEPORTIVO I</v>
          </cell>
        </row>
        <row r="1038">
          <cell r="A1038" t="str">
            <v>ENTRENADOR DEPORTIVO III</v>
          </cell>
        </row>
        <row r="1039">
          <cell r="A1039" t="str">
            <v>ENTRENADOR DEPORTIVO IV</v>
          </cell>
        </row>
        <row r="1040">
          <cell r="A1040" t="str">
            <v>ENTRENADOR DEPORTIVO V</v>
          </cell>
        </row>
        <row r="1041">
          <cell r="A1041" t="str">
            <v>ENTRENADOR DEPORTIVO VI</v>
          </cell>
        </row>
        <row r="1042">
          <cell r="A1042" t="str">
            <v>ENTRENADOR DEPORTIVO VII</v>
          </cell>
        </row>
        <row r="1043">
          <cell r="A1043" t="str">
            <v>ESCENOGRAFO</v>
          </cell>
        </row>
        <row r="1044">
          <cell r="A1044" t="str">
            <v>ESCRIBIENTE DE REGISTRO I</v>
          </cell>
        </row>
        <row r="1045">
          <cell r="A1045" t="str">
            <v>ESCRIBIENTE DE REGISTROS  II</v>
          </cell>
        </row>
        <row r="1046">
          <cell r="A1046" t="str">
            <v>ESPECIALISTA EN ASISTENCIA TECNICA</v>
          </cell>
        </row>
        <row r="1047">
          <cell r="A1047" t="str">
            <v>ESPECIALISTA EN EXTENSION I</v>
          </cell>
        </row>
        <row r="1048">
          <cell r="A1048" t="str">
            <v>ESPECIALISTA EN EXTENSION II</v>
          </cell>
        </row>
        <row r="1049">
          <cell r="A1049" t="str">
            <v>ESPECIALISTA EN EXTENSION III</v>
          </cell>
        </row>
        <row r="1050">
          <cell r="A1050" t="str">
            <v>ESPECIALISTA EN EXTENSION IV</v>
          </cell>
        </row>
        <row r="1051">
          <cell r="A1051" t="str">
            <v>ESPECIALISTA EN INFORMACION I</v>
          </cell>
        </row>
        <row r="1052">
          <cell r="A1052" t="str">
            <v>ESPECIALISTA EN INFORMACION II</v>
          </cell>
        </row>
        <row r="1053">
          <cell r="A1053" t="str">
            <v>ESPECIALISTA EN INFORMACION III</v>
          </cell>
        </row>
        <row r="1054">
          <cell r="A1054" t="str">
            <v>ESPECIALISTA EN INFORMATICA I</v>
          </cell>
        </row>
        <row r="1055">
          <cell r="A1055" t="str">
            <v>ESPECIALISTA EN INFORMATICA II</v>
          </cell>
        </row>
        <row r="1056">
          <cell r="A1056" t="str">
            <v>ESTADISTICO I</v>
          </cell>
        </row>
        <row r="1057">
          <cell r="A1057" t="str">
            <v>ESTADISTICO II</v>
          </cell>
        </row>
        <row r="1058">
          <cell r="A1058" t="str">
            <v>ESTADISTICO III</v>
          </cell>
        </row>
        <row r="1059">
          <cell r="A1059" t="str">
            <v>ESTADISTICO JEFE I</v>
          </cell>
        </row>
        <row r="1060">
          <cell r="A1060" t="str">
            <v>ESTADISTICO JEFE II</v>
          </cell>
        </row>
        <row r="1061">
          <cell r="A1061" t="str">
            <v>ESTIMADOR DE ASTILLEROS</v>
          </cell>
        </row>
        <row r="1062">
          <cell r="A1062" t="str">
            <v>EXAMINADOR AUXILIADOR DE BANCO</v>
          </cell>
        </row>
        <row r="1063">
          <cell r="A1063" t="str">
            <v>EXAMINADOR DE BANCOS I</v>
          </cell>
        </row>
        <row r="1064">
          <cell r="A1064" t="str">
            <v>EXAMINADOR DE BANCOS II</v>
          </cell>
        </row>
        <row r="1065">
          <cell r="A1065" t="str">
            <v>EXAMINADOR DE BANCOS III</v>
          </cell>
        </row>
        <row r="1066">
          <cell r="A1066" t="str">
            <v>EXAMINADOR DE BANCOS IV</v>
          </cell>
        </row>
        <row r="1067">
          <cell r="A1067" t="str">
            <v>EXAMINADOR DE BANCOS JEFE</v>
          </cell>
        </row>
        <row r="1068">
          <cell r="A1068" t="str">
            <v>EXAMINADOR DE BANCOS V</v>
          </cell>
        </row>
        <row r="1069">
          <cell r="A1069" t="str">
            <v>EXPENDEDOR DE ESPECIES FISCALES I</v>
          </cell>
        </row>
        <row r="1070">
          <cell r="A1070" t="str">
            <v>EXPENDEDOR DE ESPECIES FISCALES II</v>
          </cell>
        </row>
        <row r="1071">
          <cell r="A1071" t="str">
            <v>FAGOT</v>
          </cell>
        </row>
        <row r="1072">
          <cell r="A1072" t="str">
            <v>FAGOT 1</v>
          </cell>
        </row>
        <row r="1073">
          <cell r="A1073" t="str">
            <v>FAGOT 2</v>
          </cell>
        </row>
        <row r="1074">
          <cell r="A1074" t="str">
            <v>FARMACEUTICO I</v>
          </cell>
        </row>
        <row r="1075">
          <cell r="A1075" t="str">
            <v>FARMACEUTICO II</v>
          </cell>
        </row>
        <row r="1076">
          <cell r="A1076" t="str">
            <v>FARMACEUTICO III</v>
          </cell>
        </row>
        <row r="1077">
          <cell r="A1077" t="str">
            <v>FARMACEUTICO JEFE I</v>
          </cell>
        </row>
        <row r="1078">
          <cell r="A1078" t="str">
            <v>FARMACEUTICO JEFE II</v>
          </cell>
        </row>
        <row r="1079">
          <cell r="A1079" t="str">
            <v>FARMACOLOGO I</v>
          </cell>
        </row>
        <row r="1080">
          <cell r="A1080" t="str">
            <v>FARMACOLOGO II</v>
          </cell>
        </row>
        <row r="1081">
          <cell r="A1081" t="str">
            <v>FARMACOLOGO III</v>
          </cell>
        </row>
        <row r="1082">
          <cell r="A1082" t="str">
            <v>FARMACOLOGO JEFE</v>
          </cell>
        </row>
        <row r="1083">
          <cell r="A1083" t="str">
            <v>FISCAL DE BIENES COMERCIALES</v>
          </cell>
        </row>
        <row r="1084">
          <cell r="A1084" t="str">
            <v>FISCAL DE COTIZACIONES I</v>
          </cell>
        </row>
        <row r="1085">
          <cell r="A1085" t="str">
            <v>FISCAL DE COTIZACIONES II</v>
          </cell>
        </row>
        <row r="1086">
          <cell r="A1086" t="str">
            <v>FISCAL DE EMPRESAS</v>
          </cell>
        </row>
        <row r="1087">
          <cell r="A1087" t="str">
            <v>FISCAL DE OBRAS I</v>
          </cell>
        </row>
        <row r="1088">
          <cell r="A1088" t="str">
            <v>FISCAL DE PREVENSION Y VIGILANCIA I</v>
          </cell>
        </row>
        <row r="1089">
          <cell r="A1089" t="str">
            <v>FISCAL DE PREVENSION Y VIGILANCIA II</v>
          </cell>
        </row>
        <row r="1090">
          <cell r="A1090" t="str">
            <v>FISCAL DE PREVENSION Y VIGILANCIA JEFE</v>
          </cell>
        </row>
        <row r="1091">
          <cell r="A1091" t="str">
            <v>FISCAL DE RENTAS I</v>
          </cell>
        </row>
        <row r="1092">
          <cell r="A1092" t="str">
            <v>FISCAL DE RENTAS II</v>
          </cell>
        </row>
        <row r="1093">
          <cell r="A1093" t="str">
            <v>FISCAL DE RENTAS III</v>
          </cell>
        </row>
        <row r="1094">
          <cell r="A1094" t="str">
            <v>FISCAL DE RENTAS IV</v>
          </cell>
        </row>
        <row r="1095">
          <cell r="A1095" t="str">
            <v>FISCAL DE RENTAS JEFE</v>
          </cell>
        </row>
        <row r="1096">
          <cell r="A1096" t="str">
            <v>FISCAL DE RENTAS V</v>
          </cell>
        </row>
        <row r="1097">
          <cell r="A1097" t="str">
            <v>FISCAL TECNICO I</v>
          </cell>
        </row>
        <row r="1098">
          <cell r="A1098" t="str">
            <v>FISCAL TECNICO II</v>
          </cell>
        </row>
        <row r="1099">
          <cell r="A1099" t="str">
            <v>FISCAL TECNICO III</v>
          </cell>
        </row>
        <row r="1100">
          <cell r="A1100" t="str">
            <v>FISCAL TECNICO JEFE</v>
          </cell>
        </row>
        <row r="1101">
          <cell r="A1101" t="str">
            <v>FISIOTERAPEUTA I</v>
          </cell>
        </row>
        <row r="1102">
          <cell r="A1102" t="str">
            <v>FISIOTERAPEUTA II</v>
          </cell>
        </row>
        <row r="1103">
          <cell r="A1103" t="str">
            <v>FISIOTERAPEUTA III</v>
          </cell>
        </row>
        <row r="1104">
          <cell r="A1104" t="str">
            <v>FISIOTERAPEUTA IV</v>
          </cell>
        </row>
        <row r="1105">
          <cell r="A1105" t="str">
            <v>FLAUTA 1</v>
          </cell>
        </row>
        <row r="1106">
          <cell r="A1106" t="str">
            <v>FLAUTA 2</v>
          </cell>
        </row>
        <row r="1107">
          <cell r="A1107" t="str">
            <v>FLAUTA 2/ INSTRUCTOR I 16HRS</v>
          </cell>
        </row>
        <row r="1108">
          <cell r="A1108" t="str">
            <v>FLAUTA I</v>
          </cell>
        </row>
        <row r="1109">
          <cell r="A1109" t="str">
            <v>FORMADOR DE INSTRUCTORES</v>
          </cell>
        </row>
        <row r="1110">
          <cell r="A1110" t="str">
            <v>FORMAS MUSICALES</v>
          </cell>
        </row>
        <row r="1111">
          <cell r="A1111" t="str">
            <v>FOTOGRAFO ARTISTICO I</v>
          </cell>
        </row>
        <row r="1112">
          <cell r="A1112" t="str">
            <v>FOTOGRAFO ARTISTICO II</v>
          </cell>
        </row>
        <row r="1113">
          <cell r="A1113" t="str">
            <v>FOTOGRAFO I</v>
          </cell>
        </row>
        <row r="1114">
          <cell r="A1114" t="str">
            <v>FOTOGRAFO II</v>
          </cell>
        </row>
        <row r="1115">
          <cell r="A1115" t="str">
            <v>FOTOGRAFO III</v>
          </cell>
        </row>
        <row r="1116">
          <cell r="A1116" t="str">
            <v>FOTOGRAFO IV</v>
          </cell>
        </row>
        <row r="1117">
          <cell r="A1117" t="str">
            <v>FOTOGRAMETRISTA I</v>
          </cell>
        </row>
        <row r="1118">
          <cell r="A1118" t="str">
            <v>FOTOGRAMETRISTA II</v>
          </cell>
        </row>
        <row r="1119">
          <cell r="A1119" t="str">
            <v>FOTOGRAMETRISTA III</v>
          </cell>
        </row>
        <row r="1120">
          <cell r="A1120" t="str">
            <v>FOTOGRAMETRISTA IV</v>
          </cell>
        </row>
        <row r="1121">
          <cell r="A1121" t="str">
            <v>FOTOGRAMETRISTA JEFE</v>
          </cell>
        </row>
        <row r="1122">
          <cell r="A1122" t="str">
            <v>GEMOLOGO I</v>
          </cell>
        </row>
        <row r="1123">
          <cell r="A1123" t="str">
            <v>GEMOLOGO II</v>
          </cell>
        </row>
        <row r="1124">
          <cell r="A1124" t="str">
            <v>GEOGRAFO I</v>
          </cell>
        </row>
        <row r="1125">
          <cell r="A1125" t="str">
            <v>GEOGRAFO II</v>
          </cell>
        </row>
        <row r="1126">
          <cell r="A1126" t="str">
            <v>GEOGRAFO III</v>
          </cell>
        </row>
        <row r="1127">
          <cell r="A1127" t="str">
            <v>GEOLOGO I</v>
          </cell>
        </row>
        <row r="1128">
          <cell r="A1128" t="str">
            <v>GEOLOGO II</v>
          </cell>
        </row>
        <row r="1129">
          <cell r="A1129" t="str">
            <v>GEOLOGO III</v>
          </cell>
        </row>
        <row r="1130">
          <cell r="A1130" t="str">
            <v>GEOLOGO JEFE I</v>
          </cell>
        </row>
        <row r="1131">
          <cell r="A1131" t="str">
            <v>GEOLOGO JEFE II</v>
          </cell>
        </row>
        <row r="1132">
          <cell r="A1132" t="str">
            <v>GERENTE</v>
          </cell>
        </row>
        <row r="1133">
          <cell r="A1133" t="str">
            <v>GOBERNADOR</v>
          </cell>
        </row>
        <row r="1134">
          <cell r="A1134" t="str">
            <v>GUARDAFAUNA I</v>
          </cell>
        </row>
        <row r="1135">
          <cell r="A1135" t="str">
            <v>GUARDAFAUNA II</v>
          </cell>
        </row>
        <row r="1136">
          <cell r="A1136" t="str">
            <v>GUARDAFAUNA III</v>
          </cell>
        </row>
        <row r="1137">
          <cell r="A1137" t="str">
            <v>GUIA DE CENTRO I</v>
          </cell>
        </row>
        <row r="1138">
          <cell r="A1138" t="str">
            <v>GUIA DE CENTRO II</v>
          </cell>
        </row>
        <row r="1139">
          <cell r="A1139" t="str">
            <v>GUITARRA</v>
          </cell>
        </row>
        <row r="1140">
          <cell r="A1140" t="str">
            <v>HABILITADO I</v>
          </cell>
        </row>
        <row r="1141">
          <cell r="A1141" t="str">
            <v>HABILITADO II</v>
          </cell>
        </row>
        <row r="1142">
          <cell r="A1142" t="str">
            <v>HABILITADO III</v>
          </cell>
        </row>
        <row r="1143">
          <cell r="A1143" t="str">
            <v>HABILITADO IV</v>
          </cell>
        </row>
        <row r="1144">
          <cell r="A1144" t="str">
            <v>HABILITADO JEFE</v>
          </cell>
        </row>
        <row r="1145">
          <cell r="A1145" t="str">
            <v>HIDROGRAFO I</v>
          </cell>
        </row>
        <row r="1146">
          <cell r="A1146" t="str">
            <v>HIDROGRAFO II</v>
          </cell>
        </row>
        <row r="1147">
          <cell r="A1147" t="str">
            <v>HIDROGRAFO JEFE</v>
          </cell>
        </row>
        <row r="1148">
          <cell r="A1148" t="str">
            <v>HIDROMETEOROLOGISTA I</v>
          </cell>
        </row>
        <row r="1149">
          <cell r="A1149" t="str">
            <v>HIDROMETEOROLOGISTA II</v>
          </cell>
        </row>
        <row r="1150">
          <cell r="A1150" t="str">
            <v>HIDROMETEOROLOGISTA III</v>
          </cell>
        </row>
        <row r="1151">
          <cell r="A1151" t="str">
            <v>HIGIENISTA DENTAL I</v>
          </cell>
        </row>
        <row r="1152">
          <cell r="A1152" t="str">
            <v>HIGIENISTA DENTAL II</v>
          </cell>
        </row>
        <row r="1153">
          <cell r="A1153" t="str">
            <v>INFORMADOR DE AEROPUERTO I</v>
          </cell>
        </row>
        <row r="1154">
          <cell r="A1154" t="str">
            <v>INFORMADOR DE AEROPUERTO II</v>
          </cell>
        </row>
        <row r="1155">
          <cell r="A1155" t="str">
            <v>INFORMADOR TURISTICO  I</v>
          </cell>
        </row>
        <row r="1156">
          <cell r="A1156" t="str">
            <v>INFORMADOR TURISTICO I</v>
          </cell>
        </row>
        <row r="1157">
          <cell r="A1157" t="str">
            <v>INFORMADOR TURISTICO II</v>
          </cell>
        </row>
        <row r="1158">
          <cell r="A1158" t="str">
            <v>INFORMADOR TURISTICO III</v>
          </cell>
        </row>
        <row r="1159">
          <cell r="A1159" t="str">
            <v>INFORMADOR TURISTICO IV</v>
          </cell>
        </row>
        <row r="1160">
          <cell r="A1160" t="str">
            <v>INFORMADOR TURISTICO JEFE</v>
          </cell>
        </row>
        <row r="1161">
          <cell r="A1161" t="str">
            <v>INGENIERO AERONAUTICO I</v>
          </cell>
        </row>
        <row r="1162">
          <cell r="A1162" t="str">
            <v>INGENIERO AERONAUTICO II</v>
          </cell>
        </row>
        <row r="1163">
          <cell r="A1163" t="str">
            <v>INGENIERO AGRICOLA I</v>
          </cell>
        </row>
        <row r="1164">
          <cell r="A1164" t="str">
            <v>INGENIERO AGRICOLA II</v>
          </cell>
        </row>
        <row r="1165">
          <cell r="A1165" t="str">
            <v>INGENIERO AGRICOLA III</v>
          </cell>
        </row>
        <row r="1166">
          <cell r="A1166" t="str">
            <v>INGENIERO AGRICOLA IV</v>
          </cell>
        </row>
        <row r="1167">
          <cell r="A1167" t="str">
            <v>INGENIERO AGRICOLA V</v>
          </cell>
        </row>
        <row r="1168">
          <cell r="A1168" t="str">
            <v>INGENIERO AGRONOMO I</v>
          </cell>
        </row>
        <row r="1169">
          <cell r="A1169" t="str">
            <v>INGENIERO AGRONOMO II</v>
          </cell>
        </row>
        <row r="1170">
          <cell r="A1170" t="str">
            <v>INGENIERO AGRONOMO III</v>
          </cell>
        </row>
        <row r="1171">
          <cell r="A1171" t="str">
            <v>INGENIERO AGRONOMO IV</v>
          </cell>
        </row>
        <row r="1172">
          <cell r="A1172" t="str">
            <v>INGENIERO AGRONOMO JEFE</v>
          </cell>
        </row>
        <row r="1173">
          <cell r="A1173" t="str">
            <v>INGENIERO AGRONOMO V</v>
          </cell>
        </row>
        <row r="1174">
          <cell r="A1174" t="str">
            <v>INGENIERO CIVIL I</v>
          </cell>
        </row>
        <row r="1175">
          <cell r="A1175" t="str">
            <v>INGENIERO CIVIL II</v>
          </cell>
        </row>
        <row r="1176">
          <cell r="A1176" t="str">
            <v>INGENIERO CIVIL III</v>
          </cell>
        </row>
        <row r="1177">
          <cell r="A1177" t="str">
            <v>INGENIERO CIVIL JEFE I</v>
          </cell>
        </row>
        <row r="1178">
          <cell r="A1178" t="str">
            <v>INGENIERO CIVIL JEFE II</v>
          </cell>
        </row>
        <row r="1179">
          <cell r="A1179" t="str">
            <v>INGENIERO CIVIL JEFE III</v>
          </cell>
        </row>
        <row r="1180">
          <cell r="A1180" t="str">
            <v>INGENIERO DE GAS I</v>
          </cell>
        </row>
        <row r="1181">
          <cell r="A1181" t="str">
            <v>INGENIERO DE MINA I</v>
          </cell>
        </row>
        <row r="1182">
          <cell r="A1182" t="str">
            <v>INGENIERO DE MINAS II</v>
          </cell>
        </row>
        <row r="1183">
          <cell r="A1183" t="str">
            <v>INGENIERO DE MINAS III</v>
          </cell>
        </row>
        <row r="1184">
          <cell r="A1184" t="str">
            <v>INGENIERO DE MINAS JEFE I</v>
          </cell>
        </row>
        <row r="1185">
          <cell r="A1185" t="str">
            <v>INGENIERO DE MINAS JEFE II</v>
          </cell>
        </row>
        <row r="1186">
          <cell r="A1186" t="str">
            <v>INGENIERO ELECTRICISTA I</v>
          </cell>
        </row>
        <row r="1187">
          <cell r="A1187" t="str">
            <v>INGENIERO ELECTRICISTA II</v>
          </cell>
        </row>
        <row r="1188">
          <cell r="A1188" t="str">
            <v>INGENIERO ELECTRICISTA III</v>
          </cell>
        </row>
        <row r="1189">
          <cell r="A1189" t="str">
            <v>INGENIERO ELECTRICISTA JEFE</v>
          </cell>
        </row>
        <row r="1190">
          <cell r="A1190" t="str">
            <v>INGENIERO EN AGROSISTEMAS I</v>
          </cell>
        </row>
        <row r="1191">
          <cell r="A1191" t="str">
            <v>INGENIERO EN CONSTRUCCION CIVIL I</v>
          </cell>
        </row>
        <row r="1192">
          <cell r="A1192" t="str">
            <v>INGENIERO EN CONSTRUCCION CIVIL II</v>
          </cell>
        </row>
        <row r="1193">
          <cell r="A1193" t="str">
            <v>INGENIERO EN CONSTRUCCION CIVIL III</v>
          </cell>
        </row>
        <row r="1194">
          <cell r="A1194" t="str">
            <v>INGENIERO EN INFORMATICA I</v>
          </cell>
        </row>
        <row r="1195">
          <cell r="A1195" t="str">
            <v>INGENIERO EN TELECOMUNICACIONES II</v>
          </cell>
        </row>
        <row r="1196">
          <cell r="A1196" t="str">
            <v>INGENIERO FORESTAL I</v>
          </cell>
        </row>
        <row r="1197">
          <cell r="A1197" t="str">
            <v>INGENIERO FORESTAL II</v>
          </cell>
        </row>
        <row r="1198">
          <cell r="A1198" t="str">
            <v>INGENIERO FORESTAL III</v>
          </cell>
        </row>
        <row r="1199">
          <cell r="A1199" t="str">
            <v>INGENIERO FORESTAL JEFE I</v>
          </cell>
        </row>
        <row r="1200">
          <cell r="A1200" t="str">
            <v>INGENIERO FORESTAL JEFE II</v>
          </cell>
        </row>
        <row r="1201">
          <cell r="A1201" t="str">
            <v>INGENIERO GEODESTA I</v>
          </cell>
        </row>
        <row r="1202">
          <cell r="A1202" t="str">
            <v>INGENIERO GEODESTA II</v>
          </cell>
        </row>
        <row r="1203">
          <cell r="A1203" t="str">
            <v>INGENIERO GEODESTA III</v>
          </cell>
        </row>
        <row r="1204">
          <cell r="A1204" t="str">
            <v>INGENIERO GEODESTA JEFE I</v>
          </cell>
        </row>
        <row r="1205">
          <cell r="A1205" t="str">
            <v>INGENIERO GEODESTA JEFE II</v>
          </cell>
        </row>
        <row r="1206">
          <cell r="A1206" t="str">
            <v>INGENIERO HIDROMETEOROLISTA JEFE I</v>
          </cell>
        </row>
        <row r="1207">
          <cell r="A1207" t="str">
            <v>INGENIERO HIDROMETEOROLISTA JEFE II</v>
          </cell>
        </row>
        <row r="1208">
          <cell r="A1208" t="str">
            <v>INGENIERO HIDROMETEOROLOGISTA I</v>
          </cell>
        </row>
        <row r="1209">
          <cell r="A1209" t="str">
            <v>INGENIERO HIDROMETEOROLOSTA II</v>
          </cell>
        </row>
        <row r="1210">
          <cell r="A1210" t="str">
            <v>INGENIERO HIROMETEROLOGISTA III</v>
          </cell>
        </row>
        <row r="1211">
          <cell r="A1211" t="str">
            <v>INGENIERO INDUSTRIAL I</v>
          </cell>
        </row>
        <row r="1212">
          <cell r="A1212" t="str">
            <v>INGENIERO INDUSTRIAL II</v>
          </cell>
        </row>
        <row r="1213">
          <cell r="A1213" t="str">
            <v>INGENIERO INDUSTRIAL III</v>
          </cell>
        </row>
        <row r="1214">
          <cell r="A1214" t="str">
            <v>INGENIERO INDUSTRIAL IV</v>
          </cell>
        </row>
        <row r="1215">
          <cell r="A1215" t="str">
            <v>INGENIERO MECANICO I</v>
          </cell>
        </row>
        <row r="1216">
          <cell r="A1216" t="str">
            <v>INGENIERO MECANICO II</v>
          </cell>
        </row>
        <row r="1217">
          <cell r="A1217" t="str">
            <v>INGENIERO MECANICO III</v>
          </cell>
        </row>
        <row r="1218">
          <cell r="A1218" t="str">
            <v>INGENIERO MECANICO JEFE</v>
          </cell>
        </row>
        <row r="1219">
          <cell r="A1219" t="str">
            <v>INGENIERO METALURGICO</v>
          </cell>
        </row>
        <row r="1220">
          <cell r="A1220" t="str">
            <v>INGENIERO NAVAL I</v>
          </cell>
        </row>
        <row r="1221">
          <cell r="A1221" t="str">
            <v>INGENIERO NAVAL II</v>
          </cell>
        </row>
        <row r="1222">
          <cell r="A1222" t="str">
            <v>INGENIERO NAVAL III</v>
          </cell>
        </row>
        <row r="1223">
          <cell r="A1223" t="str">
            <v>INGENIERO NAVAL JEFE</v>
          </cell>
        </row>
        <row r="1224">
          <cell r="A1224" t="str">
            <v>INGENIERO NUCLEAR I</v>
          </cell>
        </row>
        <row r="1225">
          <cell r="A1225" t="str">
            <v>INGENIERO NUCLEAR II</v>
          </cell>
        </row>
        <row r="1226">
          <cell r="A1226" t="str">
            <v>INGENIERO NUCLEAR III</v>
          </cell>
        </row>
        <row r="1227">
          <cell r="A1227" t="str">
            <v>INGENIERO NUCLEAR JEFE</v>
          </cell>
        </row>
        <row r="1228">
          <cell r="A1228" t="str">
            <v>INGENIERO PETROLERO I</v>
          </cell>
        </row>
        <row r="1229">
          <cell r="A1229" t="str">
            <v>INGENIERO PETROLERO II</v>
          </cell>
        </row>
        <row r="1230">
          <cell r="A1230" t="str">
            <v>INGENIERO PETROLERO III</v>
          </cell>
        </row>
        <row r="1231">
          <cell r="A1231" t="str">
            <v>INGENIERO PETROLERO JEFE I</v>
          </cell>
        </row>
        <row r="1232">
          <cell r="A1232" t="str">
            <v>INGENIERO PETROLERO JEFE II</v>
          </cell>
        </row>
        <row r="1233">
          <cell r="A1233" t="str">
            <v>INGENIERO QUIMICO I</v>
          </cell>
        </row>
        <row r="1234">
          <cell r="A1234" t="str">
            <v>INGENIERO QUIMICO II</v>
          </cell>
        </row>
        <row r="1235">
          <cell r="A1235" t="str">
            <v>INGENIERO QUIMICO III</v>
          </cell>
        </row>
        <row r="1236">
          <cell r="A1236" t="str">
            <v>INGENIERO QUIMICO JEFE I</v>
          </cell>
        </row>
        <row r="1237">
          <cell r="A1237" t="str">
            <v>INGENIERO QUMICO JEFE II</v>
          </cell>
        </row>
        <row r="1238">
          <cell r="A1238" t="str">
            <v>INGENIERO SANITARIO I</v>
          </cell>
        </row>
        <row r="1239">
          <cell r="A1239" t="str">
            <v>INGENIERO SANITARIO II</v>
          </cell>
        </row>
        <row r="1240">
          <cell r="A1240" t="str">
            <v>INGENIERO SANITARIO III</v>
          </cell>
        </row>
        <row r="1241">
          <cell r="A1241" t="str">
            <v>INGENIERO SANITARIO JEFE I</v>
          </cell>
        </row>
        <row r="1242">
          <cell r="A1242" t="str">
            <v>INGENIERO SANITARIO JEFE II</v>
          </cell>
        </row>
        <row r="1243">
          <cell r="A1243" t="str">
            <v>INGENIERO SANITARIO JEFE III</v>
          </cell>
        </row>
        <row r="1244">
          <cell r="A1244" t="str">
            <v>INPECTOR DE MAQUINARIAS I</v>
          </cell>
        </row>
        <row r="1245">
          <cell r="A1245" t="str">
            <v>INSP. NACIONAL DE REGIST Y NOTARIAS III</v>
          </cell>
        </row>
        <row r="1246">
          <cell r="A1246" t="str">
            <v>INSP. NACIONAL DE REGIST. Y NOTARIAS II</v>
          </cell>
        </row>
        <row r="1247">
          <cell r="A1247" t="str">
            <v>INSPEC NACIONAL DE REG. Y NOTARIAS JEFE</v>
          </cell>
        </row>
        <row r="1248">
          <cell r="A1248" t="str">
            <v>INSPEC.  RELACIONES CON EL SEGURO SOCIAL</v>
          </cell>
        </row>
        <row r="1249">
          <cell r="A1249" t="str">
            <v>INSPEC. NACIONAL DE REGISTROS Y NOTARIAS</v>
          </cell>
        </row>
        <row r="1250">
          <cell r="A1250" t="str">
            <v>INSPEC. RELACIONES SEGURO SOCIAL II</v>
          </cell>
        </row>
        <row r="1251">
          <cell r="A1251" t="str">
            <v>INSPECTOR</v>
          </cell>
        </row>
        <row r="1252">
          <cell r="A1252" t="str">
            <v>INSPECTOR ADMINISTRATIVO I</v>
          </cell>
        </row>
        <row r="1253">
          <cell r="A1253" t="str">
            <v>INSPECTOR ADMINISTRATIVO III</v>
          </cell>
        </row>
        <row r="1254">
          <cell r="A1254" t="str">
            <v>INSPECTOR ADMINISTRATIVO IV</v>
          </cell>
        </row>
        <row r="1255">
          <cell r="A1255" t="str">
            <v>INSPECTOR ADMINISTRATIVO JEFE</v>
          </cell>
        </row>
        <row r="1256">
          <cell r="A1256" t="str">
            <v>INSPECTOR AMDINISTRATIVO II</v>
          </cell>
        </row>
        <row r="1257">
          <cell r="A1257" t="str">
            <v>INSPECTOR AUX. DE OBRAS DE INGENIERIA</v>
          </cell>
        </row>
        <row r="1258">
          <cell r="A1258" t="str">
            <v>INSPECTOR DE AEROPUERTOS</v>
          </cell>
        </row>
        <row r="1259">
          <cell r="A1259" t="str">
            <v>INSPECTOR DE DERIVADOS HIDROCARBUROS I</v>
          </cell>
        </row>
        <row r="1260">
          <cell r="A1260" t="str">
            <v>INSPECTOR DE DERIVADOS HIDROCARBUROS II</v>
          </cell>
        </row>
        <row r="1261">
          <cell r="A1261" t="str">
            <v>INSPECTOR DE INMUEBLES</v>
          </cell>
        </row>
        <row r="1262">
          <cell r="A1262" t="str">
            <v>INSPECTOR DE MAQUINARIAS II</v>
          </cell>
        </row>
        <row r="1263">
          <cell r="A1263" t="str">
            <v>INSPECTOR DE MECANICA DE AVIACION I</v>
          </cell>
        </row>
        <row r="1264">
          <cell r="A1264" t="str">
            <v>INSPECTOR DE MECANICA DE AVIACION II</v>
          </cell>
        </row>
        <row r="1265">
          <cell r="A1265" t="str">
            <v>INSPECTOR DE MECANICA DE AVIACION III</v>
          </cell>
        </row>
        <row r="1266">
          <cell r="A1266" t="str">
            <v>INSPECTOR DE OBRAS DE INGENIERIA I</v>
          </cell>
        </row>
        <row r="1267">
          <cell r="A1267" t="str">
            <v>INSPECTOR DE OBRAS DE INGENIERIA II</v>
          </cell>
        </row>
        <row r="1268">
          <cell r="A1268" t="str">
            <v>INSPECTOR DE OBRAS DE INGENIERIA III</v>
          </cell>
        </row>
        <row r="1269">
          <cell r="A1269" t="str">
            <v>INSPECTOR DE PRISIONES</v>
          </cell>
        </row>
        <row r="1270">
          <cell r="A1270" t="str">
            <v>INSPECTOR DE PRISIONES JEFE</v>
          </cell>
        </row>
        <row r="1271">
          <cell r="A1271" t="str">
            <v>INSPECTOR DE PUERTOS</v>
          </cell>
        </row>
        <row r="1272">
          <cell r="A1272" t="str">
            <v>INSPECTOR DE RENTAS I</v>
          </cell>
        </row>
        <row r="1273">
          <cell r="A1273" t="str">
            <v>INSPECTOR DE RENTAS II</v>
          </cell>
        </row>
        <row r="1274">
          <cell r="A1274" t="str">
            <v>INSPECTOR DE RENTAS JEFE</v>
          </cell>
        </row>
        <row r="1275">
          <cell r="A1275" t="str">
            <v>INSPECTOR DE SALID PUBLICA III</v>
          </cell>
        </row>
        <row r="1276">
          <cell r="A1276" t="str">
            <v>INSPECTOR DE SALUD PUBLICA I</v>
          </cell>
        </row>
        <row r="1277">
          <cell r="A1277" t="str">
            <v>INSPECTOR DE SALUD PUBLICA II</v>
          </cell>
        </row>
        <row r="1278">
          <cell r="A1278" t="str">
            <v>INSPECTOR DE SALUD PUBLICA IV</v>
          </cell>
        </row>
        <row r="1279">
          <cell r="A1279" t="str">
            <v>INSPECTOR DE SEGURIDAD INDUSTRIAL</v>
          </cell>
        </row>
        <row r="1280">
          <cell r="A1280" t="str">
            <v>INSPECTOR DE SEGURIDAD INDUSTRIAL II</v>
          </cell>
        </row>
        <row r="1281">
          <cell r="A1281" t="str">
            <v>INSPECTOR DE SEGURIDAD INDUSTRIAL III</v>
          </cell>
        </row>
        <row r="1282">
          <cell r="A1282" t="str">
            <v>INSPECTOR DE SEGURIDAD INDUSTRIAL IV</v>
          </cell>
        </row>
        <row r="1283">
          <cell r="A1283" t="str">
            <v>INSPECTOR DE SEGUROS COMERCIALES I</v>
          </cell>
        </row>
        <row r="1284">
          <cell r="A1284" t="str">
            <v>INSPECTOR DE SEGUROS COMERCIALES II</v>
          </cell>
        </row>
        <row r="1285">
          <cell r="A1285" t="str">
            <v>INSPECTOR DE SEGUROS COMERIALES JEFE</v>
          </cell>
        </row>
        <row r="1286">
          <cell r="A1286" t="str">
            <v>INSPECTOR DE SEUGROS COMERCIALES III</v>
          </cell>
        </row>
        <row r="1287">
          <cell r="A1287" t="str">
            <v>INSPECTOR DE TELECOMUNICACIONES I</v>
          </cell>
        </row>
        <row r="1288">
          <cell r="A1288" t="str">
            <v>INSPECTOR DE TELECOMUNICACIONES II</v>
          </cell>
        </row>
        <row r="1289">
          <cell r="A1289" t="str">
            <v>INSPECTOR DE TELECOMUNICACIONES III</v>
          </cell>
        </row>
        <row r="1290">
          <cell r="A1290" t="str">
            <v>INSPECTOR DE TRABAJO I</v>
          </cell>
        </row>
        <row r="1291">
          <cell r="A1291" t="str">
            <v>INSPECTOR DE TRABAJO II</v>
          </cell>
        </row>
        <row r="1292">
          <cell r="A1292" t="str">
            <v>INSPECTOR DE TRABAJO III</v>
          </cell>
        </row>
        <row r="1293">
          <cell r="A1293" t="str">
            <v>INSPECTOR DE TRABAJO IV</v>
          </cell>
        </row>
        <row r="1294">
          <cell r="A1294" t="str">
            <v>INSPECTOR DE TRABAJO V</v>
          </cell>
        </row>
        <row r="1295">
          <cell r="A1295" t="str">
            <v>INSPECTOR DE TRANSPORTE I</v>
          </cell>
        </row>
        <row r="1296">
          <cell r="A1296" t="str">
            <v>INSPECTOR DE TRANSPORTE II</v>
          </cell>
        </row>
        <row r="1297">
          <cell r="A1297" t="str">
            <v>INSPECTOR DE ZONAS MARITIMAS</v>
          </cell>
        </row>
        <row r="1298">
          <cell r="A1298" t="str">
            <v>INSPECTOR ELECTRICISTA</v>
          </cell>
        </row>
        <row r="1299">
          <cell r="A1299" t="str">
            <v>INSPECTOR GENERAL DE HACIENDA I</v>
          </cell>
        </row>
        <row r="1300">
          <cell r="A1300" t="str">
            <v>INSPECTOR GENERAL DE HACIENDA II</v>
          </cell>
        </row>
        <row r="1301">
          <cell r="A1301" t="str">
            <v>INSPECTOR GENERAL DE HACIENDA III</v>
          </cell>
        </row>
        <row r="1302">
          <cell r="A1302" t="str">
            <v>INSPECTOR GENERAL DE HACIENDA IV</v>
          </cell>
        </row>
        <row r="1303">
          <cell r="A1303" t="str">
            <v>INSPECTOR IDENTIFICACION Y EXTRANJERIA</v>
          </cell>
        </row>
        <row r="1304">
          <cell r="A1304" t="str">
            <v>INSPECTOR JEFE</v>
          </cell>
        </row>
        <row r="1305">
          <cell r="A1305" t="str">
            <v>INSPECTOR TURISTICO I</v>
          </cell>
        </row>
        <row r="1306">
          <cell r="A1306" t="str">
            <v>INSPECTOR TURISTICO II</v>
          </cell>
        </row>
        <row r="1307">
          <cell r="A1307" t="str">
            <v>INSPECTOR TURISTICO III</v>
          </cell>
        </row>
        <row r="1308">
          <cell r="A1308" t="str">
            <v>INSPECTOR TURISTICO IV</v>
          </cell>
        </row>
        <row r="1309">
          <cell r="A1309" t="str">
            <v>INSPECTOR TURISTICO JEFE I</v>
          </cell>
        </row>
        <row r="1310">
          <cell r="A1310" t="str">
            <v>INSPECTOR TURISTICO JEFE II</v>
          </cell>
        </row>
        <row r="1311">
          <cell r="A1311" t="str">
            <v>INST. ARTES MANUALES N.G.</v>
          </cell>
        </row>
        <row r="1312">
          <cell r="A1312" t="str">
            <v>INST. B. Y DANZAS 77 III</v>
          </cell>
        </row>
        <row r="1313">
          <cell r="A1313" t="str">
            <v>INST. CORTE Y CONF. 77 III</v>
          </cell>
        </row>
        <row r="1314">
          <cell r="A1314" t="str">
            <v>INST. MUSICAL 77 IV</v>
          </cell>
        </row>
        <row r="1315">
          <cell r="A1315" t="str">
            <v>INST. MUSICAL N.G.</v>
          </cell>
        </row>
        <row r="1316">
          <cell r="A1316" t="str">
            <v>INST. TEATRO Y TITERES N.G.</v>
          </cell>
        </row>
        <row r="1317">
          <cell r="A1317" t="str">
            <v>INST.BALLET Y DANZAS N.G.</v>
          </cell>
        </row>
        <row r="1318">
          <cell r="A1318" t="str">
            <v>INST.BORDADO A MAQUINA N.G.</v>
          </cell>
        </row>
        <row r="1319">
          <cell r="A1319" t="str">
            <v>INST.CERAMICA Y ESC. N.G.</v>
          </cell>
        </row>
        <row r="1320">
          <cell r="A1320" t="str">
            <v>INST.CORT.Y CONFECC. N.G.</v>
          </cell>
        </row>
        <row r="1321">
          <cell r="A1321" t="str">
            <v>INST.CORTE Y CONF. 77 VI</v>
          </cell>
        </row>
        <row r="1322">
          <cell r="A1322" t="str">
            <v>INST.DANZAS FOLKLORICAS N.G.</v>
          </cell>
        </row>
        <row r="1323">
          <cell r="A1323" t="str">
            <v>INST.DANZAS III N.G.</v>
          </cell>
        </row>
        <row r="1324">
          <cell r="A1324" t="str">
            <v>INST.DE PELUQUERIA N.G.</v>
          </cell>
        </row>
        <row r="1325">
          <cell r="A1325" t="str">
            <v>INST.DIBUJO INFANTIL N.G.</v>
          </cell>
        </row>
        <row r="1326">
          <cell r="A1326" t="str">
            <v>INST.MANUALIDADES N.G.</v>
          </cell>
        </row>
        <row r="1327">
          <cell r="A1327" t="str">
            <v>INST.PINTURA 77 III</v>
          </cell>
        </row>
        <row r="1328">
          <cell r="A1328" t="str">
            <v>INST.PINTURA Y D. N.G.</v>
          </cell>
        </row>
        <row r="1329">
          <cell r="A1329" t="str">
            <v>INST.PINTURA Y DIB. VI 139</v>
          </cell>
        </row>
        <row r="1330">
          <cell r="A1330" t="str">
            <v>INST.REPOSTERIA C. N.G.</v>
          </cell>
        </row>
        <row r="1331">
          <cell r="A1331" t="str">
            <v>INST.TEATRO-TITERES 139 III</v>
          </cell>
        </row>
        <row r="1332">
          <cell r="A1332" t="str">
            <v>INST.TEJIDO E HILADO 77 IV</v>
          </cell>
        </row>
        <row r="1333">
          <cell r="A1333" t="str">
            <v>INSTRC. DE ALFABETIZACION Y EDUC. BASICA</v>
          </cell>
        </row>
        <row r="1334">
          <cell r="A1334" t="str">
            <v>INSTRC. FORMACION PROF. EN EL AREA COMER</v>
          </cell>
        </row>
        <row r="1335">
          <cell r="A1335" t="str">
            <v>INSTRUC FORMACION PROF, ART,Y SERV.</v>
          </cell>
        </row>
        <row r="1336">
          <cell r="A1336" t="str">
            <v>INSTRUCTOR</v>
          </cell>
        </row>
        <row r="1337">
          <cell r="A1337" t="str">
            <v>INSTRUCTOR AGROPECUARIO I</v>
          </cell>
        </row>
        <row r="1338">
          <cell r="A1338" t="str">
            <v>INSTRUCTOR AGROPECUARIO III</v>
          </cell>
        </row>
        <row r="1339">
          <cell r="A1339" t="str">
            <v>INSTRUCTOR AGROPECUARIO JEFE I</v>
          </cell>
        </row>
        <row r="1340">
          <cell r="A1340" t="str">
            <v>INSTRUCTOR AGROPECURIO JEFE II</v>
          </cell>
        </row>
        <row r="1341">
          <cell r="A1341" t="str">
            <v>INSTRUCTOR DE ENFERMERIA</v>
          </cell>
        </row>
        <row r="1342">
          <cell r="A1342" t="str">
            <v>INSTRUCTOR DE ERONAUTICA CIVIL</v>
          </cell>
        </row>
        <row r="1343">
          <cell r="A1343" t="str">
            <v>INSTRUCTOR DE FORM. PROFESIONAL EN EL AREA DE OFICINA</v>
          </cell>
        </row>
        <row r="1344">
          <cell r="A1344" t="str">
            <v>INSTRUCTOR DE FORMACION EMPRESARIA II</v>
          </cell>
        </row>
        <row r="1345">
          <cell r="A1345" t="str">
            <v>INSTRUCTOR DE FORMACION EMPRESARIAL</v>
          </cell>
        </row>
        <row r="1346">
          <cell r="A1346" t="str">
            <v>INSTRUCTOR DE FORMACION EMPRESARIAL III</v>
          </cell>
        </row>
        <row r="1347">
          <cell r="A1347" t="str">
            <v>INSTRUCTOR DE MANUALIDADES TCVD</v>
          </cell>
        </row>
        <row r="1348">
          <cell r="A1348" t="str">
            <v>INSTRUCTOR DE PRE-ESCOLAR</v>
          </cell>
        </row>
        <row r="1349">
          <cell r="A1349" t="str">
            <v>INSTRUCTOR DE TECNICAS NAUTICAS</v>
          </cell>
        </row>
        <row r="1350">
          <cell r="A1350" t="str">
            <v>INSTRUCTOR DE TECNICAS NAUTICAS JEFE</v>
          </cell>
        </row>
        <row r="1351">
          <cell r="A1351" t="str">
            <v>INSTRUCTOR ECONOMIA DOMESTICA</v>
          </cell>
        </row>
        <row r="1352">
          <cell r="A1352" t="str">
            <v>INSTRUCTOR I</v>
          </cell>
        </row>
        <row r="1353">
          <cell r="A1353" t="str">
            <v>INSTRUCTOR I   139</v>
          </cell>
        </row>
        <row r="1354">
          <cell r="A1354" t="str">
            <v>INSTRUCTOR I   77</v>
          </cell>
        </row>
        <row r="1355">
          <cell r="A1355" t="str">
            <v>INSTRUCTOR I   N.G.</v>
          </cell>
        </row>
        <row r="1356">
          <cell r="A1356" t="str">
            <v>INSTRUCTOR I (16 HORAS) / DIREC.  BAND (16 HORAS)</v>
          </cell>
        </row>
        <row r="1357">
          <cell r="A1357" t="str">
            <v>INSTRUCTOR I (16HRS) Y DOC NG (33.33HRS.)</v>
          </cell>
        </row>
        <row r="1358">
          <cell r="A1358" t="str">
            <v>INSTRUCTOR I Y III NG (16 H)</v>
          </cell>
        </row>
        <row r="1359">
          <cell r="A1359" t="str">
            <v>INSTRUCTOR II  139</v>
          </cell>
        </row>
        <row r="1360">
          <cell r="A1360" t="str">
            <v>INSTRUCTOR II  77</v>
          </cell>
        </row>
        <row r="1361">
          <cell r="A1361" t="str">
            <v>INSTRUCTOR II  N.G.</v>
          </cell>
        </row>
        <row r="1362">
          <cell r="A1362" t="str">
            <v>INSTRUCTOR III 139</v>
          </cell>
        </row>
        <row r="1363">
          <cell r="A1363" t="str">
            <v>INSTRUCTOR III 77</v>
          </cell>
        </row>
        <row r="1364">
          <cell r="A1364" t="str">
            <v>INSTRUCTOR III N.G.</v>
          </cell>
        </row>
        <row r="1365">
          <cell r="A1365" t="str">
            <v>INSTRUCTOR III NG (33,33 HORAS) Y DOCENTE BASICO 16 TSE TCVD I (04 HR)</v>
          </cell>
        </row>
        <row r="1366">
          <cell r="A1366" t="str">
            <v>INSTRUCTOR III NG (33,33 HORAS) Y ENTRENADOR DEPORTIVO (33,33 HORAS)</v>
          </cell>
        </row>
        <row r="1367">
          <cell r="A1367" t="str">
            <v>INSTRUCTOR III NG (33,33) Y DOCENTE BASICA NG TCVNMA (16 HORAS)</v>
          </cell>
        </row>
        <row r="1368">
          <cell r="A1368" t="str">
            <v>INSTRUCTOR INSTRUMENTAL DE VUELO</v>
          </cell>
        </row>
        <row r="1369">
          <cell r="A1369" t="str">
            <v>INSTRUCTOR IV  139</v>
          </cell>
        </row>
        <row r="1370">
          <cell r="A1370" t="str">
            <v>INSTRUCTOR IV  77</v>
          </cell>
        </row>
        <row r="1371">
          <cell r="A1371" t="str">
            <v>INSTRUCTOR MANUALIDADES I</v>
          </cell>
        </row>
        <row r="1372">
          <cell r="A1372" t="str">
            <v>INSTRUCTOR MANUALIDADES II</v>
          </cell>
        </row>
        <row r="1373">
          <cell r="A1373" t="str">
            <v>INSTRUCTOR MANUALIDADES III</v>
          </cell>
        </row>
        <row r="1374">
          <cell r="A1374" t="str">
            <v>INSTRUCTOR MARROQUINERIA</v>
          </cell>
        </row>
        <row r="1375">
          <cell r="A1375" t="str">
            <v>INSTRUCTOR MUSICAL</v>
          </cell>
        </row>
        <row r="1376">
          <cell r="A1376" t="str">
            <v>INSTRUCTOR MUSICAL Y DOCENTE IV AULA</v>
          </cell>
        </row>
        <row r="1377">
          <cell r="A1377" t="str">
            <v>INSTRUCTOR N.G TCVD</v>
          </cell>
        </row>
        <row r="1378">
          <cell r="A1378" t="str">
            <v>INSTRUCTOR V   139</v>
          </cell>
        </row>
        <row r="1379">
          <cell r="A1379" t="str">
            <v>INSTRUCTOR V   77</v>
          </cell>
        </row>
        <row r="1380">
          <cell r="A1380" t="str">
            <v>INSTRUCTOR VI  139</v>
          </cell>
        </row>
        <row r="1381">
          <cell r="A1381" t="str">
            <v>INSTRUCTOR VI  77</v>
          </cell>
        </row>
        <row r="1382">
          <cell r="A1382" t="str">
            <v>INSTRUCTORA DE COCINA Y ARTE CULINARIA</v>
          </cell>
        </row>
        <row r="1383">
          <cell r="A1383" t="str">
            <v>INSTRUCTORA III NG (16 HORAS) Y DOCENTE BASICA NG 1-6 TCVNM (33,33 HORAS)</v>
          </cell>
        </row>
        <row r="1384">
          <cell r="A1384" t="str">
            <v>INSTRUMENTO I</v>
          </cell>
        </row>
        <row r="1385">
          <cell r="A1385" t="str">
            <v>INSTRUMENTO II</v>
          </cell>
        </row>
        <row r="1386">
          <cell r="A1386" t="str">
            <v>INSTRUMENTO III</v>
          </cell>
        </row>
        <row r="1387">
          <cell r="A1387" t="str">
            <v>INSTURCTOR AGROPECUARIO II</v>
          </cell>
        </row>
        <row r="1388">
          <cell r="A1388" t="str">
            <v>INTENDENTE DE HOSPITAL I</v>
          </cell>
        </row>
        <row r="1389">
          <cell r="A1389" t="str">
            <v>INTENDENTE DE HOSPITAL II</v>
          </cell>
        </row>
        <row r="1390">
          <cell r="A1390" t="str">
            <v>INTENDENTE DE HOSPITAL III</v>
          </cell>
        </row>
        <row r="1391">
          <cell r="A1391" t="str">
            <v>INTENDENTE DE HOSPITAL IV</v>
          </cell>
        </row>
        <row r="1392">
          <cell r="A1392" t="str">
            <v>INTENDENTE DE HOSPITAL V</v>
          </cell>
        </row>
        <row r="1393">
          <cell r="A1393" t="str">
            <v>INTERVENTOR DE ADUANAS II</v>
          </cell>
        </row>
        <row r="1394">
          <cell r="A1394" t="str">
            <v>INTERVENTOR DE ADUANAS III</v>
          </cell>
        </row>
        <row r="1395">
          <cell r="A1395" t="str">
            <v>INTERVENTOR DE ADUNAS I</v>
          </cell>
        </row>
        <row r="1396">
          <cell r="A1396" t="str">
            <v>INTRUCTOR DEPORTIVO</v>
          </cell>
        </row>
        <row r="1397">
          <cell r="A1397" t="str">
            <v>INVESTIGADOR DE MUSEO I</v>
          </cell>
        </row>
        <row r="1398">
          <cell r="A1398" t="str">
            <v>INVESTIGADOR DE MUSEO II</v>
          </cell>
        </row>
        <row r="1399">
          <cell r="A1399" t="str">
            <v>INVESTIGADOR DE MUSEO III</v>
          </cell>
        </row>
        <row r="1400">
          <cell r="A1400" t="str">
            <v>INVESTIGADOR EN ADIESTRAMIENTO</v>
          </cell>
        </row>
        <row r="1401">
          <cell r="A1401" t="str">
            <v>INVESTIGADOR I</v>
          </cell>
        </row>
        <row r="1402">
          <cell r="A1402" t="str">
            <v>INVESTIGADOR II</v>
          </cell>
        </row>
        <row r="1403">
          <cell r="A1403" t="str">
            <v>INVESTIGADOR III</v>
          </cell>
        </row>
        <row r="1404">
          <cell r="A1404" t="str">
            <v>INVESTIGADOR IV</v>
          </cell>
        </row>
        <row r="1405">
          <cell r="A1405" t="str">
            <v>INVESTIGADOR JEFE</v>
          </cell>
        </row>
        <row r="1406">
          <cell r="A1406" t="str">
            <v>INVESTIGADOR SOCIAL I</v>
          </cell>
        </row>
        <row r="1407">
          <cell r="A1407" t="str">
            <v>INVESTIGADOR SOCIAL II</v>
          </cell>
        </row>
        <row r="1408">
          <cell r="A1408" t="str">
            <v>INVESTIGADOR SOCIAL III</v>
          </cell>
        </row>
        <row r="1409">
          <cell r="A1409" t="str">
            <v>INVESTIGADOR SOCIAL JEFE</v>
          </cell>
        </row>
        <row r="1410">
          <cell r="A1410" t="str">
            <v>INVESTIGADOR V</v>
          </cell>
        </row>
        <row r="1411">
          <cell r="A1411" t="str">
            <v>JEE DE SERVICIOS PORTUARIOS I</v>
          </cell>
        </row>
        <row r="1412">
          <cell r="A1412" t="str">
            <v>JEFE CAPITAN DE PUERTO</v>
          </cell>
        </row>
        <row r="1413">
          <cell r="A1413" t="str">
            <v>JEFE CENTRO ATENCION POR ABANDONO</v>
          </cell>
        </row>
        <row r="1414">
          <cell r="A1414" t="str">
            <v>JEFE CENTRO ATENCION POR TRATAMIENTO</v>
          </cell>
        </row>
        <row r="1415">
          <cell r="A1415" t="str">
            <v>JEFE CENTRO AUDIOVISUAL</v>
          </cell>
        </row>
        <row r="1416">
          <cell r="A1416" t="str">
            <v>JEFE CENTRO DE PREVENCION</v>
          </cell>
        </row>
        <row r="1417">
          <cell r="A1417" t="str">
            <v>JEFE CENTRO INDIGENISTA II</v>
          </cell>
        </row>
        <row r="1418">
          <cell r="A1418" t="str">
            <v>JEFE CENTRO INDIGENITA I</v>
          </cell>
        </row>
        <row r="1419">
          <cell r="A1419" t="str">
            <v>JEFE DE AEROPUERTO I</v>
          </cell>
        </row>
        <row r="1420">
          <cell r="A1420" t="str">
            <v>JEFE DE AEROPUERTO II</v>
          </cell>
        </row>
        <row r="1421">
          <cell r="A1421" t="str">
            <v>JEFE DE AEROPUERTO III</v>
          </cell>
        </row>
        <row r="1422">
          <cell r="A1422" t="str">
            <v>JEFE DE AEROPUERTO IV</v>
          </cell>
        </row>
        <row r="1423">
          <cell r="A1423" t="str">
            <v>JEFE DE AEROPUERTO V</v>
          </cell>
        </row>
        <row r="1424">
          <cell r="A1424" t="str">
            <v>JEFE DE ARTE Y FOLKLORE</v>
          </cell>
        </row>
        <row r="1425">
          <cell r="A1425" t="str">
            <v>JEFE DE CONTROL DE MAQUINAS</v>
          </cell>
        </row>
        <row r="1426">
          <cell r="A1426" t="str">
            <v>JEFE DE DEPARTAMENTO</v>
          </cell>
        </row>
        <row r="1427">
          <cell r="A1427" t="str">
            <v>JEFE DE DIVISION</v>
          </cell>
        </row>
        <row r="1428">
          <cell r="A1428" t="str">
            <v>JEFE DE DIVISION ADMINISTRATIVO</v>
          </cell>
        </row>
        <row r="1429">
          <cell r="A1429" t="str">
            <v>JEFE DE EJECUCION Y CONTROL DE PRESUPUES</v>
          </cell>
        </row>
        <row r="1430">
          <cell r="A1430" t="str">
            <v>JEFE DE INFORMATICA I</v>
          </cell>
        </row>
        <row r="1431">
          <cell r="A1431" t="str">
            <v>JEFE DE INFORMATICA II</v>
          </cell>
        </row>
        <row r="1432">
          <cell r="A1432" t="str">
            <v>JEFE DE INFORMATICA III</v>
          </cell>
        </row>
        <row r="1433">
          <cell r="A1433" t="str">
            <v>JEFE DE LABORATORIO DE AEROFOTOGRAFIA</v>
          </cell>
        </row>
        <row r="1434">
          <cell r="A1434" t="str">
            <v>JEFE DE MAQUINAS I</v>
          </cell>
        </row>
        <row r="1435">
          <cell r="A1435" t="str">
            <v>JEFE DE MAQUINAS II</v>
          </cell>
        </row>
        <row r="1436">
          <cell r="A1436" t="str">
            <v>JEFE DE OBREROS</v>
          </cell>
        </row>
        <row r="1437">
          <cell r="A1437" t="str">
            <v>JEFE DE OFICINA</v>
          </cell>
        </row>
        <row r="1438">
          <cell r="A1438" t="str">
            <v>JEFE DE PABELLON DE FERIAS</v>
          </cell>
        </row>
        <row r="1439">
          <cell r="A1439" t="str">
            <v>JEFE DE PRE-ESCOLAR</v>
          </cell>
        </row>
        <row r="1440">
          <cell r="A1440" t="str">
            <v>JEFE DE RELACIONES PUBLICAS I</v>
          </cell>
        </row>
        <row r="1441">
          <cell r="A1441" t="str">
            <v>JEFE DE RELACIONES PUBLICAS II</v>
          </cell>
        </row>
        <row r="1442">
          <cell r="A1442" t="str">
            <v>JEFE DE RELACIONES PUBLICAS III</v>
          </cell>
        </row>
        <row r="1443">
          <cell r="A1443" t="str">
            <v>JEFE DE SECCION</v>
          </cell>
        </row>
        <row r="1444">
          <cell r="A1444" t="str">
            <v>JEFE DE SERVICIOS PORTUARIOS II</v>
          </cell>
        </row>
        <row r="1445">
          <cell r="A1445" t="str">
            <v>JEFE DE SERVICIOS PORTUARIOS III</v>
          </cell>
        </row>
        <row r="1446">
          <cell r="A1446" t="str">
            <v>JEFE DE SERVICIOS PORTUARIOS IV</v>
          </cell>
        </row>
        <row r="1447">
          <cell r="A1447" t="str">
            <v>JEFE DE TRANSPORTE AUTOMOTOR I</v>
          </cell>
        </row>
        <row r="1448">
          <cell r="A1448" t="str">
            <v>JEFE DE TRANSPORTE AUTONOMOR III</v>
          </cell>
        </row>
        <row r="1449">
          <cell r="A1449" t="str">
            <v>JEFE DE TRASPORTE AUTOMOTOR II</v>
          </cell>
        </row>
        <row r="1450">
          <cell r="A1450" t="str">
            <v>JEFE DE UNIDAD</v>
          </cell>
        </row>
        <row r="1451">
          <cell r="A1451" t="str">
            <v>JEFE DE ZONA</v>
          </cell>
        </row>
        <row r="1452">
          <cell r="A1452" t="str">
            <v>JEFE DE ZONA DE SANEAMIENTO AMBIENTAL</v>
          </cell>
        </row>
        <row r="1453">
          <cell r="A1453" t="str">
            <v>JEFE ESTACION DE PILOTO</v>
          </cell>
        </row>
        <row r="1454">
          <cell r="A1454" t="str">
            <v>JEFE SECCION DE RENDICION DE CUENTAS</v>
          </cell>
        </row>
        <row r="1455">
          <cell r="A1455" t="str">
            <v>JEFE TECNICO AMDINISTRATIVO</v>
          </cell>
        </row>
        <row r="1456">
          <cell r="A1456" t="str">
            <v>LABORATORISTA CINEMATOGRAFICO</v>
          </cell>
        </row>
        <row r="1457">
          <cell r="A1457" t="str">
            <v>LABORATORISTA I</v>
          </cell>
        </row>
        <row r="1458">
          <cell r="A1458" t="str">
            <v>LABORATORISTA II</v>
          </cell>
        </row>
        <row r="1459">
          <cell r="A1459" t="str">
            <v>LABORATORISTA III</v>
          </cell>
        </row>
        <row r="1460">
          <cell r="A1460" t="str">
            <v>LCDO(A) EN GESTION AMBIENTAL</v>
          </cell>
        </row>
        <row r="1461">
          <cell r="A1461" t="str">
            <v>LCDO(A) EN GESTION SOCIAL</v>
          </cell>
        </row>
        <row r="1462">
          <cell r="A1462" t="str">
            <v>LENGUAJE MUSICAL</v>
          </cell>
        </row>
        <row r="1463">
          <cell r="A1463" t="str">
            <v>LIBRETISTA DE RADIO</v>
          </cell>
        </row>
        <row r="1464">
          <cell r="A1464" t="str">
            <v>LIQUIDADOR DE HIDROCARBUROS I</v>
          </cell>
        </row>
        <row r="1465">
          <cell r="A1465" t="str">
            <v>LIQUIDADOR DE HIDROCARBUROS II</v>
          </cell>
        </row>
        <row r="1466">
          <cell r="A1466" t="str">
            <v>LIQUIDADOR DE HIDROCARBUROS III</v>
          </cell>
        </row>
        <row r="1467">
          <cell r="A1467" t="str">
            <v>LIQUIDADOR DE HIDROCARBUROS JEFE</v>
          </cell>
        </row>
        <row r="1468">
          <cell r="A1468" t="str">
            <v>LIQUIDADOR I</v>
          </cell>
        </row>
        <row r="1469">
          <cell r="A1469" t="str">
            <v>LIQUIDADOR II</v>
          </cell>
        </row>
        <row r="1470">
          <cell r="A1470" t="str">
            <v>LIQUIDADOR III</v>
          </cell>
        </row>
        <row r="1471">
          <cell r="A1471" t="str">
            <v>LIQUIDADOR JEFE</v>
          </cell>
        </row>
        <row r="1472">
          <cell r="A1472" t="str">
            <v>LOCUTOR I</v>
          </cell>
        </row>
        <row r="1473">
          <cell r="A1473" t="str">
            <v>LOCUTOR II</v>
          </cell>
        </row>
        <row r="1474">
          <cell r="A1474" t="str">
            <v>MAESTRA (33.33 HORAS) Y PROF. PH GR (20 HORAS)</v>
          </cell>
        </row>
        <row r="1475">
          <cell r="A1475" t="str">
            <v>MAESTRA ALFABETIZADORA</v>
          </cell>
        </row>
        <row r="1476">
          <cell r="A1476" t="str">
            <v>MAESTRA BIBLIOTECARIA</v>
          </cell>
        </row>
        <row r="1477">
          <cell r="A1477" t="str">
            <v>MAESTRA COORDINADORA</v>
          </cell>
        </row>
        <row r="1478">
          <cell r="A1478" t="str">
            <v>MAESTRA N§ 10</v>
          </cell>
        </row>
        <row r="1479">
          <cell r="A1479" t="str">
            <v>MAESTRA N§ 2</v>
          </cell>
        </row>
        <row r="1480">
          <cell r="A1480" t="str">
            <v>MAESTRA NORMALISTA</v>
          </cell>
        </row>
        <row r="1481">
          <cell r="A1481" t="str">
            <v>MAESTRA TIPO A</v>
          </cell>
        </row>
        <row r="1482">
          <cell r="A1482" t="str">
            <v>MAESTRO TCVDNMA</v>
          </cell>
        </row>
        <row r="1483">
          <cell r="A1483" t="str">
            <v>MAESTRO(A)</v>
          </cell>
        </row>
        <row r="1484">
          <cell r="A1484" t="str">
            <v>MANDOLINA</v>
          </cell>
        </row>
        <row r="1485">
          <cell r="A1485" t="str">
            <v>MAQUETISTA I</v>
          </cell>
        </row>
        <row r="1486">
          <cell r="A1486" t="str">
            <v>MAQUETISTA II</v>
          </cell>
        </row>
        <row r="1487">
          <cell r="A1487" t="str">
            <v>MAQUILLADOR</v>
          </cell>
        </row>
        <row r="1488">
          <cell r="A1488" t="str">
            <v>MAQUINISTA DE REMOLCADOR</v>
          </cell>
        </row>
        <row r="1489">
          <cell r="A1489" t="str">
            <v>MAQUINISTA DE TRANSPORTE NAVAL</v>
          </cell>
        </row>
        <row r="1490">
          <cell r="A1490" t="str">
            <v>MATEMATICO I</v>
          </cell>
        </row>
        <row r="1491">
          <cell r="A1491" t="str">
            <v>MATEMATICO II</v>
          </cell>
        </row>
        <row r="1492">
          <cell r="A1492" t="str">
            <v>MAYOR (BOMBERO)</v>
          </cell>
        </row>
        <row r="1493">
          <cell r="A1493" t="str">
            <v>MECANOGRAFA(O) II</v>
          </cell>
        </row>
        <row r="1494">
          <cell r="A1494" t="str">
            <v>MEDICO DE SALUD PUBLICA I</v>
          </cell>
        </row>
        <row r="1495">
          <cell r="A1495" t="str">
            <v>MEDICO DE SALUD PUBLICA II</v>
          </cell>
        </row>
        <row r="1496">
          <cell r="A1496" t="str">
            <v>MEDICO DE SALUD PUBLICA III</v>
          </cell>
        </row>
        <row r="1497">
          <cell r="A1497" t="str">
            <v>MEDICO DE SALUD PUBLICA JEFE</v>
          </cell>
        </row>
        <row r="1498">
          <cell r="A1498" t="str">
            <v>MEDICO DE SALUD PUBLICA JEFE II</v>
          </cell>
        </row>
        <row r="1499">
          <cell r="A1499" t="str">
            <v>MEDICO DE SALUD PUBLICA JEFE III</v>
          </cell>
        </row>
        <row r="1500">
          <cell r="A1500" t="str">
            <v>MEDICO DIRECTOR DE HOSPITAL I</v>
          </cell>
        </row>
        <row r="1501">
          <cell r="A1501" t="str">
            <v>MEDICO DIRECTOR DE HOSPITAL II</v>
          </cell>
        </row>
        <row r="1502">
          <cell r="A1502" t="str">
            <v>MEDICO DIRECTOR DE HOSPITAL III</v>
          </cell>
        </row>
        <row r="1503">
          <cell r="A1503" t="str">
            <v>MEDICO DIRECTOR DE HOSPITAL IV</v>
          </cell>
        </row>
        <row r="1504">
          <cell r="A1504" t="str">
            <v>MEDICO ESPECIALISTA I</v>
          </cell>
        </row>
        <row r="1505">
          <cell r="A1505" t="str">
            <v>MEDICO ESPECIALISTA II</v>
          </cell>
        </row>
        <row r="1506">
          <cell r="A1506" t="str">
            <v>MEDICO I</v>
          </cell>
        </row>
        <row r="1507">
          <cell r="A1507" t="str">
            <v>MEDICO II</v>
          </cell>
        </row>
        <row r="1508">
          <cell r="A1508" t="str">
            <v>MEDICO INTERNO</v>
          </cell>
        </row>
        <row r="1509">
          <cell r="A1509" t="str">
            <v>MEDICO JEFE I</v>
          </cell>
        </row>
        <row r="1510">
          <cell r="A1510" t="str">
            <v>MEDICO JEFE II</v>
          </cell>
        </row>
        <row r="1511">
          <cell r="A1511" t="str">
            <v>MEDICO JEFE III</v>
          </cell>
        </row>
        <row r="1512">
          <cell r="A1512" t="str">
            <v>MEDICO JEFE IV</v>
          </cell>
        </row>
        <row r="1513">
          <cell r="A1513" t="str">
            <v>MEDICO RESIDENTE</v>
          </cell>
        </row>
        <row r="1514">
          <cell r="A1514" t="str">
            <v>MEDICO VETERINARIO I</v>
          </cell>
        </row>
        <row r="1515">
          <cell r="A1515" t="str">
            <v>MEDICO VETERINARIO II</v>
          </cell>
        </row>
        <row r="1516">
          <cell r="A1516" t="str">
            <v>MEDICO VETERINARIO III</v>
          </cell>
        </row>
        <row r="1517">
          <cell r="A1517" t="str">
            <v>MEDICO VETERINARIO JEFE I</v>
          </cell>
        </row>
        <row r="1518">
          <cell r="A1518" t="str">
            <v>MEDICO VETERINARIO JEFE II</v>
          </cell>
        </row>
        <row r="1519">
          <cell r="A1519" t="str">
            <v>METROLOGO I</v>
          </cell>
        </row>
        <row r="1520">
          <cell r="A1520" t="str">
            <v>METROLOGO II</v>
          </cell>
        </row>
        <row r="1521">
          <cell r="A1521" t="str">
            <v>METROLOGO III</v>
          </cell>
        </row>
        <row r="1522">
          <cell r="A1522" t="str">
            <v>METROLOGO JEFE I</v>
          </cell>
        </row>
        <row r="1523">
          <cell r="A1523" t="str">
            <v>METROLOGO JEFE II</v>
          </cell>
        </row>
        <row r="1524">
          <cell r="A1524" t="str">
            <v>MICROBIOLOGO I</v>
          </cell>
        </row>
        <row r="1525">
          <cell r="A1525" t="str">
            <v>MICROBIOLOGO II</v>
          </cell>
        </row>
        <row r="1526">
          <cell r="A1526" t="str">
            <v>MICROBIOLOGO III</v>
          </cell>
        </row>
        <row r="1527">
          <cell r="A1527" t="str">
            <v>MICROBIOLOGO JEFE</v>
          </cell>
        </row>
        <row r="1528">
          <cell r="A1528" t="str">
            <v>MICROFILMADOR I</v>
          </cell>
        </row>
        <row r="1529">
          <cell r="A1529" t="str">
            <v>MICROFILMADOR II</v>
          </cell>
        </row>
        <row r="1530">
          <cell r="A1530" t="str">
            <v>MICROFILMADOR III</v>
          </cell>
        </row>
        <row r="1531">
          <cell r="A1531" t="str">
            <v>MICROFILMADOR IV</v>
          </cell>
        </row>
        <row r="1532">
          <cell r="A1532" t="str">
            <v>MUSEOGRAFO I</v>
          </cell>
        </row>
        <row r="1533">
          <cell r="A1533" t="str">
            <v>MUSEOGRAFO II</v>
          </cell>
        </row>
        <row r="1534">
          <cell r="A1534" t="str">
            <v>MUSEOGRAFO III</v>
          </cell>
        </row>
        <row r="1535">
          <cell r="A1535" t="str">
            <v>MUSEOLOGO</v>
          </cell>
        </row>
        <row r="1536">
          <cell r="A1536" t="str">
            <v>MUSEOLOGO II</v>
          </cell>
        </row>
        <row r="1537">
          <cell r="A1537" t="str">
            <v>MUSEOLOGO III</v>
          </cell>
        </row>
        <row r="1538">
          <cell r="A1538" t="str">
            <v>MUSEOLOGO IV</v>
          </cell>
        </row>
        <row r="1539">
          <cell r="A1539" t="str">
            <v>OBOE</v>
          </cell>
        </row>
        <row r="1540">
          <cell r="A1540" t="str">
            <v>OBOE</v>
          </cell>
        </row>
        <row r="1541">
          <cell r="A1541" t="str">
            <v>OBOE 1</v>
          </cell>
        </row>
        <row r="1542">
          <cell r="A1542" t="str">
            <v>OBOE 2</v>
          </cell>
        </row>
        <row r="1543">
          <cell r="A1543" t="str">
            <v>OBSERVADOR DE RADIO Y TV I</v>
          </cell>
        </row>
        <row r="1544">
          <cell r="A1544" t="str">
            <v>OBSERVADOR DE RADIO Y TV II</v>
          </cell>
        </row>
        <row r="1545">
          <cell r="A1545" t="str">
            <v>ODONTOLO II</v>
          </cell>
        </row>
        <row r="1546">
          <cell r="A1546" t="str">
            <v>ODONTOLOGO I</v>
          </cell>
        </row>
        <row r="1547">
          <cell r="A1547" t="str">
            <v>ODONTOLOGO III</v>
          </cell>
        </row>
        <row r="1548">
          <cell r="A1548" t="str">
            <v>ODONTOLOGO JEFE I</v>
          </cell>
        </row>
        <row r="1549">
          <cell r="A1549" t="str">
            <v>ODONTOLOGO JEFE II</v>
          </cell>
        </row>
        <row r="1550">
          <cell r="A1550" t="str">
            <v>OFICIAL</v>
          </cell>
        </row>
        <row r="1551">
          <cell r="A1551" t="str">
            <v>OFICIAL (GRADO 0)</v>
          </cell>
        </row>
        <row r="1552">
          <cell r="A1552" t="str">
            <v>OFICIAL (GRADO 1)</v>
          </cell>
        </row>
        <row r="1553">
          <cell r="A1553" t="str">
            <v>OFICIAL (GRADO 2)</v>
          </cell>
        </row>
        <row r="1554">
          <cell r="A1554" t="str">
            <v>OFICIAL AGREGADO</v>
          </cell>
        </row>
        <row r="1555">
          <cell r="A1555" t="str">
            <v>OFICIAL AGREGADO (GRADO 0)</v>
          </cell>
        </row>
        <row r="1556">
          <cell r="A1556" t="str">
            <v>OFICIAL AGREGADO (GRADO 1)</v>
          </cell>
        </row>
        <row r="1557">
          <cell r="A1557" t="str">
            <v>OFICIAL AGREGADO (GRADO 2)</v>
          </cell>
        </row>
        <row r="1558">
          <cell r="A1558" t="str">
            <v>OFICIAL DE BUSQUEDA Y SALVAMENTO I</v>
          </cell>
        </row>
        <row r="1559">
          <cell r="A1559" t="str">
            <v>OFICIAL DE BUSQUEDA Y SALVAMENTO II</v>
          </cell>
        </row>
        <row r="1560">
          <cell r="A1560" t="str">
            <v>OFICIAL DE BUSQUEDA Y SALVAMENTO III</v>
          </cell>
        </row>
        <row r="1561">
          <cell r="A1561" t="str">
            <v>OFICIAL DE BUSQUEDA Y SALVAMENTO IV</v>
          </cell>
        </row>
        <row r="1562">
          <cell r="A1562" t="str">
            <v>OFICIAL DE MAQUINAS I</v>
          </cell>
        </row>
        <row r="1563">
          <cell r="A1563" t="str">
            <v>OFICIAL DE MAQUINAS II</v>
          </cell>
        </row>
        <row r="1564">
          <cell r="A1564" t="str">
            <v>OFICIAL DE MAQUINAS III</v>
          </cell>
        </row>
        <row r="1565">
          <cell r="A1565" t="str">
            <v>OFICIAL DE MARINA I</v>
          </cell>
        </row>
        <row r="1566">
          <cell r="A1566" t="str">
            <v>OFICIAL DE MARINA II</v>
          </cell>
        </row>
        <row r="1567">
          <cell r="A1567" t="str">
            <v>OFICIAL DE MARINA III</v>
          </cell>
        </row>
        <row r="1568">
          <cell r="A1568" t="str">
            <v>OFICIAL DE MARINA IV</v>
          </cell>
        </row>
        <row r="1569">
          <cell r="A1569" t="str">
            <v>OFICIAL DE MARINA JEFE I</v>
          </cell>
        </row>
        <row r="1570">
          <cell r="A1570" t="str">
            <v>OFICIAL DE MARINA JEFE II</v>
          </cell>
        </row>
        <row r="1571">
          <cell r="A1571" t="str">
            <v>OFICIAL DE MARINA JEFE III</v>
          </cell>
        </row>
        <row r="1572">
          <cell r="A1572" t="str">
            <v>OFICIAL DE NAVEGACION I</v>
          </cell>
        </row>
        <row r="1573">
          <cell r="A1573" t="str">
            <v>OFICIAL DE NAVEGACION II</v>
          </cell>
        </row>
        <row r="1574">
          <cell r="A1574" t="str">
            <v>OFICIAL DE NAVEGACION III</v>
          </cell>
        </row>
        <row r="1575">
          <cell r="A1575" t="str">
            <v>OFICIAL JEFE</v>
          </cell>
        </row>
        <row r="1576">
          <cell r="A1576" t="str">
            <v>OFICIAL JEFE (GRADO 0)</v>
          </cell>
        </row>
        <row r="1577">
          <cell r="A1577" t="str">
            <v>OFICIAL JEFE (GRADO 1)</v>
          </cell>
        </row>
        <row r="1578">
          <cell r="A1578" t="str">
            <v>OFICIAL JEFE (GRADO 2)</v>
          </cell>
        </row>
        <row r="1579">
          <cell r="A1579" t="str">
            <v>OPERADOR DE EQUIPOS DE COMPUTACION I</v>
          </cell>
        </row>
        <row r="1580">
          <cell r="A1580" t="str">
            <v>OPERADOR DE EQUIPOS DE COMPUTACION II</v>
          </cell>
        </row>
        <row r="1581">
          <cell r="A1581" t="str">
            <v>OPERADOR DE EQUIPOS DE COMPUTACION III</v>
          </cell>
        </row>
        <row r="1582">
          <cell r="A1582" t="str">
            <v>OPERADOR DE EQUIPOS DE TV Y/O CINE</v>
          </cell>
        </row>
        <row r="1583">
          <cell r="A1583" t="str">
            <v>OPERADOR DE QUPOS DE DRAGADO</v>
          </cell>
        </row>
        <row r="1584">
          <cell r="A1584" t="str">
            <v>OPERADOR DE REPRODUCCION I</v>
          </cell>
        </row>
        <row r="1585">
          <cell r="A1585" t="str">
            <v>OPERADOR DE SOPORTE TECNICO</v>
          </cell>
        </row>
        <row r="1586">
          <cell r="A1586" t="str">
            <v>OPERADOR DE TELECOMUNICACIONES AERO. I</v>
          </cell>
        </row>
        <row r="1587">
          <cell r="A1587" t="str">
            <v>OPERADOR DE TELECOMUNICACIONES AERON. II</v>
          </cell>
        </row>
        <row r="1588">
          <cell r="A1588" t="str">
            <v>OPERADOR DE TELECOMUNICACIONES I</v>
          </cell>
        </row>
        <row r="1589">
          <cell r="A1589" t="str">
            <v>OPERADOR DE TELECOMUNICACIONES II</v>
          </cell>
        </row>
        <row r="1590">
          <cell r="A1590" t="str">
            <v>OPERADOR DE TELECOMUNICACIONES III</v>
          </cell>
        </row>
        <row r="1591">
          <cell r="A1591" t="str">
            <v>OPERADOR DE TELECOMUNICACIONES IV</v>
          </cell>
        </row>
        <row r="1592">
          <cell r="A1592" t="str">
            <v>OPERADOR DE TELECOMUNICACIONES JEFE</v>
          </cell>
        </row>
        <row r="1593">
          <cell r="A1593" t="str">
            <v>OPERADOR TELECOMUNICACIONES AER. JEFE I</v>
          </cell>
        </row>
        <row r="1594">
          <cell r="A1594" t="str">
            <v>OPERADOR TELECOMUNICACIONES AERON. III</v>
          </cell>
        </row>
        <row r="1595">
          <cell r="A1595" t="str">
            <v>OPERADOR TELECOMUNICACIONES AERON. IV</v>
          </cell>
        </row>
        <row r="1596">
          <cell r="A1596" t="str">
            <v>OPERADOR TELECOMUNICACIONES AERON. V</v>
          </cell>
        </row>
        <row r="1597">
          <cell r="A1597" t="str">
            <v>OPERADOR TELECOMUNICAICONES AER. JEFE II</v>
          </cell>
        </row>
        <row r="1598">
          <cell r="A1598" t="str">
            <v>OPERADOR TELECOMUNICAICONES AERON.VI</v>
          </cell>
        </row>
        <row r="1599">
          <cell r="A1599" t="str">
            <v>ORDENANZA  I</v>
          </cell>
        </row>
        <row r="1600">
          <cell r="A1600" t="str">
            <v>ORDENANZA II</v>
          </cell>
        </row>
        <row r="1601">
          <cell r="A1601" t="str">
            <v>ORDENANZA III</v>
          </cell>
        </row>
        <row r="1602">
          <cell r="A1602" t="str">
            <v>PALEONTOLOGO</v>
          </cell>
        </row>
        <row r="1603">
          <cell r="A1603" t="str">
            <v>PATRON DE LANCHA</v>
          </cell>
        </row>
        <row r="1604">
          <cell r="A1604" t="str">
            <v>PERCUSION</v>
          </cell>
        </row>
        <row r="1605">
          <cell r="A1605" t="str">
            <v>PERITO FORESTAL  III</v>
          </cell>
        </row>
        <row r="1606">
          <cell r="A1606" t="str">
            <v>PERITO FORESTAL I</v>
          </cell>
        </row>
        <row r="1607">
          <cell r="A1607" t="str">
            <v>PERITO FORESTAL II</v>
          </cell>
        </row>
        <row r="1608">
          <cell r="A1608" t="str">
            <v>PERITO FORESTAL JEFE I</v>
          </cell>
        </row>
        <row r="1609">
          <cell r="A1609" t="str">
            <v>PERITO FORESTAL JEFE II</v>
          </cell>
        </row>
        <row r="1610">
          <cell r="A1610" t="str">
            <v>PERITO NAVAL</v>
          </cell>
        </row>
        <row r="1611">
          <cell r="A1611" t="str">
            <v>PERSONAL ADMINISTRATIVO NO CLASIFICADO</v>
          </cell>
        </row>
        <row r="1612">
          <cell r="A1612" t="str">
            <v>PIANO COMPLEMENTARIO</v>
          </cell>
        </row>
        <row r="1613">
          <cell r="A1613" t="str">
            <v>PIANO COMPLEMENTARIO</v>
          </cell>
        </row>
        <row r="1614">
          <cell r="A1614" t="str">
            <v>PILOTO DE BUSQUEDA Y SALVAMENTO I</v>
          </cell>
        </row>
        <row r="1615">
          <cell r="A1615" t="str">
            <v>PILOTO DE BUSQUEDA Y SALVAMENTO II</v>
          </cell>
        </row>
        <row r="1616">
          <cell r="A1616" t="str">
            <v>PILOTO DE BUSQUEDA Y SALVAMENTO III</v>
          </cell>
        </row>
        <row r="1617">
          <cell r="A1617" t="str">
            <v>PILOTO DE BUSQUEDA Y SALVAMENTO IV</v>
          </cell>
        </row>
        <row r="1618">
          <cell r="A1618" t="str">
            <v>PILOTO DE HELICOPTERO BUSQUD. Y SALV.III</v>
          </cell>
        </row>
        <row r="1619">
          <cell r="A1619" t="str">
            <v>PILOTO DE HELICOPTERO BUSQUEDA Y SALV II</v>
          </cell>
        </row>
        <row r="1620">
          <cell r="A1620" t="str">
            <v>PILOTO DE HELICOPTERO DE BUSQUEDA Y SALV</v>
          </cell>
        </row>
        <row r="1621">
          <cell r="A1621" t="str">
            <v>PILOTO INSPECTOR DE VUELO I</v>
          </cell>
        </row>
        <row r="1622">
          <cell r="A1622" t="str">
            <v>PILOTO INSPECTOR DE VUELO II</v>
          </cell>
        </row>
        <row r="1623">
          <cell r="A1623" t="str">
            <v>PILOTO INSTRUCTOR DE VUELO II</v>
          </cell>
        </row>
        <row r="1624">
          <cell r="A1624" t="str">
            <v>PILOTO INSTRUCTOR DE VUELO III</v>
          </cell>
        </row>
        <row r="1625">
          <cell r="A1625" t="str">
            <v>PILOTO INSTRUCTOR DE VUELO JEFE</v>
          </cell>
        </row>
        <row r="1626">
          <cell r="A1626" t="str">
            <v>PILOTO JEFE</v>
          </cell>
        </row>
        <row r="1627">
          <cell r="A1627" t="str">
            <v>PILOTO JEFE DE OPERACIONES</v>
          </cell>
        </row>
        <row r="1628">
          <cell r="A1628" t="str">
            <v>PILOTO OFICIAL DE LA MARINA MERCANTE</v>
          </cell>
        </row>
        <row r="1629">
          <cell r="A1629" t="str">
            <v>PLANIFICADOR CENTRAL EN FORMACION</v>
          </cell>
        </row>
        <row r="1630">
          <cell r="A1630" t="str">
            <v>PLANIFICADOR CENTRAL I</v>
          </cell>
        </row>
        <row r="1631">
          <cell r="A1631" t="str">
            <v>PLANIFICADOR CENTRAL II</v>
          </cell>
        </row>
        <row r="1632">
          <cell r="A1632" t="str">
            <v>PLANIFICADOR CENTRAL III</v>
          </cell>
        </row>
        <row r="1633">
          <cell r="A1633" t="str">
            <v>PLANIFICADOR CENTRAL IV</v>
          </cell>
        </row>
        <row r="1634">
          <cell r="A1634" t="str">
            <v>PLANIFICADOR CENTRAL JEFE</v>
          </cell>
        </row>
        <row r="1635">
          <cell r="A1635" t="str">
            <v>PLANIFICADOR I</v>
          </cell>
        </row>
        <row r="1636">
          <cell r="A1636" t="str">
            <v>PLANIFICADOR II</v>
          </cell>
        </row>
        <row r="1637">
          <cell r="A1637" t="str">
            <v>PLANIFICADOR III</v>
          </cell>
        </row>
        <row r="1638">
          <cell r="A1638" t="str">
            <v>PLANIFICADOR IV</v>
          </cell>
        </row>
        <row r="1639">
          <cell r="A1639" t="str">
            <v>PLANIFICADOR JEFE</v>
          </cell>
        </row>
        <row r="1640">
          <cell r="A1640" t="str">
            <v>PLANIFICADOR V</v>
          </cell>
        </row>
        <row r="1641">
          <cell r="A1641" t="str">
            <v>PRECEPTOR</v>
          </cell>
        </row>
        <row r="1642">
          <cell r="A1642" t="str">
            <v>PREFECTO DE MUNICIPIO</v>
          </cell>
        </row>
        <row r="1643">
          <cell r="A1643" t="str">
            <v>PREFECTO DE PARROQUIA</v>
          </cell>
        </row>
        <row r="1644">
          <cell r="A1644" t="str">
            <v>PRESIDENTE</v>
          </cell>
        </row>
        <row r="1645">
          <cell r="A1645" t="str">
            <v>PRIMER OFICIAL DE JET I</v>
          </cell>
        </row>
        <row r="1646">
          <cell r="A1646" t="str">
            <v>PRIMER OFICIAL DE JET II</v>
          </cell>
        </row>
        <row r="1647">
          <cell r="A1647" t="str">
            <v>PRIMER OFICIAL DE TURBO</v>
          </cell>
        </row>
        <row r="1648">
          <cell r="A1648" t="str">
            <v>PROCURADOR DE TRABAJADORES</v>
          </cell>
        </row>
        <row r="1649">
          <cell r="A1649" t="str">
            <v>PRODUCTOR DE RADIO</v>
          </cell>
        </row>
        <row r="1650">
          <cell r="A1650" t="str">
            <v>PROF DE CUATRO</v>
          </cell>
        </row>
        <row r="1651">
          <cell r="A1651" t="str">
            <v>PROF. ARMONIA COMPLEMENTARIA</v>
          </cell>
        </row>
        <row r="1652">
          <cell r="A1652" t="str">
            <v>PROF. BALLET Y DANZAS</v>
          </cell>
        </row>
        <row r="1653">
          <cell r="A1653" t="str">
            <v>PROF. CERAMICA N.G.</v>
          </cell>
        </row>
        <row r="1654">
          <cell r="A1654" t="str">
            <v>PROF. CLARINETE II  77</v>
          </cell>
        </row>
        <row r="1655">
          <cell r="A1655" t="str">
            <v>PROF. CLARINETE N.G.</v>
          </cell>
        </row>
        <row r="1656">
          <cell r="A1656" t="str">
            <v>PROF. CLARINETE VI</v>
          </cell>
        </row>
        <row r="1657">
          <cell r="A1657" t="str">
            <v>PROF. CORNO I</v>
          </cell>
        </row>
        <row r="1658">
          <cell r="A1658" t="str">
            <v>PROF. CORTE Y CONF. 77  IV</v>
          </cell>
        </row>
        <row r="1659">
          <cell r="A1659" t="str">
            <v>PROF. DE PIANO  IV  139</v>
          </cell>
        </row>
        <row r="1660">
          <cell r="A1660" t="str">
            <v>PROF. DE PIANO III  77</v>
          </cell>
        </row>
        <row r="1661">
          <cell r="A1661" t="str">
            <v>PROF. DIB. Y DEC. G.III 77</v>
          </cell>
        </row>
        <row r="1662">
          <cell r="A1662" t="str">
            <v>PROF. DIBUJO Y DEC. VI 77</v>
          </cell>
        </row>
        <row r="1663">
          <cell r="A1663" t="str">
            <v>PROF. ESCULTURA N.G.</v>
          </cell>
        </row>
        <row r="1664">
          <cell r="A1664" t="str">
            <v>PROF. FLAUTA</v>
          </cell>
        </row>
        <row r="1665">
          <cell r="A1665" t="str">
            <v>PROF. FORMACION CORAL</v>
          </cell>
        </row>
        <row r="1666">
          <cell r="A1666" t="str">
            <v>PROF. FOTOGRAFIA  VI  139</v>
          </cell>
        </row>
        <row r="1667">
          <cell r="A1667" t="str">
            <v>PROF. GUITARRA VI 139</v>
          </cell>
        </row>
        <row r="1668">
          <cell r="A1668" t="str">
            <v>PROF. HIST. MUSICA VI  139</v>
          </cell>
        </row>
        <row r="1669">
          <cell r="A1669" t="str">
            <v>PROF. HISTORIA DEL A.IV 77</v>
          </cell>
        </row>
        <row r="1670">
          <cell r="A1670" t="str">
            <v>PROF. HISTORIA DEL A.VI 77</v>
          </cell>
        </row>
        <row r="1671">
          <cell r="A1671" t="str">
            <v>PROF. HISTORIA EST.III 77</v>
          </cell>
        </row>
        <row r="1672">
          <cell r="A1672" t="str">
            <v>PROF. HISTORIA ESTETICA</v>
          </cell>
        </row>
        <row r="1673">
          <cell r="A1673" t="str">
            <v>PROF. HORAS DE BASICA(2746HRAS)</v>
          </cell>
        </row>
        <row r="1674">
          <cell r="A1674" t="str">
            <v>PROF. HORAS EDUC MEDIA(1373 HRAS)</v>
          </cell>
        </row>
        <row r="1675">
          <cell r="A1675" t="str">
            <v>PROF. KINDER MUSICAL N.G.</v>
          </cell>
        </row>
        <row r="1676">
          <cell r="A1676" t="str">
            <v>PROF. KINDER MUSICAL VI 77</v>
          </cell>
        </row>
        <row r="1677">
          <cell r="A1677" t="str">
            <v>PROF. LANG. PLASTICO I 77</v>
          </cell>
        </row>
        <row r="1678">
          <cell r="A1678" t="str">
            <v>PROF. MANUALIDADES 77 II</v>
          </cell>
        </row>
        <row r="1679">
          <cell r="A1679" t="str">
            <v>PROF. MANUALIDADES III 77</v>
          </cell>
        </row>
        <row r="1680">
          <cell r="A1680" t="str">
            <v>PROF. MUSICA POP. VI   77</v>
          </cell>
        </row>
        <row r="1681">
          <cell r="A1681" t="str">
            <v>PROF. OBOE</v>
          </cell>
        </row>
        <row r="1682">
          <cell r="A1682" t="str">
            <v>PROF. PIANO COMPLEMENTARIO</v>
          </cell>
        </row>
        <row r="1683">
          <cell r="A1683" t="str">
            <v>PROF. PIANO PRINCIPAL III 77</v>
          </cell>
        </row>
        <row r="1684">
          <cell r="A1684" t="str">
            <v>PROF. PINTURA INFAN. V 77</v>
          </cell>
        </row>
        <row r="1685">
          <cell r="A1685" t="str">
            <v>PROF. PINTURA Y DIBUJO</v>
          </cell>
        </row>
        <row r="1686">
          <cell r="A1686" t="str">
            <v>PROF. RECURSOS AUDIO N.G</v>
          </cell>
        </row>
        <row r="1687">
          <cell r="A1687" t="str">
            <v>PROF. TEORIA Y SOLFEO</v>
          </cell>
        </row>
        <row r="1688">
          <cell r="A1688" t="str">
            <v>PROF. TROMPETA N.G.</v>
          </cell>
        </row>
        <row r="1689">
          <cell r="A1689" t="str">
            <v>PROF. VIOLA III 77</v>
          </cell>
        </row>
        <row r="1690">
          <cell r="A1690" t="str">
            <v>PROF. VIOLIN III 77</v>
          </cell>
        </row>
        <row r="1691">
          <cell r="A1691" t="str">
            <v>PROF. VIOLONCELLO III 77</v>
          </cell>
        </row>
        <row r="1692">
          <cell r="A1692" t="str">
            <v>PROF.CERAMICA ARTISTICA N.G.</v>
          </cell>
        </row>
        <row r="1693">
          <cell r="A1693" t="str">
            <v>PROF.TEATRO N.G.</v>
          </cell>
        </row>
        <row r="1694">
          <cell r="A1694" t="str">
            <v>PROFESOR DE CONTRABAJO</v>
          </cell>
        </row>
        <row r="1695">
          <cell r="A1695" t="str">
            <v>PROFESOR DE ESCULTURA Y ARTES GRAFICAS Y DOCENTE AULA MEDIA PROFESIONAL NG</v>
          </cell>
        </row>
        <row r="1696">
          <cell r="A1696" t="str">
            <v>PROFESOR DE MANUALIDADES</v>
          </cell>
        </row>
        <row r="1697">
          <cell r="A1697" t="str">
            <v>PROFESOR DE MUSICA</v>
          </cell>
        </row>
        <row r="1698">
          <cell r="A1698" t="str">
            <v>PROFESOR DE VIOLA N.G.</v>
          </cell>
        </row>
        <row r="1699">
          <cell r="A1699" t="str">
            <v>PROFESOR DE VIOLIN N.G.</v>
          </cell>
        </row>
        <row r="1700">
          <cell r="A1700" t="str">
            <v>PROFESOR I TID</v>
          </cell>
        </row>
        <row r="1701">
          <cell r="A1701" t="str">
            <v>PROFESOR POR HORA (24 HORAS)</v>
          </cell>
        </row>
        <row r="1702">
          <cell r="A1702" t="str">
            <v>PROFESOR(A) DE CORTE Y CONFECCIÓN</v>
          </cell>
        </row>
        <row r="1703">
          <cell r="A1703" t="str">
            <v>PROFESORA DE CORTE Y COSTURA Y DIRECTORA DE LA ESCUELA ANDRES ELOY BLANCO</v>
          </cell>
        </row>
        <row r="1704">
          <cell r="A1704" t="str">
            <v>PROFESORA DE MECANOGRAFIA</v>
          </cell>
        </row>
        <row r="1705">
          <cell r="A1705" t="str">
            <v>PROFESORA DE PINTURA INFANTIL, PROFESORA DE EDUCACION ARTISTICA Y COORDINADORA DOCENTE.</v>
          </cell>
        </row>
        <row r="1706">
          <cell r="A1706" t="str">
            <v>PROFESORA DE PINTURA Y DIBUJO (06 HORAS) Y DOCENTE IV COORDINADOR (24 HORAS)</v>
          </cell>
        </row>
        <row r="1707">
          <cell r="A1707" t="str">
            <v>PROFESORA NOCTURNA (NACIONAL) Y COORDINADORA DOCENTE VI</v>
          </cell>
        </row>
        <row r="1708">
          <cell r="A1708" t="str">
            <v>PROGRAMADOR DE FORMACION PROFES. JEFE</v>
          </cell>
        </row>
        <row r="1709">
          <cell r="A1709" t="str">
            <v>PROGRAMADOR DE FORMACION PROFESIONAL</v>
          </cell>
        </row>
        <row r="1710">
          <cell r="A1710" t="str">
            <v>PROGRAMADOR I</v>
          </cell>
        </row>
        <row r="1711">
          <cell r="A1711" t="str">
            <v>PROGRAMADOR II</v>
          </cell>
        </row>
        <row r="1712">
          <cell r="A1712" t="str">
            <v>PROGRAMADOR III</v>
          </cell>
        </row>
        <row r="1713">
          <cell r="A1713" t="str">
            <v>PROGRAMADOR IV</v>
          </cell>
        </row>
        <row r="1714">
          <cell r="A1714" t="str">
            <v>PROGRAMADOR V</v>
          </cell>
        </row>
        <row r="1715">
          <cell r="A1715" t="str">
            <v>PROMOTOR  SOCIAL I</v>
          </cell>
        </row>
        <row r="1716">
          <cell r="A1716" t="str">
            <v>PROMOTOR CULTURAL I</v>
          </cell>
        </row>
        <row r="1717">
          <cell r="A1717" t="str">
            <v>PROMOTOR CULTURAL II</v>
          </cell>
        </row>
        <row r="1718">
          <cell r="A1718" t="str">
            <v>PROMOTOR DE BIENESTAR SOCIAL</v>
          </cell>
        </row>
        <row r="1719">
          <cell r="A1719" t="str">
            <v>PROMOTOR DE CURSOS</v>
          </cell>
        </row>
        <row r="1720">
          <cell r="A1720" t="str">
            <v>PROMOTOR DE EXPORTACIONES I</v>
          </cell>
        </row>
        <row r="1721">
          <cell r="A1721" t="str">
            <v>PROMOTOR DE EXPORTACIONES II</v>
          </cell>
        </row>
        <row r="1722">
          <cell r="A1722" t="str">
            <v>PROMOTOR DE EXPORTACIONES III</v>
          </cell>
        </row>
        <row r="1723">
          <cell r="A1723" t="str">
            <v>PROMOTOR DE EXPORTACIONES JEFE</v>
          </cell>
        </row>
        <row r="1724">
          <cell r="A1724" t="str">
            <v>PROMOTOR DEPORTIVO</v>
          </cell>
        </row>
        <row r="1725">
          <cell r="A1725" t="str">
            <v>PROMOTOR RURAL</v>
          </cell>
        </row>
        <row r="1726">
          <cell r="A1726" t="str">
            <v>PROMOTOR TURISTICO I</v>
          </cell>
        </row>
        <row r="1727">
          <cell r="A1727" t="str">
            <v>PROMOTOR TURISTICO II</v>
          </cell>
        </row>
        <row r="1728">
          <cell r="A1728" t="str">
            <v>PROMOTOR TURISTICO III</v>
          </cell>
        </row>
        <row r="1729">
          <cell r="A1729" t="str">
            <v>PROMOTOR TURISTICO IV</v>
          </cell>
        </row>
        <row r="1730">
          <cell r="A1730" t="str">
            <v>PROMOTOR TURISTICO JEFE</v>
          </cell>
        </row>
        <row r="1731">
          <cell r="A1731" t="str">
            <v>PROYECTISTA DE PABELLON DE FERIAS</v>
          </cell>
        </row>
        <row r="1732">
          <cell r="A1732" t="str">
            <v>PSICOLOGO I</v>
          </cell>
        </row>
        <row r="1733">
          <cell r="A1733" t="str">
            <v>PSICOLOGO II</v>
          </cell>
        </row>
        <row r="1734">
          <cell r="A1734" t="str">
            <v>PSICOLOGO III</v>
          </cell>
        </row>
        <row r="1735">
          <cell r="A1735" t="str">
            <v>PSICOLOGO JEFE</v>
          </cell>
        </row>
        <row r="1736">
          <cell r="A1736" t="str">
            <v>PSICOPEDAGOGO</v>
          </cell>
        </row>
        <row r="1737">
          <cell r="A1737" t="str">
            <v>PUERICULTORA</v>
          </cell>
        </row>
        <row r="1738">
          <cell r="A1738" t="str">
            <v>QUIMICO I</v>
          </cell>
        </row>
        <row r="1739">
          <cell r="A1739" t="str">
            <v>QUIMICO II</v>
          </cell>
        </row>
        <row r="1740">
          <cell r="A1740" t="str">
            <v>QUIMICO III</v>
          </cell>
        </row>
        <row r="1741">
          <cell r="A1741" t="str">
            <v>QUIMICO JEFE I</v>
          </cell>
        </row>
        <row r="1742">
          <cell r="A1742" t="str">
            <v>QUIMICO JEFE II</v>
          </cell>
        </row>
        <row r="1743">
          <cell r="A1743" t="str">
            <v>RADIO OPERADOR DE CRIPTOGRAFO I</v>
          </cell>
        </row>
        <row r="1744">
          <cell r="A1744" t="str">
            <v>RADIO OPERADOR DE CRIPTOGRAFO II</v>
          </cell>
        </row>
        <row r="1745">
          <cell r="A1745" t="str">
            <v>RADIO OPERADOR DE CRIPTOGRAFO JEFE</v>
          </cell>
        </row>
        <row r="1746">
          <cell r="A1746" t="str">
            <v>RADIOTELEFONISTA</v>
          </cell>
        </row>
        <row r="1747">
          <cell r="A1747" t="str">
            <v>RECEPCIONISTA</v>
          </cell>
        </row>
        <row r="1748">
          <cell r="A1748" t="str">
            <v>REDOBLANTE 1</v>
          </cell>
        </row>
        <row r="1749">
          <cell r="A1749" t="str">
            <v>REGISTRADOR DE BIENES Y MATERIAS I</v>
          </cell>
        </row>
        <row r="1750">
          <cell r="A1750" t="str">
            <v>REGISTRADOR DE BIENES Y MATERIAS II</v>
          </cell>
        </row>
        <row r="1751">
          <cell r="A1751" t="str">
            <v>REGISTRADOR DE BIENES Y MATERIAS III</v>
          </cell>
        </row>
        <row r="1752">
          <cell r="A1752" t="str">
            <v>REGISTRADOR DE BIENES Y MATERIAS IV</v>
          </cell>
        </row>
        <row r="1753">
          <cell r="A1753" t="str">
            <v>REGISTRADOR DE BIENES Y MATERIAS V</v>
          </cell>
        </row>
        <row r="1754">
          <cell r="A1754" t="str">
            <v>REGISTRADOR DE MUSEO</v>
          </cell>
        </row>
        <row r="1755">
          <cell r="A1755" t="str">
            <v>RESTAURADOR I</v>
          </cell>
        </row>
        <row r="1756">
          <cell r="A1756" t="str">
            <v>RESTAURADOR II</v>
          </cell>
        </row>
        <row r="1757">
          <cell r="A1757" t="str">
            <v>RESTAURADOR III</v>
          </cell>
        </row>
        <row r="1758">
          <cell r="A1758" t="str">
            <v>RESTAURADOR JEFE</v>
          </cell>
        </row>
        <row r="1759">
          <cell r="A1759" t="str">
            <v>REVISOR DE CONTRALORIA I</v>
          </cell>
        </row>
        <row r="1760">
          <cell r="A1760" t="str">
            <v>REVISOR DE CONTRALORIA II</v>
          </cell>
        </row>
        <row r="1761">
          <cell r="A1761" t="str">
            <v>REVISOR DE CONTRALORIA III</v>
          </cell>
        </row>
        <row r="1762">
          <cell r="A1762" t="str">
            <v>REVISOR DE CONTRALORIA IV</v>
          </cell>
        </row>
        <row r="1763">
          <cell r="A1763" t="str">
            <v>REVISOR DE CONTRALORIA V</v>
          </cell>
        </row>
        <row r="1764">
          <cell r="A1764" t="str">
            <v>SARGENTO 1RA</v>
          </cell>
        </row>
        <row r="1765">
          <cell r="A1765" t="str">
            <v>SARGENTO 1RO (BOMBERO)</v>
          </cell>
        </row>
        <row r="1766">
          <cell r="A1766" t="str">
            <v>SARGENTO 2DA</v>
          </cell>
        </row>
        <row r="1767">
          <cell r="A1767" t="str">
            <v>SARGENTO 2DO (BOMBERO)</v>
          </cell>
        </row>
        <row r="1768">
          <cell r="A1768" t="str">
            <v>SARGENTO AYUDANTE (BOMBERO)</v>
          </cell>
        </row>
        <row r="1769">
          <cell r="A1769" t="str">
            <v>SARGENTO MAYOR</v>
          </cell>
        </row>
        <row r="1770">
          <cell r="A1770" t="str">
            <v>SAXO ALTO 1</v>
          </cell>
        </row>
        <row r="1771">
          <cell r="A1771" t="str">
            <v>SAXO ALTO 2</v>
          </cell>
        </row>
        <row r="1772">
          <cell r="A1772" t="str">
            <v>SAXO TENOR</v>
          </cell>
        </row>
        <row r="1773">
          <cell r="A1773" t="str">
            <v>SAXO-BARITONO</v>
          </cell>
        </row>
        <row r="1774">
          <cell r="A1774" t="str">
            <v>SECRETARIA EJECUTIVA [SUB DIRECTORA]</v>
          </cell>
        </row>
        <row r="1775">
          <cell r="A1775" t="str">
            <v>SECRETARIA GRAL. ENCARGADA</v>
          </cell>
        </row>
        <row r="1776">
          <cell r="A1776" t="str">
            <v>SECRETARIO (A) PRIVADO (A)</v>
          </cell>
        </row>
        <row r="1777">
          <cell r="A1777" t="str">
            <v>SECRETARIO BILINGUE I</v>
          </cell>
        </row>
        <row r="1778">
          <cell r="A1778" t="str">
            <v>SECRETARIO BILINGUE II</v>
          </cell>
        </row>
        <row r="1779">
          <cell r="A1779" t="str">
            <v>SECRETARIO DE DESPACHO</v>
          </cell>
        </row>
        <row r="1780">
          <cell r="A1780" t="str">
            <v>SECRETARIO EJECUTIVO DEL COMITE SUPERIOR DEL G.E.P.D.T</v>
          </cell>
        </row>
        <row r="1781">
          <cell r="A1781" t="str">
            <v>SECRETARIO EJECUTIVO I</v>
          </cell>
        </row>
        <row r="1782">
          <cell r="A1782" t="str">
            <v>SECRETARIO EJECUTIVO II</v>
          </cell>
        </row>
        <row r="1783">
          <cell r="A1783" t="str">
            <v>SECRETARIO EJECUTIVO III</v>
          </cell>
        </row>
        <row r="1784">
          <cell r="A1784" t="str">
            <v>SECRETARIO GRAL .DE GOBIERNO</v>
          </cell>
        </row>
        <row r="1785">
          <cell r="A1785" t="str">
            <v>SECRETARIO I</v>
          </cell>
        </row>
        <row r="1786">
          <cell r="A1786" t="str">
            <v>SECRETARIO II</v>
          </cell>
        </row>
        <row r="1787">
          <cell r="A1787" t="str">
            <v>SECRETARIO III</v>
          </cell>
        </row>
        <row r="1788">
          <cell r="A1788" t="str">
            <v>SECRETARIO(A) DE DESPACHO</v>
          </cell>
        </row>
        <row r="1789">
          <cell r="A1789" t="str">
            <v>SIN CARGO</v>
          </cell>
        </row>
        <row r="1790">
          <cell r="A1790" t="str">
            <v>SOCIOLOG JEFE</v>
          </cell>
        </row>
        <row r="1791">
          <cell r="A1791" t="str">
            <v>SOCIOLOGO I</v>
          </cell>
        </row>
        <row r="1792">
          <cell r="A1792" t="str">
            <v>SOCIOLOGO II</v>
          </cell>
        </row>
        <row r="1793">
          <cell r="A1793" t="str">
            <v>SOCIOLOGO III</v>
          </cell>
        </row>
        <row r="1794">
          <cell r="A1794" t="str">
            <v>SOLISTA</v>
          </cell>
        </row>
        <row r="1795">
          <cell r="A1795" t="str">
            <v>SOPLADOR DE VIDRIO I</v>
          </cell>
        </row>
        <row r="1796">
          <cell r="A1796" t="str">
            <v>SOPLADOR DE VIDRIO II</v>
          </cell>
        </row>
        <row r="1797">
          <cell r="A1797" t="str">
            <v>SOPLADOR DE VIDRIO JEFE</v>
          </cell>
        </row>
        <row r="1798">
          <cell r="A1798" t="str">
            <v>SUB COMISARIO</v>
          </cell>
        </row>
        <row r="1799">
          <cell r="A1799" t="str">
            <v>SUB DIRECTOR DE ORQUESTA</v>
          </cell>
        </row>
        <row r="1800">
          <cell r="A1800" t="str">
            <v>SUB DIRECTOR N.G.</v>
          </cell>
        </row>
        <row r="1801">
          <cell r="A1801" t="str">
            <v>SUB DIRECTOR VI 139</v>
          </cell>
        </row>
        <row r="1802">
          <cell r="A1802" t="str">
            <v>SUB DIRECTOR Y PROFESOR DE MANUALIDADES</v>
          </cell>
        </row>
        <row r="1803">
          <cell r="A1803" t="str">
            <v>SUB DIRECTORA (36 HORAS) Y DIRECTORA (20 HORAS)</v>
          </cell>
        </row>
        <row r="1804">
          <cell r="A1804" t="str">
            <v>SUB INSPECTOR</v>
          </cell>
        </row>
        <row r="1805">
          <cell r="A1805" t="str">
            <v>SUB INSPECTOR GENERAL DE HACIENDA</v>
          </cell>
        </row>
        <row r="1806">
          <cell r="A1806" t="str">
            <v>SUBDIR. (36 HORAS) PROF. DE PIANO Y KINDER MUSICAL (26 HORAS)</v>
          </cell>
        </row>
        <row r="1807">
          <cell r="A1807" t="str">
            <v>SUB-DIRECTOR</v>
          </cell>
        </row>
        <row r="1808">
          <cell r="A1808" t="str">
            <v>SUB-DIRECTOR (35 HORAS)  NG Y CLARINETE</v>
          </cell>
        </row>
        <row r="1809">
          <cell r="A1809" t="str">
            <v>SUB-DIRECTOR Y MAESTRO TCVDNMA</v>
          </cell>
        </row>
        <row r="1810">
          <cell r="A1810" t="str">
            <v>SUBTENIENTE (BOMBERO)</v>
          </cell>
        </row>
        <row r="1811">
          <cell r="A1811" t="str">
            <v>SUPERVISOR</v>
          </cell>
        </row>
        <row r="1812">
          <cell r="A1812" t="str">
            <v>SUPERVISOR (GRADO 0)</v>
          </cell>
        </row>
        <row r="1813">
          <cell r="A1813" t="str">
            <v>SUPERVISOR (GRADO 1)</v>
          </cell>
        </row>
        <row r="1814">
          <cell r="A1814" t="str">
            <v>SUPERVISOR (GRADO 2)</v>
          </cell>
        </row>
        <row r="1815">
          <cell r="A1815" t="str">
            <v>SUPERVISOR AGREGADO</v>
          </cell>
        </row>
        <row r="1816">
          <cell r="A1816" t="str">
            <v>SUPERVISOR AGREGADO (GRADO 0)</v>
          </cell>
        </row>
        <row r="1817">
          <cell r="A1817" t="str">
            <v>SUPERVISOR AGREGADO (GRADO 1)</v>
          </cell>
        </row>
        <row r="1818">
          <cell r="A1818" t="str">
            <v>SUPERVISOR AGREGADO (GRADO 2)</v>
          </cell>
        </row>
        <row r="1819">
          <cell r="A1819" t="str">
            <v>SUPERVISOR ALFABETIZACION Y EDUC BAS III</v>
          </cell>
        </row>
        <row r="1820">
          <cell r="A1820" t="str">
            <v>SUPERVISOR ALFABETIZACION Y EDUC BAS. I</v>
          </cell>
        </row>
        <row r="1821">
          <cell r="A1821" t="str">
            <v>SUPERVISOR ALFABETIZACION Y EDUC.BAS II</v>
          </cell>
        </row>
        <row r="1822">
          <cell r="A1822" t="str">
            <v>SUPERVISOR AUTOGRAFISTA</v>
          </cell>
        </row>
        <row r="1823">
          <cell r="A1823" t="str">
            <v>SUPERVISOR DE ALMACEN</v>
          </cell>
        </row>
        <row r="1824">
          <cell r="A1824" t="str">
            <v>SUPERVISOR DE APRENDIZAJE I</v>
          </cell>
        </row>
        <row r="1825">
          <cell r="A1825" t="str">
            <v>SUPERVISOR DE APRENDIZAJE II</v>
          </cell>
        </row>
        <row r="1826">
          <cell r="A1826" t="str">
            <v>SUPERVISOR DE APRENDIZAJE III</v>
          </cell>
        </row>
        <row r="1827">
          <cell r="A1827" t="str">
            <v>SUPERVISOR DE APRENDIZAJE IV</v>
          </cell>
        </row>
        <row r="1828">
          <cell r="A1828" t="str">
            <v>SUPERVISOR DE ASTILLEROS I</v>
          </cell>
        </row>
        <row r="1829">
          <cell r="A1829" t="str">
            <v>SUPERVISOR DE ASTILLEROS II</v>
          </cell>
        </row>
        <row r="1830">
          <cell r="A1830" t="str">
            <v>SUPERVISOR DE CAPORALES</v>
          </cell>
        </row>
        <row r="1831">
          <cell r="A1831" t="str">
            <v>SUPERVISOR DE COLECTORES</v>
          </cell>
        </row>
        <row r="1832">
          <cell r="A1832" t="str">
            <v>SUPERVISOR DE CONSERVACION AUTOM. I</v>
          </cell>
        </row>
        <row r="1833">
          <cell r="A1833" t="str">
            <v>SUPERVISOR DE CONSERVACION AUTOMOTORA II</v>
          </cell>
        </row>
        <row r="1834">
          <cell r="A1834" t="str">
            <v>SUPERVISOR DE CREDITOS AGROPECUARIO II</v>
          </cell>
        </row>
        <row r="1835">
          <cell r="A1835" t="str">
            <v>SUPERVISOR DE CREDITOS AGROPECUARIOS I</v>
          </cell>
        </row>
        <row r="1836">
          <cell r="A1836" t="str">
            <v>SUPERVISOR DE CREDITOS AGROPECUARIOS III</v>
          </cell>
        </row>
        <row r="1837">
          <cell r="A1837" t="str">
            <v>SUPERVISOR DE EQUIPOS DE DRAGADO</v>
          </cell>
        </row>
        <row r="1838">
          <cell r="A1838" t="str">
            <v>SUPERVISOR DE EXTENSION I</v>
          </cell>
        </row>
        <row r="1839">
          <cell r="A1839" t="str">
            <v>SUPERVISOR DE EXTENSION II</v>
          </cell>
        </row>
        <row r="1840">
          <cell r="A1840" t="str">
            <v>SUPERVISOR DE INSPECTORES DE INMUEBLES</v>
          </cell>
        </row>
        <row r="1841">
          <cell r="A1841" t="str">
            <v>SUPERVISOR DE INSTRUCCION A DISTANCIA I</v>
          </cell>
        </row>
        <row r="1842">
          <cell r="A1842" t="str">
            <v>SUPERVISOR DE INSTRUCCION A DISTANCIA II</v>
          </cell>
        </row>
        <row r="1843">
          <cell r="A1843" t="str">
            <v>SUPERVISOR DE INSTRUCCION A DISTANCIA III</v>
          </cell>
        </row>
        <row r="1844">
          <cell r="A1844" t="str">
            <v>SUPERVISOR DE MANTENIMIENTO DE PARQUES I</v>
          </cell>
        </row>
        <row r="1845">
          <cell r="A1845" t="str">
            <v>SUPERVISOR DE MANTENIMIENTO DE PARQUES II</v>
          </cell>
        </row>
        <row r="1846">
          <cell r="A1846" t="str">
            <v>SUPERVISOR DE MANTENIMIENTO DE PARQUES III</v>
          </cell>
        </row>
        <row r="1847">
          <cell r="A1847" t="str">
            <v>SUPERVISOR DE MANTENIMIENTO DE PARQUES IV</v>
          </cell>
        </row>
        <row r="1848">
          <cell r="A1848" t="str">
            <v>SUPERVISOR DE MECANICOS AUTOMOTORES I</v>
          </cell>
        </row>
        <row r="1849">
          <cell r="A1849" t="str">
            <v>SUPERVISOR DE MECANICOS AUTOMOTORES II</v>
          </cell>
        </row>
        <row r="1850">
          <cell r="A1850" t="str">
            <v>SUPERVISOR DE OBRAS PUBLICAS</v>
          </cell>
        </row>
        <row r="1851">
          <cell r="A1851" t="str">
            <v>SUPERVISOR DE OBRAS SANITARIAS</v>
          </cell>
        </row>
        <row r="1852">
          <cell r="A1852" t="str">
            <v>SUPERVISOR DE PRODUCCION I</v>
          </cell>
        </row>
        <row r="1853">
          <cell r="A1853" t="str">
            <v>SUPERVISOR DE PRODUCCION II</v>
          </cell>
        </row>
        <row r="1854">
          <cell r="A1854" t="str">
            <v>SUPERVISOR DE PROGRAMACION</v>
          </cell>
        </row>
        <row r="1855">
          <cell r="A1855" t="str">
            <v>SUPERVISOR DE REPRODUCCION II</v>
          </cell>
        </row>
        <row r="1856">
          <cell r="A1856" t="str">
            <v>SUPERVISOR DE SERVICIOS GENERAL IV</v>
          </cell>
        </row>
        <row r="1857">
          <cell r="A1857" t="str">
            <v>SUPERVISOR DE SERVICIOS GENERALES I</v>
          </cell>
        </row>
        <row r="1858">
          <cell r="A1858" t="str">
            <v>SUPERVISOR DE SERVICIOS GENERALES II</v>
          </cell>
        </row>
        <row r="1859">
          <cell r="A1859" t="str">
            <v>SUPERVISOR DE SERVICIOS GENERALES III</v>
          </cell>
        </row>
        <row r="1860">
          <cell r="A1860" t="str">
            <v>SUPERVISOR DE TALLER DE IMPRENTA I</v>
          </cell>
        </row>
        <row r="1861">
          <cell r="A1861" t="str">
            <v>SUPERVISOR DE TALLER DE IMPRENTA II</v>
          </cell>
        </row>
        <row r="1862">
          <cell r="A1862" t="str">
            <v>SUPERVISOR DE TALLER DE IMPRENTA III</v>
          </cell>
        </row>
        <row r="1863">
          <cell r="A1863" t="str">
            <v>SUPERVISOR DE TELEFONISTA</v>
          </cell>
        </row>
        <row r="1864">
          <cell r="A1864" t="str">
            <v>SUPERVISOR DOCENTE</v>
          </cell>
        </row>
        <row r="1865">
          <cell r="A1865" t="str">
            <v>SUPERVISOR DOCENTE JEFE</v>
          </cell>
        </row>
        <row r="1866">
          <cell r="A1866" t="str">
            <v>SUPERVISOR FISCAL DE COTIZACIONES</v>
          </cell>
        </row>
        <row r="1867">
          <cell r="A1867" t="str">
            <v>SUPERVISOR FISCAL JEFE</v>
          </cell>
        </row>
        <row r="1868">
          <cell r="A1868" t="str">
            <v>SUPERVISOR I</v>
          </cell>
        </row>
        <row r="1869">
          <cell r="A1869" t="str">
            <v>SUPERVISOR I (171)</v>
          </cell>
        </row>
        <row r="1870">
          <cell r="A1870" t="str">
            <v>SUPERVISOR II Y MAESTRO PH GR NOCTURNO</v>
          </cell>
        </row>
        <row r="1871">
          <cell r="A1871" t="str">
            <v>SUPERVISOR JEFE</v>
          </cell>
        </row>
        <row r="1872">
          <cell r="A1872" t="str">
            <v>SUPERVISOR JEFE (GRADO 0)</v>
          </cell>
        </row>
        <row r="1873">
          <cell r="A1873" t="str">
            <v>SUPERVISOR JEFE (GRADO 1)</v>
          </cell>
        </row>
        <row r="1874">
          <cell r="A1874" t="str">
            <v>SUPERVISOR JEFE (GRADO 2)</v>
          </cell>
        </row>
        <row r="1875">
          <cell r="A1875" t="str">
            <v>SUPERVISOR OPERADOR EQUIPOS DE COMPUTACION</v>
          </cell>
        </row>
        <row r="1876">
          <cell r="A1876" t="str">
            <v>SUPERVISORA III</v>
          </cell>
        </row>
        <row r="1877">
          <cell r="A1877" t="str">
            <v>TAXIDERMISTA</v>
          </cell>
        </row>
        <row r="1878">
          <cell r="A1878" t="str">
            <v>TEC EN RADIOCOMUNICACIONES AERON. JEFE</v>
          </cell>
        </row>
        <row r="1879">
          <cell r="A1879" t="str">
            <v>TEC. EN DOTACION DE EQUIPOS DE HOSPITAL</v>
          </cell>
        </row>
        <row r="1880">
          <cell r="A1880" t="str">
            <v>TEC. EN FABRICACION DE CUCHILLAS DE DIAM</v>
          </cell>
        </row>
        <row r="1881">
          <cell r="A1881" t="str">
            <v>TEC. EN RADIOCOMUNICACIONES AER.JEFE II</v>
          </cell>
        </row>
        <row r="1882">
          <cell r="A1882" t="str">
            <v>TEC. EN RADIOCOMUNICACIONES AERON. I</v>
          </cell>
        </row>
        <row r="1883">
          <cell r="A1883" t="str">
            <v>TEC. EN RADIOCOMUNICACIONES AERONA. II</v>
          </cell>
        </row>
        <row r="1884">
          <cell r="A1884" t="str">
            <v>TEC. EN RADIOCOMUNICACIONES AERONAU. IV</v>
          </cell>
        </row>
        <row r="1885">
          <cell r="A1885" t="str">
            <v>TEC. EN RADIOCOMUNICACIONES AERONAU. V</v>
          </cell>
        </row>
        <row r="1886">
          <cell r="A1886" t="str">
            <v>TEC. EN RADIOCOMUNICACIONES AERONAU. VI</v>
          </cell>
        </row>
        <row r="1887">
          <cell r="A1887" t="str">
            <v>TEC. EN RADIOCOMUNICAICONES AERONA. III</v>
          </cell>
        </row>
        <row r="1888">
          <cell r="A1888" t="str">
            <v>TEC. FABRICACION CUCHILLA DIAMANTE IV</v>
          </cell>
        </row>
        <row r="1889">
          <cell r="A1889" t="str">
            <v>TEC. FABRICACION CUCHILLAS DIAMANTES II</v>
          </cell>
        </row>
        <row r="1890">
          <cell r="A1890" t="str">
            <v>TEC. FABRICACION CUCHILLAS DIAMANTES III</v>
          </cell>
        </row>
        <row r="1891">
          <cell r="A1891" t="str">
            <v>TECNICO AERNAUTICO II</v>
          </cell>
        </row>
        <row r="1892">
          <cell r="A1892" t="str">
            <v>TECNICO AERONAUTICO I</v>
          </cell>
        </row>
        <row r="1893">
          <cell r="A1893" t="str">
            <v>TECNICO AERONAUTICO JEFE</v>
          </cell>
        </row>
        <row r="1894">
          <cell r="A1894" t="str">
            <v>TECNICO AGROPECUARIO I</v>
          </cell>
        </row>
        <row r="1895">
          <cell r="A1895" t="str">
            <v>TECNICO AGROPECUARIO II</v>
          </cell>
        </row>
        <row r="1896">
          <cell r="A1896" t="str">
            <v>TECNICO AGROPECUARIO III</v>
          </cell>
        </row>
        <row r="1897">
          <cell r="A1897" t="str">
            <v>TECNICO AGROPECUARIO IV</v>
          </cell>
        </row>
        <row r="1898">
          <cell r="A1898" t="str">
            <v>TECNICO AGROPECUARIO JEFE</v>
          </cell>
        </row>
        <row r="1899">
          <cell r="A1899" t="str">
            <v>TECNICO ARANCELARIO I</v>
          </cell>
        </row>
        <row r="1900">
          <cell r="A1900" t="str">
            <v>TECNICO ARANCELARIO JEFE</v>
          </cell>
        </row>
        <row r="1901">
          <cell r="A1901" t="str">
            <v>TECNICO ARANGELARIO II</v>
          </cell>
        </row>
        <row r="1902">
          <cell r="A1902" t="str">
            <v>TECNICO DE ASTILLEROS</v>
          </cell>
        </row>
        <row r="1903">
          <cell r="A1903" t="str">
            <v>TECNICO DE BALIZAMIENTO</v>
          </cell>
        </row>
        <row r="1904">
          <cell r="A1904" t="str">
            <v>TECNICO DE BALIZAMIENTO JEFE</v>
          </cell>
        </row>
        <row r="1905">
          <cell r="A1905" t="str">
            <v>TECNICO DE EQUIPOS MEDICOS I</v>
          </cell>
        </row>
        <row r="1906">
          <cell r="A1906" t="str">
            <v>TECNICO DE EQUIPOS MEDICOS II</v>
          </cell>
        </row>
        <row r="1907">
          <cell r="A1907" t="str">
            <v>TECNICO DE EQUIPOS MEDICOS III</v>
          </cell>
        </row>
        <row r="1908">
          <cell r="A1908" t="str">
            <v>TECNICO DE IDENTIDICACION I</v>
          </cell>
        </row>
        <row r="1909">
          <cell r="A1909" t="str">
            <v>TECNICO DE IDENTIFICACION II</v>
          </cell>
        </row>
        <row r="1910">
          <cell r="A1910" t="str">
            <v>TECNICO DE IDENTIFICACION III</v>
          </cell>
        </row>
        <row r="1911">
          <cell r="A1911" t="str">
            <v>TECNICO DE REGISTRO Y EST. DE SALUD I</v>
          </cell>
        </row>
        <row r="1912">
          <cell r="A1912" t="str">
            <v>TECNICO DE REGISTRO Y EST. DE SALUD II</v>
          </cell>
        </row>
        <row r="1913">
          <cell r="A1913" t="str">
            <v>TECNICO DE REGISTRO Y ESTAD DE SALUD III</v>
          </cell>
        </row>
        <row r="1914">
          <cell r="A1914" t="str">
            <v>TECNICO DE REGISTRO Y ESTAD DE SALUD IV</v>
          </cell>
        </row>
        <row r="1915">
          <cell r="A1915" t="str">
            <v>TECNICO DE REPARACION Y MANTENIMIENTO I</v>
          </cell>
        </row>
        <row r="1916">
          <cell r="A1916" t="str">
            <v>TECNICO DE REPARACION Y MANTENIMIENTO II</v>
          </cell>
        </row>
        <row r="1917">
          <cell r="A1917" t="str">
            <v>TECNICO DE REPARACION Y MANTENIMIENTO III</v>
          </cell>
        </row>
        <row r="1918">
          <cell r="A1918" t="str">
            <v>TECNICO EN AGROALIMENTARIA</v>
          </cell>
        </row>
        <row r="1919">
          <cell r="A1919" t="str">
            <v>TECNICO EN DRAGADO I</v>
          </cell>
        </row>
        <row r="1920">
          <cell r="A1920" t="str">
            <v>TECNICO EN DRAGADO II</v>
          </cell>
        </row>
        <row r="1921">
          <cell r="A1921" t="str">
            <v>TECNICO EN DRAGADO III</v>
          </cell>
        </row>
        <row r="1922">
          <cell r="A1922" t="str">
            <v>TECNICO EN GEOLOGIA Y MINAS I</v>
          </cell>
        </row>
        <row r="1923">
          <cell r="A1923" t="str">
            <v>TECNICO EN GEOLOGIA Y MINAS II</v>
          </cell>
        </row>
        <row r="1924">
          <cell r="A1924" t="str">
            <v>TECNICO EN GEOLOGIA Y MINAS III</v>
          </cell>
        </row>
        <row r="1925">
          <cell r="A1925" t="str">
            <v>TECNICO EN GERONTOLOGIA</v>
          </cell>
        </row>
        <row r="1926">
          <cell r="A1926" t="str">
            <v>TECNICO EN INFORMACION AERONAUTICA I</v>
          </cell>
        </row>
        <row r="1927">
          <cell r="A1927" t="str">
            <v>TECNICO EN INFORMACION AERONAUTICA II</v>
          </cell>
        </row>
        <row r="1928">
          <cell r="A1928" t="str">
            <v>TECNICO EN INFORMACION AERONAUTICA III</v>
          </cell>
        </row>
        <row r="1929">
          <cell r="A1929" t="str">
            <v>TECNICO EN INFORMACION AERONAUTICA IV</v>
          </cell>
        </row>
        <row r="1930">
          <cell r="A1930" t="str">
            <v>TECNICO EN INFORMACION AERONAUTICA JEFE</v>
          </cell>
        </row>
        <row r="1931">
          <cell r="A1931" t="str">
            <v>TECNICO EN INFORMACION AERONAUTICA V</v>
          </cell>
        </row>
        <row r="1932">
          <cell r="A1932" t="str">
            <v>TECNICO EN METROLOGIA I</v>
          </cell>
        </row>
        <row r="1933">
          <cell r="A1933" t="str">
            <v>TECNICO EN METROLOGIA II</v>
          </cell>
        </row>
        <row r="1934">
          <cell r="A1934" t="str">
            <v>TECNICO EN METROLOGIA III</v>
          </cell>
        </row>
        <row r="1935">
          <cell r="A1935" t="str">
            <v>TECNICO EN ORTEIS Y/O PROTESIS</v>
          </cell>
        </row>
        <row r="1936">
          <cell r="A1936" t="str">
            <v>TECNICO EN PETROLEO I</v>
          </cell>
        </row>
        <row r="1937">
          <cell r="A1937" t="str">
            <v>TECNICO EN PETROLEO II</v>
          </cell>
        </row>
        <row r="1938">
          <cell r="A1938" t="str">
            <v>TECNICO EN PETROLEO III</v>
          </cell>
        </row>
        <row r="1939">
          <cell r="A1939" t="str">
            <v>TECNICO EN TELECOMUNICACIONES I</v>
          </cell>
        </row>
        <row r="1940">
          <cell r="A1940" t="str">
            <v>TECNICO EN TELECOMUNICACIONES II</v>
          </cell>
        </row>
        <row r="1941">
          <cell r="A1941" t="str">
            <v>TECNICO EN TELECOMUNICACIONES III</v>
          </cell>
        </row>
        <row r="1942">
          <cell r="A1942" t="str">
            <v>TECNICO EN TELECOMUNICACIONES IV</v>
          </cell>
        </row>
        <row r="1943">
          <cell r="A1943" t="str">
            <v>TECNICO EN TELECOMUNICACIONES JEFE I</v>
          </cell>
        </row>
        <row r="1944">
          <cell r="A1944" t="str">
            <v>TECNICO EN TELECOMUNICACIONES JEFE II</v>
          </cell>
        </row>
        <row r="1945">
          <cell r="A1945" t="str">
            <v>TECNICO EN TELECOMUNICACIONES JEFE III</v>
          </cell>
        </row>
        <row r="1946">
          <cell r="A1946" t="str">
            <v>TECNICO EN TELECOMUNICACIONES V</v>
          </cell>
        </row>
        <row r="1947">
          <cell r="A1947" t="str">
            <v>TECNICO EN TELECOMUNICACIONES VI</v>
          </cell>
        </row>
        <row r="1948">
          <cell r="A1948" t="str">
            <v>TECNICO HISTOLOGO</v>
          </cell>
        </row>
        <row r="1949">
          <cell r="A1949" t="str">
            <v>TECNICO NORMALIZADOR I</v>
          </cell>
        </row>
        <row r="1950">
          <cell r="A1950" t="str">
            <v>TECNICO NORMALIZADOR II</v>
          </cell>
        </row>
        <row r="1951">
          <cell r="A1951" t="str">
            <v>TECNICO NORMALIZADOR III</v>
          </cell>
        </row>
        <row r="1952">
          <cell r="A1952" t="str">
            <v>TECNICO PORTUARIO I</v>
          </cell>
        </row>
        <row r="1953">
          <cell r="A1953" t="str">
            <v>TECNICO PORTUARIO II</v>
          </cell>
        </row>
        <row r="1954">
          <cell r="A1954" t="str">
            <v>TECNICO PORTUARIO JEFE</v>
          </cell>
        </row>
        <row r="1955">
          <cell r="A1955" t="str">
            <v>TECNICO QUIMICO I</v>
          </cell>
        </row>
        <row r="1956">
          <cell r="A1956" t="str">
            <v>TECNICO QUIMICO II</v>
          </cell>
        </row>
        <row r="1957">
          <cell r="A1957" t="str">
            <v>TECNICO QUIMICO III</v>
          </cell>
        </row>
        <row r="1958">
          <cell r="A1958" t="str">
            <v>TECNICO QUIMICO IV</v>
          </cell>
        </row>
        <row r="1959">
          <cell r="A1959" t="str">
            <v>TECNICO RADIOLOGO I</v>
          </cell>
        </row>
        <row r="1960">
          <cell r="A1960" t="str">
            <v>TECNICO RADIOLOGO II</v>
          </cell>
        </row>
        <row r="1961">
          <cell r="A1961" t="str">
            <v>TECNICO RADIOLOGO III</v>
          </cell>
        </row>
        <row r="1962">
          <cell r="A1962" t="str">
            <v>TECNICO SUPERIOR AGRICULTOR</v>
          </cell>
        </row>
        <row r="1963">
          <cell r="A1963" t="str">
            <v>TECNICO SUPERIOR EN TRABAJO SOCIAL I</v>
          </cell>
        </row>
        <row r="1964">
          <cell r="A1964" t="str">
            <v>TECNICO SUPERIOR EN TRABAJO SOCIAL II</v>
          </cell>
        </row>
        <row r="1965">
          <cell r="A1965" t="str">
            <v>TECNICO SUPERIOR III 77 TID</v>
          </cell>
        </row>
        <row r="1966">
          <cell r="A1966" t="str">
            <v>TECNICO SUPERIOR PESQUERO</v>
          </cell>
        </row>
        <row r="1967">
          <cell r="A1967" t="str">
            <v>TECNICO VALORADOR I</v>
          </cell>
        </row>
        <row r="1968">
          <cell r="A1968" t="str">
            <v>TECNICO VALORADOR II</v>
          </cell>
        </row>
        <row r="1969">
          <cell r="A1969" t="str">
            <v>TECNICO VALORADOR III</v>
          </cell>
        </row>
        <row r="1970">
          <cell r="A1970" t="str">
            <v>TECNICO VALORADOR JEFE</v>
          </cell>
        </row>
        <row r="1971">
          <cell r="A1971" t="str">
            <v>TELEFONISTA</v>
          </cell>
        </row>
        <row r="1972">
          <cell r="A1972" t="str">
            <v>TENIENTE (BOMBERO)</v>
          </cell>
        </row>
        <row r="1973">
          <cell r="A1973" t="str">
            <v>TENIENTE CORONEL (BOMBERO)</v>
          </cell>
        </row>
        <row r="1974">
          <cell r="A1974" t="str">
            <v>TERAPEUTA OCUPACIONAL I</v>
          </cell>
        </row>
        <row r="1975">
          <cell r="A1975" t="str">
            <v>TERAPEUTA OCUPACIONAL II</v>
          </cell>
        </row>
        <row r="1976">
          <cell r="A1976" t="str">
            <v>TERAPEUTA OCUPACIONAL III</v>
          </cell>
        </row>
        <row r="1977">
          <cell r="A1977" t="str">
            <v>TERAPEUTA OCUPACIONAL IV</v>
          </cell>
        </row>
        <row r="1978">
          <cell r="A1978" t="str">
            <v>TERAPISTA DE LENGUAJE I</v>
          </cell>
        </row>
        <row r="1979">
          <cell r="A1979" t="str">
            <v>TERAPISTA DE LENGUAJE II</v>
          </cell>
        </row>
        <row r="1980">
          <cell r="A1980" t="str">
            <v>TESORERO(A) GENERAL DEL ESTADO</v>
          </cell>
        </row>
        <row r="1981">
          <cell r="A1981" t="str">
            <v>TIMBAL 1</v>
          </cell>
        </row>
        <row r="1982">
          <cell r="A1982" t="str">
            <v>TOPOGRAFO CARTOGRAFICO I</v>
          </cell>
        </row>
        <row r="1983">
          <cell r="A1983" t="str">
            <v>TOPOGRAFO CARTOGRAFICO II</v>
          </cell>
        </row>
        <row r="1984">
          <cell r="A1984" t="str">
            <v>TOPOGRAFO CARTOGRAFICO JEFE</v>
          </cell>
        </row>
        <row r="1985">
          <cell r="A1985" t="str">
            <v>TOPOGRAFO I</v>
          </cell>
        </row>
        <row r="1986">
          <cell r="A1986" t="str">
            <v>TOPOGRAFO II</v>
          </cell>
        </row>
        <row r="1987">
          <cell r="A1987" t="str">
            <v>TRABAJADOR SOCIAL I</v>
          </cell>
        </row>
        <row r="1988">
          <cell r="A1988" t="str">
            <v>TRABAJADOR SOCIAL II</v>
          </cell>
        </row>
        <row r="1989">
          <cell r="A1989" t="str">
            <v>TRABAJADOR SOCIAL III</v>
          </cell>
        </row>
        <row r="1990">
          <cell r="A1990" t="str">
            <v>TRABAJADOR SOCIAL IV</v>
          </cell>
        </row>
        <row r="1991">
          <cell r="A1991" t="str">
            <v>TRADUCTOR I</v>
          </cell>
        </row>
        <row r="1992">
          <cell r="A1992" t="str">
            <v>TRADUCTOR II</v>
          </cell>
        </row>
        <row r="1993">
          <cell r="A1993" t="str">
            <v>TRADUCTOR III</v>
          </cell>
        </row>
        <row r="1994">
          <cell r="A1994" t="str">
            <v>TRADUCTOR MULTILINGUE II</v>
          </cell>
        </row>
        <row r="1995">
          <cell r="A1995" t="str">
            <v>TRADUCTOR MULTILUNGUE I</v>
          </cell>
        </row>
        <row r="1996">
          <cell r="A1996" t="str">
            <v>TRAMITADOR DE ASUNTOS DE ADUANA I</v>
          </cell>
        </row>
        <row r="1997">
          <cell r="A1997" t="str">
            <v>TRAMITADOR DE ASUNTOS DE ADUANA II</v>
          </cell>
        </row>
        <row r="1998">
          <cell r="A1998" t="str">
            <v>TRAMITADOR DE ASUNTOS DE ADUANA JEFE</v>
          </cell>
        </row>
        <row r="1999">
          <cell r="A1999" t="str">
            <v>TROMBON 1</v>
          </cell>
        </row>
        <row r="2000">
          <cell r="A2000" t="str">
            <v>TROMBON 2</v>
          </cell>
        </row>
        <row r="2001">
          <cell r="A2001" t="str">
            <v>TROMBON 3</v>
          </cell>
        </row>
        <row r="2002">
          <cell r="A2002" t="str">
            <v>TROMPETA 1</v>
          </cell>
        </row>
        <row r="2003">
          <cell r="A2003" t="str">
            <v>TROMPETA 2</v>
          </cell>
        </row>
        <row r="2004">
          <cell r="A2004" t="str">
            <v>TROMPETA 3</v>
          </cell>
        </row>
        <row r="2005">
          <cell r="A2005" t="str">
            <v>TROMPETA SOLISTA</v>
          </cell>
        </row>
        <row r="2006">
          <cell r="A2006" t="str">
            <v>TUBA 1</v>
          </cell>
        </row>
        <row r="2007">
          <cell r="A2007" t="str">
            <v>TUBA 2</v>
          </cell>
        </row>
        <row r="2008">
          <cell r="A2008" t="str">
            <v>TUTOR FACILITADOR I</v>
          </cell>
        </row>
        <row r="2009">
          <cell r="A2009" t="str">
            <v>TUTOR FACILITADOR II</v>
          </cell>
        </row>
        <row r="2010">
          <cell r="A2010" t="str">
            <v>TUTOR FACILITADOR III</v>
          </cell>
        </row>
        <row r="2011">
          <cell r="A2011" t="str">
            <v>URBANISTA I</v>
          </cell>
        </row>
        <row r="2012">
          <cell r="A2012" t="str">
            <v>URBANISTA II</v>
          </cell>
        </row>
        <row r="2013">
          <cell r="A2013" t="str">
            <v>URBANISTA III</v>
          </cell>
        </row>
        <row r="2014">
          <cell r="A2014" t="str">
            <v>URBANISTA JEFE</v>
          </cell>
        </row>
        <row r="2015">
          <cell r="A2015" t="str">
            <v>VICEPRESIDENTE</v>
          </cell>
        </row>
        <row r="2016">
          <cell r="A2016" t="str">
            <v>VIOLA</v>
          </cell>
        </row>
        <row r="2017">
          <cell r="A2017" t="str">
            <v>VIOLIN</v>
          </cell>
        </row>
        <row r="2018">
          <cell r="A2018" t="str">
            <v>VIOLIN 1</v>
          </cell>
        </row>
        <row r="2019">
          <cell r="A2019" t="str">
            <v>VIOLINCILLO</v>
          </cell>
        </row>
        <row r="2020">
          <cell r="A2020" t="str">
            <v>VIOLONCELLO</v>
          </cell>
        </row>
        <row r="2021">
          <cell r="A2021" t="str">
            <v>VIOLONCHELO</v>
          </cell>
        </row>
        <row r="2022">
          <cell r="A2022" t="str">
            <v>ZOOLOGO I</v>
          </cell>
        </row>
        <row r="2023">
          <cell r="A2023" t="str">
            <v>ZOOLOGO II</v>
          </cell>
        </row>
        <row r="2024">
          <cell r="A2024" t="str">
            <v>ZOOTECNISTA I</v>
          </cell>
        </row>
        <row r="2025">
          <cell r="A2025" t="str">
            <v>ZOOTECNISTA II</v>
          </cell>
        </row>
        <row r="2026">
          <cell r="A2026" t="str">
            <v>ZOOTECNISTA III</v>
          </cell>
        </row>
        <row r="2027">
          <cell r="A2027" t="str">
            <v>ZOOTECNISTA IV</v>
          </cell>
        </row>
        <row r="2028">
          <cell r="A2028" t="str">
            <v>ZOOTECNISTA JEFE</v>
          </cell>
        </row>
        <row r="2029">
          <cell r="A2029" t="str">
            <v>ZOOTECNISTA V</v>
          </cell>
        </row>
        <row r="2030">
          <cell r="A2030">
            <v>0</v>
          </cell>
        </row>
        <row r="2031">
          <cell r="A2031" t="str">
            <v>ACARREADOR</v>
          </cell>
        </row>
        <row r="2032">
          <cell r="A2032" t="str">
            <v>ALBAÑIL</v>
          </cell>
        </row>
        <row r="2033">
          <cell r="A2033" t="str">
            <v>ARMADOR DE PUERTOS</v>
          </cell>
        </row>
        <row r="2034">
          <cell r="A2034" t="str">
            <v>ASCENSORISTA</v>
          </cell>
        </row>
        <row r="2035">
          <cell r="A2035" t="str">
            <v>ASEADOR</v>
          </cell>
        </row>
        <row r="2036">
          <cell r="A2036" t="str">
            <v>ASEADOR AREAS PUBLICAS</v>
          </cell>
        </row>
        <row r="2037">
          <cell r="A2037" t="str">
            <v>ASEADOR DE MATERIALES DE LABORATORIO</v>
          </cell>
        </row>
        <row r="2038">
          <cell r="A2038" t="str">
            <v>AUXILIAR DE AUTOPSIA</v>
          </cell>
        </row>
        <row r="2039">
          <cell r="A2039" t="str">
            <v>AUXILIAR DE CRISTALERIA</v>
          </cell>
        </row>
        <row r="2040">
          <cell r="A2040" t="str">
            <v>AUXILIAR DE ENFERMERIA</v>
          </cell>
        </row>
        <row r="2041">
          <cell r="A2041" t="str">
            <v>AUXILIAR DE FARMACIA</v>
          </cell>
        </row>
        <row r="2042">
          <cell r="A2042" t="str">
            <v>AUXILIAR DE LABORATORIO</v>
          </cell>
        </row>
        <row r="2043">
          <cell r="A2043" t="str">
            <v>AUXILIAR DE MEZCLAS PRODUCTOS FARMACEUTICOS</v>
          </cell>
        </row>
        <row r="2044">
          <cell r="A2044" t="str">
            <v>AUXILIAR DE NUTRICION</v>
          </cell>
        </row>
        <row r="2045">
          <cell r="A2045" t="str">
            <v>AUXILIAR DE ODONTOLOGIA</v>
          </cell>
        </row>
        <row r="2046">
          <cell r="A2046" t="str">
            <v>AUXILIAR DE PRUEBAS PRODUCTOS FARMACEUTICOS</v>
          </cell>
        </row>
        <row r="2047">
          <cell r="A2047" t="str">
            <v>AUXILIAR DE RAYOS X</v>
          </cell>
        </row>
        <row r="2048">
          <cell r="A2048" t="str">
            <v>AUXILIAR DE SERVICIOS DE OFICINA</v>
          </cell>
        </row>
        <row r="2049">
          <cell r="A2049" t="str">
            <v>AUXILIAR DE SERVICIOS DE TREN</v>
          </cell>
        </row>
        <row r="2050">
          <cell r="A2050" t="str">
            <v>AUXILIAR DE TELECOMUNICACIONES</v>
          </cell>
        </row>
        <row r="2051">
          <cell r="A2051" t="str">
            <v>AUXILIAR DE VETERINARIA</v>
          </cell>
        </row>
        <row r="2052">
          <cell r="A2052" t="str">
            <v>AYUDANTE AGROPECUARIO</v>
          </cell>
        </row>
        <row r="2053">
          <cell r="A2053" t="str">
            <v>AYUDANTE BARMAN</v>
          </cell>
        </row>
        <row r="2054">
          <cell r="A2054" t="str">
            <v>AYUDANTE DE ALBAÑIL</v>
          </cell>
        </row>
        <row r="2055">
          <cell r="A2055" t="str">
            <v>AYUDANTE DE ALMACEN</v>
          </cell>
        </row>
        <row r="2056">
          <cell r="A2056" t="str">
            <v>AYUDANTE DE ARTES GRAFICAS</v>
          </cell>
        </row>
        <row r="2057">
          <cell r="A2057" t="str">
            <v>AYUDANTE DE AULA</v>
          </cell>
        </row>
        <row r="2058">
          <cell r="A2058" t="str">
            <v>AYUDANTE DE CARGA</v>
          </cell>
        </row>
        <row r="2059">
          <cell r="A2059" t="str">
            <v>AYUDANTE DE CARPINTERIA</v>
          </cell>
        </row>
        <row r="2060">
          <cell r="A2060" t="str">
            <v>AYUDANTE DE COSTURA</v>
          </cell>
        </row>
        <row r="2061">
          <cell r="A2061" t="str">
            <v>AYUDANTE DE INSTALADOR DE ANTENA</v>
          </cell>
        </row>
        <row r="2062">
          <cell r="A2062" t="str">
            <v>AYUDANTE DE LABORATORIO GEONALITICO</v>
          </cell>
        </row>
        <row r="2063">
          <cell r="A2063" t="str">
            <v>AYUDANTE DE MAQUINARIA</v>
          </cell>
        </row>
        <row r="2064">
          <cell r="A2064" t="str">
            <v>AYUDANTE DE MECANICO</v>
          </cell>
        </row>
        <row r="2065">
          <cell r="A2065" t="str">
            <v>AYUDANTE DE OPERACIONES FERROVIARIAS</v>
          </cell>
        </row>
        <row r="2066">
          <cell r="A2066" t="str">
            <v>AYUDANTE DE PANADEROS Y PASTELERO</v>
          </cell>
        </row>
        <row r="2067">
          <cell r="A2067" t="str">
            <v>AYUDANTE DE SERV. DE PUERTO Y AEROPUERTO</v>
          </cell>
        </row>
        <row r="2068">
          <cell r="A2068" t="str">
            <v>AYUDANTE DE SERVICIOS DE COCINA</v>
          </cell>
        </row>
        <row r="2069">
          <cell r="A2069" t="str">
            <v>AYUDANTE DE SERVICIOS GENERALES</v>
          </cell>
        </row>
        <row r="2070">
          <cell r="A2070" t="str">
            <v>AYUDANTE DE TOPOGRAFIA</v>
          </cell>
        </row>
        <row r="2071">
          <cell r="A2071" t="str">
            <v>AYUDANTE INSPECTOR</v>
          </cell>
        </row>
        <row r="2072">
          <cell r="A2072" t="str">
            <v>AYUDANTE MANTENIMIENTO DE VIAS TERRESTRE</v>
          </cell>
        </row>
        <row r="2073">
          <cell r="A2073" t="str">
            <v>AYUDANTE MANTENIMIENTO VIAS FERROVIARIAS</v>
          </cell>
        </row>
        <row r="2074">
          <cell r="A2074" t="str">
            <v>AYUDANTE POSTAL TELEGRAFICO</v>
          </cell>
        </row>
        <row r="2075">
          <cell r="A2075" t="str">
            <v>BARBERO</v>
          </cell>
        </row>
        <row r="2076">
          <cell r="A2076" t="str">
            <v>BARMAN</v>
          </cell>
        </row>
        <row r="2077">
          <cell r="A2077" t="str">
            <v>BOTONES</v>
          </cell>
        </row>
        <row r="2078">
          <cell r="A2078" t="str">
            <v>BUZO</v>
          </cell>
        </row>
        <row r="2079">
          <cell r="A2079" t="str">
            <v>CAJISTA</v>
          </cell>
        </row>
        <row r="2080">
          <cell r="A2080" t="str">
            <v>CAMARERA</v>
          </cell>
        </row>
        <row r="2081">
          <cell r="A2081" t="str">
            <v>CAMILLERO</v>
          </cell>
        </row>
        <row r="2082">
          <cell r="A2082" t="str">
            <v>CAPITAN DE MESONEROS</v>
          </cell>
        </row>
        <row r="2083">
          <cell r="A2083" t="str">
            <v>CAPORAL DE EQUIPOS</v>
          </cell>
        </row>
        <row r="2084">
          <cell r="A2084" t="str">
            <v>CARNICERO</v>
          </cell>
        </row>
        <row r="2085">
          <cell r="A2085" t="str">
            <v>CARPINTERO</v>
          </cell>
        </row>
        <row r="2086">
          <cell r="A2086" t="str">
            <v>CERRAJERO</v>
          </cell>
        </row>
        <row r="2087">
          <cell r="A2087" t="str">
            <v>CHOFER</v>
          </cell>
        </row>
        <row r="2088">
          <cell r="A2088" t="str">
            <v>CHOFER DE CARGA</v>
          </cell>
        </row>
        <row r="2089">
          <cell r="A2089" t="str">
            <v>CHOFER DE CISTERNA</v>
          </cell>
        </row>
        <row r="2090">
          <cell r="A2090" t="str">
            <v>CHOFER DE TRANSPORTE</v>
          </cell>
        </row>
        <row r="2091">
          <cell r="A2091" t="str">
            <v>CLASIFICADOR DE FRUTOS</v>
          </cell>
        </row>
        <row r="2092">
          <cell r="A2092" t="str">
            <v>CLASIFICADOS POSTAL TELEGRAFICO</v>
          </cell>
        </row>
        <row r="2093">
          <cell r="A2093" t="str">
            <v>COCINERO</v>
          </cell>
        </row>
        <row r="2094">
          <cell r="A2094" t="str">
            <v>CONSERJE</v>
          </cell>
        </row>
        <row r="2095">
          <cell r="A2095" t="str">
            <v>CONTRAMAESTRE</v>
          </cell>
        </row>
        <row r="2096">
          <cell r="A2096" t="str">
            <v>CONTROL ASIST, MEDICAS</v>
          </cell>
        </row>
        <row r="2097">
          <cell r="A2097" t="str">
            <v>COORDINADOR DE MAQUINARIA PESADA</v>
          </cell>
        </row>
        <row r="2098">
          <cell r="A2098" t="str">
            <v>COSTURERA</v>
          </cell>
        </row>
        <row r="2099">
          <cell r="A2099" t="str">
            <v>CUIDADOR DE ANIMALES</v>
          </cell>
        </row>
        <row r="2100">
          <cell r="A2100" t="str">
            <v>DEPOSITARIO</v>
          </cell>
        </row>
        <row r="2101">
          <cell r="A2101" t="str">
            <v>DESPACHADOR DE COMBUSTIBLE</v>
          </cell>
        </row>
        <row r="2102">
          <cell r="A2102" t="str">
            <v>DESPACHADOR DE MERCANCIA</v>
          </cell>
        </row>
        <row r="2103">
          <cell r="A2103" t="str">
            <v>DESPENSERO</v>
          </cell>
        </row>
        <row r="2104">
          <cell r="A2104" t="str">
            <v>ELECTRICISTA DE ALTA TENSION</v>
          </cell>
        </row>
        <row r="2105">
          <cell r="A2105" t="str">
            <v>ELECTROMECANICO</v>
          </cell>
        </row>
        <row r="2106">
          <cell r="A2106" t="str">
            <v>EMBALADOR</v>
          </cell>
        </row>
        <row r="2107">
          <cell r="A2107" t="str">
            <v>ESCOLTA</v>
          </cell>
        </row>
        <row r="2108">
          <cell r="A2108" t="str">
            <v>ESPESORISTA</v>
          </cell>
        </row>
        <row r="2109">
          <cell r="A2109" t="str">
            <v>FISCAL DE MATADERO</v>
          </cell>
        </row>
        <row r="2110">
          <cell r="A2110" t="str">
            <v>FISCAL I  (OBREROS)</v>
          </cell>
        </row>
        <row r="2111">
          <cell r="A2111" t="str">
            <v>FISCAL II (OBREROS)</v>
          </cell>
        </row>
        <row r="2112">
          <cell r="A2112" t="str">
            <v>FOTOGRABADOR PLANCHISTA</v>
          </cell>
        </row>
        <row r="2113">
          <cell r="A2113" t="str">
            <v>FUMIGADOR</v>
          </cell>
        </row>
        <row r="2114">
          <cell r="A2114" t="str">
            <v>GUARDA BARRERA</v>
          </cell>
        </row>
        <row r="2115">
          <cell r="A2115" t="str">
            <v>GUARDAPARQUES</v>
          </cell>
        </row>
        <row r="2116">
          <cell r="A2116" t="str">
            <v>GUARDAPARQUEZ</v>
          </cell>
        </row>
        <row r="2117">
          <cell r="A2117" t="str">
            <v>GUIA VACACIONISTA</v>
          </cell>
        </row>
        <row r="2118">
          <cell r="A2118" t="str">
            <v>GUILLOTINERO</v>
          </cell>
        </row>
        <row r="2119">
          <cell r="A2119" t="str">
            <v>HERRERO</v>
          </cell>
        </row>
        <row r="2120">
          <cell r="A2120" t="str">
            <v>INCINERADOR</v>
          </cell>
        </row>
        <row r="2121">
          <cell r="A2121" t="str">
            <v>INSPECTOR AUXILIAR DE OBRAS</v>
          </cell>
        </row>
        <row r="2122">
          <cell r="A2122" t="str">
            <v>INSPECTOR AUXILIAR DE OPERACIONES DE AREAS PUBLICAS</v>
          </cell>
        </row>
        <row r="2123">
          <cell r="A2123" t="str">
            <v>INSTALADOR DE ANTENA</v>
          </cell>
        </row>
        <row r="2124">
          <cell r="A2124" t="str">
            <v>JARDINERO</v>
          </cell>
        </row>
        <row r="2125">
          <cell r="A2125" t="str">
            <v>JEFE DE OBRERO</v>
          </cell>
        </row>
        <row r="2126">
          <cell r="A2126" t="str">
            <v>JEFE DE SERVICIO (SALUD)</v>
          </cell>
        </row>
        <row r="2127">
          <cell r="A2127" t="str">
            <v>LATONERO Y PINTOR</v>
          </cell>
        </row>
        <row r="2128">
          <cell r="A2128" t="str">
            <v>LAVADOR Y ENGRASADOR</v>
          </cell>
        </row>
        <row r="2129">
          <cell r="A2129" t="str">
            <v>LAVANDERO</v>
          </cell>
        </row>
        <row r="2130">
          <cell r="A2130" t="str">
            <v>LENCERO</v>
          </cell>
        </row>
        <row r="2131">
          <cell r="A2131" t="str">
            <v>LINOTIPISTA</v>
          </cell>
        </row>
        <row r="2132">
          <cell r="A2132" t="str">
            <v>MAITRE</v>
          </cell>
        </row>
        <row r="2133">
          <cell r="A2133" t="str">
            <v>MANIPULADOR DE FRUTOS</v>
          </cell>
        </row>
        <row r="2134">
          <cell r="A2134" t="str">
            <v>MAQUINISTA</v>
          </cell>
        </row>
        <row r="2135">
          <cell r="A2135" t="str">
            <v>MARINERO</v>
          </cell>
        </row>
        <row r="2136">
          <cell r="A2136" t="str">
            <v>MECANICO AUTOMOTRIZ</v>
          </cell>
        </row>
        <row r="2137">
          <cell r="A2137" t="str">
            <v>MECANICO DE AVIACION</v>
          </cell>
        </row>
        <row r="2138">
          <cell r="A2138" t="str">
            <v>MECANICO DE BOBLIWG</v>
          </cell>
        </row>
        <row r="2139">
          <cell r="A2139" t="str">
            <v>MECANICO DE BOGIS FERROVIARIO</v>
          </cell>
        </row>
        <row r="2140">
          <cell r="A2140" t="str">
            <v>MECANICO DE MOTO</v>
          </cell>
        </row>
        <row r="2141">
          <cell r="A2141" t="str">
            <v>MECANICO DE MOTORES DIESEL</v>
          </cell>
        </row>
        <row r="2142">
          <cell r="A2142" t="str">
            <v>MECANICO DE REFRIGERACION</v>
          </cell>
        </row>
        <row r="2143">
          <cell r="A2143" t="str">
            <v>MECANICO SISTEMA NEUMATICO FERROVIARIO</v>
          </cell>
        </row>
        <row r="2144">
          <cell r="A2144" t="str">
            <v>MENSAJERO</v>
          </cell>
        </row>
        <row r="2145">
          <cell r="A2145" t="str">
            <v>MENSAJERO MOTORIZADO</v>
          </cell>
        </row>
        <row r="2146">
          <cell r="A2146" t="str">
            <v>MESONERO</v>
          </cell>
        </row>
        <row r="2147">
          <cell r="A2147" t="str">
            <v>MODISTO</v>
          </cell>
        </row>
        <row r="2148">
          <cell r="A2148" t="str">
            <v>NIÑERA</v>
          </cell>
        </row>
        <row r="2149">
          <cell r="A2149" t="str">
            <v>OBRERO DE MANTENIMIENTO</v>
          </cell>
        </row>
        <row r="2150">
          <cell r="A2150" t="str">
            <v>OBRERO NO CLASIFICADO</v>
          </cell>
        </row>
        <row r="2151">
          <cell r="A2151" t="str">
            <v>OPERADOR DE CALDERA</v>
          </cell>
        </row>
        <row r="2152">
          <cell r="A2152" t="str">
            <v>OPERADOR DE MAQUINARIA PESADA</v>
          </cell>
        </row>
        <row r="2153">
          <cell r="A2153" t="str">
            <v>OPERADOR DE PRENSA DE IMPRESION</v>
          </cell>
        </row>
        <row r="2154">
          <cell r="A2154" t="str">
            <v>OPERADOR DE SALAS MOVILES</v>
          </cell>
        </row>
        <row r="2155">
          <cell r="A2155" t="str">
            <v>OPERADOR DE SONIDO</v>
          </cell>
        </row>
        <row r="2156">
          <cell r="A2156" t="str">
            <v>OPERADOR FERROVIARIO DE MANTENIMIENTO</v>
          </cell>
        </row>
        <row r="2157">
          <cell r="A2157" t="str">
            <v>OPERADOR MAQUINARIA DE VIA FERREA</v>
          </cell>
        </row>
        <row r="2158">
          <cell r="A2158" t="str">
            <v>OPERARIO COMPAGINACION Y ENCUADERNACION</v>
          </cell>
        </row>
        <row r="2159">
          <cell r="A2159" t="str">
            <v>OPERARIO DE ACUEDUCTO</v>
          </cell>
        </row>
        <row r="2160">
          <cell r="A2160" t="str">
            <v>OPERARIO DE EQUIPO DE TELECOMUNICACION</v>
          </cell>
        </row>
        <row r="2161">
          <cell r="A2161" t="str">
            <v>OPERARIO DE FARO</v>
          </cell>
        </row>
        <row r="2162">
          <cell r="A2162" t="str">
            <v>OPERARIO DE MAQUINA FOTOCOPIADORA</v>
          </cell>
        </row>
        <row r="2163">
          <cell r="A2163" t="str">
            <v>OPERARIO DE MAQUINA LIVIANA</v>
          </cell>
        </row>
        <row r="2164">
          <cell r="A2164" t="str">
            <v>OPERARIO DE PISCINA</v>
          </cell>
        </row>
        <row r="2165">
          <cell r="A2165" t="str">
            <v>OPERARIO DE PLANTA HIDROELECTRICA</v>
          </cell>
        </row>
        <row r="2166">
          <cell r="A2166" t="str">
            <v>OPERARIO MANTENIMIENTO VIAS TERRESTRES</v>
          </cell>
        </row>
        <row r="2167">
          <cell r="A2167" t="str">
            <v>OPERARIO MAQUINA PRODUCCION FARMACEUTICA</v>
          </cell>
        </row>
        <row r="2168">
          <cell r="A2168" t="str">
            <v>PAGADOR</v>
          </cell>
        </row>
        <row r="2169">
          <cell r="A2169" t="str">
            <v>PANADERO</v>
          </cell>
        </row>
        <row r="2170">
          <cell r="A2170" t="str">
            <v>PASTELERO</v>
          </cell>
        </row>
        <row r="2171">
          <cell r="A2171" t="str">
            <v>PESCADOR</v>
          </cell>
        </row>
        <row r="2172">
          <cell r="A2172" t="str">
            <v>PINTOR</v>
          </cell>
        </row>
        <row r="2173">
          <cell r="A2173" t="str">
            <v>PLANCHADOR</v>
          </cell>
        </row>
        <row r="2174">
          <cell r="A2174" t="str">
            <v>PLOMERO</v>
          </cell>
        </row>
        <row r="2175">
          <cell r="A2175" t="str">
            <v>PORTERO</v>
          </cell>
        </row>
        <row r="2176">
          <cell r="A2176" t="str">
            <v>PRACTICO FLUVIAL</v>
          </cell>
        </row>
        <row r="2177">
          <cell r="A2177" t="str">
            <v>RAPARADOR DE BICICLETA</v>
          </cell>
        </row>
        <row r="2178">
          <cell r="A2178" t="str">
            <v>RASTRILLERO</v>
          </cell>
        </row>
        <row r="2179">
          <cell r="A2179" t="str">
            <v>RECEPTOR INFORMADOR</v>
          </cell>
        </row>
        <row r="2180">
          <cell r="A2180" t="str">
            <v>REPARADOR DE MQUINA DE OFICINA</v>
          </cell>
        </row>
        <row r="2181">
          <cell r="A2181" t="str">
            <v>REPARADOR DE NEUMATICO</v>
          </cell>
        </row>
        <row r="2182">
          <cell r="A2182" t="str">
            <v>REPARADOR DE PARACAIDAS</v>
          </cell>
        </row>
        <row r="2183">
          <cell r="A2183" t="str">
            <v>REPARADOR DE RADIADOR</v>
          </cell>
        </row>
        <row r="2184">
          <cell r="A2184" t="str">
            <v>REPARTIDOR DE ALIMENTOS</v>
          </cell>
        </row>
        <row r="2185">
          <cell r="A2185" t="str">
            <v>REPARTIDOR POSTAL TELEGRAFICO</v>
          </cell>
        </row>
        <row r="2186">
          <cell r="A2186" t="str">
            <v>SALVAVIDAS</v>
          </cell>
        </row>
        <row r="2187">
          <cell r="A2187" t="str">
            <v>SOLDADOR</v>
          </cell>
        </row>
        <row r="2188">
          <cell r="A2188" t="str">
            <v>SUPERV. MANTENIMIENTO VIAS FERROVIARIA</v>
          </cell>
        </row>
        <row r="2189">
          <cell r="A2189" t="str">
            <v>SUPERVISOR ASISTENCIAL</v>
          </cell>
        </row>
        <row r="2190">
          <cell r="A2190" t="str">
            <v>SUPERVISOR DE ARMADOR DE PUENTES</v>
          </cell>
        </row>
        <row r="2191">
          <cell r="A2191" t="str">
            <v>SUPERVISOR DE ASCENSORISTAS</v>
          </cell>
        </row>
        <row r="2192">
          <cell r="A2192" t="str">
            <v>SUPERVISOR DE AUXILIAR DE VETERINARIA</v>
          </cell>
        </row>
        <row r="2193">
          <cell r="A2193" t="str">
            <v>SUPERVISOR DE CAMARERAS</v>
          </cell>
        </row>
        <row r="2194">
          <cell r="A2194" t="str">
            <v>SUPERVISOR DE CAMIONES CISTERNA</v>
          </cell>
        </row>
        <row r="2195">
          <cell r="A2195" t="str">
            <v>SUPERVISOR DE COCINA</v>
          </cell>
        </row>
        <row r="2196">
          <cell r="A2196" t="str">
            <v>SUPERVISOR DE FUMIGACION</v>
          </cell>
        </row>
        <row r="2197">
          <cell r="A2197" t="str">
            <v>SUPERVISOR DE MANTENIMIENTO DE AREAS PUBLICAS</v>
          </cell>
        </row>
        <row r="2198">
          <cell r="A2198" t="str">
            <v>SUPERVISOR DE MANTENIMIENTO I (OPE)</v>
          </cell>
        </row>
        <row r="2199">
          <cell r="A2199" t="str">
            <v>SUPERVISOR DE PLANTA HIDROELECTRICA</v>
          </cell>
        </row>
        <row r="2200">
          <cell r="A2200" t="str">
            <v>SUPERVISOR DE SEGURIDAD</v>
          </cell>
        </row>
        <row r="2201">
          <cell r="A2201" t="str">
            <v>SUPERVISOR DE SERVICIOS DE REPROD. E IMP</v>
          </cell>
        </row>
        <row r="2202">
          <cell r="A2202" t="str">
            <v>SUPERVISOR DE SERVICIOS ESPECIALIZADOS</v>
          </cell>
        </row>
        <row r="2203">
          <cell r="A2203" t="str">
            <v>SUPERVISOR DE SERVICIOS INTERNOS</v>
          </cell>
        </row>
        <row r="2204">
          <cell r="A2204" t="str">
            <v>SUPERVISOR DE VIGILANCIA</v>
          </cell>
        </row>
        <row r="2205">
          <cell r="A2205" t="str">
            <v>SUPERVISOR DE VIVEROS</v>
          </cell>
        </row>
        <row r="2206">
          <cell r="A2206" t="str">
            <v>SUPERVISOR DE ZONA (OPE)</v>
          </cell>
        </row>
        <row r="2207">
          <cell r="A2207" t="str">
            <v>SUPERVISOR EMPAQUE Y ENVASE PROD. FARM.</v>
          </cell>
        </row>
        <row r="2208">
          <cell r="A2208" t="str">
            <v>SUPERVISOR OPERACIONES FERROVIARIAS</v>
          </cell>
        </row>
        <row r="2209">
          <cell r="A2209" t="str">
            <v>TALABARTERO</v>
          </cell>
        </row>
        <row r="2210">
          <cell r="A2210" t="str">
            <v>TAPICERO</v>
          </cell>
        </row>
        <row r="2211">
          <cell r="A2211" t="str">
            <v>TAQUILLERO</v>
          </cell>
        </row>
        <row r="2212">
          <cell r="A2212" t="str">
            <v>TIMONEL DE EMBARCACION</v>
          </cell>
        </row>
        <row r="2213">
          <cell r="A2213" t="str">
            <v>TORNERO</v>
          </cell>
        </row>
        <row r="2214">
          <cell r="A2214" t="str">
            <v>VIGILANTE</v>
          </cell>
        </row>
        <row r="2215">
          <cell r="A2215" t="str">
            <v>VIGILANTE NOCTURNO</v>
          </cell>
        </row>
        <row r="2216">
          <cell r="A2216" t="str">
            <v>ZAPATERO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"/>
      <sheetName val="Parámetros"/>
      <sheetName val="CARGOS"/>
      <sheetName val="TAB OBR"/>
      <sheetName val="TAB EMP"/>
      <sheetName val="PRIMAS"/>
      <sheetName val="CONCEPTOS"/>
      <sheetName val="CESTA TICKET"/>
      <sheetName val="Hoja1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BACH</v>
          </cell>
        </row>
        <row r="3">
          <cell r="A3" t="str">
            <v>TSU</v>
          </cell>
        </row>
        <row r="4">
          <cell r="A4" t="str">
            <v>LIC O ING</v>
          </cell>
        </row>
        <row r="5">
          <cell r="A5" t="str">
            <v>ESPEC</v>
          </cell>
        </row>
        <row r="6">
          <cell r="A6" t="str">
            <v>MSC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"/>
      <sheetName val="Parámetros"/>
      <sheetName val="CARGOS"/>
      <sheetName val="TAB OBR"/>
      <sheetName val="TAB EMP"/>
      <sheetName val="PRIMAS"/>
      <sheetName val="CONCEPTOS"/>
      <sheetName val="CESTA TICKET"/>
      <sheetName val="Hoja1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BACH</v>
          </cell>
        </row>
        <row r="3">
          <cell r="A3" t="str">
            <v>TSU</v>
          </cell>
        </row>
        <row r="4">
          <cell r="A4" t="str">
            <v>LIC O ING</v>
          </cell>
        </row>
        <row r="5">
          <cell r="A5" t="str">
            <v>ESPEC</v>
          </cell>
        </row>
        <row r="6">
          <cell r="A6" t="str">
            <v>MSC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NOMINA"/>
      <sheetName val="HIJOS "/>
      <sheetName val="Hoja1"/>
      <sheetName val="CONCEPTOS Y PARAMETROS"/>
      <sheetName val="TAB EMP"/>
      <sheetName val="TAB OBR"/>
      <sheetName val="CARGOS"/>
      <sheetName val="CARGOS POA"/>
      <sheetName val="TAB EMP (2)"/>
      <sheetName val="V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"/>
      <sheetName val="CARGOS"/>
      <sheetName val="TAB EMP"/>
      <sheetName val="TAB OBR"/>
      <sheetName val="CONCEPTOS Y PARAMETROS"/>
    </sheetNames>
    <sheetDataSet>
      <sheetData sheetId="0"/>
      <sheetData sheetId="1"/>
      <sheetData sheetId="2">
        <row r="2">
          <cell r="A2" t="str">
            <v>B1</v>
          </cell>
        </row>
        <row r="3">
          <cell r="A3" t="str">
            <v>B2</v>
          </cell>
        </row>
        <row r="4">
          <cell r="A4" t="str">
            <v>B3</v>
          </cell>
        </row>
        <row r="5">
          <cell r="A5" t="str">
            <v>B3I</v>
          </cell>
        </row>
        <row r="6">
          <cell r="A6" t="str">
            <v>B3II</v>
          </cell>
        </row>
        <row r="7">
          <cell r="A7" t="str">
            <v>B3III</v>
          </cell>
        </row>
        <row r="8">
          <cell r="A8" t="str">
            <v>B3IV</v>
          </cell>
        </row>
        <row r="9">
          <cell r="A9" t="str">
            <v>T1</v>
          </cell>
        </row>
        <row r="10">
          <cell r="A10" t="str">
            <v>T2</v>
          </cell>
        </row>
        <row r="11">
          <cell r="A11" t="str">
            <v>T2I</v>
          </cell>
        </row>
        <row r="12">
          <cell r="A12" t="str">
            <v>T2II</v>
          </cell>
        </row>
        <row r="13">
          <cell r="A13" t="str">
            <v>T2III</v>
          </cell>
        </row>
        <row r="14">
          <cell r="A14" t="str">
            <v>T2IV</v>
          </cell>
        </row>
        <row r="15">
          <cell r="A15" t="str">
            <v>T2V</v>
          </cell>
        </row>
        <row r="16">
          <cell r="A16" t="str">
            <v>P1</v>
          </cell>
        </row>
        <row r="17">
          <cell r="A17" t="str">
            <v>P2</v>
          </cell>
        </row>
        <row r="18">
          <cell r="A18" t="str">
            <v>P2I</v>
          </cell>
        </row>
        <row r="19">
          <cell r="A19" t="str">
            <v>P2II</v>
          </cell>
        </row>
        <row r="20">
          <cell r="A20" t="str">
            <v>P2III</v>
          </cell>
        </row>
        <row r="21">
          <cell r="A21" t="str">
            <v>P2IV</v>
          </cell>
        </row>
        <row r="22">
          <cell r="A22" t="str">
            <v>P2V</v>
          </cell>
        </row>
        <row r="23">
          <cell r="A23" t="str">
            <v>P3</v>
          </cell>
        </row>
        <row r="24">
          <cell r="A24" t="str">
            <v>P3I</v>
          </cell>
        </row>
        <row r="25">
          <cell r="A25" t="str">
            <v>P3II</v>
          </cell>
        </row>
        <row r="26">
          <cell r="A26" t="str">
            <v>P3III</v>
          </cell>
        </row>
        <row r="27">
          <cell r="A27" t="str">
            <v>P3IV</v>
          </cell>
        </row>
        <row r="28">
          <cell r="A28" t="str">
            <v>P3V</v>
          </cell>
        </row>
        <row r="29">
          <cell r="A29" t="str">
            <v>P3VI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3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  <sheetName val="lote11"/>
      <sheetName val="gob. de trujillo"/>
    </sheetNames>
    <sheetDataSet>
      <sheetData sheetId="0">
        <row r="1">
          <cell r="A1" t="str">
            <v>TITULO UNIVERSITARIO</v>
          </cell>
        </row>
        <row r="26">
          <cell r="A26" t="str">
            <v xml:space="preserve">ADMINISTRADOR </v>
          </cell>
        </row>
        <row r="27">
          <cell r="A27" t="str">
            <v xml:space="preserve">ESTUDIANTE </v>
          </cell>
        </row>
        <row r="28">
          <cell r="A28" t="str">
            <v xml:space="preserve">INGENIERO </v>
          </cell>
        </row>
        <row r="29">
          <cell r="A29" t="str">
            <v xml:space="preserve">MEDICO </v>
          </cell>
        </row>
        <row r="30">
          <cell r="A30" t="str">
            <v xml:space="preserve">OTROS </v>
          </cell>
        </row>
        <row r="31">
          <cell r="A31" t="str">
            <v>ECONOMISTA</v>
          </cell>
        </row>
        <row r="32">
          <cell r="A32" t="str">
            <v xml:space="preserve">ABOGADO </v>
          </cell>
        </row>
        <row r="33">
          <cell r="A33" t="str">
            <v>ELECTRICISTA</v>
          </cell>
        </row>
        <row r="34">
          <cell r="A34" t="str">
            <v xml:space="preserve">LICENCIADO </v>
          </cell>
        </row>
        <row r="35">
          <cell r="A35" t="str">
            <v xml:space="preserve">MECANICO </v>
          </cell>
        </row>
        <row r="36">
          <cell r="A36" t="str">
            <v xml:space="preserve">SECRETARIA </v>
          </cell>
        </row>
        <row r="37">
          <cell r="A37" t="str">
            <v xml:space="preserve">OFICINISTA </v>
          </cell>
        </row>
        <row r="38">
          <cell r="A38" t="str">
            <v xml:space="preserve">CONTADOR PUBLICO </v>
          </cell>
        </row>
      </sheetData>
      <sheetData sheetId="1"/>
      <sheetData sheetId="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PARTIDAS"/>
      <sheetName val="RAC"/>
      <sheetName val="MES X MES"/>
      <sheetName val="Cargos"/>
      <sheetName val="Departamentos"/>
      <sheetName val="CONCEPTOS"/>
      <sheetName val="TAB EMP"/>
      <sheetName val="TAB OBR"/>
      <sheetName val="NIVEL EDUC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C0003</v>
          </cell>
        </row>
        <row r="3">
          <cell r="A3" t="str">
            <v>C0004</v>
          </cell>
        </row>
        <row r="4">
          <cell r="A4" t="str">
            <v>C0005</v>
          </cell>
        </row>
        <row r="5">
          <cell r="A5" t="str">
            <v>C0006</v>
          </cell>
        </row>
        <row r="6">
          <cell r="A6" t="str">
            <v>C0009</v>
          </cell>
        </row>
        <row r="7">
          <cell r="A7" t="str">
            <v>C0010</v>
          </cell>
        </row>
        <row r="8">
          <cell r="A8" t="str">
            <v>C0013</v>
          </cell>
        </row>
        <row r="9">
          <cell r="A9" t="str">
            <v>C0015</v>
          </cell>
        </row>
        <row r="10">
          <cell r="A10" t="str">
            <v>C0028</v>
          </cell>
        </row>
        <row r="11">
          <cell r="A11" t="str">
            <v>C0041</v>
          </cell>
        </row>
        <row r="12">
          <cell r="A12" t="str">
            <v>C0044</v>
          </cell>
        </row>
        <row r="13">
          <cell r="A13" t="str">
            <v>C0046</v>
          </cell>
        </row>
        <row r="14">
          <cell r="A14" t="str">
            <v>C0055</v>
          </cell>
        </row>
        <row r="15">
          <cell r="A15" t="str">
            <v>C0019</v>
          </cell>
        </row>
        <row r="16">
          <cell r="A16" t="str">
            <v>C0025</v>
          </cell>
        </row>
        <row r="17">
          <cell r="A17" t="str">
            <v>C0017</v>
          </cell>
        </row>
        <row r="18">
          <cell r="A18" t="str">
            <v>C0027</v>
          </cell>
        </row>
      </sheetData>
      <sheetData sheetId="7"/>
      <sheetData sheetId="8"/>
      <sheetData sheetId="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PARTIDAS"/>
      <sheetName val="RAC"/>
      <sheetName val="MES X MES"/>
      <sheetName val="Cargos"/>
      <sheetName val="Departamentos"/>
      <sheetName val="CONCEPTOS"/>
      <sheetName val="TAB EMP"/>
      <sheetName val="TAB OBR"/>
      <sheetName val="NIVEL EDUC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C0003</v>
          </cell>
        </row>
        <row r="3">
          <cell r="A3" t="str">
            <v>C0004</v>
          </cell>
        </row>
        <row r="4">
          <cell r="A4" t="str">
            <v>C0005</v>
          </cell>
        </row>
        <row r="5">
          <cell r="A5" t="str">
            <v>C0006</v>
          </cell>
        </row>
        <row r="6">
          <cell r="A6" t="str">
            <v>C0009</v>
          </cell>
        </row>
        <row r="7">
          <cell r="A7" t="str">
            <v>C0010</v>
          </cell>
        </row>
        <row r="8">
          <cell r="A8" t="str">
            <v>C0013</v>
          </cell>
        </row>
        <row r="9">
          <cell r="A9" t="str">
            <v>C0015</v>
          </cell>
        </row>
        <row r="10">
          <cell r="A10" t="str">
            <v>C0028</v>
          </cell>
        </row>
        <row r="11">
          <cell r="A11" t="str">
            <v>C0041</v>
          </cell>
        </row>
        <row r="12">
          <cell r="A12" t="str">
            <v>C0044</v>
          </cell>
        </row>
        <row r="13">
          <cell r="A13" t="str">
            <v>C0046</v>
          </cell>
        </row>
        <row r="14">
          <cell r="A14" t="str">
            <v>C0055</v>
          </cell>
        </row>
        <row r="15">
          <cell r="A15" t="str">
            <v>C0019</v>
          </cell>
        </row>
        <row r="16">
          <cell r="A16" t="str">
            <v>C0025</v>
          </cell>
        </row>
        <row r="17">
          <cell r="A17" t="str">
            <v>C0017</v>
          </cell>
        </row>
        <row r="18">
          <cell r="A18" t="str">
            <v>C0027</v>
          </cell>
        </row>
      </sheetData>
      <sheetData sheetId="7"/>
      <sheetData sheetId="8"/>
      <sheetData sheetId="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NOMINA"/>
      <sheetName val="HIJOS "/>
      <sheetName val="Hoja1"/>
      <sheetName val="CONCEPTOS Y PARAMETROS"/>
      <sheetName val="TAB EMP"/>
      <sheetName val="TAB OBR"/>
      <sheetName val="CARGOS"/>
      <sheetName val="CARGOS POA"/>
      <sheetName val="TAB EMP (2)"/>
      <sheetName val="V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J1" t="str">
            <v>CANT. LUNES-MES</v>
          </cell>
          <cell r="K1">
            <v>0</v>
          </cell>
        </row>
        <row r="2">
          <cell r="J2" t="str">
            <v>MES</v>
          </cell>
          <cell r="K2" t="str">
            <v>MES</v>
          </cell>
        </row>
        <row r="3">
          <cell r="J3" t="str">
            <v>ENERO</v>
          </cell>
          <cell r="K3">
            <v>1</v>
          </cell>
        </row>
        <row r="4">
          <cell r="J4" t="str">
            <v>FEBRERO</v>
          </cell>
          <cell r="K4">
            <v>2</v>
          </cell>
        </row>
        <row r="5">
          <cell r="J5" t="str">
            <v>MARZO</v>
          </cell>
          <cell r="K5">
            <v>3</v>
          </cell>
        </row>
        <row r="6">
          <cell r="J6" t="str">
            <v>ABRIL</v>
          </cell>
          <cell r="K6">
            <v>4</v>
          </cell>
        </row>
        <row r="7">
          <cell r="J7" t="str">
            <v>MAYO</v>
          </cell>
          <cell r="K7">
            <v>5</v>
          </cell>
        </row>
        <row r="8">
          <cell r="J8" t="str">
            <v>JUNIO</v>
          </cell>
          <cell r="K8">
            <v>6</v>
          </cell>
        </row>
        <row r="9">
          <cell r="J9" t="str">
            <v>JULIO</v>
          </cell>
          <cell r="K9">
            <v>7</v>
          </cell>
        </row>
        <row r="10">
          <cell r="J10" t="str">
            <v>AGOSTO</v>
          </cell>
          <cell r="K10">
            <v>8</v>
          </cell>
        </row>
        <row r="11">
          <cell r="J11" t="str">
            <v>SEPTIEMBRE</v>
          </cell>
          <cell r="K11">
            <v>9</v>
          </cell>
        </row>
        <row r="12">
          <cell r="J12" t="str">
            <v>OCTUBRE</v>
          </cell>
          <cell r="K12">
            <v>10</v>
          </cell>
        </row>
        <row r="13">
          <cell r="J13" t="str">
            <v>NOVIEMBRE</v>
          </cell>
          <cell r="K13">
            <v>11</v>
          </cell>
        </row>
        <row r="14">
          <cell r="J14" t="str">
            <v>DICIEMBRE</v>
          </cell>
          <cell r="K14">
            <v>12</v>
          </cell>
        </row>
        <row r="15">
          <cell r="J15">
            <v>0</v>
          </cell>
          <cell r="K15">
            <v>0</v>
          </cell>
        </row>
        <row r="16">
          <cell r="J16">
            <v>0</v>
          </cell>
          <cell r="K16">
            <v>0</v>
          </cell>
        </row>
        <row r="17">
          <cell r="J17">
            <v>0</v>
          </cell>
          <cell r="K17">
            <v>0</v>
          </cell>
        </row>
        <row r="18">
          <cell r="J18">
            <v>0</v>
          </cell>
          <cell r="K18">
            <v>0</v>
          </cell>
        </row>
        <row r="19">
          <cell r="J19">
            <v>0</v>
          </cell>
          <cell r="K19">
            <v>0</v>
          </cell>
        </row>
        <row r="20">
          <cell r="J20">
            <v>0</v>
          </cell>
          <cell r="K20">
            <v>0</v>
          </cell>
        </row>
        <row r="21">
          <cell r="J21">
            <v>0</v>
          </cell>
          <cell r="K21">
            <v>0</v>
          </cell>
        </row>
        <row r="22">
          <cell r="J22">
            <v>0</v>
          </cell>
          <cell r="K22">
            <v>0</v>
          </cell>
        </row>
        <row r="23">
          <cell r="J23">
            <v>0</v>
          </cell>
          <cell r="K23">
            <v>0</v>
          </cell>
        </row>
        <row r="24">
          <cell r="J24">
            <v>0</v>
          </cell>
          <cell r="K24">
            <v>0</v>
          </cell>
        </row>
        <row r="25">
          <cell r="J25">
            <v>0</v>
          </cell>
          <cell r="K25">
            <v>0</v>
          </cell>
        </row>
        <row r="26">
          <cell r="J26">
            <v>0</v>
          </cell>
          <cell r="K26">
            <v>0</v>
          </cell>
        </row>
        <row r="27">
          <cell r="J27">
            <v>0</v>
          </cell>
          <cell r="K27">
            <v>0</v>
          </cell>
        </row>
        <row r="28">
          <cell r="J28">
            <v>0</v>
          </cell>
          <cell r="K28">
            <v>0</v>
          </cell>
        </row>
        <row r="29">
          <cell r="J29">
            <v>0</v>
          </cell>
          <cell r="K29">
            <v>0</v>
          </cell>
        </row>
        <row r="30">
          <cell r="J30">
            <v>0</v>
          </cell>
          <cell r="K30">
            <v>0</v>
          </cell>
        </row>
        <row r="31">
          <cell r="J31">
            <v>0</v>
          </cell>
          <cell r="K31">
            <v>0</v>
          </cell>
        </row>
        <row r="32">
          <cell r="J32">
            <v>0</v>
          </cell>
          <cell r="K32">
            <v>0</v>
          </cell>
        </row>
        <row r="33">
          <cell r="J33">
            <v>0</v>
          </cell>
          <cell r="K33">
            <v>0</v>
          </cell>
        </row>
        <row r="34">
          <cell r="J34">
            <v>0</v>
          </cell>
          <cell r="K34">
            <v>0</v>
          </cell>
        </row>
        <row r="35">
          <cell r="J35">
            <v>0</v>
          </cell>
          <cell r="K35">
            <v>0</v>
          </cell>
        </row>
        <row r="36">
          <cell r="J36">
            <v>0</v>
          </cell>
          <cell r="K36">
            <v>0</v>
          </cell>
        </row>
        <row r="37">
          <cell r="J37">
            <v>0</v>
          </cell>
          <cell r="K37">
            <v>0</v>
          </cell>
        </row>
        <row r="38">
          <cell r="J38">
            <v>0</v>
          </cell>
          <cell r="K38">
            <v>0</v>
          </cell>
        </row>
        <row r="39">
          <cell r="J39">
            <v>0</v>
          </cell>
          <cell r="K39">
            <v>0</v>
          </cell>
        </row>
        <row r="40">
          <cell r="J40">
            <v>0</v>
          </cell>
          <cell r="K40">
            <v>0</v>
          </cell>
        </row>
        <row r="41">
          <cell r="J41">
            <v>0</v>
          </cell>
          <cell r="K41">
            <v>0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20"/>
  <sheetViews>
    <sheetView zoomScaleSheetLayoutView="85" workbookViewId="0">
      <selection activeCell="A8" sqref="A8:F8"/>
    </sheetView>
  </sheetViews>
  <sheetFormatPr baseColWidth="10" defaultRowHeight="15" x14ac:dyDescent="0.25"/>
  <cols>
    <col min="1" max="1" width="5.140625" style="595" customWidth="1"/>
    <col min="2" max="2" width="11.42578125" style="595"/>
    <col min="3" max="3" width="36.140625" style="595" customWidth="1"/>
    <col min="4" max="4" width="36.7109375" style="595" customWidth="1"/>
    <col min="5" max="5" width="10.85546875" style="595" customWidth="1"/>
    <col min="6" max="6" width="13" style="595" bestFit="1" customWidth="1"/>
    <col min="7" max="7" width="13.42578125" style="595" bestFit="1" customWidth="1"/>
    <col min="8" max="8" width="12.7109375" style="595" bestFit="1" customWidth="1"/>
    <col min="9" max="16384" width="11.42578125" style="595"/>
  </cols>
  <sheetData>
    <row r="1" spans="1:11" ht="15" customHeight="1" x14ac:dyDescent="0.25">
      <c r="A1" s="1767" t="s">
        <v>5802</v>
      </c>
      <c r="B1" s="1767"/>
      <c r="C1" s="1767"/>
      <c r="D1" s="1767"/>
      <c r="E1" s="1767"/>
      <c r="F1" s="1767"/>
      <c r="G1" s="1715"/>
    </row>
    <row r="2" spans="1:11" ht="15" customHeight="1" x14ac:dyDescent="0.25">
      <c r="A2" s="1767" t="s">
        <v>5803</v>
      </c>
      <c r="B2" s="1767"/>
      <c r="C2" s="1767"/>
      <c r="D2" s="1767"/>
      <c r="E2" s="1767"/>
      <c r="F2" s="1767"/>
      <c r="G2" s="1715"/>
    </row>
    <row r="3" spans="1:11" ht="15" customHeight="1" x14ac:dyDescent="0.25">
      <c r="A3" s="1767" t="s">
        <v>5804</v>
      </c>
      <c r="B3" s="1767"/>
      <c r="C3" s="1767"/>
      <c r="D3" s="1767"/>
      <c r="E3" s="1767"/>
      <c r="F3" s="1767"/>
      <c r="G3" s="1715"/>
    </row>
    <row r="4" spans="1:11" ht="15" customHeight="1" x14ac:dyDescent="0.25">
      <c r="A4" s="1767" t="s">
        <v>5805</v>
      </c>
      <c r="B4" s="1767"/>
      <c r="C4" s="1767"/>
      <c r="D4" s="1767"/>
      <c r="E4" s="1767"/>
      <c r="F4" s="1767"/>
      <c r="G4" s="1715"/>
    </row>
    <row r="5" spans="1:11" ht="15" customHeight="1" x14ac:dyDescent="0.25">
      <c r="A5" s="1767" t="s">
        <v>5824</v>
      </c>
      <c r="B5" s="1767"/>
      <c r="C5" s="1767"/>
      <c r="D5" s="1767"/>
      <c r="E5" s="1767"/>
      <c r="F5" s="1767"/>
      <c r="G5" s="1715"/>
    </row>
    <row r="6" spans="1:11" ht="15" customHeight="1" x14ac:dyDescent="0.25">
      <c r="A6" s="1767" t="s">
        <v>5806</v>
      </c>
      <c r="B6" s="1767"/>
      <c r="C6" s="1767"/>
      <c r="D6" s="1767"/>
      <c r="E6" s="1767"/>
      <c r="F6" s="1767"/>
      <c r="G6" s="1715"/>
    </row>
    <row r="8" spans="1:11" ht="20.25" customHeight="1" x14ac:dyDescent="0.3">
      <c r="A8" s="1766" t="s">
        <v>5807</v>
      </c>
      <c r="B8" s="1766"/>
      <c r="C8" s="1766"/>
      <c r="D8" s="1766"/>
      <c r="E8" s="1766"/>
      <c r="F8" s="1766"/>
      <c r="G8" s="918"/>
    </row>
    <row r="9" spans="1:11" ht="18.75" customHeight="1" x14ac:dyDescent="0.3">
      <c r="A9" s="1766" t="str">
        <f>+"Correspondiente al  mes de "&amp;NOMINA!F9&amp;" "&amp;NOMINA!H9</f>
        <v>Correspondiente al  mes de SEPTIEMBRE 2025</v>
      </c>
      <c r="B9" s="1766"/>
      <c r="C9" s="1766"/>
      <c r="D9" s="1766"/>
      <c r="E9" s="1766"/>
      <c r="F9" s="1766"/>
      <c r="G9" s="918"/>
    </row>
    <row r="11" spans="1:11" ht="26.25" thickBot="1" x14ac:dyDescent="0.3">
      <c r="A11" s="924" t="s">
        <v>5555</v>
      </c>
      <c r="B11" s="924" t="s">
        <v>5808</v>
      </c>
      <c r="C11" s="924" t="s">
        <v>5809</v>
      </c>
      <c r="D11" s="924" t="s">
        <v>5810</v>
      </c>
      <c r="E11" s="925" t="s">
        <v>5811</v>
      </c>
      <c r="F11" s="924" t="s">
        <v>5812</v>
      </c>
      <c r="G11" s="596"/>
    </row>
    <row r="12" spans="1:11" ht="25.5" customHeight="1" thickBot="1" x14ac:dyDescent="0.3">
      <c r="A12" s="597" t="s">
        <v>5813</v>
      </c>
      <c r="B12" s="926"/>
      <c r="C12" s="926"/>
      <c r="D12" s="926"/>
      <c r="E12" s="598"/>
      <c r="F12" s="927"/>
      <c r="G12" s="599"/>
      <c r="H12" s="600"/>
      <c r="I12" s="600"/>
      <c r="J12" s="600"/>
      <c r="K12" s="600"/>
    </row>
    <row r="13" spans="1:11" ht="15.75" customHeight="1" x14ac:dyDescent="0.25">
      <c r="A13" s="928">
        <v>1</v>
      </c>
      <c r="B13" s="926">
        <f>+NOMINA!C17</f>
        <v>11894534</v>
      </c>
      <c r="C13" s="926" t="str">
        <f>+NOMINA!D17</f>
        <v>Olmos Rodriguez Eberto de Jesus</v>
      </c>
      <c r="D13" s="926" t="str">
        <f>+NOMINA!O17</f>
        <v>JEFE DE DEPARTAMENTO</v>
      </c>
      <c r="E13" s="929">
        <f>+NOMINA!H17</f>
        <v>40909</v>
      </c>
      <c r="F13" s="930">
        <f>+NOMINA!BT17</f>
        <v>15.04</v>
      </c>
      <c r="G13" s="599"/>
      <c r="H13" s="600"/>
      <c r="I13" s="600"/>
      <c r="J13" s="600"/>
      <c r="K13" s="600"/>
    </row>
    <row r="14" spans="1:11" ht="15.75" customHeight="1" x14ac:dyDescent="0.25">
      <c r="A14" s="928">
        <f>+A13+1</f>
        <v>2</v>
      </c>
      <c r="B14" s="926">
        <f>+NOMINA!C18</f>
        <v>12458942</v>
      </c>
      <c r="C14" s="926" t="str">
        <f>+NOMINA!D18</f>
        <v>Mendoza Mendoza Mirian del Milagro</v>
      </c>
      <c r="D14" s="926" t="str">
        <f>+NOMINA!O18</f>
        <v>JEFE DE DEPARTAMENTO</v>
      </c>
      <c r="E14" s="929">
        <f>+NOMINA!H18</f>
        <v>44424</v>
      </c>
      <c r="F14" s="930">
        <f>+NOMINA!BT18</f>
        <v>15.64</v>
      </c>
      <c r="G14" s="599"/>
      <c r="H14" s="600"/>
      <c r="I14" s="600"/>
      <c r="J14" s="600"/>
      <c r="K14" s="600"/>
    </row>
    <row r="15" spans="1:11" ht="15.75" customHeight="1" x14ac:dyDescent="0.25">
      <c r="A15" s="928">
        <f t="shared" ref="A15:A37" si="0">+A14+1</f>
        <v>3</v>
      </c>
      <c r="B15" s="926">
        <f>+NOMINA!C19</f>
        <v>8719807</v>
      </c>
      <c r="C15" s="926" t="str">
        <f>+NOMINA!D19</f>
        <v>Perez Saavedra Isabel Teresa</v>
      </c>
      <c r="D15" s="926" t="str">
        <f>+NOMINA!O19</f>
        <v>JEFE DE DEPARTAMENTO</v>
      </c>
      <c r="E15" s="929">
        <f>+NOMINA!H19</f>
        <v>39874</v>
      </c>
      <c r="F15" s="930">
        <f>+NOMINA!BT19</f>
        <v>14.68</v>
      </c>
      <c r="G15" s="599"/>
      <c r="H15" s="600"/>
      <c r="I15" s="600"/>
      <c r="J15" s="600"/>
      <c r="K15" s="600"/>
    </row>
    <row r="16" spans="1:11" ht="15.75" customHeight="1" x14ac:dyDescent="0.25">
      <c r="A16" s="928">
        <f t="shared" si="0"/>
        <v>4</v>
      </c>
      <c r="B16" s="926">
        <f>+NOMINA!C20</f>
        <v>10404528</v>
      </c>
      <c r="C16" s="926" t="str">
        <f>+NOMINA!D20</f>
        <v>Perez Castellano Javier Horacio</v>
      </c>
      <c r="D16" s="926" t="str">
        <f>+NOMINA!O20</f>
        <v>JEFE DE DEPARTAMENTO</v>
      </c>
      <c r="E16" s="929">
        <f>+NOMINA!H20</f>
        <v>37622</v>
      </c>
      <c r="F16" s="930">
        <f>+NOMINA!BT20</f>
        <v>15.32</v>
      </c>
      <c r="G16" s="599"/>
      <c r="H16" s="600"/>
      <c r="I16" s="600"/>
      <c r="J16" s="600"/>
      <c r="K16" s="600"/>
    </row>
    <row r="17" spans="1:11" ht="15.75" customHeight="1" x14ac:dyDescent="0.25">
      <c r="A17" s="928">
        <f t="shared" si="0"/>
        <v>5</v>
      </c>
      <c r="B17" s="926">
        <f>+NOMINA!C21</f>
        <v>9311822</v>
      </c>
      <c r="C17" s="926" t="str">
        <f>+NOMINA!D21</f>
        <v>Rojo Sanchez Alexis Omar</v>
      </c>
      <c r="D17" s="926" t="str">
        <f>+NOMINA!O21</f>
        <v>JEFE DE DEPARTAMENTO</v>
      </c>
      <c r="E17" s="929">
        <f>+NOMINA!H21</f>
        <v>37662</v>
      </c>
      <c r="F17" s="930">
        <f>+NOMINA!BT21</f>
        <v>12</v>
      </c>
      <c r="G17" s="599"/>
      <c r="H17" s="600"/>
      <c r="I17" s="600"/>
      <c r="J17" s="600"/>
      <c r="K17" s="600"/>
    </row>
    <row r="18" spans="1:11" ht="15.75" customHeight="1" x14ac:dyDescent="0.25">
      <c r="A18" s="928">
        <f t="shared" si="0"/>
        <v>6</v>
      </c>
      <c r="B18" s="926">
        <f>+NOMINA!C22</f>
        <v>21592108</v>
      </c>
      <c r="C18" s="926" t="str">
        <f>+NOMINA!D22</f>
        <v>Coy Andara Darlin Gabriela</v>
      </c>
      <c r="D18" s="926" t="str">
        <f>+NOMINA!O22</f>
        <v>JEFE DE DEPARTAMENTO</v>
      </c>
      <c r="E18" s="929">
        <f>+NOMINA!H22</f>
        <v>43024</v>
      </c>
      <c r="F18" s="930">
        <f>+NOMINA!BT22</f>
        <v>12.78</v>
      </c>
      <c r="G18" s="599"/>
      <c r="H18" s="600"/>
      <c r="I18" s="600"/>
      <c r="J18" s="600"/>
      <c r="K18" s="600"/>
    </row>
    <row r="19" spans="1:11" ht="15.75" customHeight="1" x14ac:dyDescent="0.25">
      <c r="A19" s="928">
        <f t="shared" si="0"/>
        <v>7</v>
      </c>
      <c r="B19" s="926">
        <f>+NOMINA!C23</f>
        <v>13206767</v>
      </c>
      <c r="C19" s="926" t="str">
        <f>+NOMINA!D23</f>
        <v>Bastidas Guerra Soralis del Valle</v>
      </c>
      <c r="D19" s="926" t="str">
        <f>+NOMINA!O23</f>
        <v>COORDINADOR DE PROGRAMA (SAPNNAET)</v>
      </c>
      <c r="E19" s="929">
        <f>+NOMINA!H23</f>
        <v>44713</v>
      </c>
      <c r="F19" s="930">
        <f>+NOMINA!BT23</f>
        <v>12.22</v>
      </c>
      <c r="G19" s="599"/>
      <c r="H19" s="600"/>
      <c r="I19" s="600"/>
      <c r="J19" s="600"/>
      <c r="K19" s="600"/>
    </row>
    <row r="20" spans="1:11" ht="15.75" customHeight="1" x14ac:dyDescent="0.25">
      <c r="A20" s="928">
        <f t="shared" si="0"/>
        <v>8</v>
      </c>
      <c r="B20" s="926">
        <f>+NOMINA!C24</f>
        <v>13462933</v>
      </c>
      <c r="C20" s="926" t="str">
        <f>+NOMINA!D24</f>
        <v>Frias Aldana Maria Yaritza</v>
      </c>
      <c r="D20" s="926" t="str">
        <f>+NOMINA!O24</f>
        <v>COORDINADOR DE PROGRAMA (SAPNNAET)</v>
      </c>
      <c r="E20" s="929">
        <f>+NOMINA!H24</f>
        <v>39454</v>
      </c>
      <c r="F20" s="930">
        <f>+NOMINA!BT24</f>
        <v>14.28</v>
      </c>
      <c r="G20" s="599"/>
      <c r="H20" s="600"/>
      <c r="I20" s="600"/>
      <c r="J20" s="600"/>
      <c r="K20" s="600"/>
    </row>
    <row r="21" spans="1:11" ht="15.75" customHeight="1" x14ac:dyDescent="0.25">
      <c r="A21" s="928">
        <f t="shared" si="0"/>
        <v>9</v>
      </c>
      <c r="B21" s="926">
        <f>+NOMINA!C25</f>
        <v>12542413</v>
      </c>
      <c r="C21" s="926" t="str">
        <f>+NOMINA!D25</f>
        <v>Aponte Matheus Richard Alexander</v>
      </c>
      <c r="D21" s="926" t="str">
        <f>+NOMINA!O25</f>
        <v>COORDINADOR DE PROGRAMA (SAPNNAET)</v>
      </c>
      <c r="E21" s="929">
        <f>+NOMINA!H25</f>
        <v>36434</v>
      </c>
      <c r="F21" s="930">
        <f>+NOMINA!BT25</f>
        <v>11.64</v>
      </c>
      <c r="G21" s="599"/>
      <c r="H21" s="600"/>
      <c r="I21" s="600"/>
      <c r="J21" s="600"/>
      <c r="K21" s="600"/>
    </row>
    <row r="22" spans="1:11" ht="15.75" customHeight="1" x14ac:dyDescent="0.25">
      <c r="A22" s="928">
        <f t="shared" si="0"/>
        <v>10</v>
      </c>
      <c r="B22" s="926">
        <f>+NOMINA!C26</f>
        <v>18457406</v>
      </c>
      <c r="C22" s="926" t="str">
        <f>+NOMINA!D26</f>
        <v>Rivero Zambrano Herluis Jose</v>
      </c>
      <c r="D22" s="926" t="str">
        <f>+NOMINA!O26</f>
        <v>COORDINADOR DE PROGRAMA (SAPNNAET)</v>
      </c>
      <c r="E22" s="929">
        <f>+NOMINA!H26</f>
        <v>41548</v>
      </c>
      <c r="F22" s="930">
        <f>+NOMINA!BT26</f>
        <v>13.66</v>
      </c>
      <c r="G22" s="599"/>
      <c r="H22" s="600"/>
      <c r="I22" s="600"/>
      <c r="J22" s="600"/>
      <c r="K22" s="600"/>
    </row>
    <row r="23" spans="1:11" ht="15.75" customHeight="1" x14ac:dyDescent="0.25">
      <c r="A23" s="928">
        <f t="shared" si="0"/>
        <v>11</v>
      </c>
      <c r="B23" s="926">
        <f>+NOMINA!C27</f>
        <v>11895772</v>
      </c>
      <c r="C23" s="926" t="str">
        <f>+NOMINA!D27</f>
        <v>Rangel Rivas Ildemaro</v>
      </c>
      <c r="D23" s="926" t="str">
        <f>+NOMINA!O27</f>
        <v>COORDINADOR DE PROGRAMA (SAPNNAET)</v>
      </c>
      <c r="E23" s="929">
        <f>+NOMINA!H27</f>
        <v>44743</v>
      </c>
      <c r="F23" s="930">
        <f>+NOMINA!BT27</f>
        <v>12.02</v>
      </c>
      <c r="G23" s="599"/>
      <c r="H23" s="600"/>
      <c r="I23" s="600"/>
      <c r="J23" s="600"/>
      <c r="K23" s="600"/>
    </row>
    <row r="24" spans="1:11" ht="15.75" customHeight="1" x14ac:dyDescent="0.25">
      <c r="A24" s="928">
        <f t="shared" si="0"/>
        <v>12</v>
      </c>
      <c r="B24" s="926">
        <f>+NOMINA!C28</f>
        <v>9495661</v>
      </c>
      <c r="C24" s="926" t="str">
        <f>+NOMINA!D28</f>
        <v>Aguial Carrillo Gregoria Coromoto</v>
      </c>
      <c r="D24" s="926" t="str">
        <f>+NOMINA!O28</f>
        <v>COORDINADOR DE PROGRAMA (SAPNNAET)</v>
      </c>
      <c r="E24" s="929">
        <f>+NOMINA!H28</f>
        <v>39692</v>
      </c>
      <c r="F24" s="930">
        <f>+NOMINA!BT28</f>
        <v>11.04</v>
      </c>
      <c r="G24" s="599"/>
      <c r="H24" s="600"/>
      <c r="I24" s="600"/>
      <c r="J24" s="600"/>
      <c r="K24" s="600"/>
    </row>
    <row r="25" spans="1:11" ht="15.75" customHeight="1" x14ac:dyDescent="0.25">
      <c r="A25" s="928">
        <f t="shared" si="0"/>
        <v>13</v>
      </c>
      <c r="B25" s="926">
        <f>+NOMINA!C29</f>
        <v>5348397</v>
      </c>
      <c r="C25" s="926" t="str">
        <f>+NOMINA!D29</f>
        <v>Araujo Manzanilla Carlos Antonio</v>
      </c>
      <c r="D25" s="926" t="str">
        <f>+NOMINA!O29</f>
        <v>COORDINADOR DE PROGRAMA (SAPNNAET)</v>
      </c>
      <c r="E25" s="929">
        <f>+NOMINA!H29</f>
        <v>43359</v>
      </c>
      <c r="F25" s="930">
        <f>+NOMINA!BT29</f>
        <v>13.94</v>
      </c>
      <c r="G25" s="599"/>
      <c r="H25" s="600"/>
      <c r="I25" s="600"/>
      <c r="J25" s="600"/>
      <c r="K25" s="600"/>
    </row>
    <row r="26" spans="1:11" ht="15.75" customHeight="1" x14ac:dyDescent="0.25">
      <c r="A26" s="928">
        <f t="shared" si="0"/>
        <v>14</v>
      </c>
      <c r="B26" s="926">
        <f>+NOMINA!C30</f>
        <v>9314132</v>
      </c>
      <c r="C26" s="926" t="str">
        <f>+NOMINA!D30</f>
        <v>Viloria Montilla Gerardo</v>
      </c>
      <c r="D26" s="926" t="str">
        <f>+NOMINA!O30</f>
        <v>COORDINADOR DE PROGRAMA (SAPNNAET)</v>
      </c>
      <c r="E26" s="929">
        <f>+NOMINA!H30</f>
        <v>44348</v>
      </c>
      <c r="F26" s="930">
        <f>+NOMINA!BT30</f>
        <v>13.28</v>
      </c>
      <c r="G26" s="599"/>
      <c r="H26" s="600"/>
      <c r="I26" s="600"/>
      <c r="J26" s="600"/>
      <c r="K26" s="600"/>
    </row>
    <row r="27" spans="1:11" ht="15.75" customHeight="1" x14ac:dyDescent="0.25">
      <c r="A27" s="928">
        <f t="shared" si="0"/>
        <v>15</v>
      </c>
      <c r="B27" s="926">
        <f>+NOMINA!C31</f>
        <v>11320533</v>
      </c>
      <c r="C27" s="926" t="str">
        <f>+NOMINA!D31</f>
        <v>Suarez Chiquin Yaritza Josefina</v>
      </c>
      <c r="D27" s="926" t="str">
        <f>+NOMINA!O31</f>
        <v>COORDINADOR DE PROGRAMA (SAPNNAET)</v>
      </c>
      <c r="E27" s="929">
        <f>+NOMINA!H31</f>
        <v>37629</v>
      </c>
      <c r="F27" s="930">
        <f>+NOMINA!BT31</f>
        <v>14.84</v>
      </c>
      <c r="G27" s="599"/>
      <c r="H27" s="600"/>
      <c r="I27" s="600"/>
      <c r="J27" s="600"/>
      <c r="K27" s="600"/>
    </row>
    <row r="28" spans="1:11" ht="15.75" customHeight="1" x14ac:dyDescent="0.25">
      <c r="A28" s="928">
        <f t="shared" si="0"/>
        <v>16</v>
      </c>
      <c r="B28" s="926">
        <f>+NOMINA!C32</f>
        <v>10912595</v>
      </c>
      <c r="C28" s="926" t="str">
        <f>+NOMINA!D32</f>
        <v>Delfin Bustos Jose Hercilio</v>
      </c>
      <c r="D28" s="926" t="str">
        <f>+NOMINA!O32</f>
        <v>COORDINADOR DE PROGRAMA (SAPNNAET)</v>
      </c>
      <c r="E28" s="929">
        <f>+NOMINA!H32</f>
        <v>36039</v>
      </c>
      <c r="F28" s="930">
        <f>+NOMINA!BT32</f>
        <v>11.64</v>
      </c>
      <c r="G28" s="599"/>
      <c r="H28" s="600"/>
      <c r="I28" s="600"/>
      <c r="J28" s="600"/>
      <c r="K28" s="600"/>
    </row>
    <row r="29" spans="1:11" ht="15.75" customHeight="1" x14ac:dyDescent="0.25">
      <c r="A29" s="928">
        <f t="shared" si="0"/>
        <v>17</v>
      </c>
      <c r="B29" s="926">
        <f>+NOMINA!C33</f>
        <v>4306476</v>
      </c>
      <c r="C29" s="926" t="str">
        <f>+NOMINA!D33</f>
        <v>Triviño de Bastidas Dioni de la Coromoto</v>
      </c>
      <c r="D29" s="926" t="str">
        <f>+NOMINA!O33</f>
        <v>COORDINADOR DE PROGRAMA (SAPNNAET)</v>
      </c>
      <c r="E29" s="929">
        <f>+NOMINA!H33</f>
        <v>44409</v>
      </c>
      <c r="F29" s="930">
        <f>+NOMINA!BT33</f>
        <v>15.72</v>
      </c>
      <c r="G29" s="599"/>
      <c r="H29" s="600"/>
      <c r="I29" s="600"/>
      <c r="J29" s="600"/>
      <c r="K29" s="600"/>
    </row>
    <row r="30" spans="1:11" ht="15.75" customHeight="1" x14ac:dyDescent="0.25">
      <c r="A30" s="928">
        <f t="shared" si="0"/>
        <v>18</v>
      </c>
      <c r="B30" s="926">
        <f>+NOMINA!C34</f>
        <v>13568733</v>
      </c>
      <c r="C30" s="926" t="str">
        <f>+NOMINA!D34</f>
        <v>Campos de Velazquez Nilda Carolina</v>
      </c>
      <c r="D30" s="926" t="str">
        <f>+NOMINA!O34</f>
        <v>COORDINADOR DE PROGRAMA (SAPNNAET)</v>
      </c>
      <c r="E30" s="929">
        <f>+NOMINA!H34</f>
        <v>44805</v>
      </c>
      <c r="F30" s="930">
        <f>+NOMINA!BT34</f>
        <v>12.52</v>
      </c>
      <c r="G30" s="599"/>
      <c r="H30" s="600"/>
      <c r="I30" s="600"/>
      <c r="J30" s="600"/>
      <c r="K30" s="600"/>
    </row>
    <row r="31" spans="1:11" ht="15.75" customHeight="1" x14ac:dyDescent="0.25">
      <c r="A31" s="928">
        <f t="shared" si="0"/>
        <v>19</v>
      </c>
      <c r="B31" s="926">
        <f>+NOMINA!C35</f>
        <v>20790947</v>
      </c>
      <c r="C31" s="926" t="str">
        <f>+NOMINA!D35</f>
        <v>Urbina Cuellar Tannessy Lenery</v>
      </c>
      <c r="D31" s="926" t="str">
        <f>+NOMINA!O35</f>
        <v>COORDINADOR DE PROGRAMA (SAPNNAET)</v>
      </c>
      <c r="E31" s="929">
        <f>+NOMINA!H35</f>
        <v>43967</v>
      </c>
      <c r="F31" s="930">
        <f>+NOMINA!BT35</f>
        <v>12.7</v>
      </c>
      <c r="G31" s="599"/>
      <c r="H31" s="600"/>
      <c r="I31" s="600"/>
      <c r="J31" s="600"/>
      <c r="K31" s="600"/>
    </row>
    <row r="32" spans="1:11" ht="15.75" customHeight="1" x14ac:dyDescent="0.25">
      <c r="A32" s="928">
        <f t="shared" si="0"/>
        <v>20</v>
      </c>
      <c r="B32" s="926">
        <f>+NOMINA!C36</f>
        <v>15752183</v>
      </c>
      <c r="C32" s="926" t="str">
        <f>+NOMINA!D36</f>
        <v>Delduca Adriana del Valle</v>
      </c>
      <c r="D32" s="926" t="str">
        <f>+NOMINA!O36</f>
        <v>COORDINADOR DE PROGRAMA (SAPNNAET)</v>
      </c>
      <c r="E32" s="929">
        <f>+NOMINA!H36</f>
        <v>38930</v>
      </c>
      <c r="F32" s="930">
        <f>+NOMINA!BT36</f>
        <v>11.76</v>
      </c>
      <c r="G32" s="599"/>
      <c r="H32" s="600"/>
      <c r="I32" s="600"/>
      <c r="J32" s="600"/>
      <c r="K32" s="600"/>
    </row>
    <row r="33" spans="1:11" ht="15.75" customHeight="1" x14ac:dyDescent="0.25">
      <c r="A33" s="928">
        <f t="shared" si="0"/>
        <v>21</v>
      </c>
      <c r="B33" s="926">
        <f>+NOMINA!C37</f>
        <v>16739081</v>
      </c>
      <c r="C33" s="926" t="str">
        <f>+NOMINA!D37</f>
        <v>Albarran Araujo Yely Coromoto</v>
      </c>
      <c r="D33" s="926" t="str">
        <f>+NOMINA!O37</f>
        <v>COORDINADOR DE PROGRAMA (SAPNNAET)</v>
      </c>
      <c r="E33" s="929">
        <f>+NOMINA!H37</f>
        <v>42948</v>
      </c>
      <c r="F33" s="930">
        <f>+NOMINA!BT37</f>
        <v>12.8</v>
      </c>
      <c r="G33" s="599"/>
      <c r="H33" s="600"/>
      <c r="I33" s="600"/>
      <c r="J33" s="600"/>
      <c r="K33" s="600"/>
    </row>
    <row r="34" spans="1:11" ht="15.75" customHeight="1" x14ac:dyDescent="0.25">
      <c r="A34" s="928">
        <f t="shared" si="0"/>
        <v>22</v>
      </c>
      <c r="B34" s="926">
        <f>+NOMINA!C38</f>
        <v>18349553</v>
      </c>
      <c r="C34" s="926" t="str">
        <f>+NOMINA!D38</f>
        <v>Quiroga Valdes Nayla Carolina</v>
      </c>
      <c r="D34" s="926" t="str">
        <f>+NOMINA!O38</f>
        <v>COORDINADOR DE PROGRAMA (SAPNNAET)</v>
      </c>
      <c r="E34" s="929">
        <f>+NOMINA!H38</f>
        <v>45566</v>
      </c>
      <c r="F34" s="930">
        <f>+NOMINA!BT38</f>
        <v>11.96</v>
      </c>
      <c r="G34" s="599"/>
      <c r="H34" s="600"/>
      <c r="I34" s="600"/>
      <c r="J34" s="600"/>
      <c r="K34" s="600"/>
    </row>
    <row r="35" spans="1:11" ht="15.75" customHeight="1" x14ac:dyDescent="0.25">
      <c r="A35" s="928">
        <f t="shared" si="0"/>
        <v>23</v>
      </c>
      <c r="B35" s="926">
        <f>+NOMINA!C39</f>
        <v>16066524</v>
      </c>
      <c r="C35" s="926" t="str">
        <f>+NOMINA!D39</f>
        <v>Carmona Peñaloza Yaneth Coromoto</v>
      </c>
      <c r="D35" s="926" t="str">
        <f>+NOMINA!O39</f>
        <v>COORDINADOR DE PROGRAMA (SAPNNAET)</v>
      </c>
      <c r="E35" s="929">
        <f>+NOMINA!H39</f>
        <v>41456</v>
      </c>
      <c r="F35" s="930">
        <f>+NOMINA!BT39</f>
        <v>13.22</v>
      </c>
      <c r="G35" s="599"/>
      <c r="H35" s="600"/>
      <c r="I35" s="600"/>
      <c r="J35" s="600"/>
      <c r="K35" s="600"/>
    </row>
    <row r="36" spans="1:11" ht="15.75" customHeight="1" x14ac:dyDescent="0.25">
      <c r="A36" s="928">
        <f t="shared" si="0"/>
        <v>24</v>
      </c>
      <c r="B36" s="926">
        <f>+NOMINA!C40</f>
        <v>27889180</v>
      </c>
      <c r="C36" s="926" t="str">
        <f>+NOMINA!D40</f>
        <v>Moreno Andreina del Valle</v>
      </c>
      <c r="D36" s="926" t="str">
        <f>+NOMINA!O40</f>
        <v>COORDINADOR DE PROGRAMA (SAPNNAET)</v>
      </c>
      <c r="E36" s="929">
        <f>+NOMINA!H40</f>
        <v>44393</v>
      </c>
      <c r="F36" s="930">
        <f>+NOMINA!BT40</f>
        <v>10.08</v>
      </c>
      <c r="G36" s="599"/>
      <c r="H36" s="600"/>
      <c r="I36" s="600"/>
      <c r="J36" s="600"/>
      <c r="K36" s="600"/>
    </row>
    <row r="37" spans="1:11" ht="15.75" customHeight="1" thickBot="1" x14ac:dyDescent="0.3">
      <c r="A37" s="928">
        <f t="shared" si="0"/>
        <v>25</v>
      </c>
      <c r="B37" s="926">
        <f>+NOMINA!C41</f>
        <v>12781930</v>
      </c>
      <c r="C37" s="926" t="str">
        <f>+NOMINA!D41</f>
        <v>Berrios Gomez Neida Marina</v>
      </c>
      <c r="D37" s="926" t="str">
        <f>+NOMINA!O41</f>
        <v>COORDINADOR DE PROGRAMA (SAPNNAET)</v>
      </c>
      <c r="E37" s="929">
        <f>+NOMINA!H41</f>
        <v>44652</v>
      </c>
      <c r="F37" s="930">
        <f>+NOMINA!BT41</f>
        <v>12.22</v>
      </c>
      <c r="G37" s="599"/>
      <c r="H37" s="600"/>
      <c r="I37" s="600"/>
      <c r="J37" s="600"/>
      <c r="K37" s="600"/>
    </row>
    <row r="38" spans="1:11" ht="15.75" customHeight="1" thickBot="1" x14ac:dyDescent="0.3">
      <c r="A38" s="928"/>
      <c r="B38" s="926"/>
      <c r="C38" s="926"/>
      <c r="D38" s="926"/>
      <c r="E38" s="598" t="s">
        <v>5768</v>
      </c>
      <c r="F38" s="927">
        <f>SUM(F13:F37)</f>
        <v>327.00000000000006</v>
      </c>
      <c r="G38" s="599">
        <f>+NOMINA!BT42</f>
        <v>327.00000000000006</v>
      </c>
      <c r="H38" s="600">
        <f>+F38-G38</f>
        <v>0</v>
      </c>
      <c r="I38" s="600"/>
      <c r="J38" s="600"/>
      <c r="K38" s="600"/>
    </row>
    <row r="39" spans="1:11" ht="15.75" customHeight="1" x14ac:dyDescent="0.25">
      <c r="A39" s="601"/>
      <c r="B39" s="931"/>
      <c r="C39" s="931"/>
      <c r="D39" s="931"/>
      <c r="E39" s="602"/>
      <c r="F39" s="932"/>
      <c r="G39" s="599"/>
      <c r="H39" s="600"/>
      <c r="I39" s="600"/>
      <c r="J39" s="600"/>
      <c r="K39" s="600"/>
    </row>
    <row r="40" spans="1:11" ht="15.75" customHeight="1" x14ac:dyDescent="0.25">
      <c r="A40" s="601"/>
      <c r="B40" s="603"/>
      <c r="C40" s="603"/>
      <c r="D40" s="603"/>
      <c r="E40" s="602"/>
      <c r="F40" s="604"/>
      <c r="G40" s="599"/>
      <c r="H40" s="600"/>
      <c r="I40" s="600"/>
      <c r="J40" s="600"/>
      <c r="K40" s="600"/>
    </row>
    <row r="41" spans="1:11" ht="15.75" customHeight="1" x14ac:dyDescent="0.25">
      <c r="A41" s="601"/>
      <c r="B41" s="603"/>
      <c r="C41" s="603"/>
      <c r="D41" s="603"/>
      <c r="E41" s="602"/>
      <c r="F41" s="604"/>
      <c r="G41" s="599"/>
      <c r="H41" s="600"/>
      <c r="I41" s="600"/>
      <c r="J41" s="600"/>
      <c r="K41" s="600"/>
    </row>
    <row r="42" spans="1:11" ht="15.75" customHeight="1" x14ac:dyDescent="0.25">
      <c r="A42" s="601"/>
      <c r="B42" s="603"/>
      <c r="C42" s="603"/>
      <c r="D42" s="603"/>
      <c r="E42" s="602"/>
      <c r="F42" s="604"/>
      <c r="G42" s="599"/>
      <c r="H42" s="600"/>
      <c r="I42" s="600"/>
      <c r="J42" s="600"/>
      <c r="K42" s="600"/>
    </row>
    <row r="43" spans="1:11" ht="15.75" customHeight="1" x14ac:dyDescent="0.25">
      <c r="A43" s="601"/>
      <c r="B43" s="603"/>
      <c r="C43" s="603"/>
      <c r="D43" s="603"/>
      <c r="E43" s="602"/>
      <c r="F43" s="604"/>
      <c r="G43" s="599"/>
      <c r="H43" s="600"/>
      <c r="I43" s="600"/>
      <c r="J43" s="600"/>
      <c r="K43" s="600"/>
    </row>
    <row r="44" spans="1:11" ht="15.75" customHeight="1" x14ac:dyDescent="0.25">
      <c r="A44" s="601"/>
      <c r="B44" s="603"/>
      <c r="C44" s="595" t="s">
        <v>5815</v>
      </c>
      <c r="E44" s="595" t="s">
        <v>5816</v>
      </c>
      <c r="G44" s="599"/>
      <c r="H44" s="600"/>
      <c r="I44" s="600"/>
      <c r="J44" s="600"/>
      <c r="K44" s="600"/>
    </row>
    <row r="45" spans="1:11" ht="15.75" customHeight="1" x14ac:dyDescent="0.25">
      <c r="A45" s="601"/>
      <c r="B45" s="603"/>
      <c r="G45" s="599"/>
      <c r="H45" s="600"/>
      <c r="I45" s="600"/>
      <c r="J45" s="600"/>
      <c r="K45" s="600"/>
    </row>
    <row r="46" spans="1:11" ht="15.75" customHeight="1" x14ac:dyDescent="0.25">
      <c r="A46" s="601"/>
      <c r="B46" s="603"/>
      <c r="G46" s="599"/>
      <c r="H46" s="600"/>
      <c r="I46" s="600"/>
      <c r="J46" s="600"/>
      <c r="K46" s="600"/>
    </row>
    <row r="47" spans="1:11" ht="15.75" customHeight="1" x14ac:dyDescent="0.3">
      <c r="A47" s="601"/>
      <c r="B47" s="603"/>
      <c r="C47" s="605" t="s">
        <v>5817</v>
      </c>
      <c r="E47" s="606" t="s">
        <v>5818</v>
      </c>
      <c r="G47" s="599"/>
      <c r="H47" s="600"/>
      <c r="I47" s="600"/>
      <c r="J47" s="600"/>
      <c r="K47" s="600"/>
    </row>
    <row r="48" spans="1:11" ht="15.75" customHeight="1" x14ac:dyDescent="0.3">
      <c r="A48" s="601"/>
      <c r="B48" s="603"/>
      <c r="C48" s="605" t="s">
        <v>5819</v>
      </c>
      <c r="E48" s="605" t="s">
        <v>5820</v>
      </c>
      <c r="G48" s="599"/>
      <c r="H48" s="600"/>
      <c r="I48" s="600"/>
      <c r="J48" s="600"/>
      <c r="K48" s="600"/>
    </row>
    <row r="49" spans="1:11" ht="15.75" customHeight="1" x14ac:dyDescent="0.25">
      <c r="A49" s="601"/>
      <c r="B49" s="603"/>
      <c r="C49" s="603"/>
      <c r="D49" s="603"/>
      <c r="E49" s="602"/>
      <c r="F49" s="604"/>
      <c r="G49" s="599"/>
      <c r="H49" s="600"/>
      <c r="I49" s="600"/>
      <c r="J49" s="600"/>
      <c r="K49" s="600"/>
    </row>
    <row r="50" spans="1:11" ht="15.75" customHeight="1" x14ac:dyDescent="0.25">
      <c r="A50" s="597" t="s">
        <v>4561</v>
      </c>
      <c r="B50" s="926"/>
      <c r="C50" s="926"/>
      <c r="D50" s="926"/>
      <c r="E50" s="929"/>
      <c r="F50" s="930"/>
      <c r="G50" s="599"/>
      <c r="H50" s="600"/>
      <c r="I50" s="600"/>
      <c r="J50" s="600"/>
      <c r="K50" s="600"/>
    </row>
    <row r="51" spans="1:11" ht="15.75" customHeight="1" x14ac:dyDescent="0.25">
      <c r="A51" s="928">
        <v>1</v>
      </c>
      <c r="B51" s="926">
        <f>+NOMINA!C44</f>
        <v>4324055</v>
      </c>
      <c r="C51" s="926" t="str">
        <f>+NOMINA!D44</f>
        <v>Mejia Linares Alexis de Jesus</v>
      </c>
      <c r="D51" s="926" t="str">
        <f>+NOMINA!O44</f>
        <v>Abogado II</v>
      </c>
      <c r="E51" s="929">
        <f>+NOMINA!H44</f>
        <v>44470</v>
      </c>
      <c r="F51" s="930">
        <f>+NOMINA!BT44</f>
        <v>10.38</v>
      </c>
      <c r="G51" s="599"/>
      <c r="H51" s="600"/>
      <c r="I51" s="600"/>
      <c r="J51" s="600"/>
      <c r="K51" s="600"/>
    </row>
    <row r="52" spans="1:11" ht="15.75" customHeight="1" x14ac:dyDescent="0.25">
      <c r="A52" s="928">
        <f>+A51+1</f>
        <v>2</v>
      </c>
      <c r="B52" s="926">
        <f>+NOMINA!C45</f>
        <v>4657974</v>
      </c>
      <c r="C52" s="926" t="str">
        <f>+NOMINA!D45</f>
        <v>Balestrini Nuñez Ulises Ramon</v>
      </c>
      <c r="D52" s="926" t="str">
        <f>+NOMINA!O45</f>
        <v>Promotor Cultural I</v>
      </c>
      <c r="E52" s="929">
        <f>+NOMINA!H45</f>
        <v>39463</v>
      </c>
      <c r="F52" s="930">
        <f>+NOMINA!BT45</f>
        <v>6.86</v>
      </c>
      <c r="G52" s="599"/>
      <c r="H52" s="600"/>
      <c r="I52" s="600"/>
      <c r="J52" s="600"/>
      <c r="K52" s="600"/>
    </row>
    <row r="53" spans="1:11" ht="15.75" customHeight="1" x14ac:dyDescent="0.25">
      <c r="A53" s="928">
        <f t="shared" ref="A53:A116" si="1">+A52+1</f>
        <v>3</v>
      </c>
      <c r="B53" s="926">
        <f>+NOMINA!C46</f>
        <v>5762861</v>
      </c>
      <c r="C53" s="926" t="str">
        <f>+NOMINA!D46</f>
        <v>Aldana Duran Delia Mercedes</v>
      </c>
      <c r="D53" s="926" t="str">
        <f>+NOMINA!O46</f>
        <v>Jefe de Centro</v>
      </c>
      <c r="E53" s="929">
        <f>+NOMINA!H46</f>
        <v>37851</v>
      </c>
      <c r="F53" s="930">
        <f>+NOMINA!BT46</f>
        <v>12.58</v>
      </c>
      <c r="G53" s="599"/>
      <c r="H53" s="600"/>
      <c r="I53" s="600"/>
      <c r="J53" s="600"/>
      <c r="K53" s="600"/>
    </row>
    <row r="54" spans="1:11" ht="15.75" customHeight="1" x14ac:dyDescent="0.25">
      <c r="A54" s="928">
        <f t="shared" si="1"/>
        <v>4</v>
      </c>
      <c r="B54" s="926">
        <f>+NOMINA!C47</f>
        <v>5782060</v>
      </c>
      <c r="C54" s="926" t="str">
        <f>+NOMINA!D47</f>
        <v>Linares Araujo Adolfo Jose</v>
      </c>
      <c r="D54" s="926" t="str">
        <f>+NOMINA!O47</f>
        <v>Asistente Administrativo III</v>
      </c>
      <c r="E54" s="929">
        <f>+NOMINA!H47</f>
        <v>39539</v>
      </c>
      <c r="F54" s="930">
        <f>+NOMINA!BT47</f>
        <v>9.6999999999999993</v>
      </c>
      <c r="G54" s="599"/>
      <c r="H54" s="600"/>
      <c r="I54" s="600"/>
      <c r="J54" s="600"/>
      <c r="K54" s="600"/>
    </row>
    <row r="55" spans="1:11" ht="15.75" customHeight="1" x14ac:dyDescent="0.25">
      <c r="A55" s="928">
        <f t="shared" si="1"/>
        <v>5</v>
      </c>
      <c r="B55" s="926">
        <f>+NOMINA!C48</f>
        <v>5790501</v>
      </c>
      <c r="C55" s="926" t="str">
        <f>+NOMINA!D48</f>
        <v>Castellanos de Araujo Maria Eustoquia</v>
      </c>
      <c r="D55" s="926" t="str">
        <f>+NOMINA!O48</f>
        <v>Asistente de Analista III</v>
      </c>
      <c r="E55" s="929">
        <f>+NOMINA!H48</f>
        <v>39707</v>
      </c>
      <c r="F55" s="930">
        <f>+NOMINA!BT48</f>
        <v>10.44</v>
      </c>
      <c r="G55" s="599"/>
      <c r="H55" s="600"/>
      <c r="I55" s="600"/>
      <c r="J55" s="600"/>
      <c r="K55" s="600"/>
    </row>
    <row r="56" spans="1:11" ht="15.75" customHeight="1" x14ac:dyDescent="0.25">
      <c r="A56" s="928">
        <f t="shared" si="1"/>
        <v>6</v>
      </c>
      <c r="B56" s="926">
        <f>+NOMINA!C49</f>
        <v>7744688</v>
      </c>
      <c r="C56" s="926" t="str">
        <f>+NOMINA!D49</f>
        <v>Aguilera Carroz Gerardo Raul</v>
      </c>
      <c r="D56" s="926" t="str">
        <f>+NOMINA!O49</f>
        <v>Asistente Administrativo III</v>
      </c>
      <c r="E56" s="929">
        <f>+NOMINA!H49</f>
        <v>44713</v>
      </c>
      <c r="F56" s="930">
        <f>+NOMINA!BT49</f>
        <v>8.5399999999999991</v>
      </c>
      <c r="G56" s="599"/>
      <c r="H56" s="600"/>
      <c r="I56" s="600"/>
      <c r="J56" s="600"/>
      <c r="K56" s="600"/>
    </row>
    <row r="57" spans="1:11" ht="15.75" customHeight="1" x14ac:dyDescent="0.25">
      <c r="A57" s="928">
        <f t="shared" si="1"/>
        <v>7</v>
      </c>
      <c r="B57" s="926">
        <f>+NOMINA!C50</f>
        <v>7890070</v>
      </c>
      <c r="C57" s="926" t="str">
        <f>+NOMINA!D50</f>
        <v>Pacheco Bermudez Bebsabeth Coromoto</v>
      </c>
      <c r="D57" s="926" t="str">
        <f>+NOMINA!O50</f>
        <v>Guia de Centro II</v>
      </c>
      <c r="E57" s="929">
        <f>+NOMINA!H50</f>
        <v>38930</v>
      </c>
      <c r="F57" s="930">
        <f>+NOMINA!BT50</f>
        <v>7.2</v>
      </c>
      <c r="G57" s="599"/>
      <c r="H57" s="600"/>
      <c r="I57" s="600"/>
      <c r="J57" s="600"/>
      <c r="K57" s="600"/>
    </row>
    <row r="58" spans="1:11" ht="15.75" customHeight="1" x14ac:dyDescent="0.25">
      <c r="A58" s="928">
        <f t="shared" si="1"/>
        <v>8</v>
      </c>
      <c r="B58" s="926">
        <f>+NOMINA!C51</f>
        <v>8719807</v>
      </c>
      <c r="C58" s="926" t="str">
        <f>+NOMINA!D51</f>
        <v>Perez Saavedra Isabel Teresa</v>
      </c>
      <c r="D58" s="926" t="str">
        <f>+NOMINA!O51</f>
        <v>Abogado Jefe</v>
      </c>
      <c r="E58" s="929">
        <f>+NOMINA!H51</f>
        <v>39874</v>
      </c>
      <c r="F58" s="930">
        <f>+NOMINA!BT51</f>
        <v>0</v>
      </c>
      <c r="G58" s="599"/>
      <c r="H58" s="600"/>
      <c r="I58" s="600"/>
      <c r="J58" s="600"/>
      <c r="K58" s="600"/>
    </row>
    <row r="59" spans="1:11" ht="15.75" customHeight="1" x14ac:dyDescent="0.25">
      <c r="A59" s="928">
        <f t="shared" si="1"/>
        <v>9</v>
      </c>
      <c r="B59" s="926">
        <f>+NOMINA!C52</f>
        <v>8266170</v>
      </c>
      <c r="C59" s="926" t="str">
        <f>+NOMINA!D52</f>
        <v>Aguana Sanchez Yraida Josefina</v>
      </c>
      <c r="D59" s="926" t="str">
        <f>+NOMINA!O52</f>
        <v>Guia de Centro I</v>
      </c>
      <c r="E59" s="929">
        <f>+NOMINA!H52</f>
        <v>45323</v>
      </c>
      <c r="F59" s="930">
        <f>+NOMINA!BT52</f>
        <v>12.26</v>
      </c>
      <c r="G59" s="599"/>
      <c r="H59" s="600"/>
      <c r="I59" s="600"/>
      <c r="J59" s="600"/>
      <c r="K59" s="600"/>
    </row>
    <row r="60" spans="1:11" ht="15.75" customHeight="1" x14ac:dyDescent="0.25">
      <c r="A60" s="928">
        <f t="shared" si="1"/>
        <v>10</v>
      </c>
      <c r="B60" s="926">
        <f>+NOMINA!C53</f>
        <v>9162178</v>
      </c>
      <c r="C60" s="926" t="str">
        <f>+NOMINA!D53</f>
        <v>Duarte de Bastidas Gladys Margarita</v>
      </c>
      <c r="D60" s="926" t="str">
        <f>+NOMINA!O53</f>
        <v>Guia de Centro II</v>
      </c>
      <c r="E60" s="929">
        <f>+NOMINA!H53</f>
        <v>39566</v>
      </c>
      <c r="F60" s="930">
        <f>+NOMINA!BT53</f>
        <v>9.26</v>
      </c>
      <c r="G60" s="599"/>
      <c r="H60" s="600"/>
      <c r="I60" s="600"/>
      <c r="J60" s="600"/>
      <c r="K60" s="600"/>
    </row>
    <row r="61" spans="1:11" ht="15.75" customHeight="1" x14ac:dyDescent="0.25">
      <c r="A61" s="928">
        <f t="shared" si="1"/>
        <v>11</v>
      </c>
      <c r="B61" s="926">
        <f>+NOMINA!C54</f>
        <v>9162243</v>
      </c>
      <c r="C61" s="926" t="str">
        <f>+NOMINA!D54</f>
        <v>Valera Borrero Marcos Tulio</v>
      </c>
      <c r="D61" s="926" t="str">
        <f>+NOMINA!O54</f>
        <v>Guia de Centro II</v>
      </c>
      <c r="E61" s="929">
        <f>+NOMINA!H54</f>
        <v>35535</v>
      </c>
      <c r="F61" s="930">
        <f>+NOMINA!BT54</f>
        <v>7.2</v>
      </c>
      <c r="G61" s="599"/>
      <c r="H61" s="600"/>
      <c r="I61" s="600"/>
      <c r="J61" s="600"/>
      <c r="K61" s="600"/>
    </row>
    <row r="62" spans="1:11" ht="15.75" customHeight="1" x14ac:dyDescent="0.25">
      <c r="A62" s="928">
        <f t="shared" si="1"/>
        <v>12</v>
      </c>
      <c r="B62" s="926">
        <f>+NOMINA!C55</f>
        <v>9170647</v>
      </c>
      <c r="C62" s="926" t="str">
        <f>+NOMINA!D55</f>
        <v>Torres Gonzalez Meris del Carmen</v>
      </c>
      <c r="D62" s="926" t="str">
        <f>+NOMINA!O55</f>
        <v>Guia de Centro II</v>
      </c>
      <c r="E62" s="929">
        <f>+NOMINA!H55</f>
        <v>39238</v>
      </c>
      <c r="F62" s="930">
        <f>+NOMINA!BT55</f>
        <v>12.8</v>
      </c>
      <c r="G62" s="599"/>
      <c r="H62" s="600"/>
      <c r="I62" s="600"/>
      <c r="J62" s="600"/>
      <c r="K62" s="600"/>
    </row>
    <row r="63" spans="1:11" ht="15.75" customHeight="1" x14ac:dyDescent="0.25">
      <c r="A63" s="928">
        <f t="shared" si="1"/>
        <v>13</v>
      </c>
      <c r="B63" s="926">
        <f>+NOMINA!C56</f>
        <v>9177323</v>
      </c>
      <c r="C63" s="926" t="str">
        <f>+NOMINA!D56</f>
        <v>Simancas de Mendoza Alix Josefina</v>
      </c>
      <c r="D63" s="926" t="str">
        <f>+NOMINA!O56</f>
        <v>Asistente Administrativo III</v>
      </c>
      <c r="E63" s="929">
        <f>+NOMINA!H56</f>
        <v>37879</v>
      </c>
      <c r="F63" s="930">
        <f>+NOMINA!BT56</f>
        <v>7.18</v>
      </c>
      <c r="G63" s="599"/>
      <c r="H63" s="600"/>
      <c r="I63" s="600"/>
      <c r="J63" s="600"/>
      <c r="K63" s="600"/>
    </row>
    <row r="64" spans="1:11" ht="15.75" customHeight="1" x14ac:dyDescent="0.25">
      <c r="A64" s="928">
        <f t="shared" si="1"/>
        <v>14</v>
      </c>
      <c r="B64" s="926">
        <f>+NOMINA!C57</f>
        <v>9178087</v>
      </c>
      <c r="C64" s="926" t="str">
        <f>+NOMINA!D57</f>
        <v>Saavedra Juan Jose</v>
      </c>
      <c r="D64" s="926" t="str">
        <f>+NOMINA!O57</f>
        <v>Asistente Administrativo III</v>
      </c>
      <c r="E64" s="929">
        <f>+NOMINA!H57</f>
        <v>37622</v>
      </c>
      <c r="F64" s="930">
        <f>+NOMINA!BT57</f>
        <v>7.18</v>
      </c>
      <c r="G64" s="599"/>
      <c r="H64" s="600"/>
      <c r="I64" s="600"/>
      <c r="J64" s="600"/>
      <c r="K64" s="600"/>
    </row>
    <row r="65" spans="1:11" ht="15.75" customHeight="1" x14ac:dyDescent="0.25">
      <c r="A65" s="928">
        <f t="shared" si="1"/>
        <v>15</v>
      </c>
      <c r="B65" s="926">
        <f>+NOMINA!C58</f>
        <v>9179981</v>
      </c>
      <c r="C65" s="926" t="str">
        <f>+NOMINA!D58</f>
        <v>Manzanilla Molina Alfredo Jose</v>
      </c>
      <c r="D65" s="926" t="str">
        <f>+NOMINA!O58</f>
        <v>Instructor Agropecuario III</v>
      </c>
      <c r="E65" s="929">
        <f>+NOMINA!H58</f>
        <v>45597</v>
      </c>
      <c r="F65" s="930">
        <f>+NOMINA!BT58</f>
        <v>8.68</v>
      </c>
      <c r="G65" s="599"/>
      <c r="H65" s="600"/>
      <c r="I65" s="600"/>
      <c r="J65" s="600"/>
      <c r="K65" s="600"/>
    </row>
    <row r="66" spans="1:11" ht="15.75" customHeight="1" x14ac:dyDescent="0.25">
      <c r="A66" s="928">
        <f t="shared" si="1"/>
        <v>16</v>
      </c>
      <c r="B66" s="926">
        <f>+NOMINA!C59</f>
        <v>9311822</v>
      </c>
      <c r="C66" s="926" t="str">
        <f>+NOMINA!D59</f>
        <v>Rojo Sanchez Alexis Omar</v>
      </c>
      <c r="D66" s="926" t="str">
        <f>+NOMINA!O59</f>
        <v>Asistente Administrativo III</v>
      </c>
      <c r="E66" s="929">
        <f>+NOMINA!H59</f>
        <v>37662</v>
      </c>
      <c r="F66" s="930">
        <f>+NOMINA!BT59</f>
        <v>0</v>
      </c>
      <c r="G66" s="599"/>
      <c r="H66" s="600"/>
      <c r="I66" s="600"/>
      <c r="J66" s="600"/>
      <c r="K66" s="600"/>
    </row>
    <row r="67" spans="1:11" ht="15.75" customHeight="1" x14ac:dyDescent="0.25">
      <c r="A67" s="928">
        <f t="shared" si="1"/>
        <v>17</v>
      </c>
      <c r="B67" s="926">
        <f>+NOMINA!C60</f>
        <v>9315117</v>
      </c>
      <c r="C67" s="926" t="str">
        <f>+NOMINA!D60</f>
        <v>Palma de Briceño Sonia Josefina</v>
      </c>
      <c r="D67" s="926" t="str">
        <f>+NOMINA!O60</f>
        <v>Analista de Personal V</v>
      </c>
      <c r="E67" s="929">
        <f>+NOMINA!H60</f>
        <v>38412</v>
      </c>
      <c r="F67" s="930">
        <f>+NOMINA!BT60</f>
        <v>12.3</v>
      </c>
      <c r="G67" s="599"/>
      <c r="H67" s="600"/>
      <c r="I67" s="600"/>
      <c r="J67" s="600"/>
      <c r="K67" s="600"/>
    </row>
    <row r="68" spans="1:11" ht="15.75" customHeight="1" x14ac:dyDescent="0.25">
      <c r="A68" s="928">
        <f t="shared" si="1"/>
        <v>18</v>
      </c>
      <c r="B68" s="926">
        <f>+NOMINA!C61</f>
        <v>9315325</v>
      </c>
      <c r="C68" s="926" t="str">
        <f>+NOMINA!D61</f>
        <v>Gonzalez Hernandez Marianela</v>
      </c>
      <c r="D68" s="926" t="str">
        <f>+NOMINA!O61</f>
        <v>Asistente Administrativo IV</v>
      </c>
      <c r="E68" s="929">
        <f>+NOMINA!H61</f>
        <v>39678</v>
      </c>
      <c r="F68" s="930">
        <f>+NOMINA!BT61</f>
        <v>9.92</v>
      </c>
      <c r="G68" s="599"/>
      <c r="H68" s="600"/>
      <c r="I68" s="600"/>
      <c r="J68" s="600"/>
      <c r="K68" s="600"/>
    </row>
    <row r="69" spans="1:11" ht="15.75" customHeight="1" x14ac:dyDescent="0.25">
      <c r="A69" s="928">
        <f t="shared" si="1"/>
        <v>19</v>
      </c>
      <c r="B69" s="926">
        <f>+NOMINA!C62</f>
        <v>9316224</v>
      </c>
      <c r="C69" s="926" t="str">
        <f>+NOMINA!D62</f>
        <v>Sanchez Barrios Magalis del Carmen</v>
      </c>
      <c r="D69" s="926" t="str">
        <f>+NOMINA!O62</f>
        <v>Tecnico Superior en Trabajo Social II</v>
      </c>
      <c r="E69" s="929">
        <f>+NOMINA!H62</f>
        <v>44317</v>
      </c>
      <c r="F69" s="930">
        <f>+NOMINA!BT62</f>
        <v>8.58</v>
      </c>
      <c r="G69" s="599"/>
      <c r="H69" s="600"/>
      <c r="I69" s="600"/>
      <c r="J69" s="600"/>
      <c r="K69" s="600"/>
    </row>
    <row r="70" spans="1:11" ht="15.75" customHeight="1" x14ac:dyDescent="0.25">
      <c r="A70" s="928">
        <f t="shared" si="1"/>
        <v>20</v>
      </c>
      <c r="B70" s="926">
        <f>+NOMINA!C63</f>
        <v>9323927</v>
      </c>
      <c r="C70" s="926" t="str">
        <f>+NOMINA!D63</f>
        <v>Cardozo Garcia Jorge Antonio</v>
      </c>
      <c r="D70" s="926" t="str">
        <f>+NOMINA!O63</f>
        <v>Guia de Centro II</v>
      </c>
      <c r="E70" s="929">
        <f>+NOMINA!H63</f>
        <v>35704</v>
      </c>
      <c r="F70" s="930">
        <f>+NOMINA!BT63</f>
        <v>7.2</v>
      </c>
      <c r="G70" s="599"/>
      <c r="H70" s="600"/>
      <c r="I70" s="600"/>
      <c r="J70" s="600"/>
      <c r="K70" s="600"/>
    </row>
    <row r="71" spans="1:11" ht="15.75" customHeight="1" x14ac:dyDescent="0.25">
      <c r="A71" s="928">
        <f t="shared" si="1"/>
        <v>21</v>
      </c>
      <c r="B71" s="926">
        <f>+NOMINA!C64</f>
        <v>9327253</v>
      </c>
      <c r="C71" s="926" t="str">
        <f>+NOMINA!D64</f>
        <v>Garcia Araujo Jose Domingo</v>
      </c>
      <c r="D71" s="926" t="str">
        <f>+NOMINA!O64</f>
        <v>Analista de Presupuesto III</v>
      </c>
      <c r="E71" s="929">
        <f>+NOMINA!H64</f>
        <v>38930</v>
      </c>
      <c r="F71" s="930">
        <f>+NOMINA!BT64</f>
        <v>9.74</v>
      </c>
      <c r="G71" s="599"/>
      <c r="H71" s="600"/>
      <c r="I71" s="600"/>
      <c r="J71" s="600"/>
      <c r="K71" s="600"/>
    </row>
    <row r="72" spans="1:11" ht="15.75" customHeight="1" x14ac:dyDescent="0.25">
      <c r="A72" s="928">
        <f t="shared" si="1"/>
        <v>22</v>
      </c>
      <c r="B72" s="926">
        <f>+NOMINA!C65</f>
        <v>9328157</v>
      </c>
      <c r="C72" s="926" t="str">
        <f>+NOMINA!D65</f>
        <v>Perez Salas Olga Margarita</v>
      </c>
      <c r="D72" s="926" t="str">
        <f>+NOMINA!O65</f>
        <v>Guia de Centro II</v>
      </c>
      <c r="E72" s="929">
        <f>+NOMINA!H65</f>
        <v>41153</v>
      </c>
      <c r="F72" s="930">
        <f>+NOMINA!BT65</f>
        <v>6.6</v>
      </c>
      <c r="G72" s="599"/>
      <c r="H72" s="600"/>
      <c r="I72" s="600"/>
      <c r="J72" s="600"/>
      <c r="K72" s="600"/>
    </row>
    <row r="73" spans="1:11" ht="15.75" customHeight="1" x14ac:dyDescent="0.25">
      <c r="A73" s="928">
        <f t="shared" si="1"/>
        <v>23</v>
      </c>
      <c r="B73" s="926">
        <f>+NOMINA!C66</f>
        <v>9328224</v>
      </c>
      <c r="C73" s="926" t="str">
        <f>+NOMINA!D66</f>
        <v>Abreu Araujo Omar Antonio</v>
      </c>
      <c r="D73" s="926" t="str">
        <f>+NOMINA!O66</f>
        <v>Tecnico Agropecuario III</v>
      </c>
      <c r="E73" s="929">
        <f>+NOMINA!H66</f>
        <v>39356</v>
      </c>
      <c r="F73" s="930">
        <f>+NOMINA!BT66</f>
        <v>8.2799999999999994</v>
      </c>
      <c r="G73" s="599"/>
      <c r="H73" s="600"/>
      <c r="I73" s="600"/>
      <c r="J73" s="600"/>
      <c r="K73" s="600"/>
    </row>
    <row r="74" spans="1:11" ht="15.75" customHeight="1" x14ac:dyDescent="0.25">
      <c r="A74" s="928">
        <f t="shared" si="1"/>
        <v>24</v>
      </c>
      <c r="B74" s="926">
        <f>+NOMINA!C67</f>
        <v>9495661</v>
      </c>
      <c r="C74" s="926" t="str">
        <f>+NOMINA!D67</f>
        <v>Aguial Carrillo Gregoria Coromoto</v>
      </c>
      <c r="D74" s="926" t="str">
        <f>+NOMINA!O67</f>
        <v>Jefe de Centro</v>
      </c>
      <c r="E74" s="929">
        <f>+NOMINA!H67</f>
        <v>39692</v>
      </c>
      <c r="F74" s="930">
        <f>+NOMINA!BT67</f>
        <v>0</v>
      </c>
      <c r="G74" s="599"/>
      <c r="H74" s="600"/>
      <c r="I74" s="600"/>
      <c r="J74" s="600"/>
      <c r="K74" s="600"/>
    </row>
    <row r="75" spans="1:11" ht="15.75" customHeight="1" x14ac:dyDescent="0.25">
      <c r="A75" s="928">
        <f t="shared" si="1"/>
        <v>25</v>
      </c>
      <c r="B75" s="926">
        <f>+NOMINA!C68</f>
        <v>9496860</v>
      </c>
      <c r="C75" s="926" t="str">
        <f>+NOMINA!D68</f>
        <v>Hernandez Valero Jose Alfredo</v>
      </c>
      <c r="D75" s="926" t="str">
        <f>+NOMINA!O68</f>
        <v>AUDITOR III</v>
      </c>
      <c r="E75" s="929">
        <f>+NOMINA!H68</f>
        <v>43877</v>
      </c>
      <c r="F75" s="930">
        <f>+NOMINA!BT68</f>
        <v>11.88</v>
      </c>
      <c r="G75" s="599"/>
      <c r="H75" s="600"/>
      <c r="I75" s="600"/>
      <c r="J75" s="600"/>
      <c r="K75" s="600"/>
    </row>
    <row r="76" spans="1:11" ht="15.75" customHeight="1" x14ac:dyDescent="0.25">
      <c r="A76" s="928">
        <f t="shared" si="1"/>
        <v>26</v>
      </c>
      <c r="B76" s="926">
        <f>+NOMINA!C69</f>
        <v>9497151</v>
      </c>
      <c r="C76" s="926" t="str">
        <f>+NOMINA!D69</f>
        <v>Mendoza Vieras Pedro Luis</v>
      </c>
      <c r="D76" s="926" t="str">
        <f>+NOMINA!O69</f>
        <v>Ingeniero Industrial II</v>
      </c>
      <c r="E76" s="929">
        <f>+NOMINA!H69</f>
        <v>36770</v>
      </c>
      <c r="F76" s="930">
        <f>+NOMINA!BT69</f>
        <v>12.58</v>
      </c>
      <c r="G76" s="599"/>
      <c r="H76" s="600"/>
      <c r="I76" s="600"/>
      <c r="J76" s="600"/>
      <c r="K76" s="600"/>
    </row>
    <row r="77" spans="1:11" ht="15.75" customHeight="1" x14ac:dyDescent="0.25">
      <c r="A77" s="928">
        <f t="shared" si="1"/>
        <v>27</v>
      </c>
      <c r="B77" s="926">
        <f>+NOMINA!C70</f>
        <v>9497349</v>
      </c>
      <c r="C77" s="926" t="str">
        <f>+NOMINA!D70</f>
        <v>Cano Blanco Juan Carlos</v>
      </c>
      <c r="D77" s="926" t="str">
        <f>+NOMINA!O70</f>
        <v>Guia de Centro I</v>
      </c>
      <c r="E77" s="929">
        <f>+NOMINA!H70</f>
        <v>45809</v>
      </c>
      <c r="F77" s="930">
        <f>+NOMINA!BT70</f>
        <v>6.76</v>
      </c>
      <c r="G77" s="599"/>
      <c r="H77" s="600"/>
      <c r="I77" s="600"/>
      <c r="J77" s="600"/>
      <c r="K77" s="600"/>
    </row>
    <row r="78" spans="1:11" ht="15.75" customHeight="1" x14ac:dyDescent="0.25">
      <c r="A78" s="928">
        <f t="shared" si="1"/>
        <v>28</v>
      </c>
      <c r="B78" s="926">
        <f>+NOMINA!C71</f>
        <v>10033119</v>
      </c>
      <c r="C78" s="926" t="str">
        <f>+NOMINA!D71</f>
        <v>Artigas de Hernandez Ana Maria</v>
      </c>
      <c r="D78" s="926" t="str">
        <f>+NOMINA!O71</f>
        <v>Tutor Facilitador III</v>
      </c>
      <c r="E78" s="929">
        <f>+NOMINA!H71</f>
        <v>43359</v>
      </c>
      <c r="F78" s="930">
        <f>+NOMINA!BT71</f>
        <v>10.74</v>
      </c>
      <c r="G78" s="599"/>
      <c r="H78" s="600"/>
      <c r="I78" s="600"/>
      <c r="J78" s="600"/>
      <c r="K78" s="600"/>
    </row>
    <row r="79" spans="1:11" ht="15.75" customHeight="1" x14ac:dyDescent="0.25">
      <c r="A79" s="928">
        <f t="shared" si="1"/>
        <v>29</v>
      </c>
      <c r="B79" s="926">
        <f>+NOMINA!C72</f>
        <v>10035540</v>
      </c>
      <c r="C79" s="926" t="str">
        <f>+NOMINA!D72</f>
        <v>Linares Linares Emma Teresa</v>
      </c>
      <c r="D79" s="926" t="str">
        <f>+NOMINA!O72</f>
        <v>Tecnico Superior en Trabajo Social II</v>
      </c>
      <c r="E79" s="929">
        <f>+NOMINA!H72</f>
        <v>43236</v>
      </c>
      <c r="F79" s="930">
        <f>+NOMINA!BT72</f>
        <v>9.18</v>
      </c>
      <c r="G79" s="599"/>
      <c r="H79" s="600"/>
      <c r="I79" s="600"/>
      <c r="J79" s="600"/>
      <c r="K79" s="600"/>
    </row>
    <row r="80" spans="1:11" ht="15.75" customHeight="1" x14ac:dyDescent="0.25">
      <c r="A80" s="928">
        <f t="shared" si="1"/>
        <v>30</v>
      </c>
      <c r="B80" s="926">
        <f>+NOMINA!C73</f>
        <v>10037054</v>
      </c>
      <c r="C80" s="926" t="str">
        <f>+NOMINA!D73</f>
        <v>Aguial Carrillo Deris Margarita</v>
      </c>
      <c r="D80" s="926" t="str">
        <f>+NOMINA!O73</f>
        <v>Guia de Centro II</v>
      </c>
      <c r="E80" s="929">
        <f>+NOMINA!H73</f>
        <v>39820</v>
      </c>
      <c r="F80" s="930">
        <f>+NOMINA!BT73</f>
        <v>8.86</v>
      </c>
      <c r="G80" s="599"/>
      <c r="H80" s="600"/>
      <c r="I80" s="600"/>
      <c r="J80" s="600"/>
      <c r="K80" s="600"/>
    </row>
    <row r="81" spans="1:11" ht="15.75" customHeight="1" x14ac:dyDescent="0.25">
      <c r="A81" s="928">
        <f t="shared" si="1"/>
        <v>31</v>
      </c>
      <c r="B81" s="926">
        <f>+NOMINA!C74</f>
        <v>10175616</v>
      </c>
      <c r="C81" s="926" t="str">
        <f>+NOMINA!D74</f>
        <v>Carrillo Prato Blanca Isabel</v>
      </c>
      <c r="D81" s="926" t="str">
        <f>+NOMINA!O74</f>
        <v>Medico jefe I</v>
      </c>
      <c r="E81" s="929">
        <f>+NOMINA!H74</f>
        <v>44228</v>
      </c>
      <c r="F81" s="930">
        <f>+NOMINA!BT74</f>
        <v>11.68</v>
      </c>
      <c r="G81" s="599"/>
      <c r="H81" s="600"/>
      <c r="I81" s="600"/>
      <c r="J81" s="600"/>
      <c r="K81" s="600"/>
    </row>
    <row r="82" spans="1:11" ht="15.75" customHeight="1" x14ac:dyDescent="0.25">
      <c r="A82" s="928">
        <f t="shared" si="1"/>
        <v>32</v>
      </c>
      <c r="B82" s="926">
        <f>+NOMINA!C75</f>
        <v>10257016</v>
      </c>
      <c r="C82" s="926" t="str">
        <f>+NOMINA!D75</f>
        <v>Torres Dulma Ramona</v>
      </c>
      <c r="D82" s="926" t="str">
        <f>+NOMINA!O75</f>
        <v>Tutor Facilitador III</v>
      </c>
      <c r="E82" s="929">
        <f>+NOMINA!H75</f>
        <v>35947</v>
      </c>
      <c r="F82" s="930">
        <f>+NOMINA!BT75</f>
        <v>12.58</v>
      </c>
      <c r="G82" s="599"/>
      <c r="H82" s="600"/>
      <c r="I82" s="600"/>
      <c r="J82" s="600"/>
      <c r="K82" s="600"/>
    </row>
    <row r="83" spans="1:11" ht="15.75" customHeight="1" x14ac:dyDescent="0.25">
      <c r="A83" s="928">
        <f t="shared" si="1"/>
        <v>33</v>
      </c>
      <c r="B83" s="926">
        <f>+NOMINA!C76</f>
        <v>10315803</v>
      </c>
      <c r="C83" s="926" t="str">
        <f>+NOMINA!D76</f>
        <v>Frias Jacson Daniel</v>
      </c>
      <c r="D83" s="926" t="str">
        <f>+NOMINA!O76</f>
        <v>Guia de Centro II</v>
      </c>
      <c r="E83" s="929">
        <f>+NOMINA!H76</f>
        <v>35415</v>
      </c>
      <c r="F83" s="930">
        <f>+NOMINA!BT76</f>
        <v>9.36</v>
      </c>
      <c r="G83" s="599"/>
      <c r="H83" s="600"/>
      <c r="I83" s="600"/>
      <c r="J83" s="600"/>
      <c r="K83" s="600"/>
    </row>
    <row r="84" spans="1:11" ht="15.75" customHeight="1" x14ac:dyDescent="0.25">
      <c r="A84" s="928">
        <f t="shared" si="1"/>
        <v>34</v>
      </c>
      <c r="B84" s="926">
        <f>+NOMINA!C77</f>
        <v>10319457</v>
      </c>
      <c r="C84" s="926" t="str">
        <f>+NOMINA!D77</f>
        <v>Marquez Marquez Maribel del Valle</v>
      </c>
      <c r="D84" s="926" t="str">
        <f>+NOMINA!O77</f>
        <v>Secretario Ejecutivo III</v>
      </c>
      <c r="E84" s="929">
        <f>+NOMINA!H77</f>
        <v>38831</v>
      </c>
      <c r="F84" s="930">
        <f>+NOMINA!BT77</f>
        <v>7.26</v>
      </c>
      <c r="G84" s="599"/>
      <c r="H84" s="600"/>
      <c r="I84" s="600"/>
      <c r="J84" s="600"/>
      <c r="K84" s="600"/>
    </row>
    <row r="85" spans="1:11" ht="15.75" customHeight="1" x14ac:dyDescent="0.25">
      <c r="A85" s="928">
        <f t="shared" si="1"/>
        <v>35</v>
      </c>
      <c r="B85" s="926">
        <f>+NOMINA!C78</f>
        <v>10396379</v>
      </c>
      <c r="C85" s="926" t="str">
        <f>+NOMINA!D78</f>
        <v>Ruiz Luis Alfonzo</v>
      </c>
      <c r="D85" s="926" t="str">
        <f>+NOMINA!O78</f>
        <v>ENTRENADOR DEPORTIVO II</v>
      </c>
      <c r="E85" s="929">
        <f>+NOMINA!H78</f>
        <v>44743</v>
      </c>
      <c r="F85" s="930">
        <f>+NOMINA!BT78</f>
        <v>5.7</v>
      </c>
      <c r="G85" s="599"/>
      <c r="H85" s="600"/>
      <c r="I85" s="600"/>
      <c r="J85" s="600"/>
      <c r="K85" s="600"/>
    </row>
    <row r="86" spans="1:11" ht="15.75" customHeight="1" x14ac:dyDescent="0.25">
      <c r="A86" s="928">
        <f t="shared" si="1"/>
        <v>36</v>
      </c>
      <c r="B86" s="926">
        <f>+NOMINA!C79</f>
        <v>10398694</v>
      </c>
      <c r="C86" s="926" t="str">
        <f>+NOMINA!D79</f>
        <v>Santana Briceño Jose Gregorio</v>
      </c>
      <c r="D86" s="926" t="str">
        <f>+NOMINA!O79</f>
        <v>Guia de Centro I</v>
      </c>
      <c r="E86" s="929">
        <f>+NOMINA!H79</f>
        <v>44743</v>
      </c>
      <c r="F86" s="930">
        <f>+NOMINA!BT79</f>
        <v>13.3</v>
      </c>
      <c r="G86" s="599"/>
      <c r="H86" s="600"/>
      <c r="I86" s="600"/>
      <c r="J86" s="600"/>
      <c r="K86" s="600"/>
    </row>
    <row r="87" spans="1:11" ht="15.75" customHeight="1" x14ac:dyDescent="0.25">
      <c r="A87" s="928">
        <f t="shared" si="1"/>
        <v>37</v>
      </c>
      <c r="B87" s="926">
        <f>+NOMINA!C80</f>
        <v>10399064</v>
      </c>
      <c r="C87" s="926" t="str">
        <f>+NOMINA!D80</f>
        <v>Perdomo Perdomo Angela Aurora</v>
      </c>
      <c r="D87" s="926" t="str">
        <f>+NOMINA!O80</f>
        <v>Guia de Centro II</v>
      </c>
      <c r="E87" s="929">
        <f>+NOMINA!H80</f>
        <v>39328</v>
      </c>
      <c r="F87" s="930">
        <f>+NOMINA!BT80</f>
        <v>12.8</v>
      </c>
      <c r="G87" s="599"/>
      <c r="H87" s="600"/>
      <c r="I87" s="600"/>
      <c r="J87" s="600"/>
      <c r="K87" s="600"/>
    </row>
    <row r="88" spans="1:11" ht="15.75" customHeight="1" x14ac:dyDescent="0.25">
      <c r="A88" s="928">
        <f t="shared" si="1"/>
        <v>38</v>
      </c>
      <c r="B88" s="926">
        <f>+NOMINA!C81</f>
        <v>10400214</v>
      </c>
      <c r="C88" s="926" t="str">
        <f>+NOMINA!D81</f>
        <v>Bastidas Yanitza del Valle</v>
      </c>
      <c r="D88" s="926" t="str">
        <f>+NOMINA!O81</f>
        <v>Guia de Centro II</v>
      </c>
      <c r="E88" s="929">
        <f>+NOMINA!H81</f>
        <v>41153</v>
      </c>
      <c r="F88" s="930">
        <f>+NOMINA!BT81</f>
        <v>12.14</v>
      </c>
      <c r="G88" s="599"/>
      <c r="H88" s="600"/>
      <c r="I88" s="600"/>
      <c r="J88" s="600"/>
      <c r="K88" s="600"/>
    </row>
    <row r="89" spans="1:11" ht="15.75" customHeight="1" x14ac:dyDescent="0.25">
      <c r="A89" s="928">
        <f t="shared" si="1"/>
        <v>39</v>
      </c>
      <c r="B89" s="926">
        <f>+NOMINA!C82</f>
        <v>10400365</v>
      </c>
      <c r="C89" s="926" t="str">
        <f>+NOMINA!D82</f>
        <v>Briceño Ruiz Sara Josefina</v>
      </c>
      <c r="D89" s="926" t="str">
        <f>+NOMINA!O82</f>
        <v>Supervisor de Servicios Generales IV</v>
      </c>
      <c r="E89" s="929">
        <f>+NOMINA!H82</f>
        <v>39328</v>
      </c>
      <c r="F89" s="930">
        <f>+NOMINA!BT82</f>
        <v>9.84</v>
      </c>
      <c r="G89" s="599"/>
      <c r="H89" s="600"/>
      <c r="I89" s="600"/>
      <c r="J89" s="600"/>
      <c r="K89" s="600"/>
    </row>
    <row r="90" spans="1:11" ht="15.75" customHeight="1" x14ac:dyDescent="0.25">
      <c r="A90" s="928">
        <f t="shared" si="1"/>
        <v>40</v>
      </c>
      <c r="B90" s="926">
        <f>+NOMINA!C83</f>
        <v>10400876</v>
      </c>
      <c r="C90" s="926" t="str">
        <f>+NOMINA!D83</f>
        <v>Ramirez Vergara Graciela de Jesus</v>
      </c>
      <c r="D90" s="926" t="str">
        <f>+NOMINA!O83</f>
        <v>Analista de Procesamiento de Datos I</v>
      </c>
      <c r="E90" s="929">
        <f>+NOMINA!H83</f>
        <v>43556</v>
      </c>
      <c r="F90" s="930">
        <f>+NOMINA!BT83</f>
        <v>9.6</v>
      </c>
      <c r="G90" s="599"/>
      <c r="H90" s="600"/>
      <c r="I90" s="600"/>
      <c r="J90" s="600"/>
      <c r="K90" s="600"/>
    </row>
    <row r="91" spans="1:11" ht="15.75" customHeight="1" x14ac:dyDescent="0.25">
      <c r="A91" s="928">
        <f t="shared" si="1"/>
        <v>41</v>
      </c>
      <c r="B91" s="926">
        <f>+NOMINA!C84</f>
        <v>10404528</v>
      </c>
      <c r="C91" s="926" t="str">
        <f>+NOMINA!D84</f>
        <v>Perez Castellano Javier Horacio</v>
      </c>
      <c r="D91" s="926" t="str">
        <f>+NOMINA!O84</f>
        <v>Administrador IV</v>
      </c>
      <c r="E91" s="929">
        <f>+NOMINA!H84</f>
        <v>37622</v>
      </c>
      <c r="F91" s="930">
        <f>+NOMINA!BT84</f>
        <v>0</v>
      </c>
      <c r="G91" s="599"/>
      <c r="H91" s="600"/>
      <c r="I91" s="600"/>
      <c r="J91" s="600"/>
      <c r="K91" s="600"/>
    </row>
    <row r="92" spans="1:11" ht="15.75" customHeight="1" x14ac:dyDescent="0.25">
      <c r="A92" s="928">
        <f t="shared" si="1"/>
        <v>42</v>
      </c>
      <c r="B92" s="926">
        <f>+NOMINA!C85</f>
        <v>10906110</v>
      </c>
      <c r="C92" s="926" t="str">
        <f>+NOMINA!D85</f>
        <v>Linares Prato Yraima Gregoria</v>
      </c>
      <c r="D92" s="926" t="str">
        <f>+NOMINA!O85</f>
        <v>Guia de Centro I</v>
      </c>
      <c r="E92" s="929">
        <f>+NOMINA!H85</f>
        <v>45292</v>
      </c>
      <c r="F92" s="930">
        <f>+NOMINA!BT85</f>
        <v>6.8</v>
      </c>
      <c r="G92" s="599"/>
      <c r="H92" s="600"/>
      <c r="I92" s="600"/>
      <c r="J92" s="600"/>
      <c r="K92" s="600"/>
    </row>
    <row r="93" spans="1:11" ht="15.75" customHeight="1" x14ac:dyDescent="0.25">
      <c r="A93" s="928">
        <f t="shared" si="1"/>
        <v>43</v>
      </c>
      <c r="B93" s="926">
        <f>+NOMINA!C86</f>
        <v>10906923</v>
      </c>
      <c r="C93" s="926" t="str">
        <f>+NOMINA!D86</f>
        <v>Cruz de Rodriguez Yanet Coromoto</v>
      </c>
      <c r="D93" s="926" t="str">
        <f>+NOMINA!O86</f>
        <v>Guia de Centro I</v>
      </c>
      <c r="E93" s="929">
        <f>+NOMINA!H86</f>
        <v>44636</v>
      </c>
      <c r="F93" s="930">
        <f>+NOMINA!BT86</f>
        <v>8.84</v>
      </c>
      <c r="G93" s="599"/>
      <c r="H93" s="600"/>
      <c r="I93" s="600"/>
      <c r="J93" s="600"/>
      <c r="K93" s="600"/>
    </row>
    <row r="94" spans="1:11" ht="15.75" customHeight="1" x14ac:dyDescent="0.25">
      <c r="A94" s="928">
        <f t="shared" si="1"/>
        <v>44</v>
      </c>
      <c r="B94" s="926">
        <f>+NOMINA!C87</f>
        <v>10908510</v>
      </c>
      <c r="C94" s="926" t="str">
        <f>+NOMINA!D87</f>
        <v>Castro de Vielma Yanira Rosa</v>
      </c>
      <c r="D94" s="926" t="str">
        <f>+NOMINA!O87</f>
        <v>Jefe de Centro</v>
      </c>
      <c r="E94" s="929">
        <f>+NOMINA!H87</f>
        <v>39874</v>
      </c>
      <c r="F94" s="930">
        <f>+NOMINA!BT87</f>
        <v>12.54</v>
      </c>
      <c r="G94" s="599"/>
      <c r="H94" s="600"/>
      <c r="I94" s="600"/>
      <c r="J94" s="600"/>
      <c r="K94" s="600"/>
    </row>
    <row r="95" spans="1:11" ht="15.75" customHeight="1" x14ac:dyDescent="0.25">
      <c r="A95" s="928">
        <f t="shared" si="1"/>
        <v>45</v>
      </c>
      <c r="B95" s="926">
        <f>+NOMINA!C88</f>
        <v>10909245</v>
      </c>
      <c r="C95" s="926" t="str">
        <f>+NOMINA!D88</f>
        <v>Delduca Moreno Luisa</v>
      </c>
      <c r="D95" s="926" t="str">
        <f>+NOMINA!O88</f>
        <v>Guia de Centro II</v>
      </c>
      <c r="E95" s="929">
        <f>+NOMINA!H88</f>
        <v>36054</v>
      </c>
      <c r="F95" s="930">
        <f>+NOMINA!BT88</f>
        <v>13.3</v>
      </c>
      <c r="G95" s="599"/>
      <c r="H95" s="600"/>
      <c r="I95" s="600"/>
      <c r="J95" s="600"/>
      <c r="K95" s="600"/>
    </row>
    <row r="96" spans="1:11" ht="15.75" customHeight="1" x14ac:dyDescent="0.25">
      <c r="A96" s="928">
        <f t="shared" si="1"/>
        <v>46</v>
      </c>
      <c r="B96" s="926">
        <f>+NOMINA!C89</f>
        <v>10910698</v>
      </c>
      <c r="C96" s="926" t="str">
        <f>+NOMINA!D89</f>
        <v>Rangel Briceño Marcial Segundo</v>
      </c>
      <c r="D96" s="926" t="str">
        <f>+NOMINA!O89</f>
        <v>Asistente Administrativo II</v>
      </c>
      <c r="E96" s="929">
        <f>+NOMINA!H89</f>
        <v>43891</v>
      </c>
      <c r="F96" s="930">
        <f>+NOMINA!BT89</f>
        <v>5.76</v>
      </c>
      <c r="G96" s="599"/>
      <c r="H96" s="600"/>
      <c r="I96" s="600"/>
      <c r="J96" s="600"/>
      <c r="K96" s="600"/>
    </row>
    <row r="97" spans="1:11" ht="15.75" customHeight="1" x14ac:dyDescent="0.25">
      <c r="A97" s="928">
        <f t="shared" si="1"/>
        <v>47</v>
      </c>
      <c r="B97" s="926">
        <f>+NOMINA!C90</f>
        <v>10912595</v>
      </c>
      <c r="C97" s="926" t="str">
        <f>+NOMINA!D90</f>
        <v>Delfin Bustos Jose Hercilio</v>
      </c>
      <c r="D97" s="926" t="str">
        <f>+NOMINA!O90</f>
        <v>Guia de Centro II</v>
      </c>
      <c r="E97" s="929">
        <f>+NOMINA!H90</f>
        <v>36039</v>
      </c>
      <c r="F97" s="930">
        <f>+NOMINA!BT90</f>
        <v>0</v>
      </c>
      <c r="G97" s="599"/>
      <c r="H97" s="600"/>
      <c r="I97" s="600"/>
      <c r="J97" s="600"/>
      <c r="K97" s="600"/>
    </row>
    <row r="98" spans="1:11" ht="15.75" customHeight="1" x14ac:dyDescent="0.25">
      <c r="A98" s="928">
        <f t="shared" si="1"/>
        <v>48</v>
      </c>
      <c r="B98" s="926">
        <f>+NOMINA!C91</f>
        <v>10913178</v>
      </c>
      <c r="C98" s="926" t="str">
        <f>+NOMINA!D91</f>
        <v>Garcia Moreno Iris Josefina</v>
      </c>
      <c r="D98" s="926" t="str">
        <f>+NOMINA!O91</f>
        <v>Asistente de Servicio Social</v>
      </c>
      <c r="E98" s="929">
        <f>+NOMINA!H91</f>
        <v>44805</v>
      </c>
      <c r="F98" s="930">
        <f>+NOMINA!BT91</f>
        <v>6.56</v>
      </c>
      <c r="G98" s="599"/>
      <c r="H98" s="600"/>
      <c r="I98" s="600"/>
      <c r="J98" s="600"/>
      <c r="K98" s="600"/>
    </row>
    <row r="99" spans="1:11" ht="15.75" customHeight="1" x14ac:dyDescent="0.25">
      <c r="A99" s="928">
        <f t="shared" si="1"/>
        <v>49</v>
      </c>
      <c r="B99" s="926">
        <f>+NOMINA!C92</f>
        <v>10913637</v>
      </c>
      <c r="C99" s="926" t="str">
        <f>+NOMINA!D92</f>
        <v>Angarita Hernandez Ana del Carmen</v>
      </c>
      <c r="D99" s="926" t="str">
        <f>+NOMINA!O92</f>
        <v>Guia de Centro II</v>
      </c>
      <c r="E99" s="929">
        <f>+NOMINA!H92</f>
        <v>40664</v>
      </c>
      <c r="F99" s="930">
        <f>+NOMINA!BT92</f>
        <v>14.94</v>
      </c>
      <c r="G99" s="599"/>
      <c r="H99" s="600"/>
      <c r="I99" s="600"/>
      <c r="J99" s="600"/>
      <c r="K99" s="600"/>
    </row>
    <row r="100" spans="1:11" ht="15.75" customHeight="1" x14ac:dyDescent="0.25">
      <c r="A100" s="928">
        <f t="shared" si="1"/>
        <v>50</v>
      </c>
      <c r="B100" s="926">
        <f>+NOMINA!C93</f>
        <v>10915223</v>
      </c>
      <c r="C100" s="926" t="str">
        <f>+NOMINA!D93</f>
        <v>Contreras Rojo Gerardo Alexander</v>
      </c>
      <c r="D100" s="926" t="str">
        <f>+NOMINA!O93</f>
        <v>Tutor Facilitador III</v>
      </c>
      <c r="E100" s="929">
        <f>+NOMINA!H93</f>
        <v>35339</v>
      </c>
      <c r="F100" s="930">
        <f>+NOMINA!BT93</f>
        <v>14.6</v>
      </c>
      <c r="G100" s="599"/>
      <c r="H100" s="600"/>
      <c r="I100" s="600"/>
      <c r="J100" s="600"/>
      <c r="K100" s="600"/>
    </row>
    <row r="101" spans="1:11" ht="15.75" customHeight="1" x14ac:dyDescent="0.25">
      <c r="A101" s="928">
        <f t="shared" si="1"/>
        <v>51</v>
      </c>
      <c r="B101" s="926">
        <f>+NOMINA!C94</f>
        <v>10915384</v>
      </c>
      <c r="C101" s="926" t="str">
        <f>+NOMINA!D94</f>
        <v>Rojas Hernandez Morela del Carmen</v>
      </c>
      <c r="D101" s="926" t="str">
        <f>+NOMINA!O94</f>
        <v>Guia de Centro II</v>
      </c>
      <c r="E101" s="929">
        <f>+NOMINA!H94</f>
        <v>43147</v>
      </c>
      <c r="F101" s="930">
        <f>+NOMINA!BT94</f>
        <v>11.46</v>
      </c>
      <c r="G101" s="599"/>
      <c r="H101" s="600"/>
      <c r="I101" s="600"/>
      <c r="J101" s="600"/>
      <c r="K101" s="600"/>
    </row>
    <row r="102" spans="1:11" ht="15.75" customHeight="1" x14ac:dyDescent="0.25">
      <c r="A102" s="928">
        <f t="shared" si="1"/>
        <v>52</v>
      </c>
      <c r="B102" s="926">
        <f>+NOMINA!C95</f>
        <v>10915597</v>
      </c>
      <c r="C102" s="926" t="str">
        <f>+NOMINA!D95</f>
        <v>Carrillo Altuve Maria Mercedes</v>
      </c>
      <c r="D102" s="926" t="str">
        <f>+NOMINA!O95</f>
        <v>Guia de Centro I</v>
      </c>
      <c r="E102" s="929">
        <f>+NOMINA!H95</f>
        <v>44501</v>
      </c>
      <c r="F102" s="930">
        <f>+NOMINA!BT95</f>
        <v>12.94</v>
      </c>
      <c r="G102" s="599"/>
      <c r="H102" s="600"/>
      <c r="I102" s="600"/>
      <c r="J102" s="600"/>
      <c r="K102" s="600"/>
    </row>
    <row r="103" spans="1:11" ht="15.75" customHeight="1" x14ac:dyDescent="0.25">
      <c r="A103" s="928">
        <f t="shared" si="1"/>
        <v>53</v>
      </c>
      <c r="B103" s="926">
        <f>+NOMINA!C96</f>
        <v>11128954</v>
      </c>
      <c r="C103" s="926" t="str">
        <f>+NOMINA!D96</f>
        <v>Soto Lopez Rafael Maria</v>
      </c>
      <c r="D103" s="926" t="str">
        <f>+NOMINA!O96</f>
        <v>Guia de Centro I</v>
      </c>
      <c r="E103" s="929">
        <f>+NOMINA!H96</f>
        <v>45170</v>
      </c>
      <c r="F103" s="930">
        <f>+NOMINA!BT96</f>
        <v>13.7</v>
      </c>
      <c r="G103" s="599"/>
      <c r="H103" s="600"/>
      <c r="I103" s="600"/>
      <c r="J103" s="600"/>
      <c r="K103" s="600"/>
    </row>
    <row r="104" spans="1:11" ht="15.75" customHeight="1" x14ac:dyDescent="0.25">
      <c r="A104" s="928">
        <f t="shared" si="1"/>
        <v>54</v>
      </c>
      <c r="B104" s="926">
        <f>+NOMINA!C97</f>
        <v>11132900</v>
      </c>
      <c r="C104" s="926" t="str">
        <f>+NOMINA!D97</f>
        <v>Morillo Valero Ender Ramon</v>
      </c>
      <c r="D104" s="926" t="str">
        <f>+NOMINA!O97</f>
        <v>Guia de Centro I</v>
      </c>
      <c r="E104" s="929">
        <f>+NOMINA!H97</f>
        <v>44866</v>
      </c>
      <c r="F104" s="930">
        <f>+NOMINA!BT97</f>
        <v>10.16</v>
      </c>
      <c r="G104" s="599"/>
      <c r="H104" s="600"/>
      <c r="I104" s="600"/>
      <c r="J104" s="600"/>
      <c r="K104" s="600"/>
    </row>
    <row r="105" spans="1:11" ht="15.75" customHeight="1" x14ac:dyDescent="0.25">
      <c r="A105" s="928">
        <f t="shared" si="1"/>
        <v>55</v>
      </c>
      <c r="B105" s="926">
        <f>+NOMINA!C98</f>
        <v>11132943</v>
      </c>
      <c r="C105" s="926" t="str">
        <f>+NOMINA!D98</f>
        <v>Materano Delgado Yoleida Josefina</v>
      </c>
      <c r="D105" s="926" t="str">
        <f>+NOMINA!O98</f>
        <v>Guia de Centro II</v>
      </c>
      <c r="E105" s="929">
        <f>+NOMINA!H98</f>
        <v>39738</v>
      </c>
      <c r="F105" s="930">
        <f>+NOMINA!BT98</f>
        <v>6.82</v>
      </c>
      <c r="G105" s="599"/>
      <c r="H105" s="600"/>
      <c r="I105" s="600"/>
      <c r="J105" s="600"/>
      <c r="K105" s="600"/>
    </row>
    <row r="106" spans="1:11" ht="15.75" customHeight="1" x14ac:dyDescent="0.25">
      <c r="A106" s="928">
        <f t="shared" si="1"/>
        <v>56</v>
      </c>
      <c r="B106" s="926">
        <f>+NOMINA!C99</f>
        <v>11132979</v>
      </c>
      <c r="C106" s="926" t="str">
        <f>+NOMINA!D99</f>
        <v>Olivar Santana Maria Valbina</v>
      </c>
      <c r="D106" s="926" t="str">
        <f>+NOMINA!O99</f>
        <v>Guia de Centro II</v>
      </c>
      <c r="E106" s="929">
        <f>+NOMINA!H99</f>
        <v>44348</v>
      </c>
      <c r="F106" s="930">
        <f>+NOMINA!BT99</f>
        <v>15.7</v>
      </c>
      <c r="G106" s="599"/>
      <c r="H106" s="600"/>
      <c r="I106" s="600"/>
      <c r="J106" s="600"/>
      <c r="K106" s="600"/>
    </row>
    <row r="107" spans="1:11" ht="15.75" customHeight="1" x14ac:dyDescent="0.25">
      <c r="A107" s="928">
        <f t="shared" si="1"/>
        <v>57</v>
      </c>
      <c r="B107" s="926">
        <f>+NOMINA!C100</f>
        <v>11257247</v>
      </c>
      <c r="C107" s="926" t="str">
        <f>+NOMINA!D100</f>
        <v>Chacin Sanchez Eduard Fabian</v>
      </c>
      <c r="D107" s="926" t="str">
        <f>+NOMINA!O100</f>
        <v>DELEGADO PRUEBA III</v>
      </c>
      <c r="E107" s="929">
        <f>+NOMINA!H100</f>
        <v>42492</v>
      </c>
      <c r="F107" s="930">
        <f>+NOMINA!BT100</f>
        <v>11.28</v>
      </c>
      <c r="G107" s="599"/>
      <c r="H107" s="600"/>
      <c r="I107" s="600"/>
      <c r="J107" s="600"/>
      <c r="K107" s="600"/>
    </row>
    <row r="108" spans="1:11" ht="15.75" customHeight="1" x14ac:dyDescent="0.25">
      <c r="A108" s="928">
        <f t="shared" si="1"/>
        <v>58</v>
      </c>
      <c r="B108" s="926">
        <f>+NOMINA!C101</f>
        <v>11318142</v>
      </c>
      <c r="C108" s="926" t="str">
        <f>+NOMINA!D101</f>
        <v>Perdomo Rosales Modesto Ramon</v>
      </c>
      <c r="D108" s="926" t="str">
        <f>+NOMINA!O101</f>
        <v>Almacenista II</v>
      </c>
      <c r="E108" s="929">
        <f>+NOMINA!H101</f>
        <v>43983</v>
      </c>
      <c r="F108" s="930">
        <f>+NOMINA!BT101</f>
        <v>5.76</v>
      </c>
      <c r="G108" s="599"/>
      <c r="H108" s="600"/>
      <c r="I108" s="600"/>
      <c r="J108" s="600"/>
      <c r="K108" s="600"/>
    </row>
    <row r="109" spans="1:11" ht="15.75" customHeight="1" x14ac:dyDescent="0.25">
      <c r="A109" s="928">
        <f t="shared" si="1"/>
        <v>59</v>
      </c>
      <c r="B109" s="926">
        <f>+NOMINA!C102</f>
        <v>11318697</v>
      </c>
      <c r="C109" s="926" t="str">
        <f>+NOMINA!D102</f>
        <v>Sardi Hernandez Gladis Josefina</v>
      </c>
      <c r="D109" s="926" t="str">
        <f>+NOMINA!O102</f>
        <v>Asistente Administrativo III</v>
      </c>
      <c r="E109" s="929">
        <f>+NOMINA!H102</f>
        <v>39539</v>
      </c>
      <c r="F109" s="930">
        <f>+NOMINA!BT102</f>
        <v>6.86</v>
      </c>
      <c r="G109" s="599"/>
      <c r="H109" s="600"/>
      <c r="I109" s="600"/>
      <c r="J109" s="600"/>
      <c r="K109" s="600"/>
    </row>
    <row r="110" spans="1:11" ht="15.75" customHeight="1" x14ac:dyDescent="0.25">
      <c r="A110" s="928">
        <f t="shared" si="1"/>
        <v>60</v>
      </c>
      <c r="B110" s="926">
        <f>+NOMINA!C103</f>
        <v>11319154</v>
      </c>
      <c r="C110" s="926" t="str">
        <f>+NOMINA!D103</f>
        <v>Peña Villegas Lisette Carolina</v>
      </c>
      <c r="D110" s="926" t="str">
        <f>+NOMINA!O103</f>
        <v>Guia de Centro II</v>
      </c>
      <c r="E110" s="929">
        <f>+NOMINA!H103</f>
        <v>34428</v>
      </c>
      <c r="F110" s="930">
        <f>+NOMINA!BT103</f>
        <v>14.6</v>
      </c>
      <c r="G110" s="599"/>
      <c r="H110" s="600"/>
      <c r="I110" s="600"/>
      <c r="J110" s="600"/>
      <c r="K110" s="600"/>
    </row>
    <row r="111" spans="1:11" ht="15.75" customHeight="1" x14ac:dyDescent="0.25">
      <c r="A111" s="928">
        <f t="shared" si="1"/>
        <v>61</v>
      </c>
      <c r="B111" s="926">
        <f>+NOMINA!C104</f>
        <v>11320533</v>
      </c>
      <c r="C111" s="926" t="str">
        <f>+NOMINA!D104</f>
        <v>Suarez Chiquin Yaritza Josefina</v>
      </c>
      <c r="D111" s="926" t="str">
        <f>+NOMINA!O104</f>
        <v>Administrador IV</v>
      </c>
      <c r="E111" s="929">
        <f>+NOMINA!H104</f>
        <v>37629</v>
      </c>
      <c r="F111" s="930">
        <f>+NOMINA!BT104</f>
        <v>0</v>
      </c>
      <c r="G111" s="599"/>
      <c r="H111" s="600"/>
      <c r="I111" s="600"/>
      <c r="J111" s="600"/>
      <c r="K111" s="600"/>
    </row>
    <row r="112" spans="1:11" ht="15.75" customHeight="1" x14ac:dyDescent="0.25">
      <c r="A112" s="928">
        <f t="shared" si="1"/>
        <v>62</v>
      </c>
      <c r="B112" s="926">
        <f>+NOMINA!C105</f>
        <v>11322871</v>
      </c>
      <c r="C112" s="926" t="str">
        <f>+NOMINA!D105</f>
        <v>Rivas Albarran Martin Antonio</v>
      </c>
      <c r="D112" s="926" t="str">
        <f>+NOMINA!O105</f>
        <v>Tutor Facilitador III</v>
      </c>
      <c r="E112" s="929">
        <f>+NOMINA!H105</f>
        <v>38718</v>
      </c>
      <c r="F112" s="930">
        <f>+NOMINA!BT105</f>
        <v>12.18</v>
      </c>
      <c r="G112" s="599"/>
      <c r="H112" s="600"/>
      <c r="I112" s="600"/>
      <c r="J112" s="600"/>
      <c r="K112" s="600"/>
    </row>
    <row r="113" spans="1:11" ht="15.75" customHeight="1" x14ac:dyDescent="0.25">
      <c r="A113" s="928">
        <f t="shared" si="1"/>
        <v>63</v>
      </c>
      <c r="B113" s="926">
        <f>+NOMINA!C106</f>
        <v>11616673</v>
      </c>
      <c r="C113" s="926" t="str">
        <f>+NOMINA!D106</f>
        <v>Perdomo Orlando Jose</v>
      </c>
      <c r="D113" s="926" t="str">
        <f>+NOMINA!O106</f>
        <v>Tutor Facilitador III</v>
      </c>
      <c r="E113" s="929">
        <f>+NOMINA!H106</f>
        <v>35066</v>
      </c>
      <c r="F113" s="930">
        <f>+NOMINA!BT106</f>
        <v>12.58</v>
      </c>
      <c r="G113" s="599"/>
      <c r="H113" s="600"/>
      <c r="I113" s="600"/>
      <c r="J113" s="600"/>
      <c r="K113" s="600"/>
    </row>
    <row r="114" spans="1:11" ht="15.75" customHeight="1" x14ac:dyDescent="0.25">
      <c r="A114" s="928">
        <f t="shared" si="1"/>
        <v>64</v>
      </c>
      <c r="B114" s="926">
        <f>+NOMINA!C107</f>
        <v>11734553</v>
      </c>
      <c r="C114" s="926" t="str">
        <f>+NOMINA!D107</f>
        <v>Teran Torres Olga del Carmen</v>
      </c>
      <c r="D114" s="926" t="str">
        <f>+NOMINA!O107</f>
        <v>Tutor Facilitador III</v>
      </c>
      <c r="E114" s="929">
        <f>+NOMINA!H107</f>
        <v>43206</v>
      </c>
      <c r="F114" s="930">
        <f>+NOMINA!BT107</f>
        <v>12.44</v>
      </c>
      <c r="G114" s="599"/>
      <c r="H114" s="600"/>
      <c r="I114" s="600"/>
      <c r="J114" s="600"/>
      <c r="K114" s="600"/>
    </row>
    <row r="115" spans="1:11" ht="15.75" customHeight="1" x14ac:dyDescent="0.25">
      <c r="A115" s="928">
        <f t="shared" si="1"/>
        <v>65</v>
      </c>
      <c r="B115" s="926">
        <f>+NOMINA!C108</f>
        <v>11894534</v>
      </c>
      <c r="C115" s="926" t="str">
        <f>+NOMINA!D108</f>
        <v>Olmos Rodriguez Eberto de Jesus</v>
      </c>
      <c r="D115" s="926" t="str">
        <f>+NOMINA!O108</f>
        <v>Administrador Jefe</v>
      </c>
      <c r="E115" s="929">
        <f>+NOMINA!H108</f>
        <v>40909</v>
      </c>
      <c r="F115" s="930">
        <f>+NOMINA!BT108</f>
        <v>0</v>
      </c>
      <c r="G115" s="599"/>
      <c r="H115" s="600"/>
      <c r="I115" s="600"/>
      <c r="J115" s="600"/>
      <c r="K115" s="600"/>
    </row>
    <row r="116" spans="1:11" ht="15.75" customHeight="1" x14ac:dyDescent="0.25">
      <c r="A116" s="928">
        <f t="shared" si="1"/>
        <v>66</v>
      </c>
      <c r="B116" s="926">
        <f>+NOMINA!C109</f>
        <v>11895772</v>
      </c>
      <c r="C116" s="926" t="str">
        <f>+NOMINA!D109</f>
        <v>Rangel Rivas Ildemaro</v>
      </c>
      <c r="D116" s="926" t="str">
        <f>+NOMINA!O109</f>
        <v>Entrenador Deportivo II</v>
      </c>
      <c r="E116" s="929">
        <f>+NOMINA!H109</f>
        <v>44743</v>
      </c>
      <c r="F116" s="930">
        <f>+NOMINA!BT109</f>
        <v>0</v>
      </c>
      <c r="G116" s="599"/>
      <c r="H116" s="600"/>
      <c r="I116" s="600"/>
      <c r="J116" s="600"/>
      <c r="K116" s="600"/>
    </row>
    <row r="117" spans="1:11" ht="15.75" customHeight="1" x14ac:dyDescent="0.25">
      <c r="A117" s="928">
        <f t="shared" ref="A117:A180" si="2">+A116+1</f>
        <v>67</v>
      </c>
      <c r="B117" s="926">
        <f>+NOMINA!C110</f>
        <v>11898486</v>
      </c>
      <c r="C117" s="926" t="str">
        <f>+NOMINA!D110</f>
        <v>Linares Hernandez Thaiz Yoconda</v>
      </c>
      <c r="D117" s="926" t="str">
        <f>+NOMINA!O110</f>
        <v>Asistente Administrativo III</v>
      </c>
      <c r="E117" s="929">
        <f>+NOMINA!H110</f>
        <v>40065</v>
      </c>
      <c r="F117" s="930">
        <f>+NOMINA!BT110</f>
        <v>9.6</v>
      </c>
      <c r="G117" s="599"/>
      <c r="H117" s="600"/>
      <c r="I117" s="600"/>
      <c r="J117" s="600"/>
      <c r="K117" s="600"/>
    </row>
    <row r="118" spans="1:11" ht="15.75" customHeight="1" x14ac:dyDescent="0.25">
      <c r="A118" s="928">
        <f t="shared" si="2"/>
        <v>68</v>
      </c>
      <c r="B118" s="926">
        <f>+NOMINA!C111</f>
        <v>12040792</v>
      </c>
      <c r="C118" s="926" t="str">
        <f>+NOMINA!D111</f>
        <v>Sulbaran Campos Jesus Alberto</v>
      </c>
      <c r="D118" s="926" t="str">
        <f>+NOMINA!O111</f>
        <v>Supervisor de Servicios Generales III</v>
      </c>
      <c r="E118" s="929">
        <f>+NOMINA!H111</f>
        <v>43236</v>
      </c>
      <c r="F118" s="930">
        <f>+NOMINA!BT111</f>
        <v>7.6</v>
      </c>
      <c r="G118" s="599"/>
      <c r="H118" s="600"/>
      <c r="I118" s="600"/>
      <c r="J118" s="600"/>
      <c r="K118" s="600"/>
    </row>
    <row r="119" spans="1:11" ht="15.75" customHeight="1" x14ac:dyDescent="0.25">
      <c r="A119" s="928">
        <f t="shared" si="2"/>
        <v>69</v>
      </c>
      <c r="B119" s="926">
        <f>+NOMINA!C112</f>
        <v>12042855</v>
      </c>
      <c r="C119" s="926" t="str">
        <f>+NOMINA!D112</f>
        <v>Alburguez  Manzanilla Neira Josefina</v>
      </c>
      <c r="D119" s="926" t="str">
        <f>+NOMINA!O112</f>
        <v>Enfermera Jefe I</v>
      </c>
      <c r="E119" s="929">
        <f>+NOMINA!H112</f>
        <v>44028</v>
      </c>
      <c r="F119" s="930">
        <f>+NOMINA!BT112</f>
        <v>9</v>
      </c>
      <c r="G119" s="599"/>
      <c r="H119" s="600"/>
      <c r="I119" s="600"/>
      <c r="J119" s="600"/>
      <c r="K119" s="600"/>
    </row>
    <row r="120" spans="1:11" ht="15.75" customHeight="1" x14ac:dyDescent="0.25">
      <c r="A120" s="928">
        <f t="shared" si="2"/>
        <v>70</v>
      </c>
      <c r="B120" s="926">
        <f>+NOMINA!C113</f>
        <v>12045335</v>
      </c>
      <c r="C120" s="926" t="str">
        <f>+NOMINA!D113</f>
        <v>Gonzalez De Briceño Yasmin Coromoto</v>
      </c>
      <c r="D120" s="926" t="str">
        <f>+NOMINA!O113</f>
        <v>Guia de Centro I</v>
      </c>
      <c r="E120" s="929">
        <f>+NOMINA!H113</f>
        <v>45505</v>
      </c>
      <c r="F120" s="930">
        <f>+NOMINA!BT113</f>
        <v>12.3</v>
      </c>
      <c r="G120" s="599"/>
      <c r="H120" s="600"/>
      <c r="I120" s="600"/>
      <c r="J120" s="600"/>
      <c r="K120" s="600"/>
    </row>
    <row r="121" spans="1:11" ht="15.75" customHeight="1" x14ac:dyDescent="0.25">
      <c r="A121" s="928">
        <f t="shared" si="2"/>
        <v>71</v>
      </c>
      <c r="B121" s="926">
        <f>+NOMINA!C114</f>
        <v>12045360</v>
      </c>
      <c r="C121" s="926" t="str">
        <f>+NOMINA!D114</f>
        <v>Montilla Lamus Ana Cristina</v>
      </c>
      <c r="D121" s="926" t="str">
        <f>+NOMINA!O114</f>
        <v>Guia de Centro I</v>
      </c>
      <c r="E121" s="929">
        <f>+NOMINA!H114</f>
        <v>39238</v>
      </c>
      <c r="F121" s="930">
        <f>+NOMINA!BT114</f>
        <v>7.2</v>
      </c>
      <c r="G121" s="599"/>
      <c r="H121" s="600"/>
      <c r="I121" s="600"/>
      <c r="J121" s="600"/>
      <c r="K121" s="600"/>
    </row>
    <row r="122" spans="1:11" ht="15.75" customHeight="1" x14ac:dyDescent="0.25">
      <c r="A122" s="928">
        <f t="shared" si="2"/>
        <v>72</v>
      </c>
      <c r="B122" s="926">
        <f>+NOMINA!C115</f>
        <v>12045504</v>
      </c>
      <c r="C122" s="926" t="str">
        <f>+NOMINA!D115</f>
        <v>Sanchez Olivar Denis Josefina</v>
      </c>
      <c r="D122" s="926" t="str">
        <f>+NOMINA!O115</f>
        <v>Asistente Administrativo II</v>
      </c>
      <c r="E122" s="929">
        <f>+NOMINA!H115</f>
        <v>43862</v>
      </c>
      <c r="F122" s="930">
        <f>+NOMINA!BT115</f>
        <v>6.26</v>
      </c>
      <c r="G122" s="599"/>
      <c r="H122" s="600"/>
      <c r="I122" s="600"/>
      <c r="J122" s="600"/>
      <c r="K122" s="600"/>
    </row>
    <row r="123" spans="1:11" ht="15.75" customHeight="1" x14ac:dyDescent="0.25">
      <c r="A123" s="928">
        <f t="shared" si="2"/>
        <v>73</v>
      </c>
      <c r="B123" s="926">
        <f>+NOMINA!C116</f>
        <v>12045934</v>
      </c>
      <c r="C123" s="926" t="str">
        <f>+NOMINA!D116</f>
        <v>Mendez Olmos Tulio Enrique</v>
      </c>
      <c r="D123" s="926" t="str">
        <f>+NOMINA!O116</f>
        <v>Especialista en Informatica I</v>
      </c>
      <c r="E123" s="929">
        <f>+NOMINA!H116</f>
        <v>36342</v>
      </c>
      <c r="F123" s="930">
        <f>+NOMINA!BT116</f>
        <v>12.58</v>
      </c>
      <c r="G123" s="599"/>
      <c r="H123" s="600"/>
      <c r="I123" s="600"/>
      <c r="J123" s="600"/>
      <c r="K123" s="600"/>
    </row>
    <row r="124" spans="1:11" ht="15.75" customHeight="1" x14ac:dyDescent="0.25">
      <c r="A124" s="928">
        <f t="shared" si="2"/>
        <v>74</v>
      </c>
      <c r="B124" s="926">
        <f>+NOMINA!C117</f>
        <v>12457981</v>
      </c>
      <c r="C124" s="926" t="str">
        <f>+NOMINA!D117</f>
        <v>Escalona Ruiz Luis Alberto</v>
      </c>
      <c r="D124" s="926" t="str">
        <f>+NOMINA!O117</f>
        <v>Medico Especialista II</v>
      </c>
      <c r="E124" s="929">
        <f>+NOMINA!H117</f>
        <v>44348</v>
      </c>
      <c r="F124" s="930">
        <f>+NOMINA!BT117</f>
        <v>8.9</v>
      </c>
      <c r="G124" s="599"/>
      <c r="H124" s="600"/>
      <c r="I124" s="600"/>
      <c r="J124" s="600"/>
      <c r="K124" s="600"/>
    </row>
    <row r="125" spans="1:11" ht="15.75" customHeight="1" x14ac:dyDescent="0.25">
      <c r="A125" s="928">
        <f t="shared" si="2"/>
        <v>75</v>
      </c>
      <c r="B125" s="926">
        <f>+NOMINA!C118</f>
        <v>12458811</v>
      </c>
      <c r="C125" s="926" t="str">
        <f>+NOMINA!D118</f>
        <v>Segovia Rondon Milagros del Valle</v>
      </c>
      <c r="D125" s="926" t="str">
        <f>+NOMINA!O118</f>
        <v>Analista de Presupuesto Jefe</v>
      </c>
      <c r="E125" s="929">
        <f>+NOMINA!H118</f>
        <v>39514</v>
      </c>
      <c r="F125" s="930">
        <f>+NOMINA!BT118</f>
        <v>14.38</v>
      </c>
      <c r="G125" s="599"/>
      <c r="H125" s="600"/>
      <c r="I125" s="600"/>
      <c r="J125" s="600"/>
      <c r="K125" s="600"/>
    </row>
    <row r="126" spans="1:11" ht="15.75" customHeight="1" x14ac:dyDescent="0.25">
      <c r="A126" s="928">
        <f t="shared" si="2"/>
        <v>76</v>
      </c>
      <c r="B126" s="926">
        <f>+NOMINA!C119</f>
        <v>12458942</v>
      </c>
      <c r="C126" s="926" t="str">
        <f>+NOMINA!D119</f>
        <v>Mendoza Mendoza Mirian Del Milagro</v>
      </c>
      <c r="D126" s="926" t="str">
        <f>+NOMINA!O119</f>
        <v>Administrador Jefe</v>
      </c>
      <c r="E126" s="929">
        <f>+NOMINA!H119</f>
        <v>44424</v>
      </c>
      <c r="F126" s="930">
        <f>+NOMINA!BT119</f>
        <v>0</v>
      </c>
      <c r="G126" s="599"/>
      <c r="H126" s="600"/>
      <c r="I126" s="600"/>
      <c r="J126" s="600"/>
      <c r="K126" s="600"/>
    </row>
    <row r="127" spans="1:11" ht="15.75" customHeight="1" x14ac:dyDescent="0.25">
      <c r="A127" s="928">
        <f t="shared" si="2"/>
        <v>77</v>
      </c>
      <c r="B127" s="926">
        <f>+NOMINA!C120</f>
        <v>12541044</v>
      </c>
      <c r="C127" s="926" t="str">
        <f>+NOMINA!D120</f>
        <v>Rojas Telles Lisbeth Josefina</v>
      </c>
      <c r="D127" s="926" t="str">
        <f>+NOMINA!O120</f>
        <v>Tutor Facilitador I</v>
      </c>
      <c r="E127" s="929">
        <f>+NOMINA!H120</f>
        <v>45597</v>
      </c>
      <c r="F127" s="930">
        <f>+NOMINA!BT120</f>
        <v>9.7200000000000006</v>
      </c>
      <c r="G127" s="599"/>
      <c r="H127" s="600"/>
      <c r="I127" s="600"/>
      <c r="J127" s="600"/>
      <c r="K127" s="600"/>
    </row>
    <row r="128" spans="1:11" ht="15.75" customHeight="1" x14ac:dyDescent="0.25">
      <c r="A128" s="928">
        <f t="shared" si="2"/>
        <v>78</v>
      </c>
      <c r="B128" s="926">
        <f>+NOMINA!C121</f>
        <v>12542413</v>
      </c>
      <c r="C128" s="926" t="str">
        <f>+NOMINA!D121</f>
        <v>Aponte Matheus Richard Alexander</v>
      </c>
      <c r="D128" s="926" t="str">
        <f>+NOMINA!O121</f>
        <v>Guia de Centro II</v>
      </c>
      <c r="E128" s="929">
        <f>+NOMINA!H121</f>
        <v>36434</v>
      </c>
      <c r="F128" s="930">
        <f>+NOMINA!BT121</f>
        <v>0</v>
      </c>
      <c r="G128" s="599"/>
      <c r="H128" s="600"/>
      <c r="I128" s="600"/>
      <c r="J128" s="600"/>
      <c r="K128" s="600"/>
    </row>
    <row r="129" spans="1:11" ht="15.75" customHeight="1" x14ac:dyDescent="0.25">
      <c r="A129" s="928">
        <f t="shared" si="2"/>
        <v>79</v>
      </c>
      <c r="B129" s="926">
        <f>+NOMINA!C122</f>
        <v>12798604</v>
      </c>
      <c r="C129" s="926" t="str">
        <f>+NOMINA!D122</f>
        <v>Camacho Gomez Trina Margarita</v>
      </c>
      <c r="D129" s="926" t="str">
        <f>+NOMINA!O122</f>
        <v>Guia de Centro II</v>
      </c>
      <c r="E129" s="929">
        <f>+NOMINA!H122</f>
        <v>35384</v>
      </c>
      <c r="F129" s="930">
        <f>+NOMINA!BT122</f>
        <v>7.46</v>
      </c>
      <c r="G129" s="599"/>
      <c r="H129" s="600"/>
      <c r="I129" s="600"/>
      <c r="J129" s="600"/>
      <c r="K129" s="600"/>
    </row>
    <row r="130" spans="1:11" ht="15.75" customHeight="1" x14ac:dyDescent="0.25">
      <c r="A130" s="928">
        <f t="shared" si="2"/>
        <v>80</v>
      </c>
      <c r="B130" s="926">
        <f>+NOMINA!C123</f>
        <v>12798736</v>
      </c>
      <c r="C130" s="926" t="str">
        <f>+NOMINA!D123</f>
        <v>Gonzalez Pabon Marianela</v>
      </c>
      <c r="D130" s="926" t="str">
        <f>+NOMINA!O123</f>
        <v>Analista de Personal VI</v>
      </c>
      <c r="E130" s="929">
        <f>+NOMINA!H123</f>
        <v>39479</v>
      </c>
      <c r="F130" s="930">
        <f>+NOMINA!BT123</f>
        <v>13.84</v>
      </c>
      <c r="G130" s="599"/>
      <c r="H130" s="600"/>
      <c r="I130" s="600"/>
      <c r="J130" s="600"/>
      <c r="K130" s="600"/>
    </row>
    <row r="131" spans="1:11" ht="15.75" customHeight="1" x14ac:dyDescent="0.25">
      <c r="A131" s="928">
        <f t="shared" si="2"/>
        <v>81</v>
      </c>
      <c r="B131" s="926">
        <f>+NOMINA!C124</f>
        <v>12939010</v>
      </c>
      <c r="C131" s="926" t="str">
        <f>+NOMINA!D124</f>
        <v>Mendez de Viloria Yelitza del Valle</v>
      </c>
      <c r="D131" s="926" t="str">
        <f>+NOMINA!O124</f>
        <v>Asistente Administrativo III</v>
      </c>
      <c r="E131" s="929">
        <f>+NOMINA!H124</f>
        <v>42948</v>
      </c>
      <c r="F131" s="930">
        <f>+NOMINA!BT124</f>
        <v>9.26</v>
      </c>
      <c r="G131" s="599"/>
      <c r="H131" s="600"/>
      <c r="I131" s="600"/>
      <c r="J131" s="600"/>
      <c r="K131" s="600"/>
    </row>
    <row r="132" spans="1:11" ht="15.75" customHeight="1" x14ac:dyDescent="0.25">
      <c r="A132" s="928">
        <f t="shared" si="2"/>
        <v>82</v>
      </c>
      <c r="B132" s="926">
        <f>+NOMINA!C125</f>
        <v>12941385</v>
      </c>
      <c r="C132" s="926" t="str">
        <f>+NOMINA!D125</f>
        <v>Torres de Gonzalez Milangela Maria</v>
      </c>
      <c r="D132" s="926" t="str">
        <f>+NOMINA!O125</f>
        <v>Tutor Facilitador III</v>
      </c>
      <c r="E132" s="929">
        <f>+NOMINA!H125</f>
        <v>42948</v>
      </c>
      <c r="F132" s="930">
        <f>+NOMINA!BT125</f>
        <v>10.82</v>
      </c>
      <c r="G132" s="599"/>
      <c r="H132" s="600"/>
      <c r="I132" s="600"/>
      <c r="J132" s="600"/>
      <c r="K132" s="600"/>
    </row>
    <row r="133" spans="1:11" ht="15.75" customHeight="1" x14ac:dyDescent="0.25">
      <c r="A133" s="928">
        <f t="shared" si="2"/>
        <v>83</v>
      </c>
      <c r="B133" s="926">
        <f>+NOMINA!C126</f>
        <v>13117904</v>
      </c>
      <c r="C133" s="926" t="str">
        <f>+NOMINA!D126</f>
        <v>Villegas Jaime Antonio</v>
      </c>
      <c r="D133" s="926" t="str">
        <f>+NOMINA!O126</f>
        <v>Guia de Centro I</v>
      </c>
      <c r="E133" s="929">
        <f>+NOMINA!H126</f>
        <v>43693</v>
      </c>
      <c r="F133" s="930">
        <f>+NOMINA!BT126</f>
        <v>8.4</v>
      </c>
      <c r="G133" s="599"/>
      <c r="H133" s="600"/>
      <c r="I133" s="600"/>
      <c r="J133" s="600"/>
      <c r="K133" s="600"/>
    </row>
    <row r="134" spans="1:11" ht="15.75" customHeight="1" x14ac:dyDescent="0.25">
      <c r="A134" s="928">
        <f t="shared" si="2"/>
        <v>84</v>
      </c>
      <c r="B134" s="926">
        <f>+NOMINA!C127</f>
        <v>13206767</v>
      </c>
      <c r="C134" s="926" t="str">
        <f>+NOMINA!D127</f>
        <v>Bastidas Guerra Soralis del Valle</v>
      </c>
      <c r="D134" s="926" t="str">
        <f>+NOMINA!O127</f>
        <v>Abogado I</v>
      </c>
      <c r="E134" s="929">
        <f>+NOMINA!H127</f>
        <v>44713</v>
      </c>
      <c r="F134" s="930">
        <f>+NOMINA!BT127</f>
        <v>0</v>
      </c>
      <c r="G134" s="599"/>
      <c r="H134" s="600"/>
      <c r="I134" s="600"/>
      <c r="J134" s="600"/>
      <c r="K134" s="600"/>
    </row>
    <row r="135" spans="1:11" ht="15.75" customHeight="1" x14ac:dyDescent="0.25">
      <c r="A135" s="928">
        <f t="shared" si="2"/>
        <v>85</v>
      </c>
      <c r="B135" s="926">
        <f>+NOMINA!C128</f>
        <v>13207692</v>
      </c>
      <c r="C135" s="926" t="str">
        <f>+NOMINA!D128</f>
        <v>Macias Briceño Alejandra Coromoto</v>
      </c>
      <c r="D135" s="926" t="str">
        <f>+NOMINA!O128</f>
        <v>Administrador III</v>
      </c>
      <c r="E135" s="929">
        <f>+NOMINA!H128</f>
        <v>38504</v>
      </c>
      <c r="F135" s="930">
        <f>+NOMINA!BT128</f>
        <v>12.92</v>
      </c>
      <c r="G135" s="599"/>
      <c r="H135" s="600"/>
      <c r="I135" s="600"/>
      <c r="J135" s="600"/>
      <c r="K135" s="600"/>
    </row>
    <row r="136" spans="1:11" ht="15.75" customHeight="1" x14ac:dyDescent="0.25">
      <c r="A136" s="928">
        <f t="shared" si="2"/>
        <v>86</v>
      </c>
      <c r="B136" s="926">
        <f>+NOMINA!C129</f>
        <v>13260050</v>
      </c>
      <c r="C136" s="926" t="str">
        <f>+NOMINA!D129</f>
        <v>Mendoza Vieras Maria Elena</v>
      </c>
      <c r="D136" s="926" t="str">
        <f>+NOMINA!O129</f>
        <v>ADMINISTRADOR III</v>
      </c>
      <c r="E136" s="929">
        <f>+NOMINA!H129</f>
        <v>45444</v>
      </c>
      <c r="F136" s="930">
        <f>+NOMINA!BT129</f>
        <v>11.4</v>
      </c>
      <c r="G136" s="599"/>
      <c r="H136" s="600"/>
      <c r="I136" s="600"/>
      <c r="J136" s="600"/>
      <c r="K136" s="600"/>
    </row>
    <row r="137" spans="1:11" ht="15.75" customHeight="1" x14ac:dyDescent="0.25">
      <c r="A137" s="928">
        <f t="shared" si="2"/>
        <v>87</v>
      </c>
      <c r="B137" s="926">
        <f>+NOMINA!C130</f>
        <v>13261035</v>
      </c>
      <c r="C137" s="926" t="str">
        <f>+NOMINA!D130</f>
        <v>Henry Peña Yokary Nakary</v>
      </c>
      <c r="D137" s="926" t="str">
        <f>+NOMINA!O130</f>
        <v>Entrenador Deportivo V</v>
      </c>
      <c r="E137" s="929">
        <f>+NOMINA!H130</f>
        <v>43770</v>
      </c>
      <c r="F137" s="930">
        <f>+NOMINA!BT130</f>
        <v>10.52</v>
      </c>
      <c r="G137" s="599"/>
      <c r="H137" s="600"/>
      <c r="I137" s="600"/>
      <c r="J137" s="600"/>
      <c r="K137" s="600"/>
    </row>
    <row r="138" spans="1:11" ht="15.75" customHeight="1" x14ac:dyDescent="0.25">
      <c r="A138" s="928">
        <f t="shared" si="2"/>
        <v>88</v>
      </c>
      <c r="B138" s="926">
        <f>+NOMINA!C131</f>
        <v>13261229</v>
      </c>
      <c r="C138" s="926" t="str">
        <f>+NOMINA!D131</f>
        <v>Abreu Rodriguez Eva del Carmen</v>
      </c>
      <c r="D138" s="926" t="str">
        <f>+NOMINA!O131</f>
        <v>Asistente Administrativo III</v>
      </c>
      <c r="E138" s="929">
        <f>+NOMINA!H131</f>
        <v>42644</v>
      </c>
      <c r="F138" s="930">
        <f>+NOMINA!BT131</f>
        <v>9.18</v>
      </c>
      <c r="G138" s="599"/>
      <c r="H138" s="600"/>
      <c r="I138" s="600"/>
      <c r="J138" s="600"/>
      <c r="K138" s="600"/>
    </row>
    <row r="139" spans="1:11" ht="15.75" customHeight="1" x14ac:dyDescent="0.25">
      <c r="A139" s="928">
        <f t="shared" si="2"/>
        <v>89</v>
      </c>
      <c r="B139" s="926">
        <f>+NOMINA!C132</f>
        <v>13461934</v>
      </c>
      <c r="C139" s="926" t="str">
        <f>+NOMINA!D132</f>
        <v>Ramirez Ayala Jenny Marisela</v>
      </c>
      <c r="D139" s="926" t="str">
        <f>+NOMINA!O132</f>
        <v>Guia de Centro II</v>
      </c>
      <c r="E139" s="929">
        <f>+NOMINA!H132</f>
        <v>43252</v>
      </c>
      <c r="F139" s="930">
        <f>+NOMINA!BT132</f>
        <v>8.1199999999999992</v>
      </c>
      <c r="G139" s="599"/>
      <c r="H139" s="600"/>
      <c r="I139" s="600"/>
      <c r="J139" s="600"/>
      <c r="K139" s="600"/>
    </row>
    <row r="140" spans="1:11" ht="15.75" customHeight="1" x14ac:dyDescent="0.25">
      <c r="A140" s="928">
        <f t="shared" si="2"/>
        <v>90</v>
      </c>
      <c r="B140" s="926">
        <f>+NOMINA!C133</f>
        <v>13462933</v>
      </c>
      <c r="C140" s="926" t="str">
        <f>+NOMINA!D133</f>
        <v>Frias Aldana Maria Yaritza</v>
      </c>
      <c r="D140" s="926" t="str">
        <f>+NOMINA!O133</f>
        <v>Administrador Jefe</v>
      </c>
      <c r="E140" s="929">
        <f>+NOMINA!H133</f>
        <v>39454</v>
      </c>
      <c r="F140" s="930">
        <f>+NOMINA!BT133</f>
        <v>0</v>
      </c>
      <c r="G140" s="599"/>
      <c r="H140" s="600"/>
      <c r="I140" s="600"/>
      <c r="J140" s="600"/>
      <c r="K140" s="600"/>
    </row>
    <row r="141" spans="1:11" ht="15.75" customHeight="1" x14ac:dyDescent="0.25">
      <c r="A141" s="928">
        <f t="shared" si="2"/>
        <v>91</v>
      </c>
      <c r="B141" s="926">
        <f>+NOMINA!C134</f>
        <v>13462511</v>
      </c>
      <c r="C141" s="926" t="str">
        <f>+NOMINA!D134</f>
        <v>Vielma Jenifer</v>
      </c>
      <c r="D141" s="926" t="str">
        <f>+NOMINA!O134</f>
        <v>Criminologo</v>
      </c>
      <c r="E141" s="929">
        <f>+NOMINA!H134</f>
        <v>43738</v>
      </c>
      <c r="F141" s="930">
        <f>+NOMINA!BT134</f>
        <v>13.66</v>
      </c>
      <c r="G141" s="599"/>
      <c r="H141" s="600"/>
      <c r="I141" s="600"/>
      <c r="J141" s="600"/>
      <c r="K141" s="600"/>
    </row>
    <row r="142" spans="1:11" ht="15.75" customHeight="1" x14ac:dyDescent="0.25">
      <c r="A142" s="928">
        <f t="shared" si="2"/>
        <v>92</v>
      </c>
      <c r="B142" s="926">
        <f>+NOMINA!C135</f>
        <v>13522518</v>
      </c>
      <c r="C142" s="926" t="str">
        <f>+NOMINA!D135</f>
        <v>Altuve Diaz Jose Antonio</v>
      </c>
      <c r="D142" s="926" t="str">
        <f>+NOMINA!O135</f>
        <v>Almacenista II</v>
      </c>
      <c r="E142" s="929">
        <f>+NOMINA!H135</f>
        <v>43739</v>
      </c>
      <c r="F142" s="930">
        <f>+NOMINA!BT135</f>
        <v>6</v>
      </c>
      <c r="G142" s="599"/>
      <c r="H142" s="600"/>
      <c r="I142" s="600"/>
      <c r="J142" s="600"/>
      <c r="K142" s="600"/>
    </row>
    <row r="143" spans="1:11" ht="15.75" customHeight="1" x14ac:dyDescent="0.25">
      <c r="A143" s="928">
        <f t="shared" si="2"/>
        <v>93</v>
      </c>
      <c r="B143" s="926">
        <f>+NOMINA!C136</f>
        <v>13523075</v>
      </c>
      <c r="C143" s="926" t="str">
        <f>+NOMINA!D136</f>
        <v>Zambrano Castellanos Maria Alejandra</v>
      </c>
      <c r="D143" s="926" t="str">
        <f>+NOMINA!O136</f>
        <v>Planificador V</v>
      </c>
      <c r="E143" s="929">
        <f>+NOMINA!H136</f>
        <v>37718</v>
      </c>
      <c r="F143" s="930">
        <f>+NOMINA!BT136</f>
        <v>10.82</v>
      </c>
      <c r="G143" s="599"/>
      <c r="H143" s="600"/>
      <c r="I143" s="600"/>
      <c r="J143" s="600"/>
      <c r="K143" s="600"/>
    </row>
    <row r="144" spans="1:11" ht="15.75" customHeight="1" x14ac:dyDescent="0.25">
      <c r="A144" s="928">
        <f t="shared" si="2"/>
        <v>94</v>
      </c>
      <c r="B144" s="926">
        <f>+NOMINA!C137</f>
        <v>13765028</v>
      </c>
      <c r="C144" s="926" t="str">
        <f>+NOMINA!D137</f>
        <v>Diaz Ramirez Mileyda del Valle</v>
      </c>
      <c r="D144" s="926" t="str">
        <f>+NOMINA!O137</f>
        <v>Guia de Centro II</v>
      </c>
      <c r="E144" s="929">
        <f>+NOMINA!H137</f>
        <v>44348</v>
      </c>
      <c r="F144" s="930">
        <f>+NOMINA!BT137</f>
        <v>11.88</v>
      </c>
      <c r="G144" s="599"/>
      <c r="H144" s="600"/>
      <c r="I144" s="600"/>
      <c r="J144" s="600"/>
      <c r="K144" s="600"/>
    </row>
    <row r="145" spans="1:11" ht="15.75" customHeight="1" x14ac:dyDescent="0.25">
      <c r="A145" s="928">
        <f t="shared" si="2"/>
        <v>95</v>
      </c>
      <c r="B145" s="926">
        <f>+NOMINA!C138</f>
        <v>13896147</v>
      </c>
      <c r="C145" s="926" t="str">
        <f>+NOMINA!D138</f>
        <v>Carrizo Blanco Belquis Cecilia</v>
      </c>
      <c r="D145" s="926" t="str">
        <f>+NOMINA!O138</f>
        <v>Administrador III</v>
      </c>
      <c r="E145" s="929">
        <f>+NOMINA!H138</f>
        <v>41334</v>
      </c>
      <c r="F145" s="930">
        <f>+NOMINA!BT138</f>
        <v>11.3</v>
      </c>
      <c r="G145" s="599"/>
      <c r="H145" s="600"/>
      <c r="I145" s="600"/>
      <c r="J145" s="600"/>
      <c r="K145" s="600"/>
    </row>
    <row r="146" spans="1:11" ht="15.75" customHeight="1" x14ac:dyDescent="0.25">
      <c r="A146" s="928">
        <f t="shared" si="2"/>
        <v>96</v>
      </c>
      <c r="B146" s="926">
        <f>+NOMINA!C139</f>
        <v>13896239</v>
      </c>
      <c r="C146" s="926" t="str">
        <f>+NOMINA!D139</f>
        <v>Sulbaran Campos Yusneida Ayarith</v>
      </c>
      <c r="D146" s="926" t="str">
        <f>+NOMINA!O139</f>
        <v>Analista de Presupuesto IV</v>
      </c>
      <c r="E146" s="929">
        <f>+NOMINA!H139</f>
        <v>42416</v>
      </c>
      <c r="F146" s="930">
        <f>+NOMINA!BT139</f>
        <v>6.62</v>
      </c>
      <c r="G146" s="599"/>
      <c r="H146" s="600"/>
      <c r="I146" s="600"/>
      <c r="J146" s="600"/>
      <c r="K146" s="600"/>
    </row>
    <row r="147" spans="1:11" ht="15.75" customHeight="1" x14ac:dyDescent="0.25">
      <c r="A147" s="928">
        <f t="shared" si="2"/>
        <v>97</v>
      </c>
      <c r="B147" s="926">
        <f>+NOMINA!C140</f>
        <v>13897046</v>
      </c>
      <c r="C147" s="926" t="str">
        <f>+NOMINA!D140</f>
        <v>Artigas Sanchez Mireya Carolina</v>
      </c>
      <c r="D147" s="926" t="str">
        <f>+NOMINA!O140</f>
        <v>Tecnico Superior en Trabajo Social II</v>
      </c>
      <c r="E147" s="929">
        <f>+NOMINA!H140</f>
        <v>42384</v>
      </c>
      <c r="F147" s="930">
        <f>+NOMINA!BT140</f>
        <v>9.6</v>
      </c>
      <c r="G147" s="599"/>
      <c r="H147" s="600"/>
      <c r="I147" s="600"/>
      <c r="J147" s="600"/>
      <c r="K147" s="600"/>
    </row>
    <row r="148" spans="1:11" ht="15.75" customHeight="1" x14ac:dyDescent="0.25">
      <c r="A148" s="928">
        <f t="shared" si="2"/>
        <v>98</v>
      </c>
      <c r="B148" s="926">
        <f>+NOMINA!C141</f>
        <v>13897695</v>
      </c>
      <c r="C148" s="926" t="str">
        <f>+NOMINA!D141</f>
        <v>Araujo Matheus Alba Mariela</v>
      </c>
      <c r="D148" s="926" t="str">
        <f>+NOMINA!O141</f>
        <v>Analista de Presupuesto Jefe</v>
      </c>
      <c r="E148" s="929">
        <f>+NOMINA!H141</f>
        <v>39496</v>
      </c>
      <c r="F148" s="930">
        <f>+NOMINA!BT141</f>
        <v>12.92</v>
      </c>
      <c r="G148" s="599"/>
      <c r="H148" s="600"/>
      <c r="I148" s="600"/>
      <c r="J148" s="600"/>
      <c r="K148" s="600"/>
    </row>
    <row r="149" spans="1:11" ht="15.75" customHeight="1" x14ac:dyDescent="0.25">
      <c r="A149" s="928">
        <f t="shared" si="2"/>
        <v>99</v>
      </c>
      <c r="B149" s="926">
        <f>+NOMINA!C142</f>
        <v>13996024</v>
      </c>
      <c r="C149" s="926" t="str">
        <f>+NOMINA!D142</f>
        <v>Perez Barrios Helenmar</v>
      </c>
      <c r="D149" s="926" t="str">
        <f>+NOMINA!O142</f>
        <v>Contador III</v>
      </c>
      <c r="E149" s="929">
        <f>+NOMINA!H142</f>
        <v>40028</v>
      </c>
      <c r="F149" s="930">
        <f>+NOMINA!BT142</f>
        <v>12.08</v>
      </c>
      <c r="G149" s="599"/>
      <c r="H149" s="600"/>
      <c r="I149" s="600"/>
      <c r="J149" s="600"/>
      <c r="K149" s="600"/>
    </row>
    <row r="150" spans="1:11" ht="15.75" customHeight="1" x14ac:dyDescent="0.25">
      <c r="A150" s="928">
        <f t="shared" si="2"/>
        <v>100</v>
      </c>
      <c r="B150" s="926">
        <f>+NOMINA!C143</f>
        <v>13997965</v>
      </c>
      <c r="C150" s="926" t="str">
        <f>+NOMINA!D143</f>
        <v>Sulbaran Baptista Yenny del Carmen</v>
      </c>
      <c r="D150" s="926" t="str">
        <f>+NOMINA!O143</f>
        <v>Asistente Administrativo I</v>
      </c>
      <c r="E150" s="929">
        <f>+NOMINA!H143</f>
        <v>45839</v>
      </c>
      <c r="F150" s="930">
        <f>+NOMINA!BT143</f>
        <v>5.7</v>
      </c>
      <c r="G150" s="599"/>
      <c r="H150" s="600"/>
      <c r="I150" s="600"/>
      <c r="J150" s="600"/>
      <c r="K150" s="600"/>
    </row>
    <row r="151" spans="1:11" ht="15.75" customHeight="1" x14ac:dyDescent="0.25">
      <c r="A151" s="928">
        <f t="shared" si="2"/>
        <v>101</v>
      </c>
      <c r="B151" s="926">
        <f>+NOMINA!C144</f>
        <v>14106648</v>
      </c>
      <c r="C151" s="926" t="str">
        <f>+NOMINA!D144</f>
        <v>Aguilar Flores Heidy Coromoto</v>
      </c>
      <c r="D151" s="926" t="str">
        <f>+NOMINA!O144</f>
        <v>Asistente Administrativo IV</v>
      </c>
      <c r="E151" s="929">
        <f>+NOMINA!H144</f>
        <v>40787</v>
      </c>
      <c r="F151" s="930">
        <f>+NOMINA!BT144</f>
        <v>10.32</v>
      </c>
      <c r="G151" s="599"/>
      <c r="H151" s="600"/>
      <c r="I151" s="600"/>
      <c r="J151" s="600"/>
      <c r="K151" s="600"/>
    </row>
    <row r="152" spans="1:11" ht="15.75" customHeight="1" x14ac:dyDescent="0.25">
      <c r="A152" s="928">
        <f t="shared" si="2"/>
        <v>102</v>
      </c>
      <c r="B152" s="926">
        <f>+NOMINA!C145</f>
        <v>14329448</v>
      </c>
      <c r="C152" s="926" t="str">
        <f>+NOMINA!D145</f>
        <v>Leal Mejia Jociany Trinny</v>
      </c>
      <c r="D152" s="926" t="str">
        <f>+NOMINA!O145</f>
        <v>Tutor Facilitador I</v>
      </c>
      <c r="E152" s="929">
        <f>+NOMINA!H145</f>
        <v>44743</v>
      </c>
      <c r="F152" s="930">
        <f>+NOMINA!BT145</f>
        <v>10.7</v>
      </c>
      <c r="G152" s="599"/>
      <c r="H152" s="600"/>
      <c r="I152" s="600"/>
      <c r="J152" s="600"/>
      <c r="K152" s="600"/>
    </row>
    <row r="153" spans="1:11" ht="15.75" customHeight="1" x14ac:dyDescent="0.25">
      <c r="A153" s="928">
        <f t="shared" si="2"/>
        <v>103</v>
      </c>
      <c r="B153" s="926">
        <f>+NOMINA!C146</f>
        <v>14406240</v>
      </c>
      <c r="C153" s="926" t="str">
        <f>+NOMINA!D146</f>
        <v>Sarmiento Suarez Karem Yanira</v>
      </c>
      <c r="D153" s="926" t="str">
        <f>+NOMINA!O146</f>
        <v>Tecnico Superior en Trabajo Social II</v>
      </c>
      <c r="E153" s="929">
        <f>+NOMINA!H146</f>
        <v>43785</v>
      </c>
      <c r="F153" s="930">
        <f>+NOMINA!BT146</f>
        <v>10</v>
      </c>
      <c r="G153" s="599"/>
      <c r="H153" s="600"/>
      <c r="I153" s="600"/>
      <c r="J153" s="600"/>
      <c r="K153" s="600"/>
    </row>
    <row r="154" spans="1:11" ht="15.75" customHeight="1" x14ac:dyDescent="0.25">
      <c r="A154" s="928">
        <f t="shared" si="2"/>
        <v>104</v>
      </c>
      <c r="B154" s="926">
        <f>+NOMINA!C147</f>
        <v>14459607</v>
      </c>
      <c r="C154" s="926" t="str">
        <f>+NOMINA!D147</f>
        <v>Martinez Leal Deyanira Yusissan</v>
      </c>
      <c r="D154" s="926" t="str">
        <f>+NOMINA!O147</f>
        <v>Tecnico Superior en Trabajo Social II</v>
      </c>
      <c r="E154" s="929">
        <f>+NOMINA!H147</f>
        <v>43116</v>
      </c>
      <c r="F154" s="930">
        <f>+NOMINA!BT147</f>
        <v>9.42</v>
      </c>
      <c r="G154" s="599"/>
      <c r="H154" s="600"/>
      <c r="I154" s="600"/>
      <c r="J154" s="600"/>
      <c r="K154" s="600"/>
    </row>
    <row r="155" spans="1:11" ht="15.75" customHeight="1" x14ac:dyDescent="0.25">
      <c r="A155" s="928">
        <f t="shared" si="2"/>
        <v>105</v>
      </c>
      <c r="B155" s="926">
        <f>+NOMINA!C148</f>
        <v>14598170</v>
      </c>
      <c r="C155" s="926" t="str">
        <f>+NOMINA!D148</f>
        <v>Rendon Utrilla Gerson Paul</v>
      </c>
      <c r="D155" s="926" t="str">
        <f>+NOMINA!O148</f>
        <v>Tutor Facilitador III</v>
      </c>
      <c r="E155" s="929">
        <f>+NOMINA!H148</f>
        <v>43435</v>
      </c>
      <c r="F155" s="930">
        <f>+NOMINA!BT148</f>
        <v>10.98</v>
      </c>
      <c r="G155" s="599"/>
      <c r="H155" s="600"/>
      <c r="I155" s="600"/>
      <c r="J155" s="600"/>
      <c r="K155" s="600"/>
    </row>
    <row r="156" spans="1:11" ht="15.75" customHeight="1" x14ac:dyDescent="0.25">
      <c r="A156" s="928">
        <f t="shared" si="2"/>
        <v>106</v>
      </c>
      <c r="B156" s="926">
        <f>+NOMINA!C149</f>
        <v>14598687</v>
      </c>
      <c r="C156" s="926" t="str">
        <f>+NOMINA!D149</f>
        <v>Godoy Bracamonte Juan Carlos</v>
      </c>
      <c r="D156" s="926" t="str">
        <f>+NOMINA!O149</f>
        <v>Entrenador Deportivo IV</v>
      </c>
      <c r="E156" s="929">
        <f>+NOMINA!H149</f>
        <v>44332</v>
      </c>
      <c r="F156" s="930">
        <f>+NOMINA!BT149</f>
        <v>12.46</v>
      </c>
      <c r="G156" s="599"/>
      <c r="H156" s="600"/>
      <c r="I156" s="600"/>
      <c r="J156" s="600"/>
      <c r="K156" s="600"/>
    </row>
    <row r="157" spans="1:11" ht="15.75" customHeight="1" x14ac:dyDescent="0.25">
      <c r="A157" s="928">
        <f t="shared" si="2"/>
        <v>107</v>
      </c>
      <c r="B157" s="926">
        <f>+NOMINA!C150</f>
        <v>14719639</v>
      </c>
      <c r="C157" s="926" t="str">
        <f>+NOMINA!D150</f>
        <v>Coy de Dorante Sandra Liliana</v>
      </c>
      <c r="D157" s="926" t="str">
        <f>+NOMINA!O150</f>
        <v>Guia de Centro I</v>
      </c>
      <c r="E157" s="929">
        <f>+NOMINA!H150</f>
        <v>44896</v>
      </c>
      <c r="F157" s="930">
        <f>+NOMINA!BT150</f>
        <v>7.48</v>
      </c>
      <c r="G157" s="599"/>
      <c r="H157" s="600"/>
      <c r="I157" s="600"/>
      <c r="J157" s="600"/>
      <c r="K157" s="600"/>
    </row>
    <row r="158" spans="1:11" ht="15.75" customHeight="1" x14ac:dyDescent="0.25">
      <c r="A158" s="928">
        <f t="shared" si="2"/>
        <v>108</v>
      </c>
      <c r="B158" s="926">
        <f>+NOMINA!C151</f>
        <v>14739168</v>
      </c>
      <c r="C158" s="926" t="str">
        <f>+NOMINA!D151</f>
        <v>Briceño Hernandez Yeny del Carmen</v>
      </c>
      <c r="D158" s="926" t="str">
        <f>+NOMINA!O151</f>
        <v>Trabajador Social III</v>
      </c>
      <c r="E158" s="929">
        <f>+NOMINA!H151</f>
        <v>38841</v>
      </c>
      <c r="F158" s="930">
        <f>+NOMINA!BT151</f>
        <v>10.220000000000001</v>
      </c>
      <c r="G158" s="599"/>
      <c r="H158" s="600"/>
      <c r="I158" s="600"/>
      <c r="J158" s="600"/>
      <c r="K158" s="600"/>
    </row>
    <row r="159" spans="1:11" ht="15.75" customHeight="1" x14ac:dyDescent="0.25">
      <c r="A159" s="928">
        <f t="shared" si="2"/>
        <v>109</v>
      </c>
      <c r="B159" s="926">
        <f>+NOMINA!C152</f>
        <v>14928034</v>
      </c>
      <c r="C159" s="926" t="str">
        <f>+NOMINA!D152</f>
        <v>Ramirez Palomares Mariana Teresa</v>
      </c>
      <c r="D159" s="926" t="str">
        <f>+NOMINA!O152</f>
        <v>Promotor Cultural I</v>
      </c>
      <c r="E159" s="929">
        <f>+NOMINA!H152</f>
        <v>44302</v>
      </c>
      <c r="F159" s="930">
        <f>+NOMINA!BT152</f>
        <v>6.76</v>
      </c>
      <c r="G159" s="599"/>
      <c r="H159" s="600"/>
      <c r="I159" s="600"/>
      <c r="J159" s="600"/>
      <c r="K159" s="600"/>
    </row>
    <row r="160" spans="1:11" ht="15.75" customHeight="1" x14ac:dyDescent="0.25">
      <c r="A160" s="928">
        <f t="shared" si="2"/>
        <v>110</v>
      </c>
      <c r="B160" s="926">
        <f>+NOMINA!C153</f>
        <v>14928260</v>
      </c>
      <c r="C160" s="926" t="str">
        <f>+NOMINA!D153</f>
        <v>Rivas Ana Lucila</v>
      </c>
      <c r="D160" s="926" t="str">
        <f>+NOMINA!O153</f>
        <v>Tutor Facilitador I</v>
      </c>
      <c r="E160" s="929">
        <f>+NOMINA!H153</f>
        <v>39104</v>
      </c>
      <c r="F160" s="930">
        <f>+NOMINA!BT153</f>
        <v>10.14</v>
      </c>
      <c r="G160" s="599"/>
      <c r="H160" s="600"/>
      <c r="I160" s="600"/>
      <c r="J160" s="600"/>
      <c r="K160" s="600"/>
    </row>
    <row r="161" spans="1:11" ht="15.75" customHeight="1" x14ac:dyDescent="0.25">
      <c r="A161" s="928">
        <f t="shared" si="2"/>
        <v>111</v>
      </c>
      <c r="B161" s="926">
        <f>+NOMINA!C154</f>
        <v>14929642</v>
      </c>
      <c r="C161" s="926" t="str">
        <f>+NOMINA!D154</f>
        <v>Alvarran Arjona Ismenia del Carmen</v>
      </c>
      <c r="D161" s="926" t="str">
        <f>+NOMINA!O154</f>
        <v>GUIA DE CENTRO II</v>
      </c>
      <c r="E161" s="929">
        <f>+NOMINA!H154</f>
        <v>43419</v>
      </c>
      <c r="F161" s="930">
        <f>+NOMINA!BT154</f>
        <v>11.76</v>
      </c>
      <c r="G161" s="599"/>
      <c r="H161" s="600"/>
      <c r="I161" s="600"/>
      <c r="J161" s="600"/>
      <c r="K161" s="600"/>
    </row>
    <row r="162" spans="1:11" ht="15.75" customHeight="1" x14ac:dyDescent="0.25">
      <c r="A162" s="928">
        <f t="shared" si="2"/>
        <v>112</v>
      </c>
      <c r="B162" s="926">
        <f>+NOMINA!C155</f>
        <v>14986675</v>
      </c>
      <c r="C162" s="926" t="str">
        <f>+NOMINA!D155</f>
        <v>Mecias Nuñez Shirly Ygnacia</v>
      </c>
      <c r="D162" s="926" t="str">
        <f>+NOMINA!O155</f>
        <v>Tutor Facilitador I</v>
      </c>
      <c r="E162" s="929">
        <f>+NOMINA!H155</f>
        <v>44805</v>
      </c>
      <c r="F162" s="930">
        <f>+NOMINA!BT155</f>
        <v>10.7</v>
      </c>
      <c r="G162" s="599"/>
      <c r="H162" s="600"/>
      <c r="I162" s="600"/>
      <c r="J162" s="600"/>
      <c r="K162" s="600"/>
    </row>
    <row r="163" spans="1:11" ht="15.75" customHeight="1" x14ac:dyDescent="0.25">
      <c r="A163" s="928">
        <f t="shared" si="2"/>
        <v>113</v>
      </c>
      <c r="B163" s="926">
        <f>+NOMINA!C156</f>
        <v>15188927</v>
      </c>
      <c r="C163" s="926" t="str">
        <f>+NOMINA!D156</f>
        <v>Linares Villarreal Rosmely del Carmen</v>
      </c>
      <c r="D163" s="926" t="str">
        <f>+NOMINA!O156</f>
        <v>Guia de Centro II</v>
      </c>
      <c r="E163" s="929">
        <f>+NOMINA!H156</f>
        <v>44409</v>
      </c>
      <c r="F163" s="930">
        <f>+NOMINA!BT156</f>
        <v>8.08</v>
      </c>
      <c r="G163" s="599"/>
      <c r="H163" s="600"/>
      <c r="I163" s="600"/>
      <c r="J163" s="600"/>
      <c r="K163" s="600"/>
    </row>
    <row r="164" spans="1:11" ht="15.75" customHeight="1" x14ac:dyDescent="0.25">
      <c r="A164" s="928">
        <f t="shared" si="2"/>
        <v>114</v>
      </c>
      <c r="B164" s="926">
        <f>+NOMINA!C157</f>
        <v>15560762</v>
      </c>
      <c r="C164" s="926" t="str">
        <f>+NOMINA!D157</f>
        <v>Villalobos Javier Jose</v>
      </c>
      <c r="D164" s="926" t="str">
        <f>+NOMINA!O157</f>
        <v>Entrenador Deportivo IV</v>
      </c>
      <c r="E164" s="929">
        <f>+NOMINA!H157</f>
        <v>45474</v>
      </c>
      <c r="F164" s="930">
        <f>+NOMINA!BT157</f>
        <v>9.7799999999999994</v>
      </c>
      <c r="G164" s="599"/>
      <c r="H164" s="600"/>
      <c r="I164" s="600"/>
      <c r="J164" s="600"/>
      <c r="K164" s="600"/>
    </row>
    <row r="165" spans="1:11" ht="15.75" customHeight="1" x14ac:dyDescent="0.25">
      <c r="A165" s="928">
        <f t="shared" si="2"/>
        <v>115</v>
      </c>
      <c r="B165" s="926">
        <f>+NOMINA!C158</f>
        <v>15583745</v>
      </c>
      <c r="C165" s="926" t="str">
        <f>+NOMINA!D158</f>
        <v>Briceño Araujo Alexander Javier</v>
      </c>
      <c r="D165" s="926" t="str">
        <f>+NOMINA!O158</f>
        <v>Administrador II</v>
      </c>
      <c r="E165" s="929">
        <f>+NOMINA!H158</f>
        <v>43481</v>
      </c>
      <c r="F165" s="930">
        <f>+NOMINA!BT158</f>
        <v>10.66</v>
      </c>
      <c r="G165" s="599"/>
      <c r="H165" s="600"/>
      <c r="I165" s="600"/>
      <c r="J165" s="600"/>
      <c r="K165" s="600"/>
    </row>
    <row r="166" spans="1:11" ht="15.75" customHeight="1" x14ac:dyDescent="0.25">
      <c r="A166" s="928">
        <f t="shared" si="2"/>
        <v>116</v>
      </c>
      <c r="B166" s="926">
        <f>+NOMINA!C159</f>
        <v>15588470</v>
      </c>
      <c r="C166" s="926" t="str">
        <f>+NOMINA!D159</f>
        <v>Briceño Lozada Maraiby Coromoto</v>
      </c>
      <c r="D166" s="926" t="str">
        <f>+NOMINA!O159</f>
        <v>Trabajador Social II</v>
      </c>
      <c r="E166" s="929">
        <f>+NOMINA!H159</f>
        <v>39098</v>
      </c>
      <c r="F166" s="930">
        <f>+NOMINA!BT159</f>
        <v>10.14</v>
      </c>
      <c r="G166" s="599"/>
      <c r="H166" s="600"/>
      <c r="I166" s="600"/>
      <c r="J166" s="600"/>
      <c r="K166" s="600"/>
    </row>
    <row r="167" spans="1:11" ht="15.75" customHeight="1" x14ac:dyDescent="0.25">
      <c r="A167" s="928">
        <f t="shared" si="2"/>
        <v>117</v>
      </c>
      <c r="B167" s="926">
        <f>+NOMINA!C160</f>
        <v>15752048</v>
      </c>
      <c r="C167" s="926" t="str">
        <f>+NOMINA!D160</f>
        <v>Briceño Rangel Sudney Dayan</v>
      </c>
      <c r="D167" s="926" t="str">
        <f>+NOMINA!O160</f>
        <v>Guia de Centro II</v>
      </c>
      <c r="E167" s="929">
        <f>+NOMINA!H160</f>
        <v>39679</v>
      </c>
      <c r="F167" s="930">
        <f>+NOMINA!BT160</f>
        <v>13.78</v>
      </c>
      <c r="G167" s="599"/>
      <c r="H167" s="600"/>
      <c r="I167" s="600"/>
      <c r="J167" s="600"/>
      <c r="K167" s="600"/>
    </row>
    <row r="168" spans="1:11" ht="15.75" customHeight="1" x14ac:dyDescent="0.25">
      <c r="A168" s="928">
        <f t="shared" si="2"/>
        <v>118</v>
      </c>
      <c r="B168" s="926">
        <f>+NOMINA!C161</f>
        <v>15752183</v>
      </c>
      <c r="C168" s="926" t="str">
        <f>+NOMINA!D161</f>
        <v>Delduca Adriana del Valle</v>
      </c>
      <c r="D168" s="926" t="str">
        <f>+NOMINA!O161</f>
        <v>Analista de Presupuesto IV</v>
      </c>
      <c r="E168" s="929">
        <f>+NOMINA!H161</f>
        <v>38930</v>
      </c>
      <c r="F168" s="930">
        <f>+NOMINA!BT161</f>
        <v>0</v>
      </c>
      <c r="G168" s="599"/>
      <c r="H168" s="600"/>
      <c r="I168" s="600"/>
      <c r="J168" s="600"/>
      <c r="K168" s="600"/>
    </row>
    <row r="169" spans="1:11" ht="15.75" customHeight="1" x14ac:dyDescent="0.25">
      <c r="A169" s="928">
        <f t="shared" si="2"/>
        <v>119</v>
      </c>
      <c r="B169" s="926">
        <f>+NOMINA!C162</f>
        <v>15752386</v>
      </c>
      <c r="C169" s="926" t="str">
        <f>+NOMINA!D162</f>
        <v>Villegas Gonzalez Mileide Karine</v>
      </c>
      <c r="D169" s="926" t="str">
        <f>+NOMINA!O162</f>
        <v>Guia de Centro II</v>
      </c>
      <c r="E169" s="929">
        <f>+NOMINA!H162</f>
        <v>38930</v>
      </c>
      <c r="F169" s="930">
        <f>+NOMINA!BT162</f>
        <v>13.68</v>
      </c>
      <c r="G169" s="599"/>
      <c r="H169" s="600"/>
      <c r="I169" s="600"/>
      <c r="J169" s="600"/>
      <c r="K169" s="600"/>
    </row>
    <row r="170" spans="1:11" ht="15.75" customHeight="1" x14ac:dyDescent="0.25">
      <c r="A170" s="928">
        <f t="shared" si="2"/>
        <v>120</v>
      </c>
      <c r="B170" s="926">
        <f>+NOMINA!C163</f>
        <v>15752435</v>
      </c>
      <c r="C170" s="926" t="str">
        <f>+NOMINA!D163</f>
        <v>Gonzalez de Sayago Damarys Coromoto</v>
      </c>
      <c r="D170" s="926" t="str">
        <f>+NOMINA!O163</f>
        <v>Trabajador Social II</v>
      </c>
      <c r="E170" s="929">
        <f>+NOMINA!H163</f>
        <v>38930</v>
      </c>
      <c r="F170" s="930">
        <f>+NOMINA!BT163</f>
        <v>10.52</v>
      </c>
      <c r="G170" s="599"/>
      <c r="H170" s="600"/>
      <c r="I170" s="600"/>
      <c r="J170" s="600"/>
      <c r="K170" s="600"/>
    </row>
    <row r="171" spans="1:11" ht="15.75" customHeight="1" x14ac:dyDescent="0.25">
      <c r="A171" s="928">
        <f t="shared" si="2"/>
        <v>121</v>
      </c>
      <c r="B171" s="926">
        <f>+NOMINA!C164</f>
        <v>15780354</v>
      </c>
      <c r="C171" s="926" t="str">
        <f>+NOMINA!D164</f>
        <v>Yndriago Blanco Lismiley Andreina</v>
      </c>
      <c r="D171" s="926" t="str">
        <f>+NOMINA!O164</f>
        <v>Guia de Centro I</v>
      </c>
      <c r="E171" s="929">
        <f>+NOMINA!H164</f>
        <v>44409</v>
      </c>
      <c r="F171" s="930">
        <f>+NOMINA!BT164</f>
        <v>11.62</v>
      </c>
      <c r="G171" s="599"/>
      <c r="H171" s="600"/>
      <c r="I171" s="600"/>
      <c r="J171" s="600"/>
      <c r="K171" s="600"/>
    </row>
    <row r="172" spans="1:11" ht="15.75" customHeight="1" x14ac:dyDescent="0.25">
      <c r="A172" s="928">
        <f t="shared" si="2"/>
        <v>122</v>
      </c>
      <c r="B172" s="926">
        <f>+NOMINA!C165</f>
        <v>15824548</v>
      </c>
      <c r="C172" s="926" t="str">
        <f>+NOMINA!D165</f>
        <v>Moreno Maria Angelica</v>
      </c>
      <c r="D172" s="926" t="str">
        <f>+NOMINA!O165</f>
        <v>Tecnico Superior en Trabajo Social II</v>
      </c>
      <c r="E172" s="929">
        <f>+NOMINA!H165</f>
        <v>44317</v>
      </c>
      <c r="F172" s="930">
        <f>+NOMINA!BT165</f>
        <v>8.8800000000000008</v>
      </c>
      <c r="G172" s="599"/>
      <c r="H172" s="600"/>
      <c r="I172" s="600"/>
      <c r="J172" s="600"/>
      <c r="K172" s="600"/>
    </row>
    <row r="173" spans="1:11" ht="15.75" customHeight="1" x14ac:dyDescent="0.25">
      <c r="A173" s="928">
        <f t="shared" si="2"/>
        <v>123</v>
      </c>
      <c r="B173" s="926">
        <f>+NOMINA!C166</f>
        <v>15904692</v>
      </c>
      <c r="C173" s="926" t="str">
        <f>+NOMINA!D166</f>
        <v>Sifontes Sosa Mayulis Dayana</v>
      </c>
      <c r="D173" s="926" t="str">
        <f>+NOMINA!O166</f>
        <v>Guia de Centro II</v>
      </c>
      <c r="E173" s="929">
        <f>+NOMINA!H166</f>
        <v>39756</v>
      </c>
      <c r="F173" s="930">
        <f>+NOMINA!BT166</f>
        <v>13.26</v>
      </c>
      <c r="G173" s="599"/>
      <c r="H173" s="600"/>
      <c r="I173" s="600"/>
      <c r="J173" s="600"/>
      <c r="K173" s="600"/>
    </row>
    <row r="174" spans="1:11" ht="15.75" customHeight="1" x14ac:dyDescent="0.25">
      <c r="A174" s="928">
        <f t="shared" si="2"/>
        <v>124</v>
      </c>
      <c r="B174" s="926">
        <f>+NOMINA!C167</f>
        <v>16015833</v>
      </c>
      <c r="C174" s="926" t="str">
        <f>+NOMINA!D167</f>
        <v>Briceño Doris Elena</v>
      </c>
      <c r="D174" s="926" t="str">
        <f>+NOMINA!O167</f>
        <v>Guia de Centro II</v>
      </c>
      <c r="E174" s="929">
        <f>+NOMINA!H167</f>
        <v>42948</v>
      </c>
      <c r="F174" s="930">
        <f>+NOMINA!BT167</f>
        <v>14.48</v>
      </c>
      <c r="G174" s="599"/>
      <c r="H174" s="600"/>
      <c r="I174" s="600"/>
      <c r="J174" s="600"/>
      <c r="K174" s="600"/>
    </row>
    <row r="175" spans="1:11" ht="15.75" customHeight="1" x14ac:dyDescent="0.25">
      <c r="A175" s="928">
        <f t="shared" si="2"/>
        <v>125</v>
      </c>
      <c r="B175" s="926">
        <f>+NOMINA!C168</f>
        <v>16065580</v>
      </c>
      <c r="C175" s="926" t="str">
        <f>+NOMINA!D168</f>
        <v>Paredes de Rendon Zuly Josefina</v>
      </c>
      <c r="D175" s="926" t="str">
        <f>+NOMINA!O168</f>
        <v>Tutor Facilitador II</v>
      </c>
      <c r="E175" s="929">
        <f>+NOMINA!H168</f>
        <v>44363</v>
      </c>
      <c r="F175" s="930">
        <f>+NOMINA!BT168</f>
        <v>10.76</v>
      </c>
      <c r="G175" s="599"/>
      <c r="H175" s="600"/>
      <c r="I175" s="600"/>
      <c r="J175" s="600"/>
      <c r="K175" s="600"/>
    </row>
    <row r="176" spans="1:11" ht="15.75" customHeight="1" x14ac:dyDescent="0.25">
      <c r="A176" s="928">
        <f t="shared" si="2"/>
        <v>126</v>
      </c>
      <c r="B176" s="926">
        <f>+NOMINA!C169</f>
        <v>16065861</v>
      </c>
      <c r="C176" s="926" t="str">
        <f>+NOMINA!D169</f>
        <v>Gonzalez Pineda Eduardo Manuel</v>
      </c>
      <c r="D176" s="926" t="str">
        <f>+NOMINA!O169</f>
        <v>Entrenador Deportivo VI</v>
      </c>
      <c r="E176" s="929">
        <f>+NOMINA!H169</f>
        <v>43906</v>
      </c>
      <c r="F176" s="930">
        <f>+NOMINA!BT169</f>
        <v>12.06</v>
      </c>
      <c r="G176" s="599"/>
      <c r="H176" s="600"/>
      <c r="I176" s="600"/>
      <c r="J176" s="600"/>
      <c r="K176" s="600"/>
    </row>
    <row r="177" spans="1:11" ht="15.75" customHeight="1" x14ac:dyDescent="0.25">
      <c r="A177" s="928">
        <f t="shared" si="2"/>
        <v>127</v>
      </c>
      <c r="B177" s="926">
        <f>+NOMINA!C170</f>
        <v>16066524</v>
      </c>
      <c r="C177" s="926" t="str">
        <f>+NOMINA!D170</f>
        <v>Carmona Peñaloza Yaneth Coromoto</v>
      </c>
      <c r="D177" s="926" t="str">
        <f>+NOMINA!O170</f>
        <v>Asistente Administrativo III</v>
      </c>
      <c r="E177" s="929">
        <f>+NOMINA!H170</f>
        <v>41456</v>
      </c>
      <c r="F177" s="930">
        <f>+NOMINA!BT170</f>
        <v>0</v>
      </c>
      <c r="G177" s="599"/>
      <c r="H177" s="600"/>
      <c r="I177" s="600"/>
      <c r="J177" s="600"/>
      <c r="K177" s="600"/>
    </row>
    <row r="178" spans="1:11" ht="15.75" customHeight="1" x14ac:dyDescent="0.25">
      <c r="A178" s="928">
        <f t="shared" si="2"/>
        <v>128</v>
      </c>
      <c r="B178" s="926">
        <f>+NOMINA!C171</f>
        <v>16066554</v>
      </c>
      <c r="C178" s="926" t="str">
        <f>+NOMINA!D171</f>
        <v>Gonzalez Huerta Maria Josefina</v>
      </c>
      <c r="D178" s="926" t="str">
        <f>+NOMINA!O171</f>
        <v>Auditor IV</v>
      </c>
      <c r="E178" s="929">
        <f>+NOMINA!H171</f>
        <v>38797</v>
      </c>
      <c r="F178" s="930">
        <f>+NOMINA!BT171</f>
        <v>12.8</v>
      </c>
      <c r="G178" s="599"/>
      <c r="H178" s="600"/>
      <c r="I178" s="600"/>
      <c r="J178" s="600"/>
      <c r="K178" s="600"/>
    </row>
    <row r="179" spans="1:11" ht="15.75" customHeight="1" x14ac:dyDescent="0.25">
      <c r="A179" s="928">
        <f t="shared" si="2"/>
        <v>129</v>
      </c>
      <c r="B179" s="926">
        <f>+NOMINA!C172</f>
        <v>16266033</v>
      </c>
      <c r="C179" s="926" t="str">
        <f>+NOMINA!D172</f>
        <v>Montilla de Davila Nileidy del Valle</v>
      </c>
      <c r="D179" s="926" t="str">
        <f>+NOMINA!O172</f>
        <v>Guia de Centro I</v>
      </c>
      <c r="E179" s="929">
        <f>+NOMINA!H172</f>
        <v>44713</v>
      </c>
      <c r="F179" s="930">
        <f>+NOMINA!BT172</f>
        <v>12.36</v>
      </c>
      <c r="G179" s="599"/>
      <c r="H179" s="600"/>
      <c r="I179" s="600"/>
      <c r="J179" s="600"/>
      <c r="K179" s="600"/>
    </row>
    <row r="180" spans="1:11" ht="15.75" customHeight="1" x14ac:dyDescent="0.25">
      <c r="A180" s="928">
        <f t="shared" si="2"/>
        <v>130</v>
      </c>
      <c r="B180" s="926">
        <f>+NOMINA!C173</f>
        <v>16266989</v>
      </c>
      <c r="C180" s="926" t="str">
        <f>+NOMINA!D173</f>
        <v>Rincon Quevedo Angela Adriana</v>
      </c>
      <c r="D180" s="926" t="str">
        <f>+NOMINA!O173</f>
        <v>Guia de Centro II</v>
      </c>
      <c r="E180" s="929">
        <f>+NOMINA!H173</f>
        <v>43040</v>
      </c>
      <c r="F180" s="930">
        <f>+NOMINA!BT173</f>
        <v>14.78</v>
      </c>
      <c r="G180" s="599"/>
      <c r="H180" s="600"/>
      <c r="I180" s="600"/>
      <c r="J180" s="600"/>
      <c r="K180" s="600"/>
    </row>
    <row r="181" spans="1:11" ht="15.75" customHeight="1" x14ac:dyDescent="0.25">
      <c r="A181" s="928">
        <f t="shared" ref="A181:A244" si="3">+A180+1</f>
        <v>131</v>
      </c>
      <c r="B181" s="926">
        <f>+NOMINA!C174</f>
        <v>16267940</v>
      </c>
      <c r="C181" s="926" t="str">
        <f>+NOMINA!D174</f>
        <v>Araujo Moreno Elisaelith</v>
      </c>
      <c r="D181" s="926" t="str">
        <f>+NOMINA!O174</f>
        <v>Tecnico Superior en Trabajo Social II</v>
      </c>
      <c r="E181" s="929">
        <f>+NOMINA!H174</f>
        <v>44600</v>
      </c>
      <c r="F181" s="930">
        <f>+NOMINA!BT174</f>
        <v>8.84</v>
      </c>
      <c r="G181" s="599"/>
      <c r="H181" s="600"/>
      <c r="I181" s="600"/>
      <c r="J181" s="600"/>
      <c r="K181" s="600"/>
    </row>
    <row r="182" spans="1:11" ht="15.75" customHeight="1" x14ac:dyDescent="0.25">
      <c r="A182" s="928">
        <f t="shared" si="3"/>
        <v>132</v>
      </c>
      <c r="B182" s="926">
        <f>+NOMINA!C175</f>
        <v>16376534</v>
      </c>
      <c r="C182" s="926" t="str">
        <f>+NOMINA!D175</f>
        <v>Lugo Moreno Yenny Katiuska</v>
      </c>
      <c r="D182" s="926" t="str">
        <f>+NOMINA!O175</f>
        <v>Guia de Centro II</v>
      </c>
      <c r="E182" s="929">
        <f>+NOMINA!H175</f>
        <v>43754</v>
      </c>
      <c r="F182" s="930">
        <f>+NOMINA!BT175</f>
        <v>14.08</v>
      </c>
      <c r="G182" s="599"/>
      <c r="H182" s="600"/>
      <c r="I182" s="600"/>
      <c r="J182" s="600"/>
      <c r="K182" s="600"/>
    </row>
    <row r="183" spans="1:11" ht="15.75" customHeight="1" x14ac:dyDescent="0.25">
      <c r="A183" s="928">
        <f t="shared" si="3"/>
        <v>133</v>
      </c>
      <c r="B183" s="926">
        <f>+NOMINA!C176</f>
        <v>16376698</v>
      </c>
      <c r="C183" s="926" t="str">
        <f>+NOMINA!D176</f>
        <v>Barreto Maldonado Jose Luis</v>
      </c>
      <c r="D183" s="926" t="str">
        <f>+NOMINA!O176</f>
        <v>Supervisor de Servicios Generales IV</v>
      </c>
      <c r="E183" s="929">
        <f>+NOMINA!H176</f>
        <v>40909</v>
      </c>
      <c r="F183" s="930">
        <f>+NOMINA!BT176</f>
        <v>7.1</v>
      </c>
      <c r="G183" s="599"/>
      <c r="H183" s="600"/>
      <c r="I183" s="600"/>
      <c r="J183" s="600"/>
      <c r="K183" s="600"/>
    </row>
    <row r="184" spans="1:11" ht="15.75" customHeight="1" x14ac:dyDescent="0.25">
      <c r="A184" s="928">
        <f t="shared" si="3"/>
        <v>134</v>
      </c>
      <c r="B184" s="926">
        <f>+NOMINA!C177</f>
        <v>16377159</v>
      </c>
      <c r="C184" s="926" t="str">
        <f>+NOMINA!D177</f>
        <v>Carrillo Uzcategui Tahiyuani Carolina</v>
      </c>
      <c r="D184" s="926" t="str">
        <f>+NOMINA!O177</f>
        <v>Guia de Centro I</v>
      </c>
      <c r="E184" s="929">
        <f>+NOMINA!H177</f>
        <v>44743</v>
      </c>
      <c r="F184" s="930">
        <f>+NOMINA!BT177</f>
        <v>11.88</v>
      </c>
      <c r="G184" s="599"/>
      <c r="H184" s="600"/>
      <c r="I184" s="600"/>
      <c r="J184" s="600"/>
      <c r="K184" s="600"/>
    </row>
    <row r="185" spans="1:11" ht="15.75" customHeight="1" x14ac:dyDescent="0.25">
      <c r="A185" s="928">
        <f t="shared" si="3"/>
        <v>135</v>
      </c>
      <c r="B185" s="926">
        <f>+NOMINA!C178</f>
        <v>16377588</v>
      </c>
      <c r="C185" s="926" t="str">
        <f>+NOMINA!D178</f>
        <v>Perdomo Linares Alejandra Carolina</v>
      </c>
      <c r="D185" s="926" t="str">
        <f>+NOMINA!O178</f>
        <v>Tutor Facilitador II</v>
      </c>
      <c r="E185" s="929">
        <f>+NOMINA!H178</f>
        <v>44059</v>
      </c>
      <c r="F185" s="930">
        <f>+NOMINA!BT178</f>
        <v>10.84</v>
      </c>
      <c r="G185" s="599"/>
      <c r="H185" s="600"/>
      <c r="I185" s="600"/>
      <c r="J185" s="600"/>
      <c r="K185" s="600"/>
    </row>
    <row r="186" spans="1:11" ht="15.75" customHeight="1" x14ac:dyDescent="0.25">
      <c r="A186" s="928">
        <f t="shared" si="3"/>
        <v>136</v>
      </c>
      <c r="B186" s="926">
        <f>+NOMINA!C179</f>
        <v>16377628</v>
      </c>
      <c r="C186" s="926" t="str">
        <f>+NOMINA!D179</f>
        <v>Peña Nava Maria Gabriela</v>
      </c>
      <c r="D186" s="926" t="str">
        <f>+NOMINA!O179</f>
        <v>Guia de Centro II</v>
      </c>
      <c r="E186" s="929">
        <f>+NOMINA!H179</f>
        <v>44743</v>
      </c>
      <c r="F186" s="930">
        <f>+NOMINA!BT179</f>
        <v>15.1</v>
      </c>
      <c r="G186" s="599"/>
      <c r="H186" s="600"/>
      <c r="I186" s="600"/>
      <c r="J186" s="600"/>
      <c r="K186" s="600"/>
    </row>
    <row r="187" spans="1:11" ht="15.75" customHeight="1" x14ac:dyDescent="0.25">
      <c r="A187" s="928">
        <f t="shared" si="3"/>
        <v>137</v>
      </c>
      <c r="B187" s="926">
        <f>+NOMINA!C180</f>
        <v>16533566</v>
      </c>
      <c r="C187" s="926" t="str">
        <f>+NOMINA!D180</f>
        <v>Materan Gallardo Vivian Katiana</v>
      </c>
      <c r="D187" s="926" t="str">
        <f>+NOMINA!O180</f>
        <v>Guia de Centro I</v>
      </c>
      <c r="E187" s="929">
        <f>+NOMINA!H180</f>
        <v>44683</v>
      </c>
      <c r="F187" s="930">
        <f>+NOMINA!BT180</f>
        <v>8.0399999999999991</v>
      </c>
      <c r="G187" s="599"/>
      <c r="H187" s="600"/>
      <c r="I187" s="600"/>
      <c r="J187" s="600"/>
      <c r="K187" s="600"/>
    </row>
    <row r="188" spans="1:11" ht="15.75" customHeight="1" x14ac:dyDescent="0.25">
      <c r="A188" s="928">
        <f t="shared" si="3"/>
        <v>138</v>
      </c>
      <c r="B188" s="926">
        <f>+NOMINA!C181</f>
        <v>16533615</v>
      </c>
      <c r="C188" s="926" t="str">
        <f>+NOMINA!D181</f>
        <v>Valero Sulbaran Urquia Del Mar</v>
      </c>
      <c r="D188" s="926" t="str">
        <f>+NOMINA!O181</f>
        <v>Guia de Centro I</v>
      </c>
      <c r="E188" s="929">
        <f>+NOMINA!H181</f>
        <v>45474</v>
      </c>
      <c r="F188" s="930">
        <f>+NOMINA!BT181</f>
        <v>12.7</v>
      </c>
      <c r="G188" s="599"/>
      <c r="H188" s="600"/>
      <c r="I188" s="600"/>
      <c r="J188" s="600"/>
      <c r="K188" s="600"/>
    </row>
    <row r="189" spans="1:11" ht="15.75" customHeight="1" x14ac:dyDescent="0.25">
      <c r="A189" s="928">
        <f t="shared" si="3"/>
        <v>139</v>
      </c>
      <c r="B189" s="926">
        <f>+NOMINA!C182</f>
        <v>16533986</v>
      </c>
      <c r="C189" s="926" t="str">
        <f>+NOMINA!D182</f>
        <v>Serrada Bustos Gladys Magaly</v>
      </c>
      <c r="D189" s="926" t="str">
        <f>+NOMINA!O182</f>
        <v>INGENIERO ELECTRICISTA JEFE</v>
      </c>
      <c r="E189" s="929">
        <f>+NOMINA!H182</f>
        <v>42948</v>
      </c>
      <c r="F189" s="930">
        <f>+NOMINA!BT182</f>
        <v>11.14</v>
      </c>
      <c r="G189" s="599"/>
      <c r="H189" s="600"/>
      <c r="I189" s="600"/>
      <c r="J189" s="600"/>
      <c r="K189" s="600"/>
    </row>
    <row r="190" spans="1:11" ht="15.75" customHeight="1" x14ac:dyDescent="0.25">
      <c r="A190" s="928">
        <f t="shared" si="3"/>
        <v>140</v>
      </c>
      <c r="B190" s="926">
        <f>+NOMINA!C183</f>
        <v>16739081</v>
      </c>
      <c r="C190" s="926" t="str">
        <f>+NOMINA!D183</f>
        <v>Albarran Araujo Yely Coromoto</v>
      </c>
      <c r="D190" s="926" t="str">
        <f>+NOMINA!O183</f>
        <v>Asistente Administrativo III</v>
      </c>
      <c r="E190" s="929">
        <f>+NOMINA!H183</f>
        <v>42948</v>
      </c>
      <c r="F190" s="930">
        <f>+NOMINA!BT183</f>
        <v>0</v>
      </c>
      <c r="G190" s="599"/>
      <c r="H190" s="600"/>
      <c r="I190" s="600"/>
      <c r="J190" s="600"/>
      <c r="K190" s="600"/>
    </row>
    <row r="191" spans="1:11" ht="15.75" customHeight="1" x14ac:dyDescent="0.25">
      <c r="A191" s="928">
        <f t="shared" si="3"/>
        <v>141</v>
      </c>
      <c r="B191" s="926">
        <f>+NOMINA!C184</f>
        <v>16740261</v>
      </c>
      <c r="C191" s="926" t="str">
        <f>+NOMINA!D184</f>
        <v>Rivas Briceño Nathaly Del Carmen</v>
      </c>
      <c r="D191" s="926" t="str">
        <f>+NOMINA!O184</f>
        <v>Tecnico Superior en Trabajo Social I</v>
      </c>
      <c r="E191" s="929">
        <f>+NOMINA!H184</f>
        <v>45505</v>
      </c>
      <c r="F191" s="930">
        <f>+NOMINA!BT184</f>
        <v>8.08</v>
      </c>
      <c r="G191" s="599"/>
      <c r="H191" s="600"/>
      <c r="I191" s="600"/>
      <c r="J191" s="600"/>
      <c r="K191" s="600"/>
    </row>
    <row r="192" spans="1:11" ht="15.75" customHeight="1" x14ac:dyDescent="0.25">
      <c r="A192" s="928">
        <f t="shared" si="3"/>
        <v>142</v>
      </c>
      <c r="B192" s="926">
        <f>+NOMINA!C185</f>
        <v>16881384</v>
      </c>
      <c r="C192" s="926" t="str">
        <f>+NOMINA!D185</f>
        <v>Perez Ramirez Yonathan Jesus</v>
      </c>
      <c r="D192" s="926" t="str">
        <f>+NOMINA!O185</f>
        <v>Guia de Centro II</v>
      </c>
      <c r="E192" s="929">
        <f>+NOMINA!H185</f>
        <v>43906</v>
      </c>
      <c r="F192" s="930">
        <f>+NOMINA!BT185</f>
        <v>12.24</v>
      </c>
      <c r="G192" s="599"/>
      <c r="H192" s="600"/>
      <c r="I192" s="600"/>
      <c r="J192" s="600"/>
      <c r="K192" s="600"/>
    </row>
    <row r="193" spans="1:11" ht="15.75" customHeight="1" x14ac:dyDescent="0.25">
      <c r="A193" s="928">
        <f t="shared" si="3"/>
        <v>143</v>
      </c>
      <c r="B193" s="926">
        <f>+NOMINA!C186</f>
        <v>16882467</v>
      </c>
      <c r="C193" s="926" t="str">
        <f>+NOMINA!D186</f>
        <v>Mejia Araujo Sandra Coromoto</v>
      </c>
      <c r="D193" s="926" t="str">
        <f>+NOMINA!O186</f>
        <v>Analista de Personal IV</v>
      </c>
      <c r="E193" s="929">
        <f>+NOMINA!H186</f>
        <v>42948</v>
      </c>
      <c r="F193" s="930">
        <f>+NOMINA!BT186</f>
        <v>11.66</v>
      </c>
      <c r="G193" s="599"/>
      <c r="H193" s="600"/>
      <c r="I193" s="600"/>
      <c r="J193" s="600"/>
      <c r="K193" s="600"/>
    </row>
    <row r="194" spans="1:11" ht="15.75" customHeight="1" x14ac:dyDescent="0.25">
      <c r="A194" s="928">
        <f t="shared" si="3"/>
        <v>144</v>
      </c>
      <c r="B194" s="926">
        <f>+NOMINA!C187</f>
        <v>16883267</v>
      </c>
      <c r="C194" s="926" t="str">
        <f>+NOMINA!D187</f>
        <v>Matheus Rondon Aida</v>
      </c>
      <c r="D194" s="926" t="str">
        <f>+NOMINA!O187</f>
        <v>Guia de Centro II</v>
      </c>
      <c r="E194" s="929">
        <f>+NOMINA!H187</f>
        <v>38930</v>
      </c>
      <c r="F194" s="930">
        <f>+NOMINA!BT187</f>
        <v>9.92</v>
      </c>
      <c r="G194" s="599"/>
      <c r="H194" s="600"/>
      <c r="I194" s="600"/>
      <c r="J194" s="600"/>
      <c r="K194" s="600"/>
    </row>
    <row r="195" spans="1:11" ht="15.75" customHeight="1" x14ac:dyDescent="0.25">
      <c r="A195" s="928">
        <f t="shared" si="3"/>
        <v>145</v>
      </c>
      <c r="B195" s="926">
        <f>+NOMINA!C188</f>
        <v>17037244</v>
      </c>
      <c r="C195" s="926" t="str">
        <f>+NOMINA!D188</f>
        <v>Bastidas Yelitza del Carmen</v>
      </c>
      <c r="D195" s="926" t="str">
        <f>+NOMINA!O188</f>
        <v>Guia de Centro II</v>
      </c>
      <c r="E195" s="929">
        <f>+NOMINA!H188</f>
        <v>40087</v>
      </c>
      <c r="F195" s="930">
        <f>+NOMINA!BT188</f>
        <v>13.16</v>
      </c>
      <c r="G195" s="599"/>
      <c r="H195" s="600"/>
      <c r="I195" s="600"/>
      <c r="J195" s="600"/>
      <c r="K195" s="600"/>
    </row>
    <row r="196" spans="1:11" ht="15.75" customHeight="1" x14ac:dyDescent="0.25">
      <c r="A196" s="928">
        <f t="shared" si="3"/>
        <v>146</v>
      </c>
      <c r="B196" s="926">
        <f>+NOMINA!C189</f>
        <v>17038061</v>
      </c>
      <c r="C196" s="926" t="str">
        <f>+NOMINA!D189</f>
        <v>Ruendez Araujo Omaira del Carmen</v>
      </c>
      <c r="D196" s="926" t="str">
        <f>+NOMINA!O189</f>
        <v>Guia de Centro I</v>
      </c>
      <c r="E196" s="929">
        <f>+NOMINA!H189</f>
        <v>45809</v>
      </c>
      <c r="F196" s="930">
        <f>+NOMINA!BT189</f>
        <v>7.44</v>
      </c>
      <c r="G196" s="599"/>
      <c r="H196" s="600"/>
      <c r="I196" s="600"/>
      <c r="J196" s="600"/>
      <c r="K196" s="600"/>
    </row>
    <row r="197" spans="1:11" ht="15.75" customHeight="1" x14ac:dyDescent="0.25">
      <c r="A197" s="928">
        <f t="shared" si="3"/>
        <v>147</v>
      </c>
      <c r="B197" s="926">
        <f>+NOMINA!C190</f>
        <v>17094419</v>
      </c>
      <c r="C197" s="926" t="str">
        <f>+NOMINA!D190</f>
        <v>Aponte Rivera Lenismar del Valle</v>
      </c>
      <c r="D197" s="926" t="str">
        <f>+NOMINA!O190</f>
        <v>Guia de Centro I</v>
      </c>
      <c r="E197" s="929">
        <f>+NOMINA!H190</f>
        <v>44409</v>
      </c>
      <c r="F197" s="930">
        <f>+NOMINA!BT190</f>
        <v>7.76</v>
      </c>
      <c r="G197" s="599"/>
      <c r="H197" s="600"/>
      <c r="I197" s="600"/>
      <c r="J197" s="600"/>
      <c r="K197" s="600"/>
    </row>
    <row r="198" spans="1:11" ht="15.75" customHeight="1" x14ac:dyDescent="0.25">
      <c r="A198" s="928">
        <f t="shared" si="3"/>
        <v>148</v>
      </c>
      <c r="B198" s="926">
        <f>+NOMINA!C191</f>
        <v>17094426</v>
      </c>
      <c r="C198" s="926" t="str">
        <f>+NOMINA!D191</f>
        <v>Manzanilla Araujo Richard Jose</v>
      </c>
      <c r="D198" s="926" t="str">
        <f>+NOMINA!O191</f>
        <v>Guia de Centro II</v>
      </c>
      <c r="E198" s="929">
        <f>+NOMINA!H191</f>
        <v>43344</v>
      </c>
      <c r="F198" s="930">
        <f>+NOMINA!BT191</f>
        <v>14.38</v>
      </c>
      <c r="G198" s="599"/>
      <c r="H198" s="600"/>
      <c r="I198" s="600"/>
      <c r="J198" s="600"/>
      <c r="K198" s="600"/>
    </row>
    <row r="199" spans="1:11" ht="15.75" customHeight="1" x14ac:dyDescent="0.25">
      <c r="A199" s="928">
        <f t="shared" si="3"/>
        <v>149</v>
      </c>
      <c r="B199" s="926">
        <f>+NOMINA!C192</f>
        <v>17130893</v>
      </c>
      <c r="C199" s="926" t="str">
        <f>+NOMINA!D192</f>
        <v>Leon Valero Ceila Maria</v>
      </c>
      <c r="D199" s="926" t="str">
        <f>+NOMINA!O192</f>
        <v>Tutor Facilitador III</v>
      </c>
      <c r="E199" s="929">
        <f>+NOMINA!H192</f>
        <v>39602</v>
      </c>
      <c r="F199" s="930">
        <f>+NOMINA!BT192</f>
        <v>12.52</v>
      </c>
      <c r="G199" s="599"/>
      <c r="H199" s="600"/>
      <c r="I199" s="600"/>
      <c r="J199" s="600"/>
      <c r="K199" s="600"/>
    </row>
    <row r="200" spans="1:11" ht="15.75" customHeight="1" x14ac:dyDescent="0.25">
      <c r="A200" s="928">
        <f t="shared" si="3"/>
        <v>150</v>
      </c>
      <c r="B200" s="926">
        <f>+NOMINA!C193</f>
        <v>17265578</v>
      </c>
      <c r="C200" s="926" t="str">
        <f>+NOMINA!D193</f>
        <v>Briceño Aguilar Rebeca Andreina</v>
      </c>
      <c r="D200" s="926" t="str">
        <f>+NOMINA!O193</f>
        <v>Tecnico Superior en Trabajo Social II</v>
      </c>
      <c r="E200" s="929">
        <f>+NOMINA!H193</f>
        <v>45047</v>
      </c>
      <c r="F200" s="930">
        <f>+NOMINA!BT193</f>
        <v>8.8800000000000008</v>
      </c>
      <c r="G200" s="599"/>
      <c r="H200" s="600"/>
      <c r="I200" s="600"/>
      <c r="J200" s="600"/>
      <c r="K200" s="600"/>
    </row>
    <row r="201" spans="1:11" ht="15.75" customHeight="1" x14ac:dyDescent="0.25">
      <c r="A201" s="928">
        <f t="shared" si="3"/>
        <v>151</v>
      </c>
      <c r="B201" s="926">
        <f>+NOMINA!C194</f>
        <v>17265648</v>
      </c>
      <c r="C201" s="926" t="str">
        <f>+NOMINA!D194</f>
        <v>Carrizo Mary Alejandra</v>
      </c>
      <c r="D201" s="926" t="str">
        <f>+NOMINA!O194</f>
        <v>Guia de Centro II</v>
      </c>
      <c r="E201" s="929">
        <f>+NOMINA!H194</f>
        <v>43709</v>
      </c>
      <c r="F201" s="930">
        <f>+NOMINA!BT194</f>
        <v>8.7200000000000006</v>
      </c>
      <c r="G201" s="599"/>
      <c r="H201" s="600"/>
      <c r="I201" s="600"/>
      <c r="J201" s="600"/>
      <c r="K201" s="600"/>
    </row>
    <row r="202" spans="1:11" ht="15.75" customHeight="1" x14ac:dyDescent="0.25">
      <c r="A202" s="928">
        <f t="shared" si="3"/>
        <v>152</v>
      </c>
      <c r="B202" s="926">
        <f>+NOMINA!C195</f>
        <v>17267324</v>
      </c>
      <c r="C202" s="926" t="str">
        <f>+NOMINA!D195</f>
        <v>Urdaneta Soto Katherine Esther</v>
      </c>
      <c r="D202" s="926" t="str">
        <f>+NOMINA!O195</f>
        <v>Guia de Centro II</v>
      </c>
      <c r="E202" s="929">
        <f>+NOMINA!H195</f>
        <v>43785</v>
      </c>
      <c r="F202" s="930">
        <f>+NOMINA!BT195</f>
        <v>7.8</v>
      </c>
      <c r="G202" s="599"/>
      <c r="H202" s="600"/>
      <c r="I202" s="600"/>
      <c r="J202" s="600"/>
      <c r="K202" s="600"/>
    </row>
    <row r="203" spans="1:11" ht="15.75" customHeight="1" x14ac:dyDescent="0.25">
      <c r="A203" s="928">
        <f t="shared" si="3"/>
        <v>153</v>
      </c>
      <c r="B203" s="926">
        <f>+NOMINA!C196</f>
        <v>17391316</v>
      </c>
      <c r="C203" s="926" t="str">
        <f>+NOMINA!D196</f>
        <v>Torres Aranguren Lilibeth del Valle</v>
      </c>
      <c r="D203" s="926" t="str">
        <f>+NOMINA!O196</f>
        <v>Guia de Centro I</v>
      </c>
      <c r="E203" s="929">
        <f>+NOMINA!H196</f>
        <v>44713</v>
      </c>
      <c r="F203" s="930">
        <f>+NOMINA!BT196</f>
        <v>11.48</v>
      </c>
      <c r="G203" s="599"/>
      <c r="H203" s="600"/>
      <c r="I203" s="600"/>
      <c r="J203" s="600"/>
      <c r="K203" s="600"/>
    </row>
    <row r="204" spans="1:11" ht="15.75" customHeight="1" x14ac:dyDescent="0.25">
      <c r="A204" s="928">
        <f t="shared" si="3"/>
        <v>154</v>
      </c>
      <c r="B204" s="926">
        <f>+NOMINA!C197</f>
        <v>17391892</v>
      </c>
      <c r="C204" s="926" t="str">
        <f>+NOMINA!D197</f>
        <v>Godoy Padilla Darcy Yaneth</v>
      </c>
      <c r="D204" s="926" t="str">
        <f>+NOMINA!O197</f>
        <v>Analista de Personal I</v>
      </c>
      <c r="E204" s="929">
        <f>+NOMINA!H197</f>
        <v>45323</v>
      </c>
      <c r="F204" s="930">
        <f>+NOMINA!BT197</f>
        <v>11</v>
      </c>
      <c r="G204" s="599"/>
      <c r="H204" s="600"/>
      <c r="I204" s="600"/>
      <c r="J204" s="600"/>
      <c r="K204" s="600"/>
    </row>
    <row r="205" spans="1:11" ht="15.75" customHeight="1" x14ac:dyDescent="0.25">
      <c r="A205" s="928">
        <f t="shared" si="3"/>
        <v>155</v>
      </c>
      <c r="B205" s="926">
        <f>+NOMINA!C198</f>
        <v>17392309</v>
      </c>
      <c r="C205" s="926" t="str">
        <f>+NOMINA!D198</f>
        <v>Torres Briceño Yarelis del Carmen</v>
      </c>
      <c r="D205" s="926" t="str">
        <f>+NOMINA!O198</f>
        <v>Administrador II</v>
      </c>
      <c r="E205" s="929">
        <f>+NOMINA!H198</f>
        <v>43116</v>
      </c>
      <c r="F205" s="930">
        <f>+NOMINA!BT198</f>
        <v>11.06</v>
      </c>
      <c r="G205" s="599"/>
      <c r="H205" s="600"/>
      <c r="I205" s="600"/>
      <c r="J205" s="600"/>
      <c r="K205" s="600"/>
    </row>
    <row r="206" spans="1:11" ht="15.75" customHeight="1" x14ac:dyDescent="0.25">
      <c r="A206" s="928">
        <f t="shared" si="3"/>
        <v>156</v>
      </c>
      <c r="B206" s="926">
        <f>+NOMINA!C199</f>
        <v>17393693</v>
      </c>
      <c r="C206" s="926" t="str">
        <f>+NOMINA!D199</f>
        <v>Nuñez Maria Gusmara</v>
      </c>
      <c r="D206" s="926" t="str">
        <f>+NOMINA!O199</f>
        <v>Asistente Administrativo II</v>
      </c>
      <c r="E206" s="929">
        <f>+NOMINA!H199</f>
        <v>44516</v>
      </c>
      <c r="F206" s="930">
        <f>+NOMINA!BT199</f>
        <v>6.2</v>
      </c>
      <c r="G206" s="599"/>
      <c r="H206" s="600"/>
      <c r="I206" s="600"/>
      <c r="J206" s="600"/>
      <c r="K206" s="600"/>
    </row>
    <row r="207" spans="1:11" ht="15.75" customHeight="1" x14ac:dyDescent="0.25">
      <c r="A207" s="928">
        <f t="shared" si="3"/>
        <v>157</v>
      </c>
      <c r="B207" s="926">
        <f>+NOMINA!C200</f>
        <v>17596844</v>
      </c>
      <c r="C207" s="926" t="str">
        <f>+NOMINA!D200</f>
        <v>Colmenares Jorge Luis</v>
      </c>
      <c r="D207" s="926" t="str">
        <f>+NOMINA!O200</f>
        <v>Guia de Centro I</v>
      </c>
      <c r="E207" s="929">
        <f>+NOMINA!H200</f>
        <v>45474</v>
      </c>
      <c r="F207" s="930">
        <f>+NOMINA!BT200</f>
        <v>10.88</v>
      </c>
      <c r="G207" s="599"/>
      <c r="H207" s="600"/>
      <c r="I207" s="600"/>
      <c r="J207" s="600"/>
      <c r="K207" s="600"/>
    </row>
    <row r="208" spans="1:11" ht="15.75" customHeight="1" x14ac:dyDescent="0.25">
      <c r="A208" s="928">
        <f t="shared" si="3"/>
        <v>158</v>
      </c>
      <c r="B208" s="926">
        <f>+NOMINA!C201</f>
        <v>17597257</v>
      </c>
      <c r="C208" s="926" t="str">
        <f>+NOMINA!D201</f>
        <v>Linares Barreto Jorge Luis</v>
      </c>
      <c r="D208" s="926" t="str">
        <f>+NOMINA!O201</f>
        <v>GUIA DE CENTRO I</v>
      </c>
      <c r="E208" s="929">
        <f>+NOMINA!H201</f>
        <v>45536</v>
      </c>
      <c r="F208" s="930">
        <f>+NOMINA!BT201</f>
        <v>10.5</v>
      </c>
      <c r="G208" s="599"/>
      <c r="H208" s="600"/>
      <c r="I208" s="600"/>
      <c r="J208" s="600"/>
      <c r="K208" s="600"/>
    </row>
    <row r="209" spans="1:11" ht="15.75" customHeight="1" x14ac:dyDescent="0.25">
      <c r="A209" s="928">
        <f t="shared" si="3"/>
        <v>159</v>
      </c>
      <c r="B209" s="926">
        <f>+NOMINA!C202</f>
        <v>17597285</v>
      </c>
      <c r="C209" s="926" t="str">
        <f>+NOMINA!D202</f>
        <v>Duarte Portillo Dani Vicente</v>
      </c>
      <c r="D209" s="926" t="str">
        <f>+NOMINA!O202</f>
        <v>Tecnico Superior en Trabajo Social II</v>
      </c>
      <c r="E209" s="929">
        <f>+NOMINA!H202</f>
        <v>42782</v>
      </c>
      <c r="F209" s="930">
        <f>+NOMINA!BT202</f>
        <v>8.8800000000000008</v>
      </c>
      <c r="G209" s="599"/>
      <c r="H209" s="600"/>
      <c r="I209" s="600"/>
      <c r="J209" s="600"/>
      <c r="K209" s="600"/>
    </row>
    <row r="210" spans="1:11" ht="15.75" customHeight="1" x14ac:dyDescent="0.25">
      <c r="A210" s="928">
        <f t="shared" si="3"/>
        <v>160</v>
      </c>
      <c r="B210" s="926">
        <f>+NOMINA!C203</f>
        <v>17604568</v>
      </c>
      <c r="C210" s="926" t="str">
        <f>+NOMINA!D203</f>
        <v>Rivera Gil Christian Rafael</v>
      </c>
      <c r="D210" s="926" t="str">
        <f>+NOMINA!O203</f>
        <v>Tecnico en Reparacion y Mantenimiento I</v>
      </c>
      <c r="E210" s="929">
        <f>+NOMINA!H203</f>
        <v>43831</v>
      </c>
      <c r="F210" s="930">
        <f>+NOMINA!BT203</f>
        <v>9.24</v>
      </c>
      <c r="G210" s="599"/>
      <c r="H210" s="600"/>
      <c r="I210" s="600"/>
      <c r="J210" s="600"/>
      <c r="K210" s="600"/>
    </row>
    <row r="211" spans="1:11" ht="15.75" customHeight="1" x14ac:dyDescent="0.25">
      <c r="A211" s="928">
        <f t="shared" si="3"/>
        <v>161</v>
      </c>
      <c r="B211" s="926">
        <f>+NOMINA!C204</f>
        <v>17605222</v>
      </c>
      <c r="C211" s="926" t="str">
        <f>+NOMINA!D204</f>
        <v>Aguial Dayana Carolina</v>
      </c>
      <c r="D211" s="926" t="str">
        <f>+NOMINA!O204</f>
        <v>Guia de Centro II</v>
      </c>
      <c r="E211" s="929">
        <f>+NOMINA!H204</f>
        <v>42737</v>
      </c>
      <c r="F211" s="930">
        <f>+NOMINA!BT204</f>
        <v>12.02</v>
      </c>
      <c r="G211" s="599"/>
      <c r="H211" s="600"/>
      <c r="I211" s="600"/>
      <c r="J211" s="600"/>
      <c r="K211" s="600"/>
    </row>
    <row r="212" spans="1:11" ht="15.75" customHeight="1" x14ac:dyDescent="0.25">
      <c r="A212" s="928">
        <f t="shared" si="3"/>
        <v>162</v>
      </c>
      <c r="B212" s="926">
        <f>+NOMINA!C205</f>
        <v>17605492</v>
      </c>
      <c r="C212" s="926" t="str">
        <f>+NOMINA!D205</f>
        <v>Briceño Briceño Naibely Carolina</v>
      </c>
      <c r="D212" s="926" t="str">
        <f>+NOMINA!O205</f>
        <v>Asistente Administrativo V</v>
      </c>
      <c r="E212" s="929">
        <f>+NOMINA!H205</f>
        <v>43967</v>
      </c>
      <c r="F212" s="930">
        <f>+NOMINA!BT205</f>
        <v>10.52</v>
      </c>
      <c r="G212" s="599"/>
      <c r="H212" s="600"/>
      <c r="I212" s="600"/>
      <c r="J212" s="600"/>
      <c r="K212" s="600"/>
    </row>
    <row r="213" spans="1:11" ht="15.75" customHeight="1" x14ac:dyDescent="0.25">
      <c r="A213" s="928">
        <f t="shared" si="3"/>
        <v>163</v>
      </c>
      <c r="B213" s="926">
        <f>+NOMINA!C206</f>
        <v>17606237</v>
      </c>
      <c r="C213" s="926" t="str">
        <f>+NOMINA!D206</f>
        <v>Castellano Rivera Maria Antonina</v>
      </c>
      <c r="D213" s="926" t="str">
        <f>+NOMINA!O206</f>
        <v>Asistente Administrativo III</v>
      </c>
      <c r="E213" s="929">
        <f>+NOMINA!H206</f>
        <v>40909</v>
      </c>
      <c r="F213" s="930">
        <f>+NOMINA!BT206</f>
        <v>8.24</v>
      </c>
      <c r="G213" s="599"/>
      <c r="H213" s="600"/>
      <c r="I213" s="600"/>
      <c r="J213" s="600"/>
      <c r="K213" s="600"/>
    </row>
    <row r="214" spans="1:11" ht="15.75" customHeight="1" x14ac:dyDescent="0.25">
      <c r="A214" s="928">
        <f t="shared" si="3"/>
        <v>164</v>
      </c>
      <c r="B214" s="926">
        <f>+NOMINA!C207</f>
        <v>17830972</v>
      </c>
      <c r="C214" s="926" t="str">
        <f>+NOMINA!D207</f>
        <v>Bastidas Franco Dianellys Sarain</v>
      </c>
      <c r="D214" s="926" t="str">
        <f>+NOMINA!O207</f>
        <v>Entrenador Deportivo IV</v>
      </c>
      <c r="E214" s="929">
        <f>+NOMINA!H207</f>
        <v>44713</v>
      </c>
      <c r="F214" s="930">
        <f>+NOMINA!BT207</f>
        <v>10.38</v>
      </c>
      <c r="G214" s="599"/>
      <c r="H214" s="600"/>
      <c r="I214" s="600"/>
      <c r="J214" s="600"/>
      <c r="K214" s="600"/>
    </row>
    <row r="215" spans="1:11" ht="15.75" customHeight="1" x14ac:dyDescent="0.25">
      <c r="A215" s="928">
        <f t="shared" si="3"/>
        <v>165</v>
      </c>
      <c r="B215" s="926">
        <f>+NOMINA!C208</f>
        <v>17831012</v>
      </c>
      <c r="C215" s="926" t="str">
        <f>+NOMINA!D208</f>
        <v>Valera Briceño Jesus Enrique</v>
      </c>
      <c r="D215" s="926" t="str">
        <f>+NOMINA!O208</f>
        <v>Guia de Centro I</v>
      </c>
      <c r="E215" s="929">
        <f>+NOMINA!H208</f>
        <v>45474</v>
      </c>
      <c r="F215" s="930">
        <f>+NOMINA!BT208</f>
        <v>8.4</v>
      </c>
      <c r="G215" s="599"/>
      <c r="H215" s="600"/>
      <c r="I215" s="600"/>
      <c r="J215" s="600"/>
      <c r="K215" s="600"/>
    </row>
    <row r="216" spans="1:11" ht="15.75" customHeight="1" x14ac:dyDescent="0.25">
      <c r="A216" s="928">
        <f t="shared" si="3"/>
        <v>166</v>
      </c>
      <c r="B216" s="926">
        <f>+NOMINA!C209</f>
        <v>17832396</v>
      </c>
      <c r="C216" s="926" t="str">
        <f>+NOMINA!D209</f>
        <v>Pulido Sanchez Joalina Vanessa</v>
      </c>
      <c r="D216" s="926" t="str">
        <f>+NOMINA!O209</f>
        <v>Enfermera Jefe I</v>
      </c>
      <c r="E216" s="929">
        <f>+NOMINA!H209</f>
        <v>43191</v>
      </c>
      <c r="F216" s="930">
        <f>+NOMINA!BT209</f>
        <v>9.42</v>
      </c>
      <c r="G216" s="599"/>
      <c r="H216" s="600"/>
      <c r="I216" s="600"/>
      <c r="J216" s="600"/>
      <c r="K216" s="600"/>
    </row>
    <row r="217" spans="1:11" ht="15.75" customHeight="1" x14ac:dyDescent="0.25">
      <c r="A217" s="928">
        <f t="shared" si="3"/>
        <v>167</v>
      </c>
      <c r="B217" s="926">
        <f>+NOMINA!C210</f>
        <v>17865154</v>
      </c>
      <c r="C217" s="926" t="str">
        <f>+NOMINA!D210</f>
        <v>Serrano Ingrid Maria</v>
      </c>
      <c r="D217" s="926" t="str">
        <f>+NOMINA!O210</f>
        <v>Guia de Centro I</v>
      </c>
      <c r="E217" s="929">
        <f>+NOMINA!H210</f>
        <v>43846</v>
      </c>
      <c r="F217" s="930">
        <f>+NOMINA!BT210</f>
        <v>7.48</v>
      </c>
      <c r="G217" s="599"/>
      <c r="H217" s="600"/>
      <c r="I217" s="600"/>
      <c r="J217" s="600"/>
      <c r="K217" s="600"/>
    </row>
    <row r="218" spans="1:11" ht="15.75" customHeight="1" x14ac:dyDescent="0.25">
      <c r="A218" s="928">
        <f t="shared" si="3"/>
        <v>168</v>
      </c>
      <c r="B218" s="926">
        <f>+NOMINA!C211</f>
        <v>18036203</v>
      </c>
      <c r="C218" s="926" t="str">
        <f>+NOMINA!D211</f>
        <v>Yepes Caceres Mervis Javier</v>
      </c>
      <c r="D218" s="926" t="str">
        <f>+NOMINA!O211</f>
        <v>Guia de Centro I</v>
      </c>
      <c r="E218" s="929">
        <f>+NOMINA!H211</f>
        <v>45505</v>
      </c>
      <c r="F218" s="930">
        <f>+NOMINA!BT211</f>
        <v>7.44</v>
      </c>
      <c r="G218" s="599"/>
      <c r="H218" s="600"/>
      <c r="I218" s="600"/>
      <c r="J218" s="600"/>
      <c r="K218" s="600"/>
    </row>
    <row r="219" spans="1:11" ht="15.75" customHeight="1" x14ac:dyDescent="0.25">
      <c r="A219" s="928">
        <f t="shared" si="3"/>
        <v>169</v>
      </c>
      <c r="B219" s="926">
        <f>+NOMINA!C212</f>
        <v>18036156</v>
      </c>
      <c r="C219" s="926" t="str">
        <f>+NOMINA!D212</f>
        <v>Ruiz Vasquez Endri Ramon</v>
      </c>
      <c r="D219" s="926" t="str">
        <f>+NOMINA!O212</f>
        <v>Guia de Centro I</v>
      </c>
      <c r="E219" s="929">
        <f>+NOMINA!H212</f>
        <v>45597</v>
      </c>
      <c r="F219" s="930">
        <f>+NOMINA!BT212</f>
        <v>6.76</v>
      </c>
      <c r="G219" s="599"/>
      <c r="H219" s="600"/>
      <c r="I219" s="600"/>
      <c r="J219" s="600"/>
      <c r="K219" s="600"/>
    </row>
    <row r="220" spans="1:11" ht="15.75" customHeight="1" x14ac:dyDescent="0.25">
      <c r="A220" s="928">
        <f t="shared" si="3"/>
        <v>170</v>
      </c>
      <c r="B220" s="926">
        <f>+NOMINA!C213</f>
        <v>18095603</v>
      </c>
      <c r="C220" s="926" t="str">
        <f>+NOMINA!D213</f>
        <v>Lozada Bencomo Daniela Carolina</v>
      </c>
      <c r="D220" s="926" t="str">
        <f>+NOMINA!O213</f>
        <v>Tecnico Superior en Trabajo Social II</v>
      </c>
      <c r="E220" s="929">
        <f>+NOMINA!H213</f>
        <v>42963</v>
      </c>
      <c r="F220" s="930">
        <f>+NOMINA!BT213</f>
        <v>9.56</v>
      </c>
      <c r="G220" s="599"/>
      <c r="H220" s="600"/>
      <c r="I220" s="600"/>
      <c r="J220" s="600"/>
      <c r="K220" s="600"/>
    </row>
    <row r="221" spans="1:11" ht="15.75" customHeight="1" x14ac:dyDescent="0.25">
      <c r="A221" s="928">
        <f t="shared" si="3"/>
        <v>171</v>
      </c>
      <c r="B221" s="926">
        <f>+NOMINA!C214</f>
        <v>18096996</v>
      </c>
      <c r="C221" s="926" t="str">
        <f>+NOMINA!D214</f>
        <v>Diaz Maldonado Anny Jackeline</v>
      </c>
      <c r="D221" s="926" t="str">
        <f>+NOMINA!O214</f>
        <v>CONTABILISTA III</v>
      </c>
      <c r="E221" s="929">
        <f>+NOMINA!H214</f>
        <v>44743</v>
      </c>
      <c r="F221" s="930">
        <f>+NOMINA!BT214</f>
        <v>8.84</v>
      </c>
      <c r="G221" s="599"/>
      <c r="H221" s="600"/>
      <c r="I221" s="600"/>
      <c r="J221" s="600"/>
      <c r="K221" s="600"/>
    </row>
    <row r="222" spans="1:11" ht="15.75" customHeight="1" x14ac:dyDescent="0.25">
      <c r="A222" s="928">
        <f t="shared" si="3"/>
        <v>172</v>
      </c>
      <c r="B222" s="926">
        <f>+NOMINA!C215</f>
        <v>18097528</v>
      </c>
      <c r="C222" s="926" t="str">
        <f>+NOMINA!D215</f>
        <v>Godoy Suarez Nelson Jose</v>
      </c>
      <c r="D222" s="926" t="str">
        <f>+NOMINA!O215</f>
        <v>Guia de Centro I</v>
      </c>
      <c r="E222" s="929">
        <f>+NOMINA!H215</f>
        <v>45536</v>
      </c>
      <c r="F222" s="930">
        <f>+NOMINA!BT215</f>
        <v>7.44</v>
      </c>
      <c r="G222" s="599"/>
      <c r="H222" s="600"/>
      <c r="I222" s="600"/>
      <c r="J222" s="600"/>
      <c r="K222" s="600"/>
    </row>
    <row r="223" spans="1:11" ht="15.75" customHeight="1" x14ac:dyDescent="0.25">
      <c r="A223" s="928">
        <f t="shared" si="3"/>
        <v>173</v>
      </c>
      <c r="B223" s="926">
        <f>+NOMINA!C216</f>
        <v>18097873</v>
      </c>
      <c r="C223" s="926" t="str">
        <f>+NOMINA!D216</f>
        <v>Villarreal Prada Yoriangela Nataly</v>
      </c>
      <c r="D223" s="926" t="str">
        <f>+NOMINA!O216</f>
        <v>Guia de Centro I</v>
      </c>
      <c r="E223" s="929">
        <f>+NOMINA!H216</f>
        <v>44531</v>
      </c>
      <c r="F223" s="930">
        <f>+NOMINA!BT216</f>
        <v>8.0399999999999991</v>
      </c>
      <c r="G223" s="599"/>
      <c r="H223" s="600"/>
      <c r="I223" s="600"/>
      <c r="J223" s="600"/>
      <c r="K223" s="600"/>
    </row>
    <row r="224" spans="1:11" ht="15.75" customHeight="1" x14ac:dyDescent="0.25">
      <c r="A224" s="928">
        <f t="shared" si="3"/>
        <v>174</v>
      </c>
      <c r="B224" s="926">
        <f>+NOMINA!C217</f>
        <v>18348317</v>
      </c>
      <c r="C224" s="926" t="str">
        <f>+NOMINA!D217</f>
        <v>Abreu Araujo Gilmer Francisco</v>
      </c>
      <c r="D224" s="926" t="str">
        <f>+NOMINA!O217</f>
        <v>Tutor Facilitador III</v>
      </c>
      <c r="E224" s="929">
        <f>+NOMINA!H217</f>
        <v>43160</v>
      </c>
      <c r="F224" s="930">
        <f>+NOMINA!BT217</f>
        <v>11.5</v>
      </c>
      <c r="G224" s="599"/>
      <c r="H224" s="600"/>
      <c r="I224" s="600"/>
      <c r="J224" s="600"/>
      <c r="K224" s="600"/>
    </row>
    <row r="225" spans="1:11" ht="15.75" customHeight="1" x14ac:dyDescent="0.25">
      <c r="A225" s="928">
        <f t="shared" si="3"/>
        <v>175</v>
      </c>
      <c r="B225" s="926">
        <f>+NOMINA!C218</f>
        <v>18348721</v>
      </c>
      <c r="C225" s="926" t="str">
        <f>+NOMINA!D218</f>
        <v>Villarreal Lusana Carolina</v>
      </c>
      <c r="D225" s="926" t="str">
        <f>+NOMINA!O218</f>
        <v>Tecnico Superior en Trabajo Social II</v>
      </c>
      <c r="E225" s="929">
        <f>+NOMINA!H218</f>
        <v>42948</v>
      </c>
      <c r="F225" s="930">
        <f>+NOMINA!BT218</f>
        <v>9.48</v>
      </c>
      <c r="G225" s="599"/>
      <c r="H225" s="600"/>
      <c r="I225" s="600"/>
      <c r="J225" s="600"/>
      <c r="K225" s="600"/>
    </row>
    <row r="226" spans="1:11" ht="15.75" customHeight="1" x14ac:dyDescent="0.25">
      <c r="A226" s="928">
        <f t="shared" si="3"/>
        <v>176</v>
      </c>
      <c r="B226" s="926">
        <f>+NOMINA!C219</f>
        <v>18349021</v>
      </c>
      <c r="C226" s="926" t="str">
        <f>+NOMINA!D219</f>
        <v>Godoy Linares Amenaida del Valle</v>
      </c>
      <c r="D226" s="926" t="str">
        <f>+NOMINA!O219</f>
        <v>Guia de Centro I</v>
      </c>
      <c r="E226" s="929">
        <f>+NOMINA!H219</f>
        <v>44683</v>
      </c>
      <c r="F226" s="930">
        <f>+NOMINA!BT219</f>
        <v>11.96</v>
      </c>
      <c r="G226" s="599"/>
      <c r="H226" s="600"/>
      <c r="I226" s="600"/>
      <c r="J226" s="600"/>
      <c r="K226" s="600"/>
    </row>
    <row r="227" spans="1:11" ht="15.75" customHeight="1" x14ac:dyDescent="0.25">
      <c r="A227" s="928">
        <f t="shared" si="3"/>
        <v>177</v>
      </c>
      <c r="B227" s="926">
        <f>+NOMINA!C220</f>
        <v>18349409</v>
      </c>
      <c r="C227" s="926" t="str">
        <f>+NOMINA!D220</f>
        <v>Fernandez Mendoza Maria Alejandra</v>
      </c>
      <c r="D227" s="926" t="str">
        <f>+NOMINA!O220</f>
        <v>Guia de Centro I</v>
      </c>
      <c r="E227" s="929">
        <f>+NOMINA!H220</f>
        <v>45839</v>
      </c>
      <c r="F227" s="930">
        <f>+NOMINA!BT220</f>
        <v>7.08</v>
      </c>
      <c r="G227" s="599"/>
      <c r="H227" s="600"/>
      <c r="I227" s="600"/>
      <c r="J227" s="600"/>
      <c r="K227" s="600"/>
    </row>
    <row r="228" spans="1:11" ht="15.75" customHeight="1" x14ac:dyDescent="0.25">
      <c r="A228" s="928">
        <f t="shared" si="3"/>
        <v>178</v>
      </c>
      <c r="B228" s="926">
        <f>+NOMINA!C221</f>
        <v>18349653</v>
      </c>
      <c r="C228" s="926" t="str">
        <f>+NOMINA!D221</f>
        <v>Baptista Finol Violexy del Valle</v>
      </c>
      <c r="D228" s="926" t="str">
        <f>+NOMINA!O221</f>
        <v>Guia de Centro I</v>
      </c>
      <c r="E228" s="929">
        <f>+NOMINA!H221</f>
        <v>45627</v>
      </c>
      <c r="F228" s="930">
        <f>+NOMINA!BT221</f>
        <v>11.28</v>
      </c>
      <c r="G228" s="599"/>
      <c r="H228" s="600"/>
      <c r="I228" s="600"/>
      <c r="J228" s="600"/>
      <c r="K228" s="600"/>
    </row>
    <row r="229" spans="1:11" ht="15.75" customHeight="1" x14ac:dyDescent="0.25">
      <c r="A229" s="928">
        <f t="shared" si="3"/>
        <v>179</v>
      </c>
      <c r="B229" s="926">
        <f>+NOMINA!C222</f>
        <v>18350884</v>
      </c>
      <c r="C229" s="926" t="str">
        <f>+NOMINA!D222</f>
        <v>Araujo Mendoza Mirelis Carolina</v>
      </c>
      <c r="D229" s="926" t="str">
        <f>+NOMINA!O222</f>
        <v>Guia de Centro I</v>
      </c>
      <c r="E229" s="929">
        <f>+NOMINA!H222</f>
        <v>45474</v>
      </c>
      <c r="F229" s="930">
        <f>+NOMINA!BT222</f>
        <v>7.12</v>
      </c>
      <c r="G229" s="599"/>
      <c r="H229" s="600"/>
      <c r="I229" s="600"/>
      <c r="J229" s="600"/>
      <c r="K229" s="600"/>
    </row>
    <row r="230" spans="1:11" ht="15.75" customHeight="1" x14ac:dyDescent="0.25">
      <c r="A230" s="928">
        <f t="shared" si="3"/>
        <v>180</v>
      </c>
      <c r="B230" s="926">
        <f>+NOMINA!C223</f>
        <v>18378985</v>
      </c>
      <c r="C230" s="926" t="str">
        <f>+NOMINA!D223</f>
        <v>Quintero Paradas Ilse Maria</v>
      </c>
      <c r="D230" s="926" t="str">
        <f>+NOMINA!O223</f>
        <v>Analista de Procesamiento de Datos II</v>
      </c>
      <c r="E230" s="929">
        <f>+NOMINA!H223</f>
        <v>43147</v>
      </c>
      <c r="F230" s="930">
        <f>+NOMINA!BT223</f>
        <v>11.36</v>
      </c>
      <c r="G230" s="599"/>
      <c r="H230" s="600"/>
      <c r="I230" s="600"/>
      <c r="J230" s="600"/>
      <c r="K230" s="600"/>
    </row>
    <row r="231" spans="1:11" ht="15.75" customHeight="1" x14ac:dyDescent="0.25">
      <c r="A231" s="928">
        <f t="shared" si="3"/>
        <v>181</v>
      </c>
      <c r="B231" s="926">
        <f>+NOMINA!C224</f>
        <v>18456345</v>
      </c>
      <c r="C231" s="926" t="str">
        <f>+NOMINA!D224</f>
        <v>Peñaloza Olmos Eduardo Jose</v>
      </c>
      <c r="D231" s="926" t="str">
        <f>+NOMINA!O224</f>
        <v>ESPECIALISTA EN INFORMATICA I</v>
      </c>
      <c r="E231" s="929">
        <f>+NOMINA!H224</f>
        <v>44774</v>
      </c>
      <c r="F231" s="930">
        <f>+NOMINA!BT224</f>
        <v>10.38</v>
      </c>
      <c r="G231" s="599"/>
      <c r="H231" s="600"/>
      <c r="I231" s="600"/>
      <c r="J231" s="600"/>
      <c r="K231" s="600"/>
    </row>
    <row r="232" spans="1:11" ht="15.75" customHeight="1" x14ac:dyDescent="0.25">
      <c r="A232" s="928">
        <f t="shared" si="3"/>
        <v>182</v>
      </c>
      <c r="B232" s="926">
        <f>+NOMINA!C225</f>
        <v>18457406</v>
      </c>
      <c r="C232" s="926" t="str">
        <f>+NOMINA!D225</f>
        <v>Rivero Zambrano Herluis Jose</v>
      </c>
      <c r="D232" s="926" t="str">
        <f>+NOMINA!O225</f>
        <v>Ingeniero Agronomo IV</v>
      </c>
      <c r="E232" s="929">
        <f>+NOMINA!H225</f>
        <v>41548</v>
      </c>
      <c r="F232" s="930">
        <f>+NOMINA!BT225</f>
        <v>0</v>
      </c>
      <c r="G232" s="599"/>
      <c r="H232" s="600"/>
      <c r="I232" s="600"/>
      <c r="J232" s="600"/>
      <c r="K232" s="600"/>
    </row>
    <row r="233" spans="1:11" ht="15.75" customHeight="1" x14ac:dyDescent="0.25">
      <c r="A233" s="928">
        <f t="shared" si="3"/>
        <v>183</v>
      </c>
      <c r="B233" s="926">
        <f>+NOMINA!C226</f>
        <v>18458012</v>
      </c>
      <c r="C233" s="926" t="str">
        <f>+NOMINA!D226</f>
        <v>Briceño Uzcategui Maria Esperanza</v>
      </c>
      <c r="D233" s="926" t="str">
        <f>+NOMINA!O226</f>
        <v>Asistente Administrativo III</v>
      </c>
      <c r="E233" s="929">
        <f>+NOMINA!H226</f>
        <v>44636</v>
      </c>
      <c r="F233" s="930">
        <f>+NOMINA!BT226</f>
        <v>9.14</v>
      </c>
      <c r="G233" s="599"/>
      <c r="H233" s="600"/>
      <c r="I233" s="600"/>
      <c r="J233" s="600"/>
      <c r="K233" s="600"/>
    </row>
    <row r="234" spans="1:11" ht="15.75" customHeight="1" x14ac:dyDescent="0.25">
      <c r="A234" s="928">
        <f t="shared" si="3"/>
        <v>184</v>
      </c>
      <c r="B234" s="926">
        <f>+NOMINA!C227</f>
        <v>18733682</v>
      </c>
      <c r="C234" s="926" t="str">
        <f>+NOMINA!D227</f>
        <v>Ocanto Ramirez Maria Alejandra</v>
      </c>
      <c r="D234" s="926" t="str">
        <f>+NOMINA!O227</f>
        <v>Guia de Centro I</v>
      </c>
      <c r="E234" s="929">
        <f>+NOMINA!H227</f>
        <v>45474</v>
      </c>
      <c r="F234" s="930">
        <f>+NOMINA!BT227</f>
        <v>7.12</v>
      </c>
      <c r="G234" s="599"/>
      <c r="H234" s="600"/>
      <c r="I234" s="600"/>
      <c r="J234" s="600"/>
      <c r="K234" s="600"/>
    </row>
    <row r="235" spans="1:11" ht="15.75" customHeight="1" x14ac:dyDescent="0.25">
      <c r="A235" s="928">
        <f t="shared" si="3"/>
        <v>185</v>
      </c>
      <c r="B235" s="926">
        <f>+NOMINA!C228</f>
        <v>18801597</v>
      </c>
      <c r="C235" s="926" t="str">
        <f>+NOMINA!D228</f>
        <v>Rodriguez Salas Mary Carmen</v>
      </c>
      <c r="D235" s="926" t="str">
        <f>+NOMINA!O228</f>
        <v>Tutor Facilitador III</v>
      </c>
      <c r="E235" s="929">
        <f>+NOMINA!H228</f>
        <v>43359</v>
      </c>
      <c r="F235" s="930">
        <f>+NOMINA!BT228</f>
        <v>11.36</v>
      </c>
      <c r="G235" s="599"/>
      <c r="H235" s="600"/>
      <c r="I235" s="600"/>
      <c r="J235" s="600"/>
      <c r="K235" s="600"/>
    </row>
    <row r="236" spans="1:11" ht="15.75" customHeight="1" x14ac:dyDescent="0.25">
      <c r="A236" s="928">
        <f t="shared" si="3"/>
        <v>186</v>
      </c>
      <c r="B236" s="926">
        <f>+NOMINA!C229</f>
        <v>18802405</v>
      </c>
      <c r="C236" s="926" t="str">
        <f>+NOMINA!D229</f>
        <v>Ramirez Rodriguez Rudys Arelys</v>
      </c>
      <c r="D236" s="926" t="str">
        <f>+NOMINA!O229</f>
        <v>Tutor Facilitador I</v>
      </c>
      <c r="E236" s="929">
        <f>+NOMINA!H229</f>
        <v>44332</v>
      </c>
      <c r="F236" s="930">
        <f>+NOMINA!BT229</f>
        <v>11.08</v>
      </c>
      <c r="G236" s="599"/>
      <c r="H236" s="600"/>
      <c r="I236" s="600"/>
      <c r="J236" s="600"/>
      <c r="K236" s="600"/>
    </row>
    <row r="237" spans="1:11" ht="15.75" customHeight="1" x14ac:dyDescent="0.25">
      <c r="A237" s="928">
        <f t="shared" si="3"/>
        <v>187</v>
      </c>
      <c r="B237" s="926">
        <f>+NOMINA!C230</f>
        <v>18984406</v>
      </c>
      <c r="C237" s="926" t="str">
        <f>+NOMINA!D230</f>
        <v>Torres Santiago Eduardo David</v>
      </c>
      <c r="D237" s="926" t="str">
        <f>+NOMINA!O230</f>
        <v>Guia de Centro I</v>
      </c>
      <c r="E237" s="929">
        <f>+NOMINA!H230</f>
        <v>45200</v>
      </c>
      <c r="F237" s="930">
        <f>+NOMINA!BT230</f>
        <v>6.8</v>
      </c>
      <c r="G237" s="599"/>
      <c r="H237" s="600"/>
      <c r="I237" s="600"/>
      <c r="J237" s="600"/>
      <c r="K237" s="600"/>
    </row>
    <row r="238" spans="1:11" ht="15.75" customHeight="1" x14ac:dyDescent="0.25">
      <c r="A238" s="928">
        <f t="shared" si="3"/>
        <v>188</v>
      </c>
      <c r="B238" s="926">
        <f>+NOMINA!C231</f>
        <v>19101647</v>
      </c>
      <c r="C238" s="926" t="str">
        <f>+NOMINA!D231</f>
        <v>Uzcategui Urbina Madeley Tatiana</v>
      </c>
      <c r="D238" s="926" t="str">
        <f>+NOMINA!O231</f>
        <v>Guia de Centro I</v>
      </c>
      <c r="E238" s="929">
        <f>+NOMINA!H231</f>
        <v>43845</v>
      </c>
      <c r="F238" s="930">
        <f>+NOMINA!BT231</f>
        <v>8.1199999999999992</v>
      </c>
      <c r="G238" s="599"/>
      <c r="H238" s="600"/>
      <c r="I238" s="600"/>
      <c r="J238" s="600"/>
      <c r="K238" s="600"/>
    </row>
    <row r="239" spans="1:11" ht="15.75" customHeight="1" x14ac:dyDescent="0.25">
      <c r="A239" s="928">
        <f t="shared" si="3"/>
        <v>189</v>
      </c>
      <c r="B239" s="926">
        <f>+NOMINA!C232</f>
        <v>19101773</v>
      </c>
      <c r="C239" s="926" t="str">
        <f>+NOMINA!D232</f>
        <v>Gil Molina Maite Karina</v>
      </c>
      <c r="D239" s="926" t="str">
        <f>+NOMINA!O232</f>
        <v>Guia de Centro I</v>
      </c>
      <c r="E239" s="929">
        <f>+NOMINA!H232</f>
        <v>45200</v>
      </c>
      <c r="F239" s="930">
        <f>+NOMINA!BT232</f>
        <v>10.1</v>
      </c>
      <c r="G239" s="599"/>
      <c r="H239" s="600"/>
      <c r="I239" s="600"/>
      <c r="J239" s="600"/>
      <c r="K239" s="600"/>
    </row>
    <row r="240" spans="1:11" ht="15.75" customHeight="1" x14ac:dyDescent="0.25">
      <c r="A240" s="928">
        <f t="shared" si="3"/>
        <v>190</v>
      </c>
      <c r="B240" s="926">
        <f>+NOMINA!C233</f>
        <v>19103118</v>
      </c>
      <c r="C240" s="926" t="str">
        <f>+NOMINA!D233</f>
        <v>Plaza Quintero Orelis Maria</v>
      </c>
      <c r="D240" s="926" t="str">
        <f>+NOMINA!O233</f>
        <v>Tecnico Superior en Trabajo Social II</v>
      </c>
      <c r="E240" s="929">
        <f>+NOMINA!H233</f>
        <v>43724</v>
      </c>
      <c r="F240" s="930">
        <f>+NOMINA!BT233</f>
        <v>9.06</v>
      </c>
      <c r="G240" s="599"/>
      <c r="H240" s="600"/>
      <c r="I240" s="600"/>
      <c r="J240" s="600"/>
      <c r="K240" s="600"/>
    </row>
    <row r="241" spans="1:11" ht="15.75" customHeight="1" x14ac:dyDescent="0.25">
      <c r="A241" s="928">
        <f t="shared" si="3"/>
        <v>191</v>
      </c>
      <c r="B241" s="926">
        <f>+NOMINA!C234</f>
        <v>19103604</v>
      </c>
      <c r="C241" s="926" t="str">
        <f>+NOMINA!D234</f>
        <v>Hernandez Graterol Gleidys Coromoto</v>
      </c>
      <c r="D241" s="926" t="str">
        <f>+NOMINA!O234</f>
        <v>Asistente Administrativo III</v>
      </c>
      <c r="E241" s="929">
        <f>+NOMINA!H234</f>
        <v>44600</v>
      </c>
      <c r="F241" s="930">
        <f>+NOMINA!BT234</f>
        <v>9.14</v>
      </c>
      <c r="G241" s="599"/>
      <c r="H241" s="600"/>
      <c r="I241" s="600"/>
      <c r="J241" s="600"/>
      <c r="K241" s="600"/>
    </row>
    <row r="242" spans="1:11" ht="15.75" customHeight="1" x14ac:dyDescent="0.25">
      <c r="A242" s="928">
        <f t="shared" si="3"/>
        <v>192</v>
      </c>
      <c r="B242" s="926">
        <f>+NOMINA!C235</f>
        <v>19103823</v>
      </c>
      <c r="C242" s="926" t="str">
        <f>+NOMINA!D235</f>
        <v>Valero Sanchez Zulay del Valle</v>
      </c>
      <c r="D242" s="926" t="str">
        <f>+NOMINA!O235</f>
        <v>Tutor Facilitador III</v>
      </c>
      <c r="E242" s="929">
        <f>+NOMINA!H235</f>
        <v>42795</v>
      </c>
      <c r="F242" s="930">
        <f>+NOMINA!BT235</f>
        <v>12.88</v>
      </c>
      <c r="G242" s="599"/>
      <c r="H242" s="600"/>
      <c r="I242" s="600"/>
      <c r="J242" s="600"/>
      <c r="K242" s="600"/>
    </row>
    <row r="243" spans="1:11" ht="15.75" customHeight="1" x14ac:dyDescent="0.25">
      <c r="A243" s="928">
        <f t="shared" si="3"/>
        <v>193</v>
      </c>
      <c r="B243" s="926">
        <f>+NOMINA!C236</f>
        <v>19286780</v>
      </c>
      <c r="C243" s="926" t="str">
        <f>+NOMINA!D236</f>
        <v>Mejia Rosales Katiusca Josefina</v>
      </c>
      <c r="D243" s="926" t="str">
        <f>+NOMINA!O236</f>
        <v>Asistente Administrativo III</v>
      </c>
      <c r="E243" s="929">
        <f>+NOMINA!H236</f>
        <v>42492</v>
      </c>
      <c r="F243" s="930">
        <f>+NOMINA!BT236</f>
        <v>9.6</v>
      </c>
      <c r="G243" s="599"/>
      <c r="H243" s="600"/>
      <c r="I243" s="600"/>
      <c r="J243" s="600"/>
      <c r="K243" s="600"/>
    </row>
    <row r="244" spans="1:11" ht="15.75" customHeight="1" x14ac:dyDescent="0.25">
      <c r="A244" s="928">
        <f t="shared" si="3"/>
        <v>194</v>
      </c>
      <c r="B244" s="926">
        <f>+NOMINA!C237</f>
        <v>19287100</v>
      </c>
      <c r="C244" s="926" t="str">
        <f>+NOMINA!D237</f>
        <v>Leal Mejia Fraineli Yoset</v>
      </c>
      <c r="D244" s="926" t="str">
        <f>+NOMINA!O237</f>
        <v>Tecnico Superior en Trabajo Social II</v>
      </c>
      <c r="E244" s="929">
        <f>+NOMINA!H237</f>
        <v>44713</v>
      </c>
      <c r="F244" s="930">
        <f>+NOMINA!BT237</f>
        <v>9.14</v>
      </c>
      <c r="G244" s="599"/>
      <c r="H244" s="600"/>
      <c r="I244" s="600"/>
      <c r="J244" s="600"/>
      <c r="K244" s="600"/>
    </row>
    <row r="245" spans="1:11" ht="15.75" customHeight="1" x14ac:dyDescent="0.25">
      <c r="A245" s="928">
        <f t="shared" ref="A245:A309" si="4">+A244+1</f>
        <v>195</v>
      </c>
      <c r="B245" s="926">
        <f>+NOMINA!C238</f>
        <v>19610534</v>
      </c>
      <c r="C245" s="926" t="str">
        <f>+NOMINA!D238</f>
        <v>Santos Saavedra Greosmar Johan</v>
      </c>
      <c r="D245" s="926" t="str">
        <f>+NOMINA!O238</f>
        <v>Guia de Centro I</v>
      </c>
      <c r="E245" s="929">
        <f>+NOMINA!H238</f>
        <v>44713</v>
      </c>
      <c r="F245" s="930">
        <f>+NOMINA!BT238</f>
        <v>8.84</v>
      </c>
      <c r="G245" s="599"/>
      <c r="H245" s="600"/>
      <c r="I245" s="600"/>
      <c r="J245" s="600"/>
      <c r="K245" s="600"/>
    </row>
    <row r="246" spans="1:11" ht="15.75" customHeight="1" x14ac:dyDescent="0.25">
      <c r="A246" s="928">
        <f t="shared" si="4"/>
        <v>196</v>
      </c>
      <c r="B246" s="926">
        <f>+NOMINA!C239</f>
        <v>19610565</v>
      </c>
      <c r="C246" s="926" t="str">
        <f>+NOMINA!D239</f>
        <v>Uzcategui Uzcategui Saray Cristina</v>
      </c>
      <c r="D246" s="926" t="str">
        <f>+NOMINA!O239</f>
        <v>Guia de Centro I</v>
      </c>
      <c r="E246" s="929">
        <f>+NOMINA!H239</f>
        <v>44713</v>
      </c>
      <c r="F246" s="930">
        <f>+NOMINA!BT239</f>
        <v>9.52</v>
      </c>
      <c r="G246" s="599"/>
      <c r="H246" s="600"/>
      <c r="I246" s="600"/>
      <c r="J246" s="600"/>
      <c r="K246" s="600"/>
    </row>
    <row r="247" spans="1:11" ht="15.75" customHeight="1" x14ac:dyDescent="0.25">
      <c r="A247" s="928">
        <f t="shared" si="4"/>
        <v>197</v>
      </c>
      <c r="B247" s="926">
        <f>+NOMINA!C240</f>
        <v>19643405</v>
      </c>
      <c r="C247" s="926" t="str">
        <f>+NOMINA!D240</f>
        <v>Valero Mejia Aleidy Rosana</v>
      </c>
      <c r="D247" s="926" t="str">
        <f>+NOMINA!O240</f>
        <v>Guia de Centro II</v>
      </c>
      <c r="E247" s="929">
        <f>+NOMINA!H240</f>
        <v>43221</v>
      </c>
      <c r="F247" s="930">
        <f>+NOMINA!BT240</f>
        <v>11.86</v>
      </c>
      <c r="G247" s="599"/>
      <c r="H247" s="600"/>
      <c r="I247" s="600"/>
      <c r="J247" s="600"/>
      <c r="K247" s="600"/>
    </row>
    <row r="248" spans="1:11" ht="15.75" customHeight="1" x14ac:dyDescent="0.25">
      <c r="A248" s="928">
        <f t="shared" si="4"/>
        <v>198</v>
      </c>
      <c r="B248" s="926">
        <f>+NOMINA!C241</f>
        <v>19643806</v>
      </c>
      <c r="C248" s="926" t="str">
        <f>+NOMINA!D241</f>
        <v>Vazquez Hernandez Doris Mercedes</v>
      </c>
      <c r="D248" s="926" t="str">
        <f>+NOMINA!O241</f>
        <v>Asistente Administrativo III</v>
      </c>
      <c r="E248" s="929">
        <f>+NOMINA!H241</f>
        <v>45505</v>
      </c>
      <c r="F248" s="930">
        <f>+NOMINA!BT241</f>
        <v>8.7200000000000006</v>
      </c>
      <c r="G248" s="599"/>
      <c r="H248" s="600"/>
      <c r="I248" s="600"/>
      <c r="J248" s="600"/>
      <c r="K248" s="600"/>
    </row>
    <row r="249" spans="1:11" ht="15.75" customHeight="1" x14ac:dyDescent="0.25">
      <c r="A249" s="928">
        <f t="shared" si="4"/>
        <v>199</v>
      </c>
      <c r="B249" s="926">
        <f>+NOMINA!C242</f>
        <v>19644743</v>
      </c>
      <c r="C249" s="926" t="str">
        <f>+NOMINA!D242</f>
        <v>Villa Daniela Carolina</v>
      </c>
      <c r="D249" s="926" t="str">
        <f>+NOMINA!O242</f>
        <v>Analista de Procesamiento de Datos II</v>
      </c>
      <c r="E249" s="929">
        <f>+NOMINA!H242</f>
        <v>43967</v>
      </c>
      <c r="F249" s="930">
        <f>+NOMINA!BT242</f>
        <v>11.14</v>
      </c>
      <c r="G249" s="599"/>
      <c r="H249" s="600"/>
      <c r="I249" s="600"/>
      <c r="J249" s="600"/>
      <c r="K249" s="600"/>
    </row>
    <row r="250" spans="1:11" ht="15.75" customHeight="1" x14ac:dyDescent="0.25">
      <c r="A250" s="928">
        <f t="shared" si="4"/>
        <v>200</v>
      </c>
      <c r="B250" s="926">
        <f>+NOMINA!C243</f>
        <v>19644756</v>
      </c>
      <c r="C250" s="926" t="str">
        <f>+NOMINA!D243</f>
        <v>Mejia Aldana Norbelys Carolina</v>
      </c>
      <c r="D250" s="926" t="str">
        <f>+NOMINA!O243</f>
        <v>Economa II</v>
      </c>
      <c r="E250" s="929">
        <f>+NOMINA!H243</f>
        <v>44470</v>
      </c>
      <c r="F250" s="930">
        <f>+NOMINA!BT243</f>
        <v>5.94</v>
      </c>
      <c r="G250" s="599"/>
      <c r="H250" s="600"/>
      <c r="I250" s="600"/>
      <c r="J250" s="600"/>
      <c r="K250" s="600"/>
    </row>
    <row r="251" spans="1:11" ht="15.75" customHeight="1" x14ac:dyDescent="0.25">
      <c r="A251" s="928">
        <f t="shared" si="4"/>
        <v>201</v>
      </c>
      <c r="B251" s="926">
        <f>+NOMINA!C244</f>
        <v>19794217</v>
      </c>
      <c r="C251" s="926" t="str">
        <f>+NOMINA!D244</f>
        <v>Suarez Leal Betzabeth Daimar</v>
      </c>
      <c r="D251" s="926" t="str">
        <f>+NOMINA!O244</f>
        <v>Guia de Centro I</v>
      </c>
      <c r="E251" s="929">
        <f>+NOMINA!H244</f>
        <v>44683</v>
      </c>
      <c r="F251" s="930">
        <f>+NOMINA!BT244</f>
        <v>11.48</v>
      </c>
      <c r="G251" s="599"/>
      <c r="H251" s="600"/>
      <c r="I251" s="600"/>
      <c r="J251" s="600"/>
      <c r="K251" s="600"/>
    </row>
    <row r="252" spans="1:11" ht="15.75" customHeight="1" x14ac:dyDescent="0.25">
      <c r="A252" s="928">
        <f t="shared" si="4"/>
        <v>202</v>
      </c>
      <c r="B252" s="926">
        <f>+NOMINA!C245</f>
        <v>20038162</v>
      </c>
      <c r="C252" s="926" t="str">
        <f>+NOMINA!D245</f>
        <v>Jerez Rangel Gleidy Andreina</v>
      </c>
      <c r="D252" s="926" t="str">
        <f>+NOMINA!O245</f>
        <v>Guia de Centro I</v>
      </c>
      <c r="E252" s="929">
        <f>+NOMINA!H245</f>
        <v>45597</v>
      </c>
      <c r="F252" s="930">
        <f>+NOMINA!BT245</f>
        <v>11.28</v>
      </c>
      <c r="G252" s="599"/>
      <c r="H252" s="600"/>
      <c r="I252" s="600"/>
      <c r="J252" s="600"/>
      <c r="K252" s="600"/>
    </row>
    <row r="253" spans="1:11" ht="15.75" customHeight="1" x14ac:dyDescent="0.25">
      <c r="A253" s="928">
        <f t="shared" si="4"/>
        <v>203</v>
      </c>
      <c r="B253" s="926">
        <f>+NOMINA!C246</f>
        <v>20040405</v>
      </c>
      <c r="C253" s="926" t="str">
        <f>+NOMINA!D246</f>
        <v>Lopez Padilla Angela Maria</v>
      </c>
      <c r="D253" s="926" t="str">
        <f>+NOMINA!O246</f>
        <v>Tutor Facilitador I</v>
      </c>
      <c r="E253" s="929">
        <f>+NOMINA!H246</f>
        <v>45717</v>
      </c>
      <c r="F253" s="930">
        <f>+NOMINA!BT246</f>
        <v>9.4</v>
      </c>
      <c r="G253" s="599"/>
      <c r="H253" s="600"/>
      <c r="I253" s="600"/>
      <c r="J253" s="600"/>
      <c r="K253" s="600"/>
    </row>
    <row r="254" spans="1:11" ht="15.75" customHeight="1" x14ac:dyDescent="0.25">
      <c r="A254" s="928">
        <f t="shared" si="4"/>
        <v>204</v>
      </c>
      <c r="B254" s="926">
        <f>+NOMINA!C247</f>
        <v>20655363</v>
      </c>
      <c r="C254" s="926" t="str">
        <f>+NOMINA!D247</f>
        <v>Sarache Ramirez Maryelis Stefani</v>
      </c>
      <c r="D254" s="926" t="str">
        <f>+NOMINA!O247</f>
        <v>Guia de Centro I</v>
      </c>
      <c r="E254" s="929">
        <f>+NOMINA!H247</f>
        <v>45323</v>
      </c>
      <c r="F254" s="930">
        <f>+NOMINA!BT247</f>
        <v>11.34</v>
      </c>
      <c r="G254" s="599"/>
      <c r="H254" s="600"/>
      <c r="I254" s="600"/>
      <c r="J254" s="600"/>
      <c r="K254" s="600"/>
    </row>
    <row r="255" spans="1:11" ht="15.75" customHeight="1" x14ac:dyDescent="0.25">
      <c r="A255" s="928">
        <f t="shared" si="4"/>
        <v>205</v>
      </c>
      <c r="B255" s="926">
        <f>+NOMINA!C248</f>
        <v>20401711</v>
      </c>
      <c r="C255" s="926" t="str">
        <f>+NOMINA!D248</f>
        <v>Mendez Giro Maryely Roxana</v>
      </c>
      <c r="D255" s="926" t="str">
        <f>+NOMINA!O248</f>
        <v>Guia de Centro II</v>
      </c>
      <c r="E255" s="929">
        <f>+NOMINA!H248</f>
        <v>44363</v>
      </c>
      <c r="F255" s="930">
        <f>+NOMINA!BT248</f>
        <v>12.16</v>
      </c>
      <c r="G255" s="599"/>
      <c r="H255" s="600"/>
      <c r="I255" s="600"/>
      <c r="J255" s="600"/>
      <c r="K255" s="600"/>
    </row>
    <row r="256" spans="1:11" ht="15.75" customHeight="1" x14ac:dyDescent="0.25">
      <c r="A256" s="928">
        <f t="shared" si="4"/>
        <v>206</v>
      </c>
      <c r="B256" s="926">
        <f>+NOMINA!C249</f>
        <v>20428039</v>
      </c>
      <c r="C256" s="926" t="str">
        <f>+NOMINA!D249</f>
        <v>Manzanilla Juan Roberto Antonio</v>
      </c>
      <c r="D256" s="926" t="str">
        <f>+NOMINA!O249</f>
        <v>Guia de Centro I</v>
      </c>
      <c r="E256" s="929">
        <f>+NOMINA!H249</f>
        <v>45566</v>
      </c>
      <c r="F256" s="930">
        <f>+NOMINA!BT249</f>
        <v>7.54</v>
      </c>
      <c r="G256" s="599"/>
      <c r="H256" s="600"/>
      <c r="I256" s="600"/>
      <c r="J256" s="600"/>
      <c r="K256" s="600"/>
    </row>
    <row r="257" spans="1:11" ht="15.75" customHeight="1" x14ac:dyDescent="0.25">
      <c r="A257" s="928">
        <f t="shared" si="4"/>
        <v>207</v>
      </c>
      <c r="B257" s="926">
        <f>+NOMINA!C250</f>
        <v>20603227</v>
      </c>
      <c r="C257" s="926" t="str">
        <f>+NOMINA!D250</f>
        <v>Morillo Garces Yeniree Lourdes</v>
      </c>
      <c r="D257" s="926" t="str">
        <f>+NOMINA!O250</f>
        <v>Tecnico Superior en Trabajo Social II</v>
      </c>
      <c r="E257" s="929">
        <f>+NOMINA!H250</f>
        <v>44470</v>
      </c>
      <c r="F257" s="930">
        <f>+NOMINA!BT250</f>
        <v>9.14</v>
      </c>
      <c r="G257" s="599"/>
      <c r="H257" s="600"/>
      <c r="I257" s="600"/>
      <c r="J257" s="600"/>
      <c r="K257" s="600"/>
    </row>
    <row r="258" spans="1:11" ht="15.75" customHeight="1" x14ac:dyDescent="0.25">
      <c r="A258" s="928">
        <f t="shared" si="4"/>
        <v>208</v>
      </c>
      <c r="B258" s="926">
        <f>+NOMINA!C251</f>
        <v>20707490</v>
      </c>
      <c r="C258" s="926" t="str">
        <f>+NOMINA!D251</f>
        <v>Saavedra Valera Keila Andreina</v>
      </c>
      <c r="D258" s="926" t="str">
        <f>+NOMINA!O251</f>
        <v>Tutor Facilitador III</v>
      </c>
      <c r="E258" s="929">
        <f>+NOMINA!H251</f>
        <v>42751</v>
      </c>
      <c r="F258" s="930">
        <f>+NOMINA!BT251</f>
        <v>9.16</v>
      </c>
      <c r="G258" s="599"/>
      <c r="H258" s="600"/>
      <c r="I258" s="600"/>
      <c r="J258" s="600"/>
      <c r="K258" s="600"/>
    </row>
    <row r="259" spans="1:11" ht="15.75" customHeight="1" x14ac:dyDescent="0.25">
      <c r="A259" s="928">
        <f t="shared" si="4"/>
        <v>209</v>
      </c>
      <c r="B259" s="926">
        <f>+NOMINA!C252</f>
        <v>20789286</v>
      </c>
      <c r="C259" s="926" t="str">
        <f>+NOMINA!D252</f>
        <v>Viloria Jessica del Carmen</v>
      </c>
      <c r="D259" s="926" t="str">
        <f>+NOMINA!O252</f>
        <v>Asistente Administrativo IV</v>
      </c>
      <c r="E259" s="929">
        <f>+NOMINA!H252</f>
        <v>44713</v>
      </c>
      <c r="F259" s="930">
        <f>+NOMINA!BT252</f>
        <v>10.7</v>
      </c>
      <c r="G259" s="599"/>
      <c r="H259" s="600"/>
      <c r="I259" s="600"/>
      <c r="J259" s="600"/>
      <c r="K259" s="600"/>
    </row>
    <row r="260" spans="1:11" ht="15.75" customHeight="1" x14ac:dyDescent="0.25">
      <c r="A260" s="928">
        <f t="shared" si="4"/>
        <v>210</v>
      </c>
      <c r="B260" s="926">
        <f>+NOMINA!C253</f>
        <v>20790947</v>
      </c>
      <c r="C260" s="926" t="str">
        <f>+NOMINA!D253</f>
        <v>Urbina Cuellar Tannessy Lenery</v>
      </c>
      <c r="D260" s="926" t="str">
        <f>+NOMINA!O253</f>
        <v>Asistente Administrativo IV</v>
      </c>
      <c r="E260" s="929">
        <f>+NOMINA!H253</f>
        <v>43967</v>
      </c>
      <c r="F260" s="930">
        <f>+NOMINA!BT253</f>
        <v>0</v>
      </c>
      <c r="G260" s="599"/>
      <c r="H260" s="600"/>
      <c r="I260" s="600"/>
      <c r="J260" s="600"/>
      <c r="K260" s="600"/>
    </row>
    <row r="261" spans="1:11" ht="15.75" customHeight="1" x14ac:dyDescent="0.25">
      <c r="A261" s="928">
        <f t="shared" si="4"/>
        <v>211</v>
      </c>
      <c r="B261" s="926">
        <f>+NOMINA!C254</f>
        <v>21061126</v>
      </c>
      <c r="C261" s="926" t="str">
        <f>+NOMINA!D254</f>
        <v>Olivar Nava Robinson de Jesus</v>
      </c>
      <c r="D261" s="926" t="str">
        <f>+NOMINA!O254</f>
        <v>Guia de Centro I</v>
      </c>
      <c r="E261" s="929">
        <f>+NOMINA!H254</f>
        <v>45047</v>
      </c>
      <c r="F261" s="930">
        <f>+NOMINA!BT254</f>
        <v>10.58</v>
      </c>
      <c r="G261" s="599"/>
      <c r="H261" s="600"/>
      <c r="I261" s="600"/>
      <c r="J261" s="600"/>
      <c r="K261" s="600"/>
    </row>
    <row r="262" spans="1:11" ht="15.75" customHeight="1" x14ac:dyDescent="0.25">
      <c r="A262" s="928">
        <f t="shared" si="4"/>
        <v>212</v>
      </c>
      <c r="B262" s="926">
        <f>+NOMINA!C255</f>
        <v>21061789</v>
      </c>
      <c r="C262" s="926" t="str">
        <f>+NOMINA!D255</f>
        <v>Suarez Briceño Daiver Jose</v>
      </c>
      <c r="D262" s="926" t="str">
        <f>+NOMINA!O255</f>
        <v>Abogado I</v>
      </c>
      <c r="E262" s="929">
        <f>+NOMINA!H255</f>
        <v>44713</v>
      </c>
      <c r="F262" s="930">
        <f>+NOMINA!BT255</f>
        <v>10.38</v>
      </c>
      <c r="G262" s="599"/>
      <c r="H262" s="600"/>
      <c r="I262" s="600"/>
      <c r="J262" s="600"/>
      <c r="K262" s="600"/>
    </row>
    <row r="263" spans="1:11" ht="15.75" customHeight="1" x14ac:dyDescent="0.25">
      <c r="A263" s="928">
        <f t="shared" si="4"/>
        <v>213</v>
      </c>
      <c r="B263" s="926">
        <f>+NOMINA!C256</f>
        <v>21365212</v>
      </c>
      <c r="C263" s="926" t="str">
        <f>+NOMINA!D256</f>
        <v>Manzanilla Gonzalez Landkler Josue</v>
      </c>
      <c r="D263" s="926" t="str">
        <f>+NOMINA!O256</f>
        <v>Asistente Administrativo II</v>
      </c>
      <c r="E263" s="929">
        <f>+NOMINA!H256</f>
        <v>44317</v>
      </c>
      <c r="F263" s="930">
        <f>+NOMINA!BT256</f>
        <v>5.72</v>
      </c>
      <c r="G263" s="599"/>
      <c r="H263" s="600"/>
      <c r="I263" s="600"/>
      <c r="J263" s="600"/>
      <c r="K263" s="600"/>
    </row>
    <row r="264" spans="1:11" ht="15.75" customHeight="1" x14ac:dyDescent="0.25">
      <c r="A264" s="928">
        <f t="shared" si="4"/>
        <v>214</v>
      </c>
      <c r="B264" s="926">
        <f>+NOMINA!C257</f>
        <v>21592108</v>
      </c>
      <c r="C264" s="926" t="str">
        <f>+NOMINA!D257</f>
        <v>Coy Andara Darlin Gabriela</v>
      </c>
      <c r="D264" s="926" t="str">
        <f>+NOMINA!O257</f>
        <v>PLANIFICADOR I</v>
      </c>
      <c r="E264" s="929">
        <f>+NOMINA!H257</f>
        <v>43024</v>
      </c>
      <c r="F264" s="930">
        <f>+NOMINA!BT257</f>
        <v>0</v>
      </c>
      <c r="G264" s="599"/>
      <c r="H264" s="600"/>
      <c r="I264" s="600"/>
      <c r="J264" s="600"/>
      <c r="K264" s="600"/>
    </row>
    <row r="265" spans="1:11" ht="15.75" customHeight="1" x14ac:dyDescent="0.25">
      <c r="A265" s="928">
        <f t="shared" si="4"/>
        <v>215</v>
      </c>
      <c r="B265" s="926">
        <f>+NOMINA!C258</f>
        <v>22622493</v>
      </c>
      <c r="C265" s="926" t="str">
        <f>+NOMINA!D258</f>
        <v>Barrios Olivar Geraldine Katiusca</v>
      </c>
      <c r="D265" s="926" t="str">
        <f>+NOMINA!O258</f>
        <v>Guia de Centro I</v>
      </c>
      <c r="E265" s="929">
        <f>+NOMINA!H258</f>
        <v>44363</v>
      </c>
      <c r="F265" s="930">
        <f>+NOMINA!BT258</f>
        <v>8.08</v>
      </c>
      <c r="G265" s="599"/>
      <c r="H265" s="600"/>
      <c r="I265" s="600"/>
      <c r="J265" s="600"/>
      <c r="K265" s="600"/>
    </row>
    <row r="266" spans="1:11" ht="15.75" customHeight="1" x14ac:dyDescent="0.25">
      <c r="A266" s="928">
        <f t="shared" si="4"/>
        <v>216</v>
      </c>
      <c r="B266" s="926">
        <f>+NOMINA!C259</f>
        <v>22892886</v>
      </c>
      <c r="C266" s="926" t="str">
        <f>+NOMINA!D259</f>
        <v>Rivas Gonzalez Eddy Carolina</v>
      </c>
      <c r="D266" s="926" t="str">
        <f>+NOMINA!O259</f>
        <v>Guia de Centro I</v>
      </c>
      <c r="E266" s="929">
        <f>+NOMINA!H259</f>
        <v>45748</v>
      </c>
      <c r="F266" s="930">
        <f>+NOMINA!BT259</f>
        <v>6.76</v>
      </c>
      <c r="G266" s="599"/>
      <c r="H266" s="600"/>
      <c r="I266" s="600"/>
      <c r="J266" s="600"/>
      <c r="K266" s="600"/>
    </row>
    <row r="267" spans="1:11" ht="15.75" customHeight="1" x14ac:dyDescent="0.25">
      <c r="A267" s="928">
        <f t="shared" si="4"/>
        <v>217</v>
      </c>
      <c r="B267" s="926">
        <f>+NOMINA!C260</f>
        <v>23254359</v>
      </c>
      <c r="C267" s="926" t="str">
        <f>+NOMINA!D260</f>
        <v>Calles Villarreal Jose Bertilio</v>
      </c>
      <c r="D267" s="926" t="str">
        <f>+NOMINA!O260</f>
        <v>Guia de Centro I</v>
      </c>
      <c r="E267" s="929">
        <f>+NOMINA!H260</f>
        <v>45748</v>
      </c>
      <c r="F267" s="930">
        <f>+NOMINA!BT260</f>
        <v>6.76</v>
      </c>
      <c r="G267" s="599"/>
      <c r="H267" s="600"/>
      <c r="I267" s="600"/>
      <c r="J267" s="600"/>
      <c r="K267" s="600"/>
    </row>
    <row r="268" spans="1:11" ht="15.75" customHeight="1" x14ac:dyDescent="0.25">
      <c r="A268" s="928">
        <f t="shared" si="4"/>
        <v>218</v>
      </c>
      <c r="B268" s="926">
        <f>+NOMINA!C261</f>
        <v>23782360</v>
      </c>
      <c r="C268" s="926" t="str">
        <f>+NOMINA!D261</f>
        <v>Rivera Sandoval Ilva Azucena</v>
      </c>
      <c r="D268" s="926" t="str">
        <f>+NOMINA!O261</f>
        <v>Administrador III</v>
      </c>
      <c r="E268" s="929">
        <f>+NOMINA!H261</f>
        <v>39203</v>
      </c>
      <c r="F268" s="930">
        <f>+NOMINA!BT261</f>
        <v>12.06</v>
      </c>
      <c r="G268" s="599"/>
      <c r="H268" s="600"/>
      <c r="I268" s="600"/>
      <c r="J268" s="600"/>
      <c r="K268" s="600"/>
    </row>
    <row r="269" spans="1:11" ht="15.75" customHeight="1" x14ac:dyDescent="0.25">
      <c r="A269" s="928">
        <f t="shared" si="4"/>
        <v>219</v>
      </c>
      <c r="B269" s="926">
        <f>+NOMINA!C262</f>
        <v>23960738</v>
      </c>
      <c r="C269" s="926" t="str">
        <f>+NOMINA!D262</f>
        <v>Molina Briceño Maria de los Angeles</v>
      </c>
      <c r="D269" s="926" t="str">
        <f>+NOMINA!O262</f>
        <v>Psicologo II</v>
      </c>
      <c r="E269" s="929">
        <f>+NOMINA!H262</f>
        <v>43497</v>
      </c>
      <c r="F269" s="930">
        <f>+NOMINA!BT262</f>
        <v>10.66</v>
      </c>
      <c r="G269" s="599"/>
      <c r="H269" s="600"/>
      <c r="I269" s="600"/>
      <c r="J269" s="600"/>
      <c r="K269" s="600"/>
    </row>
    <row r="270" spans="1:11" ht="15.75" customHeight="1" x14ac:dyDescent="0.25">
      <c r="A270" s="928">
        <f t="shared" si="4"/>
        <v>220</v>
      </c>
      <c r="B270" s="926">
        <f>+NOMINA!C263</f>
        <v>24135378</v>
      </c>
      <c r="C270" s="926" t="str">
        <f>+NOMINA!D263</f>
        <v>Rivas Hurtado Orleidys Betania</v>
      </c>
      <c r="D270" s="926" t="str">
        <f>+NOMINA!O263</f>
        <v>Asistente Administrativo IV</v>
      </c>
      <c r="E270" s="929">
        <f>+NOMINA!H263</f>
        <v>43862</v>
      </c>
      <c r="F270" s="930">
        <f>+NOMINA!BT263</f>
        <v>11.14</v>
      </c>
      <c r="G270" s="599"/>
      <c r="H270" s="600"/>
      <c r="I270" s="600"/>
      <c r="J270" s="600"/>
      <c r="K270" s="600"/>
    </row>
    <row r="271" spans="1:11" ht="15.75" customHeight="1" x14ac:dyDescent="0.25">
      <c r="A271" s="928">
        <f t="shared" si="4"/>
        <v>221</v>
      </c>
      <c r="B271" s="926">
        <f>+NOMINA!C264</f>
        <v>24136795</v>
      </c>
      <c r="C271" s="926" t="str">
        <f>+NOMINA!D264</f>
        <v>Viloria Maldonado Gerardo Jesus</v>
      </c>
      <c r="D271" s="926" t="str">
        <f>+NOMINA!O264</f>
        <v>Entrenador Deportivo II</v>
      </c>
      <c r="E271" s="929">
        <f>+NOMINA!H264</f>
        <v>44600</v>
      </c>
      <c r="F271" s="930">
        <f>+NOMINA!BT264</f>
        <v>6.2</v>
      </c>
      <c r="G271" s="599"/>
      <c r="H271" s="600"/>
      <c r="I271" s="600"/>
      <c r="J271" s="600"/>
      <c r="K271" s="600"/>
    </row>
    <row r="272" spans="1:11" ht="15.75" customHeight="1" x14ac:dyDescent="0.25">
      <c r="A272" s="928">
        <f t="shared" si="4"/>
        <v>222</v>
      </c>
      <c r="B272" s="926">
        <f>+NOMINA!C265</f>
        <v>23254845</v>
      </c>
      <c r="C272" s="926" t="str">
        <f>+NOMINA!D265</f>
        <v>Castellanos Paredes Luis Gregorio</v>
      </c>
      <c r="D272" s="926" t="str">
        <f>+NOMINA!O265</f>
        <v>Entrenador Deportivo II</v>
      </c>
      <c r="E272" s="929">
        <f>+NOMINA!H265</f>
        <v>44332</v>
      </c>
      <c r="F272" s="930">
        <f>+NOMINA!BT265</f>
        <v>5.72</v>
      </c>
      <c r="G272" s="599"/>
      <c r="H272" s="600"/>
      <c r="I272" s="600"/>
      <c r="J272" s="600"/>
      <c r="K272" s="600"/>
    </row>
    <row r="273" spans="1:11" ht="15.75" customHeight="1" x14ac:dyDescent="0.25">
      <c r="A273" s="928">
        <f t="shared" si="4"/>
        <v>223</v>
      </c>
      <c r="B273" s="926">
        <f>+NOMINA!C266</f>
        <v>23594366</v>
      </c>
      <c r="C273" s="926" t="str">
        <f>+NOMINA!D266</f>
        <v>Quintero Montilla Merly Paula</v>
      </c>
      <c r="D273" s="926" t="str">
        <f>+NOMINA!O266</f>
        <v>Tutor Facilitador I</v>
      </c>
      <c r="E273" s="929">
        <f>+NOMINA!H266</f>
        <v>45413</v>
      </c>
      <c r="F273" s="930">
        <f>+NOMINA!BT266</f>
        <v>9.4600000000000009</v>
      </c>
      <c r="G273" s="599"/>
      <c r="H273" s="600"/>
      <c r="I273" s="600"/>
      <c r="J273" s="600"/>
      <c r="K273" s="600"/>
    </row>
    <row r="274" spans="1:11" ht="15.75" customHeight="1" x14ac:dyDescent="0.25">
      <c r="A274" s="928">
        <f t="shared" si="4"/>
        <v>224</v>
      </c>
      <c r="B274" s="926">
        <f>+NOMINA!C267</f>
        <v>23775734</v>
      </c>
      <c r="C274" s="926" t="str">
        <f>+NOMINA!D267</f>
        <v>Gonzalez Torres Klerwin Alfonso</v>
      </c>
      <c r="D274" s="926" t="str">
        <f>+NOMINA!O267</f>
        <v>Guia de Centro I</v>
      </c>
      <c r="E274" s="929">
        <f>+NOMINA!H267</f>
        <v>45627</v>
      </c>
      <c r="F274" s="930">
        <f>+NOMINA!BT267</f>
        <v>7.26</v>
      </c>
      <c r="G274" s="599"/>
      <c r="H274" s="600"/>
      <c r="I274" s="600"/>
      <c r="J274" s="600"/>
      <c r="K274" s="600"/>
    </row>
    <row r="275" spans="1:11" ht="15.75" customHeight="1" x14ac:dyDescent="0.25">
      <c r="A275" s="928">
        <f t="shared" si="4"/>
        <v>225</v>
      </c>
      <c r="B275" s="926">
        <f>+NOMINA!C268</f>
        <v>24565372</v>
      </c>
      <c r="C275" s="926" t="str">
        <f>+NOMINA!D268</f>
        <v>Moreno Silva Alfredy Jose</v>
      </c>
      <c r="D275" s="926" t="str">
        <f>+NOMINA!O268</f>
        <v>Asistente de Relaciones Publicas</v>
      </c>
      <c r="E275" s="929">
        <f>+NOMINA!H268</f>
        <v>40360</v>
      </c>
      <c r="F275" s="930">
        <f>+NOMINA!BT268</f>
        <v>0</v>
      </c>
      <c r="G275" s="599"/>
      <c r="H275" s="600"/>
      <c r="I275" s="600"/>
      <c r="J275" s="600"/>
      <c r="K275" s="600"/>
    </row>
    <row r="276" spans="1:11" ht="15.75" customHeight="1" x14ac:dyDescent="0.25">
      <c r="A276" s="928">
        <f t="shared" si="4"/>
        <v>226</v>
      </c>
      <c r="B276" s="926">
        <f>+NOMINA!C269</f>
        <v>25006139</v>
      </c>
      <c r="C276" s="926" t="str">
        <f>+NOMINA!D269</f>
        <v>Ramirez Palomares Carmen Beatriz</v>
      </c>
      <c r="D276" s="926" t="str">
        <f>+NOMINA!O269</f>
        <v>Guia de Centro I</v>
      </c>
      <c r="E276" s="929">
        <f>+NOMINA!H269</f>
        <v>43512</v>
      </c>
      <c r="F276" s="930">
        <f>+NOMINA!BT269</f>
        <v>8.7200000000000006</v>
      </c>
      <c r="G276" s="599"/>
      <c r="H276" s="600"/>
      <c r="I276" s="600"/>
      <c r="J276" s="600"/>
      <c r="K276" s="600"/>
    </row>
    <row r="277" spans="1:11" ht="15.75" customHeight="1" x14ac:dyDescent="0.25">
      <c r="A277" s="928">
        <f t="shared" si="4"/>
        <v>227</v>
      </c>
      <c r="B277" s="926">
        <f>+NOMINA!C270</f>
        <v>25006878</v>
      </c>
      <c r="C277" s="926" t="str">
        <f>+NOMINA!D270</f>
        <v>Fernandez Garcia Rafael Ramon</v>
      </c>
      <c r="D277" s="926" t="str">
        <f>+NOMINA!O270</f>
        <v>Guia de Centro I</v>
      </c>
      <c r="E277" s="929">
        <f>+NOMINA!H270</f>
        <v>44986</v>
      </c>
      <c r="F277" s="930">
        <f>+NOMINA!BT270</f>
        <v>8.6199999999999992</v>
      </c>
      <c r="G277" s="599"/>
      <c r="H277" s="600"/>
      <c r="I277" s="600"/>
      <c r="J277" s="600"/>
      <c r="K277" s="600"/>
    </row>
    <row r="278" spans="1:11" ht="15.75" customHeight="1" x14ac:dyDescent="0.25">
      <c r="A278" s="928">
        <f t="shared" si="4"/>
        <v>228</v>
      </c>
      <c r="B278" s="926">
        <f>+NOMINA!C271</f>
        <v>25096069</v>
      </c>
      <c r="C278" s="926" t="str">
        <f>+NOMINA!D271</f>
        <v>Coello Diaz Yormileidys del Carmen</v>
      </c>
      <c r="D278" s="926" t="str">
        <f>+NOMINA!O271</f>
        <v>Guia de Centro I</v>
      </c>
      <c r="E278" s="929">
        <f>+NOMINA!H271</f>
        <v>44599</v>
      </c>
      <c r="F278" s="930">
        <f>+NOMINA!BT271</f>
        <v>11.96</v>
      </c>
      <c r="G278" s="599"/>
      <c r="H278" s="600"/>
      <c r="I278" s="600"/>
      <c r="J278" s="600"/>
      <c r="K278" s="600"/>
    </row>
    <row r="279" spans="1:11" ht="15.75" customHeight="1" x14ac:dyDescent="0.25">
      <c r="A279" s="928">
        <f t="shared" si="4"/>
        <v>229</v>
      </c>
      <c r="B279" s="926">
        <f>+NOMINA!C272</f>
        <v>25173983</v>
      </c>
      <c r="C279" s="926" t="str">
        <f>+NOMINA!D272</f>
        <v>Guanda Barazarte Roxely Andreina</v>
      </c>
      <c r="D279" s="926" t="str">
        <f>+NOMINA!O272</f>
        <v>Guia de Centro I</v>
      </c>
      <c r="E279" s="929">
        <f>+NOMINA!H272</f>
        <v>44363</v>
      </c>
      <c r="F279" s="930">
        <f>+NOMINA!BT272</f>
        <v>5.98</v>
      </c>
      <c r="G279" s="599"/>
      <c r="H279" s="600"/>
      <c r="I279" s="600"/>
      <c r="J279" s="600"/>
      <c r="K279" s="600"/>
    </row>
    <row r="280" spans="1:11" ht="15.75" customHeight="1" x14ac:dyDescent="0.25">
      <c r="A280" s="928">
        <f t="shared" si="4"/>
        <v>230</v>
      </c>
      <c r="B280" s="926">
        <f>+NOMINA!C273</f>
        <v>25303390</v>
      </c>
      <c r="C280" s="926" t="str">
        <f>+NOMINA!D273</f>
        <v>Graterol Castillo Yoselyn Zunedy</v>
      </c>
      <c r="D280" s="926" t="str">
        <f>+NOMINA!O273</f>
        <v>Guia de Centro I</v>
      </c>
      <c r="E280" s="929">
        <f>+NOMINA!H273</f>
        <v>43862</v>
      </c>
      <c r="F280" s="930">
        <f>+NOMINA!BT273</f>
        <v>8.1199999999999992</v>
      </c>
      <c r="G280" s="599"/>
      <c r="H280" s="600"/>
      <c r="I280" s="600"/>
      <c r="J280" s="600"/>
      <c r="K280" s="600"/>
    </row>
    <row r="281" spans="1:11" ht="15.75" customHeight="1" x14ac:dyDescent="0.25">
      <c r="A281" s="928">
        <f t="shared" si="4"/>
        <v>231</v>
      </c>
      <c r="B281" s="926">
        <f>+NOMINA!C274</f>
        <v>25454143</v>
      </c>
      <c r="C281" s="926" t="str">
        <f>+NOMINA!D274</f>
        <v>Briceño Ana Beatriz</v>
      </c>
      <c r="D281" s="926" t="str">
        <f>+NOMINA!O274</f>
        <v>Guia de Centro I</v>
      </c>
      <c r="E281" s="929">
        <f>+NOMINA!H274</f>
        <v>45536</v>
      </c>
      <c r="F281" s="930">
        <f>+NOMINA!BT274</f>
        <v>7.12</v>
      </c>
      <c r="G281" s="599"/>
      <c r="H281" s="600"/>
      <c r="I281" s="600"/>
      <c r="J281" s="600"/>
      <c r="K281" s="600"/>
    </row>
    <row r="282" spans="1:11" ht="15.75" customHeight="1" x14ac:dyDescent="0.25">
      <c r="A282" s="928">
        <f t="shared" si="4"/>
        <v>232</v>
      </c>
      <c r="B282" s="926">
        <f>+NOMINA!C275</f>
        <v>25604733</v>
      </c>
      <c r="C282" s="926" t="str">
        <f>+NOMINA!D275</f>
        <v>Nava Carrillo Oriana Daniela</v>
      </c>
      <c r="D282" s="926" t="str">
        <f>+NOMINA!O275</f>
        <v>Entrenador Deportivo II</v>
      </c>
      <c r="E282" s="929">
        <f>+NOMINA!H275</f>
        <v>43754</v>
      </c>
      <c r="F282" s="930">
        <f>+NOMINA!BT275</f>
        <v>5.76</v>
      </c>
      <c r="G282" s="599"/>
      <c r="H282" s="600"/>
      <c r="I282" s="600"/>
      <c r="J282" s="600"/>
      <c r="K282" s="600"/>
    </row>
    <row r="283" spans="1:11" ht="15.75" customHeight="1" x14ac:dyDescent="0.25">
      <c r="A283" s="928">
        <f t="shared" si="4"/>
        <v>233</v>
      </c>
      <c r="B283" s="926">
        <f>+NOMINA!C276</f>
        <v>25619540</v>
      </c>
      <c r="C283" s="926" t="str">
        <f>+NOMINA!D276</f>
        <v>Balza Vetencourt Maria Gabriela</v>
      </c>
      <c r="D283" s="926" t="str">
        <f>+NOMINA!O276</f>
        <v>Guia de Centro I</v>
      </c>
      <c r="E283" s="929">
        <f>+NOMINA!H276</f>
        <v>44743</v>
      </c>
      <c r="F283" s="930">
        <f>+NOMINA!BT276</f>
        <v>8.0399999999999991</v>
      </c>
      <c r="G283" s="599"/>
      <c r="H283" s="600"/>
      <c r="I283" s="600"/>
      <c r="J283" s="600"/>
      <c r="K283" s="600"/>
    </row>
    <row r="284" spans="1:11" ht="15.75" customHeight="1" x14ac:dyDescent="0.25">
      <c r="A284" s="928">
        <f t="shared" si="4"/>
        <v>234</v>
      </c>
      <c r="B284" s="926">
        <f>+NOMINA!C277</f>
        <v>26094609</v>
      </c>
      <c r="C284" s="926" t="str">
        <f>+NOMINA!D277</f>
        <v>Andara Moreno Marielena Nathaly</v>
      </c>
      <c r="D284" s="926" t="str">
        <f>+NOMINA!O277</f>
        <v>Abogado I</v>
      </c>
      <c r="E284" s="929">
        <f>+NOMINA!H277</f>
        <v>44713</v>
      </c>
      <c r="F284" s="930">
        <f>+NOMINA!BT277</f>
        <v>10.38</v>
      </c>
      <c r="G284" s="599"/>
      <c r="H284" s="600"/>
      <c r="I284" s="600"/>
      <c r="J284" s="600"/>
      <c r="K284" s="600"/>
    </row>
    <row r="285" spans="1:11" ht="15.75" customHeight="1" x14ac:dyDescent="0.25">
      <c r="A285" s="928">
        <f t="shared" si="4"/>
        <v>235</v>
      </c>
      <c r="B285" s="926">
        <f>+NOMINA!C278</f>
        <v>26094690</v>
      </c>
      <c r="C285" s="926" t="str">
        <f>+NOMINA!D278</f>
        <v>Fernandez Romero Numa Manuel</v>
      </c>
      <c r="D285" s="926" t="str">
        <f>+NOMINA!O278</f>
        <v>Guia de Centro I</v>
      </c>
      <c r="E285" s="929">
        <f>+NOMINA!H278</f>
        <v>45017</v>
      </c>
      <c r="F285" s="930">
        <f>+NOMINA!BT278</f>
        <v>7.48</v>
      </c>
      <c r="G285" s="599"/>
      <c r="H285" s="600"/>
      <c r="I285" s="600"/>
      <c r="J285" s="600"/>
      <c r="K285" s="600"/>
    </row>
    <row r="286" spans="1:11" ht="15.75" customHeight="1" x14ac:dyDescent="0.25">
      <c r="A286" s="928">
        <f t="shared" si="4"/>
        <v>236</v>
      </c>
      <c r="B286" s="926">
        <f>+NOMINA!C279</f>
        <v>26114271</v>
      </c>
      <c r="C286" s="926" t="str">
        <f>+NOMINA!D279</f>
        <v>Moncayo Perez Ruddy Bellaliz</v>
      </c>
      <c r="D286" s="926" t="str">
        <f>+NOMINA!O279</f>
        <v>Abogado I</v>
      </c>
      <c r="E286" s="929">
        <f>+NOMINA!H279</f>
        <v>44636</v>
      </c>
      <c r="F286" s="930">
        <f>+NOMINA!BT279</f>
        <v>10.38</v>
      </c>
      <c r="G286" s="599"/>
      <c r="H286" s="600"/>
      <c r="I286" s="600"/>
      <c r="J286" s="600"/>
      <c r="K286" s="600"/>
    </row>
    <row r="287" spans="1:11" ht="15.75" customHeight="1" x14ac:dyDescent="0.25">
      <c r="A287" s="928">
        <f t="shared" si="4"/>
        <v>237</v>
      </c>
      <c r="B287" s="926">
        <f>+NOMINA!C280</f>
        <v>26191823</v>
      </c>
      <c r="C287" s="926" t="str">
        <f>+NOMINA!D280</f>
        <v>Briceño Espinoza Brayhan Jose</v>
      </c>
      <c r="D287" s="926" t="str">
        <f>+NOMINA!O280</f>
        <v>Abogado II</v>
      </c>
      <c r="E287" s="929">
        <f>+NOMINA!H280</f>
        <v>44470</v>
      </c>
      <c r="F287" s="930">
        <f>+NOMINA!BT280</f>
        <v>10.38</v>
      </c>
      <c r="G287" s="599"/>
      <c r="H287" s="600"/>
      <c r="I287" s="600"/>
      <c r="J287" s="600"/>
      <c r="K287" s="600"/>
    </row>
    <row r="288" spans="1:11" ht="15.75" customHeight="1" x14ac:dyDescent="0.25">
      <c r="A288" s="928">
        <f t="shared" si="4"/>
        <v>238</v>
      </c>
      <c r="B288" s="926">
        <f>+NOMINA!C281</f>
        <v>26235963</v>
      </c>
      <c r="C288" s="926" t="str">
        <f>+NOMINA!D281</f>
        <v>Segovia Segovia Freylu Margarita</v>
      </c>
      <c r="D288" s="926" t="str">
        <f>+NOMINA!O281</f>
        <v>Psicologo I</v>
      </c>
      <c r="E288" s="929">
        <f>+NOMINA!H281</f>
        <v>45383</v>
      </c>
      <c r="F288" s="930">
        <f>+NOMINA!BT281</f>
        <v>9.7799999999999994</v>
      </c>
      <c r="G288" s="599"/>
      <c r="H288" s="600"/>
      <c r="I288" s="600"/>
      <c r="J288" s="600"/>
      <c r="K288" s="600"/>
    </row>
    <row r="289" spans="1:11" ht="15.75" customHeight="1" x14ac:dyDescent="0.25">
      <c r="A289" s="928">
        <f t="shared" si="4"/>
        <v>239</v>
      </c>
      <c r="B289" s="926">
        <f>+NOMINA!C282</f>
        <v>26413871</v>
      </c>
      <c r="C289" s="926" t="str">
        <f>+NOMINA!D282</f>
        <v>Molina Rojas Genesis Angely</v>
      </c>
      <c r="D289" s="926" t="str">
        <f>+NOMINA!O282</f>
        <v>Guia de Centro I</v>
      </c>
      <c r="E289" s="929">
        <f>+NOMINA!H282</f>
        <v>44228</v>
      </c>
      <c r="F289" s="930">
        <f>+NOMINA!BT282</f>
        <v>8.08</v>
      </c>
      <c r="G289" s="599"/>
      <c r="H289" s="600"/>
      <c r="I289" s="600"/>
      <c r="J289" s="600"/>
      <c r="K289" s="600"/>
    </row>
    <row r="290" spans="1:11" ht="15.75" customHeight="1" x14ac:dyDescent="0.25">
      <c r="A290" s="928">
        <f t="shared" si="4"/>
        <v>240</v>
      </c>
      <c r="B290" s="926">
        <f>+NOMINA!C283</f>
        <v>26591879</v>
      </c>
      <c r="C290" s="926" t="str">
        <f>+NOMINA!D283</f>
        <v>Delgado Cabezas Rosa Magdalena</v>
      </c>
      <c r="D290" s="926" t="str">
        <f>+NOMINA!O283</f>
        <v>Psicologo II</v>
      </c>
      <c r="E290" s="929">
        <f>+NOMINA!H283</f>
        <v>43587</v>
      </c>
      <c r="F290" s="930">
        <f>+NOMINA!BT283</f>
        <v>10.98</v>
      </c>
      <c r="G290" s="599"/>
      <c r="H290" s="600"/>
      <c r="I290" s="600"/>
      <c r="J290" s="600"/>
      <c r="K290" s="600"/>
    </row>
    <row r="291" spans="1:11" ht="15.75" customHeight="1" x14ac:dyDescent="0.25">
      <c r="A291" s="928">
        <f t="shared" si="4"/>
        <v>241</v>
      </c>
      <c r="B291" s="926">
        <f>+NOMINA!C284</f>
        <v>26690908</v>
      </c>
      <c r="C291" s="926" t="str">
        <f>+NOMINA!D284</f>
        <v>Segovia Lisbeira del Carmen</v>
      </c>
      <c r="D291" s="926" t="str">
        <f>+NOMINA!O284</f>
        <v>Guia de Centro I</v>
      </c>
      <c r="E291" s="929">
        <f>+NOMINA!H284</f>
        <v>44228</v>
      </c>
      <c r="F291" s="930">
        <f>+NOMINA!BT284</f>
        <v>7.76</v>
      </c>
      <c r="G291" s="599"/>
      <c r="H291" s="600"/>
      <c r="I291" s="600"/>
      <c r="J291" s="600"/>
      <c r="K291" s="600"/>
    </row>
    <row r="292" spans="1:11" ht="15.75" customHeight="1" x14ac:dyDescent="0.25">
      <c r="A292" s="928">
        <f t="shared" si="4"/>
        <v>242</v>
      </c>
      <c r="B292" s="926">
        <f>+NOMINA!C285</f>
        <v>26962104</v>
      </c>
      <c r="C292" s="926" t="str">
        <f>+NOMINA!D285</f>
        <v>Rubio Briceño Diana Carolina</v>
      </c>
      <c r="D292" s="926" t="str">
        <f>+NOMINA!O285</f>
        <v>Asistente Administrativo II</v>
      </c>
      <c r="E292" s="929">
        <f>+NOMINA!H285</f>
        <v>44393</v>
      </c>
      <c r="F292" s="930">
        <f>+NOMINA!BT285</f>
        <v>5.98</v>
      </c>
      <c r="G292" s="599"/>
      <c r="H292" s="600"/>
      <c r="I292" s="600"/>
      <c r="J292" s="600"/>
      <c r="K292" s="600"/>
    </row>
    <row r="293" spans="1:11" ht="15.75" customHeight="1" x14ac:dyDescent="0.25">
      <c r="A293" s="928">
        <f t="shared" si="4"/>
        <v>243</v>
      </c>
      <c r="B293" s="926">
        <f>+NOMINA!C286</f>
        <v>27022450</v>
      </c>
      <c r="C293" s="926" t="str">
        <f>+NOMINA!D286</f>
        <v>Montilla Gonzalez Maria Alexandra</v>
      </c>
      <c r="D293" s="926" t="str">
        <f>+NOMINA!O286</f>
        <v>Tecnico Superior en Trabajo Social I</v>
      </c>
      <c r="E293" s="929">
        <f>+NOMINA!H286</f>
        <v>45717</v>
      </c>
      <c r="F293" s="930">
        <f>+NOMINA!BT286</f>
        <v>7.72</v>
      </c>
      <c r="G293" s="599"/>
      <c r="H293" s="600"/>
      <c r="I293" s="600"/>
      <c r="J293" s="600"/>
      <c r="K293" s="600"/>
    </row>
    <row r="294" spans="1:11" ht="15.75" customHeight="1" x14ac:dyDescent="0.25">
      <c r="A294" s="928">
        <f t="shared" si="4"/>
        <v>244</v>
      </c>
      <c r="B294" s="926">
        <f>+NOMINA!C287</f>
        <v>27251885</v>
      </c>
      <c r="C294" s="926" t="str">
        <f>+NOMINA!D287</f>
        <v>Barrozo Godoy Kellem Daniela</v>
      </c>
      <c r="D294" s="926" t="str">
        <f>+NOMINA!O287</f>
        <v>Guia de Centro I</v>
      </c>
      <c r="E294" s="929">
        <f>+NOMINA!H287</f>
        <v>45474</v>
      </c>
      <c r="F294" s="930">
        <f>+NOMINA!BT287</f>
        <v>7.12</v>
      </c>
      <c r="G294" s="599"/>
      <c r="H294" s="600"/>
      <c r="I294" s="600"/>
      <c r="J294" s="600"/>
      <c r="K294" s="600"/>
    </row>
    <row r="295" spans="1:11" ht="15.75" customHeight="1" x14ac:dyDescent="0.25">
      <c r="A295" s="928">
        <f t="shared" si="4"/>
        <v>245</v>
      </c>
      <c r="B295" s="926">
        <f>+NOMINA!C288</f>
        <v>27251899</v>
      </c>
      <c r="C295" s="926" t="str">
        <f>+NOMINA!D288</f>
        <v>Perez Gonzalez Maria Ines</v>
      </c>
      <c r="D295" s="926" t="str">
        <f>+NOMINA!O288</f>
        <v>Guia de Centro I</v>
      </c>
      <c r="E295" s="929">
        <f>+NOMINA!H288</f>
        <v>45474</v>
      </c>
      <c r="F295" s="930">
        <f>+NOMINA!BT288</f>
        <v>7.12</v>
      </c>
      <c r="G295" s="599"/>
      <c r="H295" s="600"/>
      <c r="I295" s="600"/>
      <c r="J295" s="600"/>
      <c r="K295" s="600"/>
    </row>
    <row r="296" spans="1:11" ht="15.75" customHeight="1" x14ac:dyDescent="0.25">
      <c r="A296" s="928">
        <f t="shared" si="4"/>
        <v>246</v>
      </c>
      <c r="B296" s="926">
        <f>+NOMINA!C289</f>
        <v>27363633</v>
      </c>
      <c r="C296" s="926" t="str">
        <f>+NOMINA!D289</f>
        <v>Padilla Blanco Melany Marian</v>
      </c>
      <c r="D296" s="926" t="str">
        <f>+NOMINA!O289</f>
        <v>Guia de Centro I</v>
      </c>
      <c r="E296" s="929">
        <f>+NOMINA!H289</f>
        <v>45627</v>
      </c>
      <c r="F296" s="930">
        <f>+NOMINA!BT289</f>
        <v>6.76</v>
      </c>
      <c r="G296" s="599"/>
      <c r="H296" s="600"/>
      <c r="I296" s="600"/>
      <c r="J296" s="600"/>
      <c r="K296" s="600"/>
    </row>
    <row r="297" spans="1:11" ht="15.75" customHeight="1" x14ac:dyDescent="0.25">
      <c r="A297" s="928">
        <f t="shared" si="4"/>
        <v>247</v>
      </c>
      <c r="B297" s="926">
        <f>+NOMINA!C290</f>
        <v>27415737</v>
      </c>
      <c r="C297" s="926" t="str">
        <f>+NOMINA!D290</f>
        <v>Rivas Torres Rosa Alba</v>
      </c>
      <c r="D297" s="926" t="str">
        <f>+NOMINA!O290</f>
        <v>Asistente Administrativo II</v>
      </c>
      <c r="E297" s="929">
        <f>+NOMINA!H290</f>
        <v>44363</v>
      </c>
      <c r="F297" s="930">
        <f>+NOMINA!BT290</f>
        <v>5.98</v>
      </c>
      <c r="G297" s="599"/>
      <c r="H297" s="600"/>
      <c r="I297" s="600"/>
      <c r="J297" s="600"/>
      <c r="K297" s="600"/>
    </row>
    <row r="298" spans="1:11" ht="15.75" customHeight="1" x14ac:dyDescent="0.25">
      <c r="A298" s="928">
        <f t="shared" si="4"/>
        <v>248</v>
      </c>
      <c r="B298" s="926">
        <f>+NOMINA!C291</f>
        <v>27415888</v>
      </c>
      <c r="C298" s="926" t="str">
        <f>+NOMINA!D291</f>
        <v>Perdomo Juarez Jose de Jesus</v>
      </c>
      <c r="D298" s="926" t="str">
        <f>+NOMINA!O291</f>
        <v>Entrenador Deportivo II</v>
      </c>
      <c r="E298" s="929">
        <f>+NOMINA!H291</f>
        <v>44713</v>
      </c>
      <c r="F298" s="930">
        <f>+NOMINA!BT291</f>
        <v>6.46</v>
      </c>
      <c r="G298" s="599"/>
      <c r="H298" s="600"/>
      <c r="I298" s="600"/>
      <c r="J298" s="600"/>
      <c r="K298" s="600"/>
    </row>
    <row r="299" spans="1:11" ht="15.75" customHeight="1" x14ac:dyDescent="0.25">
      <c r="A299" s="928">
        <f t="shared" si="4"/>
        <v>249</v>
      </c>
      <c r="B299" s="926">
        <f>+NOMINA!C292</f>
        <v>27628603</v>
      </c>
      <c r="C299" s="926" t="str">
        <f>+NOMINA!D292</f>
        <v>Mendoza Mendoza Kelasky Kixuy</v>
      </c>
      <c r="D299" s="926" t="str">
        <f>+NOMINA!O292</f>
        <v>Instructor De Formacion Empresarial</v>
      </c>
      <c r="E299" s="929">
        <f>+NOMINA!H292</f>
        <v>45139</v>
      </c>
      <c r="F299" s="930">
        <f>+NOMINA!BT292</f>
        <v>5.5</v>
      </c>
      <c r="G299" s="599"/>
      <c r="H299" s="600"/>
      <c r="I299" s="600"/>
      <c r="J299" s="600"/>
      <c r="K299" s="600"/>
    </row>
    <row r="300" spans="1:11" ht="15.75" customHeight="1" x14ac:dyDescent="0.25">
      <c r="A300" s="928">
        <f t="shared" si="4"/>
        <v>250</v>
      </c>
      <c r="B300" s="926">
        <f>+NOMINA!C293</f>
        <v>27677242</v>
      </c>
      <c r="C300" s="926" t="str">
        <f>+NOMINA!D293</f>
        <v>Ramirez Torres Darwin Jose</v>
      </c>
      <c r="D300" s="926" t="str">
        <f>+NOMINA!O293</f>
        <v>Recreador</v>
      </c>
      <c r="E300" s="929">
        <f>+NOMINA!H293</f>
        <v>45139</v>
      </c>
      <c r="F300" s="930">
        <f>+NOMINA!BT293</f>
        <v>5.26</v>
      </c>
      <c r="G300" s="599"/>
      <c r="H300" s="600"/>
      <c r="I300" s="600"/>
      <c r="J300" s="600"/>
      <c r="K300" s="600"/>
    </row>
    <row r="301" spans="1:11" ht="15.75" customHeight="1" x14ac:dyDescent="0.25">
      <c r="A301" s="928">
        <f t="shared" si="4"/>
        <v>251</v>
      </c>
      <c r="B301" s="926">
        <f>+NOMINA!C294</f>
        <v>27889180</v>
      </c>
      <c r="C301" s="926" t="str">
        <f>+NOMINA!D294</f>
        <v>Moreno Andreina del Valle</v>
      </c>
      <c r="D301" s="926" t="str">
        <f>+NOMINA!O294</f>
        <v>Asistente Administrativo II</v>
      </c>
      <c r="E301" s="929">
        <f>+NOMINA!H294</f>
        <v>44393</v>
      </c>
      <c r="F301" s="930">
        <f>+NOMINA!BT294</f>
        <v>0</v>
      </c>
      <c r="G301" s="599"/>
      <c r="H301" s="600"/>
      <c r="I301" s="600"/>
      <c r="J301" s="600"/>
      <c r="K301" s="600"/>
    </row>
    <row r="302" spans="1:11" ht="15.75" customHeight="1" x14ac:dyDescent="0.25">
      <c r="A302" s="928">
        <f t="shared" si="4"/>
        <v>252</v>
      </c>
      <c r="B302" s="926">
        <f>+NOMINA!C295</f>
        <v>28079765</v>
      </c>
      <c r="C302" s="926" t="str">
        <f>+NOMINA!D295</f>
        <v>Mendoza Cardozo Josue Vicensio</v>
      </c>
      <c r="D302" s="926" t="str">
        <f>+NOMINA!O295</f>
        <v>Asistente Administrativo II</v>
      </c>
      <c r="E302" s="929">
        <f>+NOMINA!H295</f>
        <v>44348</v>
      </c>
      <c r="F302" s="930">
        <f>+NOMINA!BT295</f>
        <v>8.58</v>
      </c>
      <c r="G302" s="599"/>
      <c r="H302" s="600"/>
      <c r="I302" s="600"/>
      <c r="J302" s="600"/>
      <c r="K302" s="600"/>
    </row>
    <row r="303" spans="1:11" ht="15.75" customHeight="1" x14ac:dyDescent="0.25">
      <c r="A303" s="928">
        <f t="shared" si="4"/>
        <v>253</v>
      </c>
      <c r="B303" s="926">
        <f>+NOMINA!C296</f>
        <v>28096003</v>
      </c>
      <c r="C303" s="926" t="str">
        <f>+NOMINA!D296</f>
        <v>Quintero Peña Maria Alejandra</v>
      </c>
      <c r="D303" s="926" t="str">
        <f>+NOMINA!O296</f>
        <v>Guia de Centro I</v>
      </c>
      <c r="E303" s="929">
        <f>+NOMINA!H296</f>
        <v>44228</v>
      </c>
      <c r="F303" s="930">
        <f>+NOMINA!BT296</f>
        <v>7.44</v>
      </c>
      <c r="G303" s="599"/>
      <c r="H303" s="600"/>
      <c r="I303" s="600"/>
      <c r="J303" s="600"/>
      <c r="K303" s="600"/>
    </row>
    <row r="304" spans="1:11" ht="15.75" customHeight="1" x14ac:dyDescent="0.25">
      <c r="A304" s="928">
        <f t="shared" si="4"/>
        <v>254</v>
      </c>
      <c r="B304" s="926">
        <f>+NOMINA!C297</f>
        <v>28096576</v>
      </c>
      <c r="C304" s="926" t="str">
        <f>+NOMINA!D297</f>
        <v>Gutierrez Betania Belsally</v>
      </c>
      <c r="D304" s="926" t="str">
        <f>+NOMINA!O297</f>
        <v>Asistente Administrativo I</v>
      </c>
      <c r="E304" s="929">
        <f>+NOMINA!H297</f>
        <v>45017</v>
      </c>
      <c r="F304" s="930">
        <f>+NOMINA!BT297</f>
        <v>5.76</v>
      </c>
      <c r="G304" s="599"/>
      <c r="H304" s="600"/>
      <c r="I304" s="600"/>
      <c r="J304" s="600"/>
      <c r="K304" s="600"/>
    </row>
    <row r="305" spans="1:11" ht="15.75" customHeight="1" x14ac:dyDescent="0.25">
      <c r="A305" s="928">
        <f t="shared" si="4"/>
        <v>255</v>
      </c>
      <c r="B305" s="926">
        <f>+NOMINA!C298</f>
        <v>28445465</v>
      </c>
      <c r="C305" s="926" t="str">
        <f>+NOMINA!D298</f>
        <v>Castillo Carrizo Katherine Cecilia</v>
      </c>
      <c r="D305" s="926" t="str">
        <f>+NOMINA!O298</f>
        <v>Asistente Administrativo II</v>
      </c>
      <c r="E305" s="929">
        <f>+NOMINA!H298</f>
        <v>43770</v>
      </c>
      <c r="F305" s="930">
        <f>+NOMINA!BT298</f>
        <v>5.76</v>
      </c>
      <c r="G305" s="599"/>
      <c r="H305" s="600"/>
      <c r="I305" s="600"/>
      <c r="J305" s="600"/>
      <c r="K305" s="600"/>
    </row>
    <row r="306" spans="1:11" ht="15.75" customHeight="1" x14ac:dyDescent="0.25">
      <c r="A306" s="928">
        <f t="shared" si="4"/>
        <v>256</v>
      </c>
      <c r="B306" s="926">
        <f>+NOMINA!C299</f>
        <v>29539827</v>
      </c>
      <c r="C306" s="926" t="str">
        <f>+NOMINA!D299</f>
        <v>Rivero Fajardo Nohely Gabriela</v>
      </c>
      <c r="D306" s="926" t="str">
        <f>+NOMINA!O299</f>
        <v>PSICOLOGO I</v>
      </c>
      <c r="E306" s="929">
        <f>+NOMINA!H299</f>
        <v>45901</v>
      </c>
      <c r="F306" s="930">
        <f>+NOMINA!BT299</f>
        <v>9.4</v>
      </c>
      <c r="G306" s="599"/>
      <c r="H306" s="600"/>
      <c r="I306" s="600"/>
      <c r="J306" s="600"/>
      <c r="K306" s="600"/>
    </row>
    <row r="307" spans="1:11" ht="15.75" customHeight="1" x14ac:dyDescent="0.25">
      <c r="A307" s="928">
        <f t="shared" si="4"/>
        <v>257</v>
      </c>
      <c r="B307" s="926">
        <f>+NOMINA!C300</f>
        <v>29585477</v>
      </c>
      <c r="C307" s="926" t="str">
        <f>+NOMINA!D300</f>
        <v>Gil Ruiz Marianyeli Sarait</v>
      </c>
      <c r="D307" s="926" t="str">
        <f>+NOMINA!O300</f>
        <v>Entrenador Deportivo II</v>
      </c>
      <c r="E307" s="929">
        <f>+NOMINA!H300</f>
        <v>43512</v>
      </c>
      <c r="F307" s="930">
        <f>+NOMINA!BT300</f>
        <v>6.46</v>
      </c>
      <c r="G307" s="599"/>
      <c r="H307" s="600"/>
      <c r="I307" s="600"/>
      <c r="J307" s="600"/>
      <c r="K307" s="600"/>
    </row>
    <row r="308" spans="1:11" ht="15.75" customHeight="1" x14ac:dyDescent="0.25">
      <c r="A308" s="928">
        <f t="shared" si="4"/>
        <v>258</v>
      </c>
      <c r="B308" s="926">
        <f>+NOMINA!C301</f>
        <v>30190238</v>
      </c>
      <c r="C308" s="926" t="str">
        <f>+NOMINA!D301</f>
        <v>Mendoza Osuna Zaida Liseth</v>
      </c>
      <c r="D308" s="926" t="str">
        <f>+NOMINA!O301</f>
        <v>Guia de Centro I</v>
      </c>
      <c r="E308" s="929">
        <f>+NOMINA!H301</f>
        <v>45200</v>
      </c>
      <c r="F308" s="930">
        <f>+NOMINA!BT301</f>
        <v>6.8</v>
      </c>
      <c r="G308" s="599"/>
      <c r="H308" s="600"/>
      <c r="I308" s="600"/>
      <c r="J308" s="600"/>
      <c r="K308" s="600"/>
    </row>
    <row r="309" spans="1:11" ht="15.75" customHeight="1" thickBot="1" x14ac:dyDescent="0.3">
      <c r="A309" s="928">
        <f t="shared" si="4"/>
        <v>259</v>
      </c>
      <c r="B309" s="926">
        <f>+NOMINA!C302</f>
        <v>30438508</v>
      </c>
      <c r="C309" s="926" t="str">
        <f>+NOMINA!D302</f>
        <v>Teran Araujo Marihangeli Nicoll</v>
      </c>
      <c r="D309" s="926" t="str">
        <f>+NOMINA!O302</f>
        <v>Asistente Administrativo II</v>
      </c>
      <c r="E309" s="929">
        <f>+NOMINA!H302</f>
        <v>45200</v>
      </c>
      <c r="F309" s="930">
        <f>+NOMINA!BT302</f>
        <v>5.76</v>
      </c>
      <c r="G309" s="599"/>
      <c r="H309" s="600"/>
      <c r="I309" s="600"/>
      <c r="J309" s="600"/>
      <c r="K309" s="600"/>
    </row>
    <row r="310" spans="1:11" ht="15.75" customHeight="1" thickBot="1" x14ac:dyDescent="0.3">
      <c r="A310" s="928"/>
      <c r="B310" s="926"/>
      <c r="C310" s="926"/>
      <c r="D310" s="926"/>
      <c r="E310" s="607" t="s">
        <v>4562</v>
      </c>
      <c r="F310" s="927">
        <f>SUM(F51:F309)</f>
        <v>2317.7400000000025</v>
      </c>
      <c r="G310" s="599" t="e">
        <f>+NOMINA!#REF!</f>
        <v>#REF!</v>
      </c>
      <c r="H310" s="600" t="e">
        <f>+F310-G310</f>
        <v>#REF!</v>
      </c>
      <c r="I310" s="600"/>
      <c r="J310" s="600"/>
      <c r="K310" s="600"/>
    </row>
    <row r="311" spans="1:11" ht="15.75" customHeight="1" x14ac:dyDescent="0.25">
      <c r="A311" s="601"/>
      <c r="B311" s="931"/>
      <c r="C311" s="931"/>
      <c r="D311" s="931"/>
      <c r="E311" s="608"/>
      <c r="F311" s="932"/>
      <c r="G311" s="599"/>
      <c r="H311" s="600"/>
      <c r="I311" s="600"/>
      <c r="J311" s="600"/>
      <c r="K311" s="600"/>
    </row>
    <row r="312" spans="1:11" ht="15.75" customHeight="1" x14ac:dyDescent="0.25">
      <c r="A312" s="601"/>
      <c r="B312" s="603"/>
      <c r="C312" s="595" t="s">
        <v>5815</v>
      </c>
      <c r="E312" s="595" t="s">
        <v>5816</v>
      </c>
      <c r="G312" s="599"/>
      <c r="H312" s="600"/>
      <c r="I312" s="600"/>
      <c r="J312" s="600"/>
      <c r="K312" s="600"/>
    </row>
    <row r="313" spans="1:11" ht="15.75" customHeight="1" x14ac:dyDescent="0.25">
      <c r="A313" s="601"/>
      <c r="B313" s="603"/>
      <c r="H313" s="600"/>
      <c r="I313" s="600"/>
      <c r="J313" s="600"/>
      <c r="K313" s="600"/>
    </row>
    <row r="314" spans="1:11" ht="15.75" customHeight="1" x14ac:dyDescent="0.3">
      <c r="A314" s="601"/>
      <c r="B314" s="603"/>
      <c r="C314" s="605" t="s">
        <v>5817</v>
      </c>
      <c r="E314" s="606" t="s">
        <v>5818</v>
      </c>
      <c r="H314" s="600"/>
      <c r="I314" s="600"/>
      <c r="J314" s="600"/>
      <c r="K314" s="600"/>
    </row>
    <row r="315" spans="1:11" ht="15.75" customHeight="1" x14ac:dyDescent="0.3">
      <c r="A315" s="601"/>
      <c r="B315" s="603"/>
      <c r="C315" s="605" t="s">
        <v>5819</v>
      </c>
      <c r="E315" s="605" t="s">
        <v>5820</v>
      </c>
      <c r="G315" s="609"/>
      <c r="H315" s="600"/>
      <c r="I315" s="600"/>
      <c r="J315" s="600"/>
      <c r="K315" s="600"/>
    </row>
    <row r="316" spans="1:11" ht="15.75" customHeight="1" x14ac:dyDescent="0.25">
      <c r="A316" s="601"/>
      <c r="B316" s="603"/>
      <c r="C316" s="603"/>
      <c r="D316" s="603"/>
      <c r="E316" s="608"/>
      <c r="F316" s="604"/>
      <c r="G316" s="604"/>
      <c r="H316" s="600"/>
      <c r="I316" s="600"/>
      <c r="J316" s="600"/>
      <c r="K316" s="600"/>
    </row>
    <row r="317" spans="1:11" ht="15.75" customHeight="1" x14ac:dyDescent="0.25">
      <c r="A317" s="597" t="s">
        <v>4563</v>
      </c>
      <c r="B317" s="926"/>
      <c r="C317" s="926"/>
      <c r="D317" s="926"/>
      <c r="E317" s="929"/>
      <c r="F317" s="930"/>
      <c r="G317" s="599"/>
      <c r="H317" s="600"/>
      <c r="I317" s="600"/>
      <c r="J317" s="600"/>
      <c r="K317" s="600"/>
    </row>
    <row r="318" spans="1:11" ht="15.75" customHeight="1" x14ac:dyDescent="0.25">
      <c r="A318" s="928">
        <v>1</v>
      </c>
      <c r="B318" s="926">
        <f>+NOMINA!C305</f>
        <v>5505183</v>
      </c>
      <c r="C318" s="926" t="str">
        <f>+NOMINA!D305</f>
        <v>Paredes Marquez Eduardo Jesus</v>
      </c>
      <c r="D318" s="926" t="str">
        <f>+NOMINA!O305</f>
        <v>Ayudante de Servicios Generales</v>
      </c>
      <c r="E318" s="929">
        <f>+NOMINA!H305</f>
        <v>44562</v>
      </c>
      <c r="F318" s="930">
        <f>+NOMINA!BT305</f>
        <v>6.06</v>
      </c>
      <c r="G318" s="599"/>
      <c r="H318" s="600"/>
      <c r="I318" s="600"/>
      <c r="J318" s="600"/>
      <c r="K318" s="600"/>
    </row>
    <row r="319" spans="1:11" ht="15.75" customHeight="1" x14ac:dyDescent="0.25">
      <c r="A319" s="928">
        <f t="shared" ref="A319:A383" si="5">+A318+1</f>
        <v>2</v>
      </c>
      <c r="B319" s="926">
        <f>+NOMINA!C306</f>
        <v>5757455</v>
      </c>
      <c r="C319" s="926" t="str">
        <f>+NOMINA!D306</f>
        <v>Ramirez Garcia Maria Perpetua</v>
      </c>
      <c r="D319" s="926" t="str">
        <f>+NOMINA!O306</f>
        <v>Cocinera</v>
      </c>
      <c r="E319" s="929">
        <f>+NOMINA!H306</f>
        <v>39409</v>
      </c>
      <c r="F319" s="930">
        <f>+NOMINA!BT306</f>
        <v>6.74</v>
      </c>
      <c r="G319" s="599"/>
      <c r="H319" s="600"/>
      <c r="I319" s="600"/>
      <c r="J319" s="600"/>
      <c r="K319" s="600"/>
    </row>
    <row r="320" spans="1:11" ht="15.75" customHeight="1" x14ac:dyDescent="0.25">
      <c r="A320" s="928">
        <f t="shared" si="5"/>
        <v>3</v>
      </c>
      <c r="B320" s="926">
        <f>+NOMINA!C307</f>
        <v>5762185</v>
      </c>
      <c r="C320" s="926" t="str">
        <f>+NOMINA!D307</f>
        <v>Salas Quintero Jose Gregorio</v>
      </c>
      <c r="D320" s="926" t="str">
        <f>+NOMINA!O307</f>
        <v>Vigilante</v>
      </c>
      <c r="E320" s="929">
        <f>+NOMINA!H307</f>
        <v>37622</v>
      </c>
      <c r="F320" s="930">
        <f>+NOMINA!BT307</f>
        <v>7.04</v>
      </c>
      <c r="G320" s="599"/>
      <c r="H320" s="600"/>
      <c r="I320" s="600"/>
      <c r="J320" s="600"/>
      <c r="K320" s="600"/>
    </row>
    <row r="321" spans="1:11" ht="15.75" customHeight="1" x14ac:dyDescent="0.25">
      <c r="A321" s="928">
        <f t="shared" si="5"/>
        <v>4</v>
      </c>
      <c r="B321" s="926">
        <f>+NOMINA!C308</f>
        <v>6332524</v>
      </c>
      <c r="C321" s="926" t="str">
        <f>+NOMINA!D308</f>
        <v>Flores Diana Yamilet</v>
      </c>
      <c r="D321" s="926" t="str">
        <f>+NOMINA!O308</f>
        <v>Cocinera</v>
      </c>
      <c r="E321" s="929">
        <f>+NOMINA!H308</f>
        <v>42948</v>
      </c>
      <c r="F321" s="930">
        <f>+NOMINA!BT308</f>
        <v>6.32</v>
      </c>
      <c r="G321" s="599"/>
      <c r="H321" s="600"/>
      <c r="I321" s="600"/>
      <c r="J321" s="600"/>
      <c r="K321" s="600"/>
    </row>
    <row r="322" spans="1:11" ht="15.75" customHeight="1" x14ac:dyDescent="0.25">
      <c r="A322" s="928">
        <f t="shared" si="5"/>
        <v>5</v>
      </c>
      <c r="B322" s="926">
        <f>+NOMINA!C309</f>
        <v>6902701</v>
      </c>
      <c r="C322" s="926" t="str">
        <f>+NOMINA!D309</f>
        <v>Santiago Torres Jose Ramon</v>
      </c>
      <c r="D322" s="926" t="str">
        <f>+NOMINA!O309</f>
        <v>Mensajero</v>
      </c>
      <c r="E322" s="929">
        <f>+NOMINA!H309</f>
        <v>44228</v>
      </c>
      <c r="F322" s="930">
        <f>+NOMINA!BT309</f>
        <v>5.8</v>
      </c>
      <c r="G322" s="599"/>
      <c r="H322" s="600"/>
      <c r="I322" s="600"/>
      <c r="J322" s="600"/>
      <c r="K322" s="600"/>
    </row>
    <row r="323" spans="1:11" ht="15.75" customHeight="1" x14ac:dyDescent="0.25">
      <c r="A323" s="928">
        <f t="shared" si="5"/>
        <v>6</v>
      </c>
      <c r="B323" s="926">
        <f>+NOMINA!C310</f>
        <v>7252065</v>
      </c>
      <c r="C323" s="926" t="str">
        <f>+NOMINA!D310</f>
        <v>Rivas Rivas Jose Gerardo</v>
      </c>
      <c r="D323" s="926" t="str">
        <f>+NOMINA!O310</f>
        <v>Ayudante de Servicios Generales</v>
      </c>
      <c r="E323" s="929">
        <f>+NOMINA!H310</f>
        <v>43891</v>
      </c>
      <c r="F323" s="930">
        <f>+NOMINA!BT310</f>
        <v>7.52</v>
      </c>
      <c r="G323" s="599"/>
      <c r="H323" s="600"/>
      <c r="I323" s="600"/>
      <c r="J323" s="600"/>
      <c r="K323" s="600"/>
    </row>
    <row r="324" spans="1:11" ht="15.75" customHeight="1" x14ac:dyDescent="0.25">
      <c r="A324" s="928">
        <f t="shared" si="5"/>
        <v>7</v>
      </c>
      <c r="B324" s="926">
        <f>+NOMINA!C311</f>
        <v>9008311</v>
      </c>
      <c r="C324" s="926" t="str">
        <f>+NOMINA!D311</f>
        <v>Toro Margi Enrique</v>
      </c>
      <c r="D324" s="926" t="str">
        <f>+NOMINA!O311</f>
        <v>Ayudante de Servicios Generales</v>
      </c>
      <c r="E324" s="929">
        <f>+NOMINA!H311</f>
        <v>39265</v>
      </c>
      <c r="F324" s="930">
        <f>+NOMINA!BT311</f>
        <v>6.34</v>
      </c>
      <c r="G324" s="599"/>
      <c r="H324" s="600"/>
      <c r="I324" s="600"/>
      <c r="J324" s="600"/>
      <c r="K324" s="600"/>
    </row>
    <row r="325" spans="1:11" ht="15.75" customHeight="1" x14ac:dyDescent="0.25">
      <c r="A325" s="928">
        <f t="shared" si="5"/>
        <v>8</v>
      </c>
      <c r="B325" s="926">
        <f>+NOMINA!C312</f>
        <v>9011963</v>
      </c>
      <c r="C325" s="926" t="str">
        <f>+NOMINA!D312</f>
        <v>Alarcon Argenio</v>
      </c>
      <c r="D325" s="926" t="str">
        <f>+NOMINA!O312</f>
        <v>Ayudante de Servicios Generales</v>
      </c>
      <c r="E325" s="929">
        <f>+NOMINA!H312</f>
        <v>39820</v>
      </c>
      <c r="F325" s="930">
        <f>+NOMINA!BT312</f>
        <v>6.24</v>
      </c>
      <c r="G325" s="599"/>
      <c r="H325" s="600"/>
      <c r="I325" s="600"/>
      <c r="J325" s="600"/>
      <c r="K325" s="600"/>
    </row>
    <row r="326" spans="1:11" ht="15.75" customHeight="1" x14ac:dyDescent="0.25">
      <c r="A326" s="928">
        <f t="shared" si="5"/>
        <v>9</v>
      </c>
      <c r="B326" s="926">
        <f>+NOMINA!C313</f>
        <v>9100500</v>
      </c>
      <c r="C326" s="926" t="str">
        <f>+NOMINA!D313</f>
        <v>Hernandez de Villegas Zoraida Elodia</v>
      </c>
      <c r="D326" s="926" t="str">
        <f>+NOMINA!O313</f>
        <v>Aseadora</v>
      </c>
      <c r="E326" s="929">
        <f>+NOMINA!H313</f>
        <v>39496</v>
      </c>
      <c r="F326" s="930">
        <f>+NOMINA!BT313</f>
        <v>5.76</v>
      </c>
      <c r="G326" s="599"/>
      <c r="H326" s="600"/>
      <c r="I326" s="600"/>
      <c r="J326" s="600"/>
      <c r="K326" s="600"/>
    </row>
    <row r="327" spans="1:11" ht="15.75" customHeight="1" x14ac:dyDescent="0.25">
      <c r="A327" s="928">
        <f t="shared" si="5"/>
        <v>10</v>
      </c>
      <c r="B327" s="926">
        <f>+NOMINA!C314</f>
        <v>9110498</v>
      </c>
      <c r="C327" s="926" t="str">
        <f>+NOMINA!D314</f>
        <v>Ruiz Alberto Jose</v>
      </c>
      <c r="D327" s="926" t="str">
        <f>+NOMINA!O314</f>
        <v>Ayudante de Servicios Generales</v>
      </c>
      <c r="E327" s="929">
        <f>+NOMINA!H314</f>
        <v>37508</v>
      </c>
      <c r="F327" s="930">
        <f>+NOMINA!BT314</f>
        <v>6.56</v>
      </c>
      <c r="G327" s="599"/>
      <c r="H327" s="600"/>
      <c r="I327" s="600"/>
      <c r="J327" s="600"/>
      <c r="K327" s="600"/>
    </row>
    <row r="328" spans="1:11" ht="15.75" customHeight="1" x14ac:dyDescent="0.25">
      <c r="A328" s="928">
        <f t="shared" si="5"/>
        <v>11</v>
      </c>
      <c r="B328" s="926">
        <f>+NOMINA!C315</f>
        <v>9163994</v>
      </c>
      <c r="C328" s="926" t="str">
        <f>+NOMINA!D315</f>
        <v>Rodriguez Fernandez Carlos Eduardo</v>
      </c>
      <c r="D328" s="926" t="str">
        <f>+NOMINA!O315</f>
        <v>Ayudante de Almacen</v>
      </c>
      <c r="E328" s="929">
        <f>+NOMINA!H315</f>
        <v>43770</v>
      </c>
      <c r="F328" s="930">
        <f>+NOMINA!BT315</f>
        <v>6.2</v>
      </c>
      <c r="G328" s="599"/>
      <c r="H328" s="600"/>
      <c r="I328" s="600"/>
      <c r="J328" s="600"/>
      <c r="K328" s="600"/>
    </row>
    <row r="329" spans="1:11" ht="15.75" customHeight="1" x14ac:dyDescent="0.25">
      <c r="A329" s="928">
        <f t="shared" si="5"/>
        <v>12</v>
      </c>
      <c r="B329" s="926">
        <f>+NOMINA!C316</f>
        <v>9167342</v>
      </c>
      <c r="C329" s="926" t="str">
        <f>+NOMINA!D316</f>
        <v>Gutierrez Briceño Jose Justimiano</v>
      </c>
      <c r="D329" s="926" t="str">
        <f>+NOMINA!O316</f>
        <v>Ayudante Agropecuario</v>
      </c>
      <c r="E329" s="929">
        <f>+NOMINA!H316</f>
        <v>43845</v>
      </c>
      <c r="F329" s="930">
        <f>+NOMINA!BT316</f>
        <v>5.8</v>
      </c>
      <c r="G329" s="599"/>
      <c r="H329" s="600"/>
      <c r="I329" s="600"/>
      <c r="J329" s="600"/>
      <c r="K329" s="600"/>
    </row>
    <row r="330" spans="1:11" ht="15.75" customHeight="1" x14ac:dyDescent="0.25">
      <c r="A330" s="928">
        <f t="shared" si="5"/>
        <v>13</v>
      </c>
      <c r="B330" s="926">
        <f>+NOMINA!C317</f>
        <v>9310477</v>
      </c>
      <c r="C330" s="926" t="str">
        <f>+NOMINA!D317</f>
        <v>Campos Muchacho Rafael Angel</v>
      </c>
      <c r="D330" s="926" t="str">
        <f>+NOMINA!O317</f>
        <v>Ayudante Agropecuario</v>
      </c>
      <c r="E330" s="929">
        <f>+NOMINA!H317</f>
        <v>44075</v>
      </c>
      <c r="F330" s="930">
        <f>+NOMINA!BT317</f>
        <v>5.8</v>
      </c>
      <c r="G330" s="599"/>
      <c r="H330" s="600"/>
      <c r="I330" s="600"/>
      <c r="J330" s="600"/>
      <c r="K330" s="600"/>
    </row>
    <row r="331" spans="1:11" ht="15.75" customHeight="1" x14ac:dyDescent="0.25">
      <c r="A331" s="928">
        <f t="shared" si="5"/>
        <v>14</v>
      </c>
      <c r="B331" s="926">
        <f>+NOMINA!C318</f>
        <v>9323739</v>
      </c>
      <c r="C331" s="926" t="str">
        <f>+NOMINA!D318</f>
        <v>Vargas Benitez Jose Nerio</v>
      </c>
      <c r="D331" s="926" t="str">
        <f>+NOMINA!O318</f>
        <v>Ayudante de Servicios Generales</v>
      </c>
      <c r="E331" s="929">
        <f>+NOMINA!H318</f>
        <v>39300</v>
      </c>
      <c r="F331" s="930">
        <f>+NOMINA!BT318</f>
        <v>6.34</v>
      </c>
      <c r="G331" s="599"/>
      <c r="H331" s="600"/>
      <c r="I331" s="600"/>
      <c r="J331" s="600"/>
      <c r="K331" s="600"/>
    </row>
    <row r="332" spans="1:11" ht="15.75" customHeight="1" x14ac:dyDescent="0.25">
      <c r="A332" s="928">
        <f t="shared" si="5"/>
        <v>15</v>
      </c>
      <c r="B332" s="926">
        <f>+NOMINA!C319</f>
        <v>9325664</v>
      </c>
      <c r="C332" s="926" t="str">
        <f>+NOMINA!D319</f>
        <v>Lobo Mendoza Luz Marina</v>
      </c>
      <c r="D332" s="926" t="str">
        <f>+NOMINA!O319</f>
        <v>Ayudante de Servicios Generales</v>
      </c>
      <c r="E332" s="929">
        <f>+NOMINA!H319</f>
        <v>42948</v>
      </c>
      <c r="F332" s="930">
        <f>+NOMINA!BT319</f>
        <v>5.9</v>
      </c>
      <c r="G332" s="599"/>
      <c r="H332" s="600"/>
      <c r="I332" s="600"/>
      <c r="J332" s="600"/>
      <c r="K332" s="600"/>
    </row>
    <row r="333" spans="1:11" ht="15.75" customHeight="1" x14ac:dyDescent="0.25">
      <c r="A333" s="928">
        <f t="shared" si="5"/>
        <v>16</v>
      </c>
      <c r="B333" s="926">
        <f>+NOMINA!C320</f>
        <v>9328045</v>
      </c>
      <c r="C333" s="926" t="str">
        <f>+NOMINA!D320</f>
        <v>Paredes Quintero Jose Benigno</v>
      </c>
      <c r="D333" s="926" t="str">
        <f>+NOMINA!O320</f>
        <v>Ayudante de Servicios Generales</v>
      </c>
      <c r="E333" s="929">
        <f>+NOMINA!H320</f>
        <v>44212</v>
      </c>
      <c r="F333" s="930">
        <f>+NOMINA!BT320</f>
        <v>5.76</v>
      </c>
      <c r="G333" s="599"/>
      <c r="H333" s="600"/>
      <c r="I333" s="600"/>
      <c r="J333" s="600"/>
      <c r="K333" s="600"/>
    </row>
    <row r="334" spans="1:11" ht="15.75" customHeight="1" x14ac:dyDescent="0.25">
      <c r="A334" s="928">
        <f t="shared" si="5"/>
        <v>17</v>
      </c>
      <c r="B334" s="926">
        <f>+NOMINA!C321</f>
        <v>10178456</v>
      </c>
      <c r="C334" s="926" t="str">
        <f>+NOMINA!D321</f>
        <v>Figueroa Roa Yudith Griselda</v>
      </c>
      <c r="D334" s="926" t="str">
        <f>+NOMINA!O321</f>
        <v>Aseadora</v>
      </c>
      <c r="E334" s="929">
        <f>+NOMINA!H321</f>
        <v>44287</v>
      </c>
      <c r="F334" s="930">
        <f>+NOMINA!BT321</f>
        <v>5.3</v>
      </c>
      <c r="G334" s="599"/>
      <c r="H334" s="600"/>
      <c r="I334" s="600"/>
      <c r="J334" s="600"/>
      <c r="K334" s="600"/>
    </row>
    <row r="335" spans="1:11" ht="15.75" customHeight="1" x14ac:dyDescent="0.25">
      <c r="A335" s="928">
        <f t="shared" si="5"/>
        <v>18</v>
      </c>
      <c r="B335" s="926">
        <f>+NOMINA!C322</f>
        <v>10317435</v>
      </c>
      <c r="C335" s="926" t="str">
        <f>+NOMINA!D322</f>
        <v>Milla Ana Julia</v>
      </c>
      <c r="D335" s="926" t="str">
        <f>+NOMINA!O322</f>
        <v>Aseadora</v>
      </c>
      <c r="E335" s="929">
        <f>+NOMINA!H322</f>
        <v>39559</v>
      </c>
      <c r="F335" s="930">
        <f>+NOMINA!BT322</f>
        <v>5.76</v>
      </c>
      <c r="G335" s="599"/>
      <c r="H335" s="600"/>
      <c r="I335" s="600"/>
      <c r="J335" s="600"/>
      <c r="K335" s="600"/>
    </row>
    <row r="336" spans="1:11" ht="15.75" customHeight="1" x14ac:dyDescent="0.25">
      <c r="A336" s="928">
        <f t="shared" si="5"/>
        <v>19</v>
      </c>
      <c r="B336" s="926">
        <f>+NOMINA!C323</f>
        <v>10396367</v>
      </c>
      <c r="C336" s="926" t="str">
        <f>+NOMINA!D323</f>
        <v>Hidalgo Linares Gloria Margarita</v>
      </c>
      <c r="D336" s="926" t="str">
        <f>+NOMINA!O323</f>
        <v>Cocinera</v>
      </c>
      <c r="E336" s="929">
        <f>+NOMINA!H323</f>
        <v>39722</v>
      </c>
      <c r="F336" s="930">
        <f>+NOMINA!BT323</f>
        <v>6.7</v>
      </c>
      <c r="G336" s="599"/>
      <c r="H336" s="600"/>
      <c r="I336" s="600"/>
      <c r="J336" s="600"/>
      <c r="K336" s="600"/>
    </row>
    <row r="337" spans="1:11" ht="15.75" customHeight="1" x14ac:dyDescent="0.25">
      <c r="A337" s="928">
        <f t="shared" si="5"/>
        <v>20</v>
      </c>
      <c r="B337" s="926">
        <f>+NOMINA!C324</f>
        <v>10399474</v>
      </c>
      <c r="C337" s="926" t="str">
        <f>+NOMINA!D324</f>
        <v>Ramirez Araujo Teresa Maria</v>
      </c>
      <c r="D337" s="926" t="str">
        <f>+NOMINA!O324</f>
        <v>Ayudante de Servicios Generales</v>
      </c>
      <c r="E337" s="929">
        <f>+NOMINA!H324</f>
        <v>45597</v>
      </c>
      <c r="F337" s="930">
        <f>+NOMINA!BT324</f>
        <v>5.44</v>
      </c>
      <c r="G337" s="599"/>
      <c r="H337" s="600"/>
      <c r="I337" s="600"/>
      <c r="J337" s="600"/>
      <c r="K337" s="600"/>
    </row>
    <row r="338" spans="1:11" ht="15.75" customHeight="1" x14ac:dyDescent="0.25">
      <c r="A338" s="928">
        <f t="shared" si="5"/>
        <v>21</v>
      </c>
      <c r="B338" s="926">
        <f>+NOMINA!C325</f>
        <v>10401329</v>
      </c>
      <c r="C338" s="926" t="str">
        <f>+NOMINA!D325</f>
        <v>Gonzalez Torres Orangel Ramon</v>
      </c>
      <c r="D338" s="926" t="str">
        <f>+NOMINA!O325</f>
        <v>Chofer De Transporte</v>
      </c>
      <c r="E338" s="929">
        <f>+NOMINA!H325</f>
        <v>39539</v>
      </c>
      <c r="F338" s="930">
        <f>+NOMINA!BT325</f>
        <v>8.76</v>
      </c>
      <c r="G338" s="599"/>
      <c r="H338" s="600"/>
      <c r="I338" s="600"/>
      <c r="J338" s="600"/>
      <c r="K338" s="600"/>
    </row>
    <row r="339" spans="1:11" ht="15.75" customHeight="1" x14ac:dyDescent="0.25">
      <c r="A339" s="928">
        <f t="shared" si="5"/>
        <v>22</v>
      </c>
      <c r="B339" s="926">
        <f>+NOMINA!C326</f>
        <v>10907687</v>
      </c>
      <c r="C339" s="926" t="str">
        <f>+NOMINA!D326</f>
        <v>Viloria Garcia Karina Liseth</v>
      </c>
      <c r="D339" s="926" t="str">
        <f>+NOMINA!O326</f>
        <v>Cocinera</v>
      </c>
      <c r="E339" s="929">
        <f>+NOMINA!H326</f>
        <v>38749</v>
      </c>
      <c r="F339" s="930">
        <f>+NOMINA!BT326</f>
        <v>6.86</v>
      </c>
      <c r="G339" s="599"/>
      <c r="H339" s="600"/>
      <c r="I339" s="600"/>
      <c r="J339" s="600"/>
      <c r="K339" s="600"/>
    </row>
    <row r="340" spans="1:11" ht="15.75" customHeight="1" x14ac:dyDescent="0.25">
      <c r="A340" s="928">
        <f t="shared" si="5"/>
        <v>23</v>
      </c>
      <c r="B340" s="926">
        <f>+NOMINA!C327</f>
        <v>10908543</v>
      </c>
      <c r="C340" s="926" t="str">
        <f>+NOMINA!D327</f>
        <v>Quintero Eric Ludwig</v>
      </c>
      <c r="D340" s="926" t="str">
        <f>+NOMINA!O327</f>
        <v>Cocinero</v>
      </c>
      <c r="E340" s="929">
        <f>+NOMINA!H327</f>
        <v>42751</v>
      </c>
      <c r="F340" s="930">
        <f>+NOMINA!BT327</f>
        <v>6.32</v>
      </c>
      <c r="G340" s="599"/>
      <c r="H340" s="600"/>
      <c r="I340" s="600"/>
      <c r="J340" s="600"/>
      <c r="K340" s="600"/>
    </row>
    <row r="341" spans="1:11" ht="15.75" customHeight="1" x14ac:dyDescent="0.25">
      <c r="A341" s="928">
        <f t="shared" si="5"/>
        <v>24</v>
      </c>
      <c r="B341" s="926">
        <f>+NOMINA!C328</f>
        <v>10909678</v>
      </c>
      <c r="C341" s="926" t="str">
        <f>+NOMINA!D328</f>
        <v>Delgado Jose Argenis</v>
      </c>
      <c r="D341" s="926" t="str">
        <f>+NOMINA!O328</f>
        <v>Aseador</v>
      </c>
      <c r="E341" s="929">
        <f>+NOMINA!H328</f>
        <v>43952</v>
      </c>
      <c r="F341" s="930">
        <f>+NOMINA!BT328</f>
        <v>5.34</v>
      </c>
      <c r="G341" s="599"/>
      <c r="H341" s="600"/>
      <c r="I341" s="600"/>
      <c r="J341" s="600"/>
      <c r="K341" s="600"/>
    </row>
    <row r="342" spans="1:11" ht="15.75" customHeight="1" x14ac:dyDescent="0.25">
      <c r="A342" s="928">
        <f t="shared" si="5"/>
        <v>25</v>
      </c>
      <c r="B342" s="926">
        <f>+NOMINA!C329</f>
        <v>10909819</v>
      </c>
      <c r="C342" s="926" t="str">
        <f>+NOMINA!D329</f>
        <v>Carrizo Jose Waldo</v>
      </c>
      <c r="D342" s="926" t="str">
        <f>+NOMINA!O329</f>
        <v>Cocinero</v>
      </c>
      <c r="E342" s="929">
        <f>+NOMINA!H329</f>
        <v>43359</v>
      </c>
      <c r="F342" s="930">
        <f>+NOMINA!BT329</f>
        <v>6.28</v>
      </c>
      <c r="G342" s="599"/>
      <c r="H342" s="600"/>
      <c r="I342" s="600"/>
      <c r="J342" s="600"/>
      <c r="K342" s="600"/>
    </row>
    <row r="343" spans="1:11" ht="15.75" customHeight="1" x14ac:dyDescent="0.25">
      <c r="A343" s="928">
        <f t="shared" si="5"/>
        <v>26</v>
      </c>
      <c r="B343" s="926">
        <f>+NOMINA!C330</f>
        <v>10912635</v>
      </c>
      <c r="C343" s="926" t="str">
        <f>+NOMINA!D330</f>
        <v>Gutierrez Briceño Jose Orangel</v>
      </c>
      <c r="D343" s="926" t="str">
        <f>+NOMINA!O330</f>
        <v>Ayudante Agropecuario</v>
      </c>
      <c r="E343" s="929">
        <f>+NOMINA!H330</f>
        <v>44348</v>
      </c>
      <c r="F343" s="930">
        <f>+NOMINA!BT330</f>
        <v>5.76</v>
      </c>
      <c r="G343" s="599"/>
      <c r="H343" s="600"/>
      <c r="I343" s="600"/>
      <c r="J343" s="600"/>
      <c r="K343" s="600"/>
    </row>
    <row r="344" spans="1:11" ht="15.75" customHeight="1" x14ac:dyDescent="0.25">
      <c r="A344" s="928">
        <f t="shared" si="5"/>
        <v>27</v>
      </c>
      <c r="B344" s="926">
        <f>+NOMINA!C331</f>
        <v>10915274</v>
      </c>
      <c r="C344" s="926" t="str">
        <f>+NOMINA!D331</f>
        <v>Montilla Vergara Belkys Josefina</v>
      </c>
      <c r="D344" s="926" t="str">
        <f>+NOMINA!O331</f>
        <v>Ayudante de Servicios Generales</v>
      </c>
      <c r="E344" s="929">
        <f>+NOMINA!H331</f>
        <v>44635</v>
      </c>
      <c r="F344" s="930">
        <f>+NOMINA!BT331</f>
        <v>5.74</v>
      </c>
      <c r="G344" s="599"/>
      <c r="H344" s="600"/>
      <c r="I344" s="600"/>
      <c r="J344" s="600"/>
      <c r="K344" s="600"/>
    </row>
    <row r="345" spans="1:11" ht="15.75" customHeight="1" x14ac:dyDescent="0.25">
      <c r="A345" s="928">
        <f t="shared" si="5"/>
        <v>28</v>
      </c>
      <c r="B345" s="926">
        <f>+NOMINA!C332</f>
        <v>11129355</v>
      </c>
      <c r="C345" s="926" t="str">
        <f>+NOMINA!D332</f>
        <v>Luque Azuaje Rigoberto</v>
      </c>
      <c r="D345" s="926" t="str">
        <f>+NOMINA!O332</f>
        <v>Ayudante de Servicios Generales</v>
      </c>
      <c r="E345" s="929">
        <f>+NOMINA!H332</f>
        <v>39539</v>
      </c>
      <c r="F345" s="930">
        <f>+NOMINA!BT332</f>
        <v>8.16</v>
      </c>
      <c r="G345" s="599"/>
      <c r="H345" s="600"/>
      <c r="I345" s="600"/>
      <c r="J345" s="600"/>
      <c r="K345" s="600"/>
    </row>
    <row r="346" spans="1:11" ht="15.75" customHeight="1" x14ac:dyDescent="0.25">
      <c r="A346" s="928">
        <f t="shared" si="5"/>
        <v>29</v>
      </c>
      <c r="B346" s="926">
        <f>+NOMINA!C333</f>
        <v>11315202</v>
      </c>
      <c r="C346" s="926" t="str">
        <f>+NOMINA!D333</f>
        <v>Barreto Maria Ramona</v>
      </c>
      <c r="D346" s="926" t="str">
        <f>+NOMINA!O333</f>
        <v>Cocinera</v>
      </c>
      <c r="E346" s="929">
        <f>+NOMINA!H333</f>
        <v>39539</v>
      </c>
      <c r="F346" s="930">
        <f>+NOMINA!BT333</f>
        <v>6.74</v>
      </c>
      <c r="G346" s="599"/>
      <c r="H346" s="600"/>
      <c r="I346" s="600"/>
      <c r="J346" s="600"/>
      <c r="K346" s="600"/>
    </row>
    <row r="347" spans="1:11" ht="15.75" customHeight="1" x14ac:dyDescent="0.25">
      <c r="A347" s="928">
        <f t="shared" si="5"/>
        <v>30</v>
      </c>
      <c r="B347" s="926">
        <f>+NOMINA!C334</f>
        <v>11321681</v>
      </c>
      <c r="C347" s="926" t="str">
        <f>+NOMINA!D334</f>
        <v>Bentancourt Rivas Luis Enrique</v>
      </c>
      <c r="D347" s="926" t="str">
        <f>+NOMINA!O334</f>
        <v>Ayudante de Servicios Generales</v>
      </c>
      <c r="E347" s="929">
        <f>+NOMINA!H334</f>
        <v>44805</v>
      </c>
      <c r="F347" s="930">
        <f>+NOMINA!BT334</f>
        <v>5.74</v>
      </c>
      <c r="G347" s="599"/>
      <c r="H347" s="600"/>
      <c r="I347" s="600"/>
      <c r="J347" s="600"/>
      <c r="K347" s="600"/>
    </row>
    <row r="348" spans="1:11" ht="15.75" customHeight="1" x14ac:dyDescent="0.25">
      <c r="A348" s="928">
        <f t="shared" si="5"/>
        <v>31</v>
      </c>
      <c r="B348" s="926">
        <f>+NOMINA!C335</f>
        <v>11321782</v>
      </c>
      <c r="C348" s="926" t="str">
        <f>+NOMINA!D335</f>
        <v>Flores Camacho Maria Zoraida</v>
      </c>
      <c r="D348" s="926" t="str">
        <f>+NOMINA!O335</f>
        <v>Cocinera</v>
      </c>
      <c r="E348" s="929">
        <f>+NOMINA!H335</f>
        <v>43815</v>
      </c>
      <c r="F348" s="930">
        <f>+NOMINA!BT335</f>
        <v>6.2</v>
      </c>
      <c r="G348" s="599"/>
      <c r="H348" s="600"/>
      <c r="I348" s="600"/>
      <c r="J348" s="600"/>
      <c r="K348" s="600"/>
    </row>
    <row r="349" spans="1:11" ht="15.75" customHeight="1" x14ac:dyDescent="0.25">
      <c r="A349" s="928">
        <f t="shared" si="5"/>
        <v>32</v>
      </c>
      <c r="B349" s="926">
        <f>+NOMINA!C336</f>
        <v>11324931</v>
      </c>
      <c r="C349" s="926" t="str">
        <f>+NOMINA!D336</f>
        <v>Sulbaran de Araujo Magaly</v>
      </c>
      <c r="D349" s="926" t="str">
        <f>+NOMINA!O336</f>
        <v>Cocinera</v>
      </c>
      <c r="E349" s="929">
        <f>+NOMINA!H336</f>
        <v>38784</v>
      </c>
      <c r="F349" s="930">
        <f>+NOMINA!BT336</f>
        <v>6.86</v>
      </c>
      <c r="G349" s="599"/>
      <c r="H349" s="600"/>
      <c r="I349" s="600"/>
      <c r="J349" s="600"/>
      <c r="K349" s="600"/>
    </row>
    <row r="350" spans="1:11" ht="15.75" customHeight="1" x14ac:dyDescent="0.25">
      <c r="A350" s="928">
        <f t="shared" si="5"/>
        <v>33</v>
      </c>
      <c r="B350" s="926">
        <f>+NOMINA!C337</f>
        <v>11894400</v>
      </c>
      <c r="C350" s="926" t="str">
        <f>+NOMINA!D337</f>
        <v>Aldana Olivar Maria del Carmen</v>
      </c>
      <c r="D350" s="926" t="str">
        <f>+NOMINA!O337</f>
        <v>Cocinera</v>
      </c>
      <c r="E350" s="929">
        <f>+NOMINA!H337</f>
        <v>44287</v>
      </c>
      <c r="F350" s="930">
        <f>+NOMINA!BT337</f>
        <v>6.16</v>
      </c>
      <c r="G350" s="599"/>
      <c r="H350" s="600"/>
      <c r="I350" s="600"/>
      <c r="J350" s="600"/>
      <c r="K350" s="600"/>
    </row>
    <row r="351" spans="1:11" ht="15.75" customHeight="1" x14ac:dyDescent="0.25">
      <c r="A351" s="928">
        <f t="shared" si="5"/>
        <v>34</v>
      </c>
      <c r="B351" s="926">
        <f>+NOMINA!C338</f>
        <v>11897863</v>
      </c>
      <c r="C351" s="926" t="str">
        <f>+NOMINA!D338</f>
        <v>Rodriguez Maria Ibel</v>
      </c>
      <c r="D351" s="926" t="str">
        <f>+NOMINA!O338</f>
        <v>Aseadora</v>
      </c>
      <c r="E351" s="929">
        <f>+NOMINA!H338</f>
        <v>41548</v>
      </c>
      <c r="F351" s="930">
        <f>+NOMINA!BT338</f>
        <v>5.52</v>
      </c>
      <c r="G351" s="599"/>
      <c r="H351" s="600"/>
      <c r="I351" s="600"/>
      <c r="J351" s="600"/>
      <c r="K351" s="600"/>
    </row>
    <row r="352" spans="1:11" ht="15.75" customHeight="1" x14ac:dyDescent="0.25">
      <c r="A352" s="928">
        <f t="shared" si="5"/>
        <v>35</v>
      </c>
      <c r="B352" s="926">
        <f>+NOMINA!C339</f>
        <v>12038359</v>
      </c>
      <c r="C352" s="926" t="str">
        <f>+NOMINA!D339</f>
        <v>Amaya Perez Carmen Elena</v>
      </c>
      <c r="D352" s="926" t="str">
        <f>+NOMINA!O339</f>
        <v>Cocinera</v>
      </c>
      <c r="E352" s="929">
        <f>+NOMINA!H339</f>
        <v>38103</v>
      </c>
      <c r="F352" s="930">
        <f>+NOMINA!BT339</f>
        <v>6.98</v>
      </c>
      <c r="G352" s="599"/>
      <c r="H352" s="600"/>
      <c r="I352" s="600"/>
      <c r="J352" s="600"/>
      <c r="K352" s="600"/>
    </row>
    <row r="353" spans="1:11" ht="15.75" customHeight="1" x14ac:dyDescent="0.25">
      <c r="A353" s="928">
        <f t="shared" si="5"/>
        <v>36</v>
      </c>
      <c r="B353" s="926">
        <f>+NOMINA!C340</f>
        <v>12042930</v>
      </c>
      <c r="C353" s="926" t="str">
        <f>+NOMINA!D340</f>
        <v>Barroeta Cardozo Leonid Andrei</v>
      </c>
      <c r="D353" s="926" t="str">
        <f>+NOMINA!O340</f>
        <v>Ayudante de Servicios Generales</v>
      </c>
      <c r="E353" s="929">
        <f>+NOMINA!H340</f>
        <v>44986</v>
      </c>
      <c r="F353" s="930">
        <f>+NOMINA!BT340</f>
        <v>5.7</v>
      </c>
      <c r="G353" s="599"/>
      <c r="H353" s="600"/>
      <c r="I353" s="600"/>
      <c r="J353" s="600"/>
      <c r="K353" s="600"/>
    </row>
    <row r="354" spans="1:11" ht="15.75" customHeight="1" x14ac:dyDescent="0.25">
      <c r="A354" s="928">
        <f t="shared" si="5"/>
        <v>37</v>
      </c>
      <c r="B354" s="926">
        <f>+NOMINA!C341</f>
        <v>12043135</v>
      </c>
      <c r="C354" s="926" t="str">
        <f>+NOMINA!D341</f>
        <v>Avila Salvio Rodolfo</v>
      </c>
      <c r="D354" s="926" t="str">
        <f>+NOMINA!O341</f>
        <v>Cocinero</v>
      </c>
      <c r="E354" s="929">
        <f>+NOMINA!H341</f>
        <v>43724</v>
      </c>
      <c r="F354" s="930">
        <f>+NOMINA!BT341</f>
        <v>6.24</v>
      </c>
      <c r="G354" s="599"/>
      <c r="H354" s="600"/>
      <c r="I354" s="600"/>
      <c r="J354" s="600"/>
      <c r="K354" s="600"/>
    </row>
    <row r="355" spans="1:11" ht="15.75" customHeight="1" x14ac:dyDescent="0.25">
      <c r="A355" s="928">
        <f t="shared" si="5"/>
        <v>38</v>
      </c>
      <c r="B355" s="926">
        <f>+NOMINA!C342</f>
        <v>12044124</v>
      </c>
      <c r="C355" s="926" t="str">
        <f>+NOMINA!D342</f>
        <v>Rivas Carlos Luis</v>
      </c>
      <c r="D355" s="926" t="str">
        <f>+NOMINA!O342</f>
        <v>Ayudante de Servicios Generales</v>
      </c>
      <c r="E355" s="929">
        <f>+NOMINA!H342</f>
        <v>39539</v>
      </c>
      <c r="F355" s="930">
        <f>+NOMINA!BT342</f>
        <v>8.16</v>
      </c>
      <c r="G355" s="599"/>
      <c r="H355" s="600"/>
      <c r="I355" s="600"/>
      <c r="J355" s="600"/>
      <c r="K355" s="600"/>
    </row>
    <row r="356" spans="1:11" ht="15.75" customHeight="1" x14ac:dyDescent="0.25">
      <c r="A356" s="928">
        <f t="shared" si="5"/>
        <v>39</v>
      </c>
      <c r="B356" s="926">
        <f>+NOMINA!C343</f>
        <v>12044754</v>
      </c>
      <c r="C356" s="926" t="str">
        <f>+NOMINA!D343</f>
        <v>Briceño Graterol Oscar Antonio</v>
      </c>
      <c r="D356" s="926" t="str">
        <f>+NOMINA!O343</f>
        <v>Ayudante de Servicios Generales</v>
      </c>
      <c r="E356" s="929">
        <f>+NOMINA!H343</f>
        <v>43481</v>
      </c>
      <c r="F356" s="930">
        <f>+NOMINA!BT343</f>
        <v>5.82</v>
      </c>
      <c r="G356" s="599"/>
      <c r="H356" s="600"/>
      <c r="I356" s="600"/>
      <c r="J356" s="600"/>
      <c r="K356" s="600"/>
    </row>
    <row r="357" spans="1:11" ht="15.75" customHeight="1" x14ac:dyDescent="0.25">
      <c r="A357" s="928">
        <f t="shared" si="5"/>
        <v>40</v>
      </c>
      <c r="B357" s="926">
        <f>+NOMINA!C344</f>
        <v>12046834</v>
      </c>
      <c r="C357" s="926" t="str">
        <f>+NOMINA!D344</f>
        <v>Perez Montilla William Jose</v>
      </c>
      <c r="D357" s="926" t="str">
        <f>+NOMINA!O344</f>
        <v>Cocinero</v>
      </c>
      <c r="E357" s="929">
        <f>+NOMINA!H344</f>
        <v>43313</v>
      </c>
      <c r="F357" s="930">
        <f>+NOMINA!BT344</f>
        <v>6.52</v>
      </c>
      <c r="G357" s="599"/>
      <c r="H357" s="600"/>
      <c r="I357" s="600"/>
      <c r="J357" s="600"/>
      <c r="K357" s="600"/>
    </row>
    <row r="358" spans="1:11" ht="15.75" customHeight="1" x14ac:dyDescent="0.25">
      <c r="A358" s="928">
        <f t="shared" si="5"/>
        <v>41</v>
      </c>
      <c r="B358" s="926">
        <f>+NOMINA!C345</f>
        <v>12047016</v>
      </c>
      <c r="C358" s="926" t="str">
        <f>+NOMINA!D345</f>
        <v>Lozada de Estenoz Maria Edicta</v>
      </c>
      <c r="D358" s="926" t="str">
        <f>+NOMINA!O345</f>
        <v>Cocinera</v>
      </c>
      <c r="E358" s="929">
        <f>+NOMINA!H345</f>
        <v>42948</v>
      </c>
      <c r="F358" s="930">
        <f>+NOMINA!BT345</f>
        <v>6.56</v>
      </c>
      <c r="G358" s="599"/>
      <c r="H358" s="600"/>
      <c r="I358" s="600"/>
      <c r="J358" s="600"/>
      <c r="K358" s="600"/>
    </row>
    <row r="359" spans="1:11" ht="15.75" customHeight="1" x14ac:dyDescent="0.25">
      <c r="A359" s="928">
        <f t="shared" si="5"/>
        <v>42</v>
      </c>
      <c r="B359" s="926">
        <f>+NOMINA!C346</f>
        <v>12797215</v>
      </c>
      <c r="C359" s="926" t="str">
        <f>+NOMINA!D346</f>
        <v>Briceño Matheus Yhonny Alberto</v>
      </c>
      <c r="D359" s="926" t="str">
        <f>+NOMINA!O346</f>
        <v>Aseador</v>
      </c>
      <c r="E359" s="929">
        <f>+NOMINA!H346</f>
        <v>45778</v>
      </c>
      <c r="F359" s="930">
        <f>+NOMINA!BT346</f>
        <v>5.2</v>
      </c>
      <c r="G359" s="599"/>
      <c r="H359" s="600"/>
      <c r="I359" s="600"/>
      <c r="J359" s="600"/>
      <c r="K359" s="600"/>
    </row>
    <row r="360" spans="1:11" ht="15.75" customHeight="1" x14ac:dyDescent="0.25">
      <c r="A360" s="928">
        <f t="shared" si="5"/>
        <v>43</v>
      </c>
      <c r="B360" s="926">
        <f>+NOMINA!C347</f>
        <v>12797543</v>
      </c>
      <c r="C360" s="926" t="str">
        <f>+NOMINA!D347</f>
        <v>Carrizo Blanco Doris Coromoto</v>
      </c>
      <c r="D360" s="926" t="str">
        <f>+NOMINA!O347</f>
        <v>Ayudante de Servicios Generales</v>
      </c>
      <c r="E360" s="929">
        <f>+NOMINA!H347</f>
        <v>42948</v>
      </c>
      <c r="F360" s="930">
        <f>+NOMINA!BT347</f>
        <v>5.9</v>
      </c>
      <c r="G360" s="599"/>
      <c r="H360" s="600"/>
      <c r="I360" s="600"/>
      <c r="J360" s="600"/>
      <c r="K360" s="600"/>
    </row>
    <row r="361" spans="1:11" ht="15.75" customHeight="1" x14ac:dyDescent="0.25">
      <c r="A361" s="928">
        <f t="shared" si="5"/>
        <v>44</v>
      </c>
      <c r="B361" s="926">
        <f>+NOMINA!C348</f>
        <v>12797598</v>
      </c>
      <c r="C361" s="926" t="str">
        <f>+NOMINA!D348</f>
        <v>Gutierrez Briceño Jose Gabriel</v>
      </c>
      <c r="D361" s="926" t="str">
        <f>+NOMINA!O348</f>
        <v>Cocinero</v>
      </c>
      <c r="E361" s="929">
        <f>+NOMINA!H348</f>
        <v>44635</v>
      </c>
      <c r="F361" s="930">
        <f>+NOMINA!BT348</f>
        <v>6.38</v>
      </c>
      <c r="G361" s="599"/>
      <c r="H361" s="600"/>
      <c r="I361" s="600"/>
      <c r="J361" s="600"/>
      <c r="K361" s="600"/>
    </row>
    <row r="362" spans="1:11" ht="15.75" customHeight="1" x14ac:dyDescent="0.25">
      <c r="A362" s="928">
        <f t="shared" si="5"/>
        <v>45</v>
      </c>
      <c r="B362" s="926">
        <f>+NOMINA!C349</f>
        <v>13049800</v>
      </c>
      <c r="C362" s="926" t="str">
        <f>+NOMINA!D349</f>
        <v>Artigas Sanchez Mereldes Corina</v>
      </c>
      <c r="D362" s="926" t="str">
        <f>+NOMINA!O349</f>
        <v>Aseadora</v>
      </c>
      <c r="E362" s="929">
        <f>+NOMINA!H349</f>
        <v>42171</v>
      </c>
      <c r="F362" s="930">
        <f>+NOMINA!BT349</f>
        <v>5.48</v>
      </c>
      <c r="G362" s="599"/>
      <c r="H362" s="600"/>
      <c r="I362" s="600"/>
      <c r="J362" s="600"/>
      <c r="K362" s="600"/>
    </row>
    <row r="363" spans="1:11" ht="15.75" customHeight="1" x14ac:dyDescent="0.25">
      <c r="A363" s="928">
        <f t="shared" si="5"/>
        <v>46</v>
      </c>
      <c r="B363" s="926">
        <f>+NOMINA!C350</f>
        <v>13376729</v>
      </c>
      <c r="C363" s="926" t="str">
        <f>+NOMINA!D350</f>
        <v>Briceño Aldana Yhon Mario</v>
      </c>
      <c r="D363" s="926" t="str">
        <f>+NOMINA!O350</f>
        <v>Vigilante</v>
      </c>
      <c r="E363" s="929">
        <f>+NOMINA!H350</f>
        <v>42948</v>
      </c>
      <c r="F363" s="930">
        <f>+NOMINA!BT350</f>
        <v>8.5399999999999991</v>
      </c>
      <c r="G363" s="599"/>
      <c r="H363" s="600"/>
      <c r="I363" s="600"/>
      <c r="J363" s="600"/>
      <c r="K363" s="600"/>
    </row>
    <row r="364" spans="1:11" ht="15.75" customHeight="1" x14ac:dyDescent="0.25">
      <c r="A364" s="928">
        <f t="shared" si="5"/>
        <v>47</v>
      </c>
      <c r="B364" s="926">
        <f>+NOMINA!C351</f>
        <v>13404824</v>
      </c>
      <c r="C364" s="926" t="str">
        <f>+NOMINA!D351</f>
        <v>Malpica Rivas Julio Enrique</v>
      </c>
      <c r="D364" s="926" t="str">
        <f>+NOMINA!O351</f>
        <v>Ayudante de Servicios Generales</v>
      </c>
      <c r="E364" s="929">
        <f>+NOMINA!H351</f>
        <v>45474</v>
      </c>
      <c r="F364" s="930">
        <f>+NOMINA!BT351</f>
        <v>5.68</v>
      </c>
      <c r="G364" s="599"/>
      <c r="H364" s="600"/>
      <c r="I364" s="600"/>
      <c r="J364" s="600"/>
      <c r="K364" s="600"/>
    </row>
    <row r="365" spans="1:11" ht="15.75" customHeight="1" x14ac:dyDescent="0.25">
      <c r="A365" s="928">
        <f t="shared" si="5"/>
        <v>48</v>
      </c>
      <c r="B365" s="926">
        <f>+NOMINA!C352</f>
        <v>13745328</v>
      </c>
      <c r="C365" s="926" t="str">
        <f>+NOMINA!D352</f>
        <v>Arroyo Williams Jose</v>
      </c>
      <c r="D365" s="926" t="str">
        <f>+NOMINA!O352</f>
        <v>Ayudante de Servicios Generales</v>
      </c>
      <c r="E365" s="929">
        <f>+NOMINA!H352</f>
        <v>44805</v>
      </c>
      <c r="F365" s="930">
        <f>+NOMINA!BT352</f>
        <v>7.78</v>
      </c>
      <c r="G365" s="599"/>
      <c r="H365" s="600"/>
      <c r="I365" s="600"/>
      <c r="J365" s="600"/>
      <c r="K365" s="600"/>
    </row>
    <row r="366" spans="1:11" ht="15.75" customHeight="1" x14ac:dyDescent="0.25">
      <c r="A366" s="928">
        <f t="shared" si="5"/>
        <v>49</v>
      </c>
      <c r="B366" s="926">
        <f>+NOMINA!C353</f>
        <v>13996661</v>
      </c>
      <c r="C366" s="926" t="str">
        <f>+NOMINA!D353</f>
        <v>Perez Montilla Yosmer Alexander</v>
      </c>
      <c r="D366" s="926" t="str">
        <f>+NOMINA!O353</f>
        <v>Chofer</v>
      </c>
      <c r="E366" s="929">
        <f>+NOMINA!H353</f>
        <v>44743</v>
      </c>
      <c r="F366" s="930">
        <f>+NOMINA!BT353</f>
        <v>8.7799999999999994</v>
      </c>
      <c r="G366" s="599"/>
      <c r="H366" s="600"/>
      <c r="I366" s="600"/>
      <c r="J366" s="600"/>
      <c r="K366" s="600"/>
    </row>
    <row r="367" spans="1:11" ht="15.75" customHeight="1" x14ac:dyDescent="0.25">
      <c r="A367" s="928">
        <f t="shared" si="5"/>
        <v>50</v>
      </c>
      <c r="B367" s="926">
        <f>+NOMINA!C354</f>
        <v>13996885</v>
      </c>
      <c r="C367" s="926" t="str">
        <f>+NOMINA!D354</f>
        <v>Pulido Rojo Wilmer Jose</v>
      </c>
      <c r="D367" s="926" t="str">
        <f>+NOMINA!O354</f>
        <v>Chofer</v>
      </c>
      <c r="E367" s="929">
        <f>+NOMINA!H354</f>
        <v>44363</v>
      </c>
      <c r="F367" s="930">
        <f>+NOMINA!BT354</f>
        <v>7.74</v>
      </c>
      <c r="G367" s="599"/>
      <c r="H367" s="600"/>
      <c r="I367" s="600"/>
      <c r="J367" s="600"/>
      <c r="K367" s="600"/>
    </row>
    <row r="368" spans="1:11" ht="15.75" customHeight="1" x14ac:dyDescent="0.25">
      <c r="A368" s="928">
        <f t="shared" si="5"/>
        <v>51</v>
      </c>
      <c r="B368" s="926">
        <f>+NOMINA!C355</f>
        <v>14149971</v>
      </c>
      <c r="C368" s="926" t="str">
        <f>+NOMINA!D355</f>
        <v>Rivera Virginia del Carmen</v>
      </c>
      <c r="D368" s="926" t="str">
        <f>+NOMINA!O355</f>
        <v>Aseadora</v>
      </c>
      <c r="E368" s="929">
        <f>+NOMINA!H355</f>
        <v>41091</v>
      </c>
      <c r="F368" s="930">
        <f>+NOMINA!BT355</f>
        <v>5.6</v>
      </c>
      <c r="G368" s="599"/>
      <c r="H368" s="600"/>
      <c r="I368" s="600"/>
      <c r="J368" s="600"/>
      <c r="K368" s="600"/>
    </row>
    <row r="369" spans="1:11" ht="15.75" customHeight="1" x14ac:dyDescent="0.25">
      <c r="A369" s="928">
        <f t="shared" si="5"/>
        <v>52</v>
      </c>
      <c r="B369" s="926">
        <f>+NOMINA!C356</f>
        <v>14150495</v>
      </c>
      <c r="C369" s="926" t="str">
        <f>+NOMINA!D356</f>
        <v>Umbria de Segovia Alexandra del Carmen</v>
      </c>
      <c r="D369" s="926" t="str">
        <f>+NOMINA!O356</f>
        <v>Ayudante de Almacen</v>
      </c>
      <c r="E369" s="929">
        <f>+NOMINA!H356</f>
        <v>44228</v>
      </c>
      <c r="F369" s="930">
        <f>+NOMINA!BT356</f>
        <v>6.16</v>
      </c>
      <c r="G369" s="599"/>
      <c r="H369" s="600"/>
      <c r="I369" s="600"/>
      <c r="J369" s="600"/>
      <c r="K369" s="600"/>
    </row>
    <row r="370" spans="1:11" ht="15.75" customHeight="1" x14ac:dyDescent="0.25">
      <c r="A370" s="928">
        <f t="shared" si="5"/>
        <v>53</v>
      </c>
      <c r="B370" s="926">
        <f>+NOMINA!C357</f>
        <v>14718369</v>
      </c>
      <c r="C370" s="926" t="str">
        <f>+NOMINA!D357</f>
        <v>Pacheco Yudith del Valle</v>
      </c>
      <c r="D370" s="926" t="str">
        <f>+NOMINA!O357</f>
        <v>Aseadora</v>
      </c>
      <c r="E370" s="929">
        <f>+NOMINA!H357</f>
        <v>43147</v>
      </c>
      <c r="F370" s="930">
        <f>+NOMINA!BT357</f>
        <v>5.4</v>
      </c>
      <c r="G370" s="599"/>
      <c r="H370" s="600"/>
      <c r="I370" s="600"/>
      <c r="J370" s="600"/>
      <c r="K370" s="600"/>
    </row>
    <row r="371" spans="1:11" ht="15.75" customHeight="1" x14ac:dyDescent="0.25">
      <c r="A371" s="928">
        <f t="shared" si="5"/>
        <v>54</v>
      </c>
      <c r="B371" s="926">
        <f>+NOMINA!C358</f>
        <v>14718468</v>
      </c>
      <c r="C371" s="926" t="str">
        <f>+NOMINA!D358</f>
        <v>Frias Aldana Yhonny Ramon</v>
      </c>
      <c r="D371" s="926" t="str">
        <f>+NOMINA!O358</f>
        <v>Ayudante De Almacen</v>
      </c>
      <c r="E371" s="929">
        <f>+NOMINA!H358</f>
        <v>42948</v>
      </c>
      <c r="F371" s="930">
        <f>+NOMINA!BT358</f>
        <v>6.56</v>
      </c>
      <c r="G371" s="599"/>
      <c r="H371" s="600"/>
      <c r="I371" s="600"/>
      <c r="J371" s="600"/>
      <c r="K371" s="600"/>
    </row>
    <row r="372" spans="1:11" ht="15.75" customHeight="1" x14ac:dyDescent="0.25">
      <c r="A372" s="928">
        <f t="shared" si="5"/>
        <v>55</v>
      </c>
      <c r="B372" s="926">
        <f>+NOMINA!C359</f>
        <v>14719205</v>
      </c>
      <c r="C372" s="926" t="str">
        <f>+NOMINA!D359</f>
        <v>Chinchilla Perez Jean Carlos</v>
      </c>
      <c r="D372" s="926" t="str">
        <f>+NOMINA!O359</f>
        <v>Ayudante de Servicios Generales</v>
      </c>
      <c r="E372" s="929">
        <f>+NOMINA!H359</f>
        <v>39861</v>
      </c>
      <c r="F372" s="930">
        <f>+NOMINA!BT359</f>
        <v>6.24</v>
      </c>
      <c r="G372" s="599"/>
      <c r="H372" s="600"/>
      <c r="I372" s="600"/>
      <c r="J372" s="600"/>
      <c r="K372" s="600"/>
    </row>
    <row r="373" spans="1:11" ht="15.75" customHeight="1" x14ac:dyDescent="0.25">
      <c r="A373" s="928">
        <f t="shared" si="5"/>
        <v>56</v>
      </c>
      <c r="B373" s="926">
        <f>+NOMINA!C360</f>
        <v>14719356</v>
      </c>
      <c r="C373" s="926" t="str">
        <f>+NOMINA!D360</f>
        <v>Linares Montilla Gerardo Enrique</v>
      </c>
      <c r="D373" s="926" t="str">
        <f>+NOMINA!O360</f>
        <v>Ayudante de Servicios Generales</v>
      </c>
      <c r="E373" s="929">
        <f>+NOMINA!H360</f>
        <v>44348</v>
      </c>
      <c r="F373" s="930">
        <f>+NOMINA!BT360</f>
        <v>6.26</v>
      </c>
      <c r="G373" s="599"/>
      <c r="H373" s="600"/>
      <c r="I373" s="600"/>
      <c r="J373" s="600"/>
      <c r="K373" s="600"/>
    </row>
    <row r="374" spans="1:11" ht="15.75" customHeight="1" x14ac:dyDescent="0.25">
      <c r="A374" s="928">
        <f t="shared" si="5"/>
        <v>57</v>
      </c>
      <c r="B374" s="926">
        <f>+NOMINA!C361</f>
        <v>14780893</v>
      </c>
      <c r="C374" s="926" t="str">
        <f>+NOMINA!D361</f>
        <v>Perez Gonzalez Reinaldo Andre</v>
      </c>
      <c r="D374" s="926" t="str">
        <f>+NOMINA!O361</f>
        <v>Ayudante de Servicios Generales</v>
      </c>
      <c r="E374" s="929">
        <f>+NOMINA!H361</f>
        <v>41570</v>
      </c>
      <c r="F374" s="930">
        <f>+NOMINA!BT361</f>
        <v>6.02</v>
      </c>
      <c r="G374" s="599"/>
      <c r="H374" s="600"/>
      <c r="I374" s="600"/>
      <c r="J374" s="600"/>
      <c r="K374" s="600"/>
    </row>
    <row r="375" spans="1:11" ht="15.75" customHeight="1" x14ac:dyDescent="0.25">
      <c r="A375" s="928">
        <f t="shared" si="5"/>
        <v>58</v>
      </c>
      <c r="B375" s="926">
        <f>+NOMINA!C362</f>
        <v>14928047</v>
      </c>
      <c r="C375" s="926" t="str">
        <f>+NOMINA!D362</f>
        <v>Becerra Teran Maria Alejandra</v>
      </c>
      <c r="D375" s="926" t="str">
        <f>+NOMINA!O362</f>
        <v>Cocinera</v>
      </c>
      <c r="E375" s="929">
        <f>+NOMINA!H362</f>
        <v>43297</v>
      </c>
      <c r="F375" s="930">
        <f>+NOMINA!BT362</f>
        <v>6.28</v>
      </c>
      <c r="G375" s="599"/>
      <c r="H375" s="600"/>
      <c r="I375" s="600"/>
      <c r="J375" s="600"/>
      <c r="K375" s="600"/>
    </row>
    <row r="376" spans="1:11" ht="15.75" customHeight="1" x14ac:dyDescent="0.25">
      <c r="A376" s="928">
        <f t="shared" si="5"/>
        <v>59</v>
      </c>
      <c r="B376" s="926">
        <f>+NOMINA!C363</f>
        <v>15042683</v>
      </c>
      <c r="C376" s="926" t="str">
        <f>+NOMINA!D363</f>
        <v>Rivera Hermes Edixon</v>
      </c>
      <c r="D376" s="926" t="str">
        <f>+NOMINA!O363</f>
        <v>Aseador</v>
      </c>
      <c r="E376" s="929">
        <f>+NOMINA!H363</f>
        <v>45292</v>
      </c>
      <c r="F376" s="930">
        <f>+NOMINA!BT363</f>
        <v>5.48</v>
      </c>
      <c r="G376" s="599"/>
      <c r="H376" s="600"/>
      <c r="I376" s="600"/>
      <c r="J376" s="600"/>
      <c r="K376" s="600"/>
    </row>
    <row r="377" spans="1:11" ht="15.75" customHeight="1" x14ac:dyDescent="0.25">
      <c r="A377" s="928">
        <f t="shared" si="5"/>
        <v>60</v>
      </c>
      <c r="B377" s="926">
        <f>+NOMINA!C364</f>
        <v>15293784</v>
      </c>
      <c r="C377" s="926" t="str">
        <f>+NOMINA!D364</f>
        <v>Meza Alipio Jose</v>
      </c>
      <c r="D377" s="926" t="str">
        <f>+NOMINA!O364</f>
        <v>Aseador</v>
      </c>
      <c r="E377" s="929">
        <f>+NOMINA!H364</f>
        <v>45778</v>
      </c>
      <c r="F377" s="930">
        <f>+NOMINA!BT364</f>
        <v>5.2</v>
      </c>
      <c r="G377" s="599"/>
      <c r="H377" s="600"/>
      <c r="I377" s="600"/>
      <c r="J377" s="600"/>
      <c r="K377" s="600"/>
    </row>
    <row r="378" spans="1:11" ht="15.75" customHeight="1" x14ac:dyDescent="0.25">
      <c r="A378" s="928">
        <f t="shared" si="5"/>
        <v>61</v>
      </c>
      <c r="B378" s="926">
        <f>+NOMINA!C365</f>
        <v>15583194</v>
      </c>
      <c r="C378" s="926" t="str">
        <f>+NOMINA!D365</f>
        <v>Garcia Briceño Wuiston Andres</v>
      </c>
      <c r="D378" s="926" t="str">
        <f>+NOMINA!O365</f>
        <v>Cocinero</v>
      </c>
      <c r="E378" s="929">
        <f>+NOMINA!H365</f>
        <v>44166</v>
      </c>
      <c r="F378" s="930">
        <f>+NOMINA!BT365</f>
        <v>6.74</v>
      </c>
      <c r="G378" s="599"/>
      <c r="H378" s="600"/>
      <c r="I378" s="600"/>
      <c r="J378" s="600"/>
      <c r="K378" s="600"/>
    </row>
    <row r="379" spans="1:11" ht="15.75" customHeight="1" x14ac:dyDescent="0.25">
      <c r="A379" s="928">
        <f t="shared" si="5"/>
        <v>62</v>
      </c>
      <c r="B379" s="926">
        <f>+NOMINA!C366</f>
        <v>14928592</v>
      </c>
      <c r="C379" s="926" t="str">
        <f>+NOMINA!D366</f>
        <v>Rosales Ruiz Jesus Alberto</v>
      </c>
      <c r="D379" s="926" t="str">
        <f>+NOMINA!O366</f>
        <v>Cocinero</v>
      </c>
      <c r="E379" s="929">
        <f>+NOMINA!H366</f>
        <v>45017</v>
      </c>
      <c r="F379" s="930">
        <f>+NOMINA!BT366</f>
        <v>6.08</v>
      </c>
      <c r="G379" s="599"/>
      <c r="H379" s="600"/>
      <c r="I379" s="600"/>
      <c r="J379" s="600"/>
      <c r="K379" s="600"/>
    </row>
    <row r="380" spans="1:11" ht="15.75" customHeight="1" x14ac:dyDescent="0.25">
      <c r="A380" s="928">
        <f t="shared" si="5"/>
        <v>63</v>
      </c>
      <c r="B380" s="926">
        <f>+NOMINA!C367</f>
        <v>15952512</v>
      </c>
      <c r="C380" s="926" t="str">
        <f>+NOMINA!D367</f>
        <v>Graterol Gonzalez Maria Ysela</v>
      </c>
      <c r="D380" s="926" t="str">
        <f>+NOMINA!O367</f>
        <v>Aseadora</v>
      </c>
      <c r="E380" s="929">
        <f>+NOMINA!H367</f>
        <v>40725</v>
      </c>
      <c r="F380" s="930">
        <f>+NOMINA!BT367</f>
        <v>5.64</v>
      </c>
      <c r="G380" s="599"/>
      <c r="H380" s="600"/>
      <c r="I380" s="600"/>
      <c r="J380" s="600"/>
      <c r="K380" s="600"/>
    </row>
    <row r="381" spans="1:11" ht="15.75" customHeight="1" x14ac:dyDescent="0.25">
      <c r="A381" s="928">
        <f t="shared" si="5"/>
        <v>64</v>
      </c>
      <c r="B381" s="926">
        <f>+NOMINA!C368</f>
        <v>15953703</v>
      </c>
      <c r="C381" s="926" t="str">
        <f>+NOMINA!D368</f>
        <v>Briceño Salas Jose Leonardo</v>
      </c>
      <c r="D381" s="926" t="str">
        <f>+NOMINA!O368</f>
        <v>Ayudante de Servicios Generales</v>
      </c>
      <c r="E381" s="929">
        <f>+NOMINA!H368</f>
        <v>38718</v>
      </c>
      <c r="F381" s="930">
        <f>+NOMINA!BT368</f>
        <v>6.88</v>
      </c>
      <c r="G381" s="599"/>
      <c r="H381" s="600"/>
      <c r="I381" s="600"/>
      <c r="J381" s="600"/>
      <c r="K381" s="600"/>
    </row>
    <row r="382" spans="1:11" ht="15.75" customHeight="1" x14ac:dyDescent="0.25">
      <c r="A382" s="928">
        <f t="shared" si="5"/>
        <v>65</v>
      </c>
      <c r="B382" s="926">
        <f>+NOMINA!C369</f>
        <v>16266801</v>
      </c>
      <c r="C382" s="926" t="str">
        <f>+NOMINA!D369</f>
        <v>Briceño Gonzalez Mirla Carolina</v>
      </c>
      <c r="D382" s="926" t="str">
        <f>+NOMINA!O369</f>
        <v>Cocinera</v>
      </c>
      <c r="E382" s="929">
        <f>+NOMINA!H369</f>
        <v>39496</v>
      </c>
      <c r="F382" s="930">
        <f>+NOMINA!BT369</f>
        <v>7</v>
      </c>
      <c r="G382" s="599"/>
      <c r="H382" s="600"/>
      <c r="I382" s="600"/>
      <c r="J382" s="600"/>
      <c r="K382" s="600"/>
    </row>
    <row r="383" spans="1:11" ht="15.75" customHeight="1" x14ac:dyDescent="0.25">
      <c r="A383" s="928">
        <f t="shared" si="5"/>
        <v>66</v>
      </c>
      <c r="B383" s="926">
        <f>+NOMINA!C370</f>
        <v>16739958</v>
      </c>
      <c r="C383" s="926" t="str">
        <f>+NOMINA!D370</f>
        <v>Ramirez Ramirez Natali Gabriela</v>
      </c>
      <c r="D383" s="926" t="str">
        <f>+NOMINA!O370</f>
        <v>Ayud. Serv. De Cocina</v>
      </c>
      <c r="E383" s="929">
        <f>+NOMINA!H370</f>
        <v>44866</v>
      </c>
      <c r="F383" s="930">
        <f>+NOMINA!BT370</f>
        <v>6</v>
      </c>
      <c r="G383" s="599"/>
      <c r="H383" s="600"/>
      <c r="I383" s="600"/>
      <c r="J383" s="600"/>
      <c r="K383" s="600"/>
    </row>
    <row r="384" spans="1:11" ht="15.75" customHeight="1" x14ac:dyDescent="0.25">
      <c r="A384" s="928">
        <f t="shared" ref="A384:A409" si="6">+A383+1</f>
        <v>67</v>
      </c>
      <c r="B384" s="926">
        <f>+NOMINA!C371</f>
        <v>16881526</v>
      </c>
      <c r="C384" s="926" t="str">
        <f>+NOMINA!D371</f>
        <v>Montilla Mendoza Addy Coromoto</v>
      </c>
      <c r="D384" s="926" t="str">
        <f>+NOMINA!O371</f>
        <v>Aseador</v>
      </c>
      <c r="E384" s="929">
        <f>+NOMINA!H371</f>
        <v>44470</v>
      </c>
      <c r="F384" s="930">
        <f>+NOMINA!BT371</f>
        <v>5.78</v>
      </c>
      <c r="G384" s="599"/>
      <c r="H384" s="600"/>
      <c r="I384" s="600"/>
      <c r="J384" s="600"/>
      <c r="K384" s="600"/>
    </row>
    <row r="385" spans="1:11" ht="15.75" customHeight="1" x14ac:dyDescent="0.25">
      <c r="A385" s="928">
        <f t="shared" si="6"/>
        <v>68</v>
      </c>
      <c r="B385" s="926">
        <f>+NOMINA!C372</f>
        <v>17093567</v>
      </c>
      <c r="C385" s="926" t="str">
        <f>+NOMINA!D372</f>
        <v>Torres Villarreal Yenny del Carmen</v>
      </c>
      <c r="D385" s="926" t="str">
        <f>+NOMINA!O372</f>
        <v>Ayudante de Servicios Generales</v>
      </c>
      <c r="E385" s="929">
        <f>+NOMINA!H372</f>
        <v>39449</v>
      </c>
      <c r="F385" s="930">
        <f>+NOMINA!BT372</f>
        <v>6.28</v>
      </c>
      <c r="G385" s="599"/>
      <c r="H385" s="600"/>
      <c r="I385" s="600"/>
      <c r="J385" s="600"/>
      <c r="K385" s="600"/>
    </row>
    <row r="386" spans="1:11" ht="15.75" customHeight="1" x14ac:dyDescent="0.25">
      <c r="A386" s="928">
        <f t="shared" si="6"/>
        <v>69</v>
      </c>
      <c r="B386" s="926">
        <f>+NOMINA!C373</f>
        <v>17093846</v>
      </c>
      <c r="C386" s="926" t="str">
        <f>+NOMINA!D373</f>
        <v>Bastidas Rivera Junior Antonio</v>
      </c>
      <c r="D386" s="926" t="str">
        <f>+NOMINA!O373</f>
        <v>Ayudante de Servicios Generales</v>
      </c>
      <c r="E386" s="929">
        <f>+NOMINA!H373</f>
        <v>45017</v>
      </c>
      <c r="F386" s="930">
        <f>+NOMINA!BT373</f>
        <v>5.7</v>
      </c>
      <c r="G386" s="599"/>
      <c r="H386" s="600"/>
      <c r="I386" s="600"/>
      <c r="J386" s="600"/>
      <c r="K386" s="600"/>
    </row>
    <row r="387" spans="1:11" ht="15.75" customHeight="1" x14ac:dyDescent="0.25">
      <c r="A387" s="928">
        <f t="shared" si="6"/>
        <v>70</v>
      </c>
      <c r="B387" s="926">
        <f>+NOMINA!C374</f>
        <v>17095084</v>
      </c>
      <c r="C387" s="926" t="str">
        <f>+NOMINA!D374</f>
        <v>Gonzalez Simancas Yulimar del Valle</v>
      </c>
      <c r="D387" s="926" t="str">
        <f>+NOMINA!O374</f>
        <v>Cocinera</v>
      </c>
      <c r="E387" s="929">
        <f>+NOMINA!H374</f>
        <v>44317</v>
      </c>
      <c r="F387" s="930">
        <f>+NOMINA!BT374</f>
        <v>6.66</v>
      </c>
      <c r="G387" s="599"/>
      <c r="H387" s="600"/>
      <c r="I387" s="600"/>
      <c r="J387" s="600"/>
      <c r="K387" s="600"/>
    </row>
    <row r="388" spans="1:11" ht="15.75" customHeight="1" x14ac:dyDescent="0.25">
      <c r="A388" s="928">
        <f t="shared" si="6"/>
        <v>71</v>
      </c>
      <c r="B388" s="926">
        <f>+NOMINA!C375</f>
        <v>17267173</v>
      </c>
      <c r="C388" s="926" t="str">
        <f>+NOMINA!D375</f>
        <v>Torres Alvarez Olga Josefina</v>
      </c>
      <c r="D388" s="926" t="str">
        <f>+NOMINA!O375</f>
        <v>Ayudante de Almacen</v>
      </c>
      <c r="E388" s="929">
        <f>+NOMINA!H375</f>
        <v>44317</v>
      </c>
      <c r="F388" s="930">
        <f>+NOMINA!BT375</f>
        <v>6.4</v>
      </c>
      <c r="G388" s="599"/>
      <c r="H388" s="600"/>
      <c r="I388" s="600"/>
      <c r="J388" s="600"/>
      <c r="K388" s="600"/>
    </row>
    <row r="389" spans="1:11" ht="15.75" customHeight="1" x14ac:dyDescent="0.25">
      <c r="A389" s="928">
        <f t="shared" si="6"/>
        <v>72</v>
      </c>
      <c r="B389" s="926">
        <f>+NOMINA!C376</f>
        <v>17267546</v>
      </c>
      <c r="C389" s="926" t="str">
        <f>+NOMINA!D376</f>
        <v>Bastidas Rivera Franklin Enrique</v>
      </c>
      <c r="D389" s="926" t="str">
        <f>+NOMINA!O376</f>
        <v>Ayudante de Servicios Generales</v>
      </c>
      <c r="E389" s="929">
        <f>+NOMINA!H376</f>
        <v>39197</v>
      </c>
      <c r="F389" s="930">
        <f>+NOMINA!BT376</f>
        <v>6.58</v>
      </c>
      <c r="G389" s="599"/>
      <c r="H389" s="600"/>
      <c r="I389" s="600"/>
      <c r="J389" s="600"/>
      <c r="K389" s="600"/>
    </row>
    <row r="390" spans="1:11" ht="15.75" customHeight="1" x14ac:dyDescent="0.25">
      <c r="A390" s="928">
        <f t="shared" si="6"/>
        <v>73</v>
      </c>
      <c r="B390" s="926">
        <f>+NOMINA!C377</f>
        <v>18096032</v>
      </c>
      <c r="C390" s="926" t="str">
        <f>+NOMINA!D377</f>
        <v>Graterol Graterol Isidro Antonio</v>
      </c>
      <c r="D390" s="926" t="str">
        <f>+NOMINA!O377</f>
        <v>Chofer</v>
      </c>
      <c r="E390" s="929">
        <f>+NOMINA!H377</f>
        <v>45566</v>
      </c>
      <c r="F390" s="930">
        <f>+NOMINA!BT377</f>
        <v>9.0399999999999991</v>
      </c>
      <c r="G390" s="599"/>
      <c r="H390" s="600"/>
      <c r="I390" s="600"/>
      <c r="J390" s="600"/>
      <c r="K390" s="600"/>
    </row>
    <row r="391" spans="1:11" ht="15.75" customHeight="1" x14ac:dyDescent="0.25">
      <c r="A391" s="928">
        <f t="shared" si="6"/>
        <v>74</v>
      </c>
      <c r="B391" s="926">
        <f>+NOMINA!C378</f>
        <v>18096338</v>
      </c>
      <c r="C391" s="926" t="str">
        <f>+NOMINA!D378</f>
        <v>Ramirez Manzanilla Jose Jesus</v>
      </c>
      <c r="D391" s="926" t="str">
        <f>+NOMINA!O378</f>
        <v>Cocinero</v>
      </c>
      <c r="E391" s="929">
        <f>+NOMINA!H378</f>
        <v>39463</v>
      </c>
      <c r="F391" s="930">
        <f>+NOMINA!BT378</f>
        <v>7.16</v>
      </c>
      <c r="G391" s="599"/>
      <c r="H391" s="600"/>
      <c r="I391" s="600"/>
      <c r="J391" s="600"/>
      <c r="K391" s="600"/>
    </row>
    <row r="392" spans="1:11" ht="15.75" customHeight="1" x14ac:dyDescent="0.25">
      <c r="A392" s="928">
        <f t="shared" si="6"/>
        <v>75</v>
      </c>
      <c r="B392" s="926">
        <f>+NOMINA!C379</f>
        <v>18350780</v>
      </c>
      <c r="C392" s="926" t="str">
        <f>+NOMINA!D379</f>
        <v>Frias Aldana Giovanny Jacinto</v>
      </c>
      <c r="D392" s="926" t="str">
        <f>+NOMINA!O379</f>
        <v>Vigilante</v>
      </c>
      <c r="E392" s="929">
        <f>+NOMINA!H379</f>
        <v>43116</v>
      </c>
      <c r="F392" s="930">
        <f>+NOMINA!BT379</f>
        <v>8.48</v>
      </c>
      <c r="G392" s="599"/>
      <c r="H392" s="600"/>
      <c r="I392" s="600"/>
      <c r="J392" s="600"/>
      <c r="K392" s="600"/>
    </row>
    <row r="393" spans="1:11" ht="15.75" customHeight="1" x14ac:dyDescent="0.25">
      <c r="A393" s="928">
        <f t="shared" si="6"/>
        <v>76</v>
      </c>
      <c r="B393" s="926">
        <f>+NOMINA!C380</f>
        <v>18456167</v>
      </c>
      <c r="C393" s="926" t="str">
        <f>+NOMINA!D380</f>
        <v>Olmos Linares Luis Alberto</v>
      </c>
      <c r="D393" s="926" t="str">
        <f>+NOMINA!O380</f>
        <v>Cocinero</v>
      </c>
      <c r="E393" s="929">
        <f>+NOMINA!H380</f>
        <v>44516</v>
      </c>
      <c r="F393" s="930">
        <f>+NOMINA!BT380</f>
        <v>6.62</v>
      </c>
      <c r="G393" s="599"/>
      <c r="H393" s="600"/>
      <c r="I393" s="600"/>
      <c r="J393" s="600"/>
      <c r="K393" s="600"/>
    </row>
    <row r="394" spans="1:11" ht="15.75" customHeight="1" x14ac:dyDescent="0.25">
      <c r="A394" s="928">
        <f t="shared" si="6"/>
        <v>77</v>
      </c>
      <c r="B394" s="926">
        <f>+NOMINA!C381</f>
        <v>18456576</v>
      </c>
      <c r="C394" s="926" t="str">
        <f>+NOMINA!D381</f>
        <v>Quintero Duran Emilio Alfonso</v>
      </c>
      <c r="D394" s="926" t="str">
        <f>+NOMINA!O381</f>
        <v>Chofer</v>
      </c>
      <c r="E394" s="929">
        <f>+NOMINA!H381</f>
        <v>44743</v>
      </c>
      <c r="F394" s="930">
        <f>+NOMINA!BT381</f>
        <v>8.34</v>
      </c>
      <c r="G394" s="599"/>
      <c r="H394" s="600"/>
      <c r="I394" s="600"/>
      <c r="J394" s="600"/>
      <c r="K394" s="600"/>
    </row>
    <row r="395" spans="1:11" ht="15.75" customHeight="1" x14ac:dyDescent="0.25">
      <c r="A395" s="928">
        <f t="shared" si="6"/>
        <v>78</v>
      </c>
      <c r="B395" s="926">
        <f>+NOMINA!C382</f>
        <v>20039961</v>
      </c>
      <c r="C395" s="926" t="str">
        <f>+NOMINA!D382</f>
        <v>Torres Villarreal Lisbeth Carolina</v>
      </c>
      <c r="D395" s="926" t="str">
        <f>+NOMINA!O382</f>
        <v>Aseadora</v>
      </c>
      <c r="E395" s="929">
        <f>+NOMINA!H382</f>
        <v>38412</v>
      </c>
      <c r="F395" s="930">
        <f>+NOMINA!BT382</f>
        <v>6.38</v>
      </c>
      <c r="G395" s="599"/>
      <c r="H395" s="600"/>
      <c r="I395" s="600"/>
      <c r="J395" s="600"/>
      <c r="K395" s="600"/>
    </row>
    <row r="396" spans="1:11" ht="15.75" customHeight="1" x14ac:dyDescent="0.25">
      <c r="A396" s="928">
        <f t="shared" si="6"/>
        <v>79</v>
      </c>
      <c r="B396" s="926">
        <f>+NOMINA!C383</f>
        <v>20040649</v>
      </c>
      <c r="C396" s="926" t="str">
        <f>+NOMINA!D383</f>
        <v>Isarra Materan Jose de La Paz</v>
      </c>
      <c r="D396" s="926" t="str">
        <f>+NOMINA!O383</f>
        <v>Chofer</v>
      </c>
      <c r="E396" s="929">
        <f>+NOMINA!H383</f>
        <v>44743</v>
      </c>
      <c r="F396" s="930">
        <f>+NOMINA!BT383</f>
        <v>8.34</v>
      </c>
      <c r="G396" s="599"/>
      <c r="H396" s="600"/>
      <c r="I396" s="600"/>
      <c r="J396" s="600"/>
      <c r="K396" s="600"/>
    </row>
    <row r="397" spans="1:11" ht="15.75" customHeight="1" x14ac:dyDescent="0.25">
      <c r="A397" s="928">
        <f t="shared" si="6"/>
        <v>80</v>
      </c>
      <c r="B397" s="926">
        <f>+NOMINA!C384</f>
        <v>20788036</v>
      </c>
      <c r="C397" s="926" t="str">
        <f>+NOMINA!D384</f>
        <v>Cabrera Duran Albert Josue</v>
      </c>
      <c r="D397" s="926" t="str">
        <f>+NOMINA!O384</f>
        <v>Vigilante</v>
      </c>
      <c r="E397" s="929">
        <f>+NOMINA!H384</f>
        <v>45778</v>
      </c>
      <c r="F397" s="930">
        <f>+NOMINA!BT384</f>
        <v>6.52</v>
      </c>
      <c r="G397" s="599"/>
      <c r="H397" s="600"/>
      <c r="I397" s="600"/>
      <c r="J397" s="600"/>
      <c r="K397" s="600"/>
    </row>
    <row r="398" spans="1:11" ht="15.75" customHeight="1" x14ac:dyDescent="0.25">
      <c r="A398" s="928">
        <f t="shared" si="6"/>
        <v>81</v>
      </c>
      <c r="B398" s="926">
        <f>+NOMINA!C385</f>
        <v>21366579</v>
      </c>
      <c r="C398" s="926" t="str">
        <f>+NOMINA!D385</f>
        <v>Azuaje Espinoza Erick Enrique</v>
      </c>
      <c r="D398" s="926" t="str">
        <f>+NOMINA!O385</f>
        <v>Mensajero</v>
      </c>
      <c r="E398" s="929">
        <f>+NOMINA!H385</f>
        <v>44774</v>
      </c>
      <c r="F398" s="930">
        <f>+NOMINA!BT385</f>
        <v>5.78</v>
      </c>
      <c r="G398" s="599"/>
      <c r="H398" s="600"/>
      <c r="I398" s="600"/>
      <c r="J398" s="600"/>
      <c r="K398" s="600"/>
    </row>
    <row r="399" spans="1:11" ht="15.75" customHeight="1" x14ac:dyDescent="0.25">
      <c r="A399" s="928">
        <f t="shared" si="6"/>
        <v>82</v>
      </c>
      <c r="B399" s="926">
        <f>+NOMINA!C386</f>
        <v>23594381</v>
      </c>
      <c r="C399" s="926" t="str">
        <f>+NOMINA!D386</f>
        <v>Albornoz Montilla Daniel Enrique</v>
      </c>
      <c r="D399" s="926" t="str">
        <f>+NOMINA!O386</f>
        <v>Ayudante de Servicios Generales</v>
      </c>
      <c r="E399" s="929">
        <f>+NOMINA!H386</f>
        <v>45597</v>
      </c>
      <c r="F399" s="930">
        <f>+NOMINA!BT386</f>
        <v>5.44</v>
      </c>
      <c r="G399" s="599"/>
      <c r="H399" s="600"/>
      <c r="I399" s="600"/>
      <c r="J399" s="600"/>
      <c r="K399" s="600"/>
    </row>
    <row r="400" spans="1:11" ht="15.75" customHeight="1" x14ac:dyDescent="0.25">
      <c r="A400" s="928">
        <f t="shared" si="6"/>
        <v>83</v>
      </c>
      <c r="B400" s="926">
        <f>+NOMINA!C387</f>
        <v>25173228</v>
      </c>
      <c r="C400" s="926" t="str">
        <f>+NOMINA!D387</f>
        <v>Davila Sanchez Eduar Alexander</v>
      </c>
      <c r="D400" s="926" t="str">
        <f>+NOMINA!O387</f>
        <v>Ayudante de Servicios Generales</v>
      </c>
      <c r="E400" s="929">
        <f>+NOMINA!H387</f>
        <v>44531</v>
      </c>
      <c r="F400" s="930">
        <f>+NOMINA!BT387</f>
        <v>8.1</v>
      </c>
      <c r="G400" s="599"/>
      <c r="H400" s="600"/>
      <c r="I400" s="600"/>
      <c r="J400" s="600"/>
      <c r="K400" s="600"/>
    </row>
    <row r="401" spans="1:11" ht="15.75" customHeight="1" x14ac:dyDescent="0.25">
      <c r="A401" s="928">
        <f t="shared" si="6"/>
        <v>84</v>
      </c>
      <c r="B401" s="926">
        <f>+NOMINA!C388</f>
        <v>25631811</v>
      </c>
      <c r="C401" s="926" t="str">
        <f>+NOMINA!D388</f>
        <v>Barrios Briceño Christian Xavier</v>
      </c>
      <c r="D401" s="926" t="str">
        <f>+NOMINA!O388</f>
        <v>Cocinero</v>
      </c>
      <c r="E401" s="929">
        <f>+NOMINA!H388</f>
        <v>44440</v>
      </c>
      <c r="F401" s="930">
        <f>+NOMINA!BT388</f>
        <v>6.16</v>
      </c>
      <c r="G401" s="599"/>
      <c r="H401" s="600"/>
      <c r="I401" s="600"/>
      <c r="J401" s="600"/>
      <c r="K401" s="600"/>
    </row>
    <row r="402" spans="1:11" ht="15.75" customHeight="1" x14ac:dyDescent="0.25">
      <c r="A402" s="928">
        <f t="shared" si="6"/>
        <v>85</v>
      </c>
      <c r="B402" s="926">
        <f>+NOMINA!C389</f>
        <v>25919888</v>
      </c>
      <c r="C402" s="926" t="str">
        <f>+NOMINA!D389</f>
        <v>Rivero Lamus Ninoska del Valle</v>
      </c>
      <c r="D402" s="926" t="str">
        <f>+NOMINA!O389</f>
        <v>Aseadora</v>
      </c>
      <c r="E402" s="929">
        <f>+NOMINA!H389</f>
        <v>44805</v>
      </c>
      <c r="F402" s="930">
        <f>+NOMINA!BT389</f>
        <v>5.78</v>
      </c>
      <c r="G402" s="599"/>
      <c r="H402" s="600"/>
      <c r="I402" s="600"/>
      <c r="J402" s="600"/>
      <c r="K402" s="600"/>
    </row>
    <row r="403" spans="1:11" ht="15.75" customHeight="1" x14ac:dyDescent="0.25">
      <c r="A403" s="928">
        <f t="shared" si="6"/>
        <v>86</v>
      </c>
      <c r="B403" s="926">
        <f>+NOMINA!C390</f>
        <v>26235670</v>
      </c>
      <c r="C403" s="926" t="str">
        <f>+NOMINA!D390</f>
        <v>Viloria Garcia Kieny Keyvit</v>
      </c>
      <c r="D403" s="926" t="str">
        <f>+NOMINA!O390</f>
        <v>Ayudante de Servicios Generales</v>
      </c>
      <c r="E403" s="929">
        <f>+NOMINA!H390</f>
        <v>45597</v>
      </c>
      <c r="F403" s="930">
        <f>+NOMINA!BT390</f>
        <v>5.7</v>
      </c>
      <c r="G403" s="599"/>
      <c r="H403" s="600"/>
      <c r="I403" s="600"/>
      <c r="J403" s="600"/>
      <c r="K403" s="600"/>
    </row>
    <row r="404" spans="1:11" ht="15.75" customHeight="1" x14ac:dyDescent="0.25">
      <c r="A404" s="928">
        <f t="shared" si="6"/>
        <v>87</v>
      </c>
      <c r="B404" s="926">
        <f>+NOMINA!C391</f>
        <v>26482867</v>
      </c>
      <c r="C404" s="926" t="str">
        <f>+NOMINA!D391</f>
        <v>Valecillos Duran Brando Jose</v>
      </c>
      <c r="D404" s="926" t="str">
        <f>+NOMINA!O391</f>
        <v>Ayudante de Servicios Generales</v>
      </c>
      <c r="E404" s="929">
        <f>+NOMINA!H391</f>
        <v>45078</v>
      </c>
      <c r="F404" s="930">
        <f>+NOMINA!BT391</f>
        <v>5.7</v>
      </c>
      <c r="G404" s="599"/>
      <c r="H404" s="600"/>
      <c r="I404" s="600"/>
      <c r="J404" s="600"/>
      <c r="K404" s="600"/>
    </row>
    <row r="405" spans="1:11" ht="15.75" customHeight="1" x14ac:dyDescent="0.25">
      <c r="A405" s="928">
        <f t="shared" si="6"/>
        <v>88</v>
      </c>
      <c r="B405" s="926">
        <f>+NOMINA!C392</f>
        <v>27415509</v>
      </c>
      <c r="C405" s="926" t="str">
        <f>+NOMINA!D392</f>
        <v>Barreto Rivero Luis Diego</v>
      </c>
      <c r="D405" s="926" t="str">
        <f>+NOMINA!O392</f>
        <v>Ayudante de Servicios Generales</v>
      </c>
      <c r="E405" s="929">
        <f>+NOMINA!H392</f>
        <v>43678</v>
      </c>
      <c r="F405" s="930">
        <f>+NOMINA!BT392</f>
        <v>5.82</v>
      </c>
      <c r="G405" s="599"/>
      <c r="H405" s="600"/>
      <c r="I405" s="600"/>
      <c r="J405" s="600"/>
      <c r="K405" s="600"/>
    </row>
    <row r="406" spans="1:11" ht="15.75" customHeight="1" x14ac:dyDescent="0.25">
      <c r="A406" s="928">
        <f t="shared" si="6"/>
        <v>89</v>
      </c>
      <c r="B406" s="926">
        <f>+NOMINA!C393</f>
        <v>27470077</v>
      </c>
      <c r="C406" s="926" t="str">
        <f>+NOMINA!D393</f>
        <v>Gonzalez Castellanos Yusberly Yohandri</v>
      </c>
      <c r="D406" s="926" t="str">
        <f>+NOMINA!O393</f>
        <v>Aseadora</v>
      </c>
      <c r="E406" s="929">
        <f>+NOMINA!H393</f>
        <v>44743</v>
      </c>
      <c r="F406" s="930">
        <f>+NOMINA!BT393</f>
        <v>5.52</v>
      </c>
      <c r="G406" s="599"/>
      <c r="H406" s="600"/>
      <c r="I406" s="600"/>
      <c r="J406" s="600"/>
      <c r="K406" s="600"/>
    </row>
    <row r="407" spans="1:11" ht="15.75" customHeight="1" x14ac:dyDescent="0.25">
      <c r="A407" s="928">
        <f t="shared" si="6"/>
        <v>90</v>
      </c>
      <c r="B407" s="926">
        <f>+NOMINA!C394</f>
        <v>29539270</v>
      </c>
      <c r="C407" s="926" t="str">
        <f>+NOMINA!D394</f>
        <v>Rojas Carrillo Laureano Augusto</v>
      </c>
      <c r="D407" s="926" t="str">
        <f>+NOMINA!O394</f>
        <v>Ayudante de Servicios Generales</v>
      </c>
      <c r="E407" s="929">
        <f>+NOMINA!H394</f>
        <v>44287</v>
      </c>
      <c r="F407" s="930">
        <f>+NOMINA!BT394</f>
        <v>5.76</v>
      </c>
      <c r="G407" s="599"/>
      <c r="H407" s="600"/>
      <c r="I407" s="600"/>
      <c r="J407" s="600"/>
      <c r="K407" s="600"/>
    </row>
    <row r="408" spans="1:11" ht="15.75" customHeight="1" x14ac:dyDescent="0.25">
      <c r="A408" s="928">
        <f t="shared" si="6"/>
        <v>91</v>
      </c>
      <c r="B408" s="926">
        <f>+NOMINA!C395</f>
        <v>29994277</v>
      </c>
      <c r="C408" s="926" t="str">
        <f>+NOMINA!D395</f>
        <v>Quintero Rangel Jose Arsenio</v>
      </c>
      <c r="D408" s="926" t="str">
        <f>+NOMINA!O395</f>
        <v>Ayudante de Servicios Generales</v>
      </c>
      <c r="E408" s="929">
        <f>+NOMINA!H395</f>
        <v>44562</v>
      </c>
      <c r="F408" s="930">
        <f>+NOMINA!BT395</f>
        <v>5.74</v>
      </c>
      <c r="G408" s="599"/>
      <c r="H408" s="600"/>
      <c r="I408" s="600"/>
      <c r="J408" s="600"/>
      <c r="K408" s="600"/>
    </row>
    <row r="409" spans="1:11" ht="15.75" customHeight="1" thickBot="1" x14ac:dyDescent="0.3">
      <c r="A409" s="928">
        <f t="shared" si="6"/>
        <v>92</v>
      </c>
      <c r="B409" s="926">
        <f>+NOMINA!C396</f>
        <v>32084560</v>
      </c>
      <c r="C409" s="926" t="str">
        <f>+NOMINA!D396</f>
        <v>Hernandez Gomez Carmen Elena</v>
      </c>
      <c r="D409" s="926" t="str">
        <f>+NOMINA!O396</f>
        <v xml:space="preserve">Cocinera </v>
      </c>
      <c r="E409" s="929">
        <f>+NOMINA!H396</f>
        <v>44348</v>
      </c>
      <c r="F409" s="930">
        <f>+NOMINA!BT396</f>
        <v>6.4</v>
      </c>
      <c r="G409" s="599"/>
      <c r="H409" s="600"/>
      <c r="I409" s="600"/>
      <c r="J409" s="600"/>
      <c r="K409" s="600"/>
    </row>
    <row r="410" spans="1:11" ht="15.75" customHeight="1" thickBot="1" x14ac:dyDescent="0.3">
      <c r="A410" s="928"/>
      <c r="B410" s="926"/>
      <c r="C410" s="926"/>
      <c r="D410" s="926"/>
      <c r="E410" s="607" t="s">
        <v>4493</v>
      </c>
      <c r="F410" s="927">
        <f>SUM(F318:F409)</f>
        <v>589</v>
      </c>
      <c r="G410" s="599"/>
      <c r="H410" s="600"/>
      <c r="I410" s="600"/>
      <c r="J410" s="600"/>
      <c r="K410" s="600"/>
    </row>
    <row r="411" spans="1:11" ht="8.25" customHeight="1" thickBot="1" x14ac:dyDescent="0.3">
      <c r="A411" s="933"/>
      <c r="B411" s="934"/>
      <c r="C411" s="935"/>
      <c r="D411" s="935"/>
      <c r="E411" s="936"/>
      <c r="F411" s="937"/>
      <c r="G411" s="599"/>
    </row>
    <row r="412" spans="1:11" ht="19.5" thickBot="1" x14ac:dyDescent="0.35">
      <c r="A412" s="938"/>
      <c r="B412" s="939"/>
      <c r="C412" s="940"/>
      <c r="D412" s="940"/>
      <c r="E412" s="1756" t="s">
        <v>5823</v>
      </c>
      <c r="F412" s="941">
        <f>+F410+F310+F38</f>
        <v>3233.7400000000025</v>
      </c>
      <c r="G412" s="599"/>
      <c r="H412" s="600"/>
    </row>
    <row r="413" spans="1:11" ht="13.5" customHeight="1" x14ac:dyDescent="0.25">
      <c r="G413" s="600"/>
      <c r="H413" s="600"/>
    </row>
    <row r="414" spans="1:11" x14ac:dyDescent="0.25">
      <c r="C414" s="595" t="s">
        <v>5815</v>
      </c>
      <c r="E414" s="595" t="s">
        <v>5816</v>
      </c>
    </row>
    <row r="417" spans="3:8" ht="17.25" x14ac:dyDescent="0.3">
      <c r="C417" s="605" t="s">
        <v>5817</v>
      </c>
      <c r="E417" s="606" t="s">
        <v>5818</v>
      </c>
    </row>
    <row r="418" spans="3:8" ht="17.25" x14ac:dyDescent="0.3">
      <c r="C418" s="605" t="s">
        <v>5819</v>
      </c>
      <c r="E418" s="605" t="s">
        <v>5820</v>
      </c>
      <c r="F418" s="609"/>
      <c r="G418" s="609"/>
    </row>
    <row r="419" spans="3:8" x14ac:dyDescent="0.25">
      <c r="F419" s="611"/>
      <c r="G419" s="610"/>
      <c r="H419" s="610"/>
    </row>
    <row r="420" spans="3:8" x14ac:dyDescent="0.25">
      <c r="G420" s="600"/>
      <c r="H420" s="600"/>
    </row>
  </sheetData>
  <mergeCells count="8">
    <mergeCell ref="A8:F8"/>
    <mergeCell ref="A9:F9"/>
    <mergeCell ref="A1:F1"/>
    <mergeCell ref="A2:F2"/>
    <mergeCell ref="A3:F3"/>
    <mergeCell ref="A4:F4"/>
    <mergeCell ref="A5:F5"/>
    <mergeCell ref="A6:F6"/>
  </mergeCells>
  <pageMargins left="0.19685039370078741" right="0.19685039370078741" top="0.98425196850393704" bottom="0.35433070866141736" header="0.31496062992125984" footer="0.31496062992125984"/>
  <pageSetup scale="75" orientation="portrait" r:id="rId1"/>
  <rowBreaks count="2" manualBreakCount="2">
    <brk id="49" max="5" man="1"/>
    <brk id="316" max="5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22"/>
  <sheetViews>
    <sheetView view="pageBreakPreview" zoomScale="85" zoomScaleSheetLayoutView="85" workbookViewId="0">
      <selection activeCell="A8" sqref="A8:G8"/>
    </sheetView>
  </sheetViews>
  <sheetFormatPr baseColWidth="10" defaultRowHeight="15" x14ac:dyDescent="0.25"/>
  <cols>
    <col min="1" max="1" width="5.140625" style="595" customWidth="1"/>
    <col min="2" max="2" width="11.42578125" style="595"/>
    <col min="3" max="3" width="36.140625" style="595" customWidth="1"/>
    <col min="4" max="4" width="36.7109375" style="595" customWidth="1"/>
    <col min="5" max="5" width="10.85546875" style="595" hidden="1" customWidth="1"/>
    <col min="6" max="6" width="14" style="595" bestFit="1" customWidth="1"/>
    <col min="7" max="7" width="13" style="595" bestFit="1" customWidth="1"/>
    <col min="8" max="8" width="13.42578125" style="595" bestFit="1" customWidth="1"/>
    <col min="9" max="9" width="12.7109375" style="595" bestFit="1" customWidth="1"/>
    <col min="10" max="16384" width="11.42578125" style="595"/>
  </cols>
  <sheetData>
    <row r="1" spans="1:12" ht="15" customHeight="1" x14ac:dyDescent="0.25">
      <c r="A1" s="1768" t="s">
        <v>5802</v>
      </c>
      <c r="B1" s="1768"/>
      <c r="C1" s="1768"/>
      <c r="D1" s="1768"/>
      <c r="E1" s="1768"/>
      <c r="F1" s="1768"/>
      <c r="G1" s="1768"/>
      <c r="H1" s="919"/>
    </row>
    <row r="2" spans="1:12" ht="15" customHeight="1" x14ac:dyDescent="0.25">
      <c r="A2" s="1768" t="s">
        <v>5803</v>
      </c>
      <c r="B2" s="1768"/>
      <c r="C2" s="1768"/>
      <c r="D2" s="1768"/>
      <c r="E2" s="1768"/>
      <c r="F2" s="1768"/>
      <c r="G2" s="1768"/>
      <c r="H2" s="919"/>
    </row>
    <row r="3" spans="1:12" ht="15" customHeight="1" x14ac:dyDescent="0.25">
      <c r="A3" s="1768" t="s">
        <v>5804</v>
      </c>
      <c r="B3" s="1768"/>
      <c r="C3" s="1768"/>
      <c r="D3" s="1768"/>
      <c r="E3" s="1768"/>
      <c r="F3" s="1768"/>
      <c r="G3" s="1768"/>
      <c r="H3" s="919"/>
    </row>
    <row r="4" spans="1:12" ht="15" customHeight="1" x14ac:dyDescent="0.25">
      <c r="A4" s="1768" t="s">
        <v>5805</v>
      </c>
      <c r="B4" s="1768"/>
      <c r="C4" s="1768"/>
      <c r="D4" s="1768"/>
      <c r="E4" s="1768"/>
      <c r="F4" s="1768"/>
      <c r="G4" s="1768"/>
      <c r="H4" s="919"/>
    </row>
    <row r="5" spans="1:12" ht="15" customHeight="1" x14ac:dyDescent="0.25">
      <c r="A5" s="1768" t="s">
        <v>5824</v>
      </c>
      <c r="B5" s="1768"/>
      <c r="C5" s="1768"/>
      <c r="D5" s="1768"/>
      <c r="E5" s="1768"/>
      <c r="F5" s="1768"/>
      <c r="G5" s="1768"/>
      <c r="H5" s="919"/>
    </row>
    <row r="6" spans="1:12" x14ac:dyDescent="0.25">
      <c r="A6" s="1768" t="s">
        <v>5806</v>
      </c>
      <c r="B6" s="1768"/>
      <c r="C6" s="1768"/>
      <c r="D6" s="1768"/>
      <c r="E6" s="1768"/>
      <c r="F6" s="1768"/>
      <c r="G6" s="1768"/>
      <c r="H6" s="919"/>
    </row>
    <row r="8" spans="1:12" ht="20.25" customHeight="1" x14ac:dyDescent="0.3">
      <c r="A8" s="1766" t="s">
        <v>5825</v>
      </c>
      <c r="B8" s="1766"/>
      <c r="C8" s="1766"/>
      <c r="D8" s="1766"/>
      <c r="E8" s="1766"/>
      <c r="F8" s="1766"/>
      <c r="G8" s="1766"/>
      <c r="H8" s="918"/>
    </row>
    <row r="9" spans="1:12" ht="18.75" customHeight="1" x14ac:dyDescent="0.3">
      <c r="A9" s="1766" t="str">
        <f>+"Correspondiente al  mes de "&amp;NOMINA!F9&amp;" "&amp;NOMINA!H9</f>
        <v>Correspondiente al  mes de SEPTIEMBRE 2025</v>
      </c>
      <c r="B9" s="1766"/>
      <c r="C9" s="1766"/>
      <c r="D9" s="1766"/>
      <c r="E9" s="1766"/>
      <c r="F9" s="1766"/>
      <c r="G9" s="1766"/>
      <c r="H9" s="918"/>
    </row>
    <row r="11" spans="1:12" ht="26.25" thickBot="1" x14ac:dyDescent="0.3">
      <c r="A11" s="924" t="s">
        <v>5555</v>
      </c>
      <c r="B11" s="924" t="s">
        <v>5808</v>
      </c>
      <c r="C11" s="924" t="s">
        <v>5809</v>
      </c>
      <c r="D11" s="924" t="s">
        <v>5810</v>
      </c>
      <c r="E11" s="925" t="s">
        <v>5811</v>
      </c>
      <c r="F11" s="924" t="s">
        <v>2860</v>
      </c>
      <c r="G11" s="924" t="s">
        <v>5826</v>
      </c>
      <c r="H11" s="596"/>
    </row>
    <row r="12" spans="1:12" ht="16.5" customHeight="1" thickBot="1" x14ac:dyDescent="0.3">
      <c r="A12" s="597" t="s">
        <v>5813</v>
      </c>
      <c r="B12" s="926"/>
      <c r="C12" s="926"/>
      <c r="D12" s="926"/>
      <c r="E12" s="598"/>
      <c r="F12" s="927"/>
      <c r="G12" s="927"/>
      <c r="H12" s="599"/>
      <c r="I12" s="600"/>
      <c r="J12" s="600"/>
      <c r="K12" s="600"/>
      <c r="L12" s="600"/>
    </row>
    <row r="13" spans="1:12" ht="15.75" customHeight="1" x14ac:dyDescent="0.25">
      <c r="A13" s="928">
        <v>1</v>
      </c>
      <c r="B13" s="926">
        <f>+NOMINA!C17</f>
        <v>11894534</v>
      </c>
      <c r="C13" s="926" t="str">
        <f>+NOMINA!D17</f>
        <v>Olmos Rodriguez Eberto de Jesus</v>
      </c>
      <c r="D13" s="926" t="str">
        <f>+NOMINA!O17</f>
        <v>JEFE DE DEPARTAMENTO</v>
      </c>
      <c r="E13" s="929">
        <f>+NOMINA!H17</f>
        <v>40909</v>
      </c>
      <c r="F13" s="930">
        <f>+NOMINA!BR17</f>
        <v>78.13</v>
      </c>
      <c r="G13" s="930">
        <f>+NOMINA!BS17</f>
        <v>17.36</v>
      </c>
      <c r="H13" s="599"/>
      <c r="I13" s="600"/>
      <c r="J13" s="600"/>
      <c r="K13" s="600"/>
      <c r="L13" s="600"/>
    </row>
    <row r="14" spans="1:12" ht="15.75" customHeight="1" x14ac:dyDescent="0.25">
      <c r="A14" s="928">
        <f>+A13+1</f>
        <v>2</v>
      </c>
      <c r="B14" s="926">
        <f>+NOMINA!C18</f>
        <v>12458942</v>
      </c>
      <c r="C14" s="926" t="str">
        <f>+NOMINA!D18</f>
        <v>Mendoza Mendoza Mirian del Milagro</v>
      </c>
      <c r="D14" s="926" t="str">
        <f>+NOMINA!O18</f>
        <v>JEFE DE DEPARTAMENTO</v>
      </c>
      <c r="E14" s="929">
        <f>+NOMINA!H18</f>
        <v>44424</v>
      </c>
      <c r="F14" s="930">
        <f>+NOMINA!BR18</f>
        <v>81.260000000000005</v>
      </c>
      <c r="G14" s="930">
        <f>+NOMINA!BS18</f>
        <v>18.059999999999999</v>
      </c>
      <c r="H14" s="599"/>
      <c r="I14" s="600"/>
      <c r="J14" s="600"/>
      <c r="K14" s="600"/>
      <c r="L14" s="600"/>
    </row>
    <row r="15" spans="1:12" ht="15.75" customHeight="1" x14ac:dyDescent="0.25">
      <c r="A15" s="928">
        <f t="shared" ref="A15:A37" si="0">+A14+1</f>
        <v>3</v>
      </c>
      <c r="B15" s="926">
        <f>+NOMINA!C19</f>
        <v>8719807</v>
      </c>
      <c r="C15" s="926" t="str">
        <f>+NOMINA!D19</f>
        <v>Perez Saavedra Isabel Teresa</v>
      </c>
      <c r="D15" s="926" t="str">
        <f>+NOMINA!O19</f>
        <v>JEFE DE DEPARTAMENTO</v>
      </c>
      <c r="E15" s="929">
        <f>+NOMINA!H19</f>
        <v>39874</v>
      </c>
      <c r="F15" s="930">
        <f>+NOMINA!BR19</f>
        <v>76.25</v>
      </c>
      <c r="G15" s="930">
        <f>+NOMINA!BS19</f>
        <v>16.940000000000001</v>
      </c>
      <c r="H15" s="599"/>
      <c r="I15" s="600"/>
      <c r="J15" s="600"/>
      <c r="K15" s="600"/>
      <c r="L15" s="600"/>
    </row>
    <row r="16" spans="1:12" ht="15.75" customHeight="1" x14ac:dyDescent="0.25">
      <c r="A16" s="928">
        <f t="shared" si="0"/>
        <v>4</v>
      </c>
      <c r="B16" s="926">
        <f>+NOMINA!C20</f>
        <v>10404528</v>
      </c>
      <c r="C16" s="926" t="str">
        <f>+NOMINA!D20</f>
        <v>Perez Castellano Javier Horacio</v>
      </c>
      <c r="D16" s="926" t="str">
        <f>+NOMINA!O20</f>
        <v>JEFE DE DEPARTAMENTO</v>
      </c>
      <c r="E16" s="929">
        <f>+NOMINA!H20</f>
        <v>37622</v>
      </c>
      <c r="F16" s="930">
        <f>+NOMINA!BR20</f>
        <v>79.569999999999993</v>
      </c>
      <c r="G16" s="930">
        <f>+NOMINA!BS20</f>
        <v>17.68</v>
      </c>
      <c r="H16" s="599"/>
      <c r="I16" s="600"/>
      <c r="J16" s="600"/>
      <c r="K16" s="600"/>
      <c r="L16" s="600"/>
    </row>
    <row r="17" spans="1:12" ht="15.75" customHeight="1" x14ac:dyDescent="0.25">
      <c r="A17" s="928">
        <f t="shared" si="0"/>
        <v>5</v>
      </c>
      <c r="B17" s="926">
        <f>+NOMINA!C21</f>
        <v>9311822</v>
      </c>
      <c r="C17" s="926" t="str">
        <f>+NOMINA!D21</f>
        <v>Rojo Sanchez Alexis Omar</v>
      </c>
      <c r="D17" s="926" t="str">
        <f>+NOMINA!O21</f>
        <v>JEFE DE DEPARTAMENTO</v>
      </c>
      <c r="E17" s="929">
        <f>+NOMINA!H21</f>
        <v>37662</v>
      </c>
      <c r="F17" s="930">
        <f>+NOMINA!BR21</f>
        <v>62.35</v>
      </c>
      <c r="G17" s="930">
        <f>+NOMINA!BS21</f>
        <v>13.86</v>
      </c>
      <c r="H17" s="599"/>
      <c r="I17" s="600"/>
      <c r="J17" s="600"/>
      <c r="K17" s="600"/>
      <c r="L17" s="600"/>
    </row>
    <row r="18" spans="1:12" ht="15.75" customHeight="1" x14ac:dyDescent="0.25">
      <c r="A18" s="928">
        <f t="shared" si="0"/>
        <v>6</v>
      </c>
      <c r="B18" s="926">
        <f>+NOMINA!C22</f>
        <v>21592108</v>
      </c>
      <c r="C18" s="926" t="str">
        <f>+NOMINA!D22</f>
        <v>Coy Andara Darlin Gabriela</v>
      </c>
      <c r="D18" s="926" t="str">
        <f>+NOMINA!O22</f>
        <v>JEFE DE DEPARTAMENTO</v>
      </c>
      <c r="E18" s="929">
        <f>+NOMINA!H22</f>
        <v>43024</v>
      </c>
      <c r="F18" s="930">
        <f>+NOMINA!BR22</f>
        <v>66.34</v>
      </c>
      <c r="G18" s="930">
        <f>+NOMINA!BS22</f>
        <v>14.74</v>
      </c>
      <c r="H18" s="599"/>
      <c r="I18" s="600"/>
      <c r="J18" s="600"/>
      <c r="K18" s="600"/>
      <c r="L18" s="600"/>
    </row>
    <row r="19" spans="1:12" ht="15.75" customHeight="1" x14ac:dyDescent="0.25">
      <c r="A19" s="928">
        <f t="shared" si="0"/>
        <v>7</v>
      </c>
      <c r="B19" s="926">
        <f>+NOMINA!C23</f>
        <v>13206767</v>
      </c>
      <c r="C19" s="926" t="str">
        <f>+NOMINA!D23</f>
        <v>Bastidas Guerra Soralis del Valle</v>
      </c>
      <c r="D19" s="926" t="str">
        <f>+NOMINA!O23</f>
        <v>COORDINADOR DE PROGRAMA (SAPNNAET)</v>
      </c>
      <c r="E19" s="929">
        <f>+NOMINA!H23</f>
        <v>44713</v>
      </c>
      <c r="F19" s="930">
        <f>+NOMINA!BR23</f>
        <v>63.4</v>
      </c>
      <c r="G19" s="930">
        <f>+NOMINA!BS23</f>
        <v>14.09</v>
      </c>
      <c r="H19" s="599"/>
      <c r="I19" s="600"/>
      <c r="J19" s="600"/>
      <c r="K19" s="600"/>
      <c r="L19" s="600"/>
    </row>
    <row r="20" spans="1:12" ht="15.75" customHeight="1" x14ac:dyDescent="0.25">
      <c r="A20" s="928">
        <f t="shared" si="0"/>
        <v>8</v>
      </c>
      <c r="B20" s="926">
        <f>+NOMINA!C24</f>
        <v>13462933</v>
      </c>
      <c r="C20" s="926" t="str">
        <f>+NOMINA!D24</f>
        <v>Frias Aldana Maria Yaritza</v>
      </c>
      <c r="D20" s="926" t="str">
        <f>+NOMINA!O24</f>
        <v>COORDINADOR DE PROGRAMA (SAPNNAET)</v>
      </c>
      <c r="E20" s="929">
        <f>+NOMINA!H24</f>
        <v>39454</v>
      </c>
      <c r="F20" s="930">
        <f>+NOMINA!BR24</f>
        <v>74.13</v>
      </c>
      <c r="G20" s="930">
        <f>+NOMINA!BS24</f>
        <v>16.47</v>
      </c>
      <c r="H20" s="599"/>
      <c r="I20" s="600"/>
      <c r="J20" s="600"/>
      <c r="K20" s="600"/>
      <c r="L20" s="600"/>
    </row>
    <row r="21" spans="1:12" ht="15.75" customHeight="1" x14ac:dyDescent="0.25">
      <c r="A21" s="928">
        <f t="shared" si="0"/>
        <v>9</v>
      </c>
      <c r="B21" s="926">
        <f>+NOMINA!C25</f>
        <v>12542413</v>
      </c>
      <c r="C21" s="926" t="str">
        <f>+NOMINA!D25</f>
        <v>Aponte Matheus Richard Alexander</v>
      </c>
      <c r="D21" s="926" t="str">
        <f>+NOMINA!O25</f>
        <v>COORDINADOR DE PROGRAMA (SAPNNAET)</v>
      </c>
      <c r="E21" s="929">
        <f>+NOMINA!H25</f>
        <v>36434</v>
      </c>
      <c r="F21" s="930">
        <f>+NOMINA!BR25</f>
        <v>60.48</v>
      </c>
      <c r="G21" s="930">
        <f>+NOMINA!BS25</f>
        <v>13.44</v>
      </c>
      <c r="H21" s="599"/>
      <c r="I21" s="600"/>
      <c r="J21" s="600"/>
      <c r="K21" s="600"/>
      <c r="L21" s="600"/>
    </row>
    <row r="22" spans="1:12" ht="15.75" customHeight="1" x14ac:dyDescent="0.25">
      <c r="A22" s="928">
        <f t="shared" si="0"/>
        <v>10</v>
      </c>
      <c r="B22" s="926">
        <f>+NOMINA!C26</f>
        <v>18457406</v>
      </c>
      <c r="C22" s="926" t="str">
        <f>+NOMINA!D26</f>
        <v>Rivero Zambrano Herluis Jose</v>
      </c>
      <c r="D22" s="926" t="str">
        <f>+NOMINA!O26</f>
        <v>COORDINADOR DE PROGRAMA (SAPNNAET)</v>
      </c>
      <c r="E22" s="929">
        <f>+NOMINA!H26</f>
        <v>41548</v>
      </c>
      <c r="F22" s="930">
        <f>+NOMINA!BR26</f>
        <v>70.89</v>
      </c>
      <c r="G22" s="930">
        <f>+NOMINA!BS26</f>
        <v>15.75</v>
      </c>
      <c r="H22" s="599"/>
      <c r="I22" s="600"/>
      <c r="J22" s="600"/>
      <c r="K22" s="600"/>
      <c r="L22" s="600"/>
    </row>
    <row r="23" spans="1:12" ht="15.75" customHeight="1" x14ac:dyDescent="0.25">
      <c r="A23" s="928">
        <f t="shared" si="0"/>
        <v>11</v>
      </c>
      <c r="B23" s="926">
        <f>+NOMINA!C27</f>
        <v>11895772</v>
      </c>
      <c r="C23" s="926" t="str">
        <f>+NOMINA!D27</f>
        <v>Rangel Rivas Ildemaro</v>
      </c>
      <c r="D23" s="926" t="str">
        <f>+NOMINA!O27</f>
        <v>COORDINADOR DE PROGRAMA (SAPNNAET)</v>
      </c>
      <c r="E23" s="929">
        <f>+NOMINA!H27</f>
        <v>44743</v>
      </c>
      <c r="F23" s="930">
        <f>+NOMINA!BR27</f>
        <v>62.43</v>
      </c>
      <c r="G23" s="930">
        <f>+NOMINA!BS27</f>
        <v>13.87</v>
      </c>
      <c r="H23" s="599"/>
      <c r="I23" s="600"/>
      <c r="J23" s="600"/>
      <c r="K23" s="600"/>
      <c r="L23" s="600"/>
    </row>
    <row r="24" spans="1:12" ht="15.75" customHeight="1" x14ac:dyDescent="0.25">
      <c r="A24" s="928">
        <f t="shared" si="0"/>
        <v>12</v>
      </c>
      <c r="B24" s="926">
        <f>+NOMINA!C28</f>
        <v>9495661</v>
      </c>
      <c r="C24" s="926" t="str">
        <f>+NOMINA!D28</f>
        <v>Aguial Carrillo Gregoria Coromoto</v>
      </c>
      <c r="D24" s="926" t="str">
        <f>+NOMINA!O28</f>
        <v>COORDINADOR DE PROGRAMA (SAPNNAET)</v>
      </c>
      <c r="E24" s="929">
        <f>+NOMINA!H28</f>
        <v>39692</v>
      </c>
      <c r="F24" s="930">
        <f>+NOMINA!BR28</f>
        <v>57.3</v>
      </c>
      <c r="G24" s="930">
        <f>+NOMINA!BS28</f>
        <v>12.73</v>
      </c>
      <c r="H24" s="599"/>
      <c r="I24" s="600"/>
      <c r="J24" s="600"/>
      <c r="K24" s="600"/>
      <c r="L24" s="600"/>
    </row>
    <row r="25" spans="1:12" ht="15.75" customHeight="1" x14ac:dyDescent="0.25">
      <c r="A25" s="928">
        <f t="shared" si="0"/>
        <v>13</v>
      </c>
      <c r="B25" s="926">
        <f>+NOMINA!C29</f>
        <v>5348397</v>
      </c>
      <c r="C25" s="926" t="str">
        <f>+NOMINA!D29</f>
        <v>Araujo Manzanilla Carlos Antonio</v>
      </c>
      <c r="D25" s="926" t="str">
        <f>+NOMINA!O29</f>
        <v>COORDINADOR DE PROGRAMA (SAPNNAET)</v>
      </c>
      <c r="E25" s="929">
        <f>+NOMINA!H29</f>
        <v>43359</v>
      </c>
      <c r="F25" s="930">
        <f>+NOMINA!BR29</f>
        <v>72.37</v>
      </c>
      <c r="G25" s="930">
        <f>+NOMINA!BS29</f>
        <v>16.079999999999998</v>
      </c>
      <c r="H25" s="599"/>
      <c r="I25" s="600"/>
      <c r="J25" s="600"/>
      <c r="K25" s="600"/>
      <c r="L25" s="600"/>
    </row>
    <row r="26" spans="1:12" ht="15.75" customHeight="1" x14ac:dyDescent="0.25">
      <c r="A26" s="928">
        <f t="shared" si="0"/>
        <v>14</v>
      </c>
      <c r="B26" s="926">
        <f>+NOMINA!C30</f>
        <v>9314132</v>
      </c>
      <c r="C26" s="926" t="str">
        <f>+NOMINA!D30</f>
        <v>Viloria Montilla Gerardo</v>
      </c>
      <c r="D26" s="926" t="str">
        <f>+NOMINA!O30</f>
        <v>COORDINADOR DE PROGRAMA (SAPNNAET)</v>
      </c>
      <c r="E26" s="929">
        <f>+NOMINA!H30</f>
        <v>44348</v>
      </c>
      <c r="F26" s="930">
        <f>+NOMINA!BR30</f>
        <v>68.959999999999994</v>
      </c>
      <c r="G26" s="930">
        <f>+NOMINA!BS30</f>
        <v>15.33</v>
      </c>
      <c r="H26" s="599"/>
      <c r="I26" s="600"/>
      <c r="J26" s="600"/>
      <c r="K26" s="600"/>
      <c r="L26" s="600"/>
    </row>
    <row r="27" spans="1:12" ht="15.75" customHeight="1" x14ac:dyDescent="0.25">
      <c r="A27" s="928">
        <f t="shared" si="0"/>
        <v>15</v>
      </c>
      <c r="B27" s="926">
        <f>+NOMINA!C31</f>
        <v>11320533</v>
      </c>
      <c r="C27" s="926" t="str">
        <f>+NOMINA!D31</f>
        <v>Suarez Chiquin Yaritza Josefina</v>
      </c>
      <c r="D27" s="926" t="str">
        <f>+NOMINA!O31</f>
        <v>COORDINADOR DE PROGRAMA (SAPNNAET)</v>
      </c>
      <c r="E27" s="929">
        <f>+NOMINA!H31</f>
        <v>37629</v>
      </c>
      <c r="F27" s="930">
        <f>+NOMINA!BR31</f>
        <v>77.040000000000006</v>
      </c>
      <c r="G27" s="930">
        <f>+NOMINA!BS31</f>
        <v>17.12</v>
      </c>
      <c r="H27" s="599"/>
      <c r="I27" s="600"/>
      <c r="J27" s="600"/>
      <c r="K27" s="600"/>
      <c r="L27" s="600"/>
    </row>
    <row r="28" spans="1:12" ht="15.75" customHeight="1" x14ac:dyDescent="0.25">
      <c r="A28" s="928">
        <f t="shared" si="0"/>
        <v>16</v>
      </c>
      <c r="B28" s="926">
        <f>+NOMINA!C32</f>
        <v>10912595</v>
      </c>
      <c r="C28" s="926" t="str">
        <f>+NOMINA!D32</f>
        <v>Delfin Bustos Jose Hercilio</v>
      </c>
      <c r="D28" s="926" t="str">
        <f>+NOMINA!O32</f>
        <v>COORDINADOR DE PROGRAMA (SAPNNAET)</v>
      </c>
      <c r="E28" s="929">
        <f>+NOMINA!H32</f>
        <v>36039</v>
      </c>
      <c r="F28" s="930">
        <f>+NOMINA!BR32</f>
        <v>60.48</v>
      </c>
      <c r="G28" s="930">
        <f>+NOMINA!BS32</f>
        <v>13.44</v>
      </c>
      <c r="H28" s="599"/>
      <c r="I28" s="600"/>
      <c r="J28" s="600"/>
      <c r="K28" s="600"/>
      <c r="L28" s="600"/>
    </row>
    <row r="29" spans="1:12" ht="15.75" customHeight="1" x14ac:dyDescent="0.25">
      <c r="A29" s="928">
        <f t="shared" si="0"/>
        <v>17</v>
      </c>
      <c r="B29" s="926">
        <f>+NOMINA!C33</f>
        <v>4306476</v>
      </c>
      <c r="C29" s="926" t="str">
        <f>+NOMINA!D33</f>
        <v>Triviño de Bastidas Dioni de la Coromoto</v>
      </c>
      <c r="D29" s="926" t="str">
        <f>+NOMINA!O33</f>
        <v>COORDINADOR DE PROGRAMA (SAPNNAET)</v>
      </c>
      <c r="E29" s="929">
        <f>+NOMINA!H33</f>
        <v>44409</v>
      </c>
      <c r="F29" s="930">
        <f>+NOMINA!BR33</f>
        <v>81.650000000000006</v>
      </c>
      <c r="G29" s="930">
        <f>+NOMINA!BS33</f>
        <v>18.14</v>
      </c>
      <c r="H29" s="599"/>
      <c r="I29" s="600"/>
      <c r="J29" s="600"/>
      <c r="K29" s="600"/>
      <c r="L29" s="600"/>
    </row>
    <row r="30" spans="1:12" ht="15.75" customHeight="1" x14ac:dyDescent="0.25">
      <c r="A30" s="928">
        <f t="shared" si="0"/>
        <v>18</v>
      </c>
      <c r="B30" s="926">
        <f>+NOMINA!C34</f>
        <v>13568733</v>
      </c>
      <c r="C30" s="926" t="str">
        <f>+NOMINA!D34</f>
        <v>Campos de Velazquez Nilda Carolina</v>
      </c>
      <c r="D30" s="926" t="str">
        <f>+NOMINA!O34</f>
        <v>COORDINADOR DE PROGRAMA (SAPNNAET)</v>
      </c>
      <c r="E30" s="929">
        <f>+NOMINA!H34</f>
        <v>44805</v>
      </c>
      <c r="F30" s="930">
        <f>+NOMINA!BR34</f>
        <v>65.03</v>
      </c>
      <c r="G30" s="930">
        <f>+NOMINA!BS34</f>
        <v>14.45</v>
      </c>
      <c r="H30" s="599"/>
      <c r="I30" s="600"/>
      <c r="J30" s="600"/>
      <c r="K30" s="600"/>
      <c r="L30" s="600"/>
    </row>
    <row r="31" spans="1:12" ht="15.75" customHeight="1" x14ac:dyDescent="0.25">
      <c r="A31" s="928">
        <f t="shared" si="0"/>
        <v>19</v>
      </c>
      <c r="B31" s="926">
        <f>+NOMINA!C35</f>
        <v>20790947</v>
      </c>
      <c r="C31" s="926" t="str">
        <f>+NOMINA!D35</f>
        <v>Urbina Cuellar Tannessy Lenery</v>
      </c>
      <c r="D31" s="926" t="str">
        <f>+NOMINA!O35</f>
        <v>COORDINADOR DE PROGRAMA (SAPNNAET)</v>
      </c>
      <c r="E31" s="929">
        <f>+NOMINA!H35</f>
        <v>43967</v>
      </c>
      <c r="F31" s="930">
        <f>+NOMINA!BR35</f>
        <v>65.930000000000007</v>
      </c>
      <c r="G31" s="930">
        <f>+NOMINA!BS35</f>
        <v>14.65</v>
      </c>
      <c r="H31" s="599"/>
      <c r="I31" s="600"/>
      <c r="J31" s="600"/>
      <c r="K31" s="600"/>
      <c r="L31" s="600"/>
    </row>
    <row r="32" spans="1:12" ht="15.75" customHeight="1" x14ac:dyDescent="0.25">
      <c r="A32" s="928">
        <f t="shared" si="0"/>
        <v>20</v>
      </c>
      <c r="B32" s="926">
        <f>+NOMINA!C36</f>
        <v>15752183</v>
      </c>
      <c r="C32" s="926" t="str">
        <f>+NOMINA!D36</f>
        <v>Delduca Adriana del Valle</v>
      </c>
      <c r="D32" s="926" t="str">
        <f>+NOMINA!O36</f>
        <v>COORDINADOR DE PROGRAMA (SAPNNAET)</v>
      </c>
      <c r="E32" s="929">
        <f>+NOMINA!H36</f>
        <v>38930</v>
      </c>
      <c r="F32" s="930">
        <f>+NOMINA!BR36</f>
        <v>61.05</v>
      </c>
      <c r="G32" s="930">
        <f>+NOMINA!BS36</f>
        <v>13.57</v>
      </c>
      <c r="H32" s="599"/>
      <c r="I32" s="600"/>
      <c r="J32" s="600"/>
      <c r="K32" s="600"/>
      <c r="L32" s="600"/>
    </row>
    <row r="33" spans="1:12" ht="15.75" customHeight="1" x14ac:dyDescent="0.25">
      <c r="A33" s="928">
        <f t="shared" si="0"/>
        <v>21</v>
      </c>
      <c r="B33" s="926">
        <f>+NOMINA!C37</f>
        <v>16739081</v>
      </c>
      <c r="C33" s="926" t="str">
        <f>+NOMINA!D37</f>
        <v>Albarran Araujo Yely Coromoto</v>
      </c>
      <c r="D33" s="926" t="str">
        <f>+NOMINA!O37</f>
        <v>COORDINADOR DE PROGRAMA (SAPNNAET)</v>
      </c>
      <c r="E33" s="929">
        <f>+NOMINA!H37</f>
        <v>42948</v>
      </c>
      <c r="F33" s="930">
        <f>+NOMINA!BR37</f>
        <v>66.41</v>
      </c>
      <c r="G33" s="930">
        <f>+NOMINA!BS37</f>
        <v>14.76</v>
      </c>
      <c r="H33" s="599"/>
      <c r="I33" s="600"/>
      <c r="J33" s="600"/>
      <c r="K33" s="600"/>
      <c r="L33" s="600"/>
    </row>
    <row r="34" spans="1:12" ht="15.75" customHeight="1" x14ac:dyDescent="0.25">
      <c r="A34" s="928">
        <f t="shared" si="0"/>
        <v>22</v>
      </c>
      <c r="B34" s="926">
        <f>+NOMINA!C38</f>
        <v>18349553</v>
      </c>
      <c r="C34" s="926" t="str">
        <f>+NOMINA!D38</f>
        <v>Quiroga Valdes Nayla Carolina</v>
      </c>
      <c r="D34" s="926" t="str">
        <f>+NOMINA!O38</f>
        <v>COORDINADOR DE PROGRAMA (SAPNNAET)</v>
      </c>
      <c r="E34" s="929">
        <f>+NOMINA!H38</f>
        <v>45566</v>
      </c>
      <c r="F34" s="930">
        <f>+NOMINA!BR38</f>
        <v>62.05</v>
      </c>
      <c r="G34" s="930">
        <f>+NOMINA!BS38</f>
        <v>13.79</v>
      </c>
      <c r="H34" s="599"/>
      <c r="I34" s="600"/>
      <c r="J34" s="600"/>
      <c r="K34" s="600"/>
      <c r="L34" s="600"/>
    </row>
    <row r="35" spans="1:12" ht="15.75" customHeight="1" x14ac:dyDescent="0.25">
      <c r="A35" s="928">
        <f t="shared" si="0"/>
        <v>23</v>
      </c>
      <c r="B35" s="926">
        <f>+NOMINA!C39</f>
        <v>16066524</v>
      </c>
      <c r="C35" s="926" t="str">
        <f>+NOMINA!D39</f>
        <v>Carmona Peñaloza Yaneth Coromoto</v>
      </c>
      <c r="D35" s="926" t="str">
        <f>+NOMINA!O39</f>
        <v>COORDINADOR DE PROGRAMA (SAPNNAET)</v>
      </c>
      <c r="E35" s="929">
        <f>+NOMINA!H39</f>
        <v>41456</v>
      </c>
      <c r="F35" s="930">
        <f>+NOMINA!BR39</f>
        <v>68.67</v>
      </c>
      <c r="G35" s="930">
        <f>+NOMINA!BS39</f>
        <v>15.26</v>
      </c>
      <c r="H35" s="599"/>
      <c r="I35" s="600"/>
      <c r="J35" s="600"/>
      <c r="K35" s="600"/>
      <c r="L35" s="600"/>
    </row>
    <row r="36" spans="1:12" ht="15.75" customHeight="1" x14ac:dyDescent="0.25">
      <c r="A36" s="928">
        <f t="shared" si="0"/>
        <v>24</v>
      </c>
      <c r="B36" s="926">
        <f>+NOMINA!C40</f>
        <v>27889180</v>
      </c>
      <c r="C36" s="926" t="str">
        <f>+NOMINA!D40</f>
        <v>Moreno Andreina del Valle</v>
      </c>
      <c r="D36" s="926" t="str">
        <f>+NOMINA!O40</f>
        <v>COORDINADOR DE PROGRAMA (SAPNNAET)</v>
      </c>
      <c r="E36" s="929">
        <f>+NOMINA!H40</f>
        <v>44393</v>
      </c>
      <c r="F36" s="930">
        <f>+NOMINA!BR40</f>
        <v>52.38</v>
      </c>
      <c r="G36" s="930">
        <f>+NOMINA!BS40</f>
        <v>11.64</v>
      </c>
      <c r="H36" s="599"/>
      <c r="I36" s="600"/>
      <c r="J36" s="600"/>
      <c r="K36" s="600"/>
      <c r="L36" s="600"/>
    </row>
    <row r="37" spans="1:12" ht="15.75" customHeight="1" thickBot="1" x14ac:dyDescent="0.3">
      <c r="A37" s="928">
        <f t="shared" si="0"/>
        <v>25</v>
      </c>
      <c r="B37" s="926">
        <f>+NOMINA!C41</f>
        <v>12781930</v>
      </c>
      <c r="C37" s="926" t="str">
        <f>+NOMINA!D41</f>
        <v>Berrios Gomez Neida Marina</v>
      </c>
      <c r="D37" s="926" t="str">
        <f>+NOMINA!O41</f>
        <v>COORDINADOR DE PROGRAMA (SAPNNAET)</v>
      </c>
      <c r="E37" s="929">
        <f>+NOMINA!H41</f>
        <v>44652</v>
      </c>
      <c r="F37" s="930">
        <f>+NOMINA!BR41</f>
        <v>63.4</v>
      </c>
      <c r="G37" s="930">
        <f>+NOMINA!BS41</f>
        <v>14.09</v>
      </c>
      <c r="H37" s="599"/>
      <c r="I37" s="600"/>
      <c r="J37" s="600"/>
      <c r="K37" s="600"/>
      <c r="L37" s="600"/>
    </row>
    <row r="38" spans="1:12" ht="15.75" customHeight="1" thickBot="1" x14ac:dyDescent="0.3">
      <c r="A38" s="928"/>
      <c r="B38" s="926"/>
      <c r="C38" s="926"/>
      <c r="D38" s="942" t="s">
        <v>5968</v>
      </c>
      <c r="E38" s="598" t="s">
        <v>5814</v>
      </c>
      <c r="F38" s="927">
        <f>SUM(F13:F37)</f>
        <v>1697.9500000000003</v>
      </c>
      <c r="G38" s="927">
        <f>SUM(G13:G37)</f>
        <v>377.30999999999995</v>
      </c>
      <c r="H38" s="599">
        <f>NOMINA!BR42</f>
        <v>1697.9500000000003</v>
      </c>
      <c r="I38" s="600">
        <f>+F38-H38</f>
        <v>0</v>
      </c>
      <c r="J38" s="600">
        <f>+NOMINA!BS42</f>
        <v>377.30999999999995</v>
      </c>
      <c r="K38" s="600">
        <f>+G38-J38</f>
        <v>0</v>
      </c>
      <c r="L38" s="600"/>
    </row>
    <row r="39" spans="1:12" ht="15.75" customHeight="1" x14ac:dyDescent="0.25">
      <c r="A39" s="601"/>
      <c r="B39" s="931"/>
      <c r="C39" s="931"/>
      <c r="D39" s="931"/>
      <c r="E39" s="602"/>
      <c r="F39" s="932"/>
      <c r="G39" s="599"/>
      <c r="H39" s="599"/>
      <c r="I39" s="600"/>
      <c r="J39" s="600"/>
      <c r="K39" s="600"/>
      <c r="L39" s="600"/>
    </row>
    <row r="40" spans="1:12" ht="15.75" customHeight="1" x14ac:dyDescent="0.25">
      <c r="A40" s="601"/>
      <c r="B40" s="603"/>
      <c r="C40" s="603"/>
      <c r="D40" s="603"/>
      <c r="E40" s="602"/>
      <c r="F40" s="604"/>
      <c r="G40" s="599"/>
      <c r="H40" s="599"/>
      <c r="I40" s="600"/>
      <c r="J40" s="600"/>
      <c r="K40" s="600"/>
      <c r="L40" s="600"/>
    </row>
    <row r="41" spans="1:12" ht="15.75" customHeight="1" x14ac:dyDescent="0.25">
      <c r="A41" s="601"/>
      <c r="B41" s="603"/>
      <c r="C41" s="603"/>
      <c r="D41" s="603"/>
      <c r="E41" s="602"/>
      <c r="F41" s="604"/>
      <c r="G41" s="599"/>
      <c r="H41" s="599"/>
      <c r="I41" s="600"/>
      <c r="J41" s="600"/>
      <c r="K41" s="600"/>
      <c r="L41" s="600"/>
    </row>
    <row r="42" spans="1:12" ht="15.75" customHeight="1" x14ac:dyDescent="0.25">
      <c r="A42" s="601"/>
      <c r="B42" s="603"/>
      <c r="C42" s="603"/>
      <c r="D42" s="603"/>
      <c r="E42" s="602"/>
      <c r="F42" s="604"/>
      <c r="G42" s="599"/>
      <c r="H42" s="599"/>
      <c r="I42" s="600"/>
      <c r="J42" s="600"/>
      <c r="K42" s="600"/>
      <c r="L42" s="600"/>
    </row>
    <row r="43" spans="1:12" ht="15.75" customHeight="1" x14ac:dyDescent="0.25">
      <c r="A43" s="601"/>
      <c r="B43" s="603"/>
      <c r="C43" s="603"/>
      <c r="D43" s="603"/>
      <c r="E43" s="602"/>
      <c r="F43" s="604"/>
      <c r="G43" s="599"/>
      <c r="H43" s="599"/>
      <c r="I43" s="600"/>
      <c r="J43" s="600"/>
      <c r="K43" s="600"/>
      <c r="L43" s="600"/>
    </row>
    <row r="44" spans="1:12" ht="15.75" customHeight="1" x14ac:dyDescent="0.25">
      <c r="A44" s="601"/>
      <c r="B44" s="603"/>
      <c r="C44" s="595" t="s">
        <v>5815</v>
      </c>
      <c r="F44" s="595" t="s">
        <v>5816</v>
      </c>
      <c r="G44" s="599"/>
      <c r="H44" s="599"/>
      <c r="I44" s="600"/>
      <c r="J44" s="600"/>
      <c r="K44" s="600"/>
      <c r="L44" s="600"/>
    </row>
    <row r="45" spans="1:12" ht="15.75" customHeight="1" x14ac:dyDescent="0.25">
      <c r="A45" s="601"/>
      <c r="B45" s="603"/>
      <c r="G45" s="599"/>
      <c r="H45" s="599"/>
      <c r="I45" s="600"/>
      <c r="J45" s="600"/>
      <c r="K45" s="600"/>
      <c r="L45" s="600"/>
    </row>
    <row r="46" spans="1:12" ht="15.75" customHeight="1" x14ac:dyDescent="0.25">
      <c r="A46" s="601"/>
      <c r="B46" s="603"/>
      <c r="G46" s="599"/>
      <c r="H46" s="599"/>
      <c r="I46" s="600"/>
      <c r="J46" s="600"/>
      <c r="K46" s="600"/>
      <c r="L46" s="600"/>
    </row>
    <row r="47" spans="1:12" ht="15.75" customHeight="1" x14ac:dyDescent="0.3">
      <c r="A47" s="601"/>
      <c r="B47" s="603"/>
      <c r="C47" s="605" t="s">
        <v>5817</v>
      </c>
      <c r="F47" s="606" t="s">
        <v>5818</v>
      </c>
      <c r="G47" s="599"/>
      <c r="H47" s="599"/>
      <c r="I47" s="600"/>
      <c r="J47" s="600"/>
      <c r="K47" s="600"/>
      <c r="L47" s="600"/>
    </row>
    <row r="48" spans="1:12" ht="15.75" customHeight="1" x14ac:dyDescent="0.3">
      <c r="A48" s="601"/>
      <c r="B48" s="603"/>
      <c r="C48" s="605" t="s">
        <v>5819</v>
      </c>
      <c r="F48" s="605" t="s">
        <v>5820</v>
      </c>
      <c r="G48" s="599"/>
      <c r="H48" s="599"/>
      <c r="I48" s="600"/>
      <c r="J48" s="600"/>
      <c r="K48" s="600"/>
      <c r="L48" s="600"/>
    </row>
    <row r="49" spans="1:12" ht="15.75" customHeight="1" x14ac:dyDescent="0.25">
      <c r="A49" s="601"/>
      <c r="B49" s="603"/>
      <c r="C49" s="603"/>
      <c r="D49" s="603"/>
      <c r="E49" s="602"/>
      <c r="F49" s="604"/>
      <c r="G49" s="599"/>
      <c r="H49" s="599"/>
      <c r="I49" s="600"/>
      <c r="J49" s="600"/>
      <c r="K49" s="600"/>
      <c r="L49" s="600"/>
    </row>
    <row r="50" spans="1:12" ht="15.75" customHeight="1" x14ac:dyDescent="0.25">
      <c r="A50" s="597" t="s">
        <v>4561</v>
      </c>
      <c r="B50" s="926"/>
      <c r="C50" s="926"/>
      <c r="D50" s="926"/>
      <c r="E50" s="929"/>
      <c r="F50" s="930"/>
      <c r="G50" s="930"/>
      <c r="H50" s="599"/>
      <c r="I50" s="600"/>
      <c r="J50" s="600"/>
      <c r="K50" s="600"/>
      <c r="L50" s="600"/>
    </row>
    <row r="51" spans="1:12" ht="15.75" customHeight="1" x14ac:dyDescent="0.25">
      <c r="A51" s="928">
        <v>1</v>
      </c>
      <c r="B51" s="926">
        <f>+NOMINA!C44</f>
        <v>4324055</v>
      </c>
      <c r="C51" s="926" t="str">
        <f>+NOMINA!D44</f>
        <v>Mejia Linares Alexis de Jesus</v>
      </c>
      <c r="D51" s="926" t="str">
        <f>+NOMINA!O44</f>
        <v>Abogado II</v>
      </c>
      <c r="E51" s="929">
        <f>+NOMINA!H44</f>
        <v>44470</v>
      </c>
      <c r="F51" s="930">
        <f>+NOMINA!BR44</f>
        <v>53.91</v>
      </c>
      <c r="G51" s="930">
        <f>+NOMINA!BS44</f>
        <v>11.98</v>
      </c>
      <c r="H51" s="599"/>
      <c r="I51" s="600"/>
      <c r="J51" s="600"/>
      <c r="K51" s="600"/>
      <c r="L51" s="600"/>
    </row>
    <row r="52" spans="1:12" ht="15.75" customHeight="1" x14ac:dyDescent="0.25">
      <c r="A52" s="928">
        <f>+A51+1</f>
        <v>2</v>
      </c>
      <c r="B52" s="926">
        <f>+NOMINA!C45</f>
        <v>4657974</v>
      </c>
      <c r="C52" s="926" t="str">
        <f>+NOMINA!D45</f>
        <v>Balestrini Nuñez Ulises Ramon</v>
      </c>
      <c r="D52" s="926" t="str">
        <f>+NOMINA!O45</f>
        <v>Promotor Cultural I</v>
      </c>
      <c r="E52" s="929">
        <f>+NOMINA!H45</f>
        <v>39463</v>
      </c>
      <c r="F52" s="930">
        <f>+NOMINA!BR45</f>
        <v>35.65</v>
      </c>
      <c r="G52" s="930">
        <f>+NOMINA!BS45</f>
        <v>7.92</v>
      </c>
      <c r="H52" s="599"/>
      <c r="I52" s="600"/>
      <c r="J52" s="600"/>
      <c r="K52" s="600"/>
      <c r="L52" s="600"/>
    </row>
    <row r="53" spans="1:12" ht="15.75" customHeight="1" x14ac:dyDescent="0.25">
      <c r="A53" s="928">
        <f t="shared" ref="A53:A116" si="1">+A52+1</f>
        <v>3</v>
      </c>
      <c r="B53" s="926">
        <f>+NOMINA!C46</f>
        <v>5762861</v>
      </c>
      <c r="C53" s="926" t="str">
        <f>+NOMINA!D46</f>
        <v>Aldana Duran Delia Mercedes</v>
      </c>
      <c r="D53" s="926" t="str">
        <f>+NOMINA!O46</f>
        <v>Jefe de Centro</v>
      </c>
      <c r="E53" s="929">
        <f>+NOMINA!H46</f>
        <v>37851</v>
      </c>
      <c r="F53" s="930">
        <f>+NOMINA!BR46</f>
        <v>0</v>
      </c>
      <c r="G53" s="930">
        <f>+NOMINA!BS46</f>
        <v>0</v>
      </c>
      <c r="H53" s="599"/>
      <c r="I53" s="600"/>
      <c r="J53" s="600"/>
      <c r="K53" s="600"/>
      <c r="L53" s="600"/>
    </row>
    <row r="54" spans="1:12" ht="15.75" customHeight="1" x14ac:dyDescent="0.25">
      <c r="A54" s="928">
        <f t="shared" si="1"/>
        <v>4</v>
      </c>
      <c r="B54" s="926">
        <f>+NOMINA!C47</f>
        <v>5782060</v>
      </c>
      <c r="C54" s="926" t="str">
        <f>+NOMINA!D47</f>
        <v>Linares Araujo Adolfo Jose</v>
      </c>
      <c r="D54" s="926" t="str">
        <f>+NOMINA!O47</f>
        <v>Asistente Administrativo III</v>
      </c>
      <c r="E54" s="929">
        <f>+NOMINA!H47</f>
        <v>39539</v>
      </c>
      <c r="F54" s="930">
        <f>+NOMINA!BR47</f>
        <v>50.33</v>
      </c>
      <c r="G54" s="930">
        <f>+NOMINA!BS47</f>
        <v>11.19</v>
      </c>
      <c r="H54" s="599"/>
      <c r="I54" s="600"/>
      <c r="J54" s="600"/>
      <c r="K54" s="600"/>
      <c r="L54" s="600"/>
    </row>
    <row r="55" spans="1:12" ht="15.75" customHeight="1" x14ac:dyDescent="0.25">
      <c r="A55" s="928">
        <f t="shared" si="1"/>
        <v>5</v>
      </c>
      <c r="B55" s="926">
        <f>+NOMINA!C48</f>
        <v>5790501</v>
      </c>
      <c r="C55" s="926" t="str">
        <f>+NOMINA!D48</f>
        <v>Castellanos de Araujo Maria Eustoquia</v>
      </c>
      <c r="D55" s="926" t="str">
        <f>+NOMINA!O48</f>
        <v>Asistente de Analista III</v>
      </c>
      <c r="E55" s="929">
        <f>+NOMINA!H48</f>
        <v>39707</v>
      </c>
      <c r="F55" s="930">
        <f>+NOMINA!BR48</f>
        <v>54.17</v>
      </c>
      <c r="G55" s="930">
        <f>+NOMINA!BS48</f>
        <v>12.04</v>
      </c>
      <c r="H55" s="599"/>
      <c r="I55" s="600"/>
      <c r="J55" s="600"/>
      <c r="K55" s="600"/>
      <c r="L55" s="600"/>
    </row>
    <row r="56" spans="1:12" ht="15.75" customHeight="1" x14ac:dyDescent="0.25">
      <c r="A56" s="928">
        <f t="shared" si="1"/>
        <v>6</v>
      </c>
      <c r="B56" s="926">
        <f>+NOMINA!C49</f>
        <v>7744688</v>
      </c>
      <c r="C56" s="926" t="str">
        <f>+NOMINA!D49</f>
        <v>Aguilera Carroz Gerardo Raul</v>
      </c>
      <c r="D56" s="926" t="str">
        <f>+NOMINA!O49</f>
        <v>Asistente Administrativo III</v>
      </c>
      <c r="E56" s="929">
        <f>+NOMINA!H49</f>
        <v>44713</v>
      </c>
      <c r="F56" s="930">
        <f>+NOMINA!BR49</f>
        <v>44.31</v>
      </c>
      <c r="G56" s="930">
        <f>+NOMINA!BS49</f>
        <v>9.85</v>
      </c>
      <c r="H56" s="599"/>
      <c r="I56" s="600"/>
      <c r="J56" s="600"/>
      <c r="K56" s="600"/>
      <c r="L56" s="600"/>
    </row>
    <row r="57" spans="1:12" ht="15.75" customHeight="1" x14ac:dyDescent="0.25">
      <c r="A57" s="928">
        <f t="shared" si="1"/>
        <v>7</v>
      </c>
      <c r="B57" s="926">
        <f>+NOMINA!C50</f>
        <v>7890070</v>
      </c>
      <c r="C57" s="926" t="str">
        <f>+NOMINA!D50</f>
        <v>Pacheco Bermudez Bebsabeth Coromoto</v>
      </c>
      <c r="D57" s="926" t="str">
        <f>+NOMINA!O50</f>
        <v>Guia de Centro II</v>
      </c>
      <c r="E57" s="929">
        <f>+NOMINA!H50</f>
        <v>38930</v>
      </c>
      <c r="F57" s="930">
        <f>+NOMINA!BR50</f>
        <v>37.4</v>
      </c>
      <c r="G57" s="930">
        <f>+NOMINA!BS50</f>
        <v>8.31</v>
      </c>
      <c r="H57" s="599"/>
      <c r="I57" s="600"/>
      <c r="J57" s="600"/>
      <c r="K57" s="600"/>
      <c r="L57" s="600"/>
    </row>
    <row r="58" spans="1:12" ht="15.75" customHeight="1" x14ac:dyDescent="0.25">
      <c r="A58" s="928">
        <f t="shared" si="1"/>
        <v>8</v>
      </c>
      <c r="B58" s="926">
        <f>+NOMINA!C51</f>
        <v>8719807</v>
      </c>
      <c r="C58" s="926" t="str">
        <f>+NOMINA!D51</f>
        <v>Perez Saavedra Isabel Teresa</v>
      </c>
      <c r="D58" s="926" t="str">
        <f>+NOMINA!O51</f>
        <v>Abogado Jefe</v>
      </c>
      <c r="E58" s="929">
        <f>+NOMINA!H51</f>
        <v>39874</v>
      </c>
      <c r="F58" s="930">
        <f>+NOMINA!BR51</f>
        <v>0</v>
      </c>
      <c r="G58" s="930">
        <f>+NOMINA!BS51</f>
        <v>0</v>
      </c>
      <c r="H58" s="599"/>
      <c r="I58" s="600"/>
      <c r="J58" s="600"/>
      <c r="K58" s="600"/>
      <c r="L58" s="600"/>
    </row>
    <row r="59" spans="1:12" ht="15.75" customHeight="1" x14ac:dyDescent="0.25">
      <c r="A59" s="928">
        <f t="shared" si="1"/>
        <v>9</v>
      </c>
      <c r="B59" s="926">
        <f>+NOMINA!C52</f>
        <v>8266170</v>
      </c>
      <c r="C59" s="926" t="str">
        <f>+NOMINA!D52</f>
        <v>Aguana Sanchez Yraida Josefina</v>
      </c>
      <c r="D59" s="926" t="str">
        <f>+NOMINA!O52</f>
        <v>Guia de Centro I</v>
      </c>
      <c r="E59" s="929">
        <f>+NOMINA!H52</f>
        <v>45323</v>
      </c>
      <c r="F59" s="930">
        <f>+NOMINA!BR52</f>
        <v>63.65</v>
      </c>
      <c r="G59" s="930">
        <f>+NOMINA!BS52</f>
        <v>14.15</v>
      </c>
      <c r="H59" s="599"/>
      <c r="I59" s="600"/>
      <c r="J59" s="600"/>
      <c r="K59" s="600"/>
      <c r="L59" s="600"/>
    </row>
    <row r="60" spans="1:12" ht="15.75" customHeight="1" x14ac:dyDescent="0.25">
      <c r="A60" s="928">
        <f t="shared" si="1"/>
        <v>10</v>
      </c>
      <c r="B60" s="926">
        <f>+NOMINA!C53</f>
        <v>9162178</v>
      </c>
      <c r="C60" s="926" t="str">
        <f>+NOMINA!D53</f>
        <v>Duarte de Bastidas Gladys Margarita</v>
      </c>
      <c r="D60" s="926" t="str">
        <f>+NOMINA!O53</f>
        <v>Guia de Centro II</v>
      </c>
      <c r="E60" s="929">
        <f>+NOMINA!H53</f>
        <v>39566</v>
      </c>
      <c r="F60" s="930">
        <f>+NOMINA!BR53</f>
        <v>48.09</v>
      </c>
      <c r="G60" s="930">
        <f>+NOMINA!BS53</f>
        <v>10.69</v>
      </c>
      <c r="H60" s="599"/>
      <c r="I60" s="600"/>
      <c r="J60" s="600"/>
      <c r="K60" s="600"/>
      <c r="L60" s="600"/>
    </row>
    <row r="61" spans="1:12" ht="15.75" customHeight="1" x14ac:dyDescent="0.25">
      <c r="A61" s="928">
        <f t="shared" si="1"/>
        <v>11</v>
      </c>
      <c r="B61" s="926">
        <f>+NOMINA!C54</f>
        <v>9162243</v>
      </c>
      <c r="C61" s="926" t="str">
        <f>+NOMINA!D54</f>
        <v>Valera Borrero Marcos Tulio</v>
      </c>
      <c r="D61" s="926" t="str">
        <f>+NOMINA!O54</f>
        <v>Guia de Centro II</v>
      </c>
      <c r="E61" s="929">
        <f>+NOMINA!H54</f>
        <v>35535</v>
      </c>
      <c r="F61" s="930">
        <f>+NOMINA!BR54</f>
        <v>37.4</v>
      </c>
      <c r="G61" s="930">
        <f>+NOMINA!BS54</f>
        <v>8.31</v>
      </c>
      <c r="H61" s="599"/>
      <c r="I61" s="600"/>
      <c r="J61" s="600"/>
      <c r="K61" s="600"/>
      <c r="L61" s="600"/>
    </row>
    <row r="62" spans="1:12" ht="15.75" customHeight="1" x14ac:dyDescent="0.25">
      <c r="A62" s="928">
        <f t="shared" si="1"/>
        <v>12</v>
      </c>
      <c r="B62" s="926">
        <f>+NOMINA!C55</f>
        <v>9170647</v>
      </c>
      <c r="C62" s="926" t="str">
        <f>+NOMINA!D55</f>
        <v>Torres Gonzalez Meris del Carmen</v>
      </c>
      <c r="D62" s="926" t="str">
        <f>+NOMINA!O55</f>
        <v>Guia de Centro II</v>
      </c>
      <c r="E62" s="929">
        <f>+NOMINA!H55</f>
        <v>39238</v>
      </c>
      <c r="F62" s="930">
        <f>+NOMINA!BR55</f>
        <v>66.42</v>
      </c>
      <c r="G62" s="930">
        <f>+NOMINA!BS55</f>
        <v>14.76</v>
      </c>
      <c r="H62" s="599"/>
      <c r="I62" s="600"/>
      <c r="J62" s="600"/>
      <c r="K62" s="600"/>
      <c r="L62" s="600"/>
    </row>
    <row r="63" spans="1:12" ht="15.75" customHeight="1" x14ac:dyDescent="0.25">
      <c r="A63" s="928">
        <f t="shared" si="1"/>
        <v>13</v>
      </c>
      <c r="B63" s="926">
        <f>+NOMINA!C56</f>
        <v>9177323</v>
      </c>
      <c r="C63" s="926" t="str">
        <f>+NOMINA!D56</f>
        <v>Simancas de Mendoza Alix Josefina</v>
      </c>
      <c r="D63" s="926" t="str">
        <f>+NOMINA!O56</f>
        <v>Asistente Administrativo III</v>
      </c>
      <c r="E63" s="929">
        <f>+NOMINA!H56</f>
        <v>37879</v>
      </c>
      <c r="F63" s="930">
        <f>+NOMINA!BR56</f>
        <v>0</v>
      </c>
      <c r="G63" s="930">
        <f>+NOMINA!BS56</f>
        <v>0</v>
      </c>
      <c r="H63" s="599"/>
      <c r="I63" s="600"/>
      <c r="J63" s="600"/>
      <c r="K63" s="600"/>
      <c r="L63" s="600"/>
    </row>
    <row r="64" spans="1:12" ht="15.75" customHeight="1" x14ac:dyDescent="0.25">
      <c r="A64" s="928">
        <f t="shared" si="1"/>
        <v>14</v>
      </c>
      <c r="B64" s="926">
        <f>+NOMINA!C57</f>
        <v>9178087</v>
      </c>
      <c r="C64" s="926" t="str">
        <f>+NOMINA!D57</f>
        <v>Saavedra Juan Jose</v>
      </c>
      <c r="D64" s="926" t="str">
        <f>+NOMINA!O57</f>
        <v>Asistente Administrativo III</v>
      </c>
      <c r="E64" s="929">
        <f>+NOMINA!H57</f>
        <v>37622</v>
      </c>
      <c r="F64" s="930">
        <f>+NOMINA!BR57</f>
        <v>37.32</v>
      </c>
      <c r="G64" s="930">
        <f>+NOMINA!BS57</f>
        <v>8.2899999999999991</v>
      </c>
      <c r="H64" s="599"/>
      <c r="I64" s="600"/>
      <c r="J64" s="600"/>
      <c r="K64" s="600"/>
      <c r="L64" s="600"/>
    </row>
    <row r="65" spans="1:12" ht="15.75" customHeight="1" x14ac:dyDescent="0.25">
      <c r="A65" s="928">
        <f t="shared" si="1"/>
        <v>15</v>
      </c>
      <c r="B65" s="926">
        <f>+NOMINA!C58</f>
        <v>9179981</v>
      </c>
      <c r="C65" s="926" t="str">
        <f>+NOMINA!D58</f>
        <v>Manzanilla Molina Alfredo Jose</v>
      </c>
      <c r="D65" s="926" t="str">
        <f>+NOMINA!O58</f>
        <v>Instructor Agropecuario III</v>
      </c>
      <c r="E65" s="929">
        <f>+NOMINA!H58</f>
        <v>45597</v>
      </c>
      <c r="F65" s="930">
        <f>+NOMINA!BR58</f>
        <v>45.09</v>
      </c>
      <c r="G65" s="930">
        <f>+NOMINA!BS58</f>
        <v>10.02</v>
      </c>
      <c r="H65" s="599"/>
      <c r="I65" s="600"/>
      <c r="J65" s="600"/>
      <c r="K65" s="600"/>
      <c r="L65" s="600"/>
    </row>
    <row r="66" spans="1:12" ht="15.75" customHeight="1" x14ac:dyDescent="0.25">
      <c r="A66" s="928">
        <f t="shared" si="1"/>
        <v>16</v>
      </c>
      <c r="B66" s="926">
        <f>+NOMINA!C59</f>
        <v>9311822</v>
      </c>
      <c r="C66" s="926" t="str">
        <f>+NOMINA!D59</f>
        <v>Rojo Sanchez Alexis Omar</v>
      </c>
      <c r="D66" s="926" t="str">
        <f>+NOMINA!O59</f>
        <v>Asistente Administrativo III</v>
      </c>
      <c r="E66" s="929">
        <f>+NOMINA!H59</f>
        <v>37662</v>
      </c>
      <c r="F66" s="930">
        <f>+NOMINA!BR59</f>
        <v>0</v>
      </c>
      <c r="G66" s="930">
        <f>+NOMINA!BS59</f>
        <v>0</v>
      </c>
      <c r="H66" s="599"/>
      <c r="I66" s="600"/>
      <c r="J66" s="600"/>
      <c r="K66" s="600"/>
      <c r="L66" s="600"/>
    </row>
    <row r="67" spans="1:12" ht="15.75" customHeight="1" x14ac:dyDescent="0.25">
      <c r="A67" s="928">
        <f t="shared" si="1"/>
        <v>17</v>
      </c>
      <c r="B67" s="926">
        <f>+NOMINA!C60</f>
        <v>9315117</v>
      </c>
      <c r="C67" s="926" t="str">
        <f>+NOMINA!D60</f>
        <v>Palma de Briceño Sonia Josefina</v>
      </c>
      <c r="D67" s="926" t="str">
        <f>+NOMINA!O60</f>
        <v>Analista de Personal V</v>
      </c>
      <c r="E67" s="929">
        <f>+NOMINA!H60</f>
        <v>38412</v>
      </c>
      <c r="F67" s="930">
        <f>+NOMINA!BR60</f>
        <v>63.82</v>
      </c>
      <c r="G67" s="930">
        <f>+NOMINA!BS60</f>
        <v>14.18</v>
      </c>
      <c r="H67" s="599"/>
      <c r="I67" s="600"/>
      <c r="J67" s="600"/>
      <c r="K67" s="600"/>
      <c r="L67" s="600"/>
    </row>
    <row r="68" spans="1:12" ht="15.75" customHeight="1" x14ac:dyDescent="0.25">
      <c r="A68" s="928">
        <f t="shared" si="1"/>
        <v>18</v>
      </c>
      <c r="B68" s="926">
        <f>+NOMINA!C61</f>
        <v>9315325</v>
      </c>
      <c r="C68" s="926" t="str">
        <f>+NOMINA!D61</f>
        <v>Gonzalez Hernandez Marianela</v>
      </c>
      <c r="D68" s="926" t="str">
        <f>+NOMINA!O61</f>
        <v>Asistente Administrativo IV</v>
      </c>
      <c r="E68" s="929">
        <f>+NOMINA!H61</f>
        <v>39678</v>
      </c>
      <c r="F68" s="930">
        <f>+NOMINA!BR61</f>
        <v>51.55</v>
      </c>
      <c r="G68" s="930">
        <f>+NOMINA!BS61</f>
        <v>11.45</v>
      </c>
      <c r="H68" s="599"/>
      <c r="I68" s="600"/>
      <c r="J68" s="600"/>
      <c r="K68" s="600"/>
      <c r="L68" s="600"/>
    </row>
    <row r="69" spans="1:12" ht="15.75" customHeight="1" x14ac:dyDescent="0.25">
      <c r="A69" s="928">
        <f t="shared" si="1"/>
        <v>19</v>
      </c>
      <c r="B69" s="926">
        <f>+NOMINA!C62</f>
        <v>9316224</v>
      </c>
      <c r="C69" s="926" t="str">
        <f>+NOMINA!D62</f>
        <v>Sanchez Barrios Magalis del Carmen</v>
      </c>
      <c r="D69" s="926" t="str">
        <f>+NOMINA!O62</f>
        <v>Tecnico Superior en Trabajo Social II</v>
      </c>
      <c r="E69" s="929">
        <f>+NOMINA!H62</f>
        <v>44317</v>
      </c>
      <c r="F69" s="930">
        <f>+NOMINA!BR62</f>
        <v>44.58</v>
      </c>
      <c r="G69" s="930">
        <f>+NOMINA!BS62</f>
        <v>9.91</v>
      </c>
      <c r="H69" s="599"/>
      <c r="I69" s="600"/>
      <c r="J69" s="600"/>
      <c r="K69" s="600"/>
      <c r="L69" s="600"/>
    </row>
    <row r="70" spans="1:12" ht="15.75" customHeight="1" x14ac:dyDescent="0.25">
      <c r="A70" s="928">
        <f t="shared" si="1"/>
        <v>20</v>
      </c>
      <c r="B70" s="926">
        <f>+NOMINA!C63</f>
        <v>9323927</v>
      </c>
      <c r="C70" s="926" t="str">
        <f>+NOMINA!D63</f>
        <v>Cardozo Garcia Jorge Antonio</v>
      </c>
      <c r="D70" s="926" t="str">
        <f>+NOMINA!O63</f>
        <v>Guia de Centro II</v>
      </c>
      <c r="E70" s="929">
        <f>+NOMINA!H63</f>
        <v>35704</v>
      </c>
      <c r="F70" s="930">
        <f>+NOMINA!BR63</f>
        <v>37.4</v>
      </c>
      <c r="G70" s="930">
        <f>+NOMINA!BS63</f>
        <v>8.31</v>
      </c>
      <c r="H70" s="599"/>
      <c r="I70" s="600"/>
      <c r="J70" s="600"/>
      <c r="K70" s="600"/>
      <c r="L70" s="600"/>
    </row>
    <row r="71" spans="1:12" ht="15.75" customHeight="1" x14ac:dyDescent="0.25">
      <c r="A71" s="928">
        <f t="shared" si="1"/>
        <v>21</v>
      </c>
      <c r="B71" s="926">
        <f>+NOMINA!C64</f>
        <v>9327253</v>
      </c>
      <c r="C71" s="926" t="str">
        <f>+NOMINA!D64</f>
        <v>Garcia Araujo Jose Domingo</v>
      </c>
      <c r="D71" s="926" t="str">
        <f>+NOMINA!O64</f>
        <v>Analista de Presupuesto III</v>
      </c>
      <c r="E71" s="929">
        <f>+NOMINA!H64</f>
        <v>38930</v>
      </c>
      <c r="F71" s="930">
        <f>+NOMINA!BR64</f>
        <v>50.58</v>
      </c>
      <c r="G71" s="930">
        <f>+NOMINA!BS64</f>
        <v>11.24</v>
      </c>
      <c r="H71" s="599"/>
      <c r="I71" s="600"/>
      <c r="J71" s="600"/>
      <c r="K71" s="600"/>
      <c r="L71" s="600"/>
    </row>
    <row r="72" spans="1:12" ht="15.75" customHeight="1" x14ac:dyDescent="0.25">
      <c r="A72" s="928">
        <f t="shared" si="1"/>
        <v>22</v>
      </c>
      <c r="B72" s="926">
        <f>+NOMINA!C65</f>
        <v>9328157</v>
      </c>
      <c r="C72" s="926" t="str">
        <f>+NOMINA!D65</f>
        <v>Perez Salas Olga Margarita</v>
      </c>
      <c r="D72" s="926" t="str">
        <f>+NOMINA!O65</f>
        <v>Guia de Centro II</v>
      </c>
      <c r="E72" s="929">
        <f>+NOMINA!H65</f>
        <v>41153</v>
      </c>
      <c r="F72" s="930">
        <f>+NOMINA!BR65</f>
        <v>34.32</v>
      </c>
      <c r="G72" s="930">
        <f>+NOMINA!BS65</f>
        <v>7.63</v>
      </c>
      <c r="H72" s="599"/>
      <c r="I72" s="600"/>
      <c r="J72" s="600"/>
      <c r="K72" s="600"/>
      <c r="L72" s="600"/>
    </row>
    <row r="73" spans="1:12" ht="15.75" customHeight="1" x14ac:dyDescent="0.25">
      <c r="A73" s="928">
        <f t="shared" si="1"/>
        <v>23</v>
      </c>
      <c r="B73" s="926">
        <f>+NOMINA!C66</f>
        <v>9328224</v>
      </c>
      <c r="C73" s="926" t="str">
        <f>+NOMINA!D66</f>
        <v>Abreu Araujo Omar Antonio</v>
      </c>
      <c r="D73" s="926" t="str">
        <f>+NOMINA!O66</f>
        <v>Tecnico Agropecuario III</v>
      </c>
      <c r="E73" s="929">
        <f>+NOMINA!H66</f>
        <v>39356</v>
      </c>
      <c r="F73" s="930">
        <f>+NOMINA!BR66</f>
        <v>42.95</v>
      </c>
      <c r="G73" s="930">
        <f>+NOMINA!BS66</f>
        <v>9.5500000000000007</v>
      </c>
      <c r="H73" s="599"/>
      <c r="I73" s="600"/>
      <c r="J73" s="600"/>
      <c r="K73" s="600"/>
      <c r="L73" s="600"/>
    </row>
    <row r="74" spans="1:12" ht="15.75" customHeight="1" x14ac:dyDescent="0.25">
      <c r="A74" s="928">
        <f t="shared" si="1"/>
        <v>24</v>
      </c>
      <c r="B74" s="926">
        <f>+NOMINA!C67</f>
        <v>9495661</v>
      </c>
      <c r="C74" s="926" t="str">
        <f>+NOMINA!D67</f>
        <v>Aguial Carrillo Gregoria Coromoto</v>
      </c>
      <c r="D74" s="926" t="str">
        <f>+NOMINA!O67</f>
        <v>Jefe de Centro</v>
      </c>
      <c r="E74" s="929">
        <f>+NOMINA!H67</f>
        <v>39692</v>
      </c>
      <c r="F74" s="930">
        <f>+NOMINA!BR67</f>
        <v>0</v>
      </c>
      <c r="G74" s="930">
        <f>+NOMINA!BS67</f>
        <v>0</v>
      </c>
      <c r="H74" s="599"/>
      <c r="I74" s="600"/>
      <c r="J74" s="600"/>
      <c r="K74" s="600"/>
      <c r="L74" s="600"/>
    </row>
    <row r="75" spans="1:12" ht="15.75" customHeight="1" x14ac:dyDescent="0.25">
      <c r="A75" s="928">
        <f t="shared" si="1"/>
        <v>25</v>
      </c>
      <c r="B75" s="926">
        <f>+NOMINA!C68</f>
        <v>9496860</v>
      </c>
      <c r="C75" s="926" t="str">
        <f>+NOMINA!D68</f>
        <v>Hernandez Valero Jose Alfredo</v>
      </c>
      <c r="D75" s="926" t="str">
        <f>+NOMINA!O68</f>
        <v>AUDITOR III</v>
      </c>
      <c r="E75" s="929">
        <f>+NOMINA!H68</f>
        <v>43877</v>
      </c>
      <c r="F75" s="930">
        <f>+NOMINA!BR68</f>
        <v>61.71</v>
      </c>
      <c r="G75" s="930">
        <f>+NOMINA!BS68</f>
        <v>13.71</v>
      </c>
      <c r="H75" s="599"/>
      <c r="I75" s="600"/>
      <c r="J75" s="600"/>
      <c r="K75" s="600"/>
      <c r="L75" s="600"/>
    </row>
    <row r="76" spans="1:12" ht="15.75" customHeight="1" x14ac:dyDescent="0.25">
      <c r="A76" s="928">
        <f t="shared" si="1"/>
        <v>26</v>
      </c>
      <c r="B76" s="926">
        <f>+NOMINA!C69</f>
        <v>9497151</v>
      </c>
      <c r="C76" s="926" t="str">
        <f>+NOMINA!D69</f>
        <v>Mendoza Vieras Pedro Luis</v>
      </c>
      <c r="D76" s="926" t="str">
        <f>+NOMINA!O69</f>
        <v>Ingeniero Industrial II</v>
      </c>
      <c r="E76" s="929">
        <f>+NOMINA!H69</f>
        <v>36770</v>
      </c>
      <c r="F76" s="930">
        <f>+NOMINA!BR69</f>
        <v>65.31</v>
      </c>
      <c r="G76" s="930">
        <f>+NOMINA!BS69</f>
        <v>14.51</v>
      </c>
      <c r="H76" s="599"/>
      <c r="I76" s="600"/>
      <c r="J76" s="600"/>
      <c r="K76" s="600"/>
      <c r="L76" s="600"/>
    </row>
    <row r="77" spans="1:12" ht="15.75" customHeight="1" x14ac:dyDescent="0.25">
      <c r="A77" s="928">
        <f t="shared" si="1"/>
        <v>27</v>
      </c>
      <c r="B77" s="926">
        <f>+NOMINA!C70</f>
        <v>9497349</v>
      </c>
      <c r="C77" s="926" t="str">
        <f>+NOMINA!D70</f>
        <v>Cano Blanco Juan Carlos</v>
      </c>
      <c r="D77" s="926" t="str">
        <f>+NOMINA!O70</f>
        <v>Guia de Centro I</v>
      </c>
      <c r="E77" s="929">
        <f>+NOMINA!H70</f>
        <v>45809</v>
      </c>
      <c r="F77" s="930">
        <f>+NOMINA!BR70</f>
        <v>35.1</v>
      </c>
      <c r="G77" s="930">
        <f>+NOMINA!BS70</f>
        <v>7.8</v>
      </c>
      <c r="H77" s="599"/>
      <c r="I77" s="600"/>
      <c r="J77" s="600"/>
      <c r="K77" s="600"/>
      <c r="L77" s="600"/>
    </row>
    <row r="78" spans="1:12" ht="15.75" customHeight="1" x14ac:dyDescent="0.25">
      <c r="A78" s="928">
        <f t="shared" si="1"/>
        <v>28</v>
      </c>
      <c r="B78" s="926">
        <f>+NOMINA!C71</f>
        <v>10033119</v>
      </c>
      <c r="C78" s="926" t="str">
        <f>+NOMINA!D71</f>
        <v>Artigas de Hernandez Ana Maria</v>
      </c>
      <c r="D78" s="926" t="str">
        <f>+NOMINA!O71</f>
        <v>Tutor Facilitador III</v>
      </c>
      <c r="E78" s="929">
        <f>+NOMINA!H71</f>
        <v>43359</v>
      </c>
      <c r="F78" s="930">
        <f>+NOMINA!BR71</f>
        <v>55.77</v>
      </c>
      <c r="G78" s="930">
        <f>+NOMINA!BS71</f>
        <v>12.39</v>
      </c>
      <c r="H78" s="599"/>
      <c r="I78" s="600"/>
      <c r="J78" s="600"/>
      <c r="K78" s="600"/>
      <c r="L78" s="600"/>
    </row>
    <row r="79" spans="1:12" ht="15.75" customHeight="1" x14ac:dyDescent="0.25">
      <c r="A79" s="928">
        <f t="shared" si="1"/>
        <v>29</v>
      </c>
      <c r="B79" s="926">
        <f>+NOMINA!C72</f>
        <v>10035540</v>
      </c>
      <c r="C79" s="926" t="str">
        <f>+NOMINA!D72</f>
        <v>Linares Linares Emma Teresa</v>
      </c>
      <c r="D79" s="926" t="str">
        <f>+NOMINA!O72</f>
        <v>Tecnico Superior en Trabajo Social II</v>
      </c>
      <c r="E79" s="929">
        <f>+NOMINA!H72</f>
        <v>43236</v>
      </c>
      <c r="F79" s="930">
        <f>+NOMINA!BR72</f>
        <v>47.69</v>
      </c>
      <c r="G79" s="930">
        <f>+NOMINA!BS72</f>
        <v>10.6</v>
      </c>
      <c r="H79" s="599"/>
      <c r="I79" s="600"/>
      <c r="J79" s="600"/>
      <c r="K79" s="600"/>
      <c r="L79" s="600"/>
    </row>
    <row r="80" spans="1:12" ht="15.75" customHeight="1" x14ac:dyDescent="0.25">
      <c r="A80" s="928">
        <f t="shared" si="1"/>
        <v>30</v>
      </c>
      <c r="B80" s="926">
        <f>+NOMINA!C73</f>
        <v>10037054</v>
      </c>
      <c r="C80" s="926" t="str">
        <f>+NOMINA!D73</f>
        <v>Aguial Carrillo Deris Margarita</v>
      </c>
      <c r="D80" s="926" t="str">
        <f>+NOMINA!O73</f>
        <v>Guia de Centro II</v>
      </c>
      <c r="E80" s="929">
        <f>+NOMINA!H73</f>
        <v>39820</v>
      </c>
      <c r="F80" s="930">
        <f>+NOMINA!BR73</f>
        <v>45.97</v>
      </c>
      <c r="G80" s="930">
        <f>+NOMINA!BS73</f>
        <v>10.220000000000001</v>
      </c>
      <c r="H80" s="599"/>
      <c r="I80" s="600"/>
      <c r="J80" s="600"/>
      <c r="K80" s="600"/>
      <c r="L80" s="600"/>
    </row>
    <row r="81" spans="1:12" ht="15.75" customHeight="1" x14ac:dyDescent="0.25">
      <c r="A81" s="928">
        <f t="shared" si="1"/>
        <v>31</v>
      </c>
      <c r="B81" s="926">
        <f>+NOMINA!C74</f>
        <v>10175616</v>
      </c>
      <c r="C81" s="926" t="str">
        <f>+NOMINA!D74</f>
        <v>Carrillo Prato Blanca Isabel</v>
      </c>
      <c r="D81" s="926" t="str">
        <f>+NOMINA!O74</f>
        <v>Medico jefe I</v>
      </c>
      <c r="E81" s="929">
        <f>+NOMINA!H74</f>
        <v>44228</v>
      </c>
      <c r="F81" s="930">
        <f>+NOMINA!BR74</f>
        <v>60.65</v>
      </c>
      <c r="G81" s="930">
        <f>+NOMINA!BS74</f>
        <v>13.48</v>
      </c>
      <c r="H81" s="599"/>
      <c r="I81" s="600"/>
      <c r="J81" s="600"/>
      <c r="K81" s="600"/>
      <c r="L81" s="600"/>
    </row>
    <row r="82" spans="1:12" ht="15.75" customHeight="1" x14ac:dyDescent="0.25">
      <c r="A82" s="928">
        <f t="shared" si="1"/>
        <v>32</v>
      </c>
      <c r="B82" s="926">
        <f>+NOMINA!C75</f>
        <v>10257016</v>
      </c>
      <c r="C82" s="926" t="str">
        <f>+NOMINA!D75</f>
        <v>Torres Dulma Ramona</v>
      </c>
      <c r="D82" s="926" t="str">
        <f>+NOMINA!O75</f>
        <v>Tutor Facilitador III</v>
      </c>
      <c r="E82" s="929">
        <f>+NOMINA!H75</f>
        <v>35947</v>
      </c>
      <c r="F82" s="930">
        <f>+NOMINA!BR75</f>
        <v>65.31</v>
      </c>
      <c r="G82" s="930">
        <f>+NOMINA!BS75</f>
        <v>14.51</v>
      </c>
      <c r="H82" s="599"/>
      <c r="I82" s="600"/>
      <c r="J82" s="600"/>
      <c r="K82" s="600"/>
      <c r="L82" s="600"/>
    </row>
    <row r="83" spans="1:12" ht="15.75" customHeight="1" x14ac:dyDescent="0.25">
      <c r="A83" s="928">
        <f t="shared" si="1"/>
        <v>33</v>
      </c>
      <c r="B83" s="926">
        <f>+NOMINA!C76</f>
        <v>10315803</v>
      </c>
      <c r="C83" s="926" t="str">
        <f>+NOMINA!D76</f>
        <v>Frias Jacson Daniel</v>
      </c>
      <c r="D83" s="926" t="str">
        <f>+NOMINA!O76</f>
        <v>Guia de Centro II</v>
      </c>
      <c r="E83" s="929">
        <f>+NOMINA!H76</f>
        <v>35415</v>
      </c>
      <c r="F83" s="930">
        <f>+NOMINA!BR76</f>
        <v>48.61</v>
      </c>
      <c r="G83" s="930">
        <f>+NOMINA!BS76</f>
        <v>10.8</v>
      </c>
      <c r="H83" s="599"/>
      <c r="I83" s="600"/>
      <c r="J83" s="600"/>
      <c r="K83" s="600"/>
      <c r="L83" s="600"/>
    </row>
    <row r="84" spans="1:12" ht="15.75" customHeight="1" x14ac:dyDescent="0.25">
      <c r="A84" s="928">
        <f t="shared" si="1"/>
        <v>34</v>
      </c>
      <c r="B84" s="926">
        <f>+NOMINA!C77</f>
        <v>10319457</v>
      </c>
      <c r="C84" s="926" t="str">
        <f>+NOMINA!D77</f>
        <v>Marquez Marquez Maribel del Valle</v>
      </c>
      <c r="D84" s="926" t="str">
        <f>+NOMINA!O77</f>
        <v>Secretario Ejecutivo III</v>
      </c>
      <c r="E84" s="929">
        <f>+NOMINA!H77</f>
        <v>38831</v>
      </c>
      <c r="F84" s="930">
        <f>+NOMINA!BR77</f>
        <v>37.659999999999997</v>
      </c>
      <c r="G84" s="930">
        <f>+NOMINA!BS77</f>
        <v>8.3699999999999992</v>
      </c>
      <c r="H84" s="599"/>
      <c r="I84" s="600"/>
      <c r="J84" s="600"/>
      <c r="K84" s="600"/>
      <c r="L84" s="600"/>
    </row>
    <row r="85" spans="1:12" ht="15.75" customHeight="1" x14ac:dyDescent="0.25">
      <c r="A85" s="928">
        <f t="shared" si="1"/>
        <v>35</v>
      </c>
      <c r="B85" s="926">
        <f>+NOMINA!C78</f>
        <v>10396379</v>
      </c>
      <c r="C85" s="926" t="str">
        <f>+NOMINA!D78</f>
        <v>Ruiz Luis Alfonzo</v>
      </c>
      <c r="D85" s="926" t="str">
        <f>+NOMINA!O78</f>
        <v>ENTRENADOR DEPORTIVO II</v>
      </c>
      <c r="E85" s="929">
        <f>+NOMINA!H78</f>
        <v>44743</v>
      </c>
      <c r="F85" s="930">
        <f>+NOMINA!BR78</f>
        <v>29.54</v>
      </c>
      <c r="G85" s="930">
        <f>+NOMINA!BS78</f>
        <v>6.57</v>
      </c>
      <c r="H85" s="599"/>
      <c r="I85" s="600"/>
      <c r="J85" s="600"/>
      <c r="K85" s="600"/>
      <c r="L85" s="600"/>
    </row>
    <row r="86" spans="1:12" ht="15.75" customHeight="1" x14ac:dyDescent="0.25">
      <c r="A86" s="928">
        <f t="shared" si="1"/>
        <v>36</v>
      </c>
      <c r="B86" s="926">
        <f>+NOMINA!C79</f>
        <v>10398694</v>
      </c>
      <c r="C86" s="926" t="str">
        <f>+NOMINA!D79</f>
        <v>Santana Briceño Jose Gregorio</v>
      </c>
      <c r="D86" s="926" t="str">
        <f>+NOMINA!O79</f>
        <v>Guia de Centro I</v>
      </c>
      <c r="E86" s="929">
        <f>+NOMINA!H79</f>
        <v>44743</v>
      </c>
      <c r="F86" s="930">
        <f>+NOMINA!BR79</f>
        <v>69.08</v>
      </c>
      <c r="G86" s="930">
        <f>+NOMINA!BS79</f>
        <v>15.35</v>
      </c>
      <c r="H86" s="599"/>
      <c r="I86" s="600"/>
      <c r="J86" s="600"/>
      <c r="K86" s="600"/>
      <c r="L86" s="600"/>
    </row>
    <row r="87" spans="1:12" ht="15.75" customHeight="1" x14ac:dyDescent="0.25">
      <c r="A87" s="928">
        <f t="shared" si="1"/>
        <v>37</v>
      </c>
      <c r="B87" s="926">
        <f>+NOMINA!C80</f>
        <v>10399064</v>
      </c>
      <c r="C87" s="926" t="str">
        <f>+NOMINA!D80</f>
        <v>Perdomo Perdomo Angela Aurora</v>
      </c>
      <c r="D87" s="926" t="str">
        <f>+NOMINA!O80</f>
        <v>Guia de Centro II</v>
      </c>
      <c r="E87" s="929">
        <f>+NOMINA!H80</f>
        <v>39328</v>
      </c>
      <c r="F87" s="930">
        <f>+NOMINA!BR80</f>
        <v>66.42</v>
      </c>
      <c r="G87" s="930">
        <f>+NOMINA!BS80</f>
        <v>14.76</v>
      </c>
      <c r="H87" s="599"/>
      <c r="I87" s="600"/>
      <c r="J87" s="600"/>
      <c r="K87" s="600"/>
      <c r="L87" s="600"/>
    </row>
    <row r="88" spans="1:12" ht="15.75" customHeight="1" x14ac:dyDescent="0.25">
      <c r="A88" s="928">
        <f t="shared" si="1"/>
        <v>38</v>
      </c>
      <c r="B88" s="926">
        <f>+NOMINA!C81</f>
        <v>10400214</v>
      </c>
      <c r="C88" s="926" t="str">
        <f>+NOMINA!D81</f>
        <v>Bastidas Yanitza del Valle</v>
      </c>
      <c r="D88" s="926" t="str">
        <f>+NOMINA!O81</f>
        <v>Guia de Centro II</v>
      </c>
      <c r="E88" s="929">
        <f>+NOMINA!H81</f>
        <v>41153</v>
      </c>
      <c r="F88" s="930">
        <f>+NOMINA!BR81</f>
        <v>63.05</v>
      </c>
      <c r="G88" s="930">
        <f>+NOMINA!BS81</f>
        <v>14.01</v>
      </c>
      <c r="H88" s="599"/>
      <c r="I88" s="600"/>
      <c r="J88" s="600"/>
      <c r="K88" s="600"/>
      <c r="L88" s="600"/>
    </row>
    <row r="89" spans="1:12" ht="15.75" customHeight="1" x14ac:dyDescent="0.25">
      <c r="A89" s="928">
        <f t="shared" si="1"/>
        <v>39</v>
      </c>
      <c r="B89" s="926">
        <f>+NOMINA!C82</f>
        <v>10400365</v>
      </c>
      <c r="C89" s="926" t="str">
        <f>+NOMINA!D82</f>
        <v>Briceño Ruiz Sara Josefina</v>
      </c>
      <c r="D89" s="926" t="str">
        <f>+NOMINA!O82</f>
        <v>Supervisor de Servicios Generales IV</v>
      </c>
      <c r="E89" s="929">
        <f>+NOMINA!H82</f>
        <v>39328</v>
      </c>
      <c r="F89" s="930">
        <f>+NOMINA!BR82</f>
        <v>51.09</v>
      </c>
      <c r="G89" s="930">
        <f>+NOMINA!BS82</f>
        <v>11.35</v>
      </c>
      <c r="H89" s="599"/>
      <c r="I89" s="600"/>
      <c r="J89" s="600"/>
      <c r="K89" s="600"/>
      <c r="L89" s="600"/>
    </row>
    <row r="90" spans="1:12" ht="15.75" customHeight="1" x14ac:dyDescent="0.25">
      <c r="A90" s="928">
        <f t="shared" si="1"/>
        <v>40</v>
      </c>
      <c r="B90" s="926">
        <f>+NOMINA!C83</f>
        <v>10400876</v>
      </c>
      <c r="C90" s="926" t="str">
        <f>+NOMINA!D83</f>
        <v>Ramirez Vergara Graciela de Jesus</v>
      </c>
      <c r="D90" s="926" t="str">
        <f>+NOMINA!O83</f>
        <v>Analista de Procesamiento de Datos I</v>
      </c>
      <c r="E90" s="929">
        <f>+NOMINA!H83</f>
        <v>43556</v>
      </c>
      <c r="F90" s="930">
        <f>+NOMINA!BR83</f>
        <v>49.88</v>
      </c>
      <c r="G90" s="930">
        <f>+NOMINA!BS83</f>
        <v>11.09</v>
      </c>
      <c r="H90" s="599"/>
      <c r="I90" s="600"/>
      <c r="J90" s="600"/>
      <c r="K90" s="600"/>
      <c r="L90" s="600"/>
    </row>
    <row r="91" spans="1:12" ht="15.75" customHeight="1" x14ac:dyDescent="0.25">
      <c r="A91" s="928">
        <f t="shared" si="1"/>
        <v>41</v>
      </c>
      <c r="B91" s="926">
        <f>+NOMINA!C84</f>
        <v>10404528</v>
      </c>
      <c r="C91" s="926" t="str">
        <f>+NOMINA!D84</f>
        <v>Perez Castellano Javier Horacio</v>
      </c>
      <c r="D91" s="926" t="str">
        <f>+NOMINA!O84</f>
        <v>Administrador IV</v>
      </c>
      <c r="E91" s="929">
        <f>+NOMINA!H84</f>
        <v>37622</v>
      </c>
      <c r="F91" s="930">
        <f>+NOMINA!BR84</f>
        <v>0</v>
      </c>
      <c r="G91" s="930">
        <f>+NOMINA!BS84</f>
        <v>0</v>
      </c>
      <c r="H91" s="599"/>
      <c r="I91" s="600"/>
      <c r="J91" s="600"/>
      <c r="K91" s="600"/>
      <c r="L91" s="600"/>
    </row>
    <row r="92" spans="1:12" ht="15.75" customHeight="1" x14ac:dyDescent="0.25">
      <c r="A92" s="928">
        <f t="shared" si="1"/>
        <v>42</v>
      </c>
      <c r="B92" s="926">
        <f>+NOMINA!C85</f>
        <v>10906110</v>
      </c>
      <c r="C92" s="926" t="str">
        <f>+NOMINA!D85</f>
        <v>Linares Prato Yraima Gregoria</v>
      </c>
      <c r="D92" s="926" t="str">
        <f>+NOMINA!O85</f>
        <v>Guia de Centro I</v>
      </c>
      <c r="E92" s="929">
        <f>+NOMINA!H85</f>
        <v>45292</v>
      </c>
      <c r="F92" s="930">
        <f>+NOMINA!BR85</f>
        <v>35.28</v>
      </c>
      <c r="G92" s="930">
        <f>+NOMINA!BS85</f>
        <v>7.84</v>
      </c>
      <c r="H92" s="599"/>
      <c r="I92" s="600"/>
      <c r="J92" s="600"/>
      <c r="K92" s="600"/>
      <c r="L92" s="600"/>
    </row>
    <row r="93" spans="1:12" ht="15.75" customHeight="1" x14ac:dyDescent="0.25">
      <c r="A93" s="928">
        <f t="shared" si="1"/>
        <v>43</v>
      </c>
      <c r="B93" s="926">
        <f>+NOMINA!C86</f>
        <v>10906923</v>
      </c>
      <c r="C93" s="926" t="str">
        <f>+NOMINA!D86</f>
        <v>Cruz de Rodriguez Yanet Coromoto</v>
      </c>
      <c r="D93" s="926" t="str">
        <f>+NOMINA!O86</f>
        <v>Guia de Centro I</v>
      </c>
      <c r="E93" s="929">
        <f>+NOMINA!H86</f>
        <v>44636</v>
      </c>
      <c r="F93" s="930">
        <f>+NOMINA!BR86</f>
        <v>45.87</v>
      </c>
      <c r="G93" s="930">
        <f>+NOMINA!BS86</f>
        <v>10.19</v>
      </c>
      <c r="H93" s="599"/>
      <c r="I93" s="600"/>
      <c r="J93" s="600"/>
      <c r="K93" s="600"/>
      <c r="L93" s="600"/>
    </row>
    <row r="94" spans="1:12" ht="15.75" customHeight="1" x14ac:dyDescent="0.25">
      <c r="A94" s="928">
        <f t="shared" si="1"/>
        <v>44</v>
      </c>
      <c r="B94" s="926">
        <f>+NOMINA!C87</f>
        <v>10908510</v>
      </c>
      <c r="C94" s="926" t="str">
        <f>+NOMINA!D87</f>
        <v>Castro de Vielma Yanira Rosa</v>
      </c>
      <c r="D94" s="926" t="str">
        <f>+NOMINA!O87</f>
        <v>Jefe de Centro</v>
      </c>
      <c r="E94" s="929">
        <f>+NOMINA!H87</f>
        <v>39874</v>
      </c>
      <c r="F94" s="930">
        <f>+NOMINA!BR87</f>
        <v>65.16</v>
      </c>
      <c r="G94" s="930">
        <f>+NOMINA!BS87</f>
        <v>14.48</v>
      </c>
      <c r="H94" s="599"/>
      <c r="I94" s="600"/>
      <c r="J94" s="600"/>
      <c r="K94" s="600"/>
      <c r="L94" s="600"/>
    </row>
    <row r="95" spans="1:12" ht="15.75" customHeight="1" x14ac:dyDescent="0.25">
      <c r="A95" s="928">
        <f t="shared" si="1"/>
        <v>45</v>
      </c>
      <c r="B95" s="926">
        <f>+NOMINA!C88</f>
        <v>10909245</v>
      </c>
      <c r="C95" s="926" t="str">
        <f>+NOMINA!D88</f>
        <v>Delduca Moreno Luisa</v>
      </c>
      <c r="D95" s="926" t="str">
        <f>+NOMINA!O88</f>
        <v>Guia de Centro II</v>
      </c>
      <c r="E95" s="929">
        <f>+NOMINA!H88</f>
        <v>36054</v>
      </c>
      <c r="F95" s="930">
        <f>+NOMINA!BR88</f>
        <v>69.08</v>
      </c>
      <c r="G95" s="930">
        <f>+NOMINA!BS88</f>
        <v>15.35</v>
      </c>
      <c r="H95" s="599"/>
      <c r="I95" s="600"/>
      <c r="J95" s="600"/>
      <c r="K95" s="600"/>
      <c r="L95" s="600"/>
    </row>
    <row r="96" spans="1:12" ht="15.75" customHeight="1" x14ac:dyDescent="0.25">
      <c r="A96" s="928">
        <f t="shared" si="1"/>
        <v>46</v>
      </c>
      <c r="B96" s="926">
        <f>+NOMINA!C89</f>
        <v>10910698</v>
      </c>
      <c r="C96" s="926" t="str">
        <f>+NOMINA!D89</f>
        <v>Rangel Briceño Marcial Segundo</v>
      </c>
      <c r="D96" s="926" t="str">
        <f>+NOMINA!O89</f>
        <v>Asistente Administrativo II</v>
      </c>
      <c r="E96" s="929">
        <f>+NOMINA!H89</f>
        <v>43891</v>
      </c>
      <c r="F96" s="930">
        <f>+NOMINA!BR89</f>
        <v>29.86</v>
      </c>
      <c r="G96" s="930">
        <f>+NOMINA!BS89</f>
        <v>6.63</v>
      </c>
      <c r="H96" s="599"/>
      <c r="I96" s="600"/>
      <c r="J96" s="600"/>
      <c r="K96" s="600"/>
      <c r="L96" s="600"/>
    </row>
    <row r="97" spans="1:12" ht="15.75" customHeight="1" x14ac:dyDescent="0.25">
      <c r="A97" s="928">
        <f t="shared" si="1"/>
        <v>47</v>
      </c>
      <c r="B97" s="926">
        <f>+NOMINA!C90</f>
        <v>10912595</v>
      </c>
      <c r="C97" s="926" t="str">
        <f>+NOMINA!D90</f>
        <v>Delfin Bustos Jose Hercilio</v>
      </c>
      <c r="D97" s="926" t="str">
        <f>+NOMINA!O90</f>
        <v>Guia de Centro II</v>
      </c>
      <c r="E97" s="929">
        <f>+NOMINA!H90</f>
        <v>36039</v>
      </c>
      <c r="F97" s="930">
        <f>+NOMINA!BR90</f>
        <v>0</v>
      </c>
      <c r="G97" s="930">
        <f>+NOMINA!BS90</f>
        <v>0</v>
      </c>
      <c r="H97" s="599"/>
      <c r="I97" s="600"/>
      <c r="J97" s="600"/>
      <c r="K97" s="600"/>
      <c r="L97" s="600"/>
    </row>
    <row r="98" spans="1:12" ht="15.75" customHeight="1" x14ac:dyDescent="0.25">
      <c r="A98" s="928">
        <f t="shared" si="1"/>
        <v>48</v>
      </c>
      <c r="B98" s="926">
        <f>+NOMINA!C91</f>
        <v>10913178</v>
      </c>
      <c r="C98" s="926" t="str">
        <f>+NOMINA!D91</f>
        <v>Garcia Moreno Iris Josefina</v>
      </c>
      <c r="D98" s="926" t="str">
        <f>+NOMINA!O91</f>
        <v>Asistente de Servicio Social</v>
      </c>
      <c r="E98" s="929">
        <f>+NOMINA!H91</f>
        <v>44805</v>
      </c>
      <c r="F98" s="930">
        <f>+NOMINA!BR91</f>
        <v>34.06</v>
      </c>
      <c r="G98" s="930">
        <f>+NOMINA!BS91</f>
        <v>7.57</v>
      </c>
      <c r="H98" s="599"/>
      <c r="I98" s="600"/>
      <c r="J98" s="600"/>
      <c r="K98" s="600"/>
      <c r="L98" s="600"/>
    </row>
    <row r="99" spans="1:12" ht="15.75" customHeight="1" x14ac:dyDescent="0.25">
      <c r="A99" s="928">
        <f t="shared" si="1"/>
        <v>49</v>
      </c>
      <c r="B99" s="926">
        <f>+NOMINA!C92</f>
        <v>10913637</v>
      </c>
      <c r="C99" s="926" t="str">
        <f>+NOMINA!D92</f>
        <v>Angarita Hernandez Ana del Carmen</v>
      </c>
      <c r="D99" s="926" t="str">
        <f>+NOMINA!O92</f>
        <v>Guia de Centro II</v>
      </c>
      <c r="E99" s="929">
        <f>+NOMINA!H92</f>
        <v>40664</v>
      </c>
      <c r="F99" s="930">
        <f>+NOMINA!BR92</f>
        <v>77.62</v>
      </c>
      <c r="G99" s="930">
        <f>+NOMINA!BS92</f>
        <v>17.25</v>
      </c>
      <c r="H99" s="599"/>
      <c r="I99" s="600"/>
      <c r="J99" s="600"/>
      <c r="K99" s="600"/>
      <c r="L99" s="600"/>
    </row>
    <row r="100" spans="1:12" ht="15.75" customHeight="1" x14ac:dyDescent="0.25">
      <c r="A100" s="928">
        <f t="shared" si="1"/>
        <v>50</v>
      </c>
      <c r="B100" s="926">
        <f>+NOMINA!C93</f>
        <v>10915223</v>
      </c>
      <c r="C100" s="926" t="str">
        <f>+NOMINA!D93</f>
        <v>Contreras Rojo Gerardo Alexander</v>
      </c>
      <c r="D100" s="926" t="str">
        <f>+NOMINA!O93</f>
        <v>Tutor Facilitador III</v>
      </c>
      <c r="E100" s="929">
        <f>+NOMINA!H93</f>
        <v>35339</v>
      </c>
      <c r="F100" s="930">
        <f>+NOMINA!BR93</f>
        <v>75.819999999999993</v>
      </c>
      <c r="G100" s="930">
        <f>+NOMINA!BS93</f>
        <v>16.850000000000001</v>
      </c>
      <c r="H100" s="599"/>
      <c r="I100" s="600"/>
      <c r="J100" s="600"/>
      <c r="K100" s="600"/>
      <c r="L100" s="600"/>
    </row>
    <row r="101" spans="1:12" ht="15.75" customHeight="1" x14ac:dyDescent="0.25">
      <c r="A101" s="928">
        <f t="shared" si="1"/>
        <v>51</v>
      </c>
      <c r="B101" s="926">
        <f>+NOMINA!C94</f>
        <v>10915384</v>
      </c>
      <c r="C101" s="926" t="str">
        <f>+NOMINA!D94</f>
        <v>Rojas Hernandez Morela del Carmen</v>
      </c>
      <c r="D101" s="926" t="str">
        <f>+NOMINA!O94</f>
        <v>Guia de Centro II</v>
      </c>
      <c r="E101" s="929">
        <f>+NOMINA!H94</f>
        <v>43147</v>
      </c>
      <c r="F101" s="930">
        <f>+NOMINA!BR94</f>
        <v>59.51</v>
      </c>
      <c r="G101" s="930">
        <f>+NOMINA!BS94</f>
        <v>13.22</v>
      </c>
      <c r="H101" s="599"/>
      <c r="I101" s="600"/>
      <c r="J101" s="600"/>
      <c r="K101" s="600"/>
      <c r="L101" s="600"/>
    </row>
    <row r="102" spans="1:12" ht="15.75" customHeight="1" x14ac:dyDescent="0.25">
      <c r="A102" s="928">
        <f t="shared" si="1"/>
        <v>52</v>
      </c>
      <c r="B102" s="926">
        <f>+NOMINA!C95</f>
        <v>10915597</v>
      </c>
      <c r="C102" s="926" t="str">
        <f>+NOMINA!D95</f>
        <v>Carrillo Altuve Maria Mercedes</v>
      </c>
      <c r="D102" s="926" t="str">
        <f>+NOMINA!O95</f>
        <v>Guia de Centro I</v>
      </c>
      <c r="E102" s="929">
        <f>+NOMINA!H95</f>
        <v>44501</v>
      </c>
      <c r="F102" s="930">
        <f>+NOMINA!BR95</f>
        <v>67.2</v>
      </c>
      <c r="G102" s="930">
        <f>+NOMINA!BS95</f>
        <v>14.93</v>
      </c>
      <c r="H102" s="599"/>
      <c r="I102" s="600"/>
      <c r="J102" s="600"/>
      <c r="K102" s="600"/>
      <c r="L102" s="600"/>
    </row>
    <row r="103" spans="1:12" ht="15.75" customHeight="1" x14ac:dyDescent="0.25">
      <c r="A103" s="928">
        <f t="shared" si="1"/>
        <v>53</v>
      </c>
      <c r="B103" s="926">
        <f>+NOMINA!C96</f>
        <v>11128954</v>
      </c>
      <c r="C103" s="926" t="str">
        <f>+NOMINA!D96</f>
        <v>Soto Lopez Rafael Maria</v>
      </c>
      <c r="D103" s="926" t="str">
        <f>+NOMINA!O96</f>
        <v>Guia de Centro I</v>
      </c>
      <c r="E103" s="929">
        <f>+NOMINA!H96</f>
        <v>45170</v>
      </c>
      <c r="F103" s="930">
        <f>+NOMINA!BR96</f>
        <v>71.099999999999994</v>
      </c>
      <c r="G103" s="930">
        <f>+NOMINA!BS96</f>
        <v>15.8</v>
      </c>
      <c r="H103" s="599"/>
      <c r="I103" s="600"/>
      <c r="J103" s="600"/>
      <c r="K103" s="600"/>
      <c r="L103" s="600"/>
    </row>
    <row r="104" spans="1:12" ht="15.75" customHeight="1" x14ac:dyDescent="0.25">
      <c r="A104" s="928">
        <f t="shared" si="1"/>
        <v>54</v>
      </c>
      <c r="B104" s="926">
        <f>+NOMINA!C97</f>
        <v>11132900</v>
      </c>
      <c r="C104" s="926" t="str">
        <f>+NOMINA!D97</f>
        <v>Morillo Valero Ender Ramon</v>
      </c>
      <c r="D104" s="926" t="str">
        <f>+NOMINA!O97</f>
        <v>Guia de Centro I</v>
      </c>
      <c r="E104" s="929">
        <f>+NOMINA!H97</f>
        <v>44866</v>
      </c>
      <c r="F104" s="930">
        <f>+NOMINA!BR97</f>
        <v>52.79</v>
      </c>
      <c r="G104" s="930">
        <f>+NOMINA!BS97</f>
        <v>11.73</v>
      </c>
      <c r="H104" s="599"/>
      <c r="I104" s="600"/>
      <c r="J104" s="600"/>
      <c r="K104" s="600"/>
      <c r="L104" s="600"/>
    </row>
    <row r="105" spans="1:12" ht="15.75" customHeight="1" x14ac:dyDescent="0.25">
      <c r="A105" s="928">
        <f t="shared" si="1"/>
        <v>55</v>
      </c>
      <c r="B105" s="926">
        <f>+NOMINA!C98</f>
        <v>11132943</v>
      </c>
      <c r="C105" s="926" t="str">
        <f>+NOMINA!D98</f>
        <v>Materano Delgado Yoleida Josefina</v>
      </c>
      <c r="D105" s="926" t="str">
        <f>+NOMINA!O98</f>
        <v>Guia de Centro II</v>
      </c>
      <c r="E105" s="929">
        <f>+NOMINA!H98</f>
        <v>39738</v>
      </c>
      <c r="F105" s="930">
        <f>+NOMINA!BR98</f>
        <v>35.36</v>
      </c>
      <c r="G105" s="930">
        <f>+NOMINA!BS98</f>
        <v>7.86</v>
      </c>
      <c r="H105" s="599"/>
      <c r="I105" s="600"/>
      <c r="J105" s="600"/>
      <c r="K105" s="600"/>
      <c r="L105" s="600"/>
    </row>
    <row r="106" spans="1:12" ht="15.75" customHeight="1" x14ac:dyDescent="0.25">
      <c r="A106" s="928">
        <f t="shared" si="1"/>
        <v>56</v>
      </c>
      <c r="B106" s="926">
        <f>+NOMINA!C99</f>
        <v>11132979</v>
      </c>
      <c r="C106" s="926" t="str">
        <f>+NOMINA!D99</f>
        <v>Olivar Santana Maria Valbina</v>
      </c>
      <c r="D106" s="926" t="str">
        <f>+NOMINA!O99</f>
        <v>Guia de Centro II</v>
      </c>
      <c r="E106" s="929">
        <f>+NOMINA!H99</f>
        <v>44348</v>
      </c>
      <c r="F106" s="930">
        <f>+NOMINA!BR99</f>
        <v>81.569999999999993</v>
      </c>
      <c r="G106" s="930">
        <f>+NOMINA!BS99</f>
        <v>18.13</v>
      </c>
      <c r="H106" s="599"/>
      <c r="I106" s="600"/>
      <c r="J106" s="600"/>
      <c r="K106" s="600"/>
      <c r="L106" s="600"/>
    </row>
    <row r="107" spans="1:12" ht="15.75" customHeight="1" x14ac:dyDescent="0.25">
      <c r="A107" s="928">
        <f t="shared" si="1"/>
        <v>57</v>
      </c>
      <c r="B107" s="926">
        <f>+NOMINA!C100</f>
        <v>11257247</v>
      </c>
      <c r="C107" s="926" t="str">
        <f>+NOMINA!D100</f>
        <v>Chacin Sanchez Eduard Fabian</v>
      </c>
      <c r="D107" s="926" t="str">
        <f>+NOMINA!O100</f>
        <v>DELEGADO PRUEBA III</v>
      </c>
      <c r="E107" s="929">
        <f>+NOMINA!H100</f>
        <v>42492</v>
      </c>
      <c r="F107" s="930">
        <f>+NOMINA!BR100</f>
        <v>58.55</v>
      </c>
      <c r="G107" s="930">
        <f>+NOMINA!BS100</f>
        <v>13.01</v>
      </c>
      <c r="H107" s="599"/>
      <c r="I107" s="600"/>
      <c r="J107" s="600"/>
      <c r="K107" s="600"/>
      <c r="L107" s="600"/>
    </row>
    <row r="108" spans="1:12" ht="15.75" customHeight="1" x14ac:dyDescent="0.25">
      <c r="A108" s="928">
        <f t="shared" si="1"/>
        <v>58</v>
      </c>
      <c r="B108" s="926">
        <f>+NOMINA!C101</f>
        <v>11318142</v>
      </c>
      <c r="C108" s="926" t="str">
        <f>+NOMINA!D101</f>
        <v>Perdomo Rosales Modesto Ramon</v>
      </c>
      <c r="D108" s="926" t="str">
        <f>+NOMINA!O101</f>
        <v>Almacenista II</v>
      </c>
      <c r="E108" s="929">
        <f>+NOMINA!H101</f>
        <v>43983</v>
      </c>
      <c r="F108" s="930">
        <f>+NOMINA!BR101</f>
        <v>29.86</v>
      </c>
      <c r="G108" s="930">
        <f>+NOMINA!BS101</f>
        <v>6.63</v>
      </c>
      <c r="H108" s="599"/>
      <c r="I108" s="600"/>
      <c r="J108" s="600"/>
      <c r="K108" s="600"/>
      <c r="L108" s="600"/>
    </row>
    <row r="109" spans="1:12" ht="15.75" customHeight="1" x14ac:dyDescent="0.25">
      <c r="A109" s="928">
        <f t="shared" si="1"/>
        <v>59</v>
      </c>
      <c r="B109" s="926">
        <f>+NOMINA!C102</f>
        <v>11318697</v>
      </c>
      <c r="C109" s="926" t="str">
        <f>+NOMINA!D102</f>
        <v>Sardi Hernandez Gladis Josefina</v>
      </c>
      <c r="D109" s="926" t="str">
        <f>+NOMINA!O102</f>
        <v>Asistente Administrativo III</v>
      </c>
      <c r="E109" s="929">
        <f>+NOMINA!H102</f>
        <v>39539</v>
      </c>
      <c r="F109" s="930">
        <f>+NOMINA!BR102</f>
        <v>35.65</v>
      </c>
      <c r="G109" s="930">
        <f>+NOMINA!BS102</f>
        <v>7.92</v>
      </c>
      <c r="H109" s="599"/>
      <c r="I109" s="600"/>
      <c r="J109" s="600"/>
      <c r="K109" s="600"/>
      <c r="L109" s="600"/>
    </row>
    <row r="110" spans="1:12" ht="15.75" customHeight="1" x14ac:dyDescent="0.25">
      <c r="A110" s="928">
        <f t="shared" si="1"/>
        <v>60</v>
      </c>
      <c r="B110" s="926">
        <f>+NOMINA!C103</f>
        <v>11319154</v>
      </c>
      <c r="C110" s="926" t="str">
        <f>+NOMINA!D103</f>
        <v>Peña Villegas Lisette Carolina</v>
      </c>
      <c r="D110" s="926" t="str">
        <f>+NOMINA!O103</f>
        <v>Guia de Centro II</v>
      </c>
      <c r="E110" s="929">
        <f>+NOMINA!H103</f>
        <v>34428</v>
      </c>
      <c r="F110" s="930">
        <f>+NOMINA!BR103</f>
        <v>75.819999999999993</v>
      </c>
      <c r="G110" s="930">
        <f>+NOMINA!BS103</f>
        <v>16.850000000000001</v>
      </c>
      <c r="H110" s="599"/>
      <c r="I110" s="600"/>
      <c r="J110" s="600"/>
      <c r="K110" s="600"/>
      <c r="L110" s="600"/>
    </row>
    <row r="111" spans="1:12" ht="15.75" customHeight="1" x14ac:dyDescent="0.25">
      <c r="A111" s="928">
        <f t="shared" si="1"/>
        <v>61</v>
      </c>
      <c r="B111" s="926">
        <f>+NOMINA!C104</f>
        <v>11320533</v>
      </c>
      <c r="C111" s="926" t="str">
        <f>+NOMINA!D104</f>
        <v>Suarez Chiquin Yaritza Josefina</v>
      </c>
      <c r="D111" s="926" t="str">
        <f>+NOMINA!O104</f>
        <v>Administrador IV</v>
      </c>
      <c r="E111" s="929">
        <f>+NOMINA!H104</f>
        <v>37629</v>
      </c>
      <c r="F111" s="930">
        <f>+NOMINA!BR104</f>
        <v>0</v>
      </c>
      <c r="G111" s="930">
        <f>+NOMINA!BS104</f>
        <v>0</v>
      </c>
      <c r="H111" s="599"/>
      <c r="I111" s="600"/>
      <c r="J111" s="600"/>
      <c r="K111" s="600"/>
      <c r="L111" s="600"/>
    </row>
    <row r="112" spans="1:12" ht="15.75" customHeight="1" x14ac:dyDescent="0.25">
      <c r="A112" s="928">
        <f t="shared" si="1"/>
        <v>62</v>
      </c>
      <c r="B112" s="926">
        <f>+NOMINA!C105</f>
        <v>11322871</v>
      </c>
      <c r="C112" s="926" t="str">
        <f>+NOMINA!D105</f>
        <v>Rivas Albarran Martin Antonio</v>
      </c>
      <c r="D112" s="926" t="str">
        <f>+NOMINA!O105</f>
        <v>Tutor Facilitador III</v>
      </c>
      <c r="E112" s="929">
        <f>+NOMINA!H105</f>
        <v>38718</v>
      </c>
      <c r="F112" s="930">
        <f>+NOMINA!BR105</f>
        <v>63.22</v>
      </c>
      <c r="G112" s="930">
        <f>+NOMINA!BS105</f>
        <v>14.05</v>
      </c>
      <c r="H112" s="599"/>
      <c r="I112" s="600"/>
      <c r="J112" s="600"/>
      <c r="K112" s="600"/>
      <c r="L112" s="600"/>
    </row>
    <row r="113" spans="1:12" ht="15.75" customHeight="1" x14ac:dyDescent="0.25">
      <c r="A113" s="928">
        <f t="shared" si="1"/>
        <v>63</v>
      </c>
      <c r="B113" s="926">
        <f>+NOMINA!C106</f>
        <v>11616673</v>
      </c>
      <c r="C113" s="926" t="str">
        <f>+NOMINA!D106</f>
        <v>Perdomo Orlando Jose</v>
      </c>
      <c r="D113" s="926" t="str">
        <f>+NOMINA!O106</f>
        <v>Tutor Facilitador III</v>
      </c>
      <c r="E113" s="929">
        <f>+NOMINA!H106</f>
        <v>35066</v>
      </c>
      <c r="F113" s="930">
        <f>+NOMINA!BR106</f>
        <v>65.31</v>
      </c>
      <c r="G113" s="930">
        <f>+NOMINA!BS106</f>
        <v>14.51</v>
      </c>
      <c r="H113" s="599"/>
      <c r="I113" s="600"/>
      <c r="J113" s="600"/>
      <c r="K113" s="600"/>
      <c r="L113" s="600"/>
    </row>
    <row r="114" spans="1:12" ht="15.75" customHeight="1" x14ac:dyDescent="0.25">
      <c r="A114" s="928">
        <f t="shared" si="1"/>
        <v>64</v>
      </c>
      <c r="B114" s="926">
        <f>+NOMINA!C107</f>
        <v>11734553</v>
      </c>
      <c r="C114" s="926" t="str">
        <f>+NOMINA!D107</f>
        <v>Teran Torres Olga del Carmen</v>
      </c>
      <c r="D114" s="926" t="str">
        <f>+NOMINA!O107</f>
        <v>Tutor Facilitador III</v>
      </c>
      <c r="E114" s="929">
        <f>+NOMINA!H107</f>
        <v>43206</v>
      </c>
      <c r="F114" s="930">
        <f>+NOMINA!BR107</f>
        <v>64.599999999999994</v>
      </c>
      <c r="G114" s="930">
        <f>+NOMINA!BS107</f>
        <v>14.36</v>
      </c>
      <c r="H114" s="599"/>
      <c r="I114" s="600"/>
      <c r="J114" s="600"/>
      <c r="K114" s="600"/>
      <c r="L114" s="600"/>
    </row>
    <row r="115" spans="1:12" ht="15.75" customHeight="1" x14ac:dyDescent="0.25">
      <c r="A115" s="928">
        <f t="shared" si="1"/>
        <v>65</v>
      </c>
      <c r="B115" s="926">
        <f>+NOMINA!C108</f>
        <v>11894534</v>
      </c>
      <c r="C115" s="926" t="str">
        <f>+NOMINA!D108</f>
        <v>Olmos Rodriguez Eberto de Jesus</v>
      </c>
      <c r="D115" s="926" t="str">
        <f>+NOMINA!O108</f>
        <v>Administrador Jefe</v>
      </c>
      <c r="E115" s="929">
        <f>+NOMINA!H108</f>
        <v>40909</v>
      </c>
      <c r="F115" s="930">
        <f>+NOMINA!BR108</f>
        <v>0</v>
      </c>
      <c r="G115" s="930">
        <f>+NOMINA!BS108</f>
        <v>0</v>
      </c>
      <c r="H115" s="599"/>
      <c r="I115" s="600"/>
      <c r="J115" s="600"/>
      <c r="K115" s="600"/>
      <c r="L115" s="600"/>
    </row>
    <row r="116" spans="1:12" ht="15.75" customHeight="1" x14ac:dyDescent="0.25">
      <c r="A116" s="928">
        <f t="shared" si="1"/>
        <v>66</v>
      </c>
      <c r="B116" s="926">
        <f>+NOMINA!C109</f>
        <v>11895772</v>
      </c>
      <c r="C116" s="926" t="str">
        <f>+NOMINA!D109</f>
        <v>Rangel Rivas Ildemaro</v>
      </c>
      <c r="D116" s="926" t="str">
        <f>+NOMINA!O109</f>
        <v>Entrenador Deportivo II</v>
      </c>
      <c r="E116" s="929">
        <f>+NOMINA!H109</f>
        <v>44743</v>
      </c>
      <c r="F116" s="930">
        <f>+NOMINA!BR109</f>
        <v>0</v>
      </c>
      <c r="G116" s="930">
        <f>+NOMINA!BS109</f>
        <v>0</v>
      </c>
      <c r="H116" s="599"/>
      <c r="I116" s="600"/>
      <c r="J116" s="600"/>
      <c r="K116" s="600"/>
      <c r="L116" s="600"/>
    </row>
    <row r="117" spans="1:12" ht="15.75" customHeight="1" x14ac:dyDescent="0.25">
      <c r="A117" s="928">
        <f t="shared" ref="A117:A180" si="2">+A116+1</f>
        <v>67</v>
      </c>
      <c r="B117" s="926">
        <f>+NOMINA!C110</f>
        <v>11898486</v>
      </c>
      <c r="C117" s="926" t="str">
        <f>+NOMINA!D110</f>
        <v>Linares Hernandez Thaiz Yoconda</v>
      </c>
      <c r="D117" s="926" t="str">
        <f>+NOMINA!O110</f>
        <v>Asistente Administrativo III</v>
      </c>
      <c r="E117" s="929">
        <f>+NOMINA!H110</f>
        <v>40065</v>
      </c>
      <c r="F117" s="930">
        <f>+NOMINA!BR110</f>
        <v>49.88</v>
      </c>
      <c r="G117" s="930">
        <f>+NOMINA!BS110</f>
        <v>11.09</v>
      </c>
      <c r="H117" s="599"/>
      <c r="I117" s="600"/>
      <c r="J117" s="600"/>
      <c r="K117" s="600"/>
      <c r="L117" s="600"/>
    </row>
    <row r="118" spans="1:12" ht="15.75" customHeight="1" x14ac:dyDescent="0.25">
      <c r="A118" s="928">
        <f t="shared" si="2"/>
        <v>68</v>
      </c>
      <c r="B118" s="926">
        <f>+NOMINA!C111</f>
        <v>12040792</v>
      </c>
      <c r="C118" s="926" t="str">
        <f>+NOMINA!D111</f>
        <v>Sulbaran Campos Jesus Alberto</v>
      </c>
      <c r="D118" s="926" t="str">
        <f>+NOMINA!O111</f>
        <v>Supervisor de Servicios Generales III</v>
      </c>
      <c r="E118" s="929">
        <f>+NOMINA!H111</f>
        <v>43236</v>
      </c>
      <c r="F118" s="930">
        <f>+NOMINA!BR111</f>
        <v>39.450000000000003</v>
      </c>
      <c r="G118" s="930">
        <f>+NOMINA!BS111</f>
        <v>8.77</v>
      </c>
      <c r="H118" s="599"/>
      <c r="I118" s="600"/>
      <c r="J118" s="600"/>
      <c r="K118" s="600"/>
      <c r="L118" s="600"/>
    </row>
    <row r="119" spans="1:12" ht="15.75" customHeight="1" x14ac:dyDescent="0.25">
      <c r="A119" s="928">
        <f t="shared" si="2"/>
        <v>69</v>
      </c>
      <c r="B119" s="926">
        <f>+NOMINA!C112</f>
        <v>12042855</v>
      </c>
      <c r="C119" s="926" t="str">
        <f>+NOMINA!D112</f>
        <v>Alburguez  Manzanilla Neira Josefina</v>
      </c>
      <c r="D119" s="926" t="str">
        <f>+NOMINA!O112</f>
        <v>Enfermera Jefe I</v>
      </c>
      <c r="E119" s="929">
        <f>+NOMINA!H112</f>
        <v>44028</v>
      </c>
      <c r="F119" s="930">
        <f>+NOMINA!BR112</f>
        <v>46.72</v>
      </c>
      <c r="G119" s="930">
        <f>+NOMINA!BS112</f>
        <v>10.38</v>
      </c>
      <c r="H119" s="599"/>
      <c r="I119" s="600"/>
      <c r="J119" s="600"/>
      <c r="K119" s="600"/>
      <c r="L119" s="600"/>
    </row>
    <row r="120" spans="1:12" ht="15.75" customHeight="1" x14ac:dyDescent="0.25">
      <c r="A120" s="928">
        <f t="shared" si="2"/>
        <v>70</v>
      </c>
      <c r="B120" s="926">
        <f>+NOMINA!C113</f>
        <v>12045335</v>
      </c>
      <c r="C120" s="926" t="str">
        <f>+NOMINA!D113</f>
        <v>Gonzalez De Briceño Yasmin Coromoto</v>
      </c>
      <c r="D120" s="926" t="str">
        <f>+NOMINA!O113</f>
        <v>Guia de Centro I</v>
      </c>
      <c r="E120" s="929">
        <f>+NOMINA!H113</f>
        <v>45505</v>
      </c>
      <c r="F120" s="930">
        <f>+NOMINA!BR113</f>
        <v>63.87</v>
      </c>
      <c r="G120" s="930">
        <f>+NOMINA!BS113</f>
        <v>14.19</v>
      </c>
      <c r="H120" s="599"/>
      <c r="I120" s="600"/>
      <c r="J120" s="600"/>
      <c r="K120" s="600"/>
      <c r="L120" s="600"/>
    </row>
    <row r="121" spans="1:12" ht="15.75" customHeight="1" x14ac:dyDescent="0.25">
      <c r="A121" s="928">
        <f t="shared" si="2"/>
        <v>71</v>
      </c>
      <c r="B121" s="926">
        <f>+NOMINA!C114</f>
        <v>12045360</v>
      </c>
      <c r="C121" s="926" t="str">
        <f>+NOMINA!D114</f>
        <v>Montilla Lamus Ana Cristina</v>
      </c>
      <c r="D121" s="926" t="str">
        <f>+NOMINA!O114</f>
        <v>Guia de Centro I</v>
      </c>
      <c r="E121" s="929">
        <f>+NOMINA!H114</f>
        <v>39238</v>
      </c>
      <c r="F121" s="930">
        <f>+NOMINA!BR114</f>
        <v>37.369999999999997</v>
      </c>
      <c r="G121" s="930">
        <f>+NOMINA!BS114</f>
        <v>8.3000000000000007</v>
      </c>
      <c r="H121" s="599"/>
      <c r="I121" s="600"/>
      <c r="J121" s="600"/>
      <c r="K121" s="600"/>
      <c r="L121" s="600"/>
    </row>
    <row r="122" spans="1:12" ht="15.75" customHeight="1" x14ac:dyDescent="0.25">
      <c r="A122" s="928">
        <f t="shared" si="2"/>
        <v>72</v>
      </c>
      <c r="B122" s="926">
        <f>+NOMINA!C115</f>
        <v>12045504</v>
      </c>
      <c r="C122" s="926" t="str">
        <f>+NOMINA!D115</f>
        <v>Sanchez Olivar Denis Josefina</v>
      </c>
      <c r="D122" s="926" t="str">
        <f>+NOMINA!O115</f>
        <v>Asistente Administrativo II</v>
      </c>
      <c r="E122" s="929">
        <f>+NOMINA!H115</f>
        <v>43862</v>
      </c>
      <c r="F122" s="930">
        <f>+NOMINA!BR115</f>
        <v>32.450000000000003</v>
      </c>
      <c r="G122" s="930">
        <f>+NOMINA!BS115</f>
        <v>7.21</v>
      </c>
      <c r="H122" s="599"/>
      <c r="I122" s="600"/>
      <c r="J122" s="600"/>
      <c r="K122" s="600"/>
      <c r="L122" s="600"/>
    </row>
    <row r="123" spans="1:12" ht="15.75" customHeight="1" x14ac:dyDescent="0.25">
      <c r="A123" s="928">
        <f t="shared" si="2"/>
        <v>73</v>
      </c>
      <c r="B123" s="926">
        <f>+NOMINA!C116</f>
        <v>12045934</v>
      </c>
      <c r="C123" s="926" t="str">
        <f>+NOMINA!D116</f>
        <v>Mendez Olmos Tulio Enrique</v>
      </c>
      <c r="D123" s="926" t="str">
        <f>+NOMINA!O116</f>
        <v>Especialista en Informatica I</v>
      </c>
      <c r="E123" s="929">
        <f>+NOMINA!H116</f>
        <v>36342</v>
      </c>
      <c r="F123" s="930">
        <f>+NOMINA!BR116</f>
        <v>65.31</v>
      </c>
      <c r="G123" s="930">
        <f>+NOMINA!BS116</f>
        <v>14.51</v>
      </c>
      <c r="H123" s="599"/>
      <c r="I123" s="600"/>
      <c r="J123" s="600"/>
      <c r="K123" s="600"/>
      <c r="L123" s="600"/>
    </row>
    <row r="124" spans="1:12" ht="15.75" customHeight="1" x14ac:dyDescent="0.25">
      <c r="A124" s="928">
        <f t="shared" si="2"/>
        <v>74</v>
      </c>
      <c r="B124" s="926">
        <f>+NOMINA!C117</f>
        <v>12457981</v>
      </c>
      <c r="C124" s="926" t="str">
        <f>+NOMINA!D117</f>
        <v>Escalona Ruiz Luis Alberto</v>
      </c>
      <c r="D124" s="926" t="str">
        <f>+NOMINA!O117</f>
        <v>Medico Especialista II</v>
      </c>
      <c r="E124" s="929">
        <f>+NOMINA!H117</f>
        <v>44348</v>
      </c>
      <c r="F124" s="930">
        <f>+NOMINA!BR117</f>
        <v>46.26</v>
      </c>
      <c r="G124" s="930">
        <f>+NOMINA!BS117</f>
        <v>10.28</v>
      </c>
      <c r="H124" s="599"/>
      <c r="I124" s="600"/>
      <c r="J124" s="600"/>
      <c r="K124" s="600"/>
      <c r="L124" s="600"/>
    </row>
    <row r="125" spans="1:12" ht="15.75" customHeight="1" x14ac:dyDescent="0.25">
      <c r="A125" s="928">
        <f t="shared" si="2"/>
        <v>75</v>
      </c>
      <c r="B125" s="926">
        <f>+NOMINA!C118</f>
        <v>12458811</v>
      </c>
      <c r="C125" s="926" t="str">
        <f>+NOMINA!D118</f>
        <v>Segovia Rondon Milagros del Valle</v>
      </c>
      <c r="D125" s="926" t="str">
        <f>+NOMINA!O118</f>
        <v>Analista de Presupuesto Jefe</v>
      </c>
      <c r="E125" s="929">
        <f>+NOMINA!H118</f>
        <v>39514</v>
      </c>
      <c r="F125" s="930">
        <f>+NOMINA!BR118</f>
        <v>74.7</v>
      </c>
      <c r="G125" s="930">
        <f>+NOMINA!BS118</f>
        <v>16.600000000000001</v>
      </c>
      <c r="H125" s="599"/>
      <c r="I125" s="600"/>
      <c r="J125" s="600"/>
      <c r="K125" s="600"/>
      <c r="L125" s="600"/>
    </row>
    <row r="126" spans="1:12" ht="15.75" customHeight="1" x14ac:dyDescent="0.25">
      <c r="A126" s="928">
        <f t="shared" si="2"/>
        <v>76</v>
      </c>
      <c r="B126" s="926">
        <f>+NOMINA!C119</f>
        <v>12458942</v>
      </c>
      <c r="C126" s="926" t="str">
        <f>+NOMINA!D119</f>
        <v>Mendoza Mendoza Mirian Del Milagro</v>
      </c>
      <c r="D126" s="926" t="str">
        <f>+NOMINA!O119</f>
        <v>Administrador Jefe</v>
      </c>
      <c r="E126" s="929">
        <f>+NOMINA!H119</f>
        <v>44424</v>
      </c>
      <c r="F126" s="930">
        <f>+NOMINA!BR119</f>
        <v>0</v>
      </c>
      <c r="G126" s="930">
        <f>+NOMINA!BS119</f>
        <v>0</v>
      </c>
      <c r="H126" s="599"/>
      <c r="I126" s="600"/>
      <c r="J126" s="600"/>
      <c r="K126" s="600"/>
      <c r="L126" s="600"/>
    </row>
    <row r="127" spans="1:12" ht="15.75" customHeight="1" x14ac:dyDescent="0.25">
      <c r="A127" s="928">
        <f t="shared" si="2"/>
        <v>77</v>
      </c>
      <c r="B127" s="926">
        <f>+NOMINA!C120</f>
        <v>12541044</v>
      </c>
      <c r="C127" s="926" t="str">
        <f>+NOMINA!D120</f>
        <v>Rojas Telles Lisbeth Josefina</v>
      </c>
      <c r="D127" s="926" t="str">
        <f>+NOMINA!O120</f>
        <v>Tutor Facilitador I</v>
      </c>
      <c r="E127" s="929">
        <f>+NOMINA!H120</f>
        <v>45597</v>
      </c>
      <c r="F127" s="930">
        <f>+NOMINA!BR120</f>
        <v>50.43</v>
      </c>
      <c r="G127" s="930">
        <f>+NOMINA!BS120</f>
        <v>11.21</v>
      </c>
      <c r="H127" s="599"/>
      <c r="I127" s="600"/>
      <c r="J127" s="600"/>
      <c r="K127" s="600"/>
      <c r="L127" s="600"/>
    </row>
    <row r="128" spans="1:12" ht="15.75" customHeight="1" x14ac:dyDescent="0.25">
      <c r="A128" s="928">
        <f t="shared" si="2"/>
        <v>78</v>
      </c>
      <c r="B128" s="926">
        <f>+NOMINA!C121</f>
        <v>12542413</v>
      </c>
      <c r="C128" s="926" t="str">
        <f>+NOMINA!D121</f>
        <v>Aponte Matheus Richard Alexander</v>
      </c>
      <c r="D128" s="926" t="str">
        <f>+NOMINA!O121</f>
        <v>Guia de Centro II</v>
      </c>
      <c r="E128" s="929">
        <f>+NOMINA!H121</f>
        <v>36434</v>
      </c>
      <c r="F128" s="930">
        <f>+NOMINA!BR121</f>
        <v>0</v>
      </c>
      <c r="G128" s="930">
        <f>+NOMINA!BS121</f>
        <v>0</v>
      </c>
      <c r="H128" s="599"/>
      <c r="I128" s="600"/>
      <c r="J128" s="600"/>
      <c r="K128" s="600"/>
      <c r="L128" s="600"/>
    </row>
    <row r="129" spans="1:12" ht="15.75" customHeight="1" x14ac:dyDescent="0.25">
      <c r="A129" s="928">
        <f t="shared" si="2"/>
        <v>79</v>
      </c>
      <c r="B129" s="926">
        <f>+NOMINA!C122</f>
        <v>12798604</v>
      </c>
      <c r="C129" s="926" t="str">
        <f>+NOMINA!D122</f>
        <v>Camacho Gomez Trina Margarita</v>
      </c>
      <c r="D129" s="926" t="str">
        <f>+NOMINA!O122</f>
        <v>Guia de Centro II</v>
      </c>
      <c r="E129" s="929">
        <f>+NOMINA!H122</f>
        <v>35384</v>
      </c>
      <c r="F129" s="930">
        <f>+NOMINA!BR122</f>
        <v>38.69</v>
      </c>
      <c r="G129" s="930">
        <f>+NOMINA!BS122</f>
        <v>8.6</v>
      </c>
      <c r="H129" s="599"/>
      <c r="I129" s="600"/>
      <c r="J129" s="600"/>
      <c r="K129" s="600"/>
      <c r="L129" s="600"/>
    </row>
    <row r="130" spans="1:12" ht="15.75" customHeight="1" x14ac:dyDescent="0.25">
      <c r="A130" s="928">
        <f t="shared" si="2"/>
        <v>80</v>
      </c>
      <c r="B130" s="926">
        <f>+NOMINA!C123</f>
        <v>12798736</v>
      </c>
      <c r="C130" s="926" t="str">
        <f>+NOMINA!D123</f>
        <v>Gonzalez Pabon Marianela</v>
      </c>
      <c r="D130" s="926" t="str">
        <f>+NOMINA!O123</f>
        <v>Analista de Personal VI</v>
      </c>
      <c r="E130" s="929">
        <f>+NOMINA!H123</f>
        <v>39479</v>
      </c>
      <c r="F130" s="930">
        <f>+NOMINA!BR123</f>
        <v>71.819999999999993</v>
      </c>
      <c r="G130" s="930">
        <f>+NOMINA!BS123</f>
        <v>15.96</v>
      </c>
      <c r="H130" s="599"/>
      <c r="I130" s="600"/>
      <c r="J130" s="600"/>
      <c r="K130" s="600"/>
      <c r="L130" s="600"/>
    </row>
    <row r="131" spans="1:12" ht="15.75" customHeight="1" x14ac:dyDescent="0.25">
      <c r="A131" s="928">
        <f t="shared" si="2"/>
        <v>81</v>
      </c>
      <c r="B131" s="926">
        <f>+NOMINA!C124</f>
        <v>12939010</v>
      </c>
      <c r="C131" s="926" t="str">
        <f>+NOMINA!D124</f>
        <v>Mendez de Viloria Yelitza del Valle</v>
      </c>
      <c r="D131" s="926" t="str">
        <f>+NOMINA!O124</f>
        <v>Asistente Administrativo III</v>
      </c>
      <c r="E131" s="929">
        <f>+NOMINA!H124</f>
        <v>42948</v>
      </c>
      <c r="F131" s="930">
        <f>+NOMINA!BR124</f>
        <v>48.03</v>
      </c>
      <c r="G131" s="930">
        <f>+NOMINA!BS124</f>
        <v>10.67</v>
      </c>
      <c r="H131" s="599"/>
      <c r="I131" s="600"/>
      <c r="J131" s="600"/>
      <c r="K131" s="600"/>
      <c r="L131" s="600"/>
    </row>
    <row r="132" spans="1:12" ht="15.75" customHeight="1" x14ac:dyDescent="0.25">
      <c r="A132" s="928">
        <f t="shared" si="2"/>
        <v>82</v>
      </c>
      <c r="B132" s="926">
        <f>+NOMINA!C125</f>
        <v>12941385</v>
      </c>
      <c r="C132" s="926" t="str">
        <f>+NOMINA!D125</f>
        <v>Torres de Gonzalez Milangela Maria</v>
      </c>
      <c r="D132" s="926" t="str">
        <f>+NOMINA!O125</f>
        <v>Tutor Facilitador III</v>
      </c>
      <c r="E132" s="929">
        <f>+NOMINA!H125</f>
        <v>42948</v>
      </c>
      <c r="F132" s="930">
        <f>+NOMINA!BR125</f>
        <v>56.21</v>
      </c>
      <c r="G132" s="930">
        <f>+NOMINA!BS125</f>
        <v>12.49</v>
      </c>
      <c r="H132" s="599"/>
      <c r="I132" s="600"/>
      <c r="J132" s="600"/>
      <c r="K132" s="600"/>
      <c r="L132" s="600"/>
    </row>
    <row r="133" spans="1:12" ht="15.75" customHeight="1" x14ac:dyDescent="0.25">
      <c r="A133" s="928">
        <f t="shared" si="2"/>
        <v>83</v>
      </c>
      <c r="B133" s="926">
        <f>+NOMINA!C126</f>
        <v>13117904</v>
      </c>
      <c r="C133" s="926" t="str">
        <f>+NOMINA!D126</f>
        <v>Villegas Jaime Antonio</v>
      </c>
      <c r="D133" s="926" t="str">
        <f>+NOMINA!O126</f>
        <v>Guia de Centro I</v>
      </c>
      <c r="E133" s="929">
        <f>+NOMINA!H126</f>
        <v>43693</v>
      </c>
      <c r="F133" s="930">
        <f>+NOMINA!BR126</f>
        <v>43.61</v>
      </c>
      <c r="G133" s="930">
        <f>+NOMINA!BS126</f>
        <v>9.69</v>
      </c>
      <c r="H133" s="599"/>
      <c r="I133" s="600"/>
      <c r="J133" s="600"/>
      <c r="K133" s="600"/>
      <c r="L133" s="600"/>
    </row>
    <row r="134" spans="1:12" ht="15.75" customHeight="1" x14ac:dyDescent="0.25">
      <c r="A134" s="928">
        <f t="shared" si="2"/>
        <v>84</v>
      </c>
      <c r="B134" s="926">
        <f>+NOMINA!C127</f>
        <v>13206767</v>
      </c>
      <c r="C134" s="926" t="str">
        <f>+NOMINA!D127</f>
        <v>Bastidas Guerra Soralis del Valle</v>
      </c>
      <c r="D134" s="926" t="str">
        <f>+NOMINA!O127</f>
        <v>Abogado I</v>
      </c>
      <c r="E134" s="929">
        <f>+NOMINA!H127</f>
        <v>44713</v>
      </c>
      <c r="F134" s="930">
        <f>+NOMINA!BR127</f>
        <v>0</v>
      </c>
      <c r="G134" s="930">
        <f>+NOMINA!BS127</f>
        <v>0</v>
      </c>
      <c r="H134" s="599"/>
      <c r="I134" s="600"/>
      <c r="J134" s="600"/>
      <c r="K134" s="600"/>
      <c r="L134" s="600"/>
    </row>
    <row r="135" spans="1:12" ht="15.75" customHeight="1" x14ac:dyDescent="0.25">
      <c r="A135" s="928">
        <f t="shared" si="2"/>
        <v>85</v>
      </c>
      <c r="B135" s="926">
        <f>+NOMINA!C128</f>
        <v>13207692</v>
      </c>
      <c r="C135" s="926" t="str">
        <f>+NOMINA!D128</f>
        <v>Macias Briceño Alejandra Coromoto</v>
      </c>
      <c r="D135" s="926" t="str">
        <f>+NOMINA!O128</f>
        <v>Administrador III</v>
      </c>
      <c r="E135" s="929">
        <f>+NOMINA!H128</f>
        <v>38504</v>
      </c>
      <c r="F135" s="930">
        <f>+NOMINA!BR128</f>
        <v>67.06</v>
      </c>
      <c r="G135" s="930">
        <f>+NOMINA!BS128</f>
        <v>14.9</v>
      </c>
      <c r="H135" s="599"/>
      <c r="I135" s="600"/>
      <c r="J135" s="600"/>
      <c r="K135" s="600"/>
      <c r="L135" s="600"/>
    </row>
    <row r="136" spans="1:12" ht="15.75" customHeight="1" x14ac:dyDescent="0.25">
      <c r="A136" s="928">
        <f t="shared" si="2"/>
        <v>86</v>
      </c>
      <c r="B136" s="926">
        <f>+NOMINA!C129</f>
        <v>13260050</v>
      </c>
      <c r="C136" s="926" t="str">
        <f>+NOMINA!D129</f>
        <v>Mendoza Vieras Maria Elena</v>
      </c>
      <c r="D136" s="926" t="str">
        <f>+NOMINA!O129</f>
        <v>ADMINISTRADOR III</v>
      </c>
      <c r="E136" s="929">
        <f>+NOMINA!H129</f>
        <v>45444</v>
      </c>
      <c r="F136" s="930">
        <f>+NOMINA!BR129</f>
        <v>59.2</v>
      </c>
      <c r="G136" s="930">
        <f>+NOMINA!BS129</f>
        <v>13.15</v>
      </c>
      <c r="H136" s="599"/>
      <c r="I136" s="600"/>
      <c r="J136" s="600"/>
      <c r="K136" s="600"/>
      <c r="L136" s="600"/>
    </row>
    <row r="137" spans="1:12" ht="15.75" customHeight="1" x14ac:dyDescent="0.25">
      <c r="A137" s="928">
        <f t="shared" si="2"/>
        <v>87</v>
      </c>
      <c r="B137" s="926">
        <f>+NOMINA!C130</f>
        <v>13261035</v>
      </c>
      <c r="C137" s="926" t="str">
        <f>+NOMINA!D130</f>
        <v>Henry Peña Yokary Nakary</v>
      </c>
      <c r="D137" s="926" t="str">
        <f>+NOMINA!O130</f>
        <v>Entrenador Deportivo V</v>
      </c>
      <c r="E137" s="929">
        <f>+NOMINA!H130</f>
        <v>43770</v>
      </c>
      <c r="F137" s="930">
        <f>+NOMINA!BR130</f>
        <v>54.63</v>
      </c>
      <c r="G137" s="930">
        <f>+NOMINA!BS130</f>
        <v>12.14</v>
      </c>
      <c r="H137" s="599"/>
      <c r="I137" s="600"/>
      <c r="J137" s="600"/>
      <c r="K137" s="600"/>
      <c r="L137" s="600"/>
    </row>
    <row r="138" spans="1:12" ht="15.75" customHeight="1" x14ac:dyDescent="0.25">
      <c r="A138" s="928">
        <f t="shared" si="2"/>
        <v>88</v>
      </c>
      <c r="B138" s="926">
        <f>+NOMINA!C131</f>
        <v>13261229</v>
      </c>
      <c r="C138" s="926" t="str">
        <f>+NOMINA!D131</f>
        <v>Abreu Rodriguez Eva del Carmen</v>
      </c>
      <c r="D138" s="926" t="str">
        <f>+NOMINA!O131</f>
        <v>Asistente Administrativo III</v>
      </c>
      <c r="E138" s="929">
        <f>+NOMINA!H131</f>
        <v>42644</v>
      </c>
      <c r="F138" s="930">
        <f>+NOMINA!BR131</f>
        <v>47.67</v>
      </c>
      <c r="G138" s="930">
        <f>+NOMINA!BS131</f>
        <v>10.59</v>
      </c>
      <c r="H138" s="599"/>
      <c r="I138" s="600"/>
      <c r="J138" s="600"/>
      <c r="K138" s="600"/>
      <c r="L138" s="600"/>
    </row>
    <row r="139" spans="1:12" ht="15.75" customHeight="1" x14ac:dyDescent="0.25">
      <c r="A139" s="928">
        <f t="shared" si="2"/>
        <v>89</v>
      </c>
      <c r="B139" s="926">
        <f>+NOMINA!C132</f>
        <v>13461934</v>
      </c>
      <c r="C139" s="926" t="str">
        <f>+NOMINA!D132</f>
        <v>Ramirez Ayala Jenny Marisela</v>
      </c>
      <c r="D139" s="926" t="str">
        <f>+NOMINA!O132</f>
        <v>Guia de Centro II</v>
      </c>
      <c r="E139" s="929">
        <f>+NOMINA!H132</f>
        <v>43252</v>
      </c>
      <c r="F139" s="930">
        <f>+NOMINA!BR132</f>
        <v>42.2</v>
      </c>
      <c r="G139" s="930">
        <f>+NOMINA!BS132</f>
        <v>9.3800000000000008</v>
      </c>
      <c r="H139" s="599"/>
      <c r="I139" s="600"/>
      <c r="J139" s="600"/>
      <c r="K139" s="600"/>
      <c r="L139" s="600"/>
    </row>
    <row r="140" spans="1:12" ht="15.75" customHeight="1" x14ac:dyDescent="0.25">
      <c r="A140" s="928">
        <f t="shared" si="2"/>
        <v>90</v>
      </c>
      <c r="B140" s="926">
        <f>+NOMINA!C133</f>
        <v>13462933</v>
      </c>
      <c r="C140" s="926" t="str">
        <f>+NOMINA!D133</f>
        <v>Frias Aldana Maria Yaritza</v>
      </c>
      <c r="D140" s="926" t="str">
        <f>+NOMINA!O133</f>
        <v>Administrador Jefe</v>
      </c>
      <c r="E140" s="929">
        <f>+NOMINA!H133</f>
        <v>39454</v>
      </c>
      <c r="F140" s="930">
        <f>+NOMINA!BR133</f>
        <v>0</v>
      </c>
      <c r="G140" s="930">
        <f>+NOMINA!BS133</f>
        <v>0</v>
      </c>
      <c r="H140" s="599"/>
      <c r="I140" s="600"/>
      <c r="J140" s="600"/>
      <c r="K140" s="600"/>
      <c r="L140" s="600"/>
    </row>
    <row r="141" spans="1:12" ht="15.75" customHeight="1" x14ac:dyDescent="0.25">
      <c r="A141" s="928">
        <f t="shared" si="2"/>
        <v>91</v>
      </c>
      <c r="B141" s="926">
        <f>+NOMINA!C134</f>
        <v>13462511</v>
      </c>
      <c r="C141" s="926" t="str">
        <f>+NOMINA!D134</f>
        <v>Vielma Jenifer</v>
      </c>
      <c r="D141" s="926" t="str">
        <f>+NOMINA!O134</f>
        <v>Criminologo</v>
      </c>
      <c r="E141" s="929">
        <f>+NOMINA!H134</f>
        <v>43738</v>
      </c>
      <c r="F141" s="930">
        <f>+NOMINA!BR134</f>
        <v>70.98</v>
      </c>
      <c r="G141" s="930">
        <f>+NOMINA!BS134</f>
        <v>15.77</v>
      </c>
      <c r="H141" s="599"/>
      <c r="I141" s="600"/>
      <c r="J141" s="600"/>
      <c r="K141" s="600"/>
      <c r="L141" s="600"/>
    </row>
    <row r="142" spans="1:12" ht="15.75" customHeight="1" x14ac:dyDescent="0.25">
      <c r="A142" s="928">
        <f t="shared" si="2"/>
        <v>92</v>
      </c>
      <c r="B142" s="926">
        <f>+NOMINA!C135</f>
        <v>13522518</v>
      </c>
      <c r="C142" s="926" t="str">
        <f>+NOMINA!D135</f>
        <v>Altuve Diaz Jose Antonio</v>
      </c>
      <c r="D142" s="926" t="str">
        <f>+NOMINA!O135</f>
        <v>Almacenista II</v>
      </c>
      <c r="E142" s="929">
        <f>+NOMINA!H135</f>
        <v>43739</v>
      </c>
      <c r="F142" s="930">
        <f>+NOMINA!BR135</f>
        <v>31.15</v>
      </c>
      <c r="G142" s="930">
        <f>+NOMINA!BS135</f>
        <v>6.92</v>
      </c>
      <c r="H142" s="599"/>
      <c r="I142" s="600"/>
      <c r="J142" s="600"/>
      <c r="K142" s="600"/>
      <c r="L142" s="600"/>
    </row>
    <row r="143" spans="1:12" ht="15.75" customHeight="1" x14ac:dyDescent="0.25">
      <c r="A143" s="928">
        <f t="shared" si="2"/>
        <v>93</v>
      </c>
      <c r="B143" s="926">
        <f>+NOMINA!C136</f>
        <v>13523075</v>
      </c>
      <c r="C143" s="926" t="str">
        <f>+NOMINA!D136</f>
        <v>Zambrano Castellanos Maria Alejandra</v>
      </c>
      <c r="D143" s="926" t="str">
        <f>+NOMINA!O136</f>
        <v>Planificador V</v>
      </c>
      <c r="E143" s="929">
        <f>+NOMINA!H136</f>
        <v>37718</v>
      </c>
      <c r="F143" s="930">
        <f>+NOMINA!BR136</f>
        <v>56.14</v>
      </c>
      <c r="G143" s="930">
        <f>+NOMINA!BS136</f>
        <v>12.48</v>
      </c>
      <c r="H143" s="599"/>
      <c r="I143" s="600"/>
      <c r="J143" s="600"/>
      <c r="K143" s="600"/>
      <c r="L143" s="600"/>
    </row>
    <row r="144" spans="1:12" ht="15.75" customHeight="1" x14ac:dyDescent="0.25">
      <c r="A144" s="928">
        <f t="shared" si="2"/>
        <v>94</v>
      </c>
      <c r="B144" s="926">
        <f>+NOMINA!C137</f>
        <v>13765028</v>
      </c>
      <c r="C144" s="926" t="str">
        <f>+NOMINA!D137</f>
        <v>Diaz Ramirez Mileyda del Valle</v>
      </c>
      <c r="D144" s="926" t="str">
        <f>+NOMINA!O137</f>
        <v>Guia de Centro II</v>
      </c>
      <c r="E144" s="929">
        <f>+NOMINA!H137</f>
        <v>44348</v>
      </c>
      <c r="F144" s="930">
        <f>+NOMINA!BR137</f>
        <v>61.66</v>
      </c>
      <c r="G144" s="930">
        <f>+NOMINA!BS137</f>
        <v>13.7</v>
      </c>
      <c r="H144" s="599"/>
      <c r="I144" s="600"/>
      <c r="J144" s="600"/>
      <c r="K144" s="600"/>
      <c r="L144" s="600"/>
    </row>
    <row r="145" spans="1:12" ht="15.75" customHeight="1" x14ac:dyDescent="0.25">
      <c r="A145" s="928">
        <f t="shared" si="2"/>
        <v>95</v>
      </c>
      <c r="B145" s="926">
        <f>+NOMINA!C138</f>
        <v>13896147</v>
      </c>
      <c r="C145" s="926" t="str">
        <f>+NOMINA!D138</f>
        <v>Carrizo Blanco Belquis Cecilia</v>
      </c>
      <c r="D145" s="926" t="str">
        <f>+NOMINA!O138</f>
        <v>Administrador III</v>
      </c>
      <c r="E145" s="929">
        <f>+NOMINA!H138</f>
        <v>41334</v>
      </c>
      <c r="F145" s="930">
        <f>+NOMINA!BR138</f>
        <v>58.68</v>
      </c>
      <c r="G145" s="930">
        <f>+NOMINA!BS138</f>
        <v>13.04</v>
      </c>
      <c r="H145" s="599"/>
      <c r="I145" s="600"/>
      <c r="J145" s="600"/>
      <c r="K145" s="600"/>
      <c r="L145" s="600"/>
    </row>
    <row r="146" spans="1:12" ht="15.75" customHeight="1" x14ac:dyDescent="0.25">
      <c r="A146" s="928">
        <f t="shared" si="2"/>
        <v>96</v>
      </c>
      <c r="B146" s="926">
        <f>+NOMINA!C139</f>
        <v>13896239</v>
      </c>
      <c r="C146" s="926" t="str">
        <f>+NOMINA!D139</f>
        <v>Sulbaran Campos Yusneida Ayarith</v>
      </c>
      <c r="D146" s="926" t="str">
        <f>+NOMINA!O139</f>
        <v>Analista de Presupuesto IV</v>
      </c>
      <c r="E146" s="929">
        <f>+NOMINA!H139</f>
        <v>42416</v>
      </c>
      <c r="F146" s="930">
        <f>+NOMINA!BR139</f>
        <v>34.409999999999997</v>
      </c>
      <c r="G146" s="930">
        <f>+NOMINA!BS139</f>
        <v>7.65</v>
      </c>
      <c r="H146" s="599"/>
      <c r="I146" s="600"/>
      <c r="J146" s="600"/>
      <c r="K146" s="600"/>
      <c r="L146" s="600"/>
    </row>
    <row r="147" spans="1:12" ht="15.75" customHeight="1" x14ac:dyDescent="0.25">
      <c r="A147" s="928">
        <f t="shared" si="2"/>
        <v>97</v>
      </c>
      <c r="B147" s="926">
        <f>+NOMINA!C140</f>
        <v>13897046</v>
      </c>
      <c r="C147" s="926" t="str">
        <f>+NOMINA!D140</f>
        <v>Artigas Sanchez Mireya Carolina</v>
      </c>
      <c r="D147" s="926" t="str">
        <f>+NOMINA!O140</f>
        <v>Tecnico Superior en Trabajo Social II</v>
      </c>
      <c r="E147" s="929">
        <f>+NOMINA!H140</f>
        <v>42384</v>
      </c>
      <c r="F147" s="930">
        <f>+NOMINA!BR140</f>
        <v>49.83</v>
      </c>
      <c r="G147" s="930">
        <f>+NOMINA!BS140</f>
        <v>11.07</v>
      </c>
      <c r="H147" s="599"/>
      <c r="I147" s="600"/>
      <c r="J147" s="600"/>
      <c r="K147" s="600"/>
      <c r="L147" s="600"/>
    </row>
    <row r="148" spans="1:12" ht="15.75" customHeight="1" x14ac:dyDescent="0.25">
      <c r="A148" s="928">
        <f t="shared" si="2"/>
        <v>98</v>
      </c>
      <c r="B148" s="926">
        <f>+NOMINA!C141</f>
        <v>13897695</v>
      </c>
      <c r="C148" s="926" t="str">
        <f>+NOMINA!D141</f>
        <v>Araujo Matheus Alba Mariela</v>
      </c>
      <c r="D148" s="926" t="str">
        <f>+NOMINA!O141</f>
        <v>Analista de Presupuesto Jefe</v>
      </c>
      <c r="E148" s="929">
        <f>+NOMINA!H141</f>
        <v>39496</v>
      </c>
      <c r="F148" s="930">
        <f>+NOMINA!BR141</f>
        <v>67.06</v>
      </c>
      <c r="G148" s="930">
        <f>+NOMINA!BS141</f>
        <v>14.9</v>
      </c>
      <c r="H148" s="599"/>
      <c r="I148" s="600"/>
      <c r="J148" s="600"/>
      <c r="K148" s="600"/>
      <c r="L148" s="600"/>
    </row>
    <row r="149" spans="1:12" ht="15.75" customHeight="1" x14ac:dyDescent="0.25">
      <c r="A149" s="928">
        <f t="shared" si="2"/>
        <v>99</v>
      </c>
      <c r="B149" s="926">
        <f>+NOMINA!C142</f>
        <v>13996024</v>
      </c>
      <c r="C149" s="926" t="str">
        <f>+NOMINA!D142</f>
        <v>Perez Barrios Helenmar</v>
      </c>
      <c r="D149" s="926" t="str">
        <f>+NOMINA!O142</f>
        <v>Contador III</v>
      </c>
      <c r="E149" s="929">
        <f>+NOMINA!H142</f>
        <v>40028</v>
      </c>
      <c r="F149" s="930">
        <f>+NOMINA!BR142</f>
        <v>62.74</v>
      </c>
      <c r="G149" s="930">
        <f>+NOMINA!BS142</f>
        <v>13.94</v>
      </c>
      <c r="H149" s="599"/>
      <c r="I149" s="600"/>
      <c r="J149" s="600"/>
      <c r="K149" s="600"/>
      <c r="L149" s="600"/>
    </row>
    <row r="150" spans="1:12" ht="15.75" customHeight="1" x14ac:dyDescent="0.25">
      <c r="A150" s="928">
        <f t="shared" si="2"/>
        <v>100</v>
      </c>
      <c r="B150" s="926">
        <f>+NOMINA!C143</f>
        <v>13997965</v>
      </c>
      <c r="C150" s="926" t="str">
        <f>+NOMINA!D143</f>
        <v>Sulbaran Baptista Yenny del Carmen</v>
      </c>
      <c r="D150" s="926" t="str">
        <f>+NOMINA!O143</f>
        <v>Asistente Administrativo I</v>
      </c>
      <c r="E150" s="929">
        <f>+NOMINA!H143</f>
        <v>45839</v>
      </c>
      <c r="F150" s="930">
        <f>+NOMINA!BR143</f>
        <v>29.6</v>
      </c>
      <c r="G150" s="930">
        <f>+NOMINA!BS143</f>
        <v>6.58</v>
      </c>
      <c r="H150" s="599"/>
      <c r="I150" s="600"/>
      <c r="J150" s="600"/>
      <c r="K150" s="600"/>
      <c r="L150" s="600"/>
    </row>
    <row r="151" spans="1:12" ht="15.75" customHeight="1" x14ac:dyDescent="0.25">
      <c r="A151" s="928">
        <f t="shared" si="2"/>
        <v>101</v>
      </c>
      <c r="B151" s="926">
        <f>+NOMINA!C144</f>
        <v>14106648</v>
      </c>
      <c r="C151" s="926" t="str">
        <f>+NOMINA!D144</f>
        <v>Aguilar Flores Heidy Coromoto</v>
      </c>
      <c r="D151" s="926" t="str">
        <f>+NOMINA!O144</f>
        <v>Asistente Administrativo IV</v>
      </c>
      <c r="E151" s="929">
        <f>+NOMINA!H144</f>
        <v>40787</v>
      </c>
      <c r="F151" s="930">
        <f>+NOMINA!BR144</f>
        <v>53.56</v>
      </c>
      <c r="G151" s="930">
        <f>+NOMINA!BS144</f>
        <v>11.9</v>
      </c>
      <c r="H151" s="599"/>
      <c r="I151" s="600"/>
      <c r="J151" s="600"/>
      <c r="K151" s="600"/>
      <c r="L151" s="600"/>
    </row>
    <row r="152" spans="1:12" ht="15.75" customHeight="1" x14ac:dyDescent="0.25">
      <c r="A152" s="928">
        <f t="shared" si="2"/>
        <v>102</v>
      </c>
      <c r="B152" s="926">
        <f>+NOMINA!C145</f>
        <v>14329448</v>
      </c>
      <c r="C152" s="926" t="str">
        <f>+NOMINA!D145</f>
        <v>Leal Mejia Jociany Trinny</v>
      </c>
      <c r="D152" s="926" t="str">
        <f>+NOMINA!O145</f>
        <v>Tutor Facilitador I</v>
      </c>
      <c r="E152" s="929">
        <f>+NOMINA!H145</f>
        <v>44743</v>
      </c>
      <c r="F152" s="930">
        <f>+NOMINA!BR145</f>
        <v>55.53</v>
      </c>
      <c r="G152" s="930">
        <f>+NOMINA!BS145</f>
        <v>12.34</v>
      </c>
      <c r="H152" s="599"/>
      <c r="I152" s="600"/>
      <c r="J152" s="600"/>
      <c r="K152" s="600"/>
      <c r="L152" s="600"/>
    </row>
    <row r="153" spans="1:12" ht="15.75" customHeight="1" x14ac:dyDescent="0.25">
      <c r="A153" s="928">
        <f t="shared" si="2"/>
        <v>103</v>
      </c>
      <c r="B153" s="926">
        <f>+NOMINA!C146</f>
        <v>14406240</v>
      </c>
      <c r="C153" s="926" t="str">
        <f>+NOMINA!D146</f>
        <v>Sarmiento Suarez Karem Yanira</v>
      </c>
      <c r="D153" s="926" t="str">
        <f>+NOMINA!O146</f>
        <v>Tecnico Superior en Trabajo Social II</v>
      </c>
      <c r="E153" s="929">
        <f>+NOMINA!H146</f>
        <v>43785</v>
      </c>
      <c r="F153" s="930">
        <f>+NOMINA!BR146</f>
        <v>51.96</v>
      </c>
      <c r="G153" s="930">
        <f>+NOMINA!BS146</f>
        <v>11.55</v>
      </c>
      <c r="H153" s="599"/>
      <c r="I153" s="600"/>
      <c r="J153" s="600"/>
      <c r="K153" s="600"/>
      <c r="L153" s="600"/>
    </row>
    <row r="154" spans="1:12" ht="15.75" customHeight="1" x14ac:dyDescent="0.25">
      <c r="A154" s="928">
        <f t="shared" si="2"/>
        <v>104</v>
      </c>
      <c r="B154" s="926">
        <f>+NOMINA!C147</f>
        <v>14459607</v>
      </c>
      <c r="C154" s="926" t="str">
        <f>+NOMINA!D147</f>
        <v>Martinez Leal Deyanira Yusissan</v>
      </c>
      <c r="D154" s="926" t="str">
        <f>+NOMINA!O147</f>
        <v>Tecnico Superior en Trabajo Social II</v>
      </c>
      <c r="E154" s="929">
        <f>+NOMINA!H147</f>
        <v>43116</v>
      </c>
      <c r="F154" s="930">
        <f>+NOMINA!BR147</f>
        <v>48.89</v>
      </c>
      <c r="G154" s="930">
        <f>+NOMINA!BS147</f>
        <v>10.87</v>
      </c>
      <c r="H154" s="599"/>
      <c r="I154" s="600"/>
      <c r="J154" s="600"/>
      <c r="K154" s="600"/>
      <c r="L154" s="600"/>
    </row>
    <row r="155" spans="1:12" ht="15.75" customHeight="1" x14ac:dyDescent="0.25">
      <c r="A155" s="928">
        <f t="shared" si="2"/>
        <v>105</v>
      </c>
      <c r="B155" s="926">
        <f>+NOMINA!C148</f>
        <v>14598170</v>
      </c>
      <c r="C155" s="926" t="str">
        <f>+NOMINA!D148</f>
        <v>Rendon Utrilla Gerson Paul</v>
      </c>
      <c r="D155" s="926" t="str">
        <f>+NOMINA!O148</f>
        <v>Tutor Facilitador III</v>
      </c>
      <c r="E155" s="929">
        <f>+NOMINA!H148</f>
        <v>43435</v>
      </c>
      <c r="F155" s="930">
        <f>+NOMINA!BR148</f>
        <v>56.96</v>
      </c>
      <c r="G155" s="930">
        <f>+NOMINA!BS148</f>
        <v>12.66</v>
      </c>
      <c r="H155" s="599"/>
      <c r="I155" s="600"/>
      <c r="J155" s="600"/>
      <c r="K155" s="600"/>
      <c r="L155" s="600"/>
    </row>
    <row r="156" spans="1:12" ht="15.75" customHeight="1" x14ac:dyDescent="0.25">
      <c r="A156" s="928">
        <f t="shared" si="2"/>
        <v>106</v>
      </c>
      <c r="B156" s="926">
        <f>+NOMINA!C149</f>
        <v>14598687</v>
      </c>
      <c r="C156" s="926" t="str">
        <f>+NOMINA!D149</f>
        <v>Godoy Bracamonte Juan Carlos</v>
      </c>
      <c r="D156" s="926" t="str">
        <f>+NOMINA!O149</f>
        <v>Entrenador Deportivo IV</v>
      </c>
      <c r="E156" s="929">
        <f>+NOMINA!H149</f>
        <v>44332</v>
      </c>
      <c r="F156" s="930">
        <f>+NOMINA!BR149</f>
        <v>64.739999999999995</v>
      </c>
      <c r="G156" s="930">
        <f>+NOMINA!BS149</f>
        <v>14.39</v>
      </c>
      <c r="H156" s="599"/>
      <c r="I156" s="600"/>
      <c r="J156" s="600"/>
      <c r="K156" s="600"/>
      <c r="L156" s="600"/>
    </row>
    <row r="157" spans="1:12" ht="15.75" customHeight="1" x14ac:dyDescent="0.25">
      <c r="A157" s="928">
        <f t="shared" si="2"/>
        <v>107</v>
      </c>
      <c r="B157" s="926">
        <f>+NOMINA!C150</f>
        <v>14719639</v>
      </c>
      <c r="C157" s="926" t="str">
        <f>+NOMINA!D150</f>
        <v>Coy de Dorante Sandra Liliana</v>
      </c>
      <c r="D157" s="926" t="str">
        <f>+NOMINA!O150</f>
        <v>Guia de Centro I</v>
      </c>
      <c r="E157" s="929">
        <f>+NOMINA!H150</f>
        <v>44896</v>
      </c>
      <c r="F157" s="930">
        <f>+NOMINA!BR150</f>
        <v>38.83</v>
      </c>
      <c r="G157" s="930">
        <f>+NOMINA!BS150</f>
        <v>8.6300000000000008</v>
      </c>
      <c r="H157" s="599"/>
      <c r="I157" s="600"/>
      <c r="J157" s="600"/>
      <c r="K157" s="600"/>
      <c r="L157" s="600"/>
    </row>
    <row r="158" spans="1:12" ht="15.75" customHeight="1" x14ac:dyDescent="0.25">
      <c r="A158" s="928">
        <f t="shared" si="2"/>
        <v>108</v>
      </c>
      <c r="B158" s="926">
        <f>+NOMINA!C151</f>
        <v>14739168</v>
      </c>
      <c r="C158" s="926" t="str">
        <f>+NOMINA!D151</f>
        <v>Briceño Hernandez Yeny del Carmen</v>
      </c>
      <c r="D158" s="926" t="str">
        <f>+NOMINA!O151</f>
        <v>Trabajador Social III</v>
      </c>
      <c r="E158" s="929">
        <f>+NOMINA!H151</f>
        <v>38841</v>
      </c>
      <c r="F158" s="930">
        <f>+NOMINA!BR151</f>
        <v>53.1</v>
      </c>
      <c r="G158" s="930">
        <f>+NOMINA!BS151</f>
        <v>11.8</v>
      </c>
      <c r="H158" s="599"/>
      <c r="I158" s="600"/>
      <c r="J158" s="600"/>
      <c r="K158" s="600"/>
      <c r="L158" s="600"/>
    </row>
    <row r="159" spans="1:12" ht="15.75" customHeight="1" x14ac:dyDescent="0.25">
      <c r="A159" s="928">
        <f t="shared" si="2"/>
        <v>109</v>
      </c>
      <c r="B159" s="926">
        <f>+NOMINA!C152</f>
        <v>14928034</v>
      </c>
      <c r="C159" s="926" t="str">
        <f>+NOMINA!D152</f>
        <v>Ramirez Palomares Mariana Teresa</v>
      </c>
      <c r="D159" s="926" t="str">
        <f>+NOMINA!O152</f>
        <v>Promotor Cultural I</v>
      </c>
      <c r="E159" s="929">
        <f>+NOMINA!H152</f>
        <v>44302</v>
      </c>
      <c r="F159" s="930">
        <f>+NOMINA!BR152</f>
        <v>35.07</v>
      </c>
      <c r="G159" s="930">
        <f>+NOMINA!BS152</f>
        <v>7.79</v>
      </c>
      <c r="H159" s="599"/>
      <c r="I159" s="600"/>
      <c r="J159" s="600"/>
      <c r="K159" s="600"/>
      <c r="L159" s="600"/>
    </row>
    <row r="160" spans="1:12" ht="15.75" customHeight="1" x14ac:dyDescent="0.25">
      <c r="A160" s="928">
        <f t="shared" si="2"/>
        <v>110</v>
      </c>
      <c r="B160" s="926">
        <f>+NOMINA!C153</f>
        <v>14928260</v>
      </c>
      <c r="C160" s="926" t="str">
        <f>+NOMINA!D153</f>
        <v>Rivas Ana Lucila</v>
      </c>
      <c r="D160" s="926" t="str">
        <f>+NOMINA!O153</f>
        <v>Tutor Facilitador I</v>
      </c>
      <c r="E160" s="929">
        <f>+NOMINA!H153</f>
        <v>39104</v>
      </c>
      <c r="F160" s="930">
        <f>+NOMINA!BR153</f>
        <v>52.65</v>
      </c>
      <c r="G160" s="930">
        <f>+NOMINA!BS153</f>
        <v>11.7</v>
      </c>
      <c r="H160" s="599"/>
      <c r="I160" s="600"/>
      <c r="J160" s="600"/>
      <c r="K160" s="600"/>
      <c r="L160" s="600"/>
    </row>
    <row r="161" spans="1:12" ht="15.75" customHeight="1" x14ac:dyDescent="0.25">
      <c r="A161" s="928">
        <f t="shared" si="2"/>
        <v>111</v>
      </c>
      <c r="B161" s="926">
        <f>+NOMINA!C154</f>
        <v>14929642</v>
      </c>
      <c r="C161" s="926" t="str">
        <f>+NOMINA!D154</f>
        <v>Alvarran Arjona Ismenia del Carmen</v>
      </c>
      <c r="D161" s="926" t="str">
        <f>+NOMINA!O154</f>
        <v>GUIA DE CENTRO II</v>
      </c>
      <c r="E161" s="929">
        <f>+NOMINA!H154</f>
        <v>43419</v>
      </c>
      <c r="F161" s="930">
        <f>+NOMINA!BR154</f>
        <v>61.11</v>
      </c>
      <c r="G161" s="930">
        <f>+NOMINA!BS154</f>
        <v>13.58</v>
      </c>
      <c r="H161" s="599"/>
      <c r="I161" s="600"/>
      <c r="J161" s="600"/>
      <c r="K161" s="600"/>
      <c r="L161" s="600"/>
    </row>
    <row r="162" spans="1:12" ht="15.75" customHeight="1" x14ac:dyDescent="0.25">
      <c r="A162" s="928">
        <f t="shared" si="2"/>
        <v>112</v>
      </c>
      <c r="B162" s="926">
        <f>+NOMINA!C155</f>
        <v>14986675</v>
      </c>
      <c r="C162" s="926" t="str">
        <f>+NOMINA!D155</f>
        <v>Mecias Nuñez Shirly Ygnacia</v>
      </c>
      <c r="D162" s="926" t="str">
        <f>+NOMINA!O155</f>
        <v>Tutor Facilitador I</v>
      </c>
      <c r="E162" s="929">
        <f>+NOMINA!H155</f>
        <v>44805</v>
      </c>
      <c r="F162" s="930">
        <f>+NOMINA!BR155</f>
        <v>55.53</v>
      </c>
      <c r="G162" s="930">
        <f>+NOMINA!BS155</f>
        <v>12.34</v>
      </c>
      <c r="H162" s="599"/>
      <c r="I162" s="600"/>
      <c r="J162" s="600"/>
      <c r="K162" s="600"/>
      <c r="L162" s="600"/>
    </row>
    <row r="163" spans="1:12" ht="15.75" customHeight="1" x14ac:dyDescent="0.25">
      <c r="A163" s="928">
        <f t="shared" si="2"/>
        <v>113</v>
      </c>
      <c r="B163" s="926">
        <f>+NOMINA!C156</f>
        <v>15188927</v>
      </c>
      <c r="C163" s="926" t="str">
        <f>+NOMINA!D156</f>
        <v>Linares Villarreal Rosmely del Carmen</v>
      </c>
      <c r="D163" s="926" t="str">
        <f>+NOMINA!O156</f>
        <v>Guia de Centro II</v>
      </c>
      <c r="E163" s="929">
        <f>+NOMINA!H156</f>
        <v>44409</v>
      </c>
      <c r="F163" s="930">
        <f>+NOMINA!BR156</f>
        <v>41.99</v>
      </c>
      <c r="G163" s="930">
        <f>+NOMINA!BS156</f>
        <v>9.33</v>
      </c>
      <c r="H163" s="599"/>
      <c r="I163" s="600"/>
      <c r="J163" s="600"/>
      <c r="K163" s="600"/>
      <c r="L163" s="600"/>
    </row>
    <row r="164" spans="1:12" ht="15.75" customHeight="1" x14ac:dyDescent="0.25">
      <c r="A164" s="928">
        <f t="shared" si="2"/>
        <v>114</v>
      </c>
      <c r="B164" s="926">
        <f>+NOMINA!C157</f>
        <v>15560762</v>
      </c>
      <c r="C164" s="926" t="str">
        <f>+NOMINA!D157</f>
        <v>Villalobos Javier Jose</v>
      </c>
      <c r="D164" s="926" t="str">
        <f>+NOMINA!O157</f>
        <v>Entrenador Deportivo IV</v>
      </c>
      <c r="E164" s="929">
        <f>+NOMINA!H157</f>
        <v>45474</v>
      </c>
      <c r="F164" s="930">
        <f>+NOMINA!BR157</f>
        <v>50.75</v>
      </c>
      <c r="G164" s="930">
        <f>+NOMINA!BS157</f>
        <v>11.28</v>
      </c>
      <c r="H164" s="599"/>
      <c r="I164" s="600"/>
      <c r="J164" s="600"/>
      <c r="K164" s="600"/>
      <c r="L164" s="600"/>
    </row>
    <row r="165" spans="1:12" ht="15.75" customHeight="1" x14ac:dyDescent="0.25">
      <c r="A165" s="928">
        <f t="shared" si="2"/>
        <v>115</v>
      </c>
      <c r="B165" s="926">
        <f>+NOMINA!C158</f>
        <v>15583745</v>
      </c>
      <c r="C165" s="926" t="str">
        <f>+NOMINA!D158</f>
        <v>Briceño Araujo Alexander Javier</v>
      </c>
      <c r="D165" s="926" t="str">
        <f>+NOMINA!O158</f>
        <v>Administrador II</v>
      </c>
      <c r="E165" s="929">
        <f>+NOMINA!H158</f>
        <v>43481</v>
      </c>
      <c r="F165" s="930">
        <f>+NOMINA!BR158</f>
        <v>55.34</v>
      </c>
      <c r="G165" s="930">
        <f>+NOMINA!BS158</f>
        <v>12.3</v>
      </c>
      <c r="H165" s="599"/>
      <c r="I165" s="600"/>
      <c r="J165" s="600"/>
      <c r="K165" s="600"/>
      <c r="L165" s="600"/>
    </row>
    <row r="166" spans="1:12" ht="15.75" customHeight="1" x14ac:dyDescent="0.25">
      <c r="A166" s="928">
        <f t="shared" si="2"/>
        <v>116</v>
      </c>
      <c r="B166" s="926">
        <f>+NOMINA!C159</f>
        <v>15588470</v>
      </c>
      <c r="C166" s="926" t="str">
        <f>+NOMINA!D159</f>
        <v>Briceño Lozada Maraiby Coromoto</v>
      </c>
      <c r="D166" s="926" t="str">
        <f>+NOMINA!O159</f>
        <v>Trabajador Social II</v>
      </c>
      <c r="E166" s="929">
        <f>+NOMINA!H159</f>
        <v>39098</v>
      </c>
      <c r="F166" s="930">
        <f>+NOMINA!BR159</f>
        <v>52.65</v>
      </c>
      <c r="G166" s="930">
        <f>+NOMINA!BS159</f>
        <v>11.7</v>
      </c>
      <c r="H166" s="599"/>
      <c r="I166" s="600"/>
      <c r="J166" s="600"/>
      <c r="K166" s="600"/>
      <c r="L166" s="600"/>
    </row>
    <row r="167" spans="1:12" ht="15.75" customHeight="1" x14ac:dyDescent="0.25">
      <c r="A167" s="928">
        <f t="shared" si="2"/>
        <v>117</v>
      </c>
      <c r="B167" s="926">
        <f>+NOMINA!C160</f>
        <v>15752048</v>
      </c>
      <c r="C167" s="926" t="str">
        <f>+NOMINA!D160</f>
        <v>Briceño Rangel Sudney Dayan</v>
      </c>
      <c r="D167" s="926" t="str">
        <f>+NOMINA!O160</f>
        <v>Guia de Centro II</v>
      </c>
      <c r="E167" s="929">
        <f>+NOMINA!H160</f>
        <v>39679</v>
      </c>
      <c r="F167" s="930">
        <f>+NOMINA!BR160</f>
        <v>71.58</v>
      </c>
      <c r="G167" s="930">
        <f>+NOMINA!BS160</f>
        <v>15.91</v>
      </c>
      <c r="H167" s="599"/>
      <c r="I167" s="600"/>
      <c r="J167" s="600"/>
      <c r="K167" s="600"/>
      <c r="L167" s="600"/>
    </row>
    <row r="168" spans="1:12" ht="15.75" customHeight="1" x14ac:dyDescent="0.25">
      <c r="A168" s="928">
        <f t="shared" si="2"/>
        <v>118</v>
      </c>
      <c r="B168" s="926">
        <f>+NOMINA!C161</f>
        <v>15752183</v>
      </c>
      <c r="C168" s="926" t="str">
        <f>+NOMINA!D161</f>
        <v>Delduca Adriana del Valle</v>
      </c>
      <c r="D168" s="926" t="str">
        <f>+NOMINA!O161</f>
        <v>Analista de Presupuesto IV</v>
      </c>
      <c r="E168" s="929">
        <f>+NOMINA!H161</f>
        <v>38930</v>
      </c>
      <c r="F168" s="930">
        <f>+NOMINA!BR161</f>
        <v>0</v>
      </c>
      <c r="G168" s="930">
        <f>+NOMINA!BS161</f>
        <v>0</v>
      </c>
      <c r="H168" s="599"/>
      <c r="I168" s="600"/>
      <c r="J168" s="600"/>
      <c r="K168" s="600"/>
      <c r="L168" s="600"/>
    </row>
    <row r="169" spans="1:12" ht="15.75" customHeight="1" x14ac:dyDescent="0.25">
      <c r="A169" s="928">
        <f t="shared" si="2"/>
        <v>119</v>
      </c>
      <c r="B169" s="926">
        <f>+NOMINA!C162</f>
        <v>15752386</v>
      </c>
      <c r="C169" s="926" t="str">
        <f>+NOMINA!D162</f>
        <v>Villegas Gonzalez Mileide Karine</v>
      </c>
      <c r="D169" s="926" t="str">
        <f>+NOMINA!O162</f>
        <v>Guia de Centro II</v>
      </c>
      <c r="E169" s="929">
        <f>+NOMINA!H162</f>
        <v>38930</v>
      </c>
      <c r="F169" s="930">
        <f>+NOMINA!BR162</f>
        <v>71.06</v>
      </c>
      <c r="G169" s="930">
        <f>+NOMINA!BS162</f>
        <v>15.79</v>
      </c>
      <c r="H169" s="599"/>
      <c r="I169" s="600"/>
      <c r="J169" s="600"/>
      <c r="K169" s="600"/>
      <c r="L169" s="600"/>
    </row>
    <row r="170" spans="1:12" ht="15.75" customHeight="1" x14ac:dyDescent="0.25">
      <c r="A170" s="928">
        <f t="shared" si="2"/>
        <v>120</v>
      </c>
      <c r="B170" s="926">
        <f>+NOMINA!C163</f>
        <v>15752435</v>
      </c>
      <c r="C170" s="926" t="str">
        <f>+NOMINA!D163</f>
        <v>Gonzalez de Sayago Damarys Coromoto</v>
      </c>
      <c r="D170" s="926" t="str">
        <f>+NOMINA!O163</f>
        <v>Trabajador Social II</v>
      </c>
      <c r="E170" s="929">
        <f>+NOMINA!H163</f>
        <v>38930</v>
      </c>
      <c r="F170" s="930">
        <f>+NOMINA!BR163</f>
        <v>54.66</v>
      </c>
      <c r="G170" s="930">
        <f>+NOMINA!BS163</f>
        <v>12.15</v>
      </c>
      <c r="H170" s="599"/>
      <c r="I170" s="600"/>
      <c r="J170" s="600"/>
      <c r="K170" s="600"/>
      <c r="L170" s="600"/>
    </row>
    <row r="171" spans="1:12" ht="15.75" customHeight="1" x14ac:dyDescent="0.25">
      <c r="A171" s="928">
        <f t="shared" si="2"/>
        <v>121</v>
      </c>
      <c r="B171" s="926">
        <f>+NOMINA!C164</f>
        <v>15780354</v>
      </c>
      <c r="C171" s="926" t="str">
        <f>+NOMINA!D164</f>
        <v>Yndriago Blanco Lismiley Andreina</v>
      </c>
      <c r="D171" s="926" t="str">
        <f>+NOMINA!O164</f>
        <v>Guia de Centro I</v>
      </c>
      <c r="E171" s="929">
        <f>+NOMINA!H164</f>
        <v>44409</v>
      </c>
      <c r="F171" s="930">
        <f>+NOMINA!BR164</f>
        <v>60.37</v>
      </c>
      <c r="G171" s="930">
        <f>+NOMINA!BS164</f>
        <v>13.42</v>
      </c>
      <c r="H171" s="599"/>
      <c r="I171" s="600"/>
      <c r="J171" s="600"/>
      <c r="K171" s="600"/>
      <c r="L171" s="600"/>
    </row>
    <row r="172" spans="1:12" ht="15.75" customHeight="1" x14ac:dyDescent="0.25">
      <c r="A172" s="928">
        <f t="shared" si="2"/>
        <v>122</v>
      </c>
      <c r="B172" s="926">
        <f>+NOMINA!C165</f>
        <v>15824548</v>
      </c>
      <c r="C172" s="926" t="str">
        <f>+NOMINA!D165</f>
        <v>Moreno Maria Angelica</v>
      </c>
      <c r="D172" s="926" t="str">
        <f>+NOMINA!O165</f>
        <v>Tecnico Superior en Trabajo Social II</v>
      </c>
      <c r="E172" s="929">
        <f>+NOMINA!H165</f>
        <v>44317</v>
      </c>
      <c r="F172" s="930">
        <f>+NOMINA!BR165</f>
        <v>46.14</v>
      </c>
      <c r="G172" s="930">
        <f>+NOMINA!BS165</f>
        <v>10.25</v>
      </c>
      <c r="H172" s="599"/>
      <c r="I172" s="600"/>
      <c r="J172" s="600"/>
      <c r="K172" s="600"/>
      <c r="L172" s="600"/>
    </row>
    <row r="173" spans="1:12" ht="15.75" customHeight="1" x14ac:dyDescent="0.25">
      <c r="A173" s="928">
        <f t="shared" si="2"/>
        <v>123</v>
      </c>
      <c r="B173" s="926">
        <f>+NOMINA!C166</f>
        <v>15904692</v>
      </c>
      <c r="C173" s="926" t="str">
        <f>+NOMINA!D166</f>
        <v>Sifontes Sosa Mayulis Dayana</v>
      </c>
      <c r="D173" s="926" t="str">
        <f>+NOMINA!O166</f>
        <v>Guia de Centro II</v>
      </c>
      <c r="E173" s="929">
        <f>+NOMINA!H166</f>
        <v>39756</v>
      </c>
      <c r="F173" s="930">
        <f>+NOMINA!BR166</f>
        <v>68.900000000000006</v>
      </c>
      <c r="G173" s="930">
        <f>+NOMINA!BS166</f>
        <v>15.31</v>
      </c>
      <c r="H173" s="599"/>
      <c r="I173" s="600"/>
      <c r="J173" s="600"/>
      <c r="K173" s="600"/>
      <c r="L173" s="600"/>
    </row>
    <row r="174" spans="1:12" ht="15.75" customHeight="1" x14ac:dyDescent="0.25">
      <c r="A174" s="928">
        <f t="shared" si="2"/>
        <v>124</v>
      </c>
      <c r="B174" s="926">
        <f>+NOMINA!C167</f>
        <v>16015833</v>
      </c>
      <c r="C174" s="926" t="str">
        <f>+NOMINA!D167</f>
        <v>Briceño Doris Elena</v>
      </c>
      <c r="D174" s="926" t="str">
        <f>+NOMINA!O167</f>
        <v>Guia de Centro II</v>
      </c>
      <c r="E174" s="929">
        <f>+NOMINA!H167</f>
        <v>42948</v>
      </c>
      <c r="F174" s="930">
        <f>+NOMINA!BR167</f>
        <v>75.180000000000007</v>
      </c>
      <c r="G174" s="930">
        <f>+NOMINA!BS167</f>
        <v>16.71</v>
      </c>
      <c r="H174" s="599"/>
      <c r="I174" s="600"/>
      <c r="J174" s="600"/>
      <c r="K174" s="600"/>
      <c r="L174" s="600"/>
    </row>
    <row r="175" spans="1:12" ht="15.75" customHeight="1" x14ac:dyDescent="0.25">
      <c r="A175" s="928">
        <f t="shared" si="2"/>
        <v>125</v>
      </c>
      <c r="B175" s="926">
        <f>+NOMINA!C168</f>
        <v>16065580</v>
      </c>
      <c r="C175" s="926" t="str">
        <f>+NOMINA!D168</f>
        <v>Paredes de Rendon Zuly Josefina</v>
      </c>
      <c r="D175" s="926" t="str">
        <f>+NOMINA!O168</f>
        <v>Tutor Facilitador II</v>
      </c>
      <c r="E175" s="929">
        <f>+NOMINA!H168</f>
        <v>44363</v>
      </c>
      <c r="F175" s="930">
        <f>+NOMINA!BR168</f>
        <v>55.89</v>
      </c>
      <c r="G175" s="930">
        <f>+NOMINA!BS168</f>
        <v>12.42</v>
      </c>
      <c r="H175" s="599"/>
      <c r="I175" s="600"/>
      <c r="J175" s="600"/>
      <c r="K175" s="600"/>
      <c r="L175" s="600"/>
    </row>
    <row r="176" spans="1:12" ht="15.75" customHeight="1" x14ac:dyDescent="0.25">
      <c r="A176" s="928">
        <f t="shared" si="2"/>
        <v>126</v>
      </c>
      <c r="B176" s="926">
        <f>+NOMINA!C169</f>
        <v>16065861</v>
      </c>
      <c r="C176" s="926" t="str">
        <f>+NOMINA!D169</f>
        <v>Gonzalez Pineda Eduardo Manuel</v>
      </c>
      <c r="D176" s="926" t="str">
        <f>+NOMINA!O169</f>
        <v>Entrenador Deportivo VI</v>
      </c>
      <c r="E176" s="929">
        <f>+NOMINA!H169</f>
        <v>43906</v>
      </c>
      <c r="F176" s="930">
        <f>+NOMINA!BR169</f>
        <v>62.62</v>
      </c>
      <c r="G176" s="930">
        <f>+NOMINA!BS169</f>
        <v>13.92</v>
      </c>
      <c r="H176" s="599"/>
      <c r="I176" s="600"/>
      <c r="J176" s="600"/>
      <c r="K176" s="600"/>
      <c r="L176" s="600"/>
    </row>
    <row r="177" spans="1:12" ht="15.75" customHeight="1" x14ac:dyDescent="0.25">
      <c r="A177" s="928">
        <f t="shared" si="2"/>
        <v>127</v>
      </c>
      <c r="B177" s="926">
        <f>+NOMINA!C170</f>
        <v>16066524</v>
      </c>
      <c r="C177" s="926" t="str">
        <f>+NOMINA!D170</f>
        <v>Carmona Peñaloza Yaneth Coromoto</v>
      </c>
      <c r="D177" s="926" t="str">
        <f>+NOMINA!O170</f>
        <v>Asistente Administrativo III</v>
      </c>
      <c r="E177" s="929">
        <f>+NOMINA!H170</f>
        <v>41456</v>
      </c>
      <c r="F177" s="930">
        <f>+NOMINA!BR170</f>
        <v>0</v>
      </c>
      <c r="G177" s="930">
        <f>+NOMINA!BS170</f>
        <v>0</v>
      </c>
      <c r="H177" s="599"/>
      <c r="I177" s="600"/>
      <c r="J177" s="600"/>
      <c r="K177" s="600"/>
      <c r="L177" s="600"/>
    </row>
    <row r="178" spans="1:12" ht="15.75" customHeight="1" x14ac:dyDescent="0.25">
      <c r="A178" s="928">
        <f t="shared" si="2"/>
        <v>128</v>
      </c>
      <c r="B178" s="926">
        <f>+NOMINA!C171</f>
        <v>16066554</v>
      </c>
      <c r="C178" s="926" t="str">
        <f>+NOMINA!D171</f>
        <v>Gonzalez Huerta Maria Josefina</v>
      </c>
      <c r="D178" s="926" t="str">
        <f>+NOMINA!O171</f>
        <v>Auditor IV</v>
      </c>
      <c r="E178" s="929">
        <f>+NOMINA!H171</f>
        <v>38797</v>
      </c>
      <c r="F178" s="930">
        <f>+NOMINA!BR171</f>
        <v>66.47</v>
      </c>
      <c r="G178" s="930">
        <f>+NOMINA!BS171</f>
        <v>14.77</v>
      </c>
      <c r="H178" s="599"/>
      <c r="I178" s="600"/>
      <c r="J178" s="600"/>
      <c r="K178" s="600"/>
      <c r="L178" s="600"/>
    </row>
    <row r="179" spans="1:12" ht="15.75" customHeight="1" x14ac:dyDescent="0.25">
      <c r="A179" s="928">
        <f t="shared" si="2"/>
        <v>129</v>
      </c>
      <c r="B179" s="926">
        <f>+NOMINA!C172</f>
        <v>16266033</v>
      </c>
      <c r="C179" s="926" t="str">
        <f>+NOMINA!D172</f>
        <v>Montilla de Davila Nileidy del Valle</v>
      </c>
      <c r="D179" s="926" t="str">
        <f>+NOMINA!O172</f>
        <v>Guia de Centro I</v>
      </c>
      <c r="E179" s="929">
        <f>+NOMINA!H172</f>
        <v>44713</v>
      </c>
      <c r="F179" s="930">
        <f>+NOMINA!BR172</f>
        <v>64.22</v>
      </c>
      <c r="G179" s="930">
        <f>+NOMINA!BS172</f>
        <v>14.27</v>
      </c>
      <c r="H179" s="599"/>
      <c r="I179" s="600"/>
      <c r="J179" s="600"/>
      <c r="K179" s="600"/>
      <c r="L179" s="600"/>
    </row>
    <row r="180" spans="1:12" ht="15.75" customHeight="1" x14ac:dyDescent="0.25">
      <c r="A180" s="928">
        <f t="shared" si="2"/>
        <v>130</v>
      </c>
      <c r="B180" s="926">
        <f>+NOMINA!C173</f>
        <v>16266989</v>
      </c>
      <c r="C180" s="926" t="str">
        <f>+NOMINA!D173</f>
        <v>Rincon Quevedo Angela Adriana</v>
      </c>
      <c r="D180" s="926" t="str">
        <f>+NOMINA!O173</f>
        <v>Guia de Centro II</v>
      </c>
      <c r="E180" s="929">
        <f>+NOMINA!H173</f>
        <v>43040</v>
      </c>
      <c r="F180" s="930">
        <f>+NOMINA!BR173</f>
        <v>76.72</v>
      </c>
      <c r="G180" s="930">
        <f>+NOMINA!BS173</f>
        <v>17.05</v>
      </c>
      <c r="H180" s="599"/>
      <c r="I180" s="600"/>
      <c r="J180" s="600"/>
      <c r="K180" s="600"/>
      <c r="L180" s="600"/>
    </row>
    <row r="181" spans="1:12" ht="15.75" customHeight="1" x14ac:dyDescent="0.25">
      <c r="A181" s="928">
        <f t="shared" ref="A181:A244" si="3">+A180+1</f>
        <v>131</v>
      </c>
      <c r="B181" s="926">
        <f>+NOMINA!C174</f>
        <v>16267940</v>
      </c>
      <c r="C181" s="926" t="str">
        <f>+NOMINA!D174</f>
        <v>Araujo Moreno Elisaelith</v>
      </c>
      <c r="D181" s="926" t="str">
        <f>+NOMINA!O174</f>
        <v>Tecnico Superior en Trabajo Social II</v>
      </c>
      <c r="E181" s="929">
        <f>+NOMINA!H174</f>
        <v>44600</v>
      </c>
      <c r="F181" s="930">
        <f>+NOMINA!BR174</f>
        <v>45.87</v>
      </c>
      <c r="G181" s="930">
        <f>+NOMINA!BS174</f>
        <v>10.19</v>
      </c>
      <c r="H181" s="599"/>
      <c r="I181" s="600"/>
      <c r="J181" s="600"/>
      <c r="K181" s="600"/>
      <c r="L181" s="600"/>
    </row>
    <row r="182" spans="1:12" ht="15.75" customHeight="1" x14ac:dyDescent="0.25">
      <c r="A182" s="928">
        <f t="shared" si="3"/>
        <v>132</v>
      </c>
      <c r="B182" s="926">
        <f>+NOMINA!C175</f>
        <v>16376534</v>
      </c>
      <c r="C182" s="926" t="str">
        <f>+NOMINA!D175</f>
        <v>Lugo Moreno Yenny Katiuska</v>
      </c>
      <c r="D182" s="926" t="str">
        <f>+NOMINA!O175</f>
        <v>Guia de Centro II</v>
      </c>
      <c r="E182" s="929">
        <f>+NOMINA!H175</f>
        <v>43754</v>
      </c>
      <c r="F182" s="930">
        <f>+NOMINA!BR175</f>
        <v>73.13</v>
      </c>
      <c r="G182" s="930">
        <f>+NOMINA!BS175</f>
        <v>16.25</v>
      </c>
      <c r="H182" s="599"/>
      <c r="I182" s="600"/>
      <c r="J182" s="600"/>
      <c r="K182" s="600"/>
      <c r="L182" s="600"/>
    </row>
    <row r="183" spans="1:12" ht="15.75" customHeight="1" x14ac:dyDescent="0.25">
      <c r="A183" s="928">
        <f t="shared" si="3"/>
        <v>133</v>
      </c>
      <c r="B183" s="926">
        <f>+NOMINA!C176</f>
        <v>16376698</v>
      </c>
      <c r="C183" s="926" t="str">
        <f>+NOMINA!D176</f>
        <v>Barreto Maldonado Jose Luis</v>
      </c>
      <c r="D183" s="926" t="str">
        <f>+NOMINA!O176</f>
        <v>Supervisor de Servicios Generales IV</v>
      </c>
      <c r="E183" s="929">
        <f>+NOMINA!H176</f>
        <v>40909</v>
      </c>
      <c r="F183" s="930">
        <f>+NOMINA!BR176</f>
        <v>36.909999999999997</v>
      </c>
      <c r="G183" s="930">
        <f>+NOMINA!BS176</f>
        <v>8.1999999999999993</v>
      </c>
      <c r="H183" s="599"/>
      <c r="I183" s="600"/>
      <c r="J183" s="600"/>
      <c r="K183" s="600"/>
      <c r="L183" s="600"/>
    </row>
    <row r="184" spans="1:12" ht="15.75" customHeight="1" x14ac:dyDescent="0.25">
      <c r="A184" s="928">
        <f t="shared" si="3"/>
        <v>134</v>
      </c>
      <c r="B184" s="926">
        <f>+NOMINA!C177</f>
        <v>16377159</v>
      </c>
      <c r="C184" s="926" t="str">
        <f>+NOMINA!D177</f>
        <v>Carrillo Uzcategui Tahiyuani Carolina</v>
      </c>
      <c r="D184" s="926" t="str">
        <f>+NOMINA!O177</f>
        <v>Guia de Centro I</v>
      </c>
      <c r="E184" s="929">
        <f>+NOMINA!H177</f>
        <v>44743</v>
      </c>
      <c r="F184" s="930">
        <f>+NOMINA!BR177</f>
        <v>61.65</v>
      </c>
      <c r="G184" s="930">
        <f>+NOMINA!BS177</f>
        <v>13.7</v>
      </c>
      <c r="H184" s="599"/>
      <c r="I184" s="600"/>
      <c r="J184" s="600"/>
      <c r="K184" s="600"/>
      <c r="L184" s="600"/>
    </row>
    <row r="185" spans="1:12" ht="15.75" customHeight="1" x14ac:dyDescent="0.25">
      <c r="A185" s="928">
        <f t="shared" si="3"/>
        <v>135</v>
      </c>
      <c r="B185" s="926">
        <f>+NOMINA!C178</f>
        <v>16377588</v>
      </c>
      <c r="C185" s="926" t="str">
        <f>+NOMINA!D178</f>
        <v>Perdomo Linares Alejandra Carolina</v>
      </c>
      <c r="D185" s="926" t="str">
        <f>+NOMINA!O178</f>
        <v>Tutor Facilitador II</v>
      </c>
      <c r="E185" s="929">
        <f>+NOMINA!H178</f>
        <v>44059</v>
      </c>
      <c r="F185" s="930">
        <f>+NOMINA!BR178</f>
        <v>56.25</v>
      </c>
      <c r="G185" s="930">
        <f>+NOMINA!BS178</f>
        <v>12.5</v>
      </c>
      <c r="H185" s="599"/>
      <c r="I185" s="600"/>
      <c r="J185" s="600"/>
      <c r="K185" s="600"/>
      <c r="L185" s="600"/>
    </row>
    <row r="186" spans="1:12" ht="15.75" customHeight="1" x14ac:dyDescent="0.25">
      <c r="A186" s="928">
        <f t="shared" si="3"/>
        <v>136</v>
      </c>
      <c r="B186" s="926">
        <f>+NOMINA!C179</f>
        <v>16377628</v>
      </c>
      <c r="C186" s="926" t="str">
        <f>+NOMINA!D179</f>
        <v>Peña Nava Maria Gabriela</v>
      </c>
      <c r="D186" s="926" t="str">
        <f>+NOMINA!O179</f>
        <v>Guia de Centro II</v>
      </c>
      <c r="E186" s="929">
        <f>+NOMINA!H179</f>
        <v>44743</v>
      </c>
      <c r="F186" s="930">
        <f>+NOMINA!BR179</f>
        <v>78.39</v>
      </c>
      <c r="G186" s="930">
        <f>+NOMINA!BS179</f>
        <v>17.420000000000002</v>
      </c>
      <c r="H186" s="599"/>
      <c r="I186" s="600"/>
      <c r="J186" s="600"/>
      <c r="K186" s="600"/>
      <c r="L186" s="600"/>
    </row>
    <row r="187" spans="1:12" ht="15.75" customHeight="1" x14ac:dyDescent="0.25">
      <c r="A187" s="928">
        <f t="shared" si="3"/>
        <v>137</v>
      </c>
      <c r="B187" s="926">
        <f>+NOMINA!C180</f>
        <v>16533566</v>
      </c>
      <c r="C187" s="926" t="str">
        <f>+NOMINA!D180</f>
        <v>Materan Gallardo Vivian Katiana</v>
      </c>
      <c r="D187" s="926" t="str">
        <f>+NOMINA!O180</f>
        <v>Guia de Centro I</v>
      </c>
      <c r="E187" s="929">
        <f>+NOMINA!H180</f>
        <v>44683</v>
      </c>
      <c r="F187" s="930">
        <f>+NOMINA!BR180</f>
        <v>41.78</v>
      </c>
      <c r="G187" s="930">
        <f>+NOMINA!BS180</f>
        <v>9.2899999999999991</v>
      </c>
      <c r="H187" s="599"/>
      <c r="I187" s="600"/>
      <c r="J187" s="600"/>
      <c r="K187" s="600"/>
      <c r="L187" s="600"/>
    </row>
    <row r="188" spans="1:12" ht="15.75" customHeight="1" x14ac:dyDescent="0.25">
      <c r="A188" s="928">
        <f t="shared" si="3"/>
        <v>138</v>
      </c>
      <c r="B188" s="926">
        <f>+NOMINA!C181</f>
        <v>16533615</v>
      </c>
      <c r="C188" s="926" t="str">
        <f>+NOMINA!D181</f>
        <v>Valero Sulbaran Urquia Del Mar</v>
      </c>
      <c r="D188" s="926" t="str">
        <f>+NOMINA!O181</f>
        <v>Guia de Centro I</v>
      </c>
      <c r="E188" s="929">
        <f>+NOMINA!H181</f>
        <v>45474</v>
      </c>
      <c r="F188" s="930">
        <f>+NOMINA!BR181</f>
        <v>65.97</v>
      </c>
      <c r="G188" s="930">
        <f>+NOMINA!BS181</f>
        <v>14.66</v>
      </c>
      <c r="H188" s="599"/>
      <c r="I188" s="600"/>
      <c r="J188" s="600"/>
      <c r="K188" s="600"/>
      <c r="L188" s="600"/>
    </row>
    <row r="189" spans="1:12" ht="15.75" customHeight="1" x14ac:dyDescent="0.25">
      <c r="A189" s="928">
        <f t="shared" si="3"/>
        <v>139</v>
      </c>
      <c r="B189" s="926">
        <f>+NOMINA!C182</f>
        <v>16533986</v>
      </c>
      <c r="C189" s="926" t="str">
        <f>+NOMINA!D182</f>
        <v>Serrada Bustos Gladys Magaly</v>
      </c>
      <c r="D189" s="926" t="str">
        <f>+NOMINA!O182</f>
        <v>INGENIERO ELECTRICISTA JEFE</v>
      </c>
      <c r="E189" s="929">
        <f>+NOMINA!H182</f>
        <v>42948</v>
      </c>
      <c r="F189" s="930">
        <f>+NOMINA!BR182</f>
        <v>57.83</v>
      </c>
      <c r="G189" s="930">
        <f>+NOMINA!BS182</f>
        <v>12.85</v>
      </c>
      <c r="H189" s="599"/>
      <c r="I189" s="600"/>
      <c r="J189" s="600"/>
      <c r="K189" s="600"/>
      <c r="L189" s="600"/>
    </row>
    <row r="190" spans="1:12" ht="15.75" customHeight="1" x14ac:dyDescent="0.25">
      <c r="A190" s="928">
        <f t="shared" si="3"/>
        <v>140</v>
      </c>
      <c r="B190" s="926">
        <f>+NOMINA!C183</f>
        <v>16739081</v>
      </c>
      <c r="C190" s="926" t="str">
        <f>+NOMINA!D183</f>
        <v>Albarran Araujo Yely Coromoto</v>
      </c>
      <c r="D190" s="926" t="str">
        <f>+NOMINA!O183</f>
        <v>Asistente Administrativo III</v>
      </c>
      <c r="E190" s="929">
        <f>+NOMINA!H183</f>
        <v>42948</v>
      </c>
      <c r="F190" s="930">
        <f>+NOMINA!BR183</f>
        <v>0</v>
      </c>
      <c r="G190" s="930">
        <f>+NOMINA!BS183</f>
        <v>0</v>
      </c>
      <c r="H190" s="599"/>
      <c r="I190" s="600"/>
      <c r="J190" s="600"/>
      <c r="K190" s="600"/>
      <c r="L190" s="600"/>
    </row>
    <row r="191" spans="1:12" ht="15.75" customHeight="1" x14ac:dyDescent="0.25">
      <c r="A191" s="928">
        <f t="shared" si="3"/>
        <v>141</v>
      </c>
      <c r="B191" s="926">
        <f>+NOMINA!C184</f>
        <v>16740261</v>
      </c>
      <c r="C191" s="926" t="str">
        <f>+NOMINA!D184</f>
        <v>Rivas Briceño Nathaly Del Carmen</v>
      </c>
      <c r="D191" s="926" t="str">
        <f>+NOMINA!O184</f>
        <v>Tecnico Superior en Trabajo Social I</v>
      </c>
      <c r="E191" s="929">
        <f>+NOMINA!H184</f>
        <v>45505</v>
      </c>
      <c r="F191" s="930">
        <f>+NOMINA!BR184</f>
        <v>41.92</v>
      </c>
      <c r="G191" s="930">
        <f>+NOMINA!BS184</f>
        <v>9.32</v>
      </c>
      <c r="H191" s="599"/>
      <c r="I191" s="600"/>
      <c r="J191" s="600"/>
      <c r="K191" s="600"/>
      <c r="L191" s="600"/>
    </row>
    <row r="192" spans="1:12" ht="15.75" customHeight="1" x14ac:dyDescent="0.25">
      <c r="A192" s="928">
        <f t="shared" si="3"/>
        <v>142</v>
      </c>
      <c r="B192" s="926">
        <f>+NOMINA!C185</f>
        <v>16881384</v>
      </c>
      <c r="C192" s="926" t="str">
        <f>+NOMINA!D185</f>
        <v>Perez Ramirez Yonathan Jesus</v>
      </c>
      <c r="D192" s="926" t="str">
        <f>+NOMINA!O185</f>
        <v>Guia de Centro II</v>
      </c>
      <c r="E192" s="929">
        <f>+NOMINA!H185</f>
        <v>43906</v>
      </c>
      <c r="F192" s="930">
        <f>+NOMINA!BR185</f>
        <v>63.56</v>
      </c>
      <c r="G192" s="930">
        <f>+NOMINA!BS185</f>
        <v>14.12</v>
      </c>
      <c r="H192" s="599"/>
      <c r="I192" s="600"/>
      <c r="J192" s="600"/>
      <c r="K192" s="600"/>
      <c r="L192" s="600"/>
    </row>
    <row r="193" spans="1:12" ht="15.75" customHeight="1" x14ac:dyDescent="0.25">
      <c r="A193" s="928">
        <f t="shared" si="3"/>
        <v>143</v>
      </c>
      <c r="B193" s="926">
        <f>+NOMINA!C186</f>
        <v>16882467</v>
      </c>
      <c r="C193" s="926" t="str">
        <f>+NOMINA!D186</f>
        <v>Mejia Araujo Sandra Coromoto</v>
      </c>
      <c r="D193" s="926" t="str">
        <f>+NOMINA!O186</f>
        <v>Analista de Personal IV</v>
      </c>
      <c r="E193" s="929">
        <f>+NOMINA!H186</f>
        <v>42948</v>
      </c>
      <c r="F193" s="930">
        <f>+NOMINA!BR186</f>
        <v>60.53</v>
      </c>
      <c r="G193" s="930">
        <f>+NOMINA!BS186</f>
        <v>13.45</v>
      </c>
      <c r="H193" s="599"/>
      <c r="I193" s="600"/>
      <c r="J193" s="600"/>
      <c r="K193" s="600"/>
      <c r="L193" s="600"/>
    </row>
    <row r="194" spans="1:12" ht="15.75" customHeight="1" x14ac:dyDescent="0.25">
      <c r="A194" s="928">
        <f t="shared" si="3"/>
        <v>144</v>
      </c>
      <c r="B194" s="926">
        <f>+NOMINA!C187</f>
        <v>16883267</v>
      </c>
      <c r="C194" s="926" t="str">
        <f>+NOMINA!D187</f>
        <v>Matheus Rondon Aida</v>
      </c>
      <c r="D194" s="926" t="str">
        <f>+NOMINA!O187</f>
        <v>Guia de Centro II</v>
      </c>
      <c r="E194" s="929">
        <f>+NOMINA!H187</f>
        <v>38930</v>
      </c>
      <c r="F194" s="930">
        <f>+NOMINA!BR187</f>
        <v>51.55</v>
      </c>
      <c r="G194" s="930">
        <f>+NOMINA!BS187</f>
        <v>11.45</v>
      </c>
      <c r="H194" s="599"/>
      <c r="I194" s="600"/>
      <c r="J194" s="600"/>
      <c r="K194" s="600"/>
      <c r="L194" s="600"/>
    </row>
    <row r="195" spans="1:12" ht="15.75" customHeight="1" x14ac:dyDescent="0.25">
      <c r="A195" s="928">
        <f t="shared" si="3"/>
        <v>145</v>
      </c>
      <c r="B195" s="926">
        <f>+NOMINA!C188</f>
        <v>17037244</v>
      </c>
      <c r="C195" s="926" t="str">
        <f>+NOMINA!D188</f>
        <v>Bastidas Yelitza del Carmen</v>
      </c>
      <c r="D195" s="926" t="str">
        <f>+NOMINA!O188</f>
        <v>Guia de Centro II</v>
      </c>
      <c r="E195" s="929">
        <f>+NOMINA!H188</f>
        <v>40087</v>
      </c>
      <c r="F195" s="930">
        <f>+NOMINA!BR188</f>
        <v>68.31</v>
      </c>
      <c r="G195" s="930">
        <f>+NOMINA!BS188</f>
        <v>15.18</v>
      </c>
      <c r="H195" s="599"/>
      <c r="I195" s="600"/>
      <c r="J195" s="600"/>
      <c r="K195" s="600"/>
      <c r="L195" s="600"/>
    </row>
    <row r="196" spans="1:12" ht="15.75" customHeight="1" x14ac:dyDescent="0.25">
      <c r="A196" s="928">
        <f t="shared" si="3"/>
        <v>146</v>
      </c>
      <c r="B196" s="926">
        <f>+NOMINA!C189</f>
        <v>17038061</v>
      </c>
      <c r="C196" s="926" t="str">
        <f>+NOMINA!D189</f>
        <v>Ruendez Araujo Omaira del Carmen</v>
      </c>
      <c r="D196" s="926" t="str">
        <f>+NOMINA!O189</f>
        <v>Guia de Centro I</v>
      </c>
      <c r="E196" s="929">
        <f>+NOMINA!H189</f>
        <v>45809</v>
      </c>
      <c r="F196" s="930">
        <f>+NOMINA!BR189</f>
        <v>38.65</v>
      </c>
      <c r="G196" s="930">
        <f>+NOMINA!BS189</f>
        <v>8.59</v>
      </c>
      <c r="H196" s="599"/>
      <c r="I196" s="600"/>
      <c r="J196" s="600"/>
      <c r="K196" s="600"/>
      <c r="L196" s="600"/>
    </row>
    <row r="197" spans="1:12" ht="15.75" customHeight="1" x14ac:dyDescent="0.25">
      <c r="A197" s="928">
        <f t="shared" si="3"/>
        <v>147</v>
      </c>
      <c r="B197" s="926">
        <f>+NOMINA!C190</f>
        <v>17094419</v>
      </c>
      <c r="C197" s="926" t="str">
        <f>+NOMINA!D190</f>
        <v>Aponte Rivera Lenismar del Valle</v>
      </c>
      <c r="D197" s="926" t="str">
        <f>+NOMINA!O190</f>
        <v>Guia de Centro I</v>
      </c>
      <c r="E197" s="929">
        <f>+NOMINA!H190</f>
        <v>44409</v>
      </c>
      <c r="F197" s="930">
        <f>+NOMINA!BR190</f>
        <v>40.299999999999997</v>
      </c>
      <c r="G197" s="930">
        <f>+NOMINA!BS190</f>
        <v>8.9600000000000009</v>
      </c>
      <c r="H197" s="599"/>
      <c r="I197" s="600"/>
      <c r="J197" s="600"/>
      <c r="K197" s="600"/>
      <c r="L197" s="600"/>
    </row>
    <row r="198" spans="1:12" ht="15.75" customHeight="1" x14ac:dyDescent="0.25">
      <c r="A198" s="928">
        <f t="shared" si="3"/>
        <v>148</v>
      </c>
      <c r="B198" s="926">
        <f>+NOMINA!C191</f>
        <v>17094426</v>
      </c>
      <c r="C198" s="926" t="str">
        <f>+NOMINA!D191</f>
        <v>Manzanilla Araujo Richard Jose</v>
      </c>
      <c r="D198" s="926" t="str">
        <f>+NOMINA!O191</f>
        <v>Guia de Centro II</v>
      </c>
      <c r="E198" s="929">
        <f>+NOMINA!H191</f>
        <v>43344</v>
      </c>
      <c r="F198" s="930">
        <f>+NOMINA!BR191</f>
        <v>74.61</v>
      </c>
      <c r="G198" s="930">
        <f>+NOMINA!BS191</f>
        <v>16.579999999999998</v>
      </c>
      <c r="H198" s="599"/>
      <c r="I198" s="600"/>
      <c r="J198" s="600"/>
      <c r="K198" s="600"/>
      <c r="L198" s="600"/>
    </row>
    <row r="199" spans="1:12" ht="15.75" customHeight="1" x14ac:dyDescent="0.25">
      <c r="A199" s="928">
        <f t="shared" si="3"/>
        <v>149</v>
      </c>
      <c r="B199" s="926">
        <f>+NOMINA!C192</f>
        <v>17130893</v>
      </c>
      <c r="C199" s="926" t="str">
        <f>+NOMINA!D192</f>
        <v>Leon Valero Ceila Maria</v>
      </c>
      <c r="D199" s="926" t="str">
        <f>+NOMINA!O192</f>
        <v>Tutor Facilitador III</v>
      </c>
      <c r="E199" s="929">
        <f>+NOMINA!H192</f>
        <v>39602</v>
      </c>
      <c r="F199" s="930">
        <f>+NOMINA!BR192</f>
        <v>64.959999999999994</v>
      </c>
      <c r="G199" s="930">
        <f>+NOMINA!BS192</f>
        <v>14.44</v>
      </c>
      <c r="H199" s="599"/>
      <c r="I199" s="600"/>
      <c r="J199" s="600"/>
      <c r="K199" s="600"/>
      <c r="L199" s="600"/>
    </row>
    <row r="200" spans="1:12" ht="15.75" customHeight="1" x14ac:dyDescent="0.25">
      <c r="A200" s="928">
        <f t="shared" si="3"/>
        <v>150</v>
      </c>
      <c r="B200" s="926">
        <f>+NOMINA!C193</f>
        <v>17265578</v>
      </c>
      <c r="C200" s="926" t="str">
        <f>+NOMINA!D193</f>
        <v>Briceño Aguilar Rebeca Andreina</v>
      </c>
      <c r="D200" s="926" t="str">
        <f>+NOMINA!O193</f>
        <v>Tecnico Superior en Trabajo Social II</v>
      </c>
      <c r="E200" s="929">
        <f>+NOMINA!H193</f>
        <v>45047</v>
      </c>
      <c r="F200" s="930">
        <f>+NOMINA!BR193</f>
        <v>46.14</v>
      </c>
      <c r="G200" s="930">
        <f>+NOMINA!BS193</f>
        <v>10.25</v>
      </c>
      <c r="H200" s="599"/>
      <c r="I200" s="600"/>
      <c r="J200" s="600"/>
      <c r="K200" s="600"/>
      <c r="L200" s="600"/>
    </row>
    <row r="201" spans="1:12" ht="15.75" customHeight="1" x14ac:dyDescent="0.25">
      <c r="A201" s="928">
        <f t="shared" si="3"/>
        <v>151</v>
      </c>
      <c r="B201" s="926">
        <f>+NOMINA!C194</f>
        <v>17265648</v>
      </c>
      <c r="C201" s="926" t="str">
        <f>+NOMINA!D194</f>
        <v>Carrizo Mary Alejandra</v>
      </c>
      <c r="D201" s="926" t="str">
        <f>+NOMINA!O194</f>
        <v>Guia de Centro II</v>
      </c>
      <c r="E201" s="929">
        <f>+NOMINA!H194</f>
        <v>43709</v>
      </c>
      <c r="F201" s="930">
        <f>+NOMINA!BR194</f>
        <v>45.3</v>
      </c>
      <c r="G201" s="930">
        <f>+NOMINA!BS194</f>
        <v>10.07</v>
      </c>
      <c r="H201" s="599"/>
      <c r="I201" s="600"/>
      <c r="J201" s="600"/>
      <c r="K201" s="600"/>
      <c r="L201" s="600"/>
    </row>
    <row r="202" spans="1:12" ht="15.75" customHeight="1" x14ac:dyDescent="0.25">
      <c r="A202" s="928">
        <f t="shared" si="3"/>
        <v>152</v>
      </c>
      <c r="B202" s="926">
        <f>+NOMINA!C195</f>
        <v>17267324</v>
      </c>
      <c r="C202" s="926" t="str">
        <f>+NOMINA!D195</f>
        <v>Urdaneta Soto Katherine Esther</v>
      </c>
      <c r="D202" s="926" t="str">
        <f>+NOMINA!O195</f>
        <v>Guia de Centro II</v>
      </c>
      <c r="E202" s="929">
        <f>+NOMINA!H195</f>
        <v>43785</v>
      </c>
      <c r="F202" s="930">
        <f>+NOMINA!BR195</f>
        <v>40.5</v>
      </c>
      <c r="G202" s="930">
        <f>+NOMINA!BS195</f>
        <v>9</v>
      </c>
      <c r="H202" s="599"/>
      <c r="I202" s="600"/>
      <c r="J202" s="600"/>
      <c r="K202" s="600"/>
      <c r="L202" s="600"/>
    </row>
    <row r="203" spans="1:12" ht="15.75" customHeight="1" x14ac:dyDescent="0.25">
      <c r="A203" s="928">
        <f t="shared" si="3"/>
        <v>153</v>
      </c>
      <c r="B203" s="926">
        <f>+NOMINA!C196</f>
        <v>17391316</v>
      </c>
      <c r="C203" s="926" t="str">
        <f>+NOMINA!D196</f>
        <v>Torres Aranguren Lilibeth del Valle</v>
      </c>
      <c r="D203" s="926" t="str">
        <f>+NOMINA!O196</f>
        <v>Guia de Centro I</v>
      </c>
      <c r="E203" s="929">
        <f>+NOMINA!H196</f>
        <v>44713</v>
      </c>
      <c r="F203" s="930">
        <f>+NOMINA!BR196</f>
        <v>59.63</v>
      </c>
      <c r="G203" s="930">
        <f>+NOMINA!BS196</f>
        <v>13.25</v>
      </c>
      <c r="H203" s="599"/>
      <c r="I203" s="600"/>
      <c r="J203" s="600"/>
      <c r="K203" s="600"/>
      <c r="L203" s="600"/>
    </row>
    <row r="204" spans="1:12" ht="15.75" customHeight="1" x14ac:dyDescent="0.25">
      <c r="A204" s="928">
        <f t="shared" si="3"/>
        <v>154</v>
      </c>
      <c r="B204" s="926">
        <f>+NOMINA!C197</f>
        <v>17391892</v>
      </c>
      <c r="C204" s="926" t="str">
        <f>+NOMINA!D197</f>
        <v>Godoy Padilla Darcy Yaneth</v>
      </c>
      <c r="D204" s="926" t="str">
        <f>+NOMINA!O197</f>
        <v>Analista de Personal I</v>
      </c>
      <c r="E204" s="929">
        <f>+NOMINA!H197</f>
        <v>45323</v>
      </c>
      <c r="F204" s="930">
        <f>+NOMINA!BR197</f>
        <v>57.16</v>
      </c>
      <c r="G204" s="930">
        <f>+NOMINA!BS197</f>
        <v>12.7</v>
      </c>
      <c r="H204" s="599"/>
      <c r="I204" s="600"/>
      <c r="J204" s="600"/>
      <c r="K204" s="600"/>
      <c r="L204" s="600"/>
    </row>
    <row r="205" spans="1:12" ht="15.75" customHeight="1" x14ac:dyDescent="0.25">
      <c r="A205" s="928">
        <f t="shared" si="3"/>
        <v>155</v>
      </c>
      <c r="B205" s="926">
        <f>+NOMINA!C198</f>
        <v>17392309</v>
      </c>
      <c r="C205" s="926" t="str">
        <f>+NOMINA!D198</f>
        <v>Torres Briceño Yarelis del Carmen</v>
      </c>
      <c r="D205" s="926" t="str">
        <f>+NOMINA!O198</f>
        <v>Administrador II</v>
      </c>
      <c r="E205" s="929">
        <f>+NOMINA!H198</f>
        <v>43116</v>
      </c>
      <c r="F205" s="930">
        <f>+NOMINA!BR198</f>
        <v>57.39</v>
      </c>
      <c r="G205" s="930">
        <f>+NOMINA!BS198</f>
        <v>12.75</v>
      </c>
      <c r="H205" s="599"/>
      <c r="I205" s="600"/>
      <c r="J205" s="600"/>
      <c r="K205" s="600"/>
      <c r="L205" s="600"/>
    </row>
    <row r="206" spans="1:12" ht="15.75" customHeight="1" x14ac:dyDescent="0.25">
      <c r="A206" s="928">
        <f t="shared" si="3"/>
        <v>156</v>
      </c>
      <c r="B206" s="926">
        <f>+NOMINA!C199</f>
        <v>17393693</v>
      </c>
      <c r="C206" s="926" t="str">
        <f>+NOMINA!D199</f>
        <v>Nuñez Maria Gusmara</v>
      </c>
      <c r="D206" s="926" t="str">
        <f>+NOMINA!O199</f>
        <v>Asistente Administrativo II</v>
      </c>
      <c r="E206" s="929">
        <f>+NOMINA!H199</f>
        <v>44516</v>
      </c>
      <c r="F206" s="930">
        <f>+NOMINA!BR199</f>
        <v>32.14</v>
      </c>
      <c r="G206" s="930">
        <f>+NOMINA!BS199</f>
        <v>7.14</v>
      </c>
      <c r="H206" s="599"/>
      <c r="I206" s="600"/>
      <c r="J206" s="600"/>
      <c r="K206" s="600"/>
      <c r="L206" s="600"/>
    </row>
    <row r="207" spans="1:12" ht="15.75" customHeight="1" x14ac:dyDescent="0.25">
      <c r="A207" s="928">
        <f t="shared" si="3"/>
        <v>157</v>
      </c>
      <c r="B207" s="926">
        <f>+NOMINA!C200</f>
        <v>17596844</v>
      </c>
      <c r="C207" s="926" t="str">
        <f>+NOMINA!D200</f>
        <v>Colmenares Jorge Luis</v>
      </c>
      <c r="D207" s="926" t="str">
        <f>+NOMINA!O200</f>
        <v>Guia de Centro I</v>
      </c>
      <c r="E207" s="929">
        <f>+NOMINA!H200</f>
        <v>45474</v>
      </c>
      <c r="F207" s="930">
        <f>+NOMINA!BR200</f>
        <v>56.52</v>
      </c>
      <c r="G207" s="930">
        <f>+NOMINA!BS200</f>
        <v>12.56</v>
      </c>
      <c r="H207" s="599"/>
      <c r="I207" s="600"/>
      <c r="J207" s="600"/>
      <c r="K207" s="600"/>
      <c r="L207" s="600"/>
    </row>
    <row r="208" spans="1:12" ht="15.75" customHeight="1" x14ac:dyDescent="0.25">
      <c r="A208" s="928">
        <f t="shared" si="3"/>
        <v>158</v>
      </c>
      <c r="B208" s="926">
        <f>+NOMINA!C201</f>
        <v>17597257</v>
      </c>
      <c r="C208" s="926" t="str">
        <f>+NOMINA!D201</f>
        <v>Linares Barreto Jorge Luis</v>
      </c>
      <c r="D208" s="926" t="str">
        <f>+NOMINA!O201</f>
        <v>GUIA DE CENTRO I</v>
      </c>
      <c r="E208" s="929">
        <f>+NOMINA!H201</f>
        <v>45536</v>
      </c>
      <c r="F208" s="930">
        <f>+NOMINA!BR201</f>
        <v>54.5</v>
      </c>
      <c r="G208" s="930">
        <f>+NOMINA!BS201</f>
        <v>12.11</v>
      </c>
      <c r="H208" s="599"/>
      <c r="I208" s="600"/>
      <c r="J208" s="600"/>
      <c r="K208" s="600"/>
      <c r="L208" s="600"/>
    </row>
    <row r="209" spans="1:12" ht="15.75" customHeight="1" x14ac:dyDescent="0.25">
      <c r="A209" s="928">
        <f t="shared" si="3"/>
        <v>159</v>
      </c>
      <c r="B209" s="926">
        <f>+NOMINA!C202</f>
        <v>17597285</v>
      </c>
      <c r="C209" s="926" t="str">
        <f>+NOMINA!D202</f>
        <v>Duarte Portillo Dani Vicente</v>
      </c>
      <c r="D209" s="926" t="str">
        <f>+NOMINA!O202</f>
        <v>Tecnico Superior en Trabajo Social II</v>
      </c>
      <c r="E209" s="929">
        <f>+NOMINA!H202</f>
        <v>42782</v>
      </c>
      <c r="F209" s="930">
        <f>+NOMINA!BR202</f>
        <v>46.11</v>
      </c>
      <c r="G209" s="930">
        <f>+NOMINA!BS202</f>
        <v>10.25</v>
      </c>
      <c r="H209" s="599"/>
      <c r="I209" s="600"/>
      <c r="J209" s="600"/>
      <c r="K209" s="600"/>
      <c r="L209" s="600"/>
    </row>
    <row r="210" spans="1:12" ht="15.75" customHeight="1" x14ac:dyDescent="0.25">
      <c r="A210" s="928">
        <f t="shared" si="3"/>
        <v>160</v>
      </c>
      <c r="B210" s="926">
        <f>+NOMINA!C203</f>
        <v>17604568</v>
      </c>
      <c r="C210" s="926" t="str">
        <f>+NOMINA!D203</f>
        <v>Rivera Gil Christian Rafael</v>
      </c>
      <c r="D210" s="926" t="str">
        <f>+NOMINA!O203</f>
        <v>Tecnico en Reparacion y Mantenimiento I</v>
      </c>
      <c r="E210" s="929">
        <f>+NOMINA!H203</f>
        <v>43831</v>
      </c>
      <c r="F210" s="930">
        <f>+NOMINA!BR203</f>
        <v>47.97</v>
      </c>
      <c r="G210" s="930">
        <f>+NOMINA!BS203</f>
        <v>10.66</v>
      </c>
      <c r="H210" s="599"/>
      <c r="I210" s="600"/>
      <c r="J210" s="600"/>
      <c r="K210" s="600"/>
      <c r="L210" s="600"/>
    </row>
    <row r="211" spans="1:12" ht="15.75" customHeight="1" x14ac:dyDescent="0.25">
      <c r="A211" s="928">
        <f t="shared" si="3"/>
        <v>161</v>
      </c>
      <c r="B211" s="926">
        <f>+NOMINA!C204</f>
        <v>17605222</v>
      </c>
      <c r="C211" s="926" t="str">
        <f>+NOMINA!D204</f>
        <v>Aguial Dayana Carolina</v>
      </c>
      <c r="D211" s="926" t="str">
        <f>+NOMINA!O204</f>
        <v>Guia de Centro II</v>
      </c>
      <c r="E211" s="929">
        <f>+NOMINA!H204</f>
        <v>42737</v>
      </c>
      <c r="F211" s="930">
        <f>+NOMINA!BR204</f>
        <v>62.44</v>
      </c>
      <c r="G211" s="930">
        <f>+NOMINA!BS204</f>
        <v>13.88</v>
      </c>
      <c r="H211" s="599"/>
      <c r="I211" s="600"/>
      <c r="J211" s="600"/>
      <c r="K211" s="600"/>
      <c r="L211" s="600"/>
    </row>
    <row r="212" spans="1:12" ht="15.75" customHeight="1" x14ac:dyDescent="0.25">
      <c r="A212" s="928">
        <f t="shared" si="3"/>
        <v>162</v>
      </c>
      <c r="B212" s="926">
        <f>+NOMINA!C205</f>
        <v>17605492</v>
      </c>
      <c r="C212" s="926" t="str">
        <f>+NOMINA!D205</f>
        <v>Briceño Briceño Naibely Carolina</v>
      </c>
      <c r="D212" s="926" t="str">
        <f>+NOMINA!O205</f>
        <v>Asistente Administrativo V</v>
      </c>
      <c r="E212" s="929">
        <f>+NOMINA!H205</f>
        <v>43967</v>
      </c>
      <c r="F212" s="930">
        <f>+NOMINA!BR205</f>
        <v>54.63</v>
      </c>
      <c r="G212" s="930">
        <f>+NOMINA!BS205</f>
        <v>12.14</v>
      </c>
      <c r="H212" s="599"/>
      <c r="I212" s="600"/>
      <c r="J212" s="600"/>
      <c r="K212" s="600"/>
      <c r="L212" s="600"/>
    </row>
    <row r="213" spans="1:12" ht="15.75" customHeight="1" x14ac:dyDescent="0.25">
      <c r="A213" s="928">
        <f t="shared" si="3"/>
        <v>163</v>
      </c>
      <c r="B213" s="926">
        <f>+NOMINA!C206</f>
        <v>17606237</v>
      </c>
      <c r="C213" s="926" t="str">
        <f>+NOMINA!D206</f>
        <v>Castellano Rivera Maria Antonina</v>
      </c>
      <c r="D213" s="926" t="str">
        <f>+NOMINA!O206</f>
        <v>Asistente Administrativo III</v>
      </c>
      <c r="E213" s="929">
        <f>+NOMINA!H206</f>
        <v>40909</v>
      </c>
      <c r="F213" s="930">
        <f>+NOMINA!BR206</f>
        <v>42.74</v>
      </c>
      <c r="G213" s="930">
        <f>+NOMINA!BS206</f>
        <v>9.5</v>
      </c>
      <c r="H213" s="599"/>
      <c r="I213" s="600"/>
      <c r="J213" s="600"/>
      <c r="K213" s="600"/>
      <c r="L213" s="600"/>
    </row>
    <row r="214" spans="1:12" ht="15.75" customHeight="1" x14ac:dyDescent="0.25">
      <c r="A214" s="928">
        <f t="shared" si="3"/>
        <v>164</v>
      </c>
      <c r="B214" s="926">
        <f>+NOMINA!C207</f>
        <v>17830972</v>
      </c>
      <c r="C214" s="926" t="str">
        <f>+NOMINA!D207</f>
        <v>Bastidas Franco Dianellys Sarain</v>
      </c>
      <c r="D214" s="926" t="str">
        <f>+NOMINA!O207</f>
        <v>Entrenador Deportivo IV</v>
      </c>
      <c r="E214" s="929">
        <f>+NOMINA!H207</f>
        <v>44713</v>
      </c>
      <c r="F214" s="930">
        <f>+NOMINA!BR207</f>
        <v>53.91</v>
      </c>
      <c r="G214" s="930">
        <f>+NOMINA!BS207</f>
        <v>11.98</v>
      </c>
      <c r="H214" s="599"/>
      <c r="I214" s="600"/>
      <c r="J214" s="600"/>
      <c r="K214" s="600"/>
      <c r="L214" s="600"/>
    </row>
    <row r="215" spans="1:12" ht="15.75" customHeight="1" x14ac:dyDescent="0.25">
      <c r="A215" s="928">
        <f t="shared" si="3"/>
        <v>165</v>
      </c>
      <c r="B215" s="926">
        <f>+NOMINA!C208</f>
        <v>17831012</v>
      </c>
      <c r="C215" s="926" t="str">
        <f>+NOMINA!D208</f>
        <v>Valera Briceño Jesus Enrique</v>
      </c>
      <c r="D215" s="926" t="str">
        <f>+NOMINA!O208</f>
        <v>Guia de Centro I</v>
      </c>
      <c r="E215" s="929">
        <f>+NOMINA!H208</f>
        <v>45474</v>
      </c>
      <c r="F215" s="930">
        <f>+NOMINA!BR208</f>
        <v>43.61</v>
      </c>
      <c r="G215" s="930">
        <f>+NOMINA!BS208</f>
        <v>9.69</v>
      </c>
      <c r="H215" s="599"/>
      <c r="I215" s="600"/>
      <c r="J215" s="600"/>
      <c r="K215" s="600"/>
      <c r="L215" s="600"/>
    </row>
    <row r="216" spans="1:12" ht="15.75" customHeight="1" x14ac:dyDescent="0.25">
      <c r="A216" s="928">
        <f t="shared" si="3"/>
        <v>166</v>
      </c>
      <c r="B216" s="926">
        <f>+NOMINA!C209</f>
        <v>17832396</v>
      </c>
      <c r="C216" s="926" t="str">
        <f>+NOMINA!D209</f>
        <v>Pulido Sanchez Joalina Vanessa</v>
      </c>
      <c r="D216" s="926" t="str">
        <f>+NOMINA!O209</f>
        <v>Enfermera Jefe I</v>
      </c>
      <c r="E216" s="929">
        <f>+NOMINA!H209</f>
        <v>43191</v>
      </c>
      <c r="F216" s="930">
        <f>+NOMINA!BR209</f>
        <v>48.89</v>
      </c>
      <c r="G216" s="930">
        <f>+NOMINA!BS209</f>
        <v>10.87</v>
      </c>
      <c r="H216" s="599"/>
      <c r="I216" s="600"/>
      <c r="J216" s="600"/>
      <c r="K216" s="600"/>
      <c r="L216" s="600"/>
    </row>
    <row r="217" spans="1:12" ht="15.75" customHeight="1" x14ac:dyDescent="0.25">
      <c r="A217" s="928">
        <f t="shared" si="3"/>
        <v>167</v>
      </c>
      <c r="B217" s="926">
        <f>+NOMINA!C210</f>
        <v>17865154</v>
      </c>
      <c r="C217" s="926" t="str">
        <f>+NOMINA!D210</f>
        <v>Serrano Ingrid Maria</v>
      </c>
      <c r="D217" s="926" t="str">
        <f>+NOMINA!O210</f>
        <v>Guia de Centro I</v>
      </c>
      <c r="E217" s="929">
        <f>+NOMINA!H210</f>
        <v>43846</v>
      </c>
      <c r="F217" s="930">
        <f>+NOMINA!BR210</f>
        <v>38.81</v>
      </c>
      <c r="G217" s="930">
        <f>+NOMINA!BS210</f>
        <v>8.6300000000000008</v>
      </c>
      <c r="H217" s="599"/>
      <c r="I217" s="600"/>
      <c r="J217" s="600"/>
      <c r="K217" s="600"/>
      <c r="L217" s="600"/>
    </row>
    <row r="218" spans="1:12" ht="15.75" customHeight="1" x14ac:dyDescent="0.25">
      <c r="A218" s="928">
        <f t="shared" si="3"/>
        <v>168</v>
      </c>
      <c r="B218" s="926">
        <f>+NOMINA!C211</f>
        <v>18036203</v>
      </c>
      <c r="C218" s="926" t="str">
        <f>+NOMINA!D211</f>
        <v>Yepes Caceres Mervis Javier</v>
      </c>
      <c r="D218" s="926" t="str">
        <f>+NOMINA!O211</f>
        <v>Guia de Centro I</v>
      </c>
      <c r="E218" s="929">
        <f>+NOMINA!H211</f>
        <v>45505</v>
      </c>
      <c r="F218" s="930">
        <f>+NOMINA!BR211</f>
        <v>38.65</v>
      </c>
      <c r="G218" s="930">
        <f>+NOMINA!BS211</f>
        <v>8.59</v>
      </c>
      <c r="H218" s="599"/>
      <c r="I218" s="600"/>
      <c r="J218" s="600"/>
      <c r="K218" s="600"/>
      <c r="L218" s="600"/>
    </row>
    <row r="219" spans="1:12" ht="15.75" customHeight="1" x14ac:dyDescent="0.25">
      <c r="A219" s="928">
        <f t="shared" si="3"/>
        <v>169</v>
      </c>
      <c r="B219" s="926">
        <f>+NOMINA!C212</f>
        <v>18036156</v>
      </c>
      <c r="C219" s="926" t="str">
        <f>+NOMINA!D212</f>
        <v>Ruiz Vasquez Endri Ramon</v>
      </c>
      <c r="D219" s="926" t="str">
        <f>+NOMINA!O212</f>
        <v>Guia de Centro I</v>
      </c>
      <c r="E219" s="929">
        <f>+NOMINA!H212</f>
        <v>45597</v>
      </c>
      <c r="F219" s="930">
        <f>+NOMINA!BR212</f>
        <v>35.1</v>
      </c>
      <c r="G219" s="930">
        <f>+NOMINA!BS212</f>
        <v>7.8</v>
      </c>
      <c r="H219" s="599"/>
      <c r="I219" s="600"/>
      <c r="J219" s="600"/>
      <c r="K219" s="600"/>
      <c r="L219" s="600"/>
    </row>
    <row r="220" spans="1:12" ht="15.75" customHeight="1" x14ac:dyDescent="0.25">
      <c r="A220" s="928">
        <f t="shared" si="3"/>
        <v>170</v>
      </c>
      <c r="B220" s="926">
        <f>+NOMINA!C213</f>
        <v>18095603</v>
      </c>
      <c r="C220" s="926" t="str">
        <f>+NOMINA!D213</f>
        <v>Lozada Bencomo Daniela Carolina</v>
      </c>
      <c r="D220" s="926" t="str">
        <f>+NOMINA!O213</f>
        <v>Tecnico Superior en Trabajo Social II</v>
      </c>
      <c r="E220" s="929">
        <f>+NOMINA!H213</f>
        <v>42963</v>
      </c>
      <c r="F220" s="930">
        <f>+NOMINA!BR213</f>
        <v>49.65</v>
      </c>
      <c r="G220" s="930">
        <f>+NOMINA!BS213</f>
        <v>11.03</v>
      </c>
      <c r="H220" s="599"/>
      <c r="I220" s="600"/>
      <c r="J220" s="600"/>
      <c r="K220" s="600"/>
      <c r="L220" s="600"/>
    </row>
    <row r="221" spans="1:12" ht="15.75" customHeight="1" x14ac:dyDescent="0.25">
      <c r="A221" s="928">
        <f t="shared" si="3"/>
        <v>171</v>
      </c>
      <c r="B221" s="926">
        <f>+NOMINA!C214</f>
        <v>18096996</v>
      </c>
      <c r="C221" s="926" t="str">
        <f>+NOMINA!D214</f>
        <v>Diaz Maldonado Anny Jackeline</v>
      </c>
      <c r="D221" s="926" t="str">
        <f>+NOMINA!O214</f>
        <v>CONTABILISTA III</v>
      </c>
      <c r="E221" s="929">
        <f>+NOMINA!H214</f>
        <v>44743</v>
      </c>
      <c r="F221" s="930">
        <f>+NOMINA!BR214</f>
        <v>45.87</v>
      </c>
      <c r="G221" s="930">
        <f>+NOMINA!BS214</f>
        <v>10.19</v>
      </c>
      <c r="H221" s="599"/>
      <c r="I221" s="600"/>
      <c r="J221" s="600"/>
      <c r="K221" s="600"/>
      <c r="L221" s="600"/>
    </row>
    <row r="222" spans="1:12" ht="15.75" customHeight="1" x14ac:dyDescent="0.25">
      <c r="A222" s="928">
        <f t="shared" si="3"/>
        <v>172</v>
      </c>
      <c r="B222" s="926">
        <f>+NOMINA!C215</f>
        <v>18097528</v>
      </c>
      <c r="C222" s="926" t="str">
        <f>+NOMINA!D215</f>
        <v>Godoy Suarez Nelson Jose</v>
      </c>
      <c r="D222" s="926" t="str">
        <f>+NOMINA!O215</f>
        <v>Guia de Centro I</v>
      </c>
      <c r="E222" s="929">
        <f>+NOMINA!H215</f>
        <v>45536</v>
      </c>
      <c r="F222" s="930">
        <f>+NOMINA!BR215</f>
        <v>38.65</v>
      </c>
      <c r="G222" s="930">
        <f>+NOMINA!BS215</f>
        <v>8.59</v>
      </c>
      <c r="H222" s="599"/>
      <c r="I222" s="600"/>
      <c r="J222" s="600"/>
      <c r="K222" s="600"/>
      <c r="L222" s="600"/>
    </row>
    <row r="223" spans="1:12" ht="15.75" customHeight="1" x14ac:dyDescent="0.25">
      <c r="A223" s="928">
        <f t="shared" si="3"/>
        <v>173</v>
      </c>
      <c r="B223" s="926">
        <f>+NOMINA!C216</f>
        <v>18097873</v>
      </c>
      <c r="C223" s="926" t="str">
        <f>+NOMINA!D216</f>
        <v>Villarreal Prada Yoriangela Nataly</v>
      </c>
      <c r="D223" s="926" t="str">
        <f>+NOMINA!O216</f>
        <v>Guia de Centro I</v>
      </c>
      <c r="E223" s="929">
        <f>+NOMINA!H216</f>
        <v>44531</v>
      </c>
      <c r="F223" s="930">
        <f>+NOMINA!BR216</f>
        <v>41.78</v>
      </c>
      <c r="G223" s="930">
        <f>+NOMINA!BS216</f>
        <v>9.2899999999999991</v>
      </c>
      <c r="H223" s="599"/>
      <c r="I223" s="600"/>
      <c r="J223" s="600"/>
      <c r="K223" s="600"/>
      <c r="L223" s="600"/>
    </row>
    <row r="224" spans="1:12" ht="15.75" customHeight="1" x14ac:dyDescent="0.25">
      <c r="A224" s="928">
        <f t="shared" si="3"/>
        <v>174</v>
      </c>
      <c r="B224" s="926">
        <f>+NOMINA!C217</f>
        <v>18348317</v>
      </c>
      <c r="C224" s="926" t="str">
        <f>+NOMINA!D217</f>
        <v>Abreu Araujo Gilmer Francisco</v>
      </c>
      <c r="D224" s="926" t="str">
        <f>+NOMINA!O217</f>
        <v>Tutor Facilitador III</v>
      </c>
      <c r="E224" s="929">
        <f>+NOMINA!H217</f>
        <v>43160</v>
      </c>
      <c r="F224" s="930">
        <f>+NOMINA!BR217</f>
        <v>59.69</v>
      </c>
      <c r="G224" s="930">
        <f>+NOMINA!BS217</f>
        <v>13.26</v>
      </c>
      <c r="H224" s="599"/>
      <c r="I224" s="600"/>
      <c r="J224" s="600"/>
      <c r="K224" s="600"/>
      <c r="L224" s="600"/>
    </row>
    <row r="225" spans="1:12" ht="15.75" customHeight="1" x14ac:dyDescent="0.25">
      <c r="A225" s="928">
        <f t="shared" si="3"/>
        <v>175</v>
      </c>
      <c r="B225" s="926">
        <f>+NOMINA!C218</f>
        <v>18348721</v>
      </c>
      <c r="C225" s="926" t="str">
        <f>+NOMINA!D218</f>
        <v>Villarreal Lusana Carolina</v>
      </c>
      <c r="D225" s="926" t="str">
        <f>+NOMINA!O218</f>
        <v>Tecnico Superior en Trabajo Social II</v>
      </c>
      <c r="E225" s="929">
        <f>+NOMINA!H218</f>
        <v>42948</v>
      </c>
      <c r="F225" s="930">
        <f>+NOMINA!BR218</f>
        <v>49.22</v>
      </c>
      <c r="G225" s="930">
        <f>+NOMINA!BS218</f>
        <v>10.94</v>
      </c>
      <c r="H225" s="599"/>
      <c r="I225" s="600"/>
      <c r="J225" s="600"/>
      <c r="K225" s="600"/>
      <c r="L225" s="600"/>
    </row>
    <row r="226" spans="1:12" ht="15.75" customHeight="1" x14ac:dyDescent="0.25">
      <c r="A226" s="928">
        <f t="shared" si="3"/>
        <v>176</v>
      </c>
      <c r="B226" s="926">
        <f>+NOMINA!C219</f>
        <v>18349021</v>
      </c>
      <c r="C226" s="926" t="str">
        <f>+NOMINA!D219</f>
        <v>Godoy Linares Amenaida del Valle</v>
      </c>
      <c r="D226" s="926" t="str">
        <f>+NOMINA!O219</f>
        <v>Guia de Centro I</v>
      </c>
      <c r="E226" s="929">
        <f>+NOMINA!H219</f>
        <v>44683</v>
      </c>
      <c r="F226" s="930">
        <f>+NOMINA!BR219</f>
        <v>62.11</v>
      </c>
      <c r="G226" s="930">
        <f>+NOMINA!BS219</f>
        <v>13.8</v>
      </c>
      <c r="H226" s="599"/>
      <c r="I226" s="600"/>
      <c r="J226" s="600"/>
      <c r="K226" s="600"/>
      <c r="L226" s="600"/>
    </row>
    <row r="227" spans="1:12" ht="15.75" customHeight="1" x14ac:dyDescent="0.25">
      <c r="A227" s="928">
        <f t="shared" si="3"/>
        <v>177</v>
      </c>
      <c r="B227" s="926">
        <f>+NOMINA!C220</f>
        <v>18349409</v>
      </c>
      <c r="C227" s="926" t="str">
        <f>+NOMINA!D220</f>
        <v>Fernandez Mendoza Maria Alejandra</v>
      </c>
      <c r="D227" s="926" t="str">
        <f>+NOMINA!O220</f>
        <v>Guia de Centro I</v>
      </c>
      <c r="E227" s="929">
        <f>+NOMINA!H220</f>
        <v>45839</v>
      </c>
      <c r="F227" s="930">
        <f>+NOMINA!BR220</f>
        <v>36.79</v>
      </c>
      <c r="G227" s="930">
        <f>+NOMINA!BS220</f>
        <v>8.18</v>
      </c>
      <c r="H227" s="599"/>
      <c r="I227" s="600"/>
      <c r="J227" s="600"/>
      <c r="K227" s="600"/>
      <c r="L227" s="600"/>
    </row>
    <row r="228" spans="1:12" ht="15.75" customHeight="1" x14ac:dyDescent="0.25">
      <c r="A228" s="928">
        <f t="shared" si="3"/>
        <v>178</v>
      </c>
      <c r="B228" s="926">
        <f>+NOMINA!C221</f>
        <v>18349653</v>
      </c>
      <c r="C228" s="926" t="str">
        <f>+NOMINA!D221</f>
        <v>Baptista Finol Violexy del Valle</v>
      </c>
      <c r="D228" s="926" t="str">
        <f>+NOMINA!O221</f>
        <v>Guia de Centro I</v>
      </c>
      <c r="E228" s="929">
        <f>+NOMINA!H221</f>
        <v>45627</v>
      </c>
      <c r="F228" s="930">
        <f>+NOMINA!BR221</f>
        <v>58.56</v>
      </c>
      <c r="G228" s="930">
        <f>+NOMINA!BS221</f>
        <v>13.01</v>
      </c>
      <c r="H228" s="599"/>
      <c r="I228" s="600"/>
      <c r="J228" s="600"/>
      <c r="K228" s="600"/>
      <c r="L228" s="600"/>
    </row>
    <row r="229" spans="1:12" ht="15.75" customHeight="1" x14ac:dyDescent="0.25">
      <c r="A229" s="928">
        <f t="shared" si="3"/>
        <v>179</v>
      </c>
      <c r="B229" s="926">
        <f>+NOMINA!C222</f>
        <v>18350884</v>
      </c>
      <c r="C229" s="926" t="str">
        <f>+NOMINA!D222</f>
        <v>Araujo Mendoza Mirelis Carolina</v>
      </c>
      <c r="D229" s="926" t="str">
        <f>+NOMINA!O222</f>
        <v>Guia de Centro I</v>
      </c>
      <c r="E229" s="929">
        <f>+NOMINA!H222</f>
        <v>45474</v>
      </c>
      <c r="F229" s="930">
        <f>+NOMINA!BR222</f>
        <v>36.96</v>
      </c>
      <c r="G229" s="930">
        <f>+NOMINA!BS222</f>
        <v>8.2100000000000009</v>
      </c>
      <c r="H229" s="599"/>
      <c r="I229" s="600"/>
      <c r="J229" s="600"/>
      <c r="K229" s="600"/>
      <c r="L229" s="600"/>
    </row>
    <row r="230" spans="1:12" ht="15.75" customHeight="1" x14ac:dyDescent="0.25">
      <c r="A230" s="928">
        <f t="shared" si="3"/>
        <v>180</v>
      </c>
      <c r="B230" s="926">
        <f>+NOMINA!C223</f>
        <v>18378985</v>
      </c>
      <c r="C230" s="926" t="str">
        <f>+NOMINA!D223</f>
        <v>Quintero Paradas Ilse Maria</v>
      </c>
      <c r="D230" s="926" t="str">
        <f>+NOMINA!O223</f>
        <v>Analista de Procesamiento de Datos II</v>
      </c>
      <c r="E230" s="929">
        <f>+NOMINA!H223</f>
        <v>43147</v>
      </c>
      <c r="F230" s="930">
        <f>+NOMINA!BR223</f>
        <v>59.02</v>
      </c>
      <c r="G230" s="930">
        <f>+NOMINA!BS223</f>
        <v>13.11</v>
      </c>
      <c r="H230" s="599"/>
      <c r="I230" s="600"/>
      <c r="J230" s="600"/>
      <c r="K230" s="600"/>
      <c r="L230" s="600"/>
    </row>
    <row r="231" spans="1:12" ht="15.75" customHeight="1" x14ac:dyDescent="0.25">
      <c r="A231" s="928">
        <f t="shared" si="3"/>
        <v>181</v>
      </c>
      <c r="B231" s="926">
        <f>+NOMINA!C224</f>
        <v>18456345</v>
      </c>
      <c r="C231" s="926" t="str">
        <f>+NOMINA!D224</f>
        <v>Peñaloza Olmos Eduardo Jose</v>
      </c>
      <c r="D231" s="926" t="str">
        <f>+NOMINA!O224</f>
        <v>ESPECIALISTA EN INFORMATICA I</v>
      </c>
      <c r="E231" s="929">
        <f>+NOMINA!H224</f>
        <v>44774</v>
      </c>
      <c r="F231" s="930">
        <f>+NOMINA!BR224</f>
        <v>53.91</v>
      </c>
      <c r="G231" s="930">
        <f>+NOMINA!BS224</f>
        <v>11.98</v>
      </c>
      <c r="H231" s="599"/>
      <c r="I231" s="600"/>
      <c r="J231" s="600"/>
      <c r="K231" s="600"/>
      <c r="L231" s="600"/>
    </row>
    <row r="232" spans="1:12" ht="15.75" customHeight="1" x14ac:dyDescent="0.25">
      <c r="A232" s="928">
        <f t="shared" si="3"/>
        <v>182</v>
      </c>
      <c r="B232" s="926">
        <f>+NOMINA!C225</f>
        <v>18457406</v>
      </c>
      <c r="C232" s="926" t="str">
        <f>+NOMINA!D225</f>
        <v>Rivero Zambrano Herluis Jose</v>
      </c>
      <c r="D232" s="926" t="str">
        <f>+NOMINA!O225</f>
        <v>Ingeniero Agronomo IV</v>
      </c>
      <c r="E232" s="929">
        <f>+NOMINA!H225</f>
        <v>41548</v>
      </c>
      <c r="F232" s="930">
        <f>+NOMINA!BR225</f>
        <v>0</v>
      </c>
      <c r="G232" s="930">
        <f>+NOMINA!BS225</f>
        <v>0</v>
      </c>
      <c r="H232" s="599"/>
      <c r="I232" s="600"/>
      <c r="J232" s="600"/>
      <c r="K232" s="600"/>
      <c r="L232" s="600"/>
    </row>
    <row r="233" spans="1:12" ht="15.75" customHeight="1" x14ac:dyDescent="0.25">
      <c r="A233" s="928">
        <f t="shared" si="3"/>
        <v>183</v>
      </c>
      <c r="B233" s="926">
        <f>+NOMINA!C226</f>
        <v>18458012</v>
      </c>
      <c r="C233" s="926" t="str">
        <f>+NOMINA!D226</f>
        <v>Briceño Uzcategui Maria Esperanza</v>
      </c>
      <c r="D233" s="926" t="str">
        <f>+NOMINA!O226</f>
        <v>Asistente Administrativo III</v>
      </c>
      <c r="E233" s="929">
        <f>+NOMINA!H226</f>
        <v>44636</v>
      </c>
      <c r="F233" s="930">
        <f>+NOMINA!BR226</f>
        <v>47.42</v>
      </c>
      <c r="G233" s="930">
        <f>+NOMINA!BS226</f>
        <v>10.54</v>
      </c>
      <c r="H233" s="599"/>
      <c r="I233" s="600"/>
      <c r="J233" s="600"/>
      <c r="K233" s="600"/>
      <c r="L233" s="600"/>
    </row>
    <row r="234" spans="1:12" ht="15.75" customHeight="1" x14ac:dyDescent="0.25">
      <c r="A234" s="928">
        <f t="shared" si="3"/>
        <v>184</v>
      </c>
      <c r="B234" s="926">
        <f>+NOMINA!C227</f>
        <v>18733682</v>
      </c>
      <c r="C234" s="926" t="str">
        <f>+NOMINA!D227</f>
        <v>Ocanto Ramirez Maria Alejandra</v>
      </c>
      <c r="D234" s="926" t="str">
        <f>+NOMINA!O227</f>
        <v>Guia de Centro I</v>
      </c>
      <c r="E234" s="929">
        <f>+NOMINA!H227</f>
        <v>45474</v>
      </c>
      <c r="F234" s="930">
        <f>+NOMINA!BR227</f>
        <v>36.96</v>
      </c>
      <c r="G234" s="930">
        <f>+NOMINA!BS227</f>
        <v>8.2100000000000009</v>
      </c>
      <c r="H234" s="599"/>
      <c r="I234" s="600"/>
      <c r="J234" s="600"/>
      <c r="K234" s="600"/>
      <c r="L234" s="600"/>
    </row>
    <row r="235" spans="1:12" ht="15.75" customHeight="1" x14ac:dyDescent="0.25">
      <c r="A235" s="928">
        <f t="shared" si="3"/>
        <v>185</v>
      </c>
      <c r="B235" s="926">
        <f>+NOMINA!C228</f>
        <v>18801597</v>
      </c>
      <c r="C235" s="926" t="str">
        <f>+NOMINA!D228</f>
        <v>Rodriguez Salas Mary Carmen</v>
      </c>
      <c r="D235" s="926" t="str">
        <f>+NOMINA!O228</f>
        <v>Tutor Facilitador III</v>
      </c>
      <c r="E235" s="929">
        <f>+NOMINA!H228</f>
        <v>43359</v>
      </c>
      <c r="F235" s="930">
        <f>+NOMINA!BR228</f>
        <v>59.02</v>
      </c>
      <c r="G235" s="930">
        <f>+NOMINA!BS228</f>
        <v>13.11</v>
      </c>
      <c r="H235" s="599"/>
      <c r="I235" s="600"/>
      <c r="J235" s="600"/>
      <c r="K235" s="600"/>
      <c r="L235" s="600"/>
    </row>
    <row r="236" spans="1:12" ht="15.75" customHeight="1" x14ac:dyDescent="0.25">
      <c r="A236" s="928">
        <f t="shared" si="3"/>
        <v>186</v>
      </c>
      <c r="B236" s="926">
        <f>+NOMINA!C229</f>
        <v>18802405</v>
      </c>
      <c r="C236" s="926" t="str">
        <f>+NOMINA!D229</f>
        <v>Ramirez Rodriguez Rudys Arelys</v>
      </c>
      <c r="D236" s="926" t="str">
        <f>+NOMINA!O229</f>
        <v>Tutor Facilitador I</v>
      </c>
      <c r="E236" s="929">
        <f>+NOMINA!H229</f>
        <v>44332</v>
      </c>
      <c r="F236" s="930">
        <f>+NOMINA!BR229</f>
        <v>57.52</v>
      </c>
      <c r="G236" s="930">
        <f>+NOMINA!BS229</f>
        <v>12.78</v>
      </c>
      <c r="H236" s="599"/>
      <c r="I236" s="600"/>
      <c r="J236" s="600"/>
      <c r="K236" s="600"/>
      <c r="L236" s="600"/>
    </row>
    <row r="237" spans="1:12" ht="15.75" customHeight="1" x14ac:dyDescent="0.25">
      <c r="A237" s="928">
        <f t="shared" si="3"/>
        <v>187</v>
      </c>
      <c r="B237" s="926">
        <f>+NOMINA!C230</f>
        <v>18984406</v>
      </c>
      <c r="C237" s="926" t="str">
        <f>+NOMINA!D230</f>
        <v>Torres Santiago Eduardo David</v>
      </c>
      <c r="D237" s="926" t="str">
        <f>+NOMINA!O230</f>
        <v>Guia de Centro I</v>
      </c>
      <c r="E237" s="929">
        <f>+NOMINA!H230</f>
        <v>45200</v>
      </c>
      <c r="F237" s="930">
        <f>+NOMINA!BR230</f>
        <v>35.28</v>
      </c>
      <c r="G237" s="930">
        <f>+NOMINA!BS230</f>
        <v>7.84</v>
      </c>
      <c r="H237" s="599"/>
      <c r="I237" s="600"/>
      <c r="J237" s="600"/>
      <c r="K237" s="600"/>
      <c r="L237" s="600"/>
    </row>
    <row r="238" spans="1:12" ht="15.75" customHeight="1" x14ac:dyDescent="0.25">
      <c r="A238" s="928">
        <f t="shared" si="3"/>
        <v>188</v>
      </c>
      <c r="B238" s="926">
        <f>+NOMINA!C231</f>
        <v>19101647</v>
      </c>
      <c r="C238" s="926" t="str">
        <f>+NOMINA!D231</f>
        <v>Uzcategui Urbina Madeley Tatiana</v>
      </c>
      <c r="D238" s="926" t="str">
        <f>+NOMINA!O231</f>
        <v>Guia de Centro I</v>
      </c>
      <c r="E238" s="929">
        <f>+NOMINA!H231</f>
        <v>43845</v>
      </c>
      <c r="F238" s="930">
        <f>+NOMINA!BR231</f>
        <v>42.19</v>
      </c>
      <c r="G238" s="930">
        <f>+NOMINA!BS231</f>
        <v>9.3800000000000008</v>
      </c>
      <c r="H238" s="599"/>
      <c r="I238" s="600"/>
      <c r="J238" s="600"/>
      <c r="K238" s="600"/>
      <c r="L238" s="600"/>
    </row>
    <row r="239" spans="1:12" ht="15.75" customHeight="1" x14ac:dyDescent="0.25">
      <c r="A239" s="928">
        <f t="shared" si="3"/>
        <v>189</v>
      </c>
      <c r="B239" s="926">
        <f>+NOMINA!C232</f>
        <v>19101773</v>
      </c>
      <c r="C239" s="926" t="str">
        <f>+NOMINA!D232</f>
        <v>Gil Molina Maite Karina</v>
      </c>
      <c r="D239" s="926" t="str">
        <f>+NOMINA!O232</f>
        <v>Guia de Centro I</v>
      </c>
      <c r="E239" s="929">
        <f>+NOMINA!H232</f>
        <v>45200</v>
      </c>
      <c r="F239" s="930">
        <f>+NOMINA!BR232</f>
        <v>52.47</v>
      </c>
      <c r="G239" s="930">
        <f>+NOMINA!BS232</f>
        <v>11.66</v>
      </c>
      <c r="H239" s="599"/>
      <c r="I239" s="600"/>
      <c r="J239" s="600"/>
      <c r="K239" s="600"/>
      <c r="L239" s="600"/>
    </row>
    <row r="240" spans="1:12" ht="15.75" customHeight="1" x14ac:dyDescent="0.25">
      <c r="A240" s="928">
        <f t="shared" si="3"/>
        <v>190</v>
      </c>
      <c r="B240" s="926">
        <f>+NOMINA!C233</f>
        <v>19103118</v>
      </c>
      <c r="C240" s="926" t="str">
        <f>+NOMINA!D233</f>
        <v>Plaza Quintero Orelis Maria</v>
      </c>
      <c r="D240" s="926" t="str">
        <f>+NOMINA!O233</f>
        <v>Tecnico Superior en Trabajo Social II</v>
      </c>
      <c r="E240" s="929">
        <f>+NOMINA!H233</f>
        <v>43724</v>
      </c>
      <c r="F240" s="930">
        <f>+NOMINA!BR233</f>
        <v>47</v>
      </c>
      <c r="G240" s="930">
        <f>+NOMINA!BS233</f>
        <v>10.45</v>
      </c>
      <c r="H240" s="599"/>
      <c r="I240" s="600"/>
      <c r="J240" s="600"/>
      <c r="K240" s="600"/>
      <c r="L240" s="600"/>
    </row>
    <row r="241" spans="1:12" ht="15.75" customHeight="1" x14ac:dyDescent="0.25">
      <c r="A241" s="928">
        <f t="shared" si="3"/>
        <v>191</v>
      </c>
      <c r="B241" s="926">
        <f>+NOMINA!C234</f>
        <v>19103604</v>
      </c>
      <c r="C241" s="926" t="str">
        <f>+NOMINA!D234</f>
        <v>Hernandez Graterol Gleidys Coromoto</v>
      </c>
      <c r="D241" s="926" t="str">
        <f>+NOMINA!O234</f>
        <v>Asistente Administrativo III</v>
      </c>
      <c r="E241" s="929">
        <f>+NOMINA!H234</f>
        <v>44600</v>
      </c>
      <c r="F241" s="930">
        <f>+NOMINA!BR234</f>
        <v>47.42</v>
      </c>
      <c r="G241" s="930">
        <f>+NOMINA!BS234</f>
        <v>10.54</v>
      </c>
      <c r="H241" s="599"/>
      <c r="I241" s="600"/>
      <c r="J241" s="600"/>
      <c r="K241" s="600"/>
      <c r="L241" s="600"/>
    </row>
    <row r="242" spans="1:12" ht="15.75" customHeight="1" x14ac:dyDescent="0.25">
      <c r="A242" s="928">
        <f t="shared" si="3"/>
        <v>192</v>
      </c>
      <c r="B242" s="926">
        <f>+NOMINA!C235</f>
        <v>19103823</v>
      </c>
      <c r="C242" s="926" t="str">
        <f>+NOMINA!D235</f>
        <v>Valero Sanchez Zulay del Valle</v>
      </c>
      <c r="D242" s="926" t="str">
        <f>+NOMINA!O235</f>
        <v>Tutor Facilitador III</v>
      </c>
      <c r="E242" s="929">
        <f>+NOMINA!H235</f>
        <v>42795</v>
      </c>
      <c r="F242" s="930">
        <f>+NOMINA!BR235</f>
        <v>66.87</v>
      </c>
      <c r="G242" s="930">
        <f>+NOMINA!BS235</f>
        <v>14.86</v>
      </c>
      <c r="H242" s="599"/>
      <c r="I242" s="600"/>
      <c r="J242" s="600"/>
      <c r="K242" s="600"/>
      <c r="L242" s="600"/>
    </row>
    <row r="243" spans="1:12" ht="15.75" customHeight="1" x14ac:dyDescent="0.25">
      <c r="A243" s="928">
        <f t="shared" si="3"/>
        <v>193</v>
      </c>
      <c r="B243" s="926">
        <f>+NOMINA!C236</f>
        <v>19286780</v>
      </c>
      <c r="C243" s="926" t="str">
        <f>+NOMINA!D236</f>
        <v>Mejia Rosales Katiusca Josefina</v>
      </c>
      <c r="D243" s="926" t="str">
        <f>+NOMINA!O236</f>
        <v>Asistente Administrativo III</v>
      </c>
      <c r="E243" s="929">
        <f>+NOMINA!H236</f>
        <v>42492</v>
      </c>
      <c r="F243" s="930">
        <f>+NOMINA!BR236</f>
        <v>49.83</v>
      </c>
      <c r="G243" s="930">
        <f>+NOMINA!BS236</f>
        <v>11.07</v>
      </c>
      <c r="H243" s="599"/>
      <c r="I243" s="600"/>
      <c r="J243" s="600"/>
      <c r="K243" s="600"/>
      <c r="L243" s="600"/>
    </row>
    <row r="244" spans="1:12" ht="15.75" customHeight="1" x14ac:dyDescent="0.25">
      <c r="A244" s="928">
        <f t="shared" si="3"/>
        <v>194</v>
      </c>
      <c r="B244" s="926">
        <f>+NOMINA!C237</f>
        <v>19287100</v>
      </c>
      <c r="C244" s="926" t="str">
        <f>+NOMINA!D237</f>
        <v>Leal Mejia Fraineli Yoset</v>
      </c>
      <c r="D244" s="926" t="str">
        <f>+NOMINA!O237</f>
        <v>Tecnico Superior en Trabajo Social II</v>
      </c>
      <c r="E244" s="929">
        <f>+NOMINA!H237</f>
        <v>44713</v>
      </c>
      <c r="F244" s="930">
        <f>+NOMINA!BR237</f>
        <v>47.42</v>
      </c>
      <c r="G244" s="930">
        <f>+NOMINA!BS237</f>
        <v>10.54</v>
      </c>
      <c r="H244" s="599"/>
      <c r="I244" s="600"/>
      <c r="J244" s="600"/>
      <c r="K244" s="600"/>
      <c r="L244" s="600"/>
    </row>
    <row r="245" spans="1:12" ht="15.75" customHeight="1" x14ac:dyDescent="0.25">
      <c r="A245" s="928">
        <f t="shared" ref="A245:A309" si="4">+A244+1</f>
        <v>195</v>
      </c>
      <c r="B245" s="926">
        <f>+NOMINA!C238</f>
        <v>19610534</v>
      </c>
      <c r="C245" s="926" t="str">
        <f>+NOMINA!D238</f>
        <v>Santos Saavedra Greosmar Johan</v>
      </c>
      <c r="D245" s="926" t="str">
        <f>+NOMINA!O238</f>
        <v>Guia de Centro I</v>
      </c>
      <c r="E245" s="929">
        <f>+NOMINA!H238</f>
        <v>44713</v>
      </c>
      <c r="F245" s="930">
        <f>+NOMINA!BR238</f>
        <v>45.87</v>
      </c>
      <c r="G245" s="930">
        <f>+NOMINA!BS238</f>
        <v>10.19</v>
      </c>
      <c r="H245" s="599"/>
      <c r="I245" s="600"/>
      <c r="J245" s="600"/>
      <c r="K245" s="600"/>
      <c r="L245" s="600"/>
    </row>
    <row r="246" spans="1:12" ht="15.75" customHeight="1" x14ac:dyDescent="0.25">
      <c r="A246" s="928">
        <f t="shared" si="4"/>
        <v>196</v>
      </c>
      <c r="B246" s="926">
        <f>+NOMINA!C239</f>
        <v>19610565</v>
      </c>
      <c r="C246" s="926" t="str">
        <f>+NOMINA!D239</f>
        <v>Uzcategui Uzcategui Saray Cristina</v>
      </c>
      <c r="D246" s="926" t="str">
        <f>+NOMINA!O239</f>
        <v>Guia de Centro I</v>
      </c>
      <c r="E246" s="929">
        <f>+NOMINA!H239</f>
        <v>44713</v>
      </c>
      <c r="F246" s="930">
        <f>+NOMINA!BR239</f>
        <v>49.4</v>
      </c>
      <c r="G246" s="930">
        <f>+NOMINA!BS239</f>
        <v>10.98</v>
      </c>
      <c r="H246" s="599"/>
      <c r="I246" s="600"/>
      <c r="J246" s="600"/>
      <c r="K246" s="600"/>
      <c r="L246" s="600"/>
    </row>
    <row r="247" spans="1:12" ht="15.75" customHeight="1" x14ac:dyDescent="0.25">
      <c r="A247" s="928">
        <f t="shared" si="4"/>
        <v>197</v>
      </c>
      <c r="B247" s="926">
        <f>+NOMINA!C240</f>
        <v>19643405</v>
      </c>
      <c r="C247" s="926" t="str">
        <f>+NOMINA!D240</f>
        <v>Valero Mejia Aleidy Rosana</v>
      </c>
      <c r="D247" s="926" t="str">
        <f>+NOMINA!O240</f>
        <v>Guia de Centro II</v>
      </c>
      <c r="E247" s="929">
        <f>+NOMINA!H240</f>
        <v>43221</v>
      </c>
      <c r="F247" s="930">
        <f>+NOMINA!BR240</f>
        <v>61.54</v>
      </c>
      <c r="G247" s="930">
        <f>+NOMINA!BS240</f>
        <v>13.67</v>
      </c>
      <c r="H247" s="599"/>
      <c r="I247" s="600"/>
      <c r="J247" s="600"/>
      <c r="K247" s="600"/>
      <c r="L247" s="600"/>
    </row>
    <row r="248" spans="1:12" ht="15.75" customHeight="1" x14ac:dyDescent="0.25">
      <c r="A248" s="928">
        <f t="shared" si="4"/>
        <v>198</v>
      </c>
      <c r="B248" s="926">
        <f>+NOMINA!C241</f>
        <v>19643806</v>
      </c>
      <c r="C248" s="926" t="str">
        <f>+NOMINA!D241</f>
        <v>Vazquez Hernandez Doris Mercedes</v>
      </c>
      <c r="D248" s="926" t="str">
        <f>+NOMINA!O241</f>
        <v>Asistente Administrativo III</v>
      </c>
      <c r="E248" s="929">
        <f>+NOMINA!H241</f>
        <v>45505</v>
      </c>
      <c r="F248" s="930">
        <f>+NOMINA!BR241</f>
        <v>45.29</v>
      </c>
      <c r="G248" s="930">
        <f>+NOMINA!BS241</f>
        <v>10.07</v>
      </c>
      <c r="H248" s="599"/>
      <c r="I248" s="600"/>
      <c r="J248" s="600"/>
      <c r="K248" s="600"/>
      <c r="L248" s="600"/>
    </row>
    <row r="249" spans="1:12" ht="15.75" customHeight="1" x14ac:dyDescent="0.25">
      <c r="A249" s="928">
        <f t="shared" si="4"/>
        <v>199</v>
      </c>
      <c r="B249" s="926">
        <f>+NOMINA!C242</f>
        <v>19644743</v>
      </c>
      <c r="C249" s="926" t="str">
        <f>+NOMINA!D242</f>
        <v>Villa Daniela Carolina</v>
      </c>
      <c r="D249" s="926" t="str">
        <f>+NOMINA!O242</f>
        <v>Analista de Procesamiento de Datos II</v>
      </c>
      <c r="E249" s="929">
        <f>+NOMINA!H242</f>
        <v>43967</v>
      </c>
      <c r="F249" s="930">
        <f>+NOMINA!BR242</f>
        <v>57.87</v>
      </c>
      <c r="G249" s="930">
        <f>+NOMINA!BS242</f>
        <v>12.86</v>
      </c>
      <c r="H249" s="599"/>
      <c r="I249" s="600"/>
      <c r="J249" s="600"/>
      <c r="K249" s="600"/>
      <c r="L249" s="600"/>
    </row>
    <row r="250" spans="1:12" ht="15.75" customHeight="1" x14ac:dyDescent="0.25">
      <c r="A250" s="928">
        <f t="shared" si="4"/>
        <v>200</v>
      </c>
      <c r="B250" s="926">
        <f>+NOMINA!C243</f>
        <v>19644756</v>
      </c>
      <c r="C250" s="926" t="str">
        <f>+NOMINA!D243</f>
        <v>Mejia Aldana Norbelys Carolina</v>
      </c>
      <c r="D250" s="926" t="str">
        <f>+NOMINA!O243</f>
        <v>Economa II</v>
      </c>
      <c r="E250" s="929">
        <f>+NOMINA!H243</f>
        <v>44470</v>
      </c>
      <c r="F250" s="930">
        <f>+NOMINA!BR243</f>
        <v>30.84</v>
      </c>
      <c r="G250" s="930">
        <f>+NOMINA!BS243</f>
        <v>6.85</v>
      </c>
      <c r="H250" s="599"/>
      <c r="I250" s="600"/>
      <c r="J250" s="600"/>
      <c r="K250" s="600"/>
      <c r="L250" s="600"/>
    </row>
    <row r="251" spans="1:12" ht="15.75" customHeight="1" x14ac:dyDescent="0.25">
      <c r="A251" s="928">
        <f t="shared" si="4"/>
        <v>201</v>
      </c>
      <c r="B251" s="926">
        <f>+NOMINA!C244</f>
        <v>19794217</v>
      </c>
      <c r="C251" s="926" t="str">
        <f>+NOMINA!D244</f>
        <v>Suarez Leal Betzabeth Daimar</v>
      </c>
      <c r="D251" s="926" t="str">
        <f>+NOMINA!O244</f>
        <v>Guia de Centro I</v>
      </c>
      <c r="E251" s="929">
        <f>+NOMINA!H244</f>
        <v>44683</v>
      </c>
      <c r="F251" s="930">
        <f>+NOMINA!BR244</f>
        <v>59.63</v>
      </c>
      <c r="G251" s="930">
        <f>+NOMINA!BS244</f>
        <v>13.25</v>
      </c>
      <c r="H251" s="599"/>
      <c r="I251" s="600"/>
      <c r="J251" s="600"/>
      <c r="K251" s="600"/>
      <c r="L251" s="600"/>
    </row>
    <row r="252" spans="1:12" ht="15.75" customHeight="1" x14ac:dyDescent="0.25">
      <c r="A252" s="928">
        <f t="shared" si="4"/>
        <v>202</v>
      </c>
      <c r="B252" s="926">
        <f>+NOMINA!C245</f>
        <v>20038162</v>
      </c>
      <c r="C252" s="926" t="str">
        <f>+NOMINA!D245</f>
        <v>Jerez Rangel Gleidy Andreina</v>
      </c>
      <c r="D252" s="926" t="str">
        <f>+NOMINA!O245</f>
        <v>Guia de Centro I</v>
      </c>
      <c r="E252" s="929">
        <f>+NOMINA!H245</f>
        <v>45597</v>
      </c>
      <c r="F252" s="930">
        <f>+NOMINA!BR245</f>
        <v>58.56</v>
      </c>
      <c r="G252" s="930">
        <f>+NOMINA!BS245</f>
        <v>13.01</v>
      </c>
      <c r="H252" s="599"/>
      <c r="I252" s="600"/>
      <c r="J252" s="600"/>
      <c r="K252" s="600"/>
      <c r="L252" s="600"/>
    </row>
    <row r="253" spans="1:12" ht="15.75" customHeight="1" x14ac:dyDescent="0.25">
      <c r="A253" s="928">
        <f t="shared" si="4"/>
        <v>203</v>
      </c>
      <c r="B253" s="926">
        <f>+NOMINA!C246</f>
        <v>20040405</v>
      </c>
      <c r="C253" s="926" t="str">
        <f>+NOMINA!D246</f>
        <v>Lopez Padilla Angela Maria</v>
      </c>
      <c r="D253" s="926" t="str">
        <f>+NOMINA!O246</f>
        <v>Tutor Facilitador I</v>
      </c>
      <c r="E253" s="929">
        <f>+NOMINA!H246</f>
        <v>45717</v>
      </c>
      <c r="F253" s="930">
        <f>+NOMINA!BR246</f>
        <v>48.81</v>
      </c>
      <c r="G253" s="930">
        <f>+NOMINA!BS246</f>
        <v>10.85</v>
      </c>
      <c r="H253" s="599"/>
      <c r="I253" s="600"/>
      <c r="J253" s="600"/>
      <c r="K253" s="600"/>
      <c r="L253" s="600"/>
    </row>
    <row r="254" spans="1:12" ht="15.75" customHeight="1" x14ac:dyDescent="0.25">
      <c r="A254" s="928">
        <f t="shared" si="4"/>
        <v>204</v>
      </c>
      <c r="B254" s="926">
        <f>+NOMINA!C247</f>
        <v>20655363</v>
      </c>
      <c r="C254" s="926" t="str">
        <f>+NOMINA!D247</f>
        <v>Sarache Ramirez Maryelis Stefani</v>
      </c>
      <c r="D254" s="926" t="str">
        <f>+NOMINA!O247</f>
        <v>Guia de Centro I</v>
      </c>
      <c r="E254" s="929">
        <f>+NOMINA!H247</f>
        <v>45323</v>
      </c>
      <c r="F254" s="930">
        <f>+NOMINA!BR247</f>
        <v>58.88</v>
      </c>
      <c r="G254" s="930">
        <f>+NOMINA!BS247</f>
        <v>13.08</v>
      </c>
      <c r="H254" s="599"/>
      <c r="I254" s="600"/>
      <c r="J254" s="600"/>
      <c r="K254" s="600"/>
      <c r="L254" s="600"/>
    </row>
    <row r="255" spans="1:12" ht="15.75" customHeight="1" x14ac:dyDescent="0.25">
      <c r="A255" s="928">
        <f t="shared" si="4"/>
        <v>205</v>
      </c>
      <c r="B255" s="926">
        <f>+NOMINA!C248</f>
        <v>20401711</v>
      </c>
      <c r="C255" s="926" t="str">
        <f>+NOMINA!D248</f>
        <v>Mendez Giro Maryely Roxana</v>
      </c>
      <c r="D255" s="926" t="str">
        <f>+NOMINA!O248</f>
        <v>Guia de Centro II</v>
      </c>
      <c r="E255" s="929">
        <f>+NOMINA!H248</f>
        <v>44363</v>
      </c>
      <c r="F255" s="930">
        <f>+NOMINA!BR248</f>
        <v>63.13</v>
      </c>
      <c r="G255" s="930">
        <f>+NOMINA!BS248</f>
        <v>14.03</v>
      </c>
      <c r="H255" s="599"/>
      <c r="I255" s="600"/>
      <c r="J255" s="600"/>
      <c r="K255" s="600"/>
      <c r="L255" s="600"/>
    </row>
    <row r="256" spans="1:12" ht="15.75" customHeight="1" x14ac:dyDescent="0.25">
      <c r="A256" s="928">
        <f t="shared" si="4"/>
        <v>206</v>
      </c>
      <c r="B256" s="926">
        <f>+NOMINA!C249</f>
        <v>20428039</v>
      </c>
      <c r="C256" s="926" t="str">
        <f>+NOMINA!D249</f>
        <v>Manzanilla Juan Roberto Antonio</v>
      </c>
      <c r="D256" s="926" t="str">
        <f>+NOMINA!O249</f>
        <v>Guia de Centro I</v>
      </c>
      <c r="E256" s="929">
        <f>+NOMINA!H249</f>
        <v>45566</v>
      </c>
      <c r="F256" s="930">
        <f>+NOMINA!BR249</f>
        <v>39.18</v>
      </c>
      <c r="G256" s="930">
        <f>+NOMINA!BS249</f>
        <v>8.7100000000000009</v>
      </c>
      <c r="H256" s="599"/>
      <c r="I256" s="600"/>
      <c r="J256" s="600"/>
      <c r="K256" s="600"/>
      <c r="L256" s="600"/>
    </row>
    <row r="257" spans="1:12" ht="15.75" customHeight="1" x14ac:dyDescent="0.25">
      <c r="A257" s="928">
        <f t="shared" si="4"/>
        <v>207</v>
      </c>
      <c r="B257" s="926">
        <f>+NOMINA!C250</f>
        <v>20603227</v>
      </c>
      <c r="C257" s="926" t="str">
        <f>+NOMINA!D250</f>
        <v>Morillo Garces Yeniree Lourdes</v>
      </c>
      <c r="D257" s="926" t="str">
        <f>+NOMINA!O250</f>
        <v>Tecnico Superior en Trabajo Social II</v>
      </c>
      <c r="E257" s="929">
        <f>+NOMINA!H250</f>
        <v>44470</v>
      </c>
      <c r="F257" s="930">
        <f>+NOMINA!BR250</f>
        <v>47.42</v>
      </c>
      <c r="G257" s="930">
        <f>+NOMINA!BS250</f>
        <v>10.54</v>
      </c>
      <c r="H257" s="599"/>
      <c r="I257" s="600"/>
      <c r="J257" s="600"/>
      <c r="K257" s="600"/>
      <c r="L257" s="600"/>
    </row>
    <row r="258" spans="1:12" ht="15.75" customHeight="1" x14ac:dyDescent="0.25">
      <c r="A258" s="928">
        <f t="shared" si="4"/>
        <v>208</v>
      </c>
      <c r="B258" s="926">
        <f>+NOMINA!C251</f>
        <v>20707490</v>
      </c>
      <c r="C258" s="926" t="str">
        <f>+NOMINA!D251</f>
        <v>Saavedra Valera Keila Andreina</v>
      </c>
      <c r="D258" s="926" t="str">
        <f>+NOMINA!O251</f>
        <v>Tutor Facilitador III</v>
      </c>
      <c r="E258" s="929">
        <f>+NOMINA!H251</f>
        <v>42751</v>
      </c>
      <c r="F258" s="930">
        <f>+NOMINA!BR251</f>
        <v>47.56</v>
      </c>
      <c r="G258" s="930">
        <f>+NOMINA!BS251</f>
        <v>10.57</v>
      </c>
      <c r="H258" s="599"/>
      <c r="I258" s="600"/>
      <c r="J258" s="600"/>
      <c r="K258" s="600"/>
      <c r="L258" s="600"/>
    </row>
    <row r="259" spans="1:12" ht="15.75" customHeight="1" x14ac:dyDescent="0.25">
      <c r="A259" s="928">
        <f t="shared" si="4"/>
        <v>209</v>
      </c>
      <c r="B259" s="926">
        <f>+NOMINA!C252</f>
        <v>20789286</v>
      </c>
      <c r="C259" s="926" t="str">
        <f>+NOMINA!D252</f>
        <v>Viloria Jessica del Carmen</v>
      </c>
      <c r="D259" s="926" t="str">
        <f>+NOMINA!O252</f>
        <v>Asistente Administrativo IV</v>
      </c>
      <c r="E259" s="929">
        <f>+NOMINA!H252</f>
        <v>44713</v>
      </c>
      <c r="F259" s="930">
        <f>+NOMINA!BR252</f>
        <v>55.53</v>
      </c>
      <c r="G259" s="930">
        <f>+NOMINA!BS252</f>
        <v>12.34</v>
      </c>
      <c r="H259" s="599"/>
      <c r="I259" s="600"/>
      <c r="J259" s="600"/>
      <c r="K259" s="600"/>
      <c r="L259" s="600"/>
    </row>
    <row r="260" spans="1:12" ht="15.75" customHeight="1" x14ac:dyDescent="0.25">
      <c r="A260" s="928">
        <f t="shared" si="4"/>
        <v>210</v>
      </c>
      <c r="B260" s="926">
        <f>+NOMINA!C253</f>
        <v>20790947</v>
      </c>
      <c r="C260" s="926" t="str">
        <f>+NOMINA!D253</f>
        <v>Urbina Cuellar Tannessy Lenery</v>
      </c>
      <c r="D260" s="926" t="str">
        <f>+NOMINA!O253</f>
        <v>Asistente Administrativo IV</v>
      </c>
      <c r="E260" s="929">
        <f>+NOMINA!H253</f>
        <v>43967</v>
      </c>
      <c r="F260" s="930">
        <f>+NOMINA!BR253</f>
        <v>0</v>
      </c>
      <c r="G260" s="930">
        <f>+NOMINA!BS253</f>
        <v>0</v>
      </c>
      <c r="H260" s="599"/>
      <c r="I260" s="600"/>
      <c r="J260" s="600"/>
      <c r="K260" s="600"/>
      <c r="L260" s="600"/>
    </row>
    <row r="261" spans="1:12" ht="15.75" customHeight="1" x14ac:dyDescent="0.25">
      <c r="A261" s="928">
        <f t="shared" si="4"/>
        <v>211</v>
      </c>
      <c r="B261" s="926">
        <f>+NOMINA!C254</f>
        <v>21061126</v>
      </c>
      <c r="C261" s="926" t="str">
        <f>+NOMINA!D254</f>
        <v>Olivar Nava Robinson de Jesus</v>
      </c>
      <c r="D261" s="926" t="str">
        <f>+NOMINA!O254</f>
        <v>Guia de Centro I</v>
      </c>
      <c r="E261" s="929">
        <f>+NOMINA!H254</f>
        <v>45047</v>
      </c>
      <c r="F261" s="930">
        <f>+NOMINA!BR254</f>
        <v>54.99</v>
      </c>
      <c r="G261" s="930">
        <f>+NOMINA!BS254</f>
        <v>12.22</v>
      </c>
      <c r="H261" s="599"/>
      <c r="I261" s="600"/>
      <c r="J261" s="600"/>
      <c r="K261" s="600"/>
      <c r="L261" s="600"/>
    </row>
    <row r="262" spans="1:12" ht="15.75" customHeight="1" x14ac:dyDescent="0.25">
      <c r="A262" s="928">
        <f t="shared" si="4"/>
        <v>212</v>
      </c>
      <c r="B262" s="926">
        <f>+NOMINA!C255</f>
        <v>21061789</v>
      </c>
      <c r="C262" s="926" t="str">
        <f>+NOMINA!D255</f>
        <v>Suarez Briceño Daiver Jose</v>
      </c>
      <c r="D262" s="926" t="str">
        <f>+NOMINA!O255</f>
        <v>Abogado I</v>
      </c>
      <c r="E262" s="929">
        <f>+NOMINA!H255</f>
        <v>44713</v>
      </c>
      <c r="F262" s="930">
        <f>+NOMINA!BR255</f>
        <v>53.91</v>
      </c>
      <c r="G262" s="930">
        <f>+NOMINA!BS255</f>
        <v>11.98</v>
      </c>
      <c r="H262" s="599"/>
      <c r="I262" s="600"/>
      <c r="J262" s="600"/>
      <c r="K262" s="600"/>
      <c r="L262" s="600"/>
    </row>
    <row r="263" spans="1:12" ht="15.75" customHeight="1" x14ac:dyDescent="0.25">
      <c r="A263" s="928">
        <f t="shared" si="4"/>
        <v>213</v>
      </c>
      <c r="B263" s="926">
        <f>+NOMINA!C256</f>
        <v>21365212</v>
      </c>
      <c r="C263" s="926" t="str">
        <f>+NOMINA!D256</f>
        <v>Manzanilla Gonzalez Landkler Josue</v>
      </c>
      <c r="D263" s="926" t="str">
        <f>+NOMINA!O256</f>
        <v>Asistente Administrativo II</v>
      </c>
      <c r="E263" s="929">
        <f>+NOMINA!H256</f>
        <v>44317</v>
      </c>
      <c r="F263" s="930">
        <f>+NOMINA!BR256</f>
        <v>29.7</v>
      </c>
      <c r="G263" s="930">
        <f>+NOMINA!BS256</f>
        <v>6.6</v>
      </c>
      <c r="H263" s="599"/>
      <c r="I263" s="600"/>
      <c r="J263" s="600"/>
      <c r="K263" s="600"/>
      <c r="L263" s="600"/>
    </row>
    <row r="264" spans="1:12" ht="15.75" customHeight="1" x14ac:dyDescent="0.25">
      <c r="A264" s="928">
        <f t="shared" si="4"/>
        <v>214</v>
      </c>
      <c r="B264" s="926">
        <f>+NOMINA!C257</f>
        <v>21592108</v>
      </c>
      <c r="C264" s="926" t="str">
        <f>+NOMINA!D257</f>
        <v>Coy Andara Darlin Gabriela</v>
      </c>
      <c r="D264" s="926" t="str">
        <f>+NOMINA!O257</f>
        <v>PLANIFICADOR I</v>
      </c>
      <c r="E264" s="929">
        <f>+NOMINA!H257</f>
        <v>43024</v>
      </c>
      <c r="F264" s="930">
        <f>+NOMINA!BR257</f>
        <v>0</v>
      </c>
      <c r="G264" s="930">
        <f>+NOMINA!BS257</f>
        <v>0</v>
      </c>
      <c r="H264" s="599"/>
      <c r="I264" s="600"/>
      <c r="J264" s="600"/>
      <c r="K264" s="600"/>
      <c r="L264" s="600"/>
    </row>
    <row r="265" spans="1:12" ht="15.75" customHeight="1" x14ac:dyDescent="0.25">
      <c r="A265" s="928">
        <f t="shared" si="4"/>
        <v>215</v>
      </c>
      <c r="B265" s="926">
        <f>+NOMINA!C258</f>
        <v>22622493</v>
      </c>
      <c r="C265" s="926" t="str">
        <f>+NOMINA!D258</f>
        <v>Barrios Olivar Geraldine Katiusca</v>
      </c>
      <c r="D265" s="926" t="str">
        <f>+NOMINA!O258</f>
        <v>Guia de Centro I</v>
      </c>
      <c r="E265" s="929">
        <f>+NOMINA!H258</f>
        <v>44363</v>
      </c>
      <c r="F265" s="930">
        <f>+NOMINA!BR258</f>
        <v>41.99</v>
      </c>
      <c r="G265" s="930">
        <f>+NOMINA!BS258</f>
        <v>9.33</v>
      </c>
      <c r="H265" s="599"/>
      <c r="I265" s="600"/>
      <c r="J265" s="600"/>
      <c r="K265" s="600"/>
      <c r="L265" s="600"/>
    </row>
    <row r="266" spans="1:12" ht="15.75" customHeight="1" x14ac:dyDescent="0.25">
      <c r="A266" s="928">
        <f t="shared" si="4"/>
        <v>216</v>
      </c>
      <c r="B266" s="926">
        <f>+NOMINA!C259</f>
        <v>22892886</v>
      </c>
      <c r="C266" s="926" t="str">
        <f>+NOMINA!D259</f>
        <v>Rivas Gonzalez Eddy Carolina</v>
      </c>
      <c r="D266" s="926" t="str">
        <f>+NOMINA!O259</f>
        <v>Guia de Centro I</v>
      </c>
      <c r="E266" s="929">
        <f>+NOMINA!H259</f>
        <v>45748</v>
      </c>
      <c r="F266" s="930">
        <f>+NOMINA!BR259</f>
        <v>35.1</v>
      </c>
      <c r="G266" s="930">
        <f>+NOMINA!BS259</f>
        <v>7.8</v>
      </c>
      <c r="H266" s="599"/>
      <c r="I266" s="600"/>
      <c r="J266" s="600"/>
      <c r="K266" s="600"/>
      <c r="L266" s="600"/>
    </row>
    <row r="267" spans="1:12" ht="15.75" customHeight="1" x14ac:dyDescent="0.25">
      <c r="A267" s="928">
        <f t="shared" si="4"/>
        <v>217</v>
      </c>
      <c r="B267" s="926">
        <f>+NOMINA!C260</f>
        <v>23254359</v>
      </c>
      <c r="C267" s="926" t="str">
        <f>+NOMINA!D260</f>
        <v>Calles Villarreal Jose Bertilio</v>
      </c>
      <c r="D267" s="926" t="str">
        <f>+NOMINA!O260</f>
        <v>Guia de Centro I</v>
      </c>
      <c r="E267" s="929">
        <f>+NOMINA!H260</f>
        <v>45748</v>
      </c>
      <c r="F267" s="930">
        <f>+NOMINA!BR260</f>
        <v>35.1</v>
      </c>
      <c r="G267" s="930">
        <f>+NOMINA!BS260</f>
        <v>7.8</v>
      </c>
      <c r="H267" s="599"/>
      <c r="I267" s="600"/>
      <c r="J267" s="600"/>
      <c r="K267" s="600"/>
      <c r="L267" s="600"/>
    </row>
    <row r="268" spans="1:12" ht="15.75" customHeight="1" x14ac:dyDescent="0.25">
      <c r="A268" s="928">
        <f t="shared" si="4"/>
        <v>218</v>
      </c>
      <c r="B268" s="926">
        <f>+NOMINA!C261</f>
        <v>23782360</v>
      </c>
      <c r="C268" s="926" t="str">
        <f>+NOMINA!D261</f>
        <v>Rivera Sandoval Ilva Azucena</v>
      </c>
      <c r="D268" s="926" t="str">
        <f>+NOMINA!O261</f>
        <v>Administrador III</v>
      </c>
      <c r="E268" s="929">
        <f>+NOMINA!H261</f>
        <v>39203</v>
      </c>
      <c r="F268" s="930">
        <f>+NOMINA!BR261</f>
        <v>62.62</v>
      </c>
      <c r="G268" s="930">
        <f>+NOMINA!BS261</f>
        <v>13.92</v>
      </c>
      <c r="H268" s="599"/>
      <c r="I268" s="600"/>
      <c r="J268" s="600"/>
      <c r="K268" s="600"/>
      <c r="L268" s="600"/>
    </row>
    <row r="269" spans="1:12" ht="15.75" customHeight="1" x14ac:dyDescent="0.25">
      <c r="A269" s="928">
        <f t="shared" si="4"/>
        <v>219</v>
      </c>
      <c r="B269" s="926">
        <f>+NOMINA!C262</f>
        <v>23960738</v>
      </c>
      <c r="C269" s="926" t="str">
        <f>+NOMINA!D262</f>
        <v>Molina Briceño Maria de los Angeles</v>
      </c>
      <c r="D269" s="926" t="str">
        <f>+NOMINA!O262</f>
        <v>Psicologo II</v>
      </c>
      <c r="E269" s="929">
        <f>+NOMINA!H262</f>
        <v>43497</v>
      </c>
      <c r="F269" s="930">
        <f>+NOMINA!BR262</f>
        <v>55.34</v>
      </c>
      <c r="G269" s="930">
        <f>+NOMINA!BS262</f>
        <v>12.3</v>
      </c>
      <c r="H269" s="599"/>
      <c r="I269" s="600"/>
      <c r="J269" s="600"/>
      <c r="K269" s="600"/>
      <c r="L269" s="600"/>
    </row>
    <row r="270" spans="1:12" ht="15.75" customHeight="1" x14ac:dyDescent="0.25">
      <c r="A270" s="928">
        <f t="shared" si="4"/>
        <v>220</v>
      </c>
      <c r="B270" s="926">
        <f>+NOMINA!C263</f>
        <v>24135378</v>
      </c>
      <c r="C270" s="926" t="str">
        <f>+NOMINA!D263</f>
        <v>Rivas Hurtado Orleidys Betania</v>
      </c>
      <c r="D270" s="926" t="str">
        <f>+NOMINA!O263</f>
        <v>Asistente Administrativo IV</v>
      </c>
      <c r="E270" s="929">
        <f>+NOMINA!H263</f>
        <v>43862</v>
      </c>
      <c r="F270" s="930">
        <f>+NOMINA!BR263</f>
        <v>57.87</v>
      </c>
      <c r="G270" s="930">
        <f>+NOMINA!BS263</f>
        <v>12.86</v>
      </c>
      <c r="H270" s="599"/>
      <c r="I270" s="600"/>
      <c r="J270" s="600"/>
      <c r="K270" s="600"/>
      <c r="L270" s="600"/>
    </row>
    <row r="271" spans="1:12" ht="15.75" customHeight="1" x14ac:dyDescent="0.25">
      <c r="A271" s="928">
        <f t="shared" si="4"/>
        <v>221</v>
      </c>
      <c r="B271" s="926">
        <f>+NOMINA!C264</f>
        <v>24136795</v>
      </c>
      <c r="C271" s="926" t="str">
        <f>+NOMINA!D264</f>
        <v>Viloria Maldonado Gerardo Jesus</v>
      </c>
      <c r="D271" s="926" t="str">
        <f>+NOMINA!O264</f>
        <v>Entrenador Deportivo II</v>
      </c>
      <c r="E271" s="929">
        <f>+NOMINA!H264</f>
        <v>44600</v>
      </c>
      <c r="F271" s="930">
        <f>+NOMINA!BR264</f>
        <v>32.14</v>
      </c>
      <c r="G271" s="930">
        <f>+NOMINA!BS264</f>
        <v>7.14</v>
      </c>
      <c r="H271" s="599"/>
      <c r="I271" s="600"/>
      <c r="J271" s="600"/>
      <c r="K271" s="600"/>
      <c r="L271" s="600"/>
    </row>
    <row r="272" spans="1:12" ht="15.75" customHeight="1" x14ac:dyDescent="0.25">
      <c r="A272" s="928">
        <f t="shared" si="4"/>
        <v>222</v>
      </c>
      <c r="B272" s="926">
        <f>+NOMINA!C265</f>
        <v>23254845</v>
      </c>
      <c r="C272" s="926" t="str">
        <f>+NOMINA!D265</f>
        <v>Castellanos Paredes Luis Gregorio</v>
      </c>
      <c r="D272" s="926" t="str">
        <f>+NOMINA!O265</f>
        <v>Entrenador Deportivo II</v>
      </c>
      <c r="E272" s="929">
        <f>+NOMINA!H265</f>
        <v>44332</v>
      </c>
      <c r="F272" s="930">
        <f>+NOMINA!BR265</f>
        <v>29.7</v>
      </c>
      <c r="G272" s="930">
        <f>+NOMINA!BS265</f>
        <v>6.6</v>
      </c>
      <c r="H272" s="599"/>
      <c r="I272" s="600"/>
      <c r="J272" s="600"/>
      <c r="K272" s="600"/>
      <c r="L272" s="600"/>
    </row>
    <row r="273" spans="1:12" ht="15.75" customHeight="1" x14ac:dyDescent="0.25">
      <c r="A273" s="928">
        <f t="shared" si="4"/>
        <v>223</v>
      </c>
      <c r="B273" s="926">
        <f>+NOMINA!C266</f>
        <v>23594366</v>
      </c>
      <c r="C273" s="926" t="str">
        <f>+NOMINA!D266</f>
        <v>Quintero Montilla Merly Paula</v>
      </c>
      <c r="D273" s="926" t="str">
        <f>+NOMINA!O266</f>
        <v>Tutor Facilitador I</v>
      </c>
      <c r="E273" s="929">
        <f>+NOMINA!H266</f>
        <v>45413</v>
      </c>
      <c r="F273" s="930">
        <f>+NOMINA!BR266</f>
        <v>49.13</v>
      </c>
      <c r="G273" s="930">
        <f>+NOMINA!BS266</f>
        <v>10.92</v>
      </c>
      <c r="H273" s="599"/>
      <c r="I273" s="600"/>
      <c r="J273" s="600"/>
      <c r="K273" s="600"/>
      <c r="L273" s="600"/>
    </row>
    <row r="274" spans="1:12" ht="15.75" customHeight="1" x14ac:dyDescent="0.25">
      <c r="A274" s="928">
        <f t="shared" si="4"/>
        <v>224</v>
      </c>
      <c r="B274" s="926">
        <f>+NOMINA!C267</f>
        <v>23775734</v>
      </c>
      <c r="C274" s="926" t="str">
        <f>+NOMINA!D267</f>
        <v>Gonzalez Torres Klerwin Alfonso</v>
      </c>
      <c r="D274" s="926" t="str">
        <f>+NOMINA!O267</f>
        <v>Guia de Centro I</v>
      </c>
      <c r="E274" s="929">
        <f>+NOMINA!H267</f>
        <v>45627</v>
      </c>
      <c r="F274" s="930">
        <f>+NOMINA!BR267</f>
        <v>37.67</v>
      </c>
      <c r="G274" s="930">
        <f>+NOMINA!BS267</f>
        <v>8.3699999999999992</v>
      </c>
      <c r="H274" s="599"/>
      <c r="I274" s="600"/>
      <c r="J274" s="600"/>
      <c r="K274" s="600"/>
      <c r="L274" s="600"/>
    </row>
    <row r="275" spans="1:12" ht="15.75" customHeight="1" x14ac:dyDescent="0.25">
      <c r="A275" s="928">
        <f t="shared" si="4"/>
        <v>225</v>
      </c>
      <c r="B275" s="926">
        <f>+NOMINA!C268</f>
        <v>24565372</v>
      </c>
      <c r="C275" s="926" t="str">
        <f>+NOMINA!D268</f>
        <v>Moreno Silva Alfredy Jose</v>
      </c>
      <c r="D275" s="926" t="str">
        <f>+NOMINA!O268</f>
        <v>Asistente de Relaciones Publicas</v>
      </c>
      <c r="E275" s="929">
        <f>+NOMINA!H268</f>
        <v>40360</v>
      </c>
      <c r="F275" s="930">
        <f>+NOMINA!BR268</f>
        <v>0</v>
      </c>
      <c r="G275" s="930">
        <f>+NOMINA!BS268</f>
        <v>0</v>
      </c>
      <c r="H275" s="599"/>
      <c r="I275" s="600"/>
      <c r="J275" s="600"/>
      <c r="K275" s="600"/>
      <c r="L275" s="600"/>
    </row>
    <row r="276" spans="1:12" ht="15.75" customHeight="1" x14ac:dyDescent="0.25">
      <c r="A276" s="928">
        <f t="shared" si="4"/>
        <v>226</v>
      </c>
      <c r="B276" s="926">
        <f>+NOMINA!C269</f>
        <v>25006139</v>
      </c>
      <c r="C276" s="926" t="str">
        <f>+NOMINA!D269</f>
        <v>Ramirez Palomares Carmen Beatriz</v>
      </c>
      <c r="D276" s="926" t="str">
        <f>+NOMINA!O269</f>
        <v>Guia de Centro I</v>
      </c>
      <c r="E276" s="929">
        <f>+NOMINA!H269</f>
        <v>43512</v>
      </c>
      <c r="F276" s="930">
        <f>+NOMINA!BR269</f>
        <v>45.3</v>
      </c>
      <c r="G276" s="930">
        <f>+NOMINA!BS269</f>
        <v>10.07</v>
      </c>
      <c r="H276" s="599"/>
      <c r="I276" s="600"/>
      <c r="J276" s="600"/>
      <c r="K276" s="600"/>
      <c r="L276" s="600"/>
    </row>
    <row r="277" spans="1:12" ht="15.75" customHeight="1" x14ac:dyDescent="0.25">
      <c r="A277" s="928">
        <f t="shared" si="4"/>
        <v>227</v>
      </c>
      <c r="B277" s="926">
        <f>+NOMINA!C270</f>
        <v>25006878</v>
      </c>
      <c r="C277" s="926" t="str">
        <f>+NOMINA!D270</f>
        <v>Fernandez Garcia Rafael Ramon</v>
      </c>
      <c r="D277" s="926" t="str">
        <f>+NOMINA!O270</f>
        <v>Guia de Centro I</v>
      </c>
      <c r="E277" s="929">
        <f>+NOMINA!H270</f>
        <v>44986</v>
      </c>
      <c r="F277" s="930">
        <f>+NOMINA!BR270</f>
        <v>44.73</v>
      </c>
      <c r="G277" s="930">
        <f>+NOMINA!BS270</f>
        <v>9.94</v>
      </c>
      <c r="H277" s="599"/>
      <c r="I277" s="600"/>
      <c r="J277" s="600"/>
      <c r="K277" s="600"/>
      <c r="L277" s="600"/>
    </row>
    <row r="278" spans="1:12" ht="15.75" customHeight="1" x14ac:dyDescent="0.25">
      <c r="A278" s="928">
        <f t="shared" si="4"/>
        <v>228</v>
      </c>
      <c r="B278" s="926">
        <f>+NOMINA!C271</f>
        <v>25096069</v>
      </c>
      <c r="C278" s="926" t="str">
        <f>+NOMINA!D271</f>
        <v>Coello Diaz Yormileidys del Carmen</v>
      </c>
      <c r="D278" s="926" t="str">
        <f>+NOMINA!O271</f>
        <v>Guia de Centro I</v>
      </c>
      <c r="E278" s="929">
        <f>+NOMINA!H271</f>
        <v>44599</v>
      </c>
      <c r="F278" s="930">
        <f>+NOMINA!BR271</f>
        <v>62.11</v>
      </c>
      <c r="G278" s="930">
        <f>+NOMINA!BS271</f>
        <v>13.8</v>
      </c>
      <c r="H278" s="599"/>
      <c r="I278" s="600"/>
      <c r="J278" s="600"/>
      <c r="K278" s="600"/>
      <c r="L278" s="600"/>
    </row>
    <row r="279" spans="1:12" ht="15.75" customHeight="1" x14ac:dyDescent="0.25">
      <c r="A279" s="928">
        <f t="shared" si="4"/>
        <v>229</v>
      </c>
      <c r="B279" s="926">
        <f>+NOMINA!C272</f>
        <v>25173983</v>
      </c>
      <c r="C279" s="926" t="str">
        <f>+NOMINA!D272</f>
        <v>Guanda Barazarte Roxely Andreina</v>
      </c>
      <c r="D279" s="926" t="str">
        <f>+NOMINA!O272</f>
        <v>Guia de Centro I</v>
      </c>
      <c r="E279" s="929">
        <f>+NOMINA!H272</f>
        <v>44363</v>
      </c>
      <c r="F279" s="930">
        <f>+NOMINA!BR272</f>
        <v>31</v>
      </c>
      <c r="G279" s="930">
        <f>+NOMINA!BS272</f>
        <v>6.89</v>
      </c>
      <c r="H279" s="599"/>
      <c r="I279" s="600"/>
      <c r="J279" s="600"/>
      <c r="K279" s="600"/>
      <c r="L279" s="600"/>
    </row>
    <row r="280" spans="1:12" ht="15.75" customHeight="1" x14ac:dyDescent="0.25">
      <c r="A280" s="928">
        <f t="shared" si="4"/>
        <v>230</v>
      </c>
      <c r="B280" s="926">
        <f>+NOMINA!C273</f>
        <v>25303390</v>
      </c>
      <c r="C280" s="926" t="str">
        <f>+NOMINA!D273</f>
        <v>Graterol Castillo Yoselyn Zunedy</v>
      </c>
      <c r="D280" s="926" t="str">
        <f>+NOMINA!O273</f>
        <v>Guia de Centro I</v>
      </c>
      <c r="E280" s="929">
        <f>+NOMINA!H273</f>
        <v>43862</v>
      </c>
      <c r="F280" s="930">
        <f>+NOMINA!BR273</f>
        <v>42.19</v>
      </c>
      <c r="G280" s="930">
        <f>+NOMINA!BS273</f>
        <v>9.3800000000000008</v>
      </c>
      <c r="H280" s="599"/>
      <c r="I280" s="600"/>
      <c r="J280" s="600"/>
      <c r="K280" s="600"/>
      <c r="L280" s="600"/>
    </row>
    <row r="281" spans="1:12" ht="15.75" customHeight="1" x14ac:dyDescent="0.25">
      <c r="A281" s="928">
        <f t="shared" si="4"/>
        <v>231</v>
      </c>
      <c r="B281" s="926">
        <f>+NOMINA!C274</f>
        <v>25454143</v>
      </c>
      <c r="C281" s="926" t="str">
        <f>+NOMINA!D274</f>
        <v>Briceño Ana Beatriz</v>
      </c>
      <c r="D281" s="926" t="str">
        <f>+NOMINA!O274</f>
        <v>Guia de Centro I</v>
      </c>
      <c r="E281" s="929">
        <f>+NOMINA!H274</f>
        <v>45536</v>
      </c>
      <c r="F281" s="930">
        <f>+NOMINA!BR274</f>
        <v>36.96</v>
      </c>
      <c r="G281" s="930">
        <f>+NOMINA!BS274</f>
        <v>8.2100000000000009</v>
      </c>
      <c r="H281" s="599"/>
      <c r="I281" s="600"/>
      <c r="J281" s="600"/>
      <c r="K281" s="600"/>
      <c r="L281" s="600"/>
    </row>
    <row r="282" spans="1:12" ht="15.75" customHeight="1" x14ac:dyDescent="0.25">
      <c r="A282" s="928">
        <f t="shared" si="4"/>
        <v>232</v>
      </c>
      <c r="B282" s="926">
        <f>+NOMINA!C275</f>
        <v>25604733</v>
      </c>
      <c r="C282" s="926" t="str">
        <f>+NOMINA!D275</f>
        <v>Nava Carrillo Oriana Daniela</v>
      </c>
      <c r="D282" s="926" t="str">
        <f>+NOMINA!O275</f>
        <v>Entrenador Deportivo II</v>
      </c>
      <c r="E282" s="929">
        <f>+NOMINA!H275</f>
        <v>43754</v>
      </c>
      <c r="F282" s="930">
        <f>+NOMINA!BR275</f>
        <v>29.86</v>
      </c>
      <c r="G282" s="930">
        <f>+NOMINA!BS275</f>
        <v>6.63</v>
      </c>
      <c r="H282" s="599"/>
      <c r="I282" s="600"/>
      <c r="J282" s="600"/>
      <c r="K282" s="600"/>
      <c r="L282" s="600"/>
    </row>
    <row r="283" spans="1:12" ht="15.75" customHeight="1" x14ac:dyDescent="0.25">
      <c r="A283" s="928">
        <f t="shared" si="4"/>
        <v>233</v>
      </c>
      <c r="B283" s="926">
        <f>+NOMINA!C276</f>
        <v>25619540</v>
      </c>
      <c r="C283" s="926" t="str">
        <f>+NOMINA!D276</f>
        <v>Balza Vetencourt Maria Gabriela</v>
      </c>
      <c r="D283" s="926" t="str">
        <f>+NOMINA!O276</f>
        <v>Guia de Centro I</v>
      </c>
      <c r="E283" s="929">
        <f>+NOMINA!H276</f>
        <v>44743</v>
      </c>
      <c r="F283" s="930">
        <f>+NOMINA!BR276</f>
        <v>41.78</v>
      </c>
      <c r="G283" s="930">
        <f>+NOMINA!BS276</f>
        <v>9.2899999999999991</v>
      </c>
      <c r="H283" s="599"/>
      <c r="I283" s="600"/>
      <c r="J283" s="600"/>
      <c r="K283" s="600"/>
      <c r="L283" s="600"/>
    </row>
    <row r="284" spans="1:12" ht="15.75" customHeight="1" x14ac:dyDescent="0.25">
      <c r="A284" s="928">
        <f t="shared" si="4"/>
        <v>234</v>
      </c>
      <c r="B284" s="926">
        <f>+NOMINA!C277</f>
        <v>26094609</v>
      </c>
      <c r="C284" s="926" t="str">
        <f>+NOMINA!D277</f>
        <v>Andara Moreno Marielena Nathaly</v>
      </c>
      <c r="D284" s="926" t="str">
        <f>+NOMINA!O277</f>
        <v>Abogado I</v>
      </c>
      <c r="E284" s="929">
        <f>+NOMINA!H277</f>
        <v>44713</v>
      </c>
      <c r="F284" s="930">
        <f>+NOMINA!BR277</f>
        <v>53.91</v>
      </c>
      <c r="G284" s="930">
        <f>+NOMINA!BS277</f>
        <v>11.98</v>
      </c>
      <c r="H284" s="599"/>
      <c r="I284" s="600"/>
      <c r="J284" s="600"/>
      <c r="K284" s="600"/>
      <c r="L284" s="600"/>
    </row>
    <row r="285" spans="1:12" ht="15.75" customHeight="1" x14ac:dyDescent="0.25">
      <c r="A285" s="928">
        <f t="shared" si="4"/>
        <v>235</v>
      </c>
      <c r="B285" s="926">
        <f>+NOMINA!C278</f>
        <v>26094690</v>
      </c>
      <c r="C285" s="926" t="str">
        <f>+NOMINA!D278</f>
        <v>Fernandez Romero Numa Manuel</v>
      </c>
      <c r="D285" s="926" t="str">
        <f>+NOMINA!O278</f>
        <v>Guia de Centro I</v>
      </c>
      <c r="E285" s="929">
        <f>+NOMINA!H278</f>
        <v>45017</v>
      </c>
      <c r="F285" s="930">
        <f>+NOMINA!BR278</f>
        <v>38.83</v>
      </c>
      <c r="G285" s="930">
        <f>+NOMINA!BS278</f>
        <v>8.6300000000000008</v>
      </c>
      <c r="H285" s="599"/>
      <c r="I285" s="600"/>
      <c r="J285" s="600"/>
      <c r="K285" s="600"/>
      <c r="L285" s="600"/>
    </row>
    <row r="286" spans="1:12" ht="15.75" customHeight="1" x14ac:dyDescent="0.25">
      <c r="A286" s="928">
        <f t="shared" si="4"/>
        <v>236</v>
      </c>
      <c r="B286" s="926">
        <f>+NOMINA!C279</f>
        <v>26114271</v>
      </c>
      <c r="C286" s="926" t="str">
        <f>+NOMINA!D279</f>
        <v>Moncayo Perez Ruddy Bellaliz</v>
      </c>
      <c r="D286" s="926" t="str">
        <f>+NOMINA!O279</f>
        <v>Abogado I</v>
      </c>
      <c r="E286" s="929">
        <f>+NOMINA!H279</f>
        <v>44636</v>
      </c>
      <c r="F286" s="930">
        <f>+NOMINA!BR279</f>
        <v>53.91</v>
      </c>
      <c r="G286" s="930">
        <f>+NOMINA!BS279</f>
        <v>11.98</v>
      </c>
      <c r="H286" s="599"/>
      <c r="I286" s="600"/>
      <c r="J286" s="600"/>
      <c r="K286" s="600"/>
      <c r="L286" s="600"/>
    </row>
    <row r="287" spans="1:12" ht="15.75" customHeight="1" x14ac:dyDescent="0.25">
      <c r="A287" s="928">
        <f t="shared" si="4"/>
        <v>237</v>
      </c>
      <c r="B287" s="926">
        <f>+NOMINA!C280</f>
        <v>26191823</v>
      </c>
      <c r="C287" s="926" t="str">
        <f>+NOMINA!D280</f>
        <v>Briceño Espinoza Brayhan Jose</v>
      </c>
      <c r="D287" s="926" t="str">
        <f>+NOMINA!O280</f>
        <v>Abogado II</v>
      </c>
      <c r="E287" s="929">
        <f>+NOMINA!H280</f>
        <v>44470</v>
      </c>
      <c r="F287" s="930">
        <f>+NOMINA!BR280</f>
        <v>53.91</v>
      </c>
      <c r="G287" s="930">
        <f>+NOMINA!BS280</f>
        <v>11.98</v>
      </c>
      <c r="H287" s="599"/>
      <c r="I287" s="600"/>
      <c r="J287" s="600"/>
      <c r="K287" s="600"/>
      <c r="L287" s="600"/>
    </row>
    <row r="288" spans="1:12" ht="15.75" customHeight="1" x14ac:dyDescent="0.25">
      <c r="A288" s="928">
        <f t="shared" si="4"/>
        <v>238</v>
      </c>
      <c r="B288" s="926">
        <f>+NOMINA!C281</f>
        <v>26235963</v>
      </c>
      <c r="C288" s="926" t="str">
        <f>+NOMINA!D281</f>
        <v>Segovia Segovia Freylu Margarita</v>
      </c>
      <c r="D288" s="926" t="str">
        <f>+NOMINA!O281</f>
        <v>Psicologo I</v>
      </c>
      <c r="E288" s="929">
        <f>+NOMINA!H281</f>
        <v>45383</v>
      </c>
      <c r="F288" s="930">
        <f>+NOMINA!BR281</f>
        <v>50.75</v>
      </c>
      <c r="G288" s="930">
        <f>+NOMINA!BS281</f>
        <v>11.28</v>
      </c>
      <c r="H288" s="599"/>
      <c r="I288" s="600"/>
      <c r="J288" s="600"/>
      <c r="K288" s="600"/>
      <c r="L288" s="600"/>
    </row>
    <row r="289" spans="1:12" ht="15.75" customHeight="1" x14ac:dyDescent="0.25">
      <c r="A289" s="928">
        <f t="shared" si="4"/>
        <v>239</v>
      </c>
      <c r="B289" s="926">
        <f>+NOMINA!C282</f>
        <v>26413871</v>
      </c>
      <c r="C289" s="926" t="str">
        <f>+NOMINA!D282</f>
        <v>Molina Rojas Genesis Angely</v>
      </c>
      <c r="D289" s="926" t="str">
        <f>+NOMINA!O282</f>
        <v>Guia de Centro I</v>
      </c>
      <c r="E289" s="929">
        <f>+NOMINA!H282</f>
        <v>44228</v>
      </c>
      <c r="F289" s="930">
        <f>+NOMINA!BR282</f>
        <v>41.99</v>
      </c>
      <c r="G289" s="930">
        <f>+NOMINA!BS282</f>
        <v>9.33</v>
      </c>
      <c r="H289" s="599"/>
      <c r="I289" s="600"/>
      <c r="J289" s="600"/>
      <c r="K289" s="600"/>
      <c r="L289" s="600"/>
    </row>
    <row r="290" spans="1:12" ht="15.75" customHeight="1" x14ac:dyDescent="0.25">
      <c r="A290" s="928">
        <f t="shared" si="4"/>
        <v>240</v>
      </c>
      <c r="B290" s="926">
        <f>+NOMINA!C283</f>
        <v>26591879</v>
      </c>
      <c r="C290" s="926" t="str">
        <f>+NOMINA!D283</f>
        <v>Delgado Cabezas Rosa Magdalena</v>
      </c>
      <c r="D290" s="926" t="str">
        <f>+NOMINA!O283</f>
        <v>Psicologo II</v>
      </c>
      <c r="E290" s="929">
        <f>+NOMINA!H283</f>
        <v>43587</v>
      </c>
      <c r="F290" s="930">
        <f>+NOMINA!BR283</f>
        <v>56.96</v>
      </c>
      <c r="G290" s="930">
        <f>+NOMINA!BS283</f>
        <v>12.66</v>
      </c>
      <c r="H290" s="599"/>
      <c r="I290" s="600"/>
      <c r="J290" s="600"/>
      <c r="K290" s="600"/>
      <c r="L290" s="600"/>
    </row>
    <row r="291" spans="1:12" ht="15.75" customHeight="1" x14ac:dyDescent="0.25">
      <c r="A291" s="928">
        <f t="shared" si="4"/>
        <v>241</v>
      </c>
      <c r="B291" s="926">
        <f>+NOMINA!C284</f>
        <v>26690908</v>
      </c>
      <c r="C291" s="926" t="str">
        <f>+NOMINA!D284</f>
        <v>Segovia Lisbeira del Carmen</v>
      </c>
      <c r="D291" s="926" t="str">
        <f>+NOMINA!O284</f>
        <v>Guia de Centro I</v>
      </c>
      <c r="E291" s="929">
        <f>+NOMINA!H284</f>
        <v>44228</v>
      </c>
      <c r="F291" s="930">
        <f>+NOMINA!BR284</f>
        <v>40.299999999999997</v>
      </c>
      <c r="G291" s="930">
        <f>+NOMINA!BS284</f>
        <v>8.9600000000000009</v>
      </c>
      <c r="H291" s="599"/>
      <c r="I291" s="600"/>
      <c r="J291" s="600"/>
      <c r="K291" s="600"/>
      <c r="L291" s="600"/>
    </row>
    <row r="292" spans="1:12" ht="15.75" customHeight="1" x14ac:dyDescent="0.25">
      <c r="A292" s="928">
        <f t="shared" si="4"/>
        <v>242</v>
      </c>
      <c r="B292" s="926">
        <f>+NOMINA!C285</f>
        <v>26962104</v>
      </c>
      <c r="C292" s="926" t="str">
        <f>+NOMINA!D285</f>
        <v>Rubio Briceño Diana Carolina</v>
      </c>
      <c r="D292" s="926" t="str">
        <f>+NOMINA!O285</f>
        <v>Asistente Administrativo II</v>
      </c>
      <c r="E292" s="929">
        <f>+NOMINA!H285</f>
        <v>44393</v>
      </c>
      <c r="F292" s="930">
        <f>+NOMINA!BR285</f>
        <v>31</v>
      </c>
      <c r="G292" s="930">
        <f>+NOMINA!BS285</f>
        <v>6.89</v>
      </c>
      <c r="H292" s="599"/>
      <c r="I292" s="600"/>
      <c r="J292" s="600"/>
      <c r="K292" s="600"/>
      <c r="L292" s="600"/>
    </row>
    <row r="293" spans="1:12" ht="15.75" customHeight="1" x14ac:dyDescent="0.25">
      <c r="A293" s="928">
        <f t="shared" si="4"/>
        <v>243</v>
      </c>
      <c r="B293" s="926">
        <f>+NOMINA!C286</f>
        <v>27022450</v>
      </c>
      <c r="C293" s="926" t="str">
        <f>+NOMINA!D286</f>
        <v>Montilla Gonzalez Maria Alexandra</v>
      </c>
      <c r="D293" s="926" t="str">
        <f>+NOMINA!O286</f>
        <v>Tecnico Superior en Trabajo Social I</v>
      </c>
      <c r="E293" s="929">
        <f>+NOMINA!H286</f>
        <v>45717</v>
      </c>
      <c r="F293" s="930">
        <f>+NOMINA!BR286</f>
        <v>40.130000000000003</v>
      </c>
      <c r="G293" s="930">
        <f>+NOMINA!BS286</f>
        <v>8.92</v>
      </c>
      <c r="H293" s="599"/>
      <c r="I293" s="600"/>
      <c r="J293" s="600"/>
      <c r="K293" s="600"/>
      <c r="L293" s="600"/>
    </row>
    <row r="294" spans="1:12" ht="15.75" customHeight="1" x14ac:dyDescent="0.25">
      <c r="A294" s="928">
        <f t="shared" si="4"/>
        <v>244</v>
      </c>
      <c r="B294" s="926">
        <f>+NOMINA!C287</f>
        <v>27251885</v>
      </c>
      <c r="C294" s="926" t="str">
        <f>+NOMINA!D287</f>
        <v>Barrozo Godoy Kellem Daniela</v>
      </c>
      <c r="D294" s="926" t="str">
        <f>+NOMINA!O287</f>
        <v>Guia de Centro I</v>
      </c>
      <c r="E294" s="929">
        <f>+NOMINA!H287</f>
        <v>45474</v>
      </c>
      <c r="F294" s="930">
        <f>+NOMINA!BR287</f>
        <v>36.96</v>
      </c>
      <c r="G294" s="930">
        <f>+NOMINA!BS287</f>
        <v>8.2100000000000009</v>
      </c>
      <c r="H294" s="599"/>
      <c r="I294" s="600"/>
      <c r="J294" s="600"/>
      <c r="K294" s="600"/>
      <c r="L294" s="600"/>
    </row>
    <row r="295" spans="1:12" ht="15.75" customHeight="1" x14ac:dyDescent="0.25">
      <c r="A295" s="928">
        <f t="shared" si="4"/>
        <v>245</v>
      </c>
      <c r="B295" s="926">
        <f>+NOMINA!C288</f>
        <v>27251899</v>
      </c>
      <c r="C295" s="926" t="str">
        <f>+NOMINA!D288</f>
        <v>Perez Gonzalez Maria Ines</v>
      </c>
      <c r="D295" s="926" t="str">
        <f>+NOMINA!O288</f>
        <v>Guia de Centro I</v>
      </c>
      <c r="E295" s="929">
        <f>+NOMINA!H288</f>
        <v>45474</v>
      </c>
      <c r="F295" s="930">
        <f>+NOMINA!BR288</f>
        <v>36.96</v>
      </c>
      <c r="G295" s="930">
        <f>+NOMINA!BS288</f>
        <v>8.2100000000000009</v>
      </c>
      <c r="H295" s="599"/>
      <c r="I295" s="600"/>
      <c r="J295" s="600"/>
      <c r="K295" s="600"/>
      <c r="L295" s="600"/>
    </row>
    <row r="296" spans="1:12" ht="15.75" customHeight="1" x14ac:dyDescent="0.25">
      <c r="A296" s="928">
        <f t="shared" si="4"/>
        <v>246</v>
      </c>
      <c r="B296" s="926">
        <f>+NOMINA!C289</f>
        <v>27363633</v>
      </c>
      <c r="C296" s="926" t="str">
        <f>+NOMINA!D289</f>
        <v>Padilla Blanco Melany Marian</v>
      </c>
      <c r="D296" s="926" t="str">
        <f>+NOMINA!O289</f>
        <v>Guia de Centro I</v>
      </c>
      <c r="E296" s="929">
        <f>+NOMINA!H289</f>
        <v>45627</v>
      </c>
      <c r="F296" s="930">
        <f>+NOMINA!BR289</f>
        <v>35.1</v>
      </c>
      <c r="G296" s="930">
        <f>+NOMINA!BS289</f>
        <v>7.8</v>
      </c>
      <c r="H296" s="599"/>
      <c r="I296" s="600"/>
      <c r="J296" s="600"/>
      <c r="K296" s="600"/>
      <c r="L296" s="600"/>
    </row>
    <row r="297" spans="1:12" ht="15.75" customHeight="1" x14ac:dyDescent="0.25">
      <c r="A297" s="928">
        <f t="shared" si="4"/>
        <v>247</v>
      </c>
      <c r="B297" s="926">
        <f>+NOMINA!C290</f>
        <v>27415737</v>
      </c>
      <c r="C297" s="926" t="str">
        <f>+NOMINA!D290</f>
        <v>Rivas Torres Rosa Alba</v>
      </c>
      <c r="D297" s="926" t="str">
        <f>+NOMINA!O290</f>
        <v>Asistente Administrativo II</v>
      </c>
      <c r="E297" s="929">
        <f>+NOMINA!H290</f>
        <v>44363</v>
      </c>
      <c r="F297" s="930">
        <f>+NOMINA!BR290</f>
        <v>31</v>
      </c>
      <c r="G297" s="930">
        <f>+NOMINA!BS290</f>
        <v>6.89</v>
      </c>
      <c r="H297" s="599"/>
      <c r="I297" s="600"/>
      <c r="J297" s="600"/>
      <c r="K297" s="600"/>
      <c r="L297" s="600"/>
    </row>
    <row r="298" spans="1:12" ht="15.75" customHeight="1" x14ac:dyDescent="0.25">
      <c r="A298" s="928">
        <f t="shared" si="4"/>
        <v>248</v>
      </c>
      <c r="B298" s="926">
        <f>+NOMINA!C291</f>
        <v>27415888</v>
      </c>
      <c r="C298" s="926" t="str">
        <f>+NOMINA!D291</f>
        <v>Perdomo Juarez Jose de Jesus</v>
      </c>
      <c r="D298" s="926" t="str">
        <f>+NOMINA!O291</f>
        <v>Entrenador Deportivo II</v>
      </c>
      <c r="E298" s="929">
        <f>+NOMINA!H291</f>
        <v>44713</v>
      </c>
      <c r="F298" s="930">
        <f>+NOMINA!BR291</f>
        <v>33.549999999999997</v>
      </c>
      <c r="G298" s="930">
        <f>+NOMINA!BS291</f>
        <v>7.45</v>
      </c>
      <c r="H298" s="599"/>
      <c r="I298" s="600"/>
      <c r="J298" s="600"/>
      <c r="K298" s="600"/>
      <c r="L298" s="600"/>
    </row>
    <row r="299" spans="1:12" ht="15.75" customHeight="1" x14ac:dyDescent="0.25">
      <c r="A299" s="928">
        <f t="shared" si="4"/>
        <v>249</v>
      </c>
      <c r="B299" s="926">
        <f>+NOMINA!C292</f>
        <v>27628603</v>
      </c>
      <c r="C299" s="926" t="str">
        <f>+NOMINA!D292</f>
        <v>Mendoza Mendoza Kelasky Kixuy</v>
      </c>
      <c r="D299" s="926" t="str">
        <f>+NOMINA!O292</f>
        <v>Instructor De Formacion Empresarial</v>
      </c>
      <c r="E299" s="929">
        <f>+NOMINA!H292</f>
        <v>45139</v>
      </c>
      <c r="F299" s="930">
        <f>+NOMINA!BR292</f>
        <v>28.57</v>
      </c>
      <c r="G299" s="930">
        <f>+NOMINA!BS292</f>
        <v>6.35</v>
      </c>
      <c r="H299" s="599"/>
      <c r="I299" s="600"/>
      <c r="J299" s="600"/>
      <c r="K299" s="600"/>
      <c r="L299" s="600"/>
    </row>
    <row r="300" spans="1:12" ht="15.75" customHeight="1" x14ac:dyDescent="0.25">
      <c r="A300" s="928">
        <f t="shared" si="4"/>
        <v>250</v>
      </c>
      <c r="B300" s="926">
        <f>+NOMINA!C293</f>
        <v>27677242</v>
      </c>
      <c r="C300" s="926" t="str">
        <f>+NOMINA!D293</f>
        <v>Ramirez Torres Darwin Jose</v>
      </c>
      <c r="D300" s="926" t="str">
        <f>+NOMINA!O293</f>
        <v>Recreador</v>
      </c>
      <c r="E300" s="929">
        <f>+NOMINA!H293</f>
        <v>45139</v>
      </c>
      <c r="F300" s="930">
        <f>+NOMINA!BR293</f>
        <v>27.27</v>
      </c>
      <c r="G300" s="930">
        <f>+NOMINA!BS293</f>
        <v>6.06</v>
      </c>
      <c r="H300" s="599"/>
      <c r="I300" s="600"/>
      <c r="J300" s="600"/>
      <c r="K300" s="600"/>
      <c r="L300" s="600"/>
    </row>
    <row r="301" spans="1:12" ht="15.75" customHeight="1" x14ac:dyDescent="0.25">
      <c r="A301" s="928">
        <f t="shared" si="4"/>
        <v>251</v>
      </c>
      <c r="B301" s="926">
        <f>+NOMINA!C294</f>
        <v>27889180</v>
      </c>
      <c r="C301" s="926" t="str">
        <f>+NOMINA!D294</f>
        <v>Moreno Andreina del Valle</v>
      </c>
      <c r="D301" s="926" t="str">
        <f>+NOMINA!O294</f>
        <v>Asistente Administrativo II</v>
      </c>
      <c r="E301" s="929">
        <f>+NOMINA!H294</f>
        <v>44393</v>
      </c>
      <c r="F301" s="930">
        <f>+NOMINA!BR294</f>
        <v>0</v>
      </c>
      <c r="G301" s="930">
        <f>+NOMINA!BS294</f>
        <v>0</v>
      </c>
      <c r="H301" s="599"/>
      <c r="I301" s="600"/>
      <c r="J301" s="600"/>
      <c r="K301" s="600"/>
      <c r="L301" s="600"/>
    </row>
    <row r="302" spans="1:12" ht="15.75" customHeight="1" x14ac:dyDescent="0.25">
      <c r="A302" s="928">
        <f t="shared" si="4"/>
        <v>252</v>
      </c>
      <c r="B302" s="926">
        <f>+NOMINA!C295</f>
        <v>28079765</v>
      </c>
      <c r="C302" s="926" t="str">
        <f>+NOMINA!D295</f>
        <v>Mendoza Cardozo Josue Vicensio</v>
      </c>
      <c r="D302" s="926" t="str">
        <f>+NOMINA!O295</f>
        <v>Asistente Administrativo II</v>
      </c>
      <c r="E302" s="929">
        <f>+NOMINA!H295</f>
        <v>44348</v>
      </c>
      <c r="F302" s="930">
        <f>+NOMINA!BR295</f>
        <v>44.58</v>
      </c>
      <c r="G302" s="930">
        <f>+NOMINA!BS295</f>
        <v>9.91</v>
      </c>
      <c r="H302" s="599"/>
      <c r="I302" s="600"/>
      <c r="J302" s="600"/>
      <c r="K302" s="600"/>
      <c r="L302" s="600"/>
    </row>
    <row r="303" spans="1:12" ht="15.75" customHeight="1" x14ac:dyDescent="0.25">
      <c r="A303" s="928">
        <f t="shared" si="4"/>
        <v>253</v>
      </c>
      <c r="B303" s="926">
        <f>+NOMINA!C296</f>
        <v>28096003</v>
      </c>
      <c r="C303" s="926" t="str">
        <f>+NOMINA!D296</f>
        <v>Quintero Peña Maria Alejandra</v>
      </c>
      <c r="D303" s="926" t="str">
        <f>+NOMINA!O296</f>
        <v>Guia de Centro I</v>
      </c>
      <c r="E303" s="929">
        <f>+NOMINA!H296</f>
        <v>44228</v>
      </c>
      <c r="F303" s="930">
        <f>+NOMINA!BR296</f>
        <v>38.61</v>
      </c>
      <c r="G303" s="930">
        <f>+NOMINA!BS296</f>
        <v>8.58</v>
      </c>
      <c r="H303" s="599"/>
      <c r="I303" s="600"/>
      <c r="J303" s="600"/>
      <c r="K303" s="600"/>
      <c r="L303" s="600"/>
    </row>
    <row r="304" spans="1:12" ht="15.75" customHeight="1" x14ac:dyDescent="0.25">
      <c r="A304" s="928">
        <f t="shared" si="4"/>
        <v>254</v>
      </c>
      <c r="B304" s="926">
        <f>+NOMINA!C297</f>
        <v>28096576</v>
      </c>
      <c r="C304" s="926" t="str">
        <f>+NOMINA!D297</f>
        <v>Gutierrez Betania Belsally</v>
      </c>
      <c r="D304" s="926" t="str">
        <f>+NOMINA!O297</f>
        <v>Asistente Administrativo I</v>
      </c>
      <c r="E304" s="929">
        <f>+NOMINA!H297</f>
        <v>45017</v>
      </c>
      <c r="F304" s="930">
        <f>+NOMINA!BR297</f>
        <v>29.87</v>
      </c>
      <c r="G304" s="930">
        <f>+NOMINA!BS297</f>
        <v>6.64</v>
      </c>
      <c r="H304" s="599"/>
      <c r="I304" s="600"/>
      <c r="J304" s="600"/>
      <c r="K304" s="600"/>
      <c r="L304" s="600"/>
    </row>
    <row r="305" spans="1:12" ht="15.75" customHeight="1" x14ac:dyDescent="0.25">
      <c r="A305" s="928">
        <f t="shared" si="4"/>
        <v>255</v>
      </c>
      <c r="B305" s="926">
        <f>+NOMINA!C298</f>
        <v>28445465</v>
      </c>
      <c r="C305" s="926" t="str">
        <f>+NOMINA!D298</f>
        <v>Castillo Carrizo Katherine Cecilia</v>
      </c>
      <c r="D305" s="926" t="str">
        <f>+NOMINA!O298</f>
        <v>Asistente Administrativo II</v>
      </c>
      <c r="E305" s="929">
        <f>+NOMINA!H298</f>
        <v>43770</v>
      </c>
      <c r="F305" s="930">
        <f>+NOMINA!BR298</f>
        <v>29.86</v>
      </c>
      <c r="G305" s="930">
        <f>+NOMINA!BS298</f>
        <v>6.63</v>
      </c>
      <c r="H305" s="599"/>
      <c r="I305" s="600"/>
      <c r="J305" s="600"/>
      <c r="K305" s="600"/>
      <c r="L305" s="600"/>
    </row>
    <row r="306" spans="1:12" ht="15.75" customHeight="1" x14ac:dyDescent="0.25">
      <c r="A306" s="928">
        <f t="shared" si="4"/>
        <v>256</v>
      </c>
      <c r="B306" s="926">
        <f>+NOMINA!C299</f>
        <v>29539827</v>
      </c>
      <c r="C306" s="926" t="str">
        <f>+NOMINA!D299</f>
        <v>Rivero Fajardo Nohely Gabriela</v>
      </c>
      <c r="D306" s="926" t="str">
        <f>+NOMINA!O299</f>
        <v>PSICOLOGO I</v>
      </c>
      <c r="E306" s="929">
        <f>+NOMINA!H299</f>
        <v>45901</v>
      </c>
      <c r="F306" s="930">
        <f>+NOMINA!BR299</f>
        <v>48.81</v>
      </c>
      <c r="G306" s="930">
        <f>+NOMINA!BS299</f>
        <v>10.85</v>
      </c>
      <c r="H306" s="599"/>
      <c r="I306" s="600"/>
      <c r="J306" s="600"/>
      <c r="K306" s="600"/>
      <c r="L306" s="600"/>
    </row>
    <row r="307" spans="1:12" ht="15.75" customHeight="1" x14ac:dyDescent="0.25">
      <c r="A307" s="928">
        <f t="shared" si="4"/>
        <v>257</v>
      </c>
      <c r="B307" s="926">
        <f>+NOMINA!C300</f>
        <v>29585477</v>
      </c>
      <c r="C307" s="926" t="str">
        <f>+NOMINA!D300</f>
        <v>Gil Ruiz Marianyeli Sarait</v>
      </c>
      <c r="D307" s="926" t="str">
        <f>+NOMINA!O300</f>
        <v>Entrenador Deportivo II</v>
      </c>
      <c r="E307" s="929">
        <f>+NOMINA!H300</f>
        <v>43512</v>
      </c>
      <c r="F307" s="930">
        <f>+NOMINA!BR300</f>
        <v>33.549999999999997</v>
      </c>
      <c r="G307" s="930">
        <f>+NOMINA!BS300</f>
        <v>7.45</v>
      </c>
      <c r="H307" s="599"/>
      <c r="I307" s="600"/>
      <c r="J307" s="600"/>
      <c r="K307" s="600"/>
      <c r="L307" s="600"/>
    </row>
    <row r="308" spans="1:12" ht="15.75" customHeight="1" x14ac:dyDescent="0.25">
      <c r="A308" s="928">
        <f t="shared" si="4"/>
        <v>258</v>
      </c>
      <c r="B308" s="926">
        <f>+NOMINA!C301</f>
        <v>30190238</v>
      </c>
      <c r="C308" s="926" t="str">
        <f>+NOMINA!D301</f>
        <v>Mendoza Osuna Zaida Liseth</v>
      </c>
      <c r="D308" s="926" t="str">
        <f>+NOMINA!O301</f>
        <v>Guia de Centro I</v>
      </c>
      <c r="E308" s="929">
        <f>+NOMINA!H301</f>
        <v>45200</v>
      </c>
      <c r="F308" s="930">
        <f>+NOMINA!BR301</f>
        <v>35.28</v>
      </c>
      <c r="G308" s="930">
        <f>+NOMINA!BS301</f>
        <v>7.84</v>
      </c>
      <c r="H308" s="599"/>
      <c r="I308" s="600"/>
      <c r="J308" s="600"/>
      <c r="K308" s="600"/>
      <c r="L308" s="600"/>
    </row>
    <row r="309" spans="1:12" ht="15.75" customHeight="1" thickBot="1" x14ac:dyDescent="0.3">
      <c r="A309" s="928">
        <f t="shared" si="4"/>
        <v>259</v>
      </c>
      <c r="B309" s="926">
        <f>+NOMINA!C302</f>
        <v>30438508</v>
      </c>
      <c r="C309" s="926" t="str">
        <f>+NOMINA!D302</f>
        <v>Teran Araujo Marihangeli Nicoll</v>
      </c>
      <c r="D309" s="926" t="str">
        <f>+NOMINA!O302</f>
        <v>Asistente Administrativo II</v>
      </c>
      <c r="E309" s="929">
        <f>+NOMINA!H302</f>
        <v>45200</v>
      </c>
      <c r="F309" s="930">
        <f>+NOMINA!BR302</f>
        <v>29.86</v>
      </c>
      <c r="G309" s="930">
        <f>+NOMINA!BS302</f>
        <v>6.63</v>
      </c>
      <c r="H309" s="599"/>
      <c r="I309" s="600"/>
      <c r="J309" s="600"/>
      <c r="K309" s="600"/>
      <c r="L309" s="600"/>
    </row>
    <row r="310" spans="1:12" ht="15.75" customHeight="1" thickBot="1" x14ac:dyDescent="0.3">
      <c r="A310" s="928"/>
      <c r="B310" s="926"/>
      <c r="C310" s="926"/>
      <c r="D310" s="942" t="s">
        <v>4562</v>
      </c>
      <c r="E310" s="607" t="s">
        <v>5821</v>
      </c>
      <c r="F310" s="927">
        <f>SUM(F51:F309)</f>
        <v>11931.490000000003</v>
      </c>
      <c r="G310" s="927">
        <f>SUM(G51:G309)</f>
        <v>2651.4500000000016</v>
      </c>
      <c r="H310" s="599" t="e">
        <f>NOMINA!#REF!</f>
        <v>#REF!</v>
      </c>
      <c r="I310" s="600" t="e">
        <f>+F310-H310</f>
        <v>#REF!</v>
      </c>
      <c r="J310" s="600" t="e">
        <f>+NOMINA!#REF!</f>
        <v>#REF!</v>
      </c>
      <c r="K310" s="600" t="e">
        <f>+G310-J310</f>
        <v>#REF!</v>
      </c>
      <c r="L310" s="600"/>
    </row>
    <row r="311" spans="1:12" ht="15.75" customHeight="1" x14ac:dyDescent="0.25">
      <c r="A311" s="601"/>
      <c r="B311" s="931"/>
      <c r="C311" s="931"/>
      <c r="D311" s="931"/>
      <c r="E311" s="608"/>
      <c r="F311" s="932"/>
      <c r="G311" s="932"/>
      <c r="H311" s="599"/>
      <c r="I311" s="600"/>
      <c r="J311" s="600"/>
      <c r="K311" s="600"/>
      <c r="L311" s="600"/>
    </row>
    <row r="312" spans="1:12" ht="15.75" customHeight="1" x14ac:dyDescent="0.25">
      <c r="A312" s="601"/>
      <c r="B312" s="603"/>
      <c r="C312" s="595" t="s">
        <v>5815</v>
      </c>
      <c r="F312" s="595" t="s">
        <v>5816</v>
      </c>
      <c r="H312" s="599"/>
      <c r="I312" s="600"/>
      <c r="J312" s="600"/>
      <c r="K312" s="600"/>
      <c r="L312" s="600"/>
    </row>
    <row r="313" spans="1:12" ht="15.75" customHeight="1" x14ac:dyDescent="0.25">
      <c r="A313" s="601"/>
      <c r="B313" s="603"/>
      <c r="H313" s="599"/>
      <c r="I313" s="600"/>
      <c r="J313" s="600"/>
      <c r="K313" s="600"/>
      <c r="L313" s="600"/>
    </row>
    <row r="314" spans="1:12" ht="15.75" customHeight="1" x14ac:dyDescent="0.3">
      <c r="A314" s="601"/>
      <c r="B314" s="603"/>
      <c r="C314" s="605" t="s">
        <v>5817</v>
      </c>
      <c r="F314" s="606" t="s">
        <v>5818</v>
      </c>
      <c r="H314" s="599"/>
      <c r="I314" s="600"/>
      <c r="J314" s="600"/>
      <c r="K314" s="600"/>
      <c r="L314" s="600"/>
    </row>
    <row r="315" spans="1:12" ht="15.75" customHeight="1" x14ac:dyDescent="0.3">
      <c r="A315" s="601"/>
      <c r="B315" s="603"/>
      <c r="C315" s="605" t="s">
        <v>5819</v>
      </c>
      <c r="F315" s="605" t="s">
        <v>5820</v>
      </c>
      <c r="G315" s="609"/>
      <c r="H315" s="599"/>
      <c r="I315" s="600"/>
      <c r="J315" s="600"/>
      <c r="K315" s="600"/>
      <c r="L315" s="600"/>
    </row>
    <row r="316" spans="1:12" ht="15.75" customHeight="1" x14ac:dyDescent="0.25">
      <c r="A316" s="601"/>
      <c r="B316" s="603"/>
      <c r="C316" s="603"/>
      <c r="D316" s="603"/>
      <c r="E316" s="608"/>
      <c r="F316" s="604"/>
      <c r="G316" s="604"/>
      <c r="H316" s="599"/>
      <c r="I316" s="600"/>
      <c r="J316" s="600"/>
      <c r="K316" s="600"/>
      <c r="L316" s="600"/>
    </row>
    <row r="317" spans="1:12" ht="15.75" customHeight="1" x14ac:dyDescent="0.25">
      <c r="A317" s="597" t="s">
        <v>4563</v>
      </c>
      <c r="B317" s="926"/>
      <c r="C317" s="926"/>
      <c r="D317" s="926"/>
      <c r="E317" s="929"/>
      <c r="F317" s="930"/>
      <c r="G317" s="930"/>
      <c r="H317" s="599"/>
      <c r="I317" s="600"/>
      <c r="J317" s="600"/>
      <c r="K317" s="600"/>
      <c r="L317" s="600"/>
    </row>
    <row r="318" spans="1:12" ht="15.75" customHeight="1" x14ac:dyDescent="0.25">
      <c r="A318" s="928">
        <v>1</v>
      </c>
      <c r="B318" s="926">
        <f>+NOMINA!C305</f>
        <v>5505183</v>
      </c>
      <c r="C318" s="926" t="str">
        <f>+NOMINA!D305</f>
        <v>Paredes Marquez Eduardo Jesus</v>
      </c>
      <c r="D318" s="926" t="str">
        <f>+NOMINA!O305</f>
        <v>Ayudante de Servicios Generales</v>
      </c>
      <c r="E318" s="929">
        <f>+NOMINA!H305</f>
        <v>44562</v>
      </c>
      <c r="F318" s="930">
        <f>+NOMINA!BR305</f>
        <v>31.46</v>
      </c>
      <c r="G318" s="930">
        <f>+NOMINA!BS305</f>
        <v>6.99</v>
      </c>
      <c r="H318" s="599"/>
      <c r="I318" s="600"/>
      <c r="J318" s="600"/>
      <c r="K318" s="600"/>
      <c r="L318" s="600"/>
    </row>
    <row r="319" spans="1:12" ht="15.75" customHeight="1" x14ac:dyDescent="0.25">
      <c r="A319" s="928">
        <f>+A318+1</f>
        <v>2</v>
      </c>
      <c r="B319" s="926">
        <f>+NOMINA!C306</f>
        <v>5757455</v>
      </c>
      <c r="C319" s="926" t="str">
        <f>+NOMINA!D306</f>
        <v>Ramirez Garcia Maria Perpetua</v>
      </c>
      <c r="D319" s="926" t="str">
        <f>+NOMINA!O306</f>
        <v>Cocinera</v>
      </c>
      <c r="E319" s="929">
        <f>+NOMINA!H306</f>
        <v>39409</v>
      </c>
      <c r="F319" s="930">
        <f>+NOMINA!BR306</f>
        <v>0</v>
      </c>
      <c r="G319" s="930">
        <f>+NOMINA!BS306</f>
        <v>0</v>
      </c>
      <c r="H319" s="599"/>
      <c r="I319" s="600"/>
      <c r="J319" s="600"/>
      <c r="K319" s="600"/>
      <c r="L319" s="600"/>
    </row>
    <row r="320" spans="1:12" ht="15.75" customHeight="1" x14ac:dyDescent="0.25">
      <c r="A320" s="928">
        <f t="shared" ref="A320:A384" si="5">+A319+1</f>
        <v>3</v>
      </c>
      <c r="B320" s="926">
        <f>+NOMINA!C307</f>
        <v>5762185</v>
      </c>
      <c r="C320" s="926" t="str">
        <f>+NOMINA!D307</f>
        <v>Salas Quintero Jose Gregorio</v>
      </c>
      <c r="D320" s="926" t="str">
        <f>+NOMINA!O307</f>
        <v>Vigilante</v>
      </c>
      <c r="E320" s="929">
        <f>+NOMINA!H307</f>
        <v>37622</v>
      </c>
      <c r="F320" s="930">
        <f>+NOMINA!BR307</f>
        <v>36.51</v>
      </c>
      <c r="G320" s="930">
        <f>+NOMINA!BS307</f>
        <v>8.11</v>
      </c>
      <c r="H320" s="599"/>
      <c r="I320" s="600"/>
      <c r="J320" s="600"/>
      <c r="K320" s="600"/>
      <c r="L320" s="600"/>
    </row>
    <row r="321" spans="1:12" ht="15.75" customHeight="1" x14ac:dyDescent="0.25">
      <c r="A321" s="928">
        <f t="shared" si="5"/>
        <v>4</v>
      </c>
      <c r="B321" s="926">
        <f>+NOMINA!C308</f>
        <v>6332524</v>
      </c>
      <c r="C321" s="926" t="str">
        <f>+NOMINA!D308</f>
        <v>Flores Diana Yamilet</v>
      </c>
      <c r="D321" s="926" t="str">
        <f>+NOMINA!O308</f>
        <v>Cocinera</v>
      </c>
      <c r="E321" s="929">
        <f>+NOMINA!H308</f>
        <v>42948</v>
      </c>
      <c r="F321" s="930">
        <f>+NOMINA!BR308</f>
        <v>32.79</v>
      </c>
      <c r="G321" s="930">
        <f>+NOMINA!BS308</f>
        <v>7.29</v>
      </c>
      <c r="H321" s="599"/>
      <c r="I321" s="600"/>
      <c r="J321" s="600"/>
      <c r="K321" s="600"/>
      <c r="L321" s="600"/>
    </row>
    <row r="322" spans="1:12" ht="15.75" customHeight="1" x14ac:dyDescent="0.25">
      <c r="A322" s="928">
        <f t="shared" si="5"/>
        <v>5</v>
      </c>
      <c r="B322" s="926">
        <f>+NOMINA!C309</f>
        <v>6902701</v>
      </c>
      <c r="C322" s="926" t="str">
        <f>+NOMINA!D309</f>
        <v>Santiago Torres Jose Ramon</v>
      </c>
      <c r="D322" s="926" t="str">
        <f>+NOMINA!O309</f>
        <v>Mensajero</v>
      </c>
      <c r="E322" s="929">
        <f>+NOMINA!H309</f>
        <v>44228</v>
      </c>
      <c r="F322" s="930">
        <f>+NOMINA!BR309</f>
        <v>30.13</v>
      </c>
      <c r="G322" s="930">
        <f>+NOMINA!BS309</f>
        <v>6.7</v>
      </c>
      <c r="H322" s="599"/>
      <c r="I322" s="600"/>
      <c r="J322" s="600"/>
      <c r="K322" s="600"/>
      <c r="L322" s="600"/>
    </row>
    <row r="323" spans="1:12" ht="15.75" customHeight="1" x14ac:dyDescent="0.25">
      <c r="A323" s="928">
        <f t="shared" si="5"/>
        <v>6</v>
      </c>
      <c r="B323" s="926">
        <f>+NOMINA!C310</f>
        <v>7252065</v>
      </c>
      <c r="C323" s="926" t="str">
        <f>+NOMINA!D310</f>
        <v>Rivas Rivas Jose Gerardo</v>
      </c>
      <c r="D323" s="926" t="str">
        <f>+NOMINA!O310</f>
        <v>Ayudante de Servicios Generales</v>
      </c>
      <c r="E323" s="929">
        <f>+NOMINA!H310</f>
        <v>43891</v>
      </c>
      <c r="F323" s="930">
        <f>+NOMINA!BR310</f>
        <v>39.1</v>
      </c>
      <c r="G323" s="930">
        <f>+NOMINA!BS310</f>
        <v>8.69</v>
      </c>
      <c r="H323" s="599"/>
      <c r="I323" s="600"/>
      <c r="J323" s="600"/>
      <c r="K323" s="600"/>
      <c r="L323" s="600"/>
    </row>
    <row r="324" spans="1:12" ht="15.75" customHeight="1" x14ac:dyDescent="0.25">
      <c r="A324" s="928">
        <f t="shared" si="5"/>
        <v>7</v>
      </c>
      <c r="B324" s="926">
        <f>+NOMINA!C311</f>
        <v>9008311</v>
      </c>
      <c r="C324" s="926" t="str">
        <f>+NOMINA!D311</f>
        <v>Toro Margi Enrique</v>
      </c>
      <c r="D324" s="926" t="str">
        <f>+NOMINA!O311</f>
        <v>Ayudante de Servicios Generales</v>
      </c>
      <c r="E324" s="929">
        <f>+NOMINA!H311</f>
        <v>39265</v>
      </c>
      <c r="F324" s="930">
        <f>+NOMINA!BR311</f>
        <v>32.880000000000003</v>
      </c>
      <c r="G324" s="930">
        <f>+NOMINA!BS311</f>
        <v>7.31</v>
      </c>
      <c r="H324" s="599"/>
      <c r="I324" s="600"/>
      <c r="J324" s="600"/>
      <c r="K324" s="600"/>
      <c r="L324" s="600"/>
    </row>
    <row r="325" spans="1:12" ht="15.75" customHeight="1" x14ac:dyDescent="0.25">
      <c r="A325" s="928">
        <f t="shared" si="5"/>
        <v>8</v>
      </c>
      <c r="B325" s="926">
        <f>+NOMINA!C312</f>
        <v>9011963</v>
      </c>
      <c r="C325" s="926" t="str">
        <f>+NOMINA!D312</f>
        <v>Alarcon Argenio</v>
      </c>
      <c r="D325" s="926" t="str">
        <f>+NOMINA!O312</f>
        <v>Ayudante de Servicios Generales</v>
      </c>
      <c r="E325" s="929">
        <f>+NOMINA!H312</f>
        <v>39820</v>
      </c>
      <c r="F325" s="930">
        <f>+NOMINA!BR312</f>
        <v>0</v>
      </c>
      <c r="G325" s="930">
        <f>+NOMINA!BS312</f>
        <v>0</v>
      </c>
      <c r="H325" s="599"/>
      <c r="I325" s="600"/>
      <c r="J325" s="600"/>
      <c r="K325" s="600"/>
      <c r="L325" s="600"/>
    </row>
    <row r="326" spans="1:12" ht="15.75" customHeight="1" x14ac:dyDescent="0.25">
      <c r="A326" s="928">
        <f t="shared" si="5"/>
        <v>9</v>
      </c>
      <c r="B326" s="926">
        <f>+NOMINA!C313</f>
        <v>9100500</v>
      </c>
      <c r="C326" s="926" t="str">
        <f>+NOMINA!D313</f>
        <v>Hernandez de Villegas Zoraida Elodia</v>
      </c>
      <c r="D326" s="926" t="str">
        <f>+NOMINA!O313</f>
        <v>Aseadora</v>
      </c>
      <c r="E326" s="929">
        <f>+NOMINA!H313</f>
        <v>39496</v>
      </c>
      <c r="F326" s="930">
        <f>+NOMINA!BR313</f>
        <v>29.86</v>
      </c>
      <c r="G326" s="930">
        <f>+NOMINA!BS313</f>
        <v>6.64</v>
      </c>
      <c r="H326" s="599"/>
      <c r="I326" s="600"/>
      <c r="J326" s="600"/>
      <c r="K326" s="600"/>
      <c r="L326" s="600"/>
    </row>
    <row r="327" spans="1:12" ht="15.75" customHeight="1" x14ac:dyDescent="0.25">
      <c r="A327" s="928">
        <f t="shared" si="5"/>
        <v>10</v>
      </c>
      <c r="B327" s="926">
        <f>+NOMINA!C314</f>
        <v>9110498</v>
      </c>
      <c r="C327" s="926" t="str">
        <f>+NOMINA!D314</f>
        <v>Ruiz Alberto Jose</v>
      </c>
      <c r="D327" s="926" t="str">
        <f>+NOMINA!O314</f>
        <v>Ayudante de Servicios Generales</v>
      </c>
      <c r="E327" s="929">
        <f>+NOMINA!H314</f>
        <v>37508</v>
      </c>
      <c r="F327" s="930">
        <f>+NOMINA!BR314</f>
        <v>34.020000000000003</v>
      </c>
      <c r="G327" s="930">
        <f>+NOMINA!BS314</f>
        <v>7.56</v>
      </c>
      <c r="H327" s="599"/>
      <c r="I327" s="600"/>
      <c r="J327" s="600"/>
      <c r="K327" s="600"/>
      <c r="L327" s="600"/>
    </row>
    <row r="328" spans="1:12" ht="15.75" customHeight="1" x14ac:dyDescent="0.25">
      <c r="A328" s="928">
        <f t="shared" si="5"/>
        <v>11</v>
      </c>
      <c r="B328" s="926">
        <f>+NOMINA!C315</f>
        <v>9163994</v>
      </c>
      <c r="C328" s="926" t="str">
        <f>+NOMINA!D315</f>
        <v>Rodriguez Fernandez Carlos Eduardo</v>
      </c>
      <c r="D328" s="926" t="str">
        <f>+NOMINA!O315</f>
        <v>Ayudante de Almacen</v>
      </c>
      <c r="E328" s="929">
        <f>+NOMINA!H315</f>
        <v>43770</v>
      </c>
      <c r="F328" s="930">
        <f>+NOMINA!BR315</f>
        <v>32.15</v>
      </c>
      <c r="G328" s="930">
        <f>+NOMINA!BS315</f>
        <v>7.14</v>
      </c>
      <c r="H328" s="599"/>
      <c r="I328" s="600"/>
      <c r="J328" s="600"/>
      <c r="K328" s="600"/>
      <c r="L328" s="600"/>
    </row>
    <row r="329" spans="1:12" ht="15.75" customHeight="1" x14ac:dyDescent="0.25">
      <c r="A329" s="928">
        <f t="shared" si="5"/>
        <v>12</v>
      </c>
      <c r="B329" s="926">
        <f>+NOMINA!C316</f>
        <v>9167342</v>
      </c>
      <c r="C329" s="926" t="str">
        <f>+NOMINA!D316</f>
        <v>Gutierrez Briceño Jose Justimiano</v>
      </c>
      <c r="D329" s="926" t="str">
        <f>+NOMINA!O316</f>
        <v>Ayudante Agropecuario</v>
      </c>
      <c r="E329" s="929">
        <f>+NOMINA!H316</f>
        <v>43845</v>
      </c>
      <c r="F329" s="930">
        <f>+NOMINA!BR316</f>
        <v>30.07</v>
      </c>
      <c r="G329" s="930">
        <f>+NOMINA!BS316</f>
        <v>6.68</v>
      </c>
      <c r="H329" s="599"/>
      <c r="I329" s="600"/>
      <c r="J329" s="600"/>
      <c r="K329" s="600"/>
      <c r="L329" s="600"/>
    </row>
    <row r="330" spans="1:12" ht="15.75" customHeight="1" x14ac:dyDescent="0.25">
      <c r="A330" s="928">
        <f t="shared" si="5"/>
        <v>13</v>
      </c>
      <c r="B330" s="926">
        <f>+NOMINA!C317</f>
        <v>9310477</v>
      </c>
      <c r="C330" s="926" t="str">
        <f>+NOMINA!D317</f>
        <v>Campos Muchacho Rafael Angel</v>
      </c>
      <c r="D330" s="926" t="str">
        <f>+NOMINA!O317</f>
        <v>Ayudante Agropecuario</v>
      </c>
      <c r="E330" s="929">
        <f>+NOMINA!H317</f>
        <v>44075</v>
      </c>
      <c r="F330" s="930">
        <f>+NOMINA!BR317</f>
        <v>30.07</v>
      </c>
      <c r="G330" s="930">
        <f>+NOMINA!BS317</f>
        <v>6.68</v>
      </c>
      <c r="H330" s="599"/>
      <c r="I330" s="600"/>
      <c r="J330" s="600"/>
      <c r="K330" s="600"/>
      <c r="L330" s="600"/>
    </row>
    <row r="331" spans="1:12" ht="15.75" customHeight="1" x14ac:dyDescent="0.25">
      <c r="A331" s="928">
        <f t="shared" si="5"/>
        <v>14</v>
      </c>
      <c r="B331" s="926">
        <f>+NOMINA!C318</f>
        <v>9323739</v>
      </c>
      <c r="C331" s="926" t="str">
        <f>+NOMINA!D318</f>
        <v>Vargas Benitez Jose Nerio</v>
      </c>
      <c r="D331" s="926" t="str">
        <f>+NOMINA!O318</f>
        <v>Ayudante de Servicios Generales</v>
      </c>
      <c r="E331" s="929">
        <f>+NOMINA!H318</f>
        <v>39300</v>
      </c>
      <c r="F331" s="930">
        <f>+NOMINA!BR318</f>
        <v>32.880000000000003</v>
      </c>
      <c r="G331" s="930">
        <f>+NOMINA!BS318</f>
        <v>7.31</v>
      </c>
      <c r="H331" s="599"/>
      <c r="I331" s="600"/>
      <c r="J331" s="600"/>
      <c r="K331" s="600"/>
      <c r="L331" s="600"/>
    </row>
    <row r="332" spans="1:12" ht="15.75" customHeight="1" x14ac:dyDescent="0.25">
      <c r="A332" s="928">
        <f t="shared" si="5"/>
        <v>15</v>
      </c>
      <c r="B332" s="926">
        <f>+NOMINA!C319</f>
        <v>9325664</v>
      </c>
      <c r="C332" s="926" t="str">
        <f>+NOMINA!D319</f>
        <v>Lobo Mendoza Luz Marina</v>
      </c>
      <c r="D332" s="926" t="str">
        <f>+NOMINA!O319</f>
        <v>Ayudante de Servicios Generales</v>
      </c>
      <c r="E332" s="929">
        <f>+NOMINA!H319</f>
        <v>42948</v>
      </c>
      <c r="F332" s="930">
        <f>+NOMINA!BR319</f>
        <v>30.64</v>
      </c>
      <c r="G332" s="930">
        <f>+NOMINA!BS319</f>
        <v>6.81</v>
      </c>
      <c r="H332" s="599"/>
      <c r="I332" s="600"/>
      <c r="J332" s="600"/>
      <c r="K332" s="600"/>
      <c r="L332" s="600"/>
    </row>
    <row r="333" spans="1:12" ht="15.75" customHeight="1" x14ac:dyDescent="0.25">
      <c r="A333" s="928">
        <f t="shared" si="5"/>
        <v>16</v>
      </c>
      <c r="B333" s="926">
        <f>+NOMINA!C320</f>
        <v>9328045</v>
      </c>
      <c r="C333" s="926" t="str">
        <f>+NOMINA!D320</f>
        <v>Paredes Quintero Jose Benigno</v>
      </c>
      <c r="D333" s="926" t="str">
        <f>+NOMINA!O320</f>
        <v>Ayudante de Servicios Generales</v>
      </c>
      <c r="E333" s="929">
        <f>+NOMINA!H320</f>
        <v>44212</v>
      </c>
      <c r="F333" s="930">
        <f>+NOMINA!BR320</f>
        <v>29.92</v>
      </c>
      <c r="G333" s="930">
        <f>+NOMINA!BS320</f>
        <v>6.65</v>
      </c>
      <c r="H333" s="599"/>
      <c r="I333" s="600"/>
      <c r="J333" s="600"/>
      <c r="K333" s="600"/>
      <c r="L333" s="600"/>
    </row>
    <row r="334" spans="1:12" ht="15.75" customHeight="1" x14ac:dyDescent="0.25">
      <c r="A334" s="928">
        <f t="shared" si="5"/>
        <v>17</v>
      </c>
      <c r="B334" s="926">
        <f>+NOMINA!C321</f>
        <v>10178456</v>
      </c>
      <c r="C334" s="926" t="str">
        <f>+NOMINA!D321</f>
        <v>Figueroa Roa Yudith Griselda</v>
      </c>
      <c r="D334" s="926" t="str">
        <f>+NOMINA!O321</f>
        <v>Aseadora</v>
      </c>
      <c r="E334" s="929">
        <f>+NOMINA!H321</f>
        <v>44287</v>
      </c>
      <c r="F334" s="930">
        <f>+NOMINA!BR321</f>
        <v>27.54</v>
      </c>
      <c r="G334" s="930">
        <f>+NOMINA!BS321</f>
        <v>6.12</v>
      </c>
      <c r="H334" s="599"/>
      <c r="I334" s="600"/>
      <c r="J334" s="600"/>
      <c r="K334" s="600"/>
      <c r="L334" s="600"/>
    </row>
    <row r="335" spans="1:12" ht="15.75" customHeight="1" x14ac:dyDescent="0.25">
      <c r="A335" s="928">
        <f t="shared" si="5"/>
        <v>18</v>
      </c>
      <c r="B335" s="926">
        <f>+NOMINA!C322</f>
        <v>10317435</v>
      </c>
      <c r="C335" s="926" t="str">
        <f>+NOMINA!D322</f>
        <v>Milla Ana Julia</v>
      </c>
      <c r="D335" s="926" t="str">
        <f>+NOMINA!O322</f>
        <v>Aseadora</v>
      </c>
      <c r="E335" s="929">
        <f>+NOMINA!H322</f>
        <v>39559</v>
      </c>
      <c r="F335" s="930">
        <f>+NOMINA!BR322</f>
        <v>29.86</v>
      </c>
      <c r="G335" s="930">
        <f>+NOMINA!BS322</f>
        <v>6.64</v>
      </c>
      <c r="H335" s="599"/>
      <c r="I335" s="600"/>
      <c r="J335" s="600"/>
      <c r="K335" s="600"/>
      <c r="L335" s="600"/>
    </row>
    <row r="336" spans="1:12" ht="15.75" customHeight="1" x14ac:dyDescent="0.25">
      <c r="A336" s="928">
        <f t="shared" si="5"/>
        <v>19</v>
      </c>
      <c r="B336" s="926">
        <f>+NOMINA!C323</f>
        <v>10396367</v>
      </c>
      <c r="C336" s="926" t="str">
        <f>+NOMINA!D323</f>
        <v>Hidalgo Linares Gloria Margarita</v>
      </c>
      <c r="D336" s="926" t="str">
        <f>+NOMINA!O323</f>
        <v>Cocinera</v>
      </c>
      <c r="E336" s="929">
        <f>+NOMINA!H323</f>
        <v>39722</v>
      </c>
      <c r="F336" s="930">
        <f>+NOMINA!BR323</f>
        <v>34.74</v>
      </c>
      <c r="G336" s="930">
        <f>+NOMINA!BS323</f>
        <v>7.72</v>
      </c>
      <c r="H336" s="599"/>
      <c r="I336" s="600"/>
      <c r="J336" s="600"/>
      <c r="K336" s="600"/>
      <c r="L336" s="600"/>
    </row>
    <row r="337" spans="1:12" ht="15.75" customHeight="1" x14ac:dyDescent="0.25">
      <c r="A337" s="928">
        <f t="shared" si="5"/>
        <v>20</v>
      </c>
      <c r="B337" s="926">
        <f>+NOMINA!C324</f>
        <v>10399474</v>
      </c>
      <c r="C337" s="926" t="str">
        <f>+NOMINA!D324</f>
        <v>Ramirez Araujo Teresa Maria</v>
      </c>
      <c r="D337" s="926" t="str">
        <f>+NOMINA!O324</f>
        <v>Ayudante de Servicios Generales</v>
      </c>
      <c r="E337" s="929">
        <f>+NOMINA!H324</f>
        <v>45597</v>
      </c>
      <c r="F337" s="930">
        <f>+NOMINA!BR324</f>
        <v>28.25</v>
      </c>
      <c r="G337" s="930">
        <f>+NOMINA!BS324</f>
        <v>6.28</v>
      </c>
      <c r="H337" s="599"/>
      <c r="I337" s="600"/>
      <c r="J337" s="600"/>
      <c r="K337" s="600"/>
      <c r="L337" s="600"/>
    </row>
    <row r="338" spans="1:12" ht="15.75" customHeight="1" x14ac:dyDescent="0.25">
      <c r="A338" s="928">
        <f t="shared" si="5"/>
        <v>21</v>
      </c>
      <c r="B338" s="926">
        <f>+NOMINA!C325</f>
        <v>10401329</v>
      </c>
      <c r="C338" s="926" t="str">
        <f>+NOMINA!D325</f>
        <v>Gonzalez Torres Orangel Ramon</v>
      </c>
      <c r="D338" s="926" t="str">
        <f>+NOMINA!O325</f>
        <v>Chofer De Transporte</v>
      </c>
      <c r="E338" s="929">
        <f>+NOMINA!H325</f>
        <v>39539</v>
      </c>
      <c r="F338" s="930">
        <f>+NOMINA!BR325</f>
        <v>45.53</v>
      </c>
      <c r="G338" s="930">
        <f>+NOMINA!BS325</f>
        <v>10.119999999999999</v>
      </c>
      <c r="H338" s="599"/>
      <c r="I338" s="600"/>
      <c r="J338" s="600"/>
      <c r="K338" s="600"/>
      <c r="L338" s="600"/>
    </row>
    <row r="339" spans="1:12" ht="15.75" customHeight="1" x14ac:dyDescent="0.25">
      <c r="A339" s="928">
        <f t="shared" si="5"/>
        <v>22</v>
      </c>
      <c r="B339" s="926">
        <f>+NOMINA!C326</f>
        <v>10907687</v>
      </c>
      <c r="C339" s="926" t="str">
        <f>+NOMINA!D326</f>
        <v>Viloria Garcia Karina Liseth</v>
      </c>
      <c r="D339" s="926" t="str">
        <f>+NOMINA!O326</f>
        <v>Cocinera</v>
      </c>
      <c r="E339" s="929">
        <f>+NOMINA!H326</f>
        <v>38749</v>
      </c>
      <c r="F339" s="930">
        <f>+NOMINA!BR326</f>
        <v>35.590000000000003</v>
      </c>
      <c r="G339" s="930">
        <f>+NOMINA!BS326</f>
        <v>7.91</v>
      </c>
      <c r="H339" s="599"/>
      <c r="I339" s="600"/>
      <c r="J339" s="600"/>
      <c r="K339" s="600"/>
      <c r="L339" s="600"/>
    </row>
    <row r="340" spans="1:12" ht="15.75" customHeight="1" x14ac:dyDescent="0.25">
      <c r="A340" s="928">
        <f t="shared" si="5"/>
        <v>23</v>
      </c>
      <c r="B340" s="926">
        <f>+NOMINA!C327</f>
        <v>10908543</v>
      </c>
      <c r="C340" s="926" t="str">
        <f>+NOMINA!D327</f>
        <v>Quintero Eric Ludwig</v>
      </c>
      <c r="D340" s="926" t="str">
        <f>+NOMINA!O327</f>
        <v>Cocinero</v>
      </c>
      <c r="E340" s="929">
        <f>+NOMINA!H327</f>
        <v>42751</v>
      </c>
      <c r="F340" s="930">
        <f>+NOMINA!BR327</f>
        <v>32.79</v>
      </c>
      <c r="G340" s="930">
        <f>+NOMINA!BS327</f>
        <v>7.29</v>
      </c>
      <c r="H340" s="599"/>
      <c r="I340" s="600"/>
      <c r="J340" s="600"/>
      <c r="K340" s="600"/>
      <c r="L340" s="600"/>
    </row>
    <row r="341" spans="1:12" ht="15.75" customHeight="1" x14ac:dyDescent="0.25">
      <c r="A341" s="928">
        <f t="shared" si="5"/>
        <v>24</v>
      </c>
      <c r="B341" s="926">
        <f>+NOMINA!C328</f>
        <v>10909678</v>
      </c>
      <c r="C341" s="926" t="str">
        <f>+NOMINA!D328</f>
        <v>Delgado Jose Argenis</v>
      </c>
      <c r="D341" s="926" t="str">
        <f>+NOMINA!O328</f>
        <v>Aseador</v>
      </c>
      <c r="E341" s="929">
        <f>+NOMINA!H328</f>
        <v>43952</v>
      </c>
      <c r="F341" s="930">
        <f>+NOMINA!BR328</f>
        <v>27.68</v>
      </c>
      <c r="G341" s="930">
        <f>+NOMINA!BS328</f>
        <v>6.15</v>
      </c>
      <c r="H341" s="599"/>
      <c r="I341" s="600"/>
      <c r="J341" s="600"/>
      <c r="K341" s="600"/>
      <c r="L341" s="600"/>
    </row>
    <row r="342" spans="1:12" ht="15.75" customHeight="1" x14ac:dyDescent="0.25">
      <c r="A342" s="928">
        <f t="shared" si="5"/>
        <v>25</v>
      </c>
      <c r="B342" s="926">
        <f>+NOMINA!C329</f>
        <v>10909819</v>
      </c>
      <c r="C342" s="926" t="str">
        <f>+NOMINA!D329</f>
        <v>Carrizo Jose Waldo</v>
      </c>
      <c r="D342" s="926" t="str">
        <f>+NOMINA!O329</f>
        <v>Cocinero</v>
      </c>
      <c r="E342" s="929">
        <f>+NOMINA!H329</f>
        <v>43359</v>
      </c>
      <c r="F342" s="930">
        <f>+NOMINA!BR329</f>
        <v>32.57</v>
      </c>
      <c r="G342" s="930">
        <f>+NOMINA!BS329</f>
        <v>7.24</v>
      </c>
      <c r="H342" s="599"/>
      <c r="I342" s="600"/>
      <c r="J342" s="600"/>
      <c r="K342" s="600"/>
      <c r="L342" s="600"/>
    </row>
    <row r="343" spans="1:12" ht="15.75" customHeight="1" x14ac:dyDescent="0.25">
      <c r="A343" s="928">
        <f t="shared" si="5"/>
        <v>26</v>
      </c>
      <c r="B343" s="926">
        <f>+NOMINA!C330</f>
        <v>10912635</v>
      </c>
      <c r="C343" s="926" t="str">
        <f>+NOMINA!D330</f>
        <v>Gutierrez Briceño Jose Orangel</v>
      </c>
      <c r="D343" s="926" t="str">
        <f>+NOMINA!O330</f>
        <v>Ayudante Agropecuario</v>
      </c>
      <c r="E343" s="929">
        <f>+NOMINA!H330</f>
        <v>44348</v>
      </c>
      <c r="F343" s="930">
        <f>+NOMINA!BR330</f>
        <v>29.92</v>
      </c>
      <c r="G343" s="930">
        <f>+NOMINA!BS330</f>
        <v>6.65</v>
      </c>
      <c r="H343" s="599"/>
      <c r="I343" s="600"/>
      <c r="J343" s="600"/>
      <c r="K343" s="600"/>
      <c r="L343" s="600"/>
    </row>
    <row r="344" spans="1:12" ht="15.75" customHeight="1" x14ac:dyDescent="0.25">
      <c r="A344" s="928">
        <f t="shared" si="5"/>
        <v>27</v>
      </c>
      <c r="B344" s="926">
        <f>+NOMINA!C331</f>
        <v>10915274</v>
      </c>
      <c r="C344" s="926" t="str">
        <f>+NOMINA!D331</f>
        <v>Montilla Vergara Belkys Josefina</v>
      </c>
      <c r="D344" s="926" t="str">
        <f>+NOMINA!O331</f>
        <v>Ayudante de Servicios Generales</v>
      </c>
      <c r="E344" s="929">
        <f>+NOMINA!H331</f>
        <v>44635</v>
      </c>
      <c r="F344" s="930">
        <f>+NOMINA!BR331</f>
        <v>29.76</v>
      </c>
      <c r="G344" s="930">
        <f>+NOMINA!BS331</f>
        <v>6.61</v>
      </c>
      <c r="H344" s="599"/>
      <c r="I344" s="600"/>
      <c r="J344" s="600"/>
      <c r="K344" s="600"/>
      <c r="L344" s="600"/>
    </row>
    <row r="345" spans="1:12" ht="15.75" customHeight="1" x14ac:dyDescent="0.25">
      <c r="A345" s="928">
        <f t="shared" si="5"/>
        <v>28</v>
      </c>
      <c r="B345" s="926">
        <f>+NOMINA!C332</f>
        <v>11129355</v>
      </c>
      <c r="C345" s="926" t="str">
        <f>+NOMINA!D332</f>
        <v>Luque Azuaje Rigoberto</v>
      </c>
      <c r="D345" s="926" t="str">
        <f>+NOMINA!O332</f>
        <v>Ayudante de Servicios Generales</v>
      </c>
      <c r="E345" s="929">
        <f>+NOMINA!H332</f>
        <v>39539</v>
      </c>
      <c r="F345" s="930">
        <f>+NOMINA!BR332</f>
        <v>42.42</v>
      </c>
      <c r="G345" s="930">
        <f>+NOMINA!BS332</f>
        <v>9.43</v>
      </c>
      <c r="H345" s="599"/>
      <c r="I345" s="600"/>
      <c r="J345" s="600"/>
      <c r="K345" s="600"/>
      <c r="L345" s="600"/>
    </row>
    <row r="346" spans="1:12" ht="15.75" customHeight="1" x14ac:dyDescent="0.25">
      <c r="A346" s="928">
        <f t="shared" si="5"/>
        <v>29</v>
      </c>
      <c r="B346" s="926">
        <f>+NOMINA!C333</f>
        <v>11315202</v>
      </c>
      <c r="C346" s="926" t="str">
        <f>+NOMINA!D333</f>
        <v>Barreto Maria Ramona</v>
      </c>
      <c r="D346" s="926" t="str">
        <f>+NOMINA!O333</f>
        <v>Cocinera</v>
      </c>
      <c r="E346" s="929">
        <f>+NOMINA!H333</f>
        <v>39539</v>
      </c>
      <c r="F346" s="930">
        <f>+NOMINA!BR333</f>
        <v>35.020000000000003</v>
      </c>
      <c r="G346" s="930">
        <f>+NOMINA!BS333</f>
        <v>7.78</v>
      </c>
      <c r="H346" s="599"/>
      <c r="I346" s="600"/>
      <c r="J346" s="600"/>
      <c r="K346" s="600"/>
      <c r="L346" s="600"/>
    </row>
    <row r="347" spans="1:12" ht="15.75" customHeight="1" x14ac:dyDescent="0.25">
      <c r="A347" s="928">
        <f t="shared" si="5"/>
        <v>30</v>
      </c>
      <c r="B347" s="926">
        <f>+NOMINA!C334</f>
        <v>11321681</v>
      </c>
      <c r="C347" s="926" t="str">
        <f>+NOMINA!D334</f>
        <v>Bentancourt Rivas Luis Enrique</v>
      </c>
      <c r="D347" s="926" t="str">
        <f>+NOMINA!O334</f>
        <v>Ayudante de Servicios Generales</v>
      </c>
      <c r="E347" s="929">
        <f>+NOMINA!H334</f>
        <v>44805</v>
      </c>
      <c r="F347" s="930">
        <f>+NOMINA!BR334</f>
        <v>29.76</v>
      </c>
      <c r="G347" s="930">
        <f>+NOMINA!BS334</f>
        <v>6.61</v>
      </c>
      <c r="H347" s="599"/>
      <c r="I347" s="600"/>
      <c r="J347" s="600"/>
      <c r="K347" s="600"/>
      <c r="L347" s="600"/>
    </row>
    <row r="348" spans="1:12" ht="15.75" customHeight="1" x14ac:dyDescent="0.25">
      <c r="A348" s="928">
        <f t="shared" si="5"/>
        <v>31</v>
      </c>
      <c r="B348" s="926">
        <f>+NOMINA!C335</f>
        <v>11321782</v>
      </c>
      <c r="C348" s="926" t="str">
        <f>+NOMINA!D335</f>
        <v>Flores Camacho Maria Zoraida</v>
      </c>
      <c r="D348" s="926" t="str">
        <f>+NOMINA!O335</f>
        <v>Cocinera</v>
      </c>
      <c r="E348" s="929">
        <f>+NOMINA!H335</f>
        <v>43815</v>
      </c>
      <c r="F348" s="930">
        <f>+NOMINA!BR335</f>
        <v>32.15</v>
      </c>
      <c r="G348" s="930">
        <f>+NOMINA!BS335</f>
        <v>7.14</v>
      </c>
      <c r="H348" s="599"/>
      <c r="I348" s="600"/>
      <c r="J348" s="600"/>
      <c r="K348" s="600"/>
      <c r="L348" s="600"/>
    </row>
    <row r="349" spans="1:12" ht="15.75" customHeight="1" x14ac:dyDescent="0.25">
      <c r="A349" s="928">
        <f t="shared" si="5"/>
        <v>32</v>
      </c>
      <c r="B349" s="926">
        <f>+NOMINA!C336</f>
        <v>11324931</v>
      </c>
      <c r="C349" s="926" t="str">
        <f>+NOMINA!D336</f>
        <v>Sulbaran de Araujo Magaly</v>
      </c>
      <c r="D349" s="926" t="str">
        <f>+NOMINA!O336</f>
        <v>Cocinera</v>
      </c>
      <c r="E349" s="929">
        <f>+NOMINA!H336</f>
        <v>38784</v>
      </c>
      <c r="F349" s="930">
        <f>+NOMINA!BR336</f>
        <v>35.590000000000003</v>
      </c>
      <c r="G349" s="930">
        <f>+NOMINA!BS336</f>
        <v>7.91</v>
      </c>
      <c r="H349" s="599"/>
      <c r="I349" s="600"/>
      <c r="J349" s="600"/>
      <c r="K349" s="600"/>
      <c r="L349" s="600"/>
    </row>
    <row r="350" spans="1:12" ht="15.75" customHeight="1" x14ac:dyDescent="0.25">
      <c r="A350" s="928">
        <f t="shared" si="5"/>
        <v>33</v>
      </c>
      <c r="B350" s="926">
        <f>+NOMINA!C337</f>
        <v>11894400</v>
      </c>
      <c r="C350" s="926" t="str">
        <f>+NOMINA!D337</f>
        <v>Aldana Olivar Maria del Carmen</v>
      </c>
      <c r="D350" s="926" t="str">
        <f>+NOMINA!O337</f>
        <v>Cocinera</v>
      </c>
      <c r="E350" s="929">
        <f>+NOMINA!H337</f>
        <v>44287</v>
      </c>
      <c r="F350" s="930">
        <f>+NOMINA!BR337</f>
        <v>31.97</v>
      </c>
      <c r="G350" s="930">
        <f>+NOMINA!BS337</f>
        <v>7.1</v>
      </c>
      <c r="H350" s="599"/>
      <c r="I350" s="600"/>
      <c r="J350" s="600"/>
      <c r="K350" s="600"/>
      <c r="L350" s="600"/>
    </row>
    <row r="351" spans="1:12" ht="15.75" customHeight="1" x14ac:dyDescent="0.25">
      <c r="A351" s="928">
        <f t="shared" si="5"/>
        <v>34</v>
      </c>
      <c r="B351" s="926">
        <f>+NOMINA!C338</f>
        <v>11897863</v>
      </c>
      <c r="C351" s="926" t="str">
        <f>+NOMINA!D338</f>
        <v>Rodriguez Maria Ibel</v>
      </c>
      <c r="D351" s="926" t="str">
        <f>+NOMINA!O338</f>
        <v>Aseadora</v>
      </c>
      <c r="E351" s="929">
        <f>+NOMINA!H338</f>
        <v>41548</v>
      </c>
      <c r="F351" s="930">
        <f>+NOMINA!BR338</f>
        <v>28.67</v>
      </c>
      <c r="G351" s="930">
        <f>+NOMINA!BS338</f>
        <v>6.37</v>
      </c>
      <c r="H351" s="599"/>
      <c r="I351" s="600"/>
      <c r="J351" s="600"/>
      <c r="K351" s="600"/>
      <c r="L351" s="600"/>
    </row>
    <row r="352" spans="1:12" ht="15.75" customHeight="1" x14ac:dyDescent="0.25">
      <c r="A352" s="928">
        <f t="shared" si="5"/>
        <v>35</v>
      </c>
      <c r="B352" s="926">
        <f>+NOMINA!C339</f>
        <v>12038359</v>
      </c>
      <c r="C352" s="926" t="str">
        <f>+NOMINA!D339</f>
        <v>Amaya Perez Carmen Elena</v>
      </c>
      <c r="D352" s="926" t="str">
        <f>+NOMINA!O339</f>
        <v>Cocinera</v>
      </c>
      <c r="E352" s="929">
        <f>+NOMINA!H339</f>
        <v>38103</v>
      </c>
      <c r="F352" s="930">
        <f>+NOMINA!BR339</f>
        <v>36.19</v>
      </c>
      <c r="G352" s="930">
        <f>+NOMINA!BS339</f>
        <v>8.0399999999999991</v>
      </c>
      <c r="H352" s="599"/>
      <c r="I352" s="600"/>
      <c r="J352" s="600"/>
      <c r="K352" s="600"/>
      <c r="L352" s="600"/>
    </row>
    <row r="353" spans="1:12" ht="15.75" customHeight="1" x14ac:dyDescent="0.25">
      <c r="A353" s="928">
        <f t="shared" si="5"/>
        <v>36</v>
      </c>
      <c r="B353" s="926">
        <f>+NOMINA!C340</f>
        <v>12042930</v>
      </c>
      <c r="C353" s="926" t="str">
        <f>+NOMINA!D340</f>
        <v>Barroeta Cardozo Leonid Andrei</v>
      </c>
      <c r="D353" s="926" t="str">
        <f>+NOMINA!O340</f>
        <v>Ayudante de Servicios Generales</v>
      </c>
      <c r="E353" s="929">
        <f>+NOMINA!H340</f>
        <v>44986</v>
      </c>
      <c r="F353" s="930">
        <f>+NOMINA!BR340</f>
        <v>29.6</v>
      </c>
      <c r="G353" s="930">
        <f>+NOMINA!BS340</f>
        <v>6.58</v>
      </c>
      <c r="H353" s="599"/>
      <c r="I353" s="600"/>
      <c r="J353" s="600"/>
      <c r="K353" s="600"/>
      <c r="L353" s="600"/>
    </row>
    <row r="354" spans="1:12" ht="15.75" customHeight="1" x14ac:dyDescent="0.25">
      <c r="A354" s="928">
        <f t="shared" si="5"/>
        <v>37</v>
      </c>
      <c r="B354" s="926">
        <f>+NOMINA!C341</f>
        <v>12043135</v>
      </c>
      <c r="C354" s="926" t="str">
        <f>+NOMINA!D341</f>
        <v>Avila Salvio Rodolfo</v>
      </c>
      <c r="D354" s="926" t="str">
        <f>+NOMINA!O341</f>
        <v>Cocinero</v>
      </c>
      <c r="E354" s="929">
        <f>+NOMINA!H341</f>
        <v>43724</v>
      </c>
      <c r="F354" s="930">
        <f>+NOMINA!BR341</f>
        <v>32.36</v>
      </c>
      <c r="G354" s="930">
        <f>+NOMINA!BS341</f>
        <v>7.19</v>
      </c>
      <c r="H354" s="599"/>
      <c r="I354" s="600"/>
      <c r="J354" s="600"/>
      <c r="K354" s="600"/>
      <c r="L354" s="600"/>
    </row>
    <row r="355" spans="1:12" ht="15.75" customHeight="1" x14ac:dyDescent="0.25">
      <c r="A355" s="928">
        <f t="shared" si="5"/>
        <v>38</v>
      </c>
      <c r="B355" s="926">
        <f>+NOMINA!C342</f>
        <v>12044124</v>
      </c>
      <c r="C355" s="926" t="str">
        <f>+NOMINA!D342</f>
        <v>Rivas Carlos Luis</v>
      </c>
      <c r="D355" s="926" t="str">
        <f>+NOMINA!O342</f>
        <v>Ayudante de Servicios Generales</v>
      </c>
      <c r="E355" s="929">
        <f>+NOMINA!H342</f>
        <v>39539</v>
      </c>
      <c r="F355" s="930">
        <f>+NOMINA!BR342</f>
        <v>42.42</v>
      </c>
      <c r="G355" s="930">
        <f>+NOMINA!BS342</f>
        <v>9.43</v>
      </c>
      <c r="H355" s="599"/>
      <c r="I355" s="600"/>
      <c r="J355" s="600"/>
      <c r="K355" s="600"/>
      <c r="L355" s="600"/>
    </row>
    <row r="356" spans="1:12" ht="15.75" customHeight="1" x14ac:dyDescent="0.25">
      <c r="A356" s="928">
        <f t="shared" si="5"/>
        <v>39</v>
      </c>
      <c r="B356" s="926">
        <f>+NOMINA!C343</f>
        <v>12044754</v>
      </c>
      <c r="C356" s="926" t="str">
        <f>+NOMINA!D343</f>
        <v>Briceño Graterol Oscar Antonio</v>
      </c>
      <c r="D356" s="926" t="str">
        <f>+NOMINA!O343</f>
        <v>Ayudante de Servicios Generales</v>
      </c>
      <c r="E356" s="929">
        <f>+NOMINA!H343</f>
        <v>43481</v>
      </c>
      <c r="F356" s="930">
        <f>+NOMINA!BR343</f>
        <v>30.26</v>
      </c>
      <c r="G356" s="930">
        <f>+NOMINA!BS343</f>
        <v>6.73</v>
      </c>
      <c r="H356" s="599"/>
      <c r="I356" s="600"/>
      <c r="J356" s="600"/>
      <c r="K356" s="600"/>
      <c r="L356" s="600"/>
    </row>
    <row r="357" spans="1:12" ht="15.75" customHeight="1" x14ac:dyDescent="0.25">
      <c r="A357" s="928">
        <f t="shared" si="5"/>
        <v>40</v>
      </c>
      <c r="B357" s="926">
        <f>+NOMINA!C344</f>
        <v>12046834</v>
      </c>
      <c r="C357" s="926" t="str">
        <f>+NOMINA!D344</f>
        <v>Perez Montilla William Jose</v>
      </c>
      <c r="D357" s="926" t="str">
        <f>+NOMINA!O344</f>
        <v>Cocinero</v>
      </c>
      <c r="E357" s="929">
        <f>+NOMINA!H344</f>
        <v>43313</v>
      </c>
      <c r="F357" s="930">
        <f>+NOMINA!BR344</f>
        <v>33.869999999999997</v>
      </c>
      <c r="G357" s="930">
        <f>+NOMINA!BS344</f>
        <v>7.53</v>
      </c>
      <c r="H357" s="599"/>
      <c r="I357" s="600"/>
      <c r="J357" s="600"/>
      <c r="K357" s="600"/>
      <c r="L357" s="600"/>
    </row>
    <row r="358" spans="1:12" ht="15.75" customHeight="1" x14ac:dyDescent="0.25">
      <c r="A358" s="928">
        <f t="shared" si="5"/>
        <v>41</v>
      </c>
      <c r="B358" s="926">
        <f>+NOMINA!C345</f>
        <v>12047016</v>
      </c>
      <c r="C358" s="926" t="str">
        <f>+NOMINA!D345</f>
        <v>Lozada de Estenoz Maria Edicta</v>
      </c>
      <c r="D358" s="926" t="str">
        <f>+NOMINA!O345</f>
        <v>Cocinera</v>
      </c>
      <c r="E358" s="929">
        <f>+NOMINA!H345</f>
        <v>42948</v>
      </c>
      <c r="F358" s="930">
        <f>+NOMINA!BR345</f>
        <v>34.08</v>
      </c>
      <c r="G358" s="930">
        <f>+NOMINA!BS345</f>
        <v>7.57</v>
      </c>
      <c r="H358" s="599"/>
      <c r="I358" s="600"/>
      <c r="J358" s="600"/>
      <c r="K358" s="600"/>
      <c r="L358" s="600"/>
    </row>
    <row r="359" spans="1:12" ht="15.75" customHeight="1" x14ac:dyDescent="0.25">
      <c r="A359" s="928">
        <f t="shared" si="5"/>
        <v>42</v>
      </c>
      <c r="B359" s="926">
        <f>+NOMINA!C346</f>
        <v>12797215</v>
      </c>
      <c r="C359" s="926" t="str">
        <f>+NOMINA!D346</f>
        <v>Briceño Matheus Yhonny Alberto</v>
      </c>
      <c r="D359" s="926" t="str">
        <f>+NOMINA!O346</f>
        <v>Aseador</v>
      </c>
      <c r="E359" s="929">
        <f>+NOMINA!H346</f>
        <v>45778</v>
      </c>
      <c r="F359" s="930">
        <f>+NOMINA!BR346</f>
        <v>27</v>
      </c>
      <c r="G359" s="930">
        <f>+NOMINA!BS346</f>
        <v>6</v>
      </c>
      <c r="H359" s="599"/>
      <c r="I359" s="600"/>
      <c r="J359" s="600"/>
      <c r="K359" s="600"/>
      <c r="L359" s="600"/>
    </row>
    <row r="360" spans="1:12" ht="15.75" customHeight="1" x14ac:dyDescent="0.25">
      <c r="A360" s="928">
        <f t="shared" si="5"/>
        <v>43</v>
      </c>
      <c r="B360" s="926">
        <f>+NOMINA!C347</f>
        <v>12797543</v>
      </c>
      <c r="C360" s="926" t="str">
        <f>+NOMINA!D347</f>
        <v>Carrizo Blanco Doris Coromoto</v>
      </c>
      <c r="D360" s="926" t="str">
        <f>+NOMINA!O347</f>
        <v>Ayudante de Servicios Generales</v>
      </c>
      <c r="E360" s="929">
        <f>+NOMINA!H347</f>
        <v>42948</v>
      </c>
      <c r="F360" s="930">
        <f>+NOMINA!BR347</f>
        <v>30.64</v>
      </c>
      <c r="G360" s="930">
        <f>+NOMINA!BS347</f>
        <v>6.81</v>
      </c>
      <c r="H360" s="599"/>
      <c r="I360" s="600"/>
      <c r="J360" s="600"/>
      <c r="K360" s="600"/>
      <c r="L360" s="600"/>
    </row>
    <row r="361" spans="1:12" ht="15.75" customHeight="1" x14ac:dyDescent="0.25">
      <c r="A361" s="928">
        <f t="shared" si="5"/>
        <v>44</v>
      </c>
      <c r="B361" s="926">
        <f>+NOMINA!C348</f>
        <v>12797598</v>
      </c>
      <c r="C361" s="926" t="str">
        <f>+NOMINA!D348</f>
        <v>Gutierrez Briceño Jose Gabriel</v>
      </c>
      <c r="D361" s="926" t="str">
        <f>+NOMINA!O348</f>
        <v>Cocinero</v>
      </c>
      <c r="E361" s="929">
        <f>+NOMINA!H348</f>
        <v>44635</v>
      </c>
      <c r="F361" s="930">
        <f>+NOMINA!BR348</f>
        <v>33.090000000000003</v>
      </c>
      <c r="G361" s="930">
        <f>+NOMINA!BS348</f>
        <v>7.35</v>
      </c>
      <c r="H361" s="599"/>
      <c r="I361" s="600"/>
      <c r="J361" s="600"/>
      <c r="K361" s="600"/>
      <c r="L361" s="600"/>
    </row>
    <row r="362" spans="1:12" ht="15.75" customHeight="1" x14ac:dyDescent="0.25">
      <c r="A362" s="928">
        <f t="shared" si="5"/>
        <v>45</v>
      </c>
      <c r="B362" s="926">
        <f>+NOMINA!C349</f>
        <v>13049800</v>
      </c>
      <c r="C362" s="926" t="str">
        <f>+NOMINA!D349</f>
        <v>Artigas Sanchez Mereldes Corina</v>
      </c>
      <c r="D362" s="926" t="str">
        <f>+NOMINA!O349</f>
        <v>Aseadora</v>
      </c>
      <c r="E362" s="929">
        <f>+NOMINA!H349</f>
        <v>42171</v>
      </c>
      <c r="F362" s="930">
        <f>+NOMINA!BR349</f>
        <v>28.49</v>
      </c>
      <c r="G362" s="930">
        <f>+NOMINA!BS349</f>
        <v>6.33</v>
      </c>
      <c r="H362" s="599"/>
      <c r="I362" s="600"/>
      <c r="J362" s="600"/>
      <c r="K362" s="600"/>
      <c r="L362" s="600"/>
    </row>
    <row r="363" spans="1:12" ht="15.75" customHeight="1" x14ac:dyDescent="0.25">
      <c r="A363" s="928">
        <f t="shared" si="5"/>
        <v>46</v>
      </c>
      <c r="B363" s="926">
        <f>+NOMINA!C350</f>
        <v>13376729</v>
      </c>
      <c r="C363" s="926" t="str">
        <f>+NOMINA!D350</f>
        <v>Briceño Aldana Yhon Mario</v>
      </c>
      <c r="D363" s="926" t="str">
        <f>+NOMINA!O350</f>
        <v>Vigilante</v>
      </c>
      <c r="E363" s="929">
        <f>+NOMINA!H350</f>
        <v>42948</v>
      </c>
      <c r="F363" s="930">
        <f>+NOMINA!BR350</f>
        <v>44.31</v>
      </c>
      <c r="G363" s="930">
        <f>+NOMINA!BS350</f>
        <v>9.85</v>
      </c>
      <c r="H363" s="599"/>
      <c r="I363" s="600"/>
      <c r="J363" s="600"/>
      <c r="K363" s="600"/>
      <c r="L363" s="600"/>
    </row>
    <row r="364" spans="1:12" ht="15.75" customHeight="1" x14ac:dyDescent="0.25">
      <c r="A364" s="928">
        <f t="shared" si="5"/>
        <v>47</v>
      </c>
      <c r="B364" s="926">
        <f>+NOMINA!C351</f>
        <v>13404824</v>
      </c>
      <c r="C364" s="926" t="str">
        <f>+NOMINA!D351</f>
        <v>Malpica Rivas Julio Enrique</v>
      </c>
      <c r="D364" s="926" t="str">
        <f>+NOMINA!O351</f>
        <v>Ayudante de Servicios Generales</v>
      </c>
      <c r="E364" s="929">
        <f>+NOMINA!H351</f>
        <v>45474</v>
      </c>
      <c r="F364" s="930">
        <f>+NOMINA!BR351</f>
        <v>29.44</v>
      </c>
      <c r="G364" s="930">
        <f>+NOMINA!BS351</f>
        <v>6.54</v>
      </c>
      <c r="H364" s="599"/>
      <c r="I364" s="600"/>
      <c r="J364" s="600"/>
      <c r="K364" s="600"/>
      <c r="L364" s="600"/>
    </row>
    <row r="365" spans="1:12" ht="15.75" customHeight="1" x14ac:dyDescent="0.25">
      <c r="A365" s="928">
        <f t="shared" si="5"/>
        <v>48</v>
      </c>
      <c r="B365" s="926">
        <f>+NOMINA!C352</f>
        <v>13745328</v>
      </c>
      <c r="C365" s="926" t="str">
        <f>+NOMINA!D352</f>
        <v>Arroyo Williams Jose</v>
      </c>
      <c r="D365" s="926" t="str">
        <f>+NOMINA!O352</f>
        <v>Ayudante de Servicios Generales</v>
      </c>
      <c r="E365" s="929">
        <f>+NOMINA!H352</f>
        <v>44805</v>
      </c>
      <c r="F365" s="930">
        <f>+NOMINA!BR352</f>
        <v>40.369999999999997</v>
      </c>
      <c r="G365" s="930">
        <f>+NOMINA!BS352</f>
        <v>8.9700000000000006</v>
      </c>
      <c r="H365" s="599"/>
      <c r="I365" s="600"/>
      <c r="J365" s="600"/>
      <c r="K365" s="600"/>
      <c r="L365" s="600"/>
    </row>
    <row r="366" spans="1:12" ht="15.75" customHeight="1" x14ac:dyDescent="0.25">
      <c r="A366" s="928">
        <f t="shared" si="5"/>
        <v>49</v>
      </c>
      <c r="B366" s="926">
        <f>+NOMINA!C353</f>
        <v>13996661</v>
      </c>
      <c r="C366" s="926" t="str">
        <f>+NOMINA!D353</f>
        <v>Perez Montilla Yosmer Alexander</v>
      </c>
      <c r="D366" s="926" t="str">
        <f>+NOMINA!O353</f>
        <v>Chofer</v>
      </c>
      <c r="E366" s="929">
        <f>+NOMINA!H353</f>
        <v>44743</v>
      </c>
      <c r="F366" s="930">
        <f>+NOMINA!BR353</f>
        <v>45.58</v>
      </c>
      <c r="G366" s="930">
        <f>+NOMINA!BS353</f>
        <v>10.130000000000001</v>
      </c>
      <c r="H366" s="599"/>
      <c r="I366" s="600"/>
      <c r="J366" s="600"/>
      <c r="K366" s="600"/>
      <c r="L366" s="600"/>
    </row>
    <row r="367" spans="1:12" ht="15.75" customHeight="1" x14ac:dyDescent="0.25">
      <c r="A367" s="928">
        <f t="shared" si="5"/>
        <v>50</v>
      </c>
      <c r="B367" s="926">
        <f>+NOMINA!C354</f>
        <v>13996885</v>
      </c>
      <c r="C367" s="926" t="str">
        <f>+NOMINA!D354</f>
        <v>Pulido Rojo Wilmer Jose</v>
      </c>
      <c r="D367" s="926" t="str">
        <f>+NOMINA!O354</f>
        <v>Chofer</v>
      </c>
      <c r="E367" s="929">
        <f>+NOMINA!H354</f>
        <v>44363</v>
      </c>
      <c r="F367" s="930">
        <f>+NOMINA!BR354</f>
        <v>40.15</v>
      </c>
      <c r="G367" s="930">
        <f>+NOMINA!BS354</f>
        <v>8.92</v>
      </c>
      <c r="H367" s="599"/>
      <c r="I367" s="600"/>
      <c r="J367" s="600"/>
      <c r="K367" s="600"/>
      <c r="L367" s="600"/>
    </row>
    <row r="368" spans="1:12" ht="15.75" customHeight="1" x14ac:dyDescent="0.25">
      <c r="A368" s="928">
        <f t="shared" si="5"/>
        <v>51</v>
      </c>
      <c r="B368" s="926">
        <f>+NOMINA!C355</f>
        <v>14149971</v>
      </c>
      <c r="C368" s="926" t="str">
        <f>+NOMINA!D355</f>
        <v>Rivera Virginia del Carmen</v>
      </c>
      <c r="D368" s="926" t="str">
        <f>+NOMINA!O355</f>
        <v>Aseadora</v>
      </c>
      <c r="E368" s="929">
        <f>+NOMINA!H355</f>
        <v>41091</v>
      </c>
      <c r="F368" s="930">
        <f>+NOMINA!BR355</f>
        <v>29.05</v>
      </c>
      <c r="G368" s="930">
        <f>+NOMINA!BS355</f>
        <v>6.46</v>
      </c>
      <c r="H368" s="599"/>
      <c r="I368" s="600"/>
      <c r="J368" s="600"/>
      <c r="K368" s="600"/>
      <c r="L368" s="600"/>
    </row>
    <row r="369" spans="1:12" ht="15.75" customHeight="1" x14ac:dyDescent="0.25">
      <c r="A369" s="928">
        <f t="shared" si="5"/>
        <v>52</v>
      </c>
      <c r="B369" s="926">
        <f>+NOMINA!C356</f>
        <v>14150495</v>
      </c>
      <c r="C369" s="926" t="str">
        <f>+NOMINA!D356</f>
        <v>Umbria de Segovia Alexandra del Carmen</v>
      </c>
      <c r="D369" s="926" t="str">
        <f>+NOMINA!O356</f>
        <v>Ayudante de Almacen</v>
      </c>
      <c r="E369" s="929">
        <f>+NOMINA!H356</f>
        <v>44228</v>
      </c>
      <c r="F369" s="930">
        <f>+NOMINA!BR356</f>
        <v>31.97</v>
      </c>
      <c r="G369" s="930">
        <f>+NOMINA!BS356</f>
        <v>7.1</v>
      </c>
      <c r="H369" s="599"/>
      <c r="I369" s="600"/>
      <c r="J369" s="600"/>
      <c r="K369" s="600"/>
      <c r="L369" s="600"/>
    </row>
    <row r="370" spans="1:12" ht="15.75" customHeight="1" x14ac:dyDescent="0.25">
      <c r="A370" s="928">
        <f t="shared" si="5"/>
        <v>53</v>
      </c>
      <c r="B370" s="926">
        <f>+NOMINA!C357</f>
        <v>14718369</v>
      </c>
      <c r="C370" s="926" t="str">
        <f>+NOMINA!D357</f>
        <v>Pacheco Yudith del Valle</v>
      </c>
      <c r="D370" s="926" t="str">
        <f>+NOMINA!O357</f>
        <v>Aseadora</v>
      </c>
      <c r="E370" s="929">
        <f>+NOMINA!H357</f>
        <v>43147</v>
      </c>
      <c r="F370" s="930">
        <f>+NOMINA!BR357</f>
        <v>28</v>
      </c>
      <c r="G370" s="930">
        <f>+NOMINA!BS357</f>
        <v>6.22</v>
      </c>
      <c r="H370" s="599"/>
      <c r="I370" s="600"/>
      <c r="J370" s="600"/>
      <c r="K370" s="600"/>
      <c r="L370" s="600"/>
    </row>
    <row r="371" spans="1:12" ht="15.75" customHeight="1" x14ac:dyDescent="0.25">
      <c r="A371" s="928">
        <f t="shared" si="5"/>
        <v>54</v>
      </c>
      <c r="B371" s="926">
        <f>+NOMINA!C358</f>
        <v>14718468</v>
      </c>
      <c r="C371" s="926" t="str">
        <f>+NOMINA!D358</f>
        <v>Frias Aldana Yhonny Ramon</v>
      </c>
      <c r="D371" s="926" t="str">
        <f>+NOMINA!O358</f>
        <v>Ayudante De Almacen</v>
      </c>
      <c r="E371" s="929">
        <f>+NOMINA!H358</f>
        <v>42948</v>
      </c>
      <c r="F371" s="930">
        <f>+NOMINA!BR358</f>
        <v>34.08</v>
      </c>
      <c r="G371" s="930">
        <f>+NOMINA!BS358</f>
        <v>7.57</v>
      </c>
      <c r="H371" s="599"/>
      <c r="I371" s="600"/>
      <c r="J371" s="600"/>
      <c r="K371" s="600"/>
      <c r="L371" s="600"/>
    </row>
    <row r="372" spans="1:12" ht="15.75" customHeight="1" x14ac:dyDescent="0.25">
      <c r="A372" s="928">
        <f t="shared" si="5"/>
        <v>55</v>
      </c>
      <c r="B372" s="926">
        <f>+NOMINA!C359</f>
        <v>14719205</v>
      </c>
      <c r="C372" s="926" t="str">
        <f>+NOMINA!D359</f>
        <v>Chinchilla Perez Jean Carlos</v>
      </c>
      <c r="D372" s="926" t="str">
        <f>+NOMINA!O359</f>
        <v>Ayudante de Servicios Generales</v>
      </c>
      <c r="E372" s="929">
        <f>+NOMINA!H359</f>
        <v>39861</v>
      </c>
      <c r="F372" s="930">
        <f>+NOMINA!BR359</f>
        <v>32.380000000000003</v>
      </c>
      <c r="G372" s="930">
        <f>+NOMINA!BS359</f>
        <v>7.2</v>
      </c>
      <c r="H372" s="599"/>
      <c r="I372" s="600"/>
      <c r="J372" s="600"/>
      <c r="K372" s="600"/>
      <c r="L372" s="600"/>
    </row>
    <row r="373" spans="1:12" ht="15.75" customHeight="1" x14ac:dyDescent="0.25">
      <c r="A373" s="928">
        <f t="shared" si="5"/>
        <v>56</v>
      </c>
      <c r="B373" s="926">
        <f>+NOMINA!C360</f>
        <v>14719356</v>
      </c>
      <c r="C373" s="926" t="str">
        <f>+NOMINA!D360</f>
        <v>Linares Montilla Gerardo Enrique</v>
      </c>
      <c r="D373" s="926" t="str">
        <f>+NOMINA!O360</f>
        <v>Ayudante de Servicios Generales</v>
      </c>
      <c r="E373" s="929">
        <f>+NOMINA!H360</f>
        <v>44348</v>
      </c>
      <c r="F373" s="930">
        <f>+NOMINA!BR360</f>
        <v>32.51</v>
      </c>
      <c r="G373" s="930">
        <f>+NOMINA!BS360</f>
        <v>7.22</v>
      </c>
      <c r="H373" s="599"/>
      <c r="I373" s="600"/>
      <c r="J373" s="600"/>
      <c r="K373" s="600"/>
      <c r="L373" s="600"/>
    </row>
    <row r="374" spans="1:12" ht="15.75" customHeight="1" x14ac:dyDescent="0.25">
      <c r="A374" s="928">
        <f t="shared" si="5"/>
        <v>57</v>
      </c>
      <c r="B374" s="926">
        <f>+NOMINA!C361</f>
        <v>14780893</v>
      </c>
      <c r="C374" s="926" t="str">
        <f>+NOMINA!D361</f>
        <v>Perez Gonzalez Reinaldo Andre</v>
      </c>
      <c r="D374" s="926" t="str">
        <f>+NOMINA!O361</f>
        <v>Ayudante de Servicios Generales</v>
      </c>
      <c r="E374" s="929">
        <f>+NOMINA!H361</f>
        <v>41570</v>
      </c>
      <c r="F374" s="930">
        <f>+NOMINA!BR361</f>
        <v>31.24</v>
      </c>
      <c r="G374" s="930">
        <f>+NOMINA!BS361</f>
        <v>6.94</v>
      </c>
      <c r="H374" s="599"/>
      <c r="I374" s="600"/>
      <c r="J374" s="600"/>
      <c r="K374" s="600"/>
      <c r="L374" s="600"/>
    </row>
    <row r="375" spans="1:12" ht="15.75" customHeight="1" x14ac:dyDescent="0.25">
      <c r="A375" s="928">
        <f t="shared" si="5"/>
        <v>58</v>
      </c>
      <c r="B375" s="926">
        <f>+NOMINA!C362</f>
        <v>14928047</v>
      </c>
      <c r="C375" s="926" t="str">
        <f>+NOMINA!D362</f>
        <v>Becerra Teran Maria Alejandra</v>
      </c>
      <c r="D375" s="926" t="str">
        <f>+NOMINA!O362</f>
        <v>Cocinera</v>
      </c>
      <c r="E375" s="929">
        <f>+NOMINA!H362</f>
        <v>43297</v>
      </c>
      <c r="F375" s="930">
        <f>+NOMINA!BR362</f>
        <v>32.57</v>
      </c>
      <c r="G375" s="930">
        <f>+NOMINA!BS362</f>
        <v>7.24</v>
      </c>
      <c r="H375" s="599"/>
      <c r="I375" s="600"/>
      <c r="J375" s="600"/>
      <c r="K375" s="600"/>
      <c r="L375" s="600"/>
    </row>
    <row r="376" spans="1:12" ht="15.75" customHeight="1" x14ac:dyDescent="0.25">
      <c r="A376" s="928">
        <f t="shared" si="5"/>
        <v>59</v>
      </c>
      <c r="B376" s="926">
        <f>+NOMINA!C363</f>
        <v>15042683</v>
      </c>
      <c r="C376" s="926" t="str">
        <f>+NOMINA!D363</f>
        <v>Rivera Hermes Edixon</v>
      </c>
      <c r="D376" s="926" t="str">
        <f>+NOMINA!O363</f>
        <v>Aseador</v>
      </c>
      <c r="E376" s="929">
        <f>+NOMINA!H363</f>
        <v>45292</v>
      </c>
      <c r="F376" s="930">
        <f>+NOMINA!BR363</f>
        <v>28.43</v>
      </c>
      <c r="G376" s="930">
        <f>+NOMINA!BS363</f>
        <v>6.32</v>
      </c>
      <c r="H376" s="599"/>
      <c r="I376" s="600"/>
      <c r="J376" s="600"/>
      <c r="K376" s="600"/>
      <c r="L376" s="600"/>
    </row>
    <row r="377" spans="1:12" ht="15.75" customHeight="1" x14ac:dyDescent="0.25">
      <c r="A377" s="928">
        <f t="shared" si="5"/>
        <v>60</v>
      </c>
      <c r="B377" s="926">
        <f>+NOMINA!C364</f>
        <v>15293784</v>
      </c>
      <c r="C377" s="926" t="str">
        <f>+NOMINA!D364</f>
        <v>Meza Alipio Jose</v>
      </c>
      <c r="D377" s="926" t="str">
        <f>+NOMINA!O364</f>
        <v>Aseador</v>
      </c>
      <c r="E377" s="929">
        <f>+NOMINA!H364</f>
        <v>45778</v>
      </c>
      <c r="F377" s="930">
        <f>+NOMINA!BR364</f>
        <v>27</v>
      </c>
      <c r="G377" s="930">
        <f>+NOMINA!BS364</f>
        <v>6</v>
      </c>
      <c r="H377" s="599"/>
      <c r="I377" s="600"/>
      <c r="J377" s="600"/>
      <c r="K377" s="600"/>
      <c r="L377" s="600"/>
    </row>
    <row r="378" spans="1:12" ht="15.75" customHeight="1" x14ac:dyDescent="0.25">
      <c r="A378" s="928">
        <f t="shared" si="5"/>
        <v>61</v>
      </c>
      <c r="B378" s="926">
        <f>+NOMINA!C365</f>
        <v>15583194</v>
      </c>
      <c r="C378" s="926" t="str">
        <f>+NOMINA!D365</f>
        <v>Garcia Briceño Wuiston Andres</v>
      </c>
      <c r="D378" s="926" t="str">
        <f>+NOMINA!O365</f>
        <v>Cocinero</v>
      </c>
      <c r="E378" s="929">
        <f>+NOMINA!H365</f>
        <v>44166</v>
      </c>
      <c r="F378" s="930">
        <f>+NOMINA!BR365</f>
        <v>35.01</v>
      </c>
      <c r="G378" s="930">
        <f>+NOMINA!BS365</f>
        <v>7.78</v>
      </c>
      <c r="H378" s="599"/>
      <c r="I378" s="600"/>
      <c r="J378" s="600"/>
      <c r="K378" s="600"/>
      <c r="L378" s="600"/>
    </row>
    <row r="379" spans="1:12" ht="15.75" customHeight="1" x14ac:dyDescent="0.25">
      <c r="A379" s="928">
        <f t="shared" si="5"/>
        <v>62</v>
      </c>
      <c r="B379" s="926">
        <f>+NOMINA!C366</f>
        <v>14928592</v>
      </c>
      <c r="C379" s="926" t="str">
        <f>+NOMINA!D366</f>
        <v>Rosales Ruiz Jesus Alberto</v>
      </c>
      <c r="D379" s="926" t="str">
        <f>+NOMINA!O366</f>
        <v>Cocinero</v>
      </c>
      <c r="E379" s="929">
        <f>+NOMINA!H366</f>
        <v>45017</v>
      </c>
      <c r="F379" s="930">
        <f>+NOMINA!BR366</f>
        <v>31.61</v>
      </c>
      <c r="G379" s="930">
        <f>+NOMINA!BS366</f>
        <v>7.03</v>
      </c>
      <c r="H379" s="599"/>
      <c r="I379" s="600"/>
      <c r="J379" s="600"/>
      <c r="K379" s="600"/>
      <c r="L379" s="600"/>
    </row>
    <row r="380" spans="1:12" ht="15.75" customHeight="1" x14ac:dyDescent="0.25">
      <c r="A380" s="928">
        <f t="shared" si="5"/>
        <v>63</v>
      </c>
      <c r="B380" s="926">
        <f>+NOMINA!C367</f>
        <v>15952512</v>
      </c>
      <c r="C380" s="926" t="str">
        <f>+NOMINA!D367</f>
        <v>Graterol Gonzalez Maria Ysela</v>
      </c>
      <c r="D380" s="926" t="str">
        <f>+NOMINA!O367</f>
        <v>Aseadora</v>
      </c>
      <c r="E380" s="929">
        <f>+NOMINA!H367</f>
        <v>40725</v>
      </c>
      <c r="F380" s="930">
        <f>+NOMINA!BR367</f>
        <v>29.24</v>
      </c>
      <c r="G380" s="930">
        <f>+NOMINA!BS367</f>
        <v>6.5</v>
      </c>
      <c r="H380" s="599"/>
      <c r="I380" s="600"/>
      <c r="J380" s="600"/>
      <c r="K380" s="600"/>
      <c r="L380" s="600"/>
    </row>
    <row r="381" spans="1:12" ht="15.75" customHeight="1" x14ac:dyDescent="0.25">
      <c r="A381" s="928">
        <f t="shared" si="5"/>
        <v>64</v>
      </c>
      <c r="B381" s="926">
        <f>+NOMINA!C368</f>
        <v>15953703</v>
      </c>
      <c r="C381" s="926" t="str">
        <f>+NOMINA!D368</f>
        <v>Briceño Salas Jose Leonardo</v>
      </c>
      <c r="D381" s="926" t="str">
        <f>+NOMINA!O368</f>
        <v>Ayudante de Servicios Generales</v>
      </c>
      <c r="E381" s="929">
        <f>+NOMINA!H368</f>
        <v>38718</v>
      </c>
      <c r="F381" s="930">
        <f>+NOMINA!BR368</f>
        <v>35.729999999999997</v>
      </c>
      <c r="G381" s="930">
        <f>+NOMINA!BS368</f>
        <v>7.94</v>
      </c>
      <c r="H381" s="599"/>
      <c r="I381" s="600"/>
      <c r="J381" s="600"/>
      <c r="K381" s="600"/>
      <c r="L381" s="600"/>
    </row>
    <row r="382" spans="1:12" ht="15.75" customHeight="1" x14ac:dyDescent="0.25">
      <c r="A382" s="928">
        <f t="shared" si="5"/>
        <v>65</v>
      </c>
      <c r="B382" s="926">
        <f>+NOMINA!C369</f>
        <v>16266801</v>
      </c>
      <c r="C382" s="926" t="str">
        <f>+NOMINA!D369</f>
        <v>Briceño Gonzalez Mirla Carolina</v>
      </c>
      <c r="D382" s="926" t="str">
        <f>+NOMINA!O369</f>
        <v>Cocinera</v>
      </c>
      <c r="E382" s="929">
        <f>+NOMINA!H369</f>
        <v>39496</v>
      </c>
      <c r="F382" s="930">
        <f>+NOMINA!BR369</f>
        <v>36.32</v>
      </c>
      <c r="G382" s="930">
        <f>+NOMINA!BS369</f>
        <v>8.07</v>
      </c>
      <c r="H382" s="599"/>
      <c r="I382" s="600"/>
      <c r="J382" s="600"/>
      <c r="K382" s="600"/>
      <c r="L382" s="600"/>
    </row>
    <row r="383" spans="1:12" ht="15.75" customHeight="1" x14ac:dyDescent="0.25">
      <c r="A383" s="928">
        <f t="shared" si="5"/>
        <v>66</v>
      </c>
      <c r="B383" s="926">
        <f>+NOMINA!C370</f>
        <v>16739958</v>
      </c>
      <c r="C383" s="926" t="str">
        <f>+NOMINA!D370</f>
        <v>Ramirez Ramirez Natali Gabriela</v>
      </c>
      <c r="D383" s="926" t="str">
        <f>+NOMINA!O370</f>
        <v>Ayud. Serv. De Cocina</v>
      </c>
      <c r="E383" s="929">
        <f>+NOMINA!H370</f>
        <v>44866</v>
      </c>
      <c r="F383" s="930">
        <f>+NOMINA!BR370</f>
        <v>31.14</v>
      </c>
      <c r="G383" s="930">
        <f>+NOMINA!BS370</f>
        <v>6.92</v>
      </c>
      <c r="H383" s="599"/>
      <c r="I383" s="600"/>
      <c r="J383" s="600"/>
      <c r="K383" s="600"/>
      <c r="L383" s="600"/>
    </row>
    <row r="384" spans="1:12" ht="15.75" customHeight="1" x14ac:dyDescent="0.25">
      <c r="A384" s="928">
        <f t="shared" si="5"/>
        <v>67</v>
      </c>
      <c r="B384" s="926">
        <f>+NOMINA!C371</f>
        <v>16881526</v>
      </c>
      <c r="C384" s="926" t="str">
        <f>+NOMINA!D371</f>
        <v>Montilla Mendoza Addy Coromoto</v>
      </c>
      <c r="D384" s="926" t="str">
        <f>+NOMINA!O371</f>
        <v>Aseador</v>
      </c>
      <c r="E384" s="929">
        <f>+NOMINA!H371</f>
        <v>44470</v>
      </c>
      <c r="F384" s="930">
        <f>+NOMINA!BR371</f>
        <v>30</v>
      </c>
      <c r="G384" s="930">
        <f>+NOMINA!BS371</f>
        <v>6.67</v>
      </c>
      <c r="H384" s="599"/>
      <c r="I384" s="600"/>
      <c r="J384" s="600"/>
      <c r="K384" s="600"/>
      <c r="L384" s="600"/>
    </row>
    <row r="385" spans="1:12" ht="15.75" customHeight="1" x14ac:dyDescent="0.25">
      <c r="A385" s="928">
        <f t="shared" ref="A385:A409" si="6">+A384+1</f>
        <v>68</v>
      </c>
      <c r="B385" s="926">
        <f>+NOMINA!C372</f>
        <v>17093567</v>
      </c>
      <c r="C385" s="926" t="str">
        <f>+NOMINA!D372</f>
        <v>Torres Villarreal Yenny del Carmen</v>
      </c>
      <c r="D385" s="926" t="str">
        <f>+NOMINA!O372</f>
        <v>Ayudante de Servicios Generales</v>
      </c>
      <c r="E385" s="929">
        <f>+NOMINA!H372</f>
        <v>39449</v>
      </c>
      <c r="F385" s="930">
        <f>+NOMINA!BR372</f>
        <v>32.630000000000003</v>
      </c>
      <c r="G385" s="930">
        <f>+NOMINA!BS372</f>
        <v>7.25</v>
      </c>
      <c r="H385" s="599"/>
      <c r="I385" s="600"/>
      <c r="J385" s="600"/>
      <c r="K385" s="600"/>
      <c r="L385" s="600"/>
    </row>
    <row r="386" spans="1:12" ht="15.75" customHeight="1" x14ac:dyDescent="0.25">
      <c r="A386" s="928">
        <f t="shared" si="6"/>
        <v>69</v>
      </c>
      <c r="B386" s="926">
        <f>+NOMINA!C373</f>
        <v>17093846</v>
      </c>
      <c r="C386" s="926" t="str">
        <f>+NOMINA!D373</f>
        <v>Bastidas Rivera Junior Antonio</v>
      </c>
      <c r="D386" s="926" t="str">
        <f>+NOMINA!O373</f>
        <v>Ayudante de Servicios Generales</v>
      </c>
      <c r="E386" s="929">
        <f>+NOMINA!H373</f>
        <v>45017</v>
      </c>
      <c r="F386" s="930">
        <f>+NOMINA!BR373</f>
        <v>29.6</v>
      </c>
      <c r="G386" s="930">
        <f>+NOMINA!BS373</f>
        <v>6.58</v>
      </c>
      <c r="H386" s="599"/>
      <c r="I386" s="600"/>
      <c r="J386" s="600"/>
      <c r="K386" s="600"/>
      <c r="L386" s="600"/>
    </row>
    <row r="387" spans="1:12" ht="15.75" customHeight="1" x14ac:dyDescent="0.25">
      <c r="A387" s="928">
        <f t="shared" si="6"/>
        <v>70</v>
      </c>
      <c r="B387" s="926">
        <f>+NOMINA!C374</f>
        <v>17095084</v>
      </c>
      <c r="C387" s="926" t="str">
        <f>+NOMINA!D374</f>
        <v>Gonzalez Simancas Yulimar del Valle</v>
      </c>
      <c r="D387" s="926" t="str">
        <f>+NOMINA!O374</f>
        <v>Cocinera</v>
      </c>
      <c r="E387" s="929">
        <f>+NOMINA!H374</f>
        <v>44317</v>
      </c>
      <c r="F387" s="930">
        <f>+NOMINA!BR374</f>
        <v>34.56</v>
      </c>
      <c r="G387" s="930">
        <f>+NOMINA!BS374</f>
        <v>7.68</v>
      </c>
      <c r="H387" s="599"/>
      <c r="I387" s="600"/>
      <c r="J387" s="600"/>
      <c r="K387" s="600"/>
      <c r="L387" s="600"/>
    </row>
    <row r="388" spans="1:12" ht="15.75" customHeight="1" x14ac:dyDescent="0.25">
      <c r="A388" s="928">
        <f t="shared" si="6"/>
        <v>71</v>
      </c>
      <c r="B388" s="926">
        <f>+NOMINA!C375</f>
        <v>17267173</v>
      </c>
      <c r="C388" s="926" t="str">
        <f>+NOMINA!D375</f>
        <v>Torres Alvarez Olga Josefina</v>
      </c>
      <c r="D388" s="926" t="str">
        <f>+NOMINA!O375</f>
        <v>Ayudante de Almacen</v>
      </c>
      <c r="E388" s="929">
        <f>+NOMINA!H375</f>
        <v>44317</v>
      </c>
      <c r="F388" s="930">
        <f>+NOMINA!BR375</f>
        <v>33.21</v>
      </c>
      <c r="G388" s="930">
        <f>+NOMINA!BS375</f>
        <v>7.38</v>
      </c>
      <c r="H388" s="599"/>
      <c r="I388" s="600"/>
      <c r="J388" s="600"/>
      <c r="K388" s="600"/>
      <c r="L388" s="600"/>
    </row>
    <row r="389" spans="1:12" ht="15.75" customHeight="1" x14ac:dyDescent="0.25">
      <c r="A389" s="928">
        <f t="shared" si="6"/>
        <v>72</v>
      </c>
      <c r="B389" s="926">
        <f>+NOMINA!C376</f>
        <v>17267546</v>
      </c>
      <c r="C389" s="926" t="str">
        <f>+NOMINA!D376</f>
        <v>Bastidas Rivera Franklin Enrique</v>
      </c>
      <c r="D389" s="926" t="str">
        <f>+NOMINA!O376</f>
        <v>Ayudante de Servicios Generales</v>
      </c>
      <c r="E389" s="929">
        <f>+NOMINA!H376</f>
        <v>39197</v>
      </c>
      <c r="F389" s="930">
        <f>+NOMINA!BR376</f>
        <v>34.18</v>
      </c>
      <c r="G389" s="930">
        <f>+NOMINA!BS376</f>
        <v>7.6</v>
      </c>
      <c r="H389" s="599"/>
      <c r="I389" s="600"/>
      <c r="J389" s="600"/>
      <c r="K389" s="600"/>
      <c r="L389" s="600"/>
    </row>
    <row r="390" spans="1:12" ht="15.75" customHeight="1" x14ac:dyDescent="0.25">
      <c r="A390" s="928">
        <f t="shared" si="6"/>
        <v>73</v>
      </c>
      <c r="B390" s="926">
        <f>+NOMINA!C377</f>
        <v>18096032</v>
      </c>
      <c r="C390" s="926" t="str">
        <f>+NOMINA!D377</f>
        <v>Graterol Graterol Isidro Antonio</v>
      </c>
      <c r="D390" s="926" t="str">
        <f>+NOMINA!O377</f>
        <v>Chofer</v>
      </c>
      <c r="E390" s="929">
        <f>+NOMINA!H377</f>
        <v>45566</v>
      </c>
      <c r="F390" s="930">
        <f>+NOMINA!BR377</f>
        <v>46.92</v>
      </c>
      <c r="G390" s="930">
        <f>+NOMINA!BS377</f>
        <v>10.43</v>
      </c>
      <c r="H390" s="599"/>
      <c r="I390" s="600"/>
      <c r="J390" s="600"/>
      <c r="K390" s="600"/>
      <c r="L390" s="600"/>
    </row>
    <row r="391" spans="1:12" ht="15.75" customHeight="1" x14ac:dyDescent="0.25">
      <c r="A391" s="928">
        <f t="shared" si="6"/>
        <v>74</v>
      </c>
      <c r="B391" s="926">
        <f>+NOMINA!C378</f>
        <v>18096338</v>
      </c>
      <c r="C391" s="926" t="str">
        <f>+NOMINA!D378</f>
        <v>Ramirez Manzanilla Jose Jesus</v>
      </c>
      <c r="D391" s="926" t="str">
        <f>+NOMINA!O378</f>
        <v>Cocinero</v>
      </c>
      <c r="E391" s="929">
        <f>+NOMINA!H378</f>
        <v>39463</v>
      </c>
      <c r="F391" s="930">
        <f>+NOMINA!BR378</f>
        <v>37.17</v>
      </c>
      <c r="G391" s="930">
        <f>+NOMINA!BS378</f>
        <v>8.26</v>
      </c>
      <c r="H391" s="599"/>
      <c r="I391" s="600"/>
      <c r="J391" s="600"/>
      <c r="K391" s="600"/>
      <c r="L391" s="600"/>
    </row>
    <row r="392" spans="1:12" ht="15.75" customHeight="1" x14ac:dyDescent="0.25">
      <c r="A392" s="928">
        <f t="shared" si="6"/>
        <v>75</v>
      </c>
      <c r="B392" s="926">
        <f>+NOMINA!C379</f>
        <v>18350780</v>
      </c>
      <c r="C392" s="926" t="str">
        <f>+NOMINA!D379</f>
        <v>Frias Aldana Giovanny Jacinto</v>
      </c>
      <c r="D392" s="926" t="str">
        <f>+NOMINA!O379</f>
        <v>Vigilante</v>
      </c>
      <c r="E392" s="929">
        <f>+NOMINA!H379</f>
        <v>43116</v>
      </c>
      <c r="F392" s="930">
        <f>+NOMINA!BR379</f>
        <v>44.03</v>
      </c>
      <c r="G392" s="930">
        <f>+NOMINA!BS379</f>
        <v>9.7799999999999994</v>
      </c>
      <c r="H392" s="599"/>
      <c r="I392" s="600"/>
      <c r="J392" s="600"/>
      <c r="K392" s="600"/>
      <c r="L392" s="600"/>
    </row>
    <row r="393" spans="1:12" ht="15.75" customHeight="1" x14ac:dyDescent="0.25">
      <c r="A393" s="928">
        <f t="shared" si="6"/>
        <v>76</v>
      </c>
      <c r="B393" s="926">
        <f>+NOMINA!C380</f>
        <v>18456167</v>
      </c>
      <c r="C393" s="926" t="str">
        <f>+NOMINA!D380</f>
        <v>Olmos Linares Luis Alberto</v>
      </c>
      <c r="D393" s="926" t="str">
        <f>+NOMINA!O380</f>
        <v>Cocinero</v>
      </c>
      <c r="E393" s="929">
        <f>+NOMINA!H380</f>
        <v>44516</v>
      </c>
      <c r="F393" s="930">
        <f>+NOMINA!BR380</f>
        <v>34.39</v>
      </c>
      <c r="G393" s="930">
        <f>+NOMINA!BS380</f>
        <v>7.64</v>
      </c>
      <c r="H393" s="599"/>
      <c r="I393" s="600"/>
      <c r="J393" s="600"/>
      <c r="K393" s="600"/>
      <c r="L393" s="600"/>
    </row>
    <row r="394" spans="1:12" ht="15.75" customHeight="1" x14ac:dyDescent="0.25">
      <c r="A394" s="928">
        <f t="shared" si="6"/>
        <v>77</v>
      </c>
      <c r="B394" s="926">
        <f>+NOMINA!C381</f>
        <v>18456576</v>
      </c>
      <c r="C394" s="926" t="str">
        <f>+NOMINA!D381</f>
        <v>Quintero Duran Emilio Alfonso</v>
      </c>
      <c r="D394" s="926" t="str">
        <f>+NOMINA!O381</f>
        <v>Chofer</v>
      </c>
      <c r="E394" s="929">
        <f>+NOMINA!H381</f>
        <v>44743</v>
      </c>
      <c r="F394" s="930">
        <f>+NOMINA!BR381</f>
        <v>43.31</v>
      </c>
      <c r="G394" s="930">
        <f>+NOMINA!BS381</f>
        <v>9.6199999999999992</v>
      </c>
      <c r="H394" s="599"/>
      <c r="I394" s="600"/>
      <c r="J394" s="600"/>
      <c r="K394" s="600"/>
      <c r="L394" s="600"/>
    </row>
    <row r="395" spans="1:12" ht="15.75" customHeight="1" x14ac:dyDescent="0.25">
      <c r="A395" s="928">
        <f t="shared" si="6"/>
        <v>78</v>
      </c>
      <c r="B395" s="926">
        <f>+NOMINA!C382</f>
        <v>20039961</v>
      </c>
      <c r="C395" s="926" t="str">
        <f>+NOMINA!D382</f>
        <v>Torres Villarreal Lisbeth Carolina</v>
      </c>
      <c r="D395" s="926" t="str">
        <f>+NOMINA!O382</f>
        <v>Aseadora</v>
      </c>
      <c r="E395" s="929">
        <f>+NOMINA!H382</f>
        <v>38412</v>
      </c>
      <c r="F395" s="930">
        <f>+NOMINA!BR382</f>
        <v>33.11</v>
      </c>
      <c r="G395" s="930">
        <f>+NOMINA!BS382</f>
        <v>7.36</v>
      </c>
      <c r="H395" s="599"/>
      <c r="I395" s="600"/>
      <c r="J395" s="600"/>
      <c r="K395" s="600"/>
      <c r="L395" s="600"/>
    </row>
    <row r="396" spans="1:12" ht="15.75" customHeight="1" x14ac:dyDescent="0.25">
      <c r="A396" s="928">
        <f t="shared" si="6"/>
        <v>79</v>
      </c>
      <c r="B396" s="926">
        <f>+NOMINA!C383</f>
        <v>20040649</v>
      </c>
      <c r="C396" s="926" t="str">
        <f>+NOMINA!D383</f>
        <v>Isarra Materan Jose de La Paz</v>
      </c>
      <c r="D396" s="926" t="str">
        <f>+NOMINA!O383</f>
        <v>Chofer</v>
      </c>
      <c r="E396" s="929">
        <f>+NOMINA!H383</f>
        <v>44743</v>
      </c>
      <c r="F396" s="930">
        <f>+NOMINA!BR383</f>
        <v>43.31</v>
      </c>
      <c r="G396" s="930">
        <f>+NOMINA!BS383</f>
        <v>9.6199999999999992</v>
      </c>
      <c r="H396" s="599"/>
      <c r="I396" s="600"/>
      <c r="J396" s="600"/>
      <c r="K396" s="600"/>
      <c r="L396" s="600"/>
    </row>
    <row r="397" spans="1:12" ht="15.75" customHeight="1" x14ac:dyDescent="0.25">
      <c r="A397" s="928">
        <f t="shared" si="6"/>
        <v>80</v>
      </c>
      <c r="B397" s="926">
        <f>+NOMINA!C384</f>
        <v>20788036</v>
      </c>
      <c r="C397" s="926" t="str">
        <f>+NOMINA!D384</f>
        <v>Cabrera Duran Albert Josue</v>
      </c>
      <c r="D397" s="926" t="str">
        <f>+NOMINA!O384</f>
        <v>Vigilante</v>
      </c>
      <c r="E397" s="929">
        <f>+NOMINA!H384</f>
        <v>45778</v>
      </c>
      <c r="F397" s="930">
        <f>+NOMINA!BR384</f>
        <v>33.85</v>
      </c>
      <c r="G397" s="930">
        <f>+NOMINA!BS384</f>
        <v>7.52</v>
      </c>
      <c r="H397" s="599"/>
      <c r="I397" s="600"/>
      <c r="J397" s="600"/>
      <c r="K397" s="600"/>
      <c r="L397" s="600"/>
    </row>
    <row r="398" spans="1:12" ht="15.75" customHeight="1" x14ac:dyDescent="0.25">
      <c r="A398" s="928">
        <f t="shared" si="6"/>
        <v>81</v>
      </c>
      <c r="B398" s="926">
        <f>+NOMINA!C385</f>
        <v>21366579</v>
      </c>
      <c r="C398" s="926" t="str">
        <f>+NOMINA!D385</f>
        <v>Azuaje Espinoza Erick Enrique</v>
      </c>
      <c r="D398" s="926" t="str">
        <f>+NOMINA!O385</f>
        <v>Mensajero</v>
      </c>
      <c r="E398" s="929">
        <f>+NOMINA!H385</f>
        <v>44774</v>
      </c>
      <c r="F398" s="930">
        <f>+NOMINA!BR385</f>
        <v>29.99</v>
      </c>
      <c r="G398" s="930">
        <f>+NOMINA!BS385</f>
        <v>6.66</v>
      </c>
      <c r="H398" s="599"/>
      <c r="I398" s="600"/>
      <c r="J398" s="600"/>
      <c r="K398" s="600"/>
      <c r="L398" s="600"/>
    </row>
    <row r="399" spans="1:12" ht="15.75" customHeight="1" x14ac:dyDescent="0.25">
      <c r="A399" s="928">
        <f t="shared" si="6"/>
        <v>82</v>
      </c>
      <c r="B399" s="926">
        <f>+NOMINA!C386</f>
        <v>23594381</v>
      </c>
      <c r="C399" s="926" t="str">
        <f>+NOMINA!D386</f>
        <v>Albornoz Montilla Daniel Enrique</v>
      </c>
      <c r="D399" s="926" t="str">
        <f>+NOMINA!O386</f>
        <v>Ayudante de Servicios Generales</v>
      </c>
      <c r="E399" s="929">
        <f>+NOMINA!H386</f>
        <v>45597</v>
      </c>
      <c r="F399" s="930">
        <f>+NOMINA!BR386</f>
        <v>28.25</v>
      </c>
      <c r="G399" s="930">
        <f>+NOMINA!BS386</f>
        <v>6.28</v>
      </c>
      <c r="H399" s="599"/>
      <c r="I399" s="600"/>
      <c r="J399" s="600"/>
      <c r="K399" s="600"/>
      <c r="L399" s="600"/>
    </row>
    <row r="400" spans="1:12" ht="15.75" customHeight="1" x14ac:dyDescent="0.25">
      <c r="A400" s="928">
        <f t="shared" si="6"/>
        <v>83</v>
      </c>
      <c r="B400" s="926">
        <f>+NOMINA!C387</f>
        <v>25173228</v>
      </c>
      <c r="C400" s="926" t="str">
        <f>+NOMINA!D387</f>
        <v>Davila Sanchez Eduar Alexander</v>
      </c>
      <c r="D400" s="926" t="str">
        <f>+NOMINA!O387</f>
        <v>Ayudante de Servicios Generales</v>
      </c>
      <c r="E400" s="929">
        <f>+NOMINA!H387</f>
        <v>44531</v>
      </c>
      <c r="F400" s="930">
        <f>+NOMINA!BR387</f>
        <v>42.06</v>
      </c>
      <c r="G400" s="930">
        <f>+NOMINA!BS387</f>
        <v>9.35</v>
      </c>
      <c r="H400" s="599"/>
      <c r="I400" s="600"/>
      <c r="J400" s="600"/>
      <c r="K400" s="600"/>
      <c r="L400" s="600"/>
    </row>
    <row r="401" spans="1:12" ht="15.75" customHeight="1" x14ac:dyDescent="0.25">
      <c r="A401" s="928">
        <f t="shared" si="6"/>
        <v>84</v>
      </c>
      <c r="B401" s="926">
        <f>+NOMINA!C388</f>
        <v>25631811</v>
      </c>
      <c r="C401" s="926" t="str">
        <f>+NOMINA!D388</f>
        <v>Barrios Briceño Christian Xavier</v>
      </c>
      <c r="D401" s="926" t="str">
        <f>+NOMINA!O388</f>
        <v>Cocinero</v>
      </c>
      <c r="E401" s="929">
        <f>+NOMINA!H388</f>
        <v>44440</v>
      </c>
      <c r="F401" s="930">
        <f>+NOMINA!BR388</f>
        <v>31.97</v>
      </c>
      <c r="G401" s="930">
        <f>+NOMINA!BS388</f>
        <v>7.1</v>
      </c>
      <c r="H401" s="599"/>
      <c r="I401" s="600"/>
      <c r="J401" s="600"/>
      <c r="K401" s="600"/>
      <c r="L401" s="600"/>
    </row>
    <row r="402" spans="1:12" ht="15.75" customHeight="1" x14ac:dyDescent="0.25">
      <c r="A402" s="928">
        <f t="shared" si="6"/>
        <v>85</v>
      </c>
      <c r="B402" s="926">
        <f>+NOMINA!C389</f>
        <v>25919888</v>
      </c>
      <c r="C402" s="926" t="str">
        <f>+NOMINA!D389</f>
        <v>Rivero Lamus Ninoska del Valle</v>
      </c>
      <c r="D402" s="926" t="str">
        <f>+NOMINA!O389</f>
        <v>Aseadora</v>
      </c>
      <c r="E402" s="929">
        <f>+NOMINA!H389</f>
        <v>44805</v>
      </c>
      <c r="F402" s="930">
        <f>+NOMINA!BR389</f>
        <v>30</v>
      </c>
      <c r="G402" s="930">
        <f>+NOMINA!BS389</f>
        <v>6.67</v>
      </c>
      <c r="H402" s="599"/>
      <c r="I402" s="600"/>
      <c r="J402" s="600"/>
      <c r="K402" s="600"/>
      <c r="L402" s="600"/>
    </row>
    <row r="403" spans="1:12" ht="15.75" customHeight="1" x14ac:dyDescent="0.25">
      <c r="A403" s="928">
        <f t="shared" si="6"/>
        <v>86</v>
      </c>
      <c r="B403" s="926">
        <f>+NOMINA!C390</f>
        <v>26235670</v>
      </c>
      <c r="C403" s="926" t="str">
        <f>+NOMINA!D390</f>
        <v>Viloria Garcia Kieny Keyvit</v>
      </c>
      <c r="D403" s="926" t="str">
        <f>+NOMINA!O390</f>
        <v>Ayudante de Servicios Generales</v>
      </c>
      <c r="E403" s="929">
        <f>+NOMINA!H390</f>
        <v>45597</v>
      </c>
      <c r="F403" s="930">
        <f>+NOMINA!BR390</f>
        <v>29.54</v>
      </c>
      <c r="G403" s="930">
        <f>+NOMINA!BS390</f>
        <v>6.57</v>
      </c>
      <c r="H403" s="599"/>
      <c r="I403" s="600"/>
      <c r="J403" s="600"/>
      <c r="K403" s="600"/>
      <c r="L403" s="600"/>
    </row>
    <row r="404" spans="1:12" ht="15.75" customHeight="1" x14ac:dyDescent="0.25">
      <c r="A404" s="928">
        <f t="shared" si="6"/>
        <v>87</v>
      </c>
      <c r="B404" s="926">
        <f>+NOMINA!C391</f>
        <v>26482867</v>
      </c>
      <c r="C404" s="926" t="str">
        <f>+NOMINA!D391</f>
        <v>Valecillos Duran Brando Jose</v>
      </c>
      <c r="D404" s="926" t="str">
        <f>+NOMINA!O391</f>
        <v>Ayudante de Servicios Generales</v>
      </c>
      <c r="E404" s="929">
        <f>+NOMINA!H391</f>
        <v>45078</v>
      </c>
      <c r="F404" s="930">
        <f>+NOMINA!BR391</f>
        <v>29.6</v>
      </c>
      <c r="G404" s="930">
        <f>+NOMINA!BS391</f>
        <v>6.58</v>
      </c>
      <c r="H404" s="599"/>
      <c r="I404" s="600"/>
      <c r="J404" s="600"/>
      <c r="K404" s="600"/>
      <c r="L404" s="600"/>
    </row>
    <row r="405" spans="1:12" ht="15.75" customHeight="1" x14ac:dyDescent="0.25">
      <c r="A405" s="928">
        <f t="shared" si="6"/>
        <v>88</v>
      </c>
      <c r="B405" s="926">
        <f>+NOMINA!C392</f>
        <v>27415509</v>
      </c>
      <c r="C405" s="926" t="str">
        <f>+NOMINA!D392</f>
        <v>Barreto Rivero Luis Diego</v>
      </c>
      <c r="D405" s="926" t="str">
        <f>+NOMINA!O392</f>
        <v>Ayudante de Servicios Generales</v>
      </c>
      <c r="E405" s="929">
        <f>+NOMINA!H392</f>
        <v>43678</v>
      </c>
      <c r="F405" s="930">
        <f>+NOMINA!BR392</f>
        <v>30.26</v>
      </c>
      <c r="G405" s="930">
        <f>+NOMINA!BS392</f>
        <v>6.73</v>
      </c>
      <c r="H405" s="599"/>
      <c r="I405" s="600"/>
      <c r="J405" s="600"/>
      <c r="K405" s="600"/>
      <c r="L405" s="600"/>
    </row>
    <row r="406" spans="1:12" ht="15.75" customHeight="1" x14ac:dyDescent="0.25">
      <c r="A406" s="928">
        <f t="shared" si="6"/>
        <v>89</v>
      </c>
      <c r="B406" s="926">
        <f>+NOMINA!C393</f>
        <v>27470077</v>
      </c>
      <c r="C406" s="926" t="str">
        <f>+NOMINA!D393</f>
        <v>Gonzalez Castellanos Yusberly Yohandri</v>
      </c>
      <c r="D406" s="926" t="str">
        <f>+NOMINA!O393</f>
        <v>Aseadora</v>
      </c>
      <c r="E406" s="929">
        <f>+NOMINA!H393</f>
        <v>44743</v>
      </c>
      <c r="F406" s="930">
        <f>+NOMINA!BR393</f>
        <v>28.7</v>
      </c>
      <c r="G406" s="930">
        <f>+NOMINA!BS393</f>
        <v>6.38</v>
      </c>
      <c r="H406" s="599"/>
      <c r="I406" s="600"/>
      <c r="J406" s="600"/>
      <c r="K406" s="600"/>
      <c r="L406" s="600"/>
    </row>
    <row r="407" spans="1:12" ht="15.75" customHeight="1" x14ac:dyDescent="0.25">
      <c r="A407" s="928">
        <f t="shared" si="6"/>
        <v>90</v>
      </c>
      <c r="B407" s="926">
        <f>+NOMINA!C394</f>
        <v>29539270</v>
      </c>
      <c r="C407" s="926" t="str">
        <f>+NOMINA!D394</f>
        <v>Rojas Carrillo Laureano Augusto</v>
      </c>
      <c r="D407" s="926" t="str">
        <f>+NOMINA!O394</f>
        <v>Ayudante de Servicios Generales</v>
      </c>
      <c r="E407" s="929">
        <f>+NOMINA!H394</f>
        <v>44287</v>
      </c>
      <c r="F407" s="930">
        <f>+NOMINA!BR394</f>
        <v>29.92</v>
      </c>
      <c r="G407" s="930">
        <f>+NOMINA!BS394</f>
        <v>6.65</v>
      </c>
      <c r="H407" s="599"/>
      <c r="I407" s="600"/>
      <c r="J407" s="600"/>
      <c r="K407" s="600"/>
      <c r="L407" s="600"/>
    </row>
    <row r="408" spans="1:12" ht="15.75" customHeight="1" x14ac:dyDescent="0.25">
      <c r="A408" s="928">
        <f t="shared" si="6"/>
        <v>91</v>
      </c>
      <c r="B408" s="926">
        <f>+NOMINA!C395</f>
        <v>29994277</v>
      </c>
      <c r="C408" s="926" t="str">
        <f>+NOMINA!D395</f>
        <v>Quintero Rangel Jose Arsenio</v>
      </c>
      <c r="D408" s="926" t="str">
        <f>+NOMINA!O395</f>
        <v>Ayudante de Servicios Generales</v>
      </c>
      <c r="E408" s="929">
        <f>+NOMINA!H395</f>
        <v>44562</v>
      </c>
      <c r="F408" s="930">
        <f>+NOMINA!BR395</f>
        <v>29.76</v>
      </c>
      <c r="G408" s="930">
        <f>+NOMINA!BS395</f>
        <v>6.61</v>
      </c>
      <c r="H408" s="599"/>
      <c r="I408" s="600"/>
      <c r="J408" s="600"/>
      <c r="K408" s="600"/>
      <c r="L408" s="600"/>
    </row>
    <row r="409" spans="1:12" ht="15.75" customHeight="1" thickBot="1" x14ac:dyDescent="0.3">
      <c r="A409" s="928">
        <f t="shared" si="6"/>
        <v>92</v>
      </c>
      <c r="B409" s="926">
        <f>+NOMINA!C396</f>
        <v>32084560</v>
      </c>
      <c r="C409" s="926" t="str">
        <f>+NOMINA!D396</f>
        <v>Hernandez Gomez Carmen Elena</v>
      </c>
      <c r="D409" s="926" t="str">
        <f>+NOMINA!O396</f>
        <v xml:space="preserve">Cocinera </v>
      </c>
      <c r="E409" s="929">
        <f>+NOMINA!H396</f>
        <v>44348</v>
      </c>
      <c r="F409" s="930">
        <f>+NOMINA!BR396</f>
        <v>33.270000000000003</v>
      </c>
      <c r="G409" s="930">
        <f>+NOMINA!BS396</f>
        <v>7.39</v>
      </c>
      <c r="H409" s="599"/>
      <c r="I409" s="600"/>
      <c r="J409" s="600"/>
      <c r="K409" s="600"/>
      <c r="L409" s="600"/>
    </row>
    <row r="410" spans="1:12" ht="15.75" customHeight="1" thickBot="1" x14ac:dyDescent="0.3">
      <c r="A410" s="928"/>
      <c r="B410" s="926"/>
      <c r="C410" s="926"/>
      <c r="D410" s="942" t="s">
        <v>4493</v>
      </c>
      <c r="E410" s="607" t="s">
        <v>5822</v>
      </c>
      <c r="F410" s="927">
        <f>SUM(F318:F409)</f>
        <v>2990.0099999999989</v>
      </c>
      <c r="G410" s="927">
        <f>SUM(G318:G409)</f>
        <v>664.47000000000014</v>
      </c>
      <c r="H410" s="599">
        <f>NOMINA!BR388</f>
        <v>31.97</v>
      </c>
      <c r="I410" s="600">
        <f>+F410-H410</f>
        <v>2958.0399999999991</v>
      </c>
      <c r="J410" s="600">
        <f>+NOMINA!BS388</f>
        <v>7.1</v>
      </c>
      <c r="K410" s="600">
        <f>+G410-J410</f>
        <v>657.37000000000012</v>
      </c>
      <c r="L410" s="600"/>
    </row>
    <row r="411" spans="1:12" ht="8.25" customHeight="1" thickBot="1" x14ac:dyDescent="0.3">
      <c r="A411" s="933"/>
      <c r="B411" s="934"/>
      <c r="C411" s="935"/>
      <c r="D411" s="935"/>
      <c r="E411" s="936"/>
      <c r="F411" s="937"/>
      <c r="G411" s="937"/>
      <c r="H411" s="599"/>
    </row>
    <row r="412" spans="1:12" ht="19.5" thickBot="1" x14ac:dyDescent="0.35">
      <c r="A412" s="938"/>
      <c r="B412" s="939"/>
      <c r="C412" s="940"/>
      <c r="D412" s="943" t="s">
        <v>5770</v>
      </c>
      <c r="E412" s="607" t="s">
        <v>5823</v>
      </c>
      <c r="F412" s="941">
        <f>+F410+F310+F38</f>
        <v>16619.45</v>
      </c>
      <c r="G412" s="941">
        <f>+G410+G310+G38</f>
        <v>3693.2300000000018</v>
      </c>
      <c r="H412" s="599">
        <f>NOMINA!BR392</f>
        <v>30.26</v>
      </c>
      <c r="I412" s="600">
        <f>+F412-H412</f>
        <v>16589.190000000002</v>
      </c>
      <c r="J412" s="600">
        <f>+NOMINA!BS392</f>
        <v>6.73</v>
      </c>
      <c r="K412" s="600">
        <f>+G412-J412</f>
        <v>3686.5000000000018</v>
      </c>
    </row>
    <row r="413" spans="1:12" ht="13.5" customHeight="1" x14ac:dyDescent="0.25">
      <c r="H413" s="600"/>
      <c r="I413" s="600"/>
    </row>
    <row r="414" spans="1:12" ht="13.5" customHeight="1" x14ac:dyDescent="0.25">
      <c r="H414" s="600"/>
      <c r="I414" s="600"/>
    </row>
    <row r="415" spans="1:12" ht="13.5" customHeight="1" x14ac:dyDescent="0.25">
      <c r="H415" s="600"/>
      <c r="I415" s="600"/>
    </row>
    <row r="416" spans="1:12" x14ac:dyDescent="0.25">
      <c r="C416" s="595" t="s">
        <v>5815</v>
      </c>
      <c r="F416" s="595" t="s">
        <v>5816</v>
      </c>
    </row>
    <row r="419" spans="3:9" ht="17.25" x14ac:dyDescent="0.3">
      <c r="C419" s="605" t="s">
        <v>5817</v>
      </c>
      <c r="F419" s="606" t="s">
        <v>5818</v>
      </c>
    </row>
    <row r="420" spans="3:9" ht="17.25" x14ac:dyDescent="0.3">
      <c r="C420" s="605" t="s">
        <v>5819</v>
      </c>
      <c r="F420" s="605" t="s">
        <v>5820</v>
      </c>
      <c r="G420" s="609"/>
      <c r="H420" s="609"/>
    </row>
    <row r="421" spans="3:9" x14ac:dyDescent="0.25">
      <c r="G421" s="611"/>
      <c r="H421" s="610"/>
      <c r="I421" s="610"/>
    </row>
    <row r="422" spans="3:9" x14ac:dyDescent="0.25">
      <c r="H422" s="600"/>
      <c r="I422" s="600"/>
    </row>
  </sheetData>
  <mergeCells count="8">
    <mergeCell ref="A8:G8"/>
    <mergeCell ref="A9:G9"/>
    <mergeCell ref="A1:G1"/>
    <mergeCell ref="A2:G2"/>
    <mergeCell ref="A3:G3"/>
    <mergeCell ref="A4:G4"/>
    <mergeCell ref="A5:G5"/>
    <mergeCell ref="A6:G6"/>
  </mergeCells>
  <pageMargins left="0.19685039370078741" right="0.19685039370078741" top="0.98425196850393704" bottom="0.35433070866141736" header="0.31496062992125984" footer="0.31496062992125984"/>
  <pageSetup scale="75" orientation="portrait" r:id="rId1"/>
  <rowBreaks count="2" manualBreakCount="2">
    <brk id="49" max="6" man="1"/>
    <brk id="316" max="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18"/>
  <sheetViews>
    <sheetView view="pageBreakPreview" zoomScale="85" zoomScaleSheetLayoutView="85" workbookViewId="0">
      <selection activeCell="A8" sqref="A8:F8"/>
    </sheetView>
  </sheetViews>
  <sheetFormatPr baseColWidth="10" defaultRowHeight="15" x14ac:dyDescent="0.25"/>
  <cols>
    <col min="1" max="1" width="5.140625" style="595" customWidth="1"/>
    <col min="2" max="2" width="11.42578125" style="595"/>
    <col min="3" max="3" width="36.140625" style="595" customWidth="1"/>
    <col min="4" max="4" width="36.7109375" style="595" customWidth="1"/>
    <col min="5" max="5" width="10.85546875" style="595" customWidth="1"/>
    <col min="6" max="6" width="13" style="595" bestFit="1" customWidth="1"/>
    <col min="7" max="7" width="13.42578125" style="595" bestFit="1" customWidth="1"/>
    <col min="8" max="8" width="12.7109375" style="595" bestFit="1" customWidth="1"/>
    <col min="9" max="16384" width="11.42578125" style="595"/>
  </cols>
  <sheetData>
    <row r="1" spans="1:11" ht="15" customHeight="1" x14ac:dyDescent="0.25">
      <c r="A1" s="1768" t="s">
        <v>5802</v>
      </c>
      <c r="B1" s="1768"/>
      <c r="C1" s="1768"/>
      <c r="D1" s="1768"/>
      <c r="E1" s="1768"/>
      <c r="F1" s="1768"/>
      <c r="G1" s="919"/>
    </row>
    <row r="2" spans="1:11" ht="15" customHeight="1" x14ac:dyDescent="0.25">
      <c r="A2" s="1768" t="s">
        <v>5803</v>
      </c>
      <c r="B2" s="1768"/>
      <c r="C2" s="1768"/>
      <c r="D2" s="1768"/>
      <c r="E2" s="1768"/>
      <c r="F2" s="1768"/>
      <c r="G2" s="919"/>
    </row>
    <row r="3" spans="1:11" ht="15" customHeight="1" x14ac:dyDescent="0.25">
      <c r="A3" s="1768" t="s">
        <v>5804</v>
      </c>
      <c r="B3" s="1768"/>
      <c r="C3" s="1768"/>
      <c r="D3" s="1768"/>
      <c r="E3" s="1768"/>
      <c r="F3" s="1768"/>
      <c r="G3" s="919"/>
    </row>
    <row r="4" spans="1:11" ht="15" customHeight="1" x14ac:dyDescent="0.25">
      <c r="A4" s="1768" t="s">
        <v>5805</v>
      </c>
      <c r="B4" s="1768"/>
      <c r="C4" s="1768"/>
      <c r="D4" s="1768"/>
      <c r="E4" s="1768"/>
      <c r="F4" s="1768"/>
      <c r="G4" s="919"/>
    </row>
    <row r="5" spans="1:11" ht="15" customHeight="1" x14ac:dyDescent="0.25">
      <c r="A5" s="1768" t="s">
        <v>5824</v>
      </c>
      <c r="B5" s="1768"/>
      <c r="C5" s="1768"/>
      <c r="D5" s="1768"/>
      <c r="E5" s="1768"/>
      <c r="F5" s="1768"/>
      <c r="G5" s="919"/>
    </row>
    <row r="6" spans="1:11" x14ac:dyDescent="0.25">
      <c r="A6" s="1768" t="s">
        <v>5806</v>
      </c>
      <c r="B6" s="1768"/>
      <c r="C6" s="1768"/>
      <c r="D6" s="1768"/>
      <c r="E6" s="1768"/>
      <c r="F6" s="1768"/>
      <c r="G6" s="919"/>
    </row>
    <row r="8" spans="1:11" ht="20.25" customHeight="1" x14ac:dyDescent="0.3">
      <c r="A8" s="1766" t="s">
        <v>5828</v>
      </c>
      <c r="B8" s="1766"/>
      <c r="C8" s="1766"/>
      <c r="D8" s="1766"/>
      <c r="E8" s="1766"/>
      <c r="F8" s="1766"/>
      <c r="G8" s="918"/>
    </row>
    <row r="9" spans="1:11" ht="18.75" customHeight="1" x14ac:dyDescent="0.3">
      <c r="A9" s="1766" t="str">
        <f>+"Correspondiente al  mes de "&amp;NOMINA!F9&amp;" "&amp;NOMINA!H9</f>
        <v>Correspondiente al  mes de SEPTIEMBRE 2025</v>
      </c>
      <c r="B9" s="1766"/>
      <c r="C9" s="1766"/>
      <c r="D9" s="1766"/>
      <c r="E9" s="1766"/>
      <c r="F9" s="1766"/>
      <c r="G9" s="918"/>
    </row>
    <row r="11" spans="1:11" ht="25.5" x14ac:dyDescent="0.25">
      <c r="A11" s="924" t="s">
        <v>5555</v>
      </c>
      <c r="B11" s="924" t="s">
        <v>5808</v>
      </c>
      <c r="C11" s="924" t="s">
        <v>5809</v>
      </c>
      <c r="D11" s="924" t="s">
        <v>5810</v>
      </c>
      <c r="E11" s="925" t="s">
        <v>5811</v>
      </c>
      <c r="F11" s="924" t="s">
        <v>5812</v>
      </c>
      <c r="G11" s="596"/>
    </row>
    <row r="12" spans="1:11" ht="15.75" customHeight="1" x14ac:dyDescent="0.25">
      <c r="A12" s="597" t="s">
        <v>5813</v>
      </c>
      <c r="B12" s="926"/>
      <c r="C12" s="926"/>
      <c r="D12" s="926"/>
      <c r="E12" s="926"/>
      <c r="F12" s="927"/>
      <c r="G12" s="599"/>
      <c r="H12" s="600"/>
      <c r="I12" s="600"/>
      <c r="J12" s="600"/>
      <c r="K12" s="600"/>
    </row>
    <row r="13" spans="1:11" ht="15.75" customHeight="1" x14ac:dyDescent="0.25">
      <c r="A13" s="928">
        <v>1</v>
      </c>
      <c r="B13" s="926">
        <f>+NOMINA!C17</f>
        <v>11894534</v>
      </c>
      <c r="C13" s="926" t="str">
        <f>+NOMINA!D17</f>
        <v>Olmos Rodriguez Eberto de Jesus</v>
      </c>
      <c r="D13" s="926" t="str">
        <f>+NOMINA!O17</f>
        <v>JEFE DE DEPARTAMENTO</v>
      </c>
      <c r="E13" s="929">
        <f>+NOMINA!H17</f>
        <v>40909</v>
      </c>
      <c r="F13" s="930">
        <f>+NOMINA!BN17</f>
        <v>7.52</v>
      </c>
      <c r="G13" s="599"/>
      <c r="H13" s="600"/>
      <c r="I13" s="600"/>
      <c r="J13" s="600"/>
      <c r="K13" s="600"/>
    </row>
    <row r="14" spans="1:11" ht="15.75" customHeight="1" x14ac:dyDescent="0.25">
      <c r="A14" s="928">
        <f>+A13+1</f>
        <v>2</v>
      </c>
      <c r="B14" s="926">
        <f>+NOMINA!C18</f>
        <v>12458942</v>
      </c>
      <c r="C14" s="926" t="str">
        <f>+NOMINA!D18</f>
        <v>Mendoza Mendoza Mirian del Milagro</v>
      </c>
      <c r="D14" s="926" t="str">
        <f>+NOMINA!O18</f>
        <v>JEFE DE DEPARTAMENTO</v>
      </c>
      <c r="E14" s="929">
        <f>+NOMINA!H18</f>
        <v>44424</v>
      </c>
      <c r="F14" s="930">
        <f>+NOMINA!BN18</f>
        <v>7.82</v>
      </c>
      <c r="G14" s="599"/>
      <c r="H14" s="600"/>
      <c r="I14" s="600"/>
      <c r="J14" s="600"/>
      <c r="K14" s="600"/>
    </row>
    <row r="15" spans="1:11" ht="15.75" customHeight="1" x14ac:dyDescent="0.25">
      <c r="A15" s="928">
        <f t="shared" ref="A15:A37" si="0">+A14+1</f>
        <v>3</v>
      </c>
      <c r="B15" s="926">
        <f>+NOMINA!C19</f>
        <v>8719807</v>
      </c>
      <c r="C15" s="926" t="str">
        <f>+NOMINA!D19</f>
        <v>Perez Saavedra Isabel Teresa</v>
      </c>
      <c r="D15" s="926" t="str">
        <f>+NOMINA!O19</f>
        <v>JEFE DE DEPARTAMENTO</v>
      </c>
      <c r="E15" s="929">
        <f>+NOMINA!H19</f>
        <v>39874</v>
      </c>
      <c r="F15" s="930">
        <f>+NOMINA!BN19</f>
        <v>7.34</v>
      </c>
      <c r="G15" s="599"/>
      <c r="H15" s="600"/>
      <c r="I15" s="600"/>
      <c r="J15" s="600"/>
      <c r="K15" s="600"/>
    </row>
    <row r="16" spans="1:11" ht="15.75" customHeight="1" x14ac:dyDescent="0.25">
      <c r="A16" s="928">
        <f t="shared" si="0"/>
        <v>4</v>
      </c>
      <c r="B16" s="926">
        <f>+NOMINA!C20</f>
        <v>10404528</v>
      </c>
      <c r="C16" s="926" t="str">
        <f>+NOMINA!D20</f>
        <v>Perez Castellano Javier Horacio</v>
      </c>
      <c r="D16" s="926" t="str">
        <f>+NOMINA!O20</f>
        <v>JEFE DE DEPARTAMENTO</v>
      </c>
      <c r="E16" s="929">
        <f>+NOMINA!H20</f>
        <v>37622</v>
      </c>
      <c r="F16" s="930">
        <f>+NOMINA!BN20</f>
        <v>7.66</v>
      </c>
      <c r="G16" s="599"/>
      <c r="H16" s="600"/>
      <c r="I16" s="600"/>
      <c r="J16" s="600"/>
      <c r="K16" s="600"/>
    </row>
    <row r="17" spans="1:11" ht="15.75" customHeight="1" x14ac:dyDescent="0.25">
      <c r="A17" s="928">
        <f t="shared" si="0"/>
        <v>5</v>
      </c>
      <c r="B17" s="926">
        <f>+NOMINA!C21</f>
        <v>9311822</v>
      </c>
      <c r="C17" s="926" t="str">
        <f>+NOMINA!D21</f>
        <v>Rojo Sanchez Alexis Omar</v>
      </c>
      <c r="D17" s="926" t="str">
        <f>+NOMINA!O21</f>
        <v>JEFE DE DEPARTAMENTO</v>
      </c>
      <c r="E17" s="929">
        <f>+NOMINA!H21</f>
        <v>37662</v>
      </c>
      <c r="F17" s="930">
        <f>+NOMINA!BN21</f>
        <v>6</v>
      </c>
      <c r="G17" s="599"/>
      <c r="H17" s="600"/>
      <c r="I17" s="600"/>
      <c r="J17" s="600"/>
      <c r="K17" s="600"/>
    </row>
    <row r="18" spans="1:11" ht="15.75" customHeight="1" x14ac:dyDescent="0.25">
      <c r="A18" s="928">
        <f t="shared" si="0"/>
        <v>6</v>
      </c>
      <c r="B18" s="926">
        <f>+NOMINA!C22</f>
        <v>21592108</v>
      </c>
      <c r="C18" s="926" t="str">
        <f>+NOMINA!D22</f>
        <v>Coy Andara Darlin Gabriela</v>
      </c>
      <c r="D18" s="926" t="str">
        <f>+NOMINA!O22</f>
        <v>JEFE DE DEPARTAMENTO</v>
      </c>
      <c r="E18" s="929">
        <f>+NOMINA!H22</f>
        <v>43024</v>
      </c>
      <c r="F18" s="930">
        <f>+NOMINA!BN22</f>
        <v>6.39</v>
      </c>
      <c r="G18" s="599"/>
      <c r="H18" s="600"/>
      <c r="I18" s="600"/>
      <c r="J18" s="600"/>
      <c r="K18" s="600"/>
    </row>
    <row r="19" spans="1:11" ht="15.75" customHeight="1" x14ac:dyDescent="0.25">
      <c r="A19" s="928">
        <f t="shared" si="0"/>
        <v>7</v>
      </c>
      <c r="B19" s="926">
        <f>+NOMINA!C23</f>
        <v>13206767</v>
      </c>
      <c r="C19" s="926" t="str">
        <f>+NOMINA!D23</f>
        <v>Bastidas Guerra Soralis del Valle</v>
      </c>
      <c r="D19" s="926" t="str">
        <f>+NOMINA!O23</f>
        <v>COORDINADOR DE PROGRAMA (SAPNNAET)</v>
      </c>
      <c r="E19" s="929">
        <f>+NOMINA!H23</f>
        <v>44713</v>
      </c>
      <c r="F19" s="930">
        <f>+NOMINA!BN23</f>
        <v>6.11</v>
      </c>
      <c r="G19" s="599"/>
      <c r="H19" s="600"/>
      <c r="I19" s="600"/>
      <c r="J19" s="600"/>
      <c r="K19" s="600"/>
    </row>
    <row r="20" spans="1:11" ht="15.75" customHeight="1" x14ac:dyDescent="0.25">
      <c r="A20" s="928">
        <f t="shared" si="0"/>
        <v>8</v>
      </c>
      <c r="B20" s="926">
        <f>+NOMINA!C24</f>
        <v>13462933</v>
      </c>
      <c r="C20" s="926" t="str">
        <f>+NOMINA!D24</f>
        <v>Frias Aldana Maria Yaritza</v>
      </c>
      <c r="D20" s="926" t="str">
        <f>+NOMINA!O24</f>
        <v>COORDINADOR DE PROGRAMA (SAPNNAET)</v>
      </c>
      <c r="E20" s="929">
        <f>+NOMINA!H24</f>
        <v>39454</v>
      </c>
      <c r="F20" s="930">
        <f>+NOMINA!BN24</f>
        <v>7.14</v>
      </c>
      <c r="G20" s="599"/>
      <c r="H20" s="600"/>
      <c r="I20" s="600"/>
      <c r="J20" s="600"/>
      <c r="K20" s="600"/>
    </row>
    <row r="21" spans="1:11" ht="15.75" customHeight="1" x14ac:dyDescent="0.25">
      <c r="A21" s="928">
        <f t="shared" si="0"/>
        <v>9</v>
      </c>
      <c r="B21" s="926">
        <f>+NOMINA!C25</f>
        <v>12542413</v>
      </c>
      <c r="C21" s="926" t="str">
        <f>+NOMINA!D25</f>
        <v>Aponte Matheus Richard Alexander</v>
      </c>
      <c r="D21" s="926" t="str">
        <f>+NOMINA!O25</f>
        <v>COORDINADOR DE PROGRAMA (SAPNNAET)</v>
      </c>
      <c r="E21" s="929">
        <f>+NOMINA!H25</f>
        <v>36434</v>
      </c>
      <c r="F21" s="930">
        <f>+NOMINA!BN25</f>
        <v>5.82</v>
      </c>
      <c r="G21" s="599"/>
      <c r="H21" s="600"/>
      <c r="I21" s="600"/>
      <c r="J21" s="600"/>
      <c r="K21" s="600"/>
    </row>
    <row r="22" spans="1:11" ht="15.75" customHeight="1" x14ac:dyDescent="0.25">
      <c r="A22" s="928">
        <f t="shared" si="0"/>
        <v>10</v>
      </c>
      <c r="B22" s="926">
        <f>+NOMINA!C26</f>
        <v>18457406</v>
      </c>
      <c r="C22" s="926" t="str">
        <f>+NOMINA!D26</f>
        <v>Rivero Zambrano Herluis Jose</v>
      </c>
      <c r="D22" s="926" t="str">
        <f>+NOMINA!O26</f>
        <v>COORDINADOR DE PROGRAMA (SAPNNAET)</v>
      </c>
      <c r="E22" s="929">
        <f>+NOMINA!H26</f>
        <v>41548</v>
      </c>
      <c r="F22" s="930">
        <f>+NOMINA!BN26</f>
        <v>6.83</v>
      </c>
      <c r="G22" s="599"/>
      <c r="H22" s="600"/>
      <c r="I22" s="600"/>
      <c r="J22" s="600"/>
      <c r="K22" s="600"/>
    </row>
    <row r="23" spans="1:11" ht="15.75" customHeight="1" x14ac:dyDescent="0.25">
      <c r="A23" s="928">
        <f t="shared" si="0"/>
        <v>11</v>
      </c>
      <c r="B23" s="926">
        <f>+NOMINA!C27</f>
        <v>11895772</v>
      </c>
      <c r="C23" s="926" t="str">
        <f>+NOMINA!D27</f>
        <v>Rangel Rivas Ildemaro</v>
      </c>
      <c r="D23" s="926" t="str">
        <f>+NOMINA!O27</f>
        <v>COORDINADOR DE PROGRAMA (SAPNNAET)</v>
      </c>
      <c r="E23" s="929">
        <f>+NOMINA!H27</f>
        <v>44743</v>
      </c>
      <c r="F23" s="930">
        <f>+NOMINA!BN27</f>
        <v>6.01</v>
      </c>
      <c r="G23" s="599"/>
      <c r="H23" s="600"/>
      <c r="I23" s="600"/>
      <c r="J23" s="600"/>
      <c r="K23" s="600"/>
    </row>
    <row r="24" spans="1:11" ht="15.75" customHeight="1" x14ac:dyDescent="0.25">
      <c r="A24" s="928">
        <f t="shared" si="0"/>
        <v>12</v>
      </c>
      <c r="B24" s="926">
        <f>+NOMINA!C28</f>
        <v>9495661</v>
      </c>
      <c r="C24" s="926" t="str">
        <f>+NOMINA!D28</f>
        <v>Aguial Carrillo Gregoria Coromoto</v>
      </c>
      <c r="D24" s="926" t="str">
        <f>+NOMINA!O28</f>
        <v>COORDINADOR DE PROGRAMA (SAPNNAET)</v>
      </c>
      <c r="E24" s="929">
        <f>+NOMINA!H28</f>
        <v>39692</v>
      </c>
      <c r="F24" s="930">
        <f>+NOMINA!BN28</f>
        <v>5.52</v>
      </c>
      <c r="G24" s="599"/>
      <c r="H24" s="600"/>
      <c r="I24" s="600"/>
      <c r="J24" s="600"/>
      <c r="K24" s="600"/>
    </row>
    <row r="25" spans="1:11" ht="15.75" customHeight="1" x14ac:dyDescent="0.25">
      <c r="A25" s="928">
        <f t="shared" si="0"/>
        <v>13</v>
      </c>
      <c r="B25" s="926">
        <f>+NOMINA!C29</f>
        <v>5348397</v>
      </c>
      <c r="C25" s="926" t="str">
        <f>+NOMINA!D29</f>
        <v>Araujo Manzanilla Carlos Antonio</v>
      </c>
      <c r="D25" s="926" t="str">
        <f>+NOMINA!O29</f>
        <v>COORDINADOR DE PROGRAMA (SAPNNAET)</v>
      </c>
      <c r="E25" s="929">
        <f>+NOMINA!H29</f>
        <v>43359</v>
      </c>
      <c r="F25" s="930">
        <f>+NOMINA!BN29</f>
        <v>6.97</v>
      </c>
      <c r="G25" s="599"/>
      <c r="H25" s="600"/>
      <c r="I25" s="600"/>
      <c r="J25" s="600"/>
      <c r="K25" s="600"/>
    </row>
    <row r="26" spans="1:11" ht="15.75" customHeight="1" x14ac:dyDescent="0.25">
      <c r="A26" s="928">
        <f t="shared" si="0"/>
        <v>14</v>
      </c>
      <c r="B26" s="926">
        <f>+NOMINA!C30</f>
        <v>9314132</v>
      </c>
      <c r="C26" s="926" t="str">
        <f>+NOMINA!D30</f>
        <v>Viloria Montilla Gerardo</v>
      </c>
      <c r="D26" s="926" t="str">
        <f>+NOMINA!O30</f>
        <v>COORDINADOR DE PROGRAMA (SAPNNAET)</v>
      </c>
      <c r="E26" s="929">
        <f>+NOMINA!H30</f>
        <v>44348</v>
      </c>
      <c r="F26" s="930">
        <f>+NOMINA!BN30</f>
        <v>6.64</v>
      </c>
      <c r="G26" s="599"/>
      <c r="H26" s="600"/>
      <c r="I26" s="600"/>
      <c r="J26" s="600"/>
      <c r="K26" s="600"/>
    </row>
    <row r="27" spans="1:11" ht="15.75" customHeight="1" x14ac:dyDescent="0.25">
      <c r="A27" s="928">
        <f t="shared" si="0"/>
        <v>15</v>
      </c>
      <c r="B27" s="926">
        <f>+NOMINA!C31</f>
        <v>11320533</v>
      </c>
      <c r="C27" s="926" t="str">
        <f>+NOMINA!D31</f>
        <v>Suarez Chiquin Yaritza Josefina</v>
      </c>
      <c r="D27" s="926" t="str">
        <f>+NOMINA!O31</f>
        <v>COORDINADOR DE PROGRAMA (SAPNNAET)</v>
      </c>
      <c r="E27" s="929">
        <f>+NOMINA!H31</f>
        <v>37629</v>
      </c>
      <c r="F27" s="930">
        <f>+NOMINA!BN31</f>
        <v>7.42</v>
      </c>
      <c r="G27" s="599"/>
      <c r="H27" s="600"/>
      <c r="I27" s="600"/>
      <c r="J27" s="600"/>
      <c r="K27" s="600"/>
    </row>
    <row r="28" spans="1:11" ht="15.75" customHeight="1" x14ac:dyDescent="0.25">
      <c r="A28" s="928">
        <f t="shared" si="0"/>
        <v>16</v>
      </c>
      <c r="B28" s="926">
        <f>+NOMINA!C32</f>
        <v>10912595</v>
      </c>
      <c r="C28" s="926" t="str">
        <f>+NOMINA!D32</f>
        <v>Delfin Bustos Jose Hercilio</v>
      </c>
      <c r="D28" s="926" t="str">
        <f>+NOMINA!O32</f>
        <v>COORDINADOR DE PROGRAMA (SAPNNAET)</v>
      </c>
      <c r="E28" s="929">
        <f>+NOMINA!H32</f>
        <v>36039</v>
      </c>
      <c r="F28" s="930">
        <f>+NOMINA!BN32</f>
        <v>5.82</v>
      </c>
      <c r="G28" s="599"/>
      <c r="H28" s="600"/>
      <c r="I28" s="600"/>
      <c r="J28" s="600"/>
      <c r="K28" s="600"/>
    </row>
    <row r="29" spans="1:11" ht="15.75" customHeight="1" x14ac:dyDescent="0.25">
      <c r="A29" s="928">
        <f t="shared" si="0"/>
        <v>17</v>
      </c>
      <c r="B29" s="926">
        <f>+NOMINA!C33</f>
        <v>4306476</v>
      </c>
      <c r="C29" s="926" t="str">
        <f>+NOMINA!D33</f>
        <v>Triviño de Bastidas Dioni de la Coromoto</v>
      </c>
      <c r="D29" s="926" t="str">
        <f>+NOMINA!O33</f>
        <v>COORDINADOR DE PROGRAMA (SAPNNAET)</v>
      </c>
      <c r="E29" s="929">
        <f>+NOMINA!H33</f>
        <v>44409</v>
      </c>
      <c r="F29" s="930">
        <f>+NOMINA!BN33</f>
        <v>7.86</v>
      </c>
      <c r="G29" s="599"/>
      <c r="H29" s="600"/>
      <c r="I29" s="600"/>
      <c r="J29" s="600"/>
      <c r="K29" s="600"/>
    </row>
    <row r="30" spans="1:11" ht="15.75" customHeight="1" x14ac:dyDescent="0.25">
      <c r="A30" s="928">
        <f t="shared" si="0"/>
        <v>18</v>
      </c>
      <c r="B30" s="926">
        <f>+NOMINA!C34</f>
        <v>13568733</v>
      </c>
      <c r="C30" s="926" t="str">
        <f>+NOMINA!D34</f>
        <v>Campos de Velazquez Nilda Carolina</v>
      </c>
      <c r="D30" s="926" t="str">
        <f>+NOMINA!O34</f>
        <v>COORDINADOR DE PROGRAMA (SAPNNAET)</v>
      </c>
      <c r="E30" s="929">
        <f>+NOMINA!H34</f>
        <v>44805</v>
      </c>
      <c r="F30" s="930">
        <f>+NOMINA!BN34</f>
        <v>6.26</v>
      </c>
      <c r="G30" s="599"/>
      <c r="H30" s="600"/>
      <c r="I30" s="600"/>
      <c r="J30" s="600"/>
      <c r="K30" s="600"/>
    </row>
    <row r="31" spans="1:11" ht="15.75" customHeight="1" x14ac:dyDescent="0.25">
      <c r="A31" s="928">
        <f t="shared" si="0"/>
        <v>19</v>
      </c>
      <c r="B31" s="926">
        <f>+NOMINA!C35</f>
        <v>20790947</v>
      </c>
      <c r="C31" s="926" t="str">
        <f>+NOMINA!D35</f>
        <v>Urbina Cuellar Tannessy Lenery</v>
      </c>
      <c r="D31" s="926" t="str">
        <f>+NOMINA!O35</f>
        <v>COORDINADOR DE PROGRAMA (SAPNNAET)</v>
      </c>
      <c r="E31" s="929">
        <f>+NOMINA!H35</f>
        <v>43967</v>
      </c>
      <c r="F31" s="930">
        <f>+NOMINA!BN35</f>
        <v>6.35</v>
      </c>
      <c r="G31" s="599"/>
      <c r="H31" s="600"/>
      <c r="I31" s="600"/>
      <c r="J31" s="600"/>
      <c r="K31" s="600"/>
    </row>
    <row r="32" spans="1:11" ht="15.75" customHeight="1" x14ac:dyDescent="0.25">
      <c r="A32" s="928">
        <f t="shared" si="0"/>
        <v>20</v>
      </c>
      <c r="B32" s="926">
        <f>+NOMINA!C36</f>
        <v>15752183</v>
      </c>
      <c r="C32" s="926" t="str">
        <f>+NOMINA!D36</f>
        <v>Delduca Adriana del Valle</v>
      </c>
      <c r="D32" s="926" t="str">
        <f>+NOMINA!O36</f>
        <v>COORDINADOR DE PROGRAMA (SAPNNAET)</v>
      </c>
      <c r="E32" s="929">
        <f>+NOMINA!H36</f>
        <v>38930</v>
      </c>
      <c r="F32" s="930">
        <f>+NOMINA!BN36</f>
        <v>5.88</v>
      </c>
      <c r="G32" s="599"/>
      <c r="H32" s="600"/>
      <c r="I32" s="600"/>
      <c r="J32" s="600"/>
      <c r="K32" s="600"/>
    </row>
    <row r="33" spans="1:11" ht="15.75" customHeight="1" x14ac:dyDescent="0.25">
      <c r="A33" s="928">
        <f t="shared" si="0"/>
        <v>21</v>
      </c>
      <c r="B33" s="926">
        <f>+NOMINA!C37</f>
        <v>16739081</v>
      </c>
      <c r="C33" s="926" t="str">
        <f>+NOMINA!D37</f>
        <v>Albarran Araujo Yely Coromoto</v>
      </c>
      <c r="D33" s="926" t="str">
        <f>+NOMINA!O37</f>
        <v>COORDINADOR DE PROGRAMA (SAPNNAET)</v>
      </c>
      <c r="E33" s="929">
        <f>+NOMINA!H37</f>
        <v>42948</v>
      </c>
      <c r="F33" s="930">
        <f>+NOMINA!BN37</f>
        <v>6.4</v>
      </c>
      <c r="G33" s="599"/>
      <c r="H33" s="600"/>
      <c r="I33" s="600"/>
      <c r="J33" s="600"/>
      <c r="K33" s="600"/>
    </row>
    <row r="34" spans="1:11" ht="15.75" customHeight="1" x14ac:dyDescent="0.25">
      <c r="A34" s="928">
        <f t="shared" si="0"/>
        <v>22</v>
      </c>
      <c r="B34" s="926">
        <f>+NOMINA!C38</f>
        <v>18349553</v>
      </c>
      <c r="C34" s="926" t="str">
        <f>+NOMINA!D38</f>
        <v>Quiroga Valdes Nayla Carolina</v>
      </c>
      <c r="D34" s="926" t="str">
        <f>+NOMINA!O38</f>
        <v>COORDINADOR DE PROGRAMA (SAPNNAET)</v>
      </c>
      <c r="E34" s="929">
        <f>+NOMINA!H38</f>
        <v>45566</v>
      </c>
      <c r="F34" s="930">
        <f>+NOMINA!BN38</f>
        <v>5.98</v>
      </c>
      <c r="G34" s="599"/>
      <c r="H34" s="600"/>
      <c r="I34" s="600"/>
      <c r="J34" s="600"/>
      <c r="K34" s="600"/>
    </row>
    <row r="35" spans="1:11" ht="15.75" customHeight="1" x14ac:dyDescent="0.25">
      <c r="A35" s="928">
        <f t="shared" si="0"/>
        <v>23</v>
      </c>
      <c r="B35" s="926">
        <f>+NOMINA!C39</f>
        <v>16066524</v>
      </c>
      <c r="C35" s="926" t="str">
        <f>+NOMINA!D39</f>
        <v>Carmona Peñaloza Yaneth Coromoto</v>
      </c>
      <c r="D35" s="926" t="str">
        <f>+NOMINA!O39</f>
        <v>COORDINADOR DE PROGRAMA (SAPNNAET)</v>
      </c>
      <c r="E35" s="929">
        <f>+NOMINA!H39</f>
        <v>41456</v>
      </c>
      <c r="F35" s="930">
        <f>+NOMINA!BN39</f>
        <v>6.61</v>
      </c>
      <c r="G35" s="599"/>
      <c r="H35" s="600"/>
      <c r="I35" s="600"/>
      <c r="J35" s="600"/>
      <c r="K35" s="600"/>
    </row>
    <row r="36" spans="1:11" ht="15.75" customHeight="1" x14ac:dyDescent="0.25">
      <c r="A36" s="928">
        <f t="shared" si="0"/>
        <v>24</v>
      </c>
      <c r="B36" s="926">
        <f>+NOMINA!C40</f>
        <v>27889180</v>
      </c>
      <c r="C36" s="926" t="str">
        <f>+NOMINA!D40</f>
        <v>Moreno Andreina del Valle</v>
      </c>
      <c r="D36" s="926" t="str">
        <f>+NOMINA!O40</f>
        <v>COORDINADOR DE PROGRAMA (SAPNNAET)</v>
      </c>
      <c r="E36" s="929">
        <f>+NOMINA!H40</f>
        <v>44393</v>
      </c>
      <c r="F36" s="930">
        <f>+NOMINA!BN40</f>
        <v>5.04</v>
      </c>
      <c r="G36" s="599"/>
      <c r="H36" s="600"/>
      <c r="I36" s="600"/>
      <c r="J36" s="600"/>
      <c r="K36" s="600"/>
    </row>
    <row r="37" spans="1:11" ht="15.75" customHeight="1" thickBot="1" x14ac:dyDescent="0.3">
      <c r="A37" s="928">
        <f t="shared" si="0"/>
        <v>25</v>
      </c>
      <c r="B37" s="926">
        <f>+NOMINA!C41</f>
        <v>12781930</v>
      </c>
      <c r="C37" s="926" t="str">
        <f>+NOMINA!D41</f>
        <v>Berrios Gomez Neida Marina</v>
      </c>
      <c r="D37" s="926" t="str">
        <f>+NOMINA!O41</f>
        <v>COORDINADOR DE PROGRAMA (SAPNNAET)</v>
      </c>
      <c r="E37" s="929">
        <f>+NOMINA!H41</f>
        <v>44652</v>
      </c>
      <c r="F37" s="930">
        <f>+NOMINA!BN41</f>
        <v>6.11</v>
      </c>
      <c r="G37" s="599"/>
      <c r="H37" s="600"/>
      <c r="I37" s="600"/>
      <c r="J37" s="600"/>
      <c r="K37" s="600"/>
    </row>
    <row r="38" spans="1:11" ht="15.75" customHeight="1" thickBot="1" x14ac:dyDescent="0.3">
      <c r="A38" s="928"/>
      <c r="B38" s="926"/>
      <c r="C38" s="926"/>
      <c r="D38" s="926"/>
      <c r="E38" s="598" t="s">
        <v>5768</v>
      </c>
      <c r="F38" s="927">
        <f>SUM(F13:F37)</f>
        <v>163.50000000000003</v>
      </c>
      <c r="G38" s="599">
        <f>+NOMINA!BN42</f>
        <v>163.50000000000003</v>
      </c>
      <c r="H38" s="600">
        <f>+F38-G38</f>
        <v>0</v>
      </c>
      <c r="I38" s="600"/>
      <c r="J38" s="600"/>
      <c r="K38" s="600"/>
    </row>
    <row r="39" spans="1:11" ht="15.75" customHeight="1" x14ac:dyDescent="0.25">
      <c r="A39" s="601"/>
      <c r="B39" s="931"/>
      <c r="C39" s="931"/>
      <c r="D39" s="931"/>
      <c r="E39" s="602"/>
      <c r="F39" s="932"/>
      <c r="G39" s="932"/>
      <c r="H39" s="600"/>
      <c r="I39" s="600"/>
      <c r="J39" s="600"/>
      <c r="K39" s="600"/>
    </row>
    <row r="40" spans="1:11" ht="15.75" customHeight="1" x14ac:dyDescent="0.25">
      <c r="A40" s="601"/>
      <c r="B40" s="603"/>
      <c r="C40" s="603"/>
      <c r="D40" s="603"/>
      <c r="E40" s="602"/>
      <c r="F40" s="604"/>
      <c r="G40" s="604"/>
      <c r="H40" s="600"/>
      <c r="I40" s="600"/>
      <c r="J40" s="600"/>
      <c r="K40" s="600"/>
    </row>
    <row r="41" spans="1:11" ht="15.75" customHeight="1" x14ac:dyDescent="0.25">
      <c r="A41" s="601"/>
      <c r="B41" s="603"/>
      <c r="C41" s="595" t="s">
        <v>5815</v>
      </c>
      <c r="E41" s="595" t="s">
        <v>5816</v>
      </c>
      <c r="H41" s="600"/>
      <c r="I41" s="600"/>
      <c r="J41" s="600"/>
      <c r="K41" s="600"/>
    </row>
    <row r="42" spans="1:11" ht="15.75" customHeight="1" x14ac:dyDescent="0.25">
      <c r="A42" s="601"/>
      <c r="B42" s="603"/>
      <c r="H42" s="600"/>
      <c r="I42" s="600"/>
      <c r="J42" s="600"/>
      <c r="K42" s="600"/>
    </row>
    <row r="43" spans="1:11" ht="15.75" customHeight="1" x14ac:dyDescent="0.25">
      <c r="A43" s="601"/>
      <c r="B43" s="603"/>
      <c r="H43" s="600"/>
      <c r="I43" s="600"/>
      <c r="J43" s="600"/>
      <c r="K43" s="600"/>
    </row>
    <row r="44" spans="1:11" ht="15.75" customHeight="1" x14ac:dyDescent="0.3">
      <c r="A44" s="601"/>
      <c r="B44" s="603"/>
      <c r="C44" s="605" t="s">
        <v>5817</v>
      </c>
      <c r="E44" s="606" t="s">
        <v>5818</v>
      </c>
      <c r="H44" s="600"/>
      <c r="I44" s="600"/>
      <c r="J44" s="600"/>
      <c r="K44" s="600"/>
    </row>
    <row r="45" spans="1:11" ht="15.75" customHeight="1" x14ac:dyDescent="0.3">
      <c r="A45" s="601"/>
      <c r="B45" s="603"/>
      <c r="C45" s="605" t="s">
        <v>5819</v>
      </c>
      <c r="E45" s="605" t="s">
        <v>5820</v>
      </c>
      <c r="G45" s="609"/>
      <c r="H45" s="600"/>
      <c r="I45" s="600"/>
      <c r="J45" s="600"/>
      <c r="K45" s="600"/>
    </row>
    <row r="46" spans="1:11" ht="15.75" customHeight="1" x14ac:dyDescent="0.25">
      <c r="A46" s="601"/>
      <c r="B46" s="603"/>
      <c r="C46" s="603"/>
      <c r="D46" s="603"/>
      <c r="E46" s="602"/>
      <c r="F46" s="604"/>
      <c r="G46" s="604"/>
      <c r="H46" s="600"/>
      <c r="I46" s="600"/>
      <c r="J46" s="600"/>
      <c r="K46" s="600"/>
    </row>
    <row r="47" spans="1:11" ht="15.75" customHeight="1" x14ac:dyDescent="0.25">
      <c r="A47" s="597" t="s">
        <v>4561</v>
      </c>
      <c r="B47" s="926"/>
      <c r="C47" s="926"/>
      <c r="D47" s="926"/>
      <c r="E47" s="929"/>
      <c r="F47" s="930"/>
      <c r="G47" s="599"/>
      <c r="H47" s="600"/>
      <c r="I47" s="600"/>
      <c r="J47" s="600"/>
      <c r="K47" s="600"/>
    </row>
    <row r="48" spans="1:11" ht="15.75" customHeight="1" x14ac:dyDescent="0.25">
      <c r="A48" s="928">
        <v>1</v>
      </c>
      <c r="B48" s="926">
        <f>+NOMINA!C44</f>
        <v>4324055</v>
      </c>
      <c r="C48" s="926" t="str">
        <f>+NOMINA!D44</f>
        <v>Mejia Linares Alexis de Jesus</v>
      </c>
      <c r="D48" s="926" t="str">
        <f>+NOMINA!O44</f>
        <v>Abogado II</v>
      </c>
      <c r="E48" s="929">
        <f>+NOMINA!H44</f>
        <v>44470</v>
      </c>
      <c r="F48" s="930">
        <f>+NOMINA!BN44</f>
        <v>5.19</v>
      </c>
      <c r="G48" s="599"/>
      <c r="H48" s="600"/>
      <c r="I48" s="600"/>
      <c r="J48" s="600"/>
      <c r="K48" s="600"/>
    </row>
    <row r="49" spans="1:11" ht="15.75" customHeight="1" x14ac:dyDescent="0.25">
      <c r="A49" s="928">
        <f>+A48+1</f>
        <v>2</v>
      </c>
      <c r="B49" s="926">
        <f>+NOMINA!C45</f>
        <v>4657974</v>
      </c>
      <c r="C49" s="926" t="str">
        <f>+NOMINA!D45</f>
        <v>Balestrini Nuñez Ulises Ramon</v>
      </c>
      <c r="D49" s="926" t="str">
        <f>+NOMINA!O45</f>
        <v>Promotor Cultural I</v>
      </c>
      <c r="E49" s="929">
        <f>+NOMINA!H45</f>
        <v>39463</v>
      </c>
      <c r="F49" s="930">
        <f>+NOMINA!BN45</f>
        <v>3.43</v>
      </c>
      <c r="G49" s="599"/>
      <c r="H49" s="600"/>
      <c r="I49" s="600"/>
      <c r="J49" s="600"/>
      <c r="K49" s="600"/>
    </row>
    <row r="50" spans="1:11" ht="15.75" customHeight="1" x14ac:dyDescent="0.25">
      <c r="A50" s="928">
        <f t="shared" ref="A50:A113" si="1">+A49+1</f>
        <v>3</v>
      </c>
      <c r="B50" s="926">
        <f>+NOMINA!C46</f>
        <v>5762861</v>
      </c>
      <c r="C50" s="926" t="str">
        <f>+NOMINA!D46</f>
        <v>Aldana Duran Delia Mercedes</v>
      </c>
      <c r="D50" s="926" t="str">
        <f>+NOMINA!O46</f>
        <v>Jefe de Centro</v>
      </c>
      <c r="E50" s="929">
        <f>+NOMINA!H46</f>
        <v>37851</v>
      </c>
      <c r="F50" s="930">
        <f>+NOMINA!BN46</f>
        <v>6.29</v>
      </c>
      <c r="G50" s="599"/>
      <c r="H50" s="600"/>
      <c r="I50" s="600"/>
      <c r="J50" s="600"/>
      <c r="K50" s="600"/>
    </row>
    <row r="51" spans="1:11" ht="15.75" customHeight="1" x14ac:dyDescent="0.25">
      <c r="A51" s="928">
        <f t="shared" si="1"/>
        <v>4</v>
      </c>
      <c r="B51" s="926">
        <f>+NOMINA!C47</f>
        <v>5782060</v>
      </c>
      <c r="C51" s="926" t="str">
        <f>+NOMINA!D47</f>
        <v>Linares Araujo Adolfo Jose</v>
      </c>
      <c r="D51" s="926" t="str">
        <f>+NOMINA!O47</f>
        <v>Asistente Administrativo III</v>
      </c>
      <c r="E51" s="929">
        <f>+NOMINA!H47</f>
        <v>39539</v>
      </c>
      <c r="F51" s="930">
        <f>+NOMINA!BN47</f>
        <v>4.8499999999999996</v>
      </c>
      <c r="G51" s="599"/>
      <c r="H51" s="600"/>
      <c r="I51" s="600"/>
      <c r="J51" s="600"/>
      <c r="K51" s="600"/>
    </row>
    <row r="52" spans="1:11" ht="15.75" customHeight="1" x14ac:dyDescent="0.25">
      <c r="A52" s="928">
        <f t="shared" si="1"/>
        <v>5</v>
      </c>
      <c r="B52" s="926">
        <f>+NOMINA!C48</f>
        <v>5790501</v>
      </c>
      <c r="C52" s="926" t="str">
        <f>+NOMINA!D48</f>
        <v>Castellanos de Araujo Maria Eustoquia</v>
      </c>
      <c r="D52" s="926" t="str">
        <f>+NOMINA!O48</f>
        <v>Asistente de Analista III</v>
      </c>
      <c r="E52" s="929">
        <f>+NOMINA!H48</f>
        <v>39707</v>
      </c>
      <c r="F52" s="930">
        <f>+NOMINA!BN48</f>
        <v>5.22</v>
      </c>
      <c r="G52" s="599"/>
      <c r="H52" s="600"/>
      <c r="I52" s="600"/>
      <c r="J52" s="600"/>
      <c r="K52" s="600"/>
    </row>
    <row r="53" spans="1:11" ht="15.75" customHeight="1" x14ac:dyDescent="0.25">
      <c r="A53" s="928">
        <f t="shared" si="1"/>
        <v>6</v>
      </c>
      <c r="B53" s="926">
        <f>+NOMINA!C49</f>
        <v>7744688</v>
      </c>
      <c r="C53" s="926" t="str">
        <f>+NOMINA!D49</f>
        <v>Aguilera Carroz Gerardo Raul</v>
      </c>
      <c r="D53" s="926" t="str">
        <f>+NOMINA!O49</f>
        <v>Asistente Administrativo III</v>
      </c>
      <c r="E53" s="929">
        <f>+NOMINA!H49</f>
        <v>44713</v>
      </c>
      <c r="F53" s="930">
        <f>+NOMINA!BN49</f>
        <v>4.2699999999999996</v>
      </c>
      <c r="G53" s="599"/>
      <c r="H53" s="600"/>
      <c r="I53" s="600"/>
      <c r="J53" s="600"/>
      <c r="K53" s="600"/>
    </row>
    <row r="54" spans="1:11" ht="15.75" customHeight="1" x14ac:dyDescent="0.25">
      <c r="A54" s="928">
        <f t="shared" si="1"/>
        <v>7</v>
      </c>
      <c r="B54" s="926">
        <f>+NOMINA!C50</f>
        <v>7890070</v>
      </c>
      <c r="C54" s="926" t="str">
        <f>+NOMINA!D50</f>
        <v>Pacheco Bermudez Bebsabeth Coromoto</v>
      </c>
      <c r="D54" s="926" t="str">
        <f>+NOMINA!O50</f>
        <v>Guia de Centro II</v>
      </c>
      <c r="E54" s="929">
        <f>+NOMINA!H50</f>
        <v>38930</v>
      </c>
      <c r="F54" s="930">
        <f>+NOMINA!BN50</f>
        <v>3.6</v>
      </c>
      <c r="G54" s="599"/>
      <c r="H54" s="600"/>
      <c r="I54" s="600"/>
      <c r="J54" s="600"/>
      <c r="K54" s="600"/>
    </row>
    <row r="55" spans="1:11" ht="15.75" customHeight="1" x14ac:dyDescent="0.25">
      <c r="A55" s="928">
        <f t="shared" si="1"/>
        <v>8</v>
      </c>
      <c r="B55" s="926">
        <f>+NOMINA!C51</f>
        <v>8719807</v>
      </c>
      <c r="C55" s="926" t="str">
        <f>+NOMINA!D51</f>
        <v>Perez Saavedra Isabel Teresa</v>
      </c>
      <c r="D55" s="926" t="str">
        <f>+NOMINA!O51</f>
        <v>Abogado Jefe</v>
      </c>
      <c r="E55" s="929">
        <f>+NOMINA!H51</f>
        <v>39874</v>
      </c>
      <c r="F55" s="930">
        <f>+NOMINA!BN51</f>
        <v>0</v>
      </c>
      <c r="G55" s="599"/>
      <c r="H55" s="600"/>
      <c r="I55" s="600"/>
      <c r="J55" s="600"/>
      <c r="K55" s="600"/>
    </row>
    <row r="56" spans="1:11" ht="15.75" customHeight="1" x14ac:dyDescent="0.25">
      <c r="A56" s="928">
        <f t="shared" si="1"/>
        <v>9</v>
      </c>
      <c r="B56" s="926">
        <f>+NOMINA!C52</f>
        <v>8266170</v>
      </c>
      <c r="C56" s="926" t="str">
        <f>+NOMINA!D52</f>
        <v>Aguana Sanchez Yraida Josefina</v>
      </c>
      <c r="D56" s="926" t="str">
        <f>+NOMINA!O52</f>
        <v>Guia de Centro I</v>
      </c>
      <c r="E56" s="929">
        <f>+NOMINA!H52</f>
        <v>45323</v>
      </c>
      <c r="F56" s="930">
        <f>+NOMINA!BN52</f>
        <v>6.13</v>
      </c>
      <c r="G56" s="599"/>
      <c r="H56" s="600"/>
      <c r="I56" s="600"/>
      <c r="J56" s="600"/>
      <c r="K56" s="600"/>
    </row>
    <row r="57" spans="1:11" ht="15.75" customHeight="1" x14ac:dyDescent="0.25">
      <c r="A57" s="928">
        <f t="shared" si="1"/>
        <v>10</v>
      </c>
      <c r="B57" s="926">
        <f>+NOMINA!C53</f>
        <v>9162178</v>
      </c>
      <c r="C57" s="926" t="str">
        <f>+NOMINA!D53</f>
        <v>Duarte de Bastidas Gladys Margarita</v>
      </c>
      <c r="D57" s="926" t="str">
        <f>+NOMINA!O53</f>
        <v>Guia de Centro II</v>
      </c>
      <c r="E57" s="929">
        <f>+NOMINA!H53</f>
        <v>39566</v>
      </c>
      <c r="F57" s="930">
        <f>+NOMINA!BN53</f>
        <v>4.63</v>
      </c>
      <c r="G57" s="599"/>
      <c r="H57" s="600"/>
      <c r="I57" s="600"/>
      <c r="J57" s="600"/>
      <c r="K57" s="600"/>
    </row>
    <row r="58" spans="1:11" ht="15.75" customHeight="1" x14ac:dyDescent="0.25">
      <c r="A58" s="928">
        <f t="shared" si="1"/>
        <v>11</v>
      </c>
      <c r="B58" s="926">
        <f>+NOMINA!C54</f>
        <v>9162243</v>
      </c>
      <c r="C58" s="926" t="str">
        <f>+NOMINA!D54</f>
        <v>Valera Borrero Marcos Tulio</v>
      </c>
      <c r="D58" s="926" t="str">
        <f>+NOMINA!O54</f>
        <v>Guia de Centro II</v>
      </c>
      <c r="E58" s="929">
        <f>+NOMINA!H54</f>
        <v>35535</v>
      </c>
      <c r="F58" s="930">
        <f>+NOMINA!BN54</f>
        <v>3.6</v>
      </c>
      <c r="G58" s="599"/>
      <c r="H58" s="600"/>
      <c r="I58" s="600"/>
      <c r="J58" s="600"/>
      <c r="K58" s="600"/>
    </row>
    <row r="59" spans="1:11" ht="15.75" customHeight="1" x14ac:dyDescent="0.25">
      <c r="A59" s="928">
        <f t="shared" si="1"/>
        <v>12</v>
      </c>
      <c r="B59" s="926">
        <f>+NOMINA!C55</f>
        <v>9170647</v>
      </c>
      <c r="C59" s="926" t="str">
        <f>+NOMINA!D55</f>
        <v>Torres Gonzalez Meris del Carmen</v>
      </c>
      <c r="D59" s="926" t="str">
        <f>+NOMINA!O55</f>
        <v>Guia de Centro II</v>
      </c>
      <c r="E59" s="929">
        <f>+NOMINA!H55</f>
        <v>39238</v>
      </c>
      <c r="F59" s="930">
        <f>+NOMINA!BN55</f>
        <v>6.4</v>
      </c>
      <c r="G59" s="599"/>
      <c r="H59" s="600"/>
      <c r="I59" s="600"/>
      <c r="J59" s="600"/>
      <c r="K59" s="600"/>
    </row>
    <row r="60" spans="1:11" ht="15.75" customHeight="1" x14ac:dyDescent="0.25">
      <c r="A60" s="928">
        <f t="shared" si="1"/>
        <v>13</v>
      </c>
      <c r="B60" s="926">
        <f>+NOMINA!C56</f>
        <v>9177323</v>
      </c>
      <c r="C60" s="926" t="str">
        <f>+NOMINA!D56</f>
        <v>Simancas de Mendoza Alix Josefina</v>
      </c>
      <c r="D60" s="926" t="str">
        <f>+NOMINA!O56</f>
        <v>Asistente Administrativo III</v>
      </c>
      <c r="E60" s="929">
        <f>+NOMINA!H56</f>
        <v>37879</v>
      </c>
      <c r="F60" s="930">
        <f>+NOMINA!BN56</f>
        <v>3.59</v>
      </c>
      <c r="G60" s="599"/>
      <c r="H60" s="600"/>
      <c r="I60" s="600"/>
      <c r="J60" s="600"/>
      <c r="K60" s="600"/>
    </row>
    <row r="61" spans="1:11" ht="15.75" customHeight="1" x14ac:dyDescent="0.25">
      <c r="A61" s="928">
        <f t="shared" si="1"/>
        <v>14</v>
      </c>
      <c r="B61" s="926">
        <f>+NOMINA!C57</f>
        <v>9178087</v>
      </c>
      <c r="C61" s="926" t="str">
        <f>+NOMINA!D57</f>
        <v>Saavedra Juan Jose</v>
      </c>
      <c r="D61" s="926" t="str">
        <f>+NOMINA!O57</f>
        <v>Asistente Administrativo III</v>
      </c>
      <c r="E61" s="929">
        <f>+NOMINA!H57</f>
        <v>37622</v>
      </c>
      <c r="F61" s="930">
        <f>+NOMINA!BN57</f>
        <v>3.59</v>
      </c>
      <c r="G61" s="599"/>
      <c r="H61" s="600"/>
      <c r="I61" s="600"/>
      <c r="J61" s="600"/>
      <c r="K61" s="600"/>
    </row>
    <row r="62" spans="1:11" ht="15.75" customHeight="1" x14ac:dyDescent="0.25">
      <c r="A62" s="928">
        <f t="shared" si="1"/>
        <v>15</v>
      </c>
      <c r="B62" s="926">
        <f>+NOMINA!C58</f>
        <v>9179981</v>
      </c>
      <c r="C62" s="926" t="str">
        <f>+NOMINA!D58</f>
        <v>Manzanilla Molina Alfredo Jose</v>
      </c>
      <c r="D62" s="926" t="str">
        <f>+NOMINA!O58</f>
        <v>Instructor Agropecuario III</v>
      </c>
      <c r="E62" s="929">
        <f>+NOMINA!H58</f>
        <v>45597</v>
      </c>
      <c r="F62" s="930">
        <f>+NOMINA!BN58</f>
        <v>4.34</v>
      </c>
      <c r="G62" s="599"/>
      <c r="H62" s="600"/>
      <c r="I62" s="600"/>
      <c r="J62" s="600"/>
      <c r="K62" s="600"/>
    </row>
    <row r="63" spans="1:11" ht="15.75" customHeight="1" x14ac:dyDescent="0.25">
      <c r="A63" s="928">
        <f t="shared" si="1"/>
        <v>16</v>
      </c>
      <c r="B63" s="926">
        <f>+NOMINA!C59</f>
        <v>9311822</v>
      </c>
      <c r="C63" s="926" t="str">
        <f>+NOMINA!D59</f>
        <v>Rojo Sanchez Alexis Omar</v>
      </c>
      <c r="D63" s="926" t="str">
        <f>+NOMINA!O59</f>
        <v>Asistente Administrativo III</v>
      </c>
      <c r="E63" s="929">
        <f>+NOMINA!H59</f>
        <v>37662</v>
      </c>
      <c r="F63" s="930">
        <f>+NOMINA!BN59</f>
        <v>0</v>
      </c>
      <c r="G63" s="599"/>
      <c r="H63" s="600"/>
      <c r="I63" s="600"/>
      <c r="J63" s="600"/>
      <c r="K63" s="600"/>
    </row>
    <row r="64" spans="1:11" ht="15.75" customHeight="1" x14ac:dyDescent="0.25">
      <c r="A64" s="928">
        <f t="shared" si="1"/>
        <v>17</v>
      </c>
      <c r="B64" s="926">
        <f>+NOMINA!C60</f>
        <v>9315117</v>
      </c>
      <c r="C64" s="926" t="str">
        <f>+NOMINA!D60</f>
        <v>Palma de Briceño Sonia Josefina</v>
      </c>
      <c r="D64" s="926" t="str">
        <f>+NOMINA!O60</f>
        <v>Analista de Personal V</v>
      </c>
      <c r="E64" s="929">
        <f>+NOMINA!H60</f>
        <v>38412</v>
      </c>
      <c r="F64" s="930">
        <f>+NOMINA!BN60</f>
        <v>6.15</v>
      </c>
      <c r="G64" s="599"/>
      <c r="H64" s="600"/>
      <c r="I64" s="600"/>
      <c r="J64" s="600"/>
      <c r="K64" s="600"/>
    </row>
    <row r="65" spans="1:11" ht="15.75" customHeight="1" x14ac:dyDescent="0.25">
      <c r="A65" s="928">
        <f t="shared" si="1"/>
        <v>18</v>
      </c>
      <c r="B65" s="926">
        <f>+NOMINA!C61</f>
        <v>9315325</v>
      </c>
      <c r="C65" s="926" t="str">
        <f>+NOMINA!D61</f>
        <v>Gonzalez Hernandez Marianela</v>
      </c>
      <c r="D65" s="926" t="str">
        <f>+NOMINA!O61</f>
        <v>Asistente Administrativo IV</v>
      </c>
      <c r="E65" s="929">
        <f>+NOMINA!H61</f>
        <v>39678</v>
      </c>
      <c r="F65" s="930">
        <f>+NOMINA!BN61</f>
        <v>4.96</v>
      </c>
      <c r="G65" s="599"/>
      <c r="H65" s="600"/>
      <c r="I65" s="600"/>
      <c r="J65" s="600"/>
      <c r="K65" s="600"/>
    </row>
    <row r="66" spans="1:11" ht="15.75" customHeight="1" x14ac:dyDescent="0.25">
      <c r="A66" s="928">
        <f t="shared" si="1"/>
        <v>19</v>
      </c>
      <c r="B66" s="926">
        <f>+NOMINA!C62</f>
        <v>9316224</v>
      </c>
      <c r="C66" s="926" t="str">
        <f>+NOMINA!D62</f>
        <v>Sanchez Barrios Magalis del Carmen</v>
      </c>
      <c r="D66" s="926" t="str">
        <f>+NOMINA!O62</f>
        <v>Tecnico Superior en Trabajo Social II</v>
      </c>
      <c r="E66" s="929">
        <f>+NOMINA!H62</f>
        <v>44317</v>
      </c>
      <c r="F66" s="930">
        <f>+NOMINA!BN62</f>
        <v>4.29</v>
      </c>
      <c r="G66" s="599"/>
      <c r="H66" s="600"/>
      <c r="I66" s="600"/>
      <c r="J66" s="600"/>
      <c r="K66" s="600"/>
    </row>
    <row r="67" spans="1:11" ht="15.75" customHeight="1" x14ac:dyDescent="0.25">
      <c r="A67" s="928">
        <f t="shared" si="1"/>
        <v>20</v>
      </c>
      <c r="B67" s="926">
        <f>+NOMINA!C63</f>
        <v>9323927</v>
      </c>
      <c r="C67" s="926" t="str">
        <f>+NOMINA!D63</f>
        <v>Cardozo Garcia Jorge Antonio</v>
      </c>
      <c r="D67" s="926" t="str">
        <f>+NOMINA!O63</f>
        <v>Guia de Centro II</v>
      </c>
      <c r="E67" s="929">
        <f>+NOMINA!H63</f>
        <v>35704</v>
      </c>
      <c r="F67" s="930">
        <f>+NOMINA!BN63</f>
        <v>3.6</v>
      </c>
      <c r="G67" s="599"/>
      <c r="H67" s="600"/>
      <c r="I67" s="600"/>
      <c r="J67" s="600"/>
      <c r="K67" s="600"/>
    </row>
    <row r="68" spans="1:11" ht="15.75" customHeight="1" x14ac:dyDescent="0.25">
      <c r="A68" s="928">
        <f t="shared" si="1"/>
        <v>21</v>
      </c>
      <c r="B68" s="926">
        <f>+NOMINA!C64</f>
        <v>9327253</v>
      </c>
      <c r="C68" s="926" t="str">
        <f>+NOMINA!D64</f>
        <v>Garcia Araujo Jose Domingo</v>
      </c>
      <c r="D68" s="926" t="str">
        <f>+NOMINA!O64</f>
        <v>Analista de Presupuesto III</v>
      </c>
      <c r="E68" s="929">
        <f>+NOMINA!H64</f>
        <v>38930</v>
      </c>
      <c r="F68" s="930">
        <f>+NOMINA!BN64</f>
        <v>4.87</v>
      </c>
      <c r="G68" s="599"/>
      <c r="H68" s="600"/>
      <c r="I68" s="600"/>
      <c r="J68" s="600"/>
      <c r="K68" s="600"/>
    </row>
    <row r="69" spans="1:11" ht="15.75" customHeight="1" x14ac:dyDescent="0.25">
      <c r="A69" s="928">
        <f t="shared" si="1"/>
        <v>22</v>
      </c>
      <c r="B69" s="926">
        <f>+NOMINA!C65</f>
        <v>9328157</v>
      </c>
      <c r="C69" s="926" t="str">
        <f>+NOMINA!D65</f>
        <v>Perez Salas Olga Margarita</v>
      </c>
      <c r="D69" s="926" t="str">
        <f>+NOMINA!O65</f>
        <v>Guia de Centro II</v>
      </c>
      <c r="E69" s="929">
        <f>+NOMINA!H65</f>
        <v>41153</v>
      </c>
      <c r="F69" s="930">
        <f>+NOMINA!BN65</f>
        <v>3.3</v>
      </c>
      <c r="G69" s="599"/>
      <c r="H69" s="600"/>
      <c r="I69" s="600"/>
      <c r="J69" s="600"/>
      <c r="K69" s="600"/>
    </row>
    <row r="70" spans="1:11" ht="15.75" customHeight="1" x14ac:dyDescent="0.25">
      <c r="A70" s="928">
        <f t="shared" si="1"/>
        <v>23</v>
      </c>
      <c r="B70" s="926">
        <f>+NOMINA!C66</f>
        <v>9328224</v>
      </c>
      <c r="C70" s="926" t="str">
        <f>+NOMINA!D66</f>
        <v>Abreu Araujo Omar Antonio</v>
      </c>
      <c r="D70" s="926" t="str">
        <f>+NOMINA!O66</f>
        <v>Tecnico Agropecuario III</v>
      </c>
      <c r="E70" s="929">
        <f>+NOMINA!H66</f>
        <v>39356</v>
      </c>
      <c r="F70" s="930">
        <f>+NOMINA!BN66</f>
        <v>4.1399999999999997</v>
      </c>
      <c r="G70" s="599"/>
      <c r="H70" s="600"/>
      <c r="I70" s="600"/>
      <c r="J70" s="600"/>
      <c r="K70" s="600"/>
    </row>
    <row r="71" spans="1:11" ht="15.75" customHeight="1" x14ac:dyDescent="0.25">
      <c r="A71" s="928">
        <f t="shared" si="1"/>
        <v>24</v>
      </c>
      <c r="B71" s="926">
        <f>+NOMINA!C67</f>
        <v>9495661</v>
      </c>
      <c r="C71" s="926" t="str">
        <f>+NOMINA!D67</f>
        <v>Aguial Carrillo Gregoria Coromoto</v>
      </c>
      <c r="D71" s="926" t="str">
        <f>+NOMINA!O67</f>
        <v>Jefe de Centro</v>
      </c>
      <c r="E71" s="929">
        <f>+NOMINA!H67</f>
        <v>39692</v>
      </c>
      <c r="F71" s="930">
        <f>+NOMINA!BN67</f>
        <v>0</v>
      </c>
      <c r="G71" s="599"/>
      <c r="H71" s="600"/>
      <c r="I71" s="600"/>
      <c r="J71" s="600"/>
      <c r="K71" s="600"/>
    </row>
    <row r="72" spans="1:11" ht="15.75" customHeight="1" x14ac:dyDescent="0.25">
      <c r="A72" s="928">
        <f t="shared" si="1"/>
        <v>25</v>
      </c>
      <c r="B72" s="926">
        <f>+NOMINA!C68</f>
        <v>9496860</v>
      </c>
      <c r="C72" s="926" t="str">
        <f>+NOMINA!D68</f>
        <v>Hernandez Valero Jose Alfredo</v>
      </c>
      <c r="D72" s="926" t="str">
        <f>+NOMINA!O68</f>
        <v>AUDITOR III</v>
      </c>
      <c r="E72" s="929">
        <f>+NOMINA!H68</f>
        <v>43877</v>
      </c>
      <c r="F72" s="930">
        <f>+NOMINA!BN68</f>
        <v>5.94</v>
      </c>
      <c r="G72" s="599"/>
      <c r="H72" s="600"/>
      <c r="I72" s="600"/>
      <c r="J72" s="600"/>
      <c r="K72" s="600"/>
    </row>
    <row r="73" spans="1:11" ht="15.75" customHeight="1" x14ac:dyDescent="0.25">
      <c r="A73" s="928">
        <f t="shared" si="1"/>
        <v>26</v>
      </c>
      <c r="B73" s="926">
        <f>+NOMINA!C69</f>
        <v>9497151</v>
      </c>
      <c r="C73" s="926" t="str">
        <f>+NOMINA!D69</f>
        <v>Mendoza Vieras Pedro Luis</v>
      </c>
      <c r="D73" s="926" t="str">
        <f>+NOMINA!O69</f>
        <v>Ingeniero Industrial II</v>
      </c>
      <c r="E73" s="929">
        <f>+NOMINA!H69</f>
        <v>36770</v>
      </c>
      <c r="F73" s="930">
        <f>+NOMINA!BN69</f>
        <v>6.29</v>
      </c>
      <c r="G73" s="599"/>
      <c r="H73" s="600"/>
      <c r="I73" s="600"/>
      <c r="J73" s="600"/>
      <c r="K73" s="600"/>
    </row>
    <row r="74" spans="1:11" ht="15.75" customHeight="1" x14ac:dyDescent="0.25">
      <c r="A74" s="928">
        <f t="shared" si="1"/>
        <v>27</v>
      </c>
      <c r="B74" s="926">
        <f>+NOMINA!C70</f>
        <v>9497349</v>
      </c>
      <c r="C74" s="926" t="str">
        <f>+NOMINA!D70</f>
        <v>Cano Blanco Juan Carlos</v>
      </c>
      <c r="D74" s="926" t="str">
        <f>+NOMINA!O70</f>
        <v>Guia de Centro I</v>
      </c>
      <c r="E74" s="929">
        <f>+NOMINA!H70</f>
        <v>45809</v>
      </c>
      <c r="F74" s="930">
        <f>+NOMINA!BN70</f>
        <v>3.38</v>
      </c>
      <c r="G74" s="599"/>
      <c r="H74" s="600"/>
      <c r="I74" s="600"/>
      <c r="J74" s="600"/>
      <c r="K74" s="600"/>
    </row>
    <row r="75" spans="1:11" ht="15.75" customHeight="1" x14ac:dyDescent="0.25">
      <c r="A75" s="928">
        <f t="shared" si="1"/>
        <v>28</v>
      </c>
      <c r="B75" s="926">
        <f>+NOMINA!C71</f>
        <v>10033119</v>
      </c>
      <c r="C75" s="926" t="str">
        <f>+NOMINA!D71</f>
        <v>Artigas de Hernandez Ana Maria</v>
      </c>
      <c r="D75" s="926" t="str">
        <f>+NOMINA!O71</f>
        <v>Tutor Facilitador III</v>
      </c>
      <c r="E75" s="929">
        <f>+NOMINA!H71</f>
        <v>43359</v>
      </c>
      <c r="F75" s="930">
        <f>+NOMINA!BN71</f>
        <v>5.37</v>
      </c>
      <c r="G75" s="599"/>
      <c r="H75" s="600"/>
      <c r="I75" s="600"/>
      <c r="J75" s="600"/>
      <c r="K75" s="600"/>
    </row>
    <row r="76" spans="1:11" ht="15.75" customHeight="1" x14ac:dyDescent="0.25">
      <c r="A76" s="928">
        <f t="shared" si="1"/>
        <v>29</v>
      </c>
      <c r="B76" s="926">
        <f>+NOMINA!C72</f>
        <v>10035540</v>
      </c>
      <c r="C76" s="926" t="str">
        <f>+NOMINA!D72</f>
        <v>Linares Linares Emma Teresa</v>
      </c>
      <c r="D76" s="926" t="str">
        <f>+NOMINA!O72</f>
        <v>Tecnico Superior en Trabajo Social II</v>
      </c>
      <c r="E76" s="929">
        <f>+NOMINA!H72</f>
        <v>43236</v>
      </c>
      <c r="F76" s="930">
        <f>+NOMINA!BN72</f>
        <v>4.59</v>
      </c>
      <c r="G76" s="599"/>
      <c r="H76" s="600"/>
      <c r="I76" s="600"/>
      <c r="J76" s="600"/>
      <c r="K76" s="600"/>
    </row>
    <row r="77" spans="1:11" ht="15.75" customHeight="1" x14ac:dyDescent="0.25">
      <c r="A77" s="928">
        <f t="shared" si="1"/>
        <v>30</v>
      </c>
      <c r="B77" s="926">
        <f>+NOMINA!C73</f>
        <v>10037054</v>
      </c>
      <c r="C77" s="926" t="str">
        <f>+NOMINA!D73</f>
        <v>Aguial Carrillo Deris Margarita</v>
      </c>
      <c r="D77" s="926" t="str">
        <f>+NOMINA!O73</f>
        <v>Guia de Centro II</v>
      </c>
      <c r="E77" s="929">
        <f>+NOMINA!H73</f>
        <v>39820</v>
      </c>
      <c r="F77" s="930">
        <f>+NOMINA!BN73</f>
        <v>4.43</v>
      </c>
      <c r="G77" s="599"/>
      <c r="H77" s="600"/>
      <c r="I77" s="600"/>
      <c r="J77" s="600"/>
      <c r="K77" s="600"/>
    </row>
    <row r="78" spans="1:11" ht="15.75" customHeight="1" x14ac:dyDescent="0.25">
      <c r="A78" s="928">
        <f t="shared" si="1"/>
        <v>31</v>
      </c>
      <c r="B78" s="926">
        <f>+NOMINA!C74</f>
        <v>10175616</v>
      </c>
      <c r="C78" s="926" t="str">
        <f>+NOMINA!D74</f>
        <v>Carrillo Prato Blanca Isabel</v>
      </c>
      <c r="D78" s="926" t="str">
        <f>+NOMINA!O74</f>
        <v>Medico jefe I</v>
      </c>
      <c r="E78" s="929">
        <f>+NOMINA!H74</f>
        <v>44228</v>
      </c>
      <c r="F78" s="930">
        <f>+NOMINA!BN74</f>
        <v>5.84</v>
      </c>
      <c r="G78" s="599"/>
      <c r="H78" s="600"/>
      <c r="I78" s="600"/>
      <c r="J78" s="600"/>
      <c r="K78" s="600"/>
    </row>
    <row r="79" spans="1:11" ht="15.75" customHeight="1" x14ac:dyDescent="0.25">
      <c r="A79" s="928">
        <f t="shared" si="1"/>
        <v>32</v>
      </c>
      <c r="B79" s="926">
        <f>+NOMINA!C75</f>
        <v>10257016</v>
      </c>
      <c r="C79" s="926" t="str">
        <f>+NOMINA!D75</f>
        <v>Torres Dulma Ramona</v>
      </c>
      <c r="D79" s="926" t="str">
        <f>+NOMINA!O75</f>
        <v>Tutor Facilitador III</v>
      </c>
      <c r="E79" s="929">
        <f>+NOMINA!H75</f>
        <v>35947</v>
      </c>
      <c r="F79" s="930">
        <f>+NOMINA!BN75</f>
        <v>6.29</v>
      </c>
      <c r="G79" s="599"/>
      <c r="H79" s="600"/>
      <c r="I79" s="600"/>
      <c r="J79" s="600"/>
      <c r="K79" s="600"/>
    </row>
    <row r="80" spans="1:11" ht="15.75" customHeight="1" x14ac:dyDescent="0.25">
      <c r="A80" s="928">
        <f t="shared" si="1"/>
        <v>33</v>
      </c>
      <c r="B80" s="926">
        <f>+NOMINA!C76</f>
        <v>10315803</v>
      </c>
      <c r="C80" s="926" t="str">
        <f>+NOMINA!D76</f>
        <v>Frias Jacson Daniel</v>
      </c>
      <c r="D80" s="926" t="str">
        <f>+NOMINA!O76</f>
        <v>Guia de Centro II</v>
      </c>
      <c r="E80" s="929">
        <f>+NOMINA!H76</f>
        <v>35415</v>
      </c>
      <c r="F80" s="930">
        <f>+NOMINA!BN76</f>
        <v>4.68</v>
      </c>
      <c r="G80" s="599"/>
      <c r="H80" s="600"/>
      <c r="I80" s="600"/>
      <c r="J80" s="600"/>
      <c r="K80" s="600"/>
    </row>
    <row r="81" spans="1:11" ht="15.75" customHeight="1" x14ac:dyDescent="0.25">
      <c r="A81" s="928">
        <f t="shared" si="1"/>
        <v>34</v>
      </c>
      <c r="B81" s="926">
        <f>+NOMINA!C77</f>
        <v>10319457</v>
      </c>
      <c r="C81" s="926" t="str">
        <f>+NOMINA!D77</f>
        <v>Marquez Marquez Maribel del Valle</v>
      </c>
      <c r="D81" s="926" t="str">
        <f>+NOMINA!O77</f>
        <v>Secretario Ejecutivo III</v>
      </c>
      <c r="E81" s="929">
        <f>+NOMINA!H77</f>
        <v>38831</v>
      </c>
      <c r="F81" s="930">
        <f>+NOMINA!BN77</f>
        <v>3.63</v>
      </c>
      <c r="G81" s="599"/>
      <c r="H81" s="600"/>
      <c r="I81" s="600"/>
      <c r="J81" s="600"/>
      <c r="K81" s="600"/>
    </row>
    <row r="82" spans="1:11" ht="15.75" customHeight="1" x14ac:dyDescent="0.25">
      <c r="A82" s="928">
        <f t="shared" si="1"/>
        <v>35</v>
      </c>
      <c r="B82" s="926">
        <f>+NOMINA!C78</f>
        <v>10396379</v>
      </c>
      <c r="C82" s="926" t="str">
        <f>+NOMINA!D78</f>
        <v>Ruiz Luis Alfonzo</v>
      </c>
      <c r="D82" s="926" t="str">
        <f>+NOMINA!O78</f>
        <v>ENTRENADOR DEPORTIVO II</v>
      </c>
      <c r="E82" s="929">
        <f>+NOMINA!H78</f>
        <v>44743</v>
      </c>
      <c r="F82" s="930">
        <f>+NOMINA!BN78</f>
        <v>2.85</v>
      </c>
      <c r="G82" s="599"/>
      <c r="H82" s="600"/>
      <c r="I82" s="600"/>
      <c r="J82" s="600"/>
      <c r="K82" s="600"/>
    </row>
    <row r="83" spans="1:11" ht="15.75" customHeight="1" x14ac:dyDescent="0.25">
      <c r="A83" s="928">
        <f t="shared" si="1"/>
        <v>36</v>
      </c>
      <c r="B83" s="926">
        <f>+NOMINA!C79</f>
        <v>10398694</v>
      </c>
      <c r="C83" s="926" t="str">
        <f>+NOMINA!D79</f>
        <v>Santana Briceño Jose Gregorio</v>
      </c>
      <c r="D83" s="926" t="str">
        <f>+NOMINA!O79</f>
        <v>Guia de Centro I</v>
      </c>
      <c r="E83" s="929">
        <f>+NOMINA!H79</f>
        <v>44743</v>
      </c>
      <c r="F83" s="930">
        <f>+NOMINA!BN79</f>
        <v>6.65</v>
      </c>
      <c r="G83" s="599"/>
      <c r="H83" s="600"/>
      <c r="I83" s="600"/>
      <c r="J83" s="600"/>
      <c r="K83" s="600"/>
    </row>
    <row r="84" spans="1:11" ht="15.75" customHeight="1" x14ac:dyDescent="0.25">
      <c r="A84" s="928">
        <f t="shared" si="1"/>
        <v>37</v>
      </c>
      <c r="B84" s="926">
        <f>+NOMINA!C80</f>
        <v>10399064</v>
      </c>
      <c r="C84" s="926" t="str">
        <f>+NOMINA!D80</f>
        <v>Perdomo Perdomo Angela Aurora</v>
      </c>
      <c r="D84" s="926" t="str">
        <f>+NOMINA!O80</f>
        <v>Guia de Centro II</v>
      </c>
      <c r="E84" s="929">
        <f>+NOMINA!H80</f>
        <v>39328</v>
      </c>
      <c r="F84" s="930">
        <f>+NOMINA!BN80</f>
        <v>6.4</v>
      </c>
      <c r="G84" s="599"/>
      <c r="H84" s="600"/>
      <c r="I84" s="600"/>
      <c r="J84" s="600"/>
      <c r="K84" s="600"/>
    </row>
    <row r="85" spans="1:11" ht="15.75" customHeight="1" x14ac:dyDescent="0.25">
      <c r="A85" s="928">
        <f t="shared" si="1"/>
        <v>38</v>
      </c>
      <c r="B85" s="926">
        <f>+NOMINA!C81</f>
        <v>10400214</v>
      </c>
      <c r="C85" s="926" t="str">
        <f>+NOMINA!D81</f>
        <v>Bastidas Yanitza del Valle</v>
      </c>
      <c r="D85" s="926" t="str">
        <f>+NOMINA!O81</f>
        <v>Guia de Centro II</v>
      </c>
      <c r="E85" s="929">
        <f>+NOMINA!H81</f>
        <v>41153</v>
      </c>
      <c r="F85" s="930">
        <f>+NOMINA!BN81</f>
        <v>6.07</v>
      </c>
      <c r="G85" s="599"/>
      <c r="H85" s="600"/>
      <c r="I85" s="600"/>
      <c r="J85" s="600"/>
      <c r="K85" s="600"/>
    </row>
    <row r="86" spans="1:11" ht="15.75" customHeight="1" x14ac:dyDescent="0.25">
      <c r="A86" s="928">
        <f t="shared" si="1"/>
        <v>39</v>
      </c>
      <c r="B86" s="926">
        <f>+NOMINA!C82</f>
        <v>10400365</v>
      </c>
      <c r="C86" s="926" t="str">
        <f>+NOMINA!D82</f>
        <v>Briceño Ruiz Sara Josefina</v>
      </c>
      <c r="D86" s="926" t="str">
        <f>+NOMINA!O82</f>
        <v>Supervisor de Servicios Generales IV</v>
      </c>
      <c r="E86" s="929">
        <f>+NOMINA!H82</f>
        <v>39328</v>
      </c>
      <c r="F86" s="930">
        <f>+NOMINA!BN82</f>
        <v>4.92</v>
      </c>
      <c r="G86" s="599"/>
      <c r="H86" s="600"/>
      <c r="I86" s="600"/>
      <c r="J86" s="600"/>
      <c r="K86" s="600"/>
    </row>
    <row r="87" spans="1:11" ht="15.75" customHeight="1" x14ac:dyDescent="0.25">
      <c r="A87" s="928">
        <f t="shared" si="1"/>
        <v>40</v>
      </c>
      <c r="B87" s="926">
        <f>+NOMINA!C83</f>
        <v>10400876</v>
      </c>
      <c r="C87" s="926" t="str">
        <f>+NOMINA!D83</f>
        <v>Ramirez Vergara Graciela de Jesus</v>
      </c>
      <c r="D87" s="926" t="str">
        <f>+NOMINA!O83</f>
        <v>Analista de Procesamiento de Datos I</v>
      </c>
      <c r="E87" s="929">
        <f>+NOMINA!H83</f>
        <v>43556</v>
      </c>
      <c r="F87" s="930">
        <f>+NOMINA!BN83</f>
        <v>4.8</v>
      </c>
      <c r="G87" s="599"/>
      <c r="H87" s="600"/>
      <c r="I87" s="600"/>
      <c r="J87" s="600"/>
      <c r="K87" s="600"/>
    </row>
    <row r="88" spans="1:11" ht="15.75" customHeight="1" x14ac:dyDescent="0.25">
      <c r="A88" s="928">
        <f t="shared" si="1"/>
        <v>41</v>
      </c>
      <c r="B88" s="926">
        <f>+NOMINA!C84</f>
        <v>10404528</v>
      </c>
      <c r="C88" s="926" t="str">
        <f>+NOMINA!D84</f>
        <v>Perez Castellano Javier Horacio</v>
      </c>
      <c r="D88" s="926" t="str">
        <f>+NOMINA!O84</f>
        <v>Administrador IV</v>
      </c>
      <c r="E88" s="929">
        <f>+NOMINA!H84</f>
        <v>37622</v>
      </c>
      <c r="F88" s="930">
        <f>+NOMINA!BN84</f>
        <v>0</v>
      </c>
      <c r="G88" s="599"/>
      <c r="H88" s="600"/>
      <c r="I88" s="600"/>
      <c r="J88" s="600"/>
      <c r="K88" s="600"/>
    </row>
    <row r="89" spans="1:11" ht="15.75" customHeight="1" x14ac:dyDescent="0.25">
      <c r="A89" s="928">
        <f t="shared" si="1"/>
        <v>42</v>
      </c>
      <c r="B89" s="926">
        <f>+NOMINA!C85</f>
        <v>10906110</v>
      </c>
      <c r="C89" s="926" t="str">
        <f>+NOMINA!D85</f>
        <v>Linares Prato Yraima Gregoria</v>
      </c>
      <c r="D89" s="926" t="str">
        <f>+NOMINA!O85</f>
        <v>Guia de Centro I</v>
      </c>
      <c r="E89" s="929">
        <f>+NOMINA!H85</f>
        <v>45292</v>
      </c>
      <c r="F89" s="930">
        <f>+NOMINA!BN85</f>
        <v>3.4</v>
      </c>
      <c r="G89" s="599"/>
      <c r="H89" s="600"/>
      <c r="I89" s="600"/>
      <c r="J89" s="600"/>
      <c r="K89" s="600"/>
    </row>
    <row r="90" spans="1:11" ht="15.75" customHeight="1" x14ac:dyDescent="0.25">
      <c r="A90" s="928">
        <f t="shared" si="1"/>
        <v>43</v>
      </c>
      <c r="B90" s="926">
        <f>+NOMINA!C86</f>
        <v>10906923</v>
      </c>
      <c r="C90" s="926" t="str">
        <f>+NOMINA!D86</f>
        <v>Cruz de Rodriguez Yanet Coromoto</v>
      </c>
      <c r="D90" s="926" t="str">
        <f>+NOMINA!O86</f>
        <v>Guia de Centro I</v>
      </c>
      <c r="E90" s="929">
        <f>+NOMINA!H86</f>
        <v>44636</v>
      </c>
      <c r="F90" s="930">
        <f>+NOMINA!BN86</f>
        <v>4.42</v>
      </c>
      <c r="G90" s="599"/>
      <c r="H90" s="600"/>
      <c r="I90" s="600"/>
      <c r="J90" s="600"/>
      <c r="K90" s="600"/>
    </row>
    <row r="91" spans="1:11" ht="15.75" customHeight="1" x14ac:dyDescent="0.25">
      <c r="A91" s="928">
        <f t="shared" si="1"/>
        <v>44</v>
      </c>
      <c r="B91" s="926">
        <f>+NOMINA!C87</f>
        <v>10908510</v>
      </c>
      <c r="C91" s="926" t="str">
        <f>+NOMINA!D87</f>
        <v>Castro de Vielma Yanira Rosa</v>
      </c>
      <c r="D91" s="926" t="str">
        <f>+NOMINA!O87</f>
        <v>Jefe de Centro</v>
      </c>
      <c r="E91" s="929">
        <f>+NOMINA!H87</f>
        <v>39874</v>
      </c>
      <c r="F91" s="930">
        <f>+NOMINA!BN87</f>
        <v>6.27</v>
      </c>
      <c r="G91" s="599"/>
      <c r="H91" s="600"/>
      <c r="I91" s="600"/>
      <c r="J91" s="600"/>
      <c r="K91" s="600"/>
    </row>
    <row r="92" spans="1:11" ht="15.75" customHeight="1" x14ac:dyDescent="0.25">
      <c r="A92" s="928">
        <f t="shared" si="1"/>
        <v>45</v>
      </c>
      <c r="B92" s="926">
        <f>+NOMINA!C88</f>
        <v>10909245</v>
      </c>
      <c r="C92" s="926" t="str">
        <f>+NOMINA!D88</f>
        <v>Delduca Moreno Luisa</v>
      </c>
      <c r="D92" s="926" t="str">
        <f>+NOMINA!O88</f>
        <v>Guia de Centro II</v>
      </c>
      <c r="E92" s="929">
        <f>+NOMINA!H88</f>
        <v>36054</v>
      </c>
      <c r="F92" s="930">
        <f>+NOMINA!BN88</f>
        <v>6.65</v>
      </c>
      <c r="G92" s="599"/>
      <c r="H92" s="600"/>
      <c r="I92" s="600"/>
      <c r="J92" s="600"/>
      <c r="K92" s="600"/>
    </row>
    <row r="93" spans="1:11" ht="15.75" customHeight="1" x14ac:dyDescent="0.25">
      <c r="A93" s="928">
        <f t="shared" si="1"/>
        <v>46</v>
      </c>
      <c r="B93" s="926">
        <f>+NOMINA!C89</f>
        <v>10910698</v>
      </c>
      <c r="C93" s="926" t="str">
        <f>+NOMINA!D89</f>
        <v>Rangel Briceño Marcial Segundo</v>
      </c>
      <c r="D93" s="926" t="str">
        <f>+NOMINA!O89</f>
        <v>Asistente Administrativo II</v>
      </c>
      <c r="E93" s="929">
        <f>+NOMINA!H89</f>
        <v>43891</v>
      </c>
      <c r="F93" s="930">
        <f>+NOMINA!BN89</f>
        <v>2.88</v>
      </c>
      <c r="G93" s="599"/>
      <c r="H93" s="600"/>
      <c r="I93" s="600"/>
      <c r="J93" s="600"/>
      <c r="K93" s="600"/>
    </row>
    <row r="94" spans="1:11" ht="15.75" customHeight="1" x14ac:dyDescent="0.25">
      <c r="A94" s="928">
        <f t="shared" si="1"/>
        <v>47</v>
      </c>
      <c r="B94" s="926">
        <f>+NOMINA!C90</f>
        <v>10912595</v>
      </c>
      <c r="C94" s="926" t="str">
        <f>+NOMINA!D90</f>
        <v>Delfin Bustos Jose Hercilio</v>
      </c>
      <c r="D94" s="926" t="str">
        <f>+NOMINA!O90</f>
        <v>Guia de Centro II</v>
      </c>
      <c r="E94" s="929">
        <f>+NOMINA!H90</f>
        <v>36039</v>
      </c>
      <c r="F94" s="930">
        <f>+NOMINA!BN90</f>
        <v>0</v>
      </c>
      <c r="G94" s="599"/>
      <c r="H94" s="600"/>
      <c r="I94" s="600"/>
      <c r="J94" s="600"/>
      <c r="K94" s="600"/>
    </row>
    <row r="95" spans="1:11" ht="15.75" customHeight="1" x14ac:dyDescent="0.25">
      <c r="A95" s="928">
        <f t="shared" si="1"/>
        <v>48</v>
      </c>
      <c r="B95" s="926">
        <f>+NOMINA!C91</f>
        <v>10913178</v>
      </c>
      <c r="C95" s="926" t="str">
        <f>+NOMINA!D91</f>
        <v>Garcia Moreno Iris Josefina</v>
      </c>
      <c r="D95" s="926" t="str">
        <f>+NOMINA!O91</f>
        <v>Asistente de Servicio Social</v>
      </c>
      <c r="E95" s="929">
        <f>+NOMINA!H91</f>
        <v>44805</v>
      </c>
      <c r="F95" s="930">
        <f>+NOMINA!BN91</f>
        <v>3.28</v>
      </c>
      <c r="G95" s="599"/>
      <c r="H95" s="600"/>
      <c r="I95" s="600"/>
      <c r="J95" s="600"/>
      <c r="K95" s="600"/>
    </row>
    <row r="96" spans="1:11" ht="15.75" customHeight="1" x14ac:dyDescent="0.25">
      <c r="A96" s="928">
        <f t="shared" si="1"/>
        <v>49</v>
      </c>
      <c r="B96" s="926">
        <f>+NOMINA!C92</f>
        <v>10913637</v>
      </c>
      <c r="C96" s="926" t="str">
        <f>+NOMINA!D92</f>
        <v>Angarita Hernandez Ana del Carmen</v>
      </c>
      <c r="D96" s="926" t="str">
        <f>+NOMINA!O92</f>
        <v>Guia de Centro II</v>
      </c>
      <c r="E96" s="929">
        <f>+NOMINA!H92</f>
        <v>40664</v>
      </c>
      <c r="F96" s="930">
        <f>+NOMINA!BN92</f>
        <v>7.47</v>
      </c>
      <c r="G96" s="599"/>
      <c r="H96" s="600"/>
      <c r="I96" s="600"/>
      <c r="J96" s="600"/>
      <c r="K96" s="600"/>
    </row>
    <row r="97" spans="1:11" ht="15.75" customHeight="1" x14ac:dyDescent="0.25">
      <c r="A97" s="928">
        <f t="shared" si="1"/>
        <v>50</v>
      </c>
      <c r="B97" s="926">
        <f>+NOMINA!C93</f>
        <v>10915223</v>
      </c>
      <c r="C97" s="926" t="str">
        <f>+NOMINA!D93</f>
        <v>Contreras Rojo Gerardo Alexander</v>
      </c>
      <c r="D97" s="926" t="str">
        <f>+NOMINA!O93</f>
        <v>Tutor Facilitador III</v>
      </c>
      <c r="E97" s="929">
        <f>+NOMINA!H93</f>
        <v>35339</v>
      </c>
      <c r="F97" s="930">
        <f>+NOMINA!BN93</f>
        <v>7.3</v>
      </c>
      <c r="G97" s="599"/>
      <c r="H97" s="600"/>
      <c r="I97" s="600"/>
      <c r="J97" s="600"/>
      <c r="K97" s="600"/>
    </row>
    <row r="98" spans="1:11" ht="15.75" customHeight="1" x14ac:dyDescent="0.25">
      <c r="A98" s="928">
        <f t="shared" si="1"/>
        <v>51</v>
      </c>
      <c r="B98" s="926">
        <f>+NOMINA!C94</f>
        <v>10915384</v>
      </c>
      <c r="C98" s="926" t="str">
        <f>+NOMINA!D94</f>
        <v>Rojas Hernandez Morela del Carmen</v>
      </c>
      <c r="D98" s="926" t="str">
        <f>+NOMINA!O94</f>
        <v>Guia de Centro II</v>
      </c>
      <c r="E98" s="929">
        <f>+NOMINA!H94</f>
        <v>43147</v>
      </c>
      <c r="F98" s="930">
        <f>+NOMINA!BN94</f>
        <v>5.73</v>
      </c>
      <c r="G98" s="599"/>
      <c r="H98" s="600"/>
      <c r="I98" s="600"/>
      <c r="J98" s="600"/>
      <c r="K98" s="600"/>
    </row>
    <row r="99" spans="1:11" ht="15.75" customHeight="1" x14ac:dyDescent="0.25">
      <c r="A99" s="928">
        <f t="shared" si="1"/>
        <v>52</v>
      </c>
      <c r="B99" s="926">
        <f>+NOMINA!C95</f>
        <v>10915597</v>
      </c>
      <c r="C99" s="926" t="str">
        <f>+NOMINA!D95</f>
        <v>Carrillo Altuve Maria Mercedes</v>
      </c>
      <c r="D99" s="926" t="str">
        <f>+NOMINA!O95</f>
        <v>Guia de Centro I</v>
      </c>
      <c r="E99" s="929">
        <f>+NOMINA!H95</f>
        <v>44501</v>
      </c>
      <c r="F99" s="930">
        <f>+NOMINA!BN95</f>
        <v>6.47</v>
      </c>
      <c r="G99" s="599"/>
      <c r="H99" s="600"/>
      <c r="I99" s="600"/>
      <c r="J99" s="600"/>
      <c r="K99" s="600"/>
    </row>
    <row r="100" spans="1:11" ht="15.75" customHeight="1" x14ac:dyDescent="0.25">
      <c r="A100" s="928">
        <f t="shared" si="1"/>
        <v>53</v>
      </c>
      <c r="B100" s="926">
        <f>+NOMINA!C96</f>
        <v>11128954</v>
      </c>
      <c r="C100" s="926" t="str">
        <f>+NOMINA!D96</f>
        <v>Soto Lopez Rafael Maria</v>
      </c>
      <c r="D100" s="926" t="str">
        <f>+NOMINA!O96</f>
        <v>Guia de Centro I</v>
      </c>
      <c r="E100" s="929">
        <f>+NOMINA!H96</f>
        <v>45170</v>
      </c>
      <c r="F100" s="930">
        <f>+NOMINA!BN96</f>
        <v>6.85</v>
      </c>
      <c r="G100" s="599"/>
      <c r="H100" s="600"/>
      <c r="I100" s="600"/>
      <c r="J100" s="600"/>
      <c r="K100" s="600"/>
    </row>
    <row r="101" spans="1:11" ht="15.75" customHeight="1" x14ac:dyDescent="0.25">
      <c r="A101" s="928">
        <f t="shared" si="1"/>
        <v>54</v>
      </c>
      <c r="B101" s="926">
        <f>+NOMINA!C97</f>
        <v>11132900</v>
      </c>
      <c r="C101" s="926" t="str">
        <f>+NOMINA!D97</f>
        <v>Morillo Valero Ender Ramon</v>
      </c>
      <c r="D101" s="926" t="str">
        <f>+NOMINA!O97</f>
        <v>Guia de Centro I</v>
      </c>
      <c r="E101" s="929">
        <f>+NOMINA!H97</f>
        <v>44866</v>
      </c>
      <c r="F101" s="930">
        <f>+NOMINA!BN97</f>
        <v>5.08</v>
      </c>
      <c r="G101" s="599"/>
      <c r="H101" s="600"/>
      <c r="I101" s="600"/>
      <c r="J101" s="600"/>
      <c r="K101" s="600"/>
    </row>
    <row r="102" spans="1:11" ht="15.75" customHeight="1" x14ac:dyDescent="0.25">
      <c r="A102" s="928">
        <f t="shared" si="1"/>
        <v>55</v>
      </c>
      <c r="B102" s="926">
        <f>+NOMINA!C98</f>
        <v>11132943</v>
      </c>
      <c r="C102" s="926" t="str">
        <f>+NOMINA!D98</f>
        <v>Materano Delgado Yoleida Josefina</v>
      </c>
      <c r="D102" s="926" t="str">
        <f>+NOMINA!O98</f>
        <v>Guia de Centro II</v>
      </c>
      <c r="E102" s="929">
        <f>+NOMINA!H98</f>
        <v>39738</v>
      </c>
      <c r="F102" s="930">
        <f>+NOMINA!BN98</f>
        <v>3.41</v>
      </c>
      <c r="G102" s="599"/>
      <c r="H102" s="600"/>
      <c r="I102" s="600"/>
      <c r="J102" s="600"/>
      <c r="K102" s="600"/>
    </row>
    <row r="103" spans="1:11" ht="15.75" customHeight="1" x14ac:dyDescent="0.25">
      <c r="A103" s="928">
        <f t="shared" si="1"/>
        <v>56</v>
      </c>
      <c r="B103" s="926">
        <f>+NOMINA!C99</f>
        <v>11132979</v>
      </c>
      <c r="C103" s="926" t="str">
        <f>+NOMINA!D99</f>
        <v>Olivar Santana Maria Valbina</v>
      </c>
      <c r="D103" s="926" t="str">
        <f>+NOMINA!O99</f>
        <v>Guia de Centro II</v>
      </c>
      <c r="E103" s="929">
        <f>+NOMINA!H99</f>
        <v>44348</v>
      </c>
      <c r="F103" s="930">
        <f>+NOMINA!BN99</f>
        <v>7.85</v>
      </c>
      <c r="G103" s="599"/>
      <c r="H103" s="600"/>
      <c r="I103" s="600"/>
      <c r="J103" s="600"/>
      <c r="K103" s="600"/>
    </row>
    <row r="104" spans="1:11" ht="15.75" customHeight="1" x14ac:dyDescent="0.25">
      <c r="A104" s="928">
        <f t="shared" si="1"/>
        <v>57</v>
      </c>
      <c r="B104" s="926">
        <f>+NOMINA!C100</f>
        <v>11257247</v>
      </c>
      <c r="C104" s="926" t="str">
        <f>+NOMINA!D100</f>
        <v>Chacin Sanchez Eduard Fabian</v>
      </c>
      <c r="D104" s="926" t="str">
        <f>+NOMINA!O100</f>
        <v>DELEGADO PRUEBA III</v>
      </c>
      <c r="E104" s="929">
        <f>+NOMINA!H100</f>
        <v>42492</v>
      </c>
      <c r="F104" s="930">
        <f>+NOMINA!BN100</f>
        <v>5.64</v>
      </c>
      <c r="G104" s="599"/>
      <c r="H104" s="600"/>
      <c r="I104" s="600"/>
      <c r="J104" s="600"/>
      <c r="K104" s="600"/>
    </row>
    <row r="105" spans="1:11" ht="15.75" customHeight="1" x14ac:dyDescent="0.25">
      <c r="A105" s="928">
        <f t="shared" si="1"/>
        <v>58</v>
      </c>
      <c r="B105" s="926">
        <f>+NOMINA!C101</f>
        <v>11318142</v>
      </c>
      <c r="C105" s="926" t="str">
        <f>+NOMINA!D101</f>
        <v>Perdomo Rosales Modesto Ramon</v>
      </c>
      <c r="D105" s="926" t="str">
        <f>+NOMINA!O101</f>
        <v>Almacenista II</v>
      </c>
      <c r="E105" s="929">
        <f>+NOMINA!H101</f>
        <v>43983</v>
      </c>
      <c r="F105" s="930">
        <f>+NOMINA!BN101</f>
        <v>2.88</v>
      </c>
      <c r="G105" s="599"/>
      <c r="H105" s="600"/>
      <c r="I105" s="600"/>
      <c r="J105" s="600"/>
      <c r="K105" s="600"/>
    </row>
    <row r="106" spans="1:11" ht="15.75" customHeight="1" x14ac:dyDescent="0.25">
      <c r="A106" s="928">
        <f t="shared" si="1"/>
        <v>59</v>
      </c>
      <c r="B106" s="926">
        <f>+NOMINA!C102</f>
        <v>11318697</v>
      </c>
      <c r="C106" s="926" t="str">
        <f>+NOMINA!D102</f>
        <v>Sardi Hernandez Gladis Josefina</v>
      </c>
      <c r="D106" s="926" t="str">
        <f>+NOMINA!O102</f>
        <v>Asistente Administrativo III</v>
      </c>
      <c r="E106" s="929">
        <f>+NOMINA!H102</f>
        <v>39539</v>
      </c>
      <c r="F106" s="930">
        <f>+NOMINA!BN102</f>
        <v>3.43</v>
      </c>
      <c r="G106" s="599"/>
      <c r="H106" s="600"/>
      <c r="I106" s="600"/>
      <c r="J106" s="600"/>
      <c r="K106" s="600"/>
    </row>
    <row r="107" spans="1:11" ht="15.75" customHeight="1" x14ac:dyDescent="0.25">
      <c r="A107" s="928">
        <f t="shared" si="1"/>
        <v>60</v>
      </c>
      <c r="B107" s="926">
        <f>+NOMINA!C103</f>
        <v>11319154</v>
      </c>
      <c r="C107" s="926" t="str">
        <f>+NOMINA!D103</f>
        <v>Peña Villegas Lisette Carolina</v>
      </c>
      <c r="D107" s="926" t="str">
        <f>+NOMINA!O103</f>
        <v>Guia de Centro II</v>
      </c>
      <c r="E107" s="929">
        <f>+NOMINA!H103</f>
        <v>34428</v>
      </c>
      <c r="F107" s="930">
        <f>+NOMINA!BN103</f>
        <v>7.3</v>
      </c>
      <c r="G107" s="599"/>
      <c r="H107" s="600"/>
      <c r="I107" s="600"/>
      <c r="J107" s="600"/>
      <c r="K107" s="600"/>
    </row>
    <row r="108" spans="1:11" ht="15.75" customHeight="1" x14ac:dyDescent="0.25">
      <c r="A108" s="928">
        <f t="shared" si="1"/>
        <v>61</v>
      </c>
      <c r="B108" s="926">
        <f>+NOMINA!C104</f>
        <v>11320533</v>
      </c>
      <c r="C108" s="926" t="str">
        <f>+NOMINA!D104</f>
        <v>Suarez Chiquin Yaritza Josefina</v>
      </c>
      <c r="D108" s="926" t="str">
        <f>+NOMINA!O104</f>
        <v>Administrador IV</v>
      </c>
      <c r="E108" s="929">
        <f>+NOMINA!H104</f>
        <v>37629</v>
      </c>
      <c r="F108" s="930">
        <f>+NOMINA!BN104</f>
        <v>0</v>
      </c>
      <c r="G108" s="599"/>
      <c r="H108" s="600"/>
      <c r="I108" s="600"/>
      <c r="J108" s="600"/>
      <c r="K108" s="600"/>
    </row>
    <row r="109" spans="1:11" ht="15.75" customHeight="1" x14ac:dyDescent="0.25">
      <c r="A109" s="928">
        <f t="shared" si="1"/>
        <v>62</v>
      </c>
      <c r="B109" s="926">
        <f>+NOMINA!C105</f>
        <v>11322871</v>
      </c>
      <c r="C109" s="926" t="str">
        <f>+NOMINA!D105</f>
        <v>Rivas Albarran Martin Antonio</v>
      </c>
      <c r="D109" s="926" t="str">
        <f>+NOMINA!O105</f>
        <v>Tutor Facilitador III</v>
      </c>
      <c r="E109" s="929">
        <f>+NOMINA!H105</f>
        <v>38718</v>
      </c>
      <c r="F109" s="930">
        <f>+NOMINA!BN105</f>
        <v>6.09</v>
      </c>
      <c r="G109" s="599"/>
      <c r="H109" s="600"/>
      <c r="I109" s="600"/>
      <c r="J109" s="600"/>
      <c r="K109" s="600"/>
    </row>
    <row r="110" spans="1:11" ht="15.75" customHeight="1" x14ac:dyDescent="0.25">
      <c r="A110" s="928">
        <f t="shared" si="1"/>
        <v>63</v>
      </c>
      <c r="B110" s="926">
        <f>+NOMINA!C106</f>
        <v>11616673</v>
      </c>
      <c r="C110" s="926" t="str">
        <f>+NOMINA!D106</f>
        <v>Perdomo Orlando Jose</v>
      </c>
      <c r="D110" s="926" t="str">
        <f>+NOMINA!O106</f>
        <v>Tutor Facilitador III</v>
      </c>
      <c r="E110" s="929">
        <f>+NOMINA!H106</f>
        <v>35066</v>
      </c>
      <c r="F110" s="930">
        <f>+NOMINA!BN106</f>
        <v>6.29</v>
      </c>
      <c r="G110" s="599"/>
      <c r="H110" s="600"/>
      <c r="I110" s="600"/>
      <c r="J110" s="600"/>
      <c r="K110" s="600"/>
    </row>
    <row r="111" spans="1:11" ht="15.75" customHeight="1" x14ac:dyDescent="0.25">
      <c r="A111" s="928">
        <f t="shared" si="1"/>
        <v>64</v>
      </c>
      <c r="B111" s="926">
        <f>+NOMINA!C107</f>
        <v>11734553</v>
      </c>
      <c r="C111" s="926" t="str">
        <f>+NOMINA!D107</f>
        <v>Teran Torres Olga del Carmen</v>
      </c>
      <c r="D111" s="926" t="str">
        <f>+NOMINA!O107</f>
        <v>Tutor Facilitador III</v>
      </c>
      <c r="E111" s="929">
        <f>+NOMINA!H107</f>
        <v>43206</v>
      </c>
      <c r="F111" s="930">
        <f>+NOMINA!BN107</f>
        <v>6.22</v>
      </c>
      <c r="G111" s="599"/>
      <c r="H111" s="600"/>
      <c r="I111" s="600"/>
      <c r="J111" s="600"/>
      <c r="K111" s="600"/>
    </row>
    <row r="112" spans="1:11" ht="15.75" customHeight="1" x14ac:dyDescent="0.25">
      <c r="A112" s="928">
        <f t="shared" si="1"/>
        <v>65</v>
      </c>
      <c r="B112" s="926">
        <f>+NOMINA!C108</f>
        <v>11894534</v>
      </c>
      <c r="C112" s="926" t="str">
        <f>+NOMINA!D108</f>
        <v>Olmos Rodriguez Eberto de Jesus</v>
      </c>
      <c r="D112" s="926" t="str">
        <f>+NOMINA!O108</f>
        <v>Administrador Jefe</v>
      </c>
      <c r="E112" s="929">
        <f>+NOMINA!H108</f>
        <v>40909</v>
      </c>
      <c r="F112" s="930">
        <f>+NOMINA!BN108</f>
        <v>0</v>
      </c>
      <c r="G112" s="599"/>
      <c r="H112" s="600"/>
      <c r="I112" s="600"/>
      <c r="J112" s="600"/>
      <c r="K112" s="600"/>
    </row>
    <row r="113" spans="1:11" ht="15.75" customHeight="1" x14ac:dyDescent="0.25">
      <c r="A113" s="928">
        <f t="shared" si="1"/>
        <v>66</v>
      </c>
      <c r="B113" s="926">
        <f>+NOMINA!C109</f>
        <v>11895772</v>
      </c>
      <c r="C113" s="926" t="str">
        <f>+NOMINA!D109</f>
        <v>Rangel Rivas Ildemaro</v>
      </c>
      <c r="D113" s="926" t="str">
        <f>+NOMINA!O109</f>
        <v>Entrenador Deportivo II</v>
      </c>
      <c r="E113" s="929">
        <f>+NOMINA!H109</f>
        <v>44743</v>
      </c>
      <c r="F113" s="930">
        <f>+NOMINA!BN109</f>
        <v>0</v>
      </c>
      <c r="G113" s="599"/>
      <c r="H113" s="600"/>
      <c r="I113" s="600"/>
      <c r="J113" s="600"/>
      <c r="K113" s="600"/>
    </row>
    <row r="114" spans="1:11" ht="15.75" customHeight="1" x14ac:dyDescent="0.25">
      <c r="A114" s="928">
        <f t="shared" ref="A114:A177" si="2">+A113+1</f>
        <v>67</v>
      </c>
      <c r="B114" s="926">
        <f>+NOMINA!C110</f>
        <v>11898486</v>
      </c>
      <c r="C114" s="926" t="str">
        <f>+NOMINA!D110</f>
        <v>Linares Hernandez Thaiz Yoconda</v>
      </c>
      <c r="D114" s="926" t="str">
        <f>+NOMINA!O110</f>
        <v>Asistente Administrativo III</v>
      </c>
      <c r="E114" s="929">
        <f>+NOMINA!H110</f>
        <v>40065</v>
      </c>
      <c r="F114" s="930">
        <f>+NOMINA!BN110</f>
        <v>4.8</v>
      </c>
      <c r="G114" s="599"/>
      <c r="H114" s="600"/>
      <c r="I114" s="600"/>
      <c r="J114" s="600"/>
      <c r="K114" s="600"/>
    </row>
    <row r="115" spans="1:11" ht="15.75" customHeight="1" x14ac:dyDescent="0.25">
      <c r="A115" s="928">
        <f t="shared" si="2"/>
        <v>68</v>
      </c>
      <c r="B115" s="926">
        <f>+NOMINA!C111</f>
        <v>12040792</v>
      </c>
      <c r="C115" s="926" t="str">
        <f>+NOMINA!D111</f>
        <v>Sulbaran Campos Jesus Alberto</v>
      </c>
      <c r="D115" s="926" t="str">
        <f>+NOMINA!O111</f>
        <v>Supervisor de Servicios Generales III</v>
      </c>
      <c r="E115" s="929">
        <f>+NOMINA!H111</f>
        <v>43236</v>
      </c>
      <c r="F115" s="930">
        <f>+NOMINA!BN111</f>
        <v>3.8</v>
      </c>
      <c r="G115" s="599"/>
      <c r="H115" s="600"/>
      <c r="I115" s="600"/>
      <c r="J115" s="600"/>
      <c r="K115" s="600"/>
    </row>
    <row r="116" spans="1:11" ht="15.75" customHeight="1" x14ac:dyDescent="0.25">
      <c r="A116" s="928">
        <f t="shared" si="2"/>
        <v>69</v>
      </c>
      <c r="B116" s="926">
        <f>+NOMINA!C112</f>
        <v>12042855</v>
      </c>
      <c r="C116" s="926" t="str">
        <f>+NOMINA!D112</f>
        <v>Alburguez  Manzanilla Neira Josefina</v>
      </c>
      <c r="D116" s="926" t="str">
        <f>+NOMINA!O112</f>
        <v>Enfermera Jefe I</v>
      </c>
      <c r="E116" s="929">
        <f>+NOMINA!H112</f>
        <v>44028</v>
      </c>
      <c r="F116" s="930">
        <f>+NOMINA!BN112</f>
        <v>4.5</v>
      </c>
      <c r="G116" s="599"/>
      <c r="H116" s="600"/>
      <c r="I116" s="600"/>
      <c r="J116" s="600"/>
      <c r="K116" s="600"/>
    </row>
    <row r="117" spans="1:11" ht="15.75" customHeight="1" x14ac:dyDescent="0.25">
      <c r="A117" s="928">
        <f t="shared" si="2"/>
        <v>70</v>
      </c>
      <c r="B117" s="926">
        <f>+NOMINA!C113</f>
        <v>12045335</v>
      </c>
      <c r="C117" s="926" t="str">
        <f>+NOMINA!D113</f>
        <v>Gonzalez De Briceño Yasmin Coromoto</v>
      </c>
      <c r="D117" s="926" t="str">
        <f>+NOMINA!O113</f>
        <v>Guia de Centro I</v>
      </c>
      <c r="E117" s="929">
        <f>+NOMINA!H113</f>
        <v>45505</v>
      </c>
      <c r="F117" s="930">
        <f>+NOMINA!BN113</f>
        <v>6.15</v>
      </c>
      <c r="G117" s="599"/>
      <c r="H117" s="600"/>
      <c r="I117" s="600"/>
      <c r="J117" s="600"/>
      <c r="K117" s="600"/>
    </row>
    <row r="118" spans="1:11" ht="15.75" customHeight="1" x14ac:dyDescent="0.25">
      <c r="A118" s="928">
        <f t="shared" si="2"/>
        <v>71</v>
      </c>
      <c r="B118" s="926">
        <f>+NOMINA!C114</f>
        <v>12045360</v>
      </c>
      <c r="C118" s="926" t="str">
        <f>+NOMINA!D114</f>
        <v>Montilla Lamus Ana Cristina</v>
      </c>
      <c r="D118" s="926" t="str">
        <f>+NOMINA!O114</f>
        <v>Guia de Centro I</v>
      </c>
      <c r="E118" s="929">
        <f>+NOMINA!H114</f>
        <v>39238</v>
      </c>
      <c r="F118" s="930">
        <f>+NOMINA!BN114</f>
        <v>3.6</v>
      </c>
      <c r="G118" s="599"/>
      <c r="H118" s="600"/>
      <c r="I118" s="600"/>
      <c r="J118" s="600"/>
      <c r="K118" s="600"/>
    </row>
    <row r="119" spans="1:11" ht="15.75" customHeight="1" x14ac:dyDescent="0.25">
      <c r="A119" s="928">
        <f t="shared" si="2"/>
        <v>72</v>
      </c>
      <c r="B119" s="926">
        <f>+NOMINA!C115</f>
        <v>12045504</v>
      </c>
      <c r="C119" s="926" t="str">
        <f>+NOMINA!D115</f>
        <v>Sanchez Olivar Denis Josefina</v>
      </c>
      <c r="D119" s="926" t="str">
        <f>+NOMINA!O115</f>
        <v>Asistente Administrativo II</v>
      </c>
      <c r="E119" s="929">
        <f>+NOMINA!H115</f>
        <v>43862</v>
      </c>
      <c r="F119" s="930">
        <f>+NOMINA!BN115</f>
        <v>3.13</v>
      </c>
      <c r="G119" s="599"/>
      <c r="H119" s="600"/>
      <c r="I119" s="600"/>
      <c r="J119" s="600"/>
      <c r="K119" s="600"/>
    </row>
    <row r="120" spans="1:11" ht="15.75" customHeight="1" x14ac:dyDescent="0.25">
      <c r="A120" s="928">
        <f t="shared" si="2"/>
        <v>73</v>
      </c>
      <c r="B120" s="926">
        <f>+NOMINA!C116</f>
        <v>12045934</v>
      </c>
      <c r="C120" s="926" t="str">
        <f>+NOMINA!D116</f>
        <v>Mendez Olmos Tulio Enrique</v>
      </c>
      <c r="D120" s="926" t="str">
        <f>+NOMINA!O116</f>
        <v>Especialista en Informatica I</v>
      </c>
      <c r="E120" s="929">
        <f>+NOMINA!H116</f>
        <v>36342</v>
      </c>
      <c r="F120" s="930">
        <f>+NOMINA!BN116</f>
        <v>6.29</v>
      </c>
      <c r="G120" s="599"/>
      <c r="H120" s="600"/>
      <c r="I120" s="600"/>
      <c r="J120" s="600"/>
      <c r="K120" s="600"/>
    </row>
    <row r="121" spans="1:11" ht="15.75" customHeight="1" x14ac:dyDescent="0.25">
      <c r="A121" s="928">
        <f t="shared" si="2"/>
        <v>74</v>
      </c>
      <c r="B121" s="926">
        <f>+NOMINA!C117</f>
        <v>12457981</v>
      </c>
      <c r="C121" s="926" t="str">
        <f>+NOMINA!D117</f>
        <v>Escalona Ruiz Luis Alberto</v>
      </c>
      <c r="D121" s="926" t="str">
        <f>+NOMINA!O117</f>
        <v>Medico Especialista II</v>
      </c>
      <c r="E121" s="929">
        <f>+NOMINA!H117</f>
        <v>44348</v>
      </c>
      <c r="F121" s="930">
        <f>+NOMINA!BN117</f>
        <v>4.45</v>
      </c>
      <c r="G121" s="599"/>
      <c r="H121" s="600"/>
      <c r="I121" s="600"/>
      <c r="J121" s="600"/>
      <c r="K121" s="600"/>
    </row>
    <row r="122" spans="1:11" ht="15.75" customHeight="1" x14ac:dyDescent="0.25">
      <c r="A122" s="928">
        <f t="shared" si="2"/>
        <v>75</v>
      </c>
      <c r="B122" s="926">
        <f>+NOMINA!C118</f>
        <v>12458811</v>
      </c>
      <c r="C122" s="926" t="str">
        <f>+NOMINA!D118</f>
        <v>Segovia Rondon Milagros del Valle</v>
      </c>
      <c r="D122" s="926" t="str">
        <f>+NOMINA!O118</f>
        <v>Analista de Presupuesto Jefe</v>
      </c>
      <c r="E122" s="929">
        <f>+NOMINA!H118</f>
        <v>39514</v>
      </c>
      <c r="F122" s="930">
        <f>+NOMINA!BN118</f>
        <v>7.19</v>
      </c>
      <c r="G122" s="599"/>
      <c r="H122" s="600"/>
      <c r="I122" s="600"/>
      <c r="J122" s="600"/>
      <c r="K122" s="600"/>
    </row>
    <row r="123" spans="1:11" ht="15.75" customHeight="1" x14ac:dyDescent="0.25">
      <c r="A123" s="928">
        <f t="shared" si="2"/>
        <v>76</v>
      </c>
      <c r="B123" s="926">
        <f>+NOMINA!C119</f>
        <v>12458942</v>
      </c>
      <c r="C123" s="926" t="str">
        <f>+NOMINA!D119</f>
        <v>Mendoza Mendoza Mirian Del Milagro</v>
      </c>
      <c r="D123" s="926" t="str">
        <f>+NOMINA!O119</f>
        <v>Administrador Jefe</v>
      </c>
      <c r="E123" s="929">
        <f>+NOMINA!H119</f>
        <v>44424</v>
      </c>
      <c r="F123" s="930">
        <f>+NOMINA!BN119</f>
        <v>0</v>
      </c>
      <c r="G123" s="599"/>
      <c r="H123" s="600"/>
      <c r="I123" s="600"/>
      <c r="J123" s="600"/>
      <c r="K123" s="600"/>
    </row>
    <row r="124" spans="1:11" ht="15.75" customHeight="1" x14ac:dyDescent="0.25">
      <c r="A124" s="928">
        <f t="shared" si="2"/>
        <v>77</v>
      </c>
      <c r="B124" s="926">
        <f>+NOMINA!C120</f>
        <v>12541044</v>
      </c>
      <c r="C124" s="926" t="str">
        <f>+NOMINA!D120</f>
        <v>Rojas Telles Lisbeth Josefina</v>
      </c>
      <c r="D124" s="926" t="str">
        <f>+NOMINA!O120</f>
        <v>Tutor Facilitador I</v>
      </c>
      <c r="E124" s="929">
        <f>+NOMINA!H120</f>
        <v>45597</v>
      </c>
      <c r="F124" s="930">
        <f>+NOMINA!BN120</f>
        <v>4.8600000000000003</v>
      </c>
      <c r="G124" s="599"/>
      <c r="H124" s="600"/>
      <c r="I124" s="600"/>
      <c r="J124" s="600"/>
      <c r="K124" s="600"/>
    </row>
    <row r="125" spans="1:11" ht="15.75" customHeight="1" x14ac:dyDescent="0.25">
      <c r="A125" s="928">
        <f t="shared" si="2"/>
        <v>78</v>
      </c>
      <c r="B125" s="926">
        <f>+NOMINA!C121</f>
        <v>12542413</v>
      </c>
      <c r="C125" s="926" t="str">
        <f>+NOMINA!D121</f>
        <v>Aponte Matheus Richard Alexander</v>
      </c>
      <c r="D125" s="926" t="str">
        <f>+NOMINA!O121</f>
        <v>Guia de Centro II</v>
      </c>
      <c r="E125" s="929">
        <f>+NOMINA!H121</f>
        <v>36434</v>
      </c>
      <c r="F125" s="930">
        <f>+NOMINA!BN121</f>
        <v>0</v>
      </c>
      <c r="G125" s="599"/>
      <c r="H125" s="600"/>
      <c r="I125" s="600"/>
      <c r="J125" s="600"/>
      <c r="K125" s="600"/>
    </row>
    <row r="126" spans="1:11" ht="15.75" customHeight="1" x14ac:dyDescent="0.25">
      <c r="A126" s="928">
        <f t="shared" si="2"/>
        <v>79</v>
      </c>
      <c r="B126" s="926">
        <f>+NOMINA!C122</f>
        <v>12798604</v>
      </c>
      <c r="C126" s="926" t="str">
        <f>+NOMINA!D122</f>
        <v>Camacho Gomez Trina Margarita</v>
      </c>
      <c r="D126" s="926" t="str">
        <f>+NOMINA!O122</f>
        <v>Guia de Centro II</v>
      </c>
      <c r="E126" s="929">
        <f>+NOMINA!H122</f>
        <v>35384</v>
      </c>
      <c r="F126" s="930">
        <f>+NOMINA!BN122</f>
        <v>3.73</v>
      </c>
      <c r="G126" s="599"/>
      <c r="H126" s="600"/>
      <c r="I126" s="600"/>
      <c r="J126" s="600"/>
      <c r="K126" s="600"/>
    </row>
    <row r="127" spans="1:11" ht="15.75" customHeight="1" x14ac:dyDescent="0.25">
      <c r="A127" s="928">
        <f t="shared" si="2"/>
        <v>80</v>
      </c>
      <c r="B127" s="926">
        <f>+NOMINA!C123</f>
        <v>12798736</v>
      </c>
      <c r="C127" s="926" t="str">
        <f>+NOMINA!D123</f>
        <v>Gonzalez Pabon Marianela</v>
      </c>
      <c r="D127" s="926" t="str">
        <f>+NOMINA!O123</f>
        <v>Analista de Personal VI</v>
      </c>
      <c r="E127" s="929">
        <f>+NOMINA!H123</f>
        <v>39479</v>
      </c>
      <c r="F127" s="930">
        <f>+NOMINA!BN123</f>
        <v>6.92</v>
      </c>
      <c r="G127" s="599"/>
      <c r="H127" s="600"/>
      <c r="I127" s="600"/>
      <c r="J127" s="600"/>
      <c r="K127" s="600"/>
    </row>
    <row r="128" spans="1:11" ht="15.75" customHeight="1" x14ac:dyDescent="0.25">
      <c r="A128" s="928">
        <f t="shared" si="2"/>
        <v>81</v>
      </c>
      <c r="B128" s="926">
        <f>+NOMINA!C124</f>
        <v>12939010</v>
      </c>
      <c r="C128" s="926" t="str">
        <f>+NOMINA!D124</f>
        <v>Mendez de Viloria Yelitza del Valle</v>
      </c>
      <c r="D128" s="926" t="str">
        <f>+NOMINA!O124</f>
        <v>Asistente Administrativo III</v>
      </c>
      <c r="E128" s="929">
        <f>+NOMINA!H124</f>
        <v>42948</v>
      </c>
      <c r="F128" s="930">
        <f>+NOMINA!BN124</f>
        <v>4.63</v>
      </c>
      <c r="G128" s="599"/>
      <c r="H128" s="600"/>
      <c r="I128" s="600"/>
      <c r="J128" s="600"/>
      <c r="K128" s="600"/>
    </row>
    <row r="129" spans="1:11" ht="15.75" customHeight="1" x14ac:dyDescent="0.25">
      <c r="A129" s="928">
        <f t="shared" si="2"/>
        <v>82</v>
      </c>
      <c r="B129" s="926">
        <f>+NOMINA!C125</f>
        <v>12941385</v>
      </c>
      <c r="C129" s="926" t="str">
        <f>+NOMINA!D125</f>
        <v>Torres de Gonzalez Milangela Maria</v>
      </c>
      <c r="D129" s="926" t="str">
        <f>+NOMINA!O125</f>
        <v>Tutor Facilitador III</v>
      </c>
      <c r="E129" s="929">
        <f>+NOMINA!H125</f>
        <v>42948</v>
      </c>
      <c r="F129" s="930">
        <f>+NOMINA!BN125</f>
        <v>5.41</v>
      </c>
      <c r="G129" s="599"/>
      <c r="H129" s="600"/>
      <c r="I129" s="600"/>
      <c r="J129" s="600"/>
      <c r="K129" s="600"/>
    </row>
    <row r="130" spans="1:11" ht="15.75" customHeight="1" x14ac:dyDescent="0.25">
      <c r="A130" s="928">
        <f t="shared" si="2"/>
        <v>83</v>
      </c>
      <c r="B130" s="926">
        <f>+NOMINA!C126</f>
        <v>13117904</v>
      </c>
      <c r="C130" s="926" t="str">
        <f>+NOMINA!D126</f>
        <v>Villegas Jaime Antonio</v>
      </c>
      <c r="D130" s="926" t="str">
        <f>+NOMINA!O126</f>
        <v>Guia de Centro I</v>
      </c>
      <c r="E130" s="929">
        <f>+NOMINA!H126</f>
        <v>43693</v>
      </c>
      <c r="F130" s="930">
        <f>+NOMINA!BN126</f>
        <v>4.2</v>
      </c>
      <c r="G130" s="599"/>
      <c r="H130" s="600"/>
      <c r="I130" s="600"/>
      <c r="J130" s="600"/>
      <c r="K130" s="600"/>
    </row>
    <row r="131" spans="1:11" ht="15.75" customHeight="1" x14ac:dyDescent="0.25">
      <c r="A131" s="928">
        <f t="shared" si="2"/>
        <v>84</v>
      </c>
      <c r="B131" s="926">
        <f>+NOMINA!C127</f>
        <v>13206767</v>
      </c>
      <c r="C131" s="926" t="str">
        <f>+NOMINA!D127</f>
        <v>Bastidas Guerra Soralis del Valle</v>
      </c>
      <c r="D131" s="926" t="str">
        <f>+NOMINA!O127</f>
        <v>Abogado I</v>
      </c>
      <c r="E131" s="929">
        <f>+NOMINA!H127</f>
        <v>44713</v>
      </c>
      <c r="F131" s="930">
        <f>+NOMINA!BN127</f>
        <v>0</v>
      </c>
      <c r="G131" s="599"/>
      <c r="H131" s="600"/>
      <c r="I131" s="600"/>
      <c r="J131" s="600"/>
      <c r="K131" s="600"/>
    </row>
    <row r="132" spans="1:11" ht="15.75" customHeight="1" x14ac:dyDescent="0.25">
      <c r="A132" s="928">
        <f t="shared" si="2"/>
        <v>85</v>
      </c>
      <c r="B132" s="926">
        <f>+NOMINA!C128</f>
        <v>13207692</v>
      </c>
      <c r="C132" s="926" t="str">
        <f>+NOMINA!D128</f>
        <v>Macias Briceño Alejandra Coromoto</v>
      </c>
      <c r="D132" s="926" t="str">
        <f>+NOMINA!O128</f>
        <v>Administrador III</v>
      </c>
      <c r="E132" s="929">
        <f>+NOMINA!H128</f>
        <v>38504</v>
      </c>
      <c r="F132" s="930">
        <f>+NOMINA!BN128</f>
        <v>6.46</v>
      </c>
      <c r="G132" s="599"/>
      <c r="H132" s="600"/>
      <c r="I132" s="600"/>
      <c r="J132" s="600"/>
      <c r="K132" s="600"/>
    </row>
    <row r="133" spans="1:11" ht="15.75" customHeight="1" x14ac:dyDescent="0.25">
      <c r="A133" s="928">
        <f t="shared" si="2"/>
        <v>86</v>
      </c>
      <c r="B133" s="926">
        <f>+NOMINA!C129</f>
        <v>13260050</v>
      </c>
      <c r="C133" s="926" t="str">
        <f>+NOMINA!D129</f>
        <v>Mendoza Vieras Maria Elena</v>
      </c>
      <c r="D133" s="926" t="str">
        <f>+NOMINA!O129</f>
        <v>ADMINISTRADOR III</v>
      </c>
      <c r="E133" s="929">
        <f>+NOMINA!H129</f>
        <v>45444</v>
      </c>
      <c r="F133" s="930">
        <f>+NOMINA!BN129</f>
        <v>5.7</v>
      </c>
      <c r="G133" s="599"/>
      <c r="H133" s="600"/>
      <c r="I133" s="600"/>
      <c r="J133" s="600"/>
      <c r="K133" s="600"/>
    </row>
    <row r="134" spans="1:11" ht="15.75" customHeight="1" x14ac:dyDescent="0.25">
      <c r="A134" s="928">
        <f t="shared" si="2"/>
        <v>87</v>
      </c>
      <c r="B134" s="926">
        <f>+NOMINA!C130</f>
        <v>13261035</v>
      </c>
      <c r="C134" s="926" t="str">
        <f>+NOMINA!D130</f>
        <v>Henry Peña Yokary Nakary</v>
      </c>
      <c r="D134" s="926" t="str">
        <f>+NOMINA!O130</f>
        <v>Entrenador Deportivo V</v>
      </c>
      <c r="E134" s="929">
        <f>+NOMINA!H130</f>
        <v>43770</v>
      </c>
      <c r="F134" s="930">
        <f>+NOMINA!BN130</f>
        <v>5.26</v>
      </c>
      <c r="G134" s="599"/>
      <c r="H134" s="600"/>
      <c r="I134" s="600"/>
      <c r="J134" s="600"/>
      <c r="K134" s="600"/>
    </row>
    <row r="135" spans="1:11" ht="15.75" customHeight="1" x14ac:dyDescent="0.25">
      <c r="A135" s="928">
        <f t="shared" si="2"/>
        <v>88</v>
      </c>
      <c r="B135" s="926">
        <f>+NOMINA!C131</f>
        <v>13261229</v>
      </c>
      <c r="C135" s="926" t="str">
        <f>+NOMINA!D131</f>
        <v>Abreu Rodriguez Eva del Carmen</v>
      </c>
      <c r="D135" s="926" t="str">
        <f>+NOMINA!O131</f>
        <v>Asistente Administrativo III</v>
      </c>
      <c r="E135" s="929">
        <f>+NOMINA!H131</f>
        <v>42644</v>
      </c>
      <c r="F135" s="930">
        <f>+NOMINA!BN131</f>
        <v>4.59</v>
      </c>
      <c r="G135" s="599"/>
      <c r="H135" s="600"/>
      <c r="I135" s="600"/>
      <c r="J135" s="600"/>
      <c r="K135" s="600"/>
    </row>
    <row r="136" spans="1:11" ht="15.75" customHeight="1" x14ac:dyDescent="0.25">
      <c r="A136" s="928">
        <f t="shared" si="2"/>
        <v>89</v>
      </c>
      <c r="B136" s="926">
        <f>+NOMINA!C132</f>
        <v>13461934</v>
      </c>
      <c r="C136" s="926" t="str">
        <f>+NOMINA!D132</f>
        <v>Ramirez Ayala Jenny Marisela</v>
      </c>
      <c r="D136" s="926" t="str">
        <f>+NOMINA!O132</f>
        <v>Guia de Centro II</v>
      </c>
      <c r="E136" s="929">
        <f>+NOMINA!H132</f>
        <v>43252</v>
      </c>
      <c r="F136" s="930">
        <f>+NOMINA!BN132</f>
        <v>4.0599999999999996</v>
      </c>
      <c r="G136" s="599"/>
      <c r="H136" s="600"/>
      <c r="I136" s="600"/>
      <c r="J136" s="600"/>
      <c r="K136" s="600"/>
    </row>
    <row r="137" spans="1:11" ht="15.75" customHeight="1" x14ac:dyDescent="0.25">
      <c r="A137" s="928">
        <f t="shared" si="2"/>
        <v>90</v>
      </c>
      <c r="B137" s="926">
        <f>+NOMINA!C133</f>
        <v>13462933</v>
      </c>
      <c r="C137" s="926" t="str">
        <f>+NOMINA!D133</f>
        <v>Frias Aldana Maria Yaritza</v>
      </c>
      <c r="D137" s="926" t="str">
        <f>+NOMINA!O133</f>
        <v>Administrador Jefe</v>
      </c>
      <c r="E137" s="929">
        <f>+NOMINA!H133</f>
        <v>39454</v>
      </c>
      <c r="F137" s="930">
        <f>+NOMINA!BN133</f>
        <v>0</v>
      </c>
      <c r="G137" s="599"/>
      <c r="H137" s="600"/>
      <c r="I137" s="600"/>
      <c r="J137" s="600"/>
      <c r="K137" s="600"/>
    </row>
    <row r="138" spans="1:11" ht="15.75" customHeight="1" x14ac:dyDescent="0.25">
      <c r="A138" s="928">
        <f t="shared" si="2"/>
        <v>91</v>
      </c>
      <c r="B138" s="926">
        <f>+NOMINA!C134</f>
        <v>13462511</v>
      </c>
      <c r="C138" s="926" t="str">
        <f>+NOMINA!D134</f>
        <v>Vielma Jenifer</v>
      </c>
      <c r="D138" s="926" t="str">
        <f>+NOMINA!O134</f>
        <v>Criminologo</v>
      </c>
      <c r="E138" s="929">
        <f>+NOMINA!H134</f>
        <v>43738</v>
      </c>
      <c r="F138" s="930">
        <f>+NOMINA!BN134</f>
        <v>6.83</v>
      </c>
      <c r="G138" s="599"/>
      <c r="H138" s="600"/>
      <c r="I138" s="600"/>
      <c r="J138" s="600"/>
      <c r="K138" s="600"/>
    </row>
    <row r="139" spans="1:11" ht="15.75" customHeight="1" x14ac:dyDescent="0.25">
      <c r="A139" s="928">
        <f t="shared" si="2"/>
        <v>92</v>
      </c>
      <c r="B139" s="926">
        <f>+NOMINA!C135</f>
        <v>13522518</v>
      </c>
      <c r="C139" s="926" t="str">
        <f>+NOMINA!D135</f>
        <v>Altuve Diaz Jose Antonio</v>
      </c>
      <c r="D139" s="926" t="str">
        <f>+NOMINA!O135</f>
        <v>Almacenista II</v>
      </c>
      <c r="E139" s="929">
        <f>+NOMINA!H135</f>
        <v>43739</v>
      </c>
      <c r="F139" s="930">
        <f>+NOMINA!BN135</f>
        <v>3</v>
      </c>
      <c r="G139" s="599"/>
      <c r="H139" s="600"/>
      <c r="I139" s="600"/>
      <c r="J139" s="600"/>
      <c r="K139" s="600"/>
    </row>
    <row r="140" spans="1:11" ht="15.75" customHeight="1" x14ac:dyDescent="0.25">
      <c r="A140" s="928">
        <f t="shared" si="2"/>
        <v>93</v>
      </c>
      <c r="B140" s="926">
        <f>+NOMINA!C136</f>
        <v>13523075</v>
      </c>
      <c r="C140" s="926" t="str">
        <f>+NOMINA!D136</f>
        <v>Zambrano Castellanos Maria Alejandra</v>
      </c>
      <c r="D140" s="926" t="str">
        <f>+NOMINA!O136</f>
        <v>Planificador V</v>
      </c>
      <c r="E140" s="929">
        <f>+NOMINA!H136</f>
        <v>37718</v>
      </c>
      <c r="F140" s="930">
        <f>+NOMINA!BN136</f>
        <v>5.41</v>
      </c>
      <c r="G140" s="599"/>
      <c r="H140" s="600"/>
      <c r="I140" s="600"/>
      <c r="J140" s="600"/>
      <c r="K140" s="600"/>
    </row>
    <row r="141" spans="1:11" ht="15.75" customHeight="1" x14ac:dyDescent="0.25">
      <c r="A141" s="928">
        <f t="shared" si="2"/>
        <v>94</v>
      </c>
      <c r="B141" s="926">
        <f>+NOMINA!C137</f>
        <v>13765028</v>
      </c>
      <c r="C141" s="926" t="str">
        <f>+NOMINA!D137</f>
        <v>Diaz Ramirez Mileyda del Valle</v>
      </c>
      <c r="D141" s="926" t="str">
        <f>+NOMINA!O137</f>
        <v>Guia de Centro II</v>
      </c>
      <c r="E141" s="929">
        <f>+NOMINA!H137</f>
        <v>44348</v>
      </c>
      <c r="F141" s="930">
        <f>+NOMINA!BN137</f>
        <v>5.94</v>
      </c>
      <c r="G141" s="599"/>
      <c r="H141" s="600"/>
      <c r="I141" s="600"/>
      <c r="J141" s="600"/>
      <c r="K141" s="600"/>
    </row>
    <row r="142" spans="1:11" ht="15.75" customHeight="1" x14ac:dyDescent="0.25">
      <c r="A142" s="928">
        <f t="shared" si="2"/>
        <v>95</v>
      </c>
      <c r="B142" s="926">
        <f>+NOMINA!C138</f>
        <v>13896147</v>
      </c>
      <c r="C142" s="926" t="str">
        <f>+NOMINA!D138</f>
        <v>Carrizo Blanco Belquis Cecilia</v>
      </c>
      <c r="D142" s="926" t="str">
        <f>+NOMINA!O138</f>
        <v>Administrador III</v>
      </c>
      <c r="E142" s="929">
        <f>+NOMINA!H138</f>
        <v>41334</v>
      </c>
      <c r="F142" s="930">
        <f>+NOMINA!BN138</f>
        <v>5.65</v>
      </c>
      <c r="G142" s="599"/>
      <c r="H142" s="600"/>
      <c r="I142" s="600"/>
      <c r="J142" s="600"/>
      <c r="K142" s="600"/>
    </row>
    <row r="143" spans="1:11" ht="15.75" customHeight="1" x14ac:dyDescent="0.25">
      <c r="A143" s="928">
        <f t="shared" si="2"/>
        <v>96</v>
      </c>
      <c r="B143" s="926">
        <f>+NOMINA!C139</f>
        <v>13896239</v>
      </c>
      <c r="C143" s="926" t="str">
        <f>+NOMINA!D139</f>
        <v>Sulbaran Campos Yusneida Ayarith</v>
      </c>
      <c r="D143" s="926" t="str">
        <f>+NOMINA!O139</f>
        <v>Analista de Presupuesto IV</v>
      </c>
      <c r="E143" s="929">
        <f>+NOMINA!H139</f>
        <v>42416</v>
      </c>
      <c r="F143" s="930">
        <f>+NOMINA!BN139</f>
        <v>3.31</v>
      </c>
      <c r="G143" s="599"/>
      <c r="H143" s="600"/>
      <c r="I143" s="600"/>
      <c r="J143" s="600"/>
      <c r="K143" s="600"/>
    </row>
    <row r="144" spans="1:11" ht="15.75" customHeight="1" x14ac:dyDescent="0.25">
      <c r="A144" s="928">
        <f t="shared" si="2"/>
        <v>97</v>
      </c>
      <c r="B144" s="926">
        <f>+NOMINA!C140</f>
        <v>13897046</v>
      </c>
      <c r="C144" s="926" t="str">
        <f>+NOMINA!D140</f>
        <v>Artigas Sanchez Mireya Carolina</v>
      </c>
      <c r="D144" s="926" t="str">
        <f>+NOMINA!O140</f>
        <v>Tecnico Superior en Trabajo Social II</v>
      </c>
      <c r="E144" s="929">
        <f>+NOMINA!H140</f>
        <v>42384</v>
      </c>
      <c r="F144" s="930">
        <f>+NOMINA!BN140</f>
        <v>4.8</v>
      </c>
      <c r="G144" s="599"/>
      <c r="H144" s="600"/>
      <c r="I144" s="600"/>
      <c r="J144" s="600"/>
      <c r="K144" s="600"/>
    </row>
    <row r="145" spans="1:11" ht="15.75" customHeight="1" x14ac:dyDescent="0.25">
      <c r="A145" s="928">
        <f t="shared" si="2"/>
        <v>98</v>
      </c>
      <c r="B145" s="926">
        <f>+NOMINA!C141</f>
        <v>13897695</v>
      </c>
      <c r="C145" s="926" t="str">
        <f>+NOMINA!D141</f>
        <v>Araujo Matheus Alba Mariela</v>
      </c>
      <c r="D145" s="926" t="str">
        <f>+NOMINA!O141</f>
        <v>Analista de Presupuesto Jefe</v>
      </c>
      <c r="E145" s="929">
        <f>+NOMINA!H141</f>
        <v>39496</v>
      </c>
      <c r="F145" s="930">
        <f>+NOMINA!BN141</f>
        <v>6.46</v>
      </c>
      <c r="G145" s="599"/>
      <c r="H145" s="600"/>
      <c r="I145" s="600"/>
      <c r="J145" s="600"/>
      <c r="K145" s="600"/>
    </row>
    <row r="146" spans="1:11" ht="15.75" customHeight="1" x14ac:dyDescent="0.25">
      <c r="A146" s="928">
        <f t="shared" si="2"/>
        <v>99</v>
      </c>
      <c r="B146" s="926">
        <f>+NOMINA!C142</f>
        <v>13996024</v>
      </c>
      <c r="C146" s="926" t="str">
        <f>+NOMINA!D142</f>
        <v>Perez Barrios Helenmar</v>
      </c>
      <c r="D146" s="926" t="str">
        <f>+NOMINA!O142</f>
        <v>Contador III</v>
      </c>
      <c r="E146" s="929">
        <f>+NOMINA!H142</f>
        <v>40028</v>
      </c>
      <c r="F146" s="930">
        <f>+NOMINA!BN142</f>
        <v>6.04</v>
      </c>
      <c r="G146" s="599"/>
      <c r="H146" s="600"/>
      <c r="I146" s="600"/>
      <c r="J146" s="600"/>
      <c r="K146" s="600"/>
    </row>
    <row r="147" spans="1:11" ht="15.75" customHeight="1" x14ac:dyDescent="0.25">
      <c r="A147" s="928">
        <f t="shared" si="2"/>
        <v>100</v>
      </c>
      <c r="B147" s="926">
        <f>+NOMINA!C143</f>
        <v>13997965</v>
      </c>
      <c r="C147" s="926" t="str">
        <f>+NOMINA!D143</f>
        <v>Sulbaran Baptista Yenny del Carmen</v>
      </c>
      <c r="D147" s="926" t="str">
        <f>+NOMINA!O143</f>
        <v>Asistente Administrativo I</v>
      </c>
      <c r="E147" s="929">
        <f>+NOMINA!H143</f>
        <v>45839</v>
      </c>
      <c r="F147" s="930">
        <f>+NOMINA!BN143</f>
        <v>2.85</v>
      </c>
      <c r="G147" s="599"/>
      <c r="H147" s="600"/>
      <c r="I147" s="600"/>
      <c r="J147" s="600"/>
      <c r="K147" s="600"/>
    </row>
    <row r="148" spans="1:11" ht="15.75" customHeight="1" x14ac:dyDescent="0.25">
      <c r="A148" s="928">
        <f t="shared" si="2"/>
        <v>101</v>
      </c>
      <c r="B148" s="926">
        <f>+NOMINA!C144</f>
        <v>14106648</v>
      </c>
      <c r="C148" s="926" t="str">
        <f>+NOMINA!D144</f>
        <v>Aguilar Flores Heidy Coromoto</v>
      </c>
      <c r="D148" s="926" t="str">
        <f>+NOMINA!O144</f>
        <v>Asistente Administrativo IV</v>
      </c>
      <c r="E148" s="929">
        <f>+NOMINA!H144</f>
        <v>40787</v>
      </c>
      <c r="F148" s="930">
        <f>+NOMINA!BN144</f>
        <v>5.16</v>
      </c>
      <c r="G148" s="599"/>
      <c r="H148" s="600"/>
      <c r="I148" s="600"/>
      <c r="J148" s="600"/>
      <c r="K148" s="600"/>
    </row>
    <row r="149" spans="1:11" ht="15.75" customHeight="1" x14ac:dyDescent="0.25">
      <c r="A149" s="928">
        <f t="shared" si="2"/>
        <v>102</v>
      </c>
      <c r="B149" s="926">
        <f>+NOMINA!C145</f>
        <v>14329448</v>
      </c>
      <c r="C149" s="926" t="str">
        <f>+NOMINA!D145</f>
        <v>Leal Mejia Jociany Trinny</v>
      </c>
      <c r="D149" s="926" t="str">
        <f>+NOMINA!O145</f>
        <v>Tutor Facilitador I</v>
      </c>
      <c r="E149" s="929">
        <f>+NOMINA!H145</f>
        <v>44743</v>
      </c>
      <c r="F149" s="930">
        <f>+NOMINA!BN145</f>
        <v>5.35</v>
      </c>
      <c r="G149" s="599"/>
      <c r="H149" s="600"/>
      <c r="I149" s="600"/>
      <c r="J149" s="600"/>
      <c r="K149" s="600"/>
    </row>
    <row r="150" spans="1:11" ht="15.75" customHeight="1" x14ac:dyDescent="0.25">
      <c r="A150" s="928">
        <f t="shared" si="2"/>
        <v>103</v>
      </c>
      <c r="B150" s="926">
        <f>+NOMINA!C146</f>
        <v>14406240</v>
      </c>
      <c r="C150" s="926" t="str">
        <f>+NOMINA!D146</f>
        <v>Sarmiento Suarez Karem Yanira</v>
      </c>
      <c r="D150" s="926" t="str">
        <f>+NOMINA!O146</f>
        <v>Tecnico Superior en Trabajo Social II</v>
      </c>
      <c r="E150" s="929">
        <f>+NOMINA!H146</f>
        <v>43785</v>
      </c>
      <c r="F150" s="930">
        <f>+NOMINA!BN146</f>
        <v>5</v>
      </c>
      <c r="G150" s="599"/>
      <c r="H150" s="600"/>
      <c r="I150" s="600"/>
      <c r="J150" s="600"/>
      <c r="K150" s="600"/>
    </row>
    <row r="151" spans="1:11" ht="15.75" customHeight="1" x14ac:dyDescent="0.25">
      <c r="A151" s="928">
        <f t="shared" si="2"/>
        <v>104</v>
      </c>
      <c r="B151" s="926">
        <f>+NOMINA!C147</f>
        <v>14459607</v>
      </c>
      <c r="C151" s="926" t="str">
        <f>+NOMINA!D147</f>
        <v>Martinez Leal Deyanira Yusissan</v>
      </c>
      <c r="D151" s="926" t="str">
        <f>+NOMINA!O147</f>
        <v>Tecnico Superior en Trabajo Social II</v>
      </c>
      <c r="E151" s="929">
        <f>+NOMINA!H147</f>
        <v>43116</v>
      </c>
      <c r="F151" s="930">
        <f>+NOMINA!BN147</f>
        <v>4.71</v>
      </c>
      <c r="G151" s="599"/>
      <c r="H151" s="600"/>
      <c r="I151" s="600"/>
      <c r="J151" s="600"/>
      <c r="K151" s="600"/>
    </row>
    <row r="152" spans="1:11" ht="15.75" customHeight="1" x14ac:dyDescent="0.25">
      <c r="A152" s="928">
        <f t="shared" si="2"/>
        <v>105</v>
      </c>
      <c r="B152" s="926">
        <f>+NOMINA!C148</f>
        <v>14598170</v>
      </c>
      <c r="C152" s="926" t="str">
        <f>+NOMINA!D148</f>
        <v>Rendon Utrilla Gerson Paul</v>
      </c>
      <c r="D152" s="926" t="str">
        <f>+NOMINA!O148</f>
        <v>Tutor Facilitador III</v>
      </c>
      <c r="E152" s="929">
        <f>+NOMINA!H148</f>
        <v>43435</v>
      </c>
      <c r="F152" s="930">
        <f>+NOMINA!BN148</f>
        <v>5.49</v>
      </c>
      <c r="G152" s="599"/>
      <c r="H152" s="600"/>
      <c r="I152" s="600"/>
      <c r="J152" s="600"/>
      <c r="K152" s="600"/>
    </row>
    <row r="153" spans="1:11" ht="15.75" customHeight="1" x14ac:dyDescent="0.25">
      <c r="A153" s="928">
        <f t="shared" si="2"/>
        <v>106</v>
      </c>
      <c r="B153" s="926">
        <f>+NOMINA!C149</f>
        <v>14598687</v>
      </c>
      <c r="C153" s="926" t="str">
        <f>+NOMINA!D149</f>
        <v>Godoy Bracamonte Juan Carlos</v>
      </c>
      <c r="D153" s="926" t="str">
        <f>+NOMINA!O149</f>
        <v>Entrenador Deportivo IV</v>
      </c>
      <c r="E153" s="929">
        <f>+NOMINA!H149</f>
        <v>44332</v>
      </c>
      <c r="F153" s="930">
        <f>+NOMINA!BN149</f>
        <v>6.23</v>
      </c>
      <c r="G153" s="599"/>
      <c r="H153" s="600"/>
      <c r="I153" s="600"/>
      <c r="J153" s="600"/>
      <c r="K153" s="600"/>
    </row>
    <row r="154" spans="1:11" ht="15.75" customHeight="1" x14ac:dyDescent="0.25">
      <c r="A154" s="928">
        <f t="shared" si="2"/>
        <v>107</v>
      </c>
      <c r="B154" s="926">
        <f>+NOMINA!C150</f>
        <v>14719639</v>
      </c>
      <c r="C154" s="926" t="str">
        <f>+NOMINA!D150</f>
        <v>Coy de Dorante Sandra Liliana</v>
      </c>
      <c r="D154" s="926" t="str">
        <f>+NOMINA!O150</f>
        <v>Guia de Centro I</v>
      </c>
      <c r="E154" s="929">
        <f>+NOMINA!H150</f>
        <v>44896</v>
      </c>
      <c r="F154" s="930">
        <f>+NOMINA!BN150</f>
        <v>3.74</v>
      </c>
      <c r="G154" s="599"/>
      <c r="H154" s="600"/>
      <c r="I154" s="600"/>
      <c r="J154" s="600"/>
      <c r="K154" s="600"/>
    </row>
    <row r="155" spans="1:11" ht="15.75" customHeight="1" x14ac:dyDescent="0.25">
      <c r="A155" s="928">
        <f t="shared" si="2"/>
        <v>108</v>
      </c>
      <c r="B155" s="926">
        <f>+NOMINA!C151</f>
        <v>14739168</v>
      </c>
      <c r="C155" s="926" t="str">
        <f>+NOMINA!D151</f>
        <v>Briceño Hernandez Yeny del Carmen</v>
      </c>
      <c r="D155" s="926" t="str">
        <f>+NOMINA!O151</f>
        <v>Trabajador Social III</v>
      </c>
      <c r="E155" s="929">
        <f>+NOMINA!H151</f>
        <v>38841</v>
      </c>
      <c r="F155" s="930">
        <f>+NOMINA!BN151</f>
        <v>5.1100000000000003</v>
      </c>
      <c r="G155" s="599"/>
      <c r="H155" s="600"/>
      <c r="I155" s="600"/>
      <c r="J155" s="600"/>
      <c r="K155" s="600"/>
    </row>
    <row r="156" spans="1:11" ht="15.75" customHeight="1" x14ac:dyDescent="0.25">
      <c r="A156" s="928">
        <f t="shared" si="2"/>
        <v>109</v>
      </c>
      <c r="B156" s="926">
        <f>+NOMINA!C152</f>
        <v>14928034</v>
      </c>
      <c r="C156" s="926" t="str">
        <f>+NOMINA!D152</f>
        <v>Ramirez Palomares Mariana Teresa</v>
      </c>
      <c r="D156" s="926" t="str">
        <f>+NOMINA!O152</f>
        <v>Promotor Cultural I</v>
      </c>
      <c r="E156" s="929">
        <f>+NOMINA!H152</f>
        <v>44302</v>
      </c>
      <c r="F156" s="930">
        <f>+NOMINA!BN152</f>
        <v>3.38</v>
      </c>
      <c r="G156" s="599"/>
      <c r="H156" s="600"/>
      <c r="I156" s="600"/>
      <c r="J156" s="600"/>
      <c r="K156" s="600"/>
    </row>
    <row r="157" spans="1:11" ht="15.75" customHeight="1" x14ac:dyDescent="0.25">
      <c r="A157" s="928">
        <f t="shared" si="2"/>
        <v>110</v>
      </c>
      <c r="B157" s="926">
        <f>+NOMINA!C153</f>
        <v>14928260</v>
      </c>
      <c r="C157" s="926" t="str">
        <f>+NOMINA!D153</f>
        <v>Rivas Ana Lucila</v>
      </c>
      <c r="D157" s="926" t="str">
        <f>+NOMINA!O153</f>
        <v>Tutor Facilitador I</v>
      </c>
      <c r="E157" s="929">
        <f>+NOMINA!H153</f>
        <v>39104</v>
      </c>
      <c r="F157" s="930">
        <f>+NOMINA!BN153</f>
        <v>5.07</v>
      </c>
      <c r="G157" s="599"/>
      <c r="H157" s="600"/>
      <c r="I157" s="600"/>
      <c r="J157" s="600"/>
      <c r="K157" s="600"/>
    </row>
    <row r="158" spans="1:11" ht="15.75" customHeight="1" x14ac:dyDescent="0.25">
      <c r="A158" s="928">
        <f t="shared" si="2"/>
        <v>111</v>
      </c>
      <c r="B158" s="926">
        <f>+NOMINA!C154</f>
        <v>14929642</v>
      </c>
      <c r="C158" s="926" t="str">
        <f>+NOMINA!D154</f>
        <v>Alvarran Arjona Ismenia del Carmen</v>
      </c>
      <c r="D158" s="926" t="str">
        <f>+NOMINA!O154</f>
        <v>GUIA DE CENTRO II</v>
      </c>
      <c r="E158" s="929">
        <f>+NOMINA!H154</f>
        <v>43419</v>
      </c>
      <c r="F158" s="930">
        <f>+NOMINA!BN154</f>
        <v>5.88</v>
      </c>
      <c r="G158" s="599"/>
      <c r="H158" s="600"/>
      <c r="I158" s="600"/>
      <c r="J158" s="600"/>
      <c r="K158" s="600"/>
    </row>
    <row r="159" spans="1:11" ht="15.75" customHeight="1" x14ac:dyDescent="0.25">
      <c r="A159" s="928">
        <f t="shared" si="2"/>
        <v>112</v>
      </c>
      <c r="B159" s="926">
        <f>+NOMINA!C155</f>
        <v>14986675</v>
      </c>
      <c r="C159" s="926" t="str">
        <f>+NOMINA!D155</f>
        <v>Mecias Nuñez Shirly Ygnacia</v>
      </c>
      <c r="D159" s="926" t="str">
        <f>+NOMINA!O155</f>
        <v>Tutor Facilitador I</v>
      </c>
      <c r="E159" s="929">
        <f>+NOMINA!H155</f>
        <v>44805</v>
      </c>
      <c r="F159" s="930">
        <f>+NOMINA!BN155</f>
        <v>5.35</v>
      </c>
      <c r="G159" s="599"/>
      <c r="H159" s="600"/>
      <c r="I159" s="600"/>
      <c r="J159" s="600"/>
      <c r="K159" s="600"/>
    </row>
    <row r="160" spans="1:11" ht="15.75" customHeight="1" x14ac:dyDescent="0.25">
      <c r="A160" s="928">
        <f t="shared" si="2"/>
        <v>113</v>
      </c>
      <c r="B160" s="926">
        <f>+NOMINA!C156</f>
        <v>15188927</v>
      </c>
      <c r="C160" s="926" t="str">
        <f>+NOMINA!D156</f>
        <v>Linares Villarreal Rosmely del Carmen</v>
      </c>
      <c r="D160" s="926" t="str">
        <f>+NOMINA!O156</f>
        <v>Guia de Centro II</v>
      </c>
      <c r="E160" s="929">
        <f>+NOMINA!H156</f>
        <v>44409</v>
      </c>
      <c r="F160" s="930">
        <f>+NOMINA!BN156</f>
        <v>4.04</v>
      </c>
      <c r="G160" s="599"/>
      <c r="H160" s="600"/>
      <c r="I160" s="600"/>
      <c r="J160" s="600"/>
      <c r="K160" s="600"/>
    </row>
    <row r="161" spans="1:11" ht="15.75" customHeight="1" x14ac:dyDescent="0.25">
      <c r="A161" s="928">
        <f t="shared" si="2"/>
        <v>114</v>
      </c>
      <c r="B161" s="926">
        <f>+NOMINA!C157</f>
        <v>15560762</v>
      </c>
      <c r="C161" s="926" t="str">
        <f>+NOMINA!D157</f>
        <v>Villalobos Javier Jose</v>
      </c>
      <c r="D161" s="926" t="str">
        <f>+NOMINA!O157</f>
        <v>Entrenador Deportivo IV</v>
      </c>
      <c r="E161" s="929">
        <f>+NOMINA!H157</f>
        <v>45474</v>
      </c>
      <c r="F161" s="930">
        <f>+NOMINA!BN157</f>
        <v>4.8899999999999997</v>
      </c>
      <c r="G161" s="599"/>
      <c r="H161" s="600"/>
      <c r="I161" s="600"/>
      <c r="J161" s="600"/>
      <c r="K161" s="600"/>
    </row>
    <row r="162" spans="1:11" ht="15.75" customHeight="1" x14ac:dyDescent="0.25">
      <c r="A162" s="928">
        <f t="shared" si="2"/>
        <v>115</v>
      </c>
      <c r="B162" s="926">
        <f>+NOMINA!C158</f>
        <v>15583745</v>
      </c>
      <c r="C162" s="926" t="str">
        <f>+NOMINA!D158</f>
        <v>Briceño Araujo Alexander Javier</v>
      </c>
      <c r="D162" s="926" t="str">
        <f>+NOMINA!O158</f>
        <v>Administrador II</v>
      </c>
      <c r="E162" s="929">
        <f>+NOMINA!H158</f>
        <v>43481</v>
      </c>
      <c r="F162" s="930">
        <f>+NOMINA!BN158</f>
        <v>5.33</v>
      </c>
      <c r="G162" s="599"/>
      <c r="H162" s="600"/>
      <c r="I162" s="600"/>
      <c r="J162" s="600"/>
      <c r="K162" s="600"/>
    </row>
    <row r="163" spans="1:11" ht="15.75" customHeight="1" x14ac:dyDescent="0.25">
      <c r="A163" s="928">
        <f t="shared" si="2"/>
        <v>116</v>
      </c>
      <c r="B163" s="926">
        <f>+NOMINA!C159</f>
        <v>15588470</v>
      </c>
      <c r="C163" s="926" t="str">
        <f>+NOMINA!D159</f>
        <v>Briceño Lozada Maraiby Coromoto</v>
      </c>
      <c r="D163" s="926" t="str">
        <f>+NOMINA!O159</f>
        <v>Trabajador Social II</v>
      </c>
      <c r="E163" s="929">
        <f>+NOMINA!H159</f>
        <v>39098</v>
      </c>
      <c r="F163" s="930">
        <f>+NOMINA!BN159</f>
        <v>5.07</v>
      </c>
      <c r="G163" s="599"/>
      <c r="H163" s="600"/>
      <c r="I163" s="600"/>
      <c r="J163" s="600"/>
      <c r="K163" s="600"/>
    </row>
    <row r="164" spans="1:11" ht="15.75" customHeight="1" x14ac:dyDescent="0.25">
      <c r="A164" s="928">
        <f t="shared" si="2"/>
        <v>117</v>
      </c>
      <c r="B164" s="926">
        <f>+NOMINA!C160</f>
        <v>15752048</v>
      </c>
      <c r="C164" s="926" t="str">
        <f>+NOMINA!D160</f>
        <v>Briceño Rangel Sudney Dayan</v>
      </c>
      <c r="D164" s="926" t="str">
        <f>+NOMINA!O160</f>
        <v>Guia de Centro II</v>
      </c>
      <c r="E164" s="929">
        <f>+NOMINA!H160</f>
        <v>39679</v>
      </c>
      <c r="F164" s="930">
        <f>+NOMINA!BN160</f>
        <v>6.89</v>
      </c>
      <c r="G164" s="599"/>
      <c r="H164" s="600"/>
      <c r="I164" s="600"/>
      <c r="J164" s="600"/>
      <c r="K164" s="600"/>
    </row>
    <row r="165" spans="1:11" ht="15.75" customHeight="1" x14ac:dyDescent="0.25">
      <c r="A165" s="928">
        <f t="shared" si="2"/>
        <v>118</v>
      </c>
      <c r="B165" s="926">
        <f>+NOMINA!C161</f>
        <v>15752183</v>
      </c>
      <c r="C165" s="926" t="str">
        <f>+NOMINA!D161</f>
        <v>Delduca Adriana del Valle</v>
      </c>
      <c r="D165" s="926" t="str">
        <f>+NOMINA!O161</f>
        <v>Analista de Presupuesto IV</v>
      </c>
      <c r="E165" s="929">
        <f>+NOMINA!H161</f>
        <v>38930</v>
      </c>
      <c r="F165" s="930">
        <f>+NOMINA!BN161</f>
        <v>0</v>
      </c>
      <c r="G165" s="599"/>
      <c r="H165" s="600"/>
      <c r="I165" s="600"/>
      <c r="J165" s="600"/>
      <c r="K165" s="600"/>
    </row>
    <row r="166" spans="1:11" ht="15.75" customHeight="1" x14ac:dyDescent="0.25">
      <c r="A166" s="928">
        <f t="shared" si="2"/>
        <v>119</v>
      </c>
      <c r="B166" s="926">
        <f>+NOMINA!C162</f>
        <v>15752386</v>
      </c>
      <c r="C166" s="926" t="str">
        <f>+NOMINA!D162</f>
        <v>Villegas Gonzalez Mileide Karine</v>
      </c>
      <c r="D166" s="926" t="str">
        <f>+NOMINA!O162</f>
        <v>Guia de Centro II</v>
      </c>
      <c r="E166" s="929">
        <f>+NOMINA!H162</f>
        <v>38930</v>
      </c>
      <c r="F166" s="930">
        <f>+NOMINA!BN162</f>
        <v>6.84</v>
      </c>
      <c r="G166" s="599"/>
      <c r="H166" s="600"/>
      <c r="I166" s="600"/>
      <c r="J166" s="600"/>
      <c r="K166" s="600"/>
    </row>
    <row r="167" spans="1:11" ht="15.75" customHeight="1" x14ac:dyDescent="0.25">
      <c r="A167" s="928">
        <f t="shared" si="2"/>
        <v>120</v>
      </c>
      <c r="B167" s="926">
        <f>+NOMINA!C163</f>
        <v>15752435</v>
      </c>
      <c r="C167" s="926" t="str">
        <f>+NOMINA!D163</f>
        <v>Gonzalez de Sayago Damarys Coromoto</v>
      </c>
      <c r="D167" s="926" t="str">
        <f>+NOMINA!O163</f>
        <v>Trabajador Social II</v>
      </c>
      <c r="E167" s="929">
        <f>+NOMINA!H163</f>
        <v>38930</v>
      </c>
      <c r="F167" s="930">
        <f>+NOMINA!BN163</f>
        <v>5.26</v>
      </c>
      <c r="G167" s="599"/>
      <c r="H167" s="600"/>
      <c r="I167" s="600"/>
      <c r="J167" s="600"/>
      <c r="K167" s="600"/>
    </row>
    <row r="168" spans="1:11" ht="15.75" customHeight="1" x14ac:dyDescent="0.25">
      <c r="A168" s="928">
        <f t="shared" si="2"/>
        <v>121</v>
      </c>
      <c r="B168" s="926">
        <f>+NOMINA!C164</f>
        <v>15780354</v>
      </c>
      <c r="C168" s="926" t="str">
        <f>+NOMINA!D164</f>
        <v>Yndriago Blanco Lismiley Andreina</v>
      </c>
      <c r="D168" s="926" t="str">
        <f>+NOMINA!O164</f>
        <v>Guia de Centro I</v>
      </c>
      <c r="E168" s="929">
        <f>+NOMINA!H164</f>
        <v>44409</v>
      </c>
      <c r="F168" s="930">
        <f>+NOMINA!BN164</f>
        <v>5.81</v>
      </c>
      <c r="G168" s="599"/>
      <c r="H168" s="600"/>
      <c r="I168" s="600"/>
      <c r="J168" s="600"/>
      <c r="K168" s="600"/>
    </row>
    <row r="169" spans="1:11" ht="15.75" customHeight="1" x14ac:dyDescent="0.25">
      <c r="A169" s="928">
        <f t="shared" si="2"/>
        <v>122</v>
      </c>
      <c r="B169" s="926">
        <f>+NOMINA!C165</f>
        <v>15824548</v>
      </c>
      <c r="C169" s="926" t="str">
        <f>+NOMINA!D165</f>
        <v>Moreno Maria Angelica</v>
      </c>
      <c r="D169" s="926" t="str">
        <f>+NOMINA!O165</f>
        <v>Tecnico Superior en Trabajo Social II</v>
      </c>
      <c r="E169" s="929">
        <f>+NOMINA!H165</f>
        <v>44317</v>
      </c>
      <c r="F169" s="930">
        <f>+NOMINA!BN165</f>
        <v>4.4400000000000004</v>
      </c>
      <c r="G169" s="599"/>
      <c r="H169" s="600"/>
      <c r="I169" s="600"/>
      <c r="J169" s="600"/>
      <c r="K169" s="600"/>
    </row>
    <row r="170" spans="1:11" ht="15.75" customHeight="1" x14ac:dyDescent="0.25">
      <c r="A170" s="928">
        <f t="shared" si="2"/>
        <v>123</v>
      </c>
      <c r="B170" s="926">
        <f>+NOMINA!C166</f>
        <v>15904692</v>
      </c>
      <c r="C170" s="926" t="str">
        <f>+NOMINA!D166</f>
        <v>Sifontes Sosa Mayulis Dayana</v>
      </c>
      <c r="D170" s="926" t="str">
        <f>+NOMINA!O166</f>
        <v>Guia de Centro II</v>
      </c>
      <c r="E170" s="929">
        <f>+NOMINA!H166</f>
        <v>39756</v>
      </c>
      <c r="F170" s="930">
        <f>+NOMINA!BN166</f>
        <v>6.63</v>
      </c>
      <c r="G170" s="599"/>
      <c r="H170" s="600"/>
      <c r="I170" s="600"/>
      <c r="J170" s="600"/>
      <c r="K170" s="600"/>
    </row>
    <row r="171" spans="1:11" ht="15.75" customHeight="1" x14ac:dyDescent="0.25">
      <c r="A171" s="928">
        <f t="shared" si="2"/>
        <v>124</v>
      </c>
      <c r="B171" s="926">
        <f>+NOMINA!C167</f>
        <v>16015833</v>
      </c>
      <c r="C171" s="926" t="str">
        <f>+NOMINA!D167</f>
        <v>Briceño Doris Elena</v>
      </c>
      <c r="D171" s="926" t="str">
        <f>+NOMINA!O167</f>
        <v>Guia de Centro II</v>
      </c>
      <c r="E171" s="929">
        <f>+NOMINA!H167</f>
        <v>42948</v>
      </c>
      <c r="F171" s="930">
        <f>+NOMINA!BN167</f>
        <v>7.24</v>
      </c>
      <c r="G171" s="599"/>
      <c r="H171" s="600"/>
      <c r="I171" s="600"/>
      <c r="J171" s="600"/>
      <c r="K171" s="600"/>
    </row>
    <row r="172" spans="1:11" ht="15.75" customHeight="1" x14ac:dyDescent="0.25">
      <c r="A172" s="928">
        <f t="shared" si="2"/>
        <v>125</v>
      </c>
      <c r="B172" s="926">
        <f>+NOMINA!C168</f>
        <v>16065580</v>
      </c>
      <c r="C172" s="926" t="str">
        <f>+NOMINA!D168</f>
        <v>Paredes de Rendon Zuly Josefina</v>
      </c>
      <c r="D172" s="926" t="str">
        <f>+NOMINA!O168</f>
        <v>Tutor Facilitador II</v>
      </c>
      <c r="E172" s="929">
        <f>+NOMINA!H168</f>
        <v>44363</v>
      </c>
      <c r="F172" s="930">
        <f>+NOMINA!BN168</f>
        <v>5.38</v>
      </c>
      <c r="G172" s="599"/>
      <c r="H172" s="600"/>
      <c r="I172" s="600"/>
      <c r="J172" s="600"/>
      <c r="K172" s="600"/>
    </row>
    <row r="173" spans="1:11" ht="15.75" customHeight="1" x14ac:dyDescent="0.25">
      <c r="A173" s="928">
        <f t="shared" si="2"/>
        <v>126</v>
      </c>
      <c r="B173" s="926">
        <f>+NOMINA!C169</f>
        <v>16065861</v>
      </c>
      <c r="C173" s="926" t="str">
        <f>+NOMINA!D169</f>
        <v>Gonzalez Pineda Eduardo Manuel</v>
      </c>
      <c r="D173" s="926" t="str">
        <f>+NOMINA!O169</f>
        <v>Entrenador Deportivo VI</v>
      </c>
      <c r="E173" s="929">
        <f>+NOMINA!H169</f>
        <v>43906</v>
      </c>
      <c r="F173" s="930">
        <f>+NOMINA!BN169</f>
        <v>6.03</v>
      </c>
      <c r="G173" s="599"/>
      <c r="H173" s="600"/>
      <c r="I173" s="600"/>
      <c r="J173" s="600"/>
      <c r="K173" s="600"/>
    </row>
    <row r="174" spans="1:11" ht="15.75" customHeight="1" x14ac:dyDescent="0.25">
      <c r="A174" s="928">
        <f t="shared" si="2"/>
        <v>127</v>
      </c>
      <c r="B174" s="926">
        <f>+NOMINA!C170</f>
        <v>16066524</v>
      </c>
      <c r="C174" s="926" t="str">
        <f>+NOMINA!D170</f>
        <v>Carmona Peñaloza Yaneth Coromoto</v>
      </c>
      <c r="D174" s="926" t="str">
        <f>+NOMINA!O170</f>
        <v>Asistente Administrativo III</v>
      </c>
      <c r="E174" s="929">
        <f>+NOMINA!H170</f>
        <v>41456</v>
      </c>
      <c r="F174" s="930">
        <f>+NOMINA!BN170</f>
        <v>0</v>
      </c>
      <c r="G174" s="599"/>
      <c r="H174" s="600"/>
      <c r="I174" s="600"/>
      <c r="J174" s="600"/>
      <c r="K174" s="600"/>
    </row>
    <row r="175" spans="1:11" ht="15.75" customHeight="1" x14ac:dyDescent="0.25">
      <c r="A175" s="928">
        <f t="shared" si="2"/>
        <v>128</v>
      </c>
      <c r="B175" s="926">
        <f>+NOMINA!C171</f>
        <v>16066554</v>
      </c>
      <c r="C175" s="926" t="str">
        <f>+NOMINA!D171</f>
        <v>Gonzalez Huerta Maria Josefina</v>
      </c>
      <c r="D175" s="926" t="str">
        <f>+NOMINA!O171</f>
        <v>Auditor IV</v>
      </c>
      <c r="E175" s="929">
        <f>+NOMINA!H171</f>
        <v>38797</v>
      </c>
      <c r="F175" s="930">
        <f>+NOMINA!BN171</f>
        <v>6.4</v>
      </c>
      <c r="G175" s="599"/>
      <c r="H175" s="600"/>
      <c r="I175" s="600"/>
      <c r="J175" s="600"/>
      <c r="K175" s="600"/>
    </row>
    <row r="176" spans="1:11" ht="15.75" customHeight="1" x14ac:dyDescent="0.25">
      <c r="A176" s="928">
        <f t="shared" si="2"/>
        <v>129</v>
      </c>
      <c r="B176" s="926">
        <f>+NOMINA!C172</f>
        <v>16266033</v>
      </c>
      <c r="C176" s="926" t="str">
        <f>+NOMINA!D172</f>
        <v>Montilla de Davila Nileidy del Valle</v>
      </c>
      <c r="D176" s="926" t="str">
        <f>+NOMINA!O172</f>
        <v>Guia de Centro I</v>
      </c>
      <c r="E176" s="929">
        <f>+NOMINA!H172</f>
        <v>44713</v>
      </c>
      <c r="F176" s="930">
        <f>+NOMINA!BN172</f>
        <v>6.18</v>
      </c>
      <c r="G176" s="599"/>
      <c r="H176" s="600"/>
      <c r="I176" s="600"/>
      <c r="J176" s="600"/>
      <c r="K176" s="600"/>
    </row>
    <row r="177" spans="1:11" ht="15.75" customHeight="1" x14ac:dyDescent="0.25">
      <c r="A177" s="928">
        <f t="shared" si="2"/>
        <v>130</v>
      </c>
      <c r="B177" s="926">
        <f>+NOMINA!C173</f>
        <v>16266989</v>
      </c>
      <c r="C177" s="926" t="str">
        <f>+NOMINA!D173</f>
        <v>Rincon Quevedo Angela Adriana</v>
      </c>
      <c r="D177" s="926" t="str">
        <f>+NOMINA!O173</f>
        <v>Guia de Centro II</v>
      </c>
      <c r="E177" s="929">
        <f>+NOMINA!H173</f>
        <v>43040</v>
      </c>
      <c r="F177" s="930">
        <f>+NOMINA!BN173</f>
        <v>7.39</v>
      </c>
      <c r="G177" s="599"/>
      <c r="H177" s="600"/>
      <c r="I177" s="600"/>
      <c r="J177" s="600"/>
      <c r="K177" s="600"/>
    </row>
    <row r="178" spans="1:11" ht="15.75" customHeight="1" x14ac:dyDescent="0.25">
      <c r="A178" s="928">
        <f t="shared" ref="A178:A241" si="3">+A177+1</f>
        <v>131</v>
      </c>
      <c r="B178" s="926">
        <f>+NOMINA!C174</f>
        <v>16267940</v>
      </c>
      <c r="C178" s="926" t="str">
        <f>+NOMINA!D174</f>
        <v>Araujo Moreno Elisaelith</v>
      </c>
      <c r="D178" s="926" t="str">
        <f>+NOMINA!O174</f>
        <v>Tecnico Superior en Trabajo Social II</v>
      </c>
      <c r="E178" s="929">
        <f>+NOMINA!H174</f>
        <v>44600</v>
      </c>
      <c r="F178" s="930">
        <f>+NOMINA!BN174</f>
        <v>4.42</v>
      </c>
      <c r="G178" s="599"/>
      <c r="H178" s="600"/>
      <c r="I178" s="600"/>
      <c r="J178" s="600"/>
      <c r="K178" s="600"/>
    </row>
    <row r="179" spans="1:11" ht="15.75" customHeight="1" x14ac:dyDescent="0.25">
      <c r="A179" s="928">
        <f t="shared" si="3"/>
        <v>132</v>
      </c>
      <c r="B179" s="926">
        <f>+NOMINA!C175</f>
        <v>16376534</v>
      </c>
      <c r="C179" s="926" t="str">
        <f>+NOMINA!D175</f>
        <v>Lugo Moreno Yenny Katiuska</v>
      </c>
      <c r="D179" s="926" t="str">
        <f>+NOMINA!O175</f>
        <v>Guia de Centro II</v>
      </c>
      <c r="E179" s="929">
        <f>+NOMINA!H175</f>
        <v>43754</v>
      </c>
      <c r="F179" s="930">
        <f>+NOMINA!BN175</f>
        <v>7.04</v>
      </c>
      <c r="G179" s="599"/>
      <c r="H179" s="600"/>
      <c r="I179" s="600"/>
      <c r="J179" s="600"/>
      <c r="K179" s="600"/>
    </row>
    <row r="180" spans="1:11" ht="15.75" customHeight="1" x14ac:dyDescent="0.25">
      <c r="A180" s="928">
        <f t="shared" si="3"/>
        <v>133</v>
      </c>
      <c r="B180" s="926">
        <f>+NOMINA!C176</f>
        <v>16376698</v>
      </c>
      <c r="C180" s="926" t="str">
        <f>+NOMINA!D176</f>
        <v>Barreto Maldonado Jose Luis</v>
      </c>
      <c r="D180" s="926" t="str">
        <f>+NOMINA!O176</f>
        <v>Supervisor de Servicios Generales IV</v>
      </c>
      <c r="E180" s="929">
        <f>+NOMINA!H176</f>
        <v>40909</v>
      </c>
      <c r="F180" s="930">
        <f>+NOMINA!BN176</f>
        <v>3.55</v>
      </c>
      <c r="G180" s="599"/>
      <c r="H180" s="600"/>
      <c r="I180" s="600"/>
      <c r="J180" s="600"/>
      <c r="K180" s="600"/>
    </row>
    <row r="181" spans="1:11" ht="15.75" customHeight="1" x14ac:dyDescent="0.25">
      <c r="A181" s="928">
        <f t="shared" si="3"/>
        <v>134</v>
      </c>
      <c r="B181" s="926">
        <f>+NOMINA!C177</f>
        <v>16377159</v>
      </c>
      <c r="C181" s="926" t="str">
        <f>+NOMINA!D177</f>
        <v>Carrillo Uzcategui Tahiyuani Carolina</v>
      </c>
      <c r="D181" s="926" t="str">
        <f>+NOMINA!O177</f>
        <v>Guia de Centro I</v>
      </c>
      <c r="E181" s="929">
        <f>+NOMINA!H177</f>
        <v>44743</v>
      </c>
      <c r="F181" s="930">
        <f>+NOMINA!BN177</f>
        <v>5.94</v>
      </c>
      <c r="G181" s="599"/>
      <c r="H181" s="600"/>
      <c r="I181" s="600"/>
      <c r="J181" s="600"/>
      <c r="K181" s="600"/>
    </row>
    <row r="182" spans="1:11" ht="15.75" customHeight="1" x14ac:dyDescent="0.25">
      <c r="A182" s="928">
        <f t="shared" si="3"/>
        <v>135</v>
      </c>
      <c r="B182" s="926">
        <f>+NOMINA!C178</f>
        <v>16377588</v>
      </c>
      <c r="C182" s="926" t="str">
        <f>+NOMINA!D178</f>
        <v>Perdomo Linares Alejandra Carolina</v>
      </c>
      <c r="D182" s="926" t="str">
        <f>+NOMINA!O178</f>
        <v>Tutor Facilitador II</v>
      </c>
      <c r="E182" s="929">
        <f>+NOMINA!H178</f>
        <v>44059</v>
      </c>
      <c r="F182" s="930">
        <f>+NOMINA!BN178</f>
        <v>5.42</v>
      </c>
      <c r="G182" s="599"/>
      <c r="H182" s="600"/>
      <c r="I182" s="600"/>
      <c r="J182" s="600"/>
      <c r="K182" s="600"/>
    </row>
    <row r="183" spans="1:11" ht="15.75" customHeight="1" x14ac:dyDescent="0.25">
      <c r="A183" s="928">
        <f t="shared" si="3"/>
        <v>136</v>
      </c>
      <c r="B183" s="926">
        <f>+NOMINA!C179</f>
        <v>16377628</v>
      </c>
      <c r="C183" s="926" t="str">
        <f>+NOMINA!D179</f>
        <v>Peña Nava Maria Gabriela</v>
      </c>
      <c r="D183" s="926" t="str">
        <f>+NOMINA!O179</f>
        <v>Guia de Centro II</v>
      </c>
      <c r="E183" s="929">
        <f>+NOMINA!H179</f>
        <v>44743</v>
      </c>
      <c r="F183" s="930">
        <f>+NOMINA!BN179</f>
        <v>7.55</v>
      </c>
      <c r="G183" s="599"/>
      <c r="H183" s="600"/>
      <c r="I183" s="600"/>
      <c r="J183" s="600"/>
      <c r="K183" s="600"/>
    </row>
    <row r="184" spans="1:11" ht="15.75" customHeight="1" x14ac:dyDescent="0.25">
      <c r="A184" s="928">
        <f t="shared" si="3"/>
        <v>137</v>
      </c>
      <c r="B184" s="926">
        <f>+NOMINA!C180</f>
        <v>16533566</v>
      </c>
      <c r="C184" s="926" t="str">
        <f>+NOMINA!D180</f>
        <v>Materan Gallardo Vivian Katiana</v>
      </c>
      <c r="D184" s="926" t="str">
        <f>+NOMINA!O180</f>
        <v>Guia de Centro I</v>
      </c>
      <c r="E184" s="929">
        <f>+NOMINA!H180</f>
        <v>44683</v>
      </c>
      <c r="F184" s="930">
        <f>+NOMINA!BN180</f>
        <v>4.0199999999999996</v>
      </c>
      <c r="G184" s="599"/>
      <c r="H184" s="600"/>
      <c r="I184" s="600"/>
      <c r="J184" s="600"/>
      <c r="K184" s="600"/>
    </row>
    <row r="185" spans="1:11" ht="15.75" customHeight="1" x14ac:dyDescent="0.25">
      <c r="A185" s="928">
        <f t="shared" si="3"/>
        <v>138</v>
      </c>
      <c r="B185" s="926">
        <f>+NOMINA!C181</f>
        <v>16533615</v>
      </c>
      <c r="C185" s="926" t="str">
        <f>+NOMINA!D181</f>
        <v>Valero Sulbaran Urquia Del Mar</v>
      </c>
      <c r="D185" s="926" t="str">
        <f>+NOMINA!O181</f>
        <v>Guia de Centro I</v>
      </c>
      <c r="E185" s="929">
        <f>+NOMINA!H181</f>
        <v>45474</v>
      </c>
      <c r="F185" s="930">
        <f>+NOMINA!BN181</f>
        <v>6.35</v>
      </c>
      <c r="G185" s="599"/>
      <c r="H185" s="600"/>
      <c r="I185" s="600"/>
      <c r="J185" s="600"/>
      <c r="K185" s="600"/>
    </row>
    <row r="186" spans="1:11" ht="15.75" customHeight="1" x14ac:dyDescent="0.25">
      <c r="A186" s="928">
        <f t="shared" si="3"/>
        <v>139</v>
      </c>
      <c r="B186" s="926">
        <f>+NOMINA!C182</f>
        <v>16533986</v>
      </c>
      <c r="C186" s="926" t="str">
        <f>+NOMINA!D182</f>
        <v>Serrada Bustos Gladys Magaly</v>
      </c>
      <c r="D186" s="926" t="str">
        <f>+NOMINA!O182</f>
        <v>INGENIERO ELECTRICISTA JEFE</v>
      </c>
      <c r="E186" s="929">
        <f>+NOMINA!H182</f>
        <v>42948</v>
      </c>
      <c r="F186" s="930">
        <f>+NOMINA!BN182</f>
        <v>5.57</v>
      </c>
      <c r="G186" s="599"/>
      <c r="H186" s="600"/>
      <c r="I186" s="600"/>
      <c r="J186" s="600"/>
      <c r="K186" s="600"/>
    </row>
    <row r="187" spans="1:11" ht="15.75" customHeight="1" x14ac:dyDescent="0.25">
      <c r="A187" s="928">
        <f t="shared" si="3"/>
        <v>140</v>
      </c>
      <c r="B187" s="926">
        <f>+NOMINA!C183</f>
        <v>16739081</v>
      </c>
      <c r="C187" s="926" t="str">
        <f>+NOMINA!D183</f>
        <v>Albarran Araujo Yely Coromoto</v>
      </c>
      <c r="D187" s="926" t="str">
        <f>+NOMINA!O183</f>
        <v>Asistente Administrativo III</v>
      </c>
      <c r="E187" s="929">
        <f>+NOMINA!H183</f>
        <v>42948</v>
      </c>
      <c r="F187" s="930">
        <f>+NOMINA!BN183</f>
        <v>0</v>
      </c>
      <c r="G187" s="599"/>
      <c r="H187" s="600"/>
      <c r="I187" s="600"/>
      <c r="J187" s="600"/>
      <c r="K187" s="600"/>
    </row>
    <row r="188" spans="1:11" ht="15.75" customHeight="1" x14ac:dyDescent="0.25">
      <c r="A188" s="928">
        <f t="shared" si="3"/>
        <v>141</v>
      </c>
      <c r="B188" s="926">
        <f>+NOMINA!C184</f>
        <v>16740261</v>
      </c>
      <c r="C188" s="926" t="str">
        <f>+NOMINA!D184</f>
        <v>Rivas Briceño Nathaly Del Carmen</v>
      </c>
      <c r="D188" s="926" t="str">
        <f>+NOMINA!O184</f>
        <v>Tecnico Superior en Trabajo Social I</v>
      </c>
      <c r="E188" s="929">
        <f>+NOMINA!H184</f>
        <v>45505</v>
      </c>
      <c r="F188" s="930">
        <f>+NOMINA!BN184</f>
        <v>4.04</v>
      </c>
      <c r="G188" s="599"/>
      <c r="H188" s="600"/>
      <c r="I188" s="600"/>
      <c r="J188" s="600"/>
      <c r="K188" s="600"/>
    </row>
    <row r="189" spans="1:11" ht="15.75" customHeight="1" x14ac:dyDescent="0.25">
      <c r="A189" s="928">
        <f t="shared" si="3"/>
        <v>142</v>
      </c>
      <c r="B189" s="926">
        <f>+NOMINA!C185</f>
        <v>16881384</v>
      </c>
      <c r="C189" s="926" t="str">
        <f>+NOMINA!D185</f>
        <v>Perez Ramirez Yonathan Jesus</v>
      </c>
      <c r="D189" s="926" t="str">
        <f>+NOMINA!O185</f>
        <v>Guia de Centro II</v>
      </c>
      <c r="E189" s="929">
        <f>+NOMINA!H185</f>
        <v>43906</v>
      </c>
      <c r="F189" s="930">
        <f>+NOMINA!BN185</f>
        <v>6.12</v>
      </c>
      <c r="G189" s="599"/>
      <c r="H189" s="600"/>
      <c r="I189" s="600"/>
      <c r="J189" s="600"/>
      <c r="K189" s="600"/>
    </row>
    <row r="190" spans="1:11" ht="15.75" customHeight="1" x14ac:dyDescent="0.25">
      <c r="A190" s="928">
        <f t="shared" si="3"/>
        <v>143</v>
      </c>
      <c r="B190" s="926">
        <f>+NOMINA!C186</f>
        <v>16882467</v>
      </c>
      <c r="C190" s="926" t="str">
        <f>+NOMINA!D186</f>
        <v>Mejia Araujo Sandra Coromoto</v>
      </c>
      <c r="D190" s="926" t="str">
        <f>+NOMINA!O186</f>
        <v>Analista de Personal IV</v>
      </c>
      <c r="E190" s="929">
        <f>+NOMINA!H186</f>
        <v>42948</v>
      </c>
      <c r="F190" s="930">
        <f>+NOMINA!BN186</f>
        <v>5.83</v>
      </c>
      <c r="G190" s="599"/>
      <c r="H190" s="600"/>
      <c r="I190" s="600"/>
      <c r="J190" s="600"/>
      <c r="K190" s="600"/>
    </row>
    <row r="191" spans="1:11" ht="15.75" customHeight="1" x14ac:dyDescent="0.25">
      <c r="A191" s="928">
        <f t="shared" si="3"/>
        <v>144</v>
      </c>
      <c r="B191" s="926">
        <f>+NOMINA!C187</f>
        <v>16883267</v>
      </c>
      <c r="C191" s="926" t="str">
        <f>+NOMINA!D187</f>
        <v>Matheus Rondon Aida</v>
      </c>
      <c r="D191" s="926" t="str">
        <f>+NOMINA!O187</f>
        <v>Guia de Centro II</v>
      </c>
      <c r="E191" s="929">
        <f>+NOMINA!H187</f>
        <v>38930</v>
      </c>
      <c r="F191" s="930">
        <f>+NOMINA!BN187</f>
        <v>4.96</v>
      </c>
      <c r="G191" s="599"/>
      <c r="H191" s="600"/>
      <c r="I191" s="600"/>
      <c r="J191" s="600"/>
      <c r="K191" s="600"/>
    </row>
    <row r="192" spans="1:11" ht="15.75" customHeight="1" x14ac:dyDescent="0.25">
      <c r="A192" s="928">
        <f t="shared" si="3"/>
        <v>145</v>
      </c>
      <c r="B192" s="926">
        <f>+NOMINA!C188</f>
        <v>17037244</v>
      </c>
      <c r="C192" s="926" t="str">
        <f>+NOMINA!D188</f>
        <v>Bastidas Yelitza del Carmen</v>
      </c>
      <c r="D192" s="926" t="str">
        <f>+NOMINA!O188</f>
        <v>Guia de Centro II</v>
      </c>
      <c r="E192" s="929">
        <f>+NOMINA!H188</f>
        <v>40087</v>
      </c>
      <c r="F192" s="930">
        <f>+NOMINA!BN188</f>
        <v>6.58</v>
      </c>
      <c r="G192" s="599"/>
      <c r="H192" s="600"/>
      <c r="I192" s="600"/>
      <c r="J192" s="600"/>
      <c r="K192" s="600"/>
    </row>
    <row r="193" spans="1:11" ht="15.75" customHeight="1" x14ac:dyDescent="0.25">
      <c r="A193" s="928">
        <f t="shared" si="3"/>
        <v>146</v>
      </c>
      <c r="B193" s="926">
        <f>+NOMINA!C189</f>
        <v>17038061</v>
      </c>
      <c r="C193" s="926" t="str">
        <f>+NOMINA!D189</f>
        <v>Ruendez Araujo Omaira del Carmen</v>
      </c>
      <c r="D193" s="926" t="str">
        <f>+NOMINA!O189</f>
        <v>Guia de Centro I</v>
      </c>
      <c r="E193" s="929">
        <f>+NOMINA!H189</f>
        <v>45809</v>
      </c>
      <c r="F193" s="930">
        <f>+NOMINA!BN189</f>
        <v>3.72</v>
      </c>
      <c r="G193" s="599"/>
      <c r="H193" s="600"/>
      <c r="I193" s="600"/>
      <c r="J193" s="600"/>
      <c r="K193" s="600"/>
    </row>
    <row r="194" spans="1:11" ht="15.75" customHeight="1" x14ac:dyDescent="0.25">
      <c r="A194" s="928">
        <f t="shared" si="3"/>
        <v>147</v>
      </c>
      <c r="B194" s="926">
        <f>+NOMINA!C190</f>
        <v>17094419</v>
      </c>
      <c r="C194" s="926" t="str">
        <f>+NOMINA!D190</f>
        <v>Aponte Rivera Lenismar del Valle</v>
      </c>
      <c r="D194" s="926" t="str">
        <f>+NOMINA!O190</f>
        <v>Guia de Centro I</v>
      </c>
      <c r="E194" s="929">
        <f>+NOMINA!H190</f>
        <v>44409</v>
      </c>
      <c r="F194" s="930">
        <f>+NOMINA!BN190</f>
        <v>3.88</v>
      </c>
      <c r="G194" s="599"/>
      <c r="H194" s="600"/>
      <c r="I194" s="600"/>
      <c r="J194" s="600"/>
      <c r="K194" s="600"/>
    </row>
    <row r="195" spans="1:11" ht="15.75" customHeight="1" x14ac:dyDescent="0.25">
      <c r="A195" s="928">
        <f t="shared" si="3"/>
        <v>148</v>
      </c>
      <c r="B195" s="926">
        <f>+NOMINA!C191</f>
        <v>17094426</v>
      </c>
      <c r="C195" s="926" t="str">
        <f>+NOMINA!D191</f>
        <v>Manzanilla Araujo Richard Jose</v>
      </c>
      <c r="D195" s="926" t="str">
        <f>+NOMINA!O191</f>
        <v>Guia de Centro II</v>
      </c>
      <c r="E195" s="929">
        <f>+NOMINA!H191</f>
        <v>43344</v>
      </c>
      <c r="F195" s="930">
        <f>+NOMINA!BN191</f>
        <v>7.19</v>
      </c>
      <c r="G195" s="599"/>
      <c r="H195" s="600"/>
      <c r="I195" s="600"/>
      <c r="J195" s="600"/>
      <c r="K195" s="600"/>
    </row>
    <row r="196" spans="1:11" ht="15.75" customHeight="1" x14ac:dyDescent="0.25">
      <c r="A196" s="928">
        <f t="shared" si="3"/>
        <v>149</v>
      </c>
      <c r="B196" s="926">
        <f>+NOMINA!C192</f>
        <v>17130893</v>
      </c>
      <c r="C196" s="926" t="str">
        <f>+NOMINA!D192</f>
        <v>Leon Valero Ceila Maria</v>
      </c>
      <c r="D196" s="926" t="str">
        <f>+NOMINA!O192</f>
        <v>Tutor Facilitador III</v>
      </c>
      <c r="E196" s="929">
        <f>+NOMINA!H192</f>
        <v>39602</v>
      </c>
      <c r="F196" s="930">
        <f>+NOMINA!BN192</f>
        <v>6.26</v>
      </c>
      <c r="G196" s="599"/>
      <c r="H196" s="600"/>
      <c r="I196" s="600"/>
      <c r="J196" s="600"/>
      <c r="K196" s="600"/>
    </row>
    <row r="197" spans="1:11" ht="15.75" customHeight="1" x14ac:dyDescent="0.25">
      <c r="A197" s="928">
        <f t="shared" si="3"/>
        <v>150</v>
      </c>
      <c r="B197" s="926">
        <f>+NOMINA!C193</f>
        <v>17265578</v>
      </c>
      <c r="C197" s="926" t="str">
        <f>+NOMINA!D193</f>
        <v>Briceño Aguilar Rebeca Andreina</v>
      </c>
      <c r="D197" s="926" t="str">
        <f>+NOMINA!O193</f>
        <v>Tecnico Superior en Trabajo Social II</v>
      </c>
      <c r="E197" s="929">
        <f>+NOMINA!H193</f>
        <v>45047</v>
      </c>
      <c r="F197" s="930">
        <f>+NOMINA!BN193</f>
        <v>4.4400000000000004</v>
      </c>
      <c r="G197" s="599"/>
      <c r="H197" s="600"/>
      <c r="I197" s="600"/>
      <c r="J197" s="600"/>
      <c r="K197" s="600"/>
    </row>
    <row r="198" spans="1:11" ht="15.75" customHeight="1" x14ac:dyDescent="0.25">
      <c r="A198" s="928">
        <f t="shared" si="3"/>
        <v>151</v>
      </c>
      <c r="B198" s="926">
        <f>+NOMINA!C194</f>
        <v>17265648</v>
      </c>
      <c r="C198" s="926" t="str">
        <f>+NOMINA!D194</f>
        <v>Carrizo Mary Alejandra</v>
      </c>
      <c r="D198" s="926" t="str">
        <f>+NOMINA!O194</f>
        <v>Guia de Centro II</v>
      </c>
      <c r="E198" s="929">
        <f>+NOMINA!H194</f>
        <v>43709</v>
      </c>
      <c r="F198" s="930">
        <f>+NOMINA!BN194</f>
        <v>4.3600000000000003</v>
      </c>
      <c r="G198" s="599"/>
      <c r="H198" s="600"/>
      <c r="I198" s="600"/>
      <c r="J198" s="600"/>
      <c r="K198" s="600"/>
    </row>
    <row r="199" spans="1:11" ht="15.75" customHeight="1" x14ac:dyDescent="0.25">
      <c r="A199" s="928">
        <f t="shared" si="3"/>
        <v>152</v>
      </c>
      <c r="B199" s="926">
        <f>+NOMINA!C195</f>
        <v>17267324</v>
      </c>
      <c r="C199" s="926" t="str">
        <f>+NOMINA!D195</f>
        <v>Urdaneta Soto Katherine Esther</v>
      </c>
      <c r="D199" s="926" t="str">
        <f>+NOMINA!O195</f>
        <v>Guia de Centro II</v>
      </c>
      <c r="E199" s="929">
        <f>+NOMINA!H195</f>
        <v>43785</v>
      </c>
      <c r="F199" s="930">
        <f>+NOMINA!BN195</f>
        <v>3.9</v>
      </c>
      <c r="G199" s="599"/>
      <c r="H199" s="600"/>
      <c r="I199" s="600"/>
      <c r="J199" s="600"/>
      <c r="K199" s="600"/>
    </row>
    <row r="200" spans="1:11" ht="15.75" customHeight="1" x14ac:dyDescent="0.25">
      <c r="A200" s="928">
        <f t="shared" si="3"/>
        <v>153</v>
      </c>
      <c r="B200" s="926">
        <f>+NOMINA!C196</f>
        <v>17391316</v>
      </c>
      <c r="C200" s="926" t="str">
        <f>+NOMINA!D196</f>
        <v>Torres Aranguren Lilibeth del Valle</v>
      </c>
      <c r="D200" s="926" t="str">
        <f>+NOMINA!O196</f>
        <v>Guia de Centro I</v>
      </c>
      <c r="E200" s="929">
        <f>+NOMINA!H196</f>
        <v>44713</v>
      </c>
      <c r="F200" s="930">
        <f>+NOMINA!BN196</f>
        <v>5.74</v>
      </c>
      <c r="G200" s="599"/>
      <c r="H200" s="600"/>
      <c r="I200" s="600"/>
      <c r="J200" s="600"/>
      <c r="K200" s="600"/>
    </row>
    <row r="201" spans="1:11" ht="15.75" customHeight="1" x14ac:dyDescent="0.25">
      <c r="A201" s="928">
        <f t="shared" si="3"/>
        <v>154</v>
      </c>
      <c r="B201" s="926">
        <f>+NOMINA!C197</f>
        <v>17391892</v>
      </c>
      <c r="C201" s="926" t="str">
        <f>+NOMINA!D197</f>
        <v>Godoy Padilla Darcy Yaneth</v>
      </c>
      <c r="D201" s="926" t="str">
        <f>+NOMINA!O197</f>
        <v>Analista de Personal I</v>
      </c>
      <c r="E201" s="929">
        <f>+NOMINA!H197</f>
        <v>45323</v>
      </c>
      <c r="F201" s="930">
        <f>+NOMINA!BN197</f>
        <v>5.5</v>
      </c>
      <c r="G201" s="599"/>
      <c r="H201" s="600"/>
      <c r="I201" s="600"/>
      <c r="J201" s="600"/>
      <c r="K201" s="600"/>
    </row>
    <row r="202" spans="1:11" ht="15.75" customHeight="1" x14ac:dyDescent="0.25">
      <c r="A202" s="928">
        <f t="shared" si="3"/>
        <v>155</v>
      </c>
      <c r="B202" s="926">
        <f>+NOMINA!C198</f>
        <v>17392309</v>
      </c>
      <c r="C202" s="926" t="str">
        <f>+NOMINA!D198</f>
        <v>Torres Briceño Yarelis del Carmen</v>
      </c>
      <c r="D202" s="926" t="str">
        <f>+NOMINA!O198</f>
        <v>Administrador II</v>
      </c>
      <c r="E202" s="929">
        <f>+NOMINA!H198</f>
        <v>43116</v>
      </c>
      <c r="F202" s="930">
        <f>+NOMINA!BN198</f>
        <v>5.53</v>
      </c>
      <c r="G202" s="599"/>
      <c r="H202" s="600"/>
      <c r="I202" s="600"/>
      <c r="J202" s="600"/>
      <c r="K202" s="600"/>
    </row>
    <row r="203" spans="1:11" ht="15.75" customHeight="1" x14ac:dyDescent="0.25">
      <c r="A203" s="928">
        <f t="shared" si="3"/>
        <v>156</v>
      </c>
      <c r="B203" s="926">
        <f>+NOMINA!C199</f>
        <v>17393693</v>
      </c>
      <c r="C203" s="926" t="str">
        <f>+NOMINA!D199</f>
        <v>Nuñez Maria Gusmara</v>
      </c>
      <c r="D203" s="926" t="str">
        <f>+NOMINA!O199</f>
        <v>Asistente Administrativo II</v>
      </c>
      <c r="E203" s="929">
        <f>+NOMINA!H199</f>
        <v>44516</v>
      </c>
      <c r="F203" s="930">
        <f>+NOMINA!BN199</f>
        <v>3.1</v>
      </c>
      <c r="G203" s="599"/>
      <c r="H203" s="600"/>
      <c r="I203" s="600"/>
      <c r="J203" s="600"/>
      <c r="K203" s="600"/>
    </row>
    <row r="204" spans="1:11" ht="15.75" customHeight="1" x14ac:dyDescent="0.25">
      <c r="A204" s="928">
        <f t="shared" si="3"/>
        <v>157</v>
      </c>
      <c r="B204" s="926">
        <f>+NOMINA!C200</f>
        <v>17596844</v>
      </c>
      <c r="C204" s="926" t="str">
        <f>+NOMINA!D200</f>
        <v>Colmenares Jorge Luis</v>
      </c>
      <c r="D204" s="926" t="str">
        <f>+NOMINA!O200</f>
        <v>Guia de Centro I</v>
      </c>
      <c r="E204" s="929">
        <f>+NOMINA!H200</f>
        <v>45474</v>
      </c>
      <c r="F204" s="930">
        <f>+NOMINA!BN200</f>
        <v>5.44</v>
      </c>
      <c r="G204" s="599"/>
      <c r="H204" s="600"/>
      <c r="I204" s="600"/>
      <c r="J204" s="600"/>
      <c r="K204" s="600"/>
    </row>
    <row r="205" spans="1:11" ht="15.75" customHeight="1" x14ac:dyDescent="0.25">
      <c r="A205" s="928">
        <f t="shared" si="3"/>
        <v>158</v>
      </c>
      <c r="B205" s="926">
        <f>+NOMINA!C201</f>
        <v>17597257</v>
      </c>
      <c r="C205" s="926" t="str">
        <f>+NOMINA!D201</f>
        <v>Linares Barreto Jorge Luis</v>
      </c>
      <c r="D205" s="926" t="str">
        <f>+NOMINA!O201</f>
        <v>GUIA DE CENTRO I</v>
      </c>
      <c r="E205" s="929">
        <f>+NOMINA!H201</f>
        <v>45536</v>
      </c>
      <c r="F205" s="930">
        <f>+NOMINA!BN201</f>
        <v>5.25</v>
      </c>
      <c r="G205" s="599"/>
      <c r="H205" s="600"/>
      <c r="I205" s="600"/>
      <c r="J205" s="600"/>
      <c r="K205" s="600"/>
    </row>
    <row r="206" spans="1:11" ht="15.75" customHeight="1" x14ac:dyDescent="0.25">
      <c r="A206" s="928">
        <f t="shared" si="3"/>
        <v>159</v>
      </c>
      <c r="B206" s="926">
        <f>+NOMINA!C202</f>
        <v>17597285</v>
      </c>
      <c r="C206" s="926" t="str">
        <f>+NOMINA!D202</f>
        <v>Duarte Portillo Dani Vicente</v>
      </c>
      <c r="D206" s="926" t="str">
        <f>+NOMINA!O202</f>
        <v>Tecnico Superior en Trabajo Social II</v>
      </c>
      <c r="E206" s="929">
        <f>+NOMINA!H202</f>
        <v>42782</v>
      </c>
      <c r="F206" s="930">
        <f>+NOMINA!BN202</f>
        <v>4.4400000000000004</v>
      </c>
      <c r="G206" s="599"/>
      <c r="H206" s="600"/>
      <c r="I206" s="600"/>
      <c r="J206" s="600"/>
      <c r="K206" s="600"/>
    </row>
    <row r="207" spans="1:11" ht="15.75" customHeight="1" x14ac:dyDescent="0.25">
      <c r="A207" s="928">
        <f t="shared" si="3"/>
        <v>160</v>
      </c>
      <c r="B207" s="926">
        <f>+NOMINA!C203</f>
        <v>17604568</v>
      </c>
      <c r="C207" s="926" t="str">
        <f>+NOMINA!D203</f>
        <v>Rivera Gil Christian Rafael</v>
      </c>
      <c r="D207" s="926" t="str">
        <f>+NOMINA!O203</f>
        <v>Tecnico en Reparacion y Mantenimiento I</v>
      </c>
      <c r="E207" s="929">
        <f>+NOMINA!H203</f>
        <v>43831</v>
      </c>
      <c r="F207" s="930">
        <f>+NOMINA!BN203</f>
        <v>4.62</v>
      </c>
      <c r="G207" s="599"/>
      <c r="H207" s="600"/>
      <c r="I207" s="600"/>
      <c r="J207" s="600"/>
      <c r="K207" s="600"/>
    </row>
    <row r="208" spans="1:11" ht="15.75" customHeight="1" x14ac:dyDescent="0.25">
      <c r="A208" s="928">
        <f t="shared" si="3"/>
        <v>161</v>
      </c>
      <c r="B208" s="926">
        <f>+NOMINA!C204</f>
        <v>17605222</v>
      </c>
      <c r="C208" s="926" t="str">
        <f>+NOMINA!D204</f>
        <v>Aguial Dayana Carolina</v>
      </c>
      <c r="D208" s="926" t="str">
        <f>+NOMINA!O204</f>
        <v>Guia de Centro II</v>
      </c>
      <c r="E208" s="929">
        <f>+NOMINA!H204</f>
        <v>42737</v>
      </c>
      <c r="F208" s="930">
        <f>+NOMINA!BN204</f>
        <v>6.01</v>
      </c>
      <c r="G208" s="599"/>
      <c r="H208" s="600"/>
      <c r="I208" s="600"/>
      <c r="J208" s="600"/>
      <c r="K208" s="600"/>
    </row>
    <row r="209" spans="1:11" ht="15.75" customHeight="1" x14ac:dyDescent="0.25">
      <c r="A209" s="928">
        <f t="shared" si="3"/>
        <v>162</v>
      </c>
      <c r="B209" s="926">
        <f>+NOMINA!C205</f>
        <v>17605492</v>
      </c>
      <c r="C209" s="926" t="str">
        <f>+NOMINA!D205</f>
        <v>Briceño Briceño Naibely Carolina</v>
      </c>
      <c r="D209" s="926" t="str">
        <f>+NOMINA!O205</f>
        <v>Asistente Administrativo V</v>
      </c>
      <c r="E209" s="929">
        <f>+NOMINA!H205</f>
        <v>43967</v>
      </c>
      <c r="F209" s="930">
        <f>+NOMINA!BN205</f>
        <v>5.26</v>
      </c>
      <c r="G209" s="599"/>
      <c r="H209" s="600"/>
      <c r="I209" s="600"/>
      <c r="J209" s="600"/>
      <c r="K209" s="600"/>
    </row>
    <row r="210" spans="1:11" ht="15.75" customHeight="1" x14ac:dyDescent="0.25">
      <c r="A210" s="928">
        <f t="shared" si="3"/>
        <v>163</v>
      </c>
      <c r="B210" s="926">
        <f>+NOMINA!C206</f>
        <v>17606237</v>
      </c>
      <c r="C210" s="926" t="str">
        <f>+NOMINA!D206</f>
        <v>Castellano Rivera Maria Antonina</v>
      </c>
      <c r="D210" s="926" t="str">
        <f>+NOMINA!O206</f>
        <v>Asistente Administrativo III</v>
      </c>
      <c r="E210" s="929">
        <f>+NOMINA!H206</f>
        <v>40909</v>
      </c>
      <c r="F210" s="930">
        <f>+NOMINA!BN206</f>
        <v>4.12</v>
      </c>
      <c r="G210" s="599"/>
      <c r="H210" s="600"/>
      <c r="I210" s="600"/>
      <c r="J210" s="600"/>
      <c r="K210" s="600"/>
    </row>
    <row r="211" spans="1:11" ht="15.75" customHeight="1" x14ac:dyDescent="0.25">
      <c r="A211" s="928">
        <f t="shared" si="3"/>
        <v>164</v>
      </c>
      <c r="B211" s="926">
        <f>+NOMINA!C207</f>
        <v>17830972</v>
      </c>
      <c r="C211" s="926" t="str">
        <f>+NOMINA!D207</f>
        <v>Bastidas Franco Dianellys Sarain</v>
      </c>
      <c r="D211" s="926" t="str">
        <f>+NOMINA!O207</f>
        <v>Entrenador Deportivo IV</v>
      </c>
      <c r="E211" s="929">
        <f>+NOMINA!H207</f>
        <v>44713</v>
      </c>
      <c r="F211" s="930">
        <f>+NOMINA!BN207</f>
        <v>5.19</v>
      </c>
      <c r="G211" s="599"/>
      <c r="H211" s="600"/>
      <c r="I211" s="600"/>
      <c r="J211" s="600"/>
      <c r="K211" s="600"/>
    </row>
    <row r="212" spans="1:11" ht="15.75" customHeight="1" x14ac:dyDescent="0.25">
      <c r="A212" s="928">
        <f t="shared" si="3"/>
        <v>165</v>
      </c>
      <c r="B212" s="926">
        <f>+NOMINA!C208</f>
        <v>17831012</v>
      </c>
      <c r="C212" s="926" t="str">
        <f>+NOMINA!D208</f>
        <v>Valera Briceño Jesus Enrique</v>
      </c>
      <c r="D212" s="926" t="str">
        <f>+NOMINA!O208</f>
        <v>Guia de Centro I</v>
      </c>
      <c r="E212" s="929">
        <f>+NOMINA!H208</f>
        <v>45474</v>
      </c>
      <c r="F212" s="930">
        <f>+NOMINA!BN208</f>
        <v>4.2</v>
      </c>
      <c r="G212" s="599"/>
      <c r="H212" s="600"/>
      <c r="I212" s="600"/>
      <c r="J212" s="600"/>
      <c r="K212" s="600"/>
    </row>
    <row r="213" spans="1:11" ht="15.75" customHeight="1" x14ac:dyDescent="0.25">
      <c r="A213" s="928">
        <f t="shared" si="3"/>
        <v>166</v>
      </c>
      <c r="B213" s="926">
        <f>+NOMINA!C209</f>
        <v>17832396</v>
      </c>
      <c r="C213" s="926" t="str">
        <f>+NOMINA!D209</f>
        <v>Pulido Sanchez Joalina Vanessa</v>
      </c>
      <c r="D213" s="926" t="str">
        <f>+NOMINA!O209</f>
        <v>Enfermera Jefe I</v>
      </c>
      <c r="E213" s="929">
        <f>+NOMINA!H209</f>
        <v>43191</v>
      </c>
      <c r="F213" s="930">
        <f>+NOMINA!BN209</f>
        <v>4.71</v>
      </c>
      <c r="G213" s="599"/>
      <c r="H213" s="600"/>
      <c r="I213" s="600"/>
      <c r="J213" s="600"/>
      <c r="K213" s="600"/>
    </row>
    <row r="214" spans="1:11" ht="15.75" customHeight="1" x14ac:dyDescent="0.25">
      <c r="A214" s="928">
        <f t="shared" si="3"/>
        <v>167</v>
      </c>
      <c r="B214" s="926">
        <f>+NOMINA!C210</f>
        <v>17865154</v>
      </c>
      <c r="C214" s="926" t="str">
        <f>+NOMINA!D210</f>
        <v>Serrano Ingrid Maria</v>
      </c>
      <c r="D214" s="926" t="str">
        <f>+NOMINA!O210</f>
        <v>Guia de Centro I</v>
      </c>
      <c r="E214" s="929">
        <f>+NOMINA!H210</f>
        <v>43846</v>
      </c>
      <c r="F214" s="930">
        <f>+NOMINA!BN210</f>
        <v>3.74</v>
      </c>
      <c r="G214" s="599"/>
      <c r="H214" s="600"/>
      <c r="I214" s="600"/>
      <c r="J214" s="600"/>
      <c r="K214" s="600"/>
    </row>
    <row r="215" spans="1:11" ht="15.75" customHeight="1" x14ac:dyDescent="0.25">
      <c r="A215" s="928">
        <f t="shared" si="3"/>
        <v>168</v>
      </c>
      <c r="B215" s="926">
        <f>+NOMINA!C211</f>
        <v>18036203</v>
      </c>
      <c r="C215" s="926" t="str">
        <f>+NOMINA!D211</f>
        <v>Yepes Caceres Mervis Javier</v>
      </c>
      <c r="D215" s="926" t="str">
        <f>+NOMINA!O211</f>
        <v>Guia de Centro I</v>
      </c>
      <c r="E215" s="929">
        <f>+NOMINA!H211</f>
        <v>45505</v>
      </c>
      <c r="F215" s="930">
        <f>+NOMINA!BN211</f>
        <v>3.72</v>
      </c>
      <c r="G215" s="599"/>
      <c r="H215" s="600"/>
      <c r="I215" s="600"/>
      <c r="J215" s="600"/>
      <c r="K215" s="600"/>
    </row>
    <row r="216" spans="1:11" ht="15.75" customHeight="1" x14ac:dyDescent="0.25">
      <c r="A216" s="928">
        <f t="shared" si="3"/>
        <v>169</v>
      </c>
      <c r="B216" s="926">
        <f>+NOMINA!C212</f>
        <v>18036156</v>
      </c>
      <c r="C216" s="926" t="str">
        <f>+NOMINA!D212</f>
        <v>Ruiz Vasquez Endri Ramon</v>
      </c>
      <c r="D216" s="926" t="str">
        <f>+NOMINA!O212</f>
        <v>Guia de Centro I</v>
      </c>
      <c r="E216" s="929">
        <f>+NOMINA!H212</f>
        <v>45597</v>
      </c>
      <c r="F216" s="930">
        <f>+NOMINA!BN212</f>
        <v>3.38</v>
      </c>
      <c r="G216" s="599"/>
      <c r="H216" s="600"/>
      <c r="I216" s="600"/>
      <c r="J216" s="600"/>
      <c r="K216" s="600"/>
    </row>
    <row r="217" spans="1:11" ht="15.75" customHeight="1" x14ac:dyDescent="0.25">
      <c r="A217" s="928">
        <f t="shared" si="3"/>
        <v>170</v>
      </c>
      <c r="B217" s="926">
        <f>+NOMINA!C213</f>
        <v>18095603</v>
      </c>
      <c r="C217" s="926" t="str">
        <f>+NOMINA!D213</f>
        <v>Lozada Bencomo Daniela Carolina</v>
      </c>
      <c r="D217" s="926" t="str">
        <f>+NOMINA!O213</f>
        <v>Tecnico Superior en Trabajo Social II</v>
      </c>
      <c r="E217" s="929">
        <f>+NOMINA!H213</f>
        <v>42963</v>
      </c>
      <c r="F217" s="930">
        <f>+NOMINA!BN213</f>
        <v>4.78</v>
      </c>
      <c r="G217" s="599"/>
      <c r="H217" s="600"/>
      <c r="I217" s="600"/>
      <c r="J217" s="600"/>
      <c r="K217" s="600"/>
    </row>
    <row r="218" spans="1:11" ht="15.75" customHeight="1" x14ac:dyDescent="0.25">
      <c r="A218" s="928">
        <f t="shared" si="3"/>
        <v>171</v>
      </c>
      <c r="B218" s="926">
        <f>+NOMINA!C214</f>
        <v>18096996</v>
      </c>
      <c r="C218" s="926" t="str">
        <f>+NOMINA!D214</f>
        <v>Diaz Maldonado Anny Jackeline</v>
      </c>
      <c r="D218" s="926" t="str">
        <f>+NOMINA!O214</f>
        <v>CONTABILISTA III</v>
      </c>
      <c r="E218" s="929">
        <f>+NOMINA!H214</f>
        <v>44743</v>
      </c>
      <c r="F218" s="930">
        <f>+NOMINA!BN214</f>
        <v>4.42</v>
      </c>
      <c r="G218" s="599"/>
      <c r="H218" s="600"/>
      <c r="I218" s="600"/>
      <c r="J218" s="600"/>
      <c r="K218" s="600"/>
    </row>
    <row r="219" spans="1:11" ht="15.75" customHeight="1" x14ac:dyDescent="0.25">
      <c r="A219" s="928">
        <f t="shared" si="3"/>
        <v>172</v>
      </c>
      <c r="B219" s="926">
        <f>+NOMINA!C215</f>
        <v>18097528</v>
      </c>
      <c r="C219" s="926" t="str">
        <f>+NOMINA!D215</f>
        <v>Godoy Suarez Nelson Jose</v>
      </c>
      <c r="D219" s="926" t="str">
        <f>+NOMINA!O215</f>
        <v>Guia de Centro I</v>
      </c>
      <c r="E219" s="929">
        <f>+NOMINA!H215</f>
        <v>45536</v>
      </c>
      <c r="F219" s="930">
        <f>+NOMINA!BN215</f>
        <v>3.72</v>
      </c>
      <c r="G219" s="599"/>
      <c r="H219" s="600"/>
      <c r="I219" s="600"/>
      <c r="J219" s="600"/>
      <c r="K219" s="600"/>
    </row>
    <row r="220" spans="1:11" ht="15.75" customHeight="1" x14ac:dyDescent="0.25">
      <c r="A220" s="928">
        <f t="shared" si="3"/>
        <v>173</v>
      </c>
      <c r="B220" s="926">
        <f>+NOMINA!C216</f>
        <v>18097873</v>
      </c>
      <c r="C220" s="926" t="str">
        <f>+NOMINA!D216</f>
        <v>Villarreal Prada Yoriangela Nataly</v>
      </c>
      <c r="D220" s="926" t="str">
        <f>+NOMINA!O216</f>
        <v>Guia de Centro I</v>
      </c>
      <c r="E220" s="929">
        <f>+NOMINA!H216</f>
        <v>44531</v>
      </c>
      <c r="F220" s="930">
        <f>+NOMINA!BN216</f>
        <v>4.0199999999999996</v>
      </c>
      <c r="G220" s="599"/>
      <c r="H220" s="600"/>
      <c r="I220" s="600"/>
      <c r="J220" s="600"/>
      <c r="K220" s="600"/>
    </row>
    <row r="221" spans="1:11" ht="15.75" customHeight="1" x14ac:dyDescent="0.25">
      <c r="A221" s="928">
        <f t="shared" si="3"/>
        <v>174</v>
      </c>
      <c r="B221" s="926">
        <f>+NOMINA!C217</f>
        <v>18348317</v>
      </c>
      <c r="C221" s="926" t="str">
        <f>+NOMINA!D217</f>
        <v>Abreu Araujo Gilmer Francisco</v>
      </c>
      <c r="D221" s="926" t="str">
        <f>+NOMINA!O217</f>
        <v>Tutor Facilitador III</v>
      </c>
      <c r="E221" s="929">
        <f>+NOMINA!H217</f>
        <v>43160</v>
      </c>
      <c r="F221" s="930">
        <f>+NOMINA!BN217</f>
        <v>5.75</v>
      </c>
      <c r="G221" s="599"/>
      <c r="H221" s="600"/>
      <c r="I221" s="600"/>
      <c r="J221" s="600"/>
      <c r="K221" s="600"/>
    </row>
    <row r="222" spans="1:11" ht="15.75" customHeight="1" x14ac:dyDescent="0.25">
      <c r="A222" s="928">
        <f t="shared" si="3"/>
        <v>175</v>
      </c>
      <c r="B222" s="926">
        <f>+NOMINA!C218</f>
        <v>18348721</v>
      </c>
      <c r="C222" s="926" t="str">
        <f>+NOMINA!D218</f>
        <v>Villarreal Lusana Carolina</v>
      </c>
      <c r="D222" s="926" t="str">
        <f>+NOMINA!O218</f>
        <v>Tecnico Superior en Trabajo Social II</v>
      </c>
      <c r="E222" s="929">
        <f>+NOMINA!H218</f>
        <v>42948</v>
      </c>
      <c r="F222" s="930">
        <f>+NOMINA!BN218</f>
        <v>4.74</v>
      </c>
      <c r="G222" s="599"/>
      <c r="H222" s="600"/>
      <c r="I222" s="600"/>
      <c r="J222" s="600"/>
      <c r="K222" s="600"/>
    </row>
    <row r="223" spans="1:11" ht="15.75" customHeight="1" x14ac:dyDescent="0.25">
      <c r="A223" s="928">
        <f t="shared" si="3"/>
        <v>176</v>
      </c>
      <c r="B223" s="926">
        <f>+NOMINA!C219</f>
        <v>18349021</v>
      </c>
      <c r="C223" s="926" t="str">
        <f>+NOMINA!D219</f>
        <v>Godoy Linares Amenaida del Valle</v>
      </c>
      <c r="D223" s="926" t="str">
        <f>+NOMINA!O219</f>
        <v>Guia de Centro I</v>
      </c>
      <c r="E223" s="929">
        <f>+NOMINA!H219</f>
        <v>44683</v>
      </c>
      <c r="F223" s="930">
        <f>+NOMINA!BN219</f>
        <v>5.98</v>
      </c>
      <c r="G223" s="599"/>
      <c r="H223" s="600"/>
      <c r="I223" s="600"/>
      <c r="J223" s="600"/>
      <c r="K223" s="600"/>
    </row>
    <row r="224" spans="1:11" ht="15.75" customHeight="1" x14ac:dyDescent="0.25">
      <c r="A224" s="928">
        <f t="shared" si="3"/>
        <v>177</v>
      </c>
      <c r="B224" s="926">
        <f>+NOMINA!C220</f>
        <v>18349409</v>
      </c>
      <c r="C224" s="926" t="str">
        <f>+NOMINA!D220</f>
        <v>Fernandez Mendoza Maria Alejandra</v>
      </c>
      <c r="D224" s="926" t="str">
        <f>+NOMINA!O220</f>
        <v>Guia de Centro I</v>
      </c>
      <c r="E224" s="929">
        <f>+NOMINA!H220</f>
        <v>45839</v>
      </c>
      <c r="F224" s="930">
        <f>+NOMINA!BN220</f>
        <v>3.54</v>
      </c>
      <c r="G224" s="599"/>
      <c r="H224" s="600"/>
      <c r="I224" s="600"/>
      <c r="J224" s="600"/>
      <c r="K224" s="600"/>
    </row>
    <row r="225" spans="1:11" ht="15.75" customHeight="1" x14ac:dyDescent="0.25">
      <c r="A225" s="928">
        <f t="shared" si="3"/>
        <v>178</v>
      </c>
      <c r="B225" s="926">
        <f>+NOMINA!C221</f>
        <v>18349653</v>
      </c>
      <c r="C225" s="926" t="str">
        <f>+NOMINA!D221</f>
        <v>Baptista Finol Violexy del Valle</v>
      </c>
      <c r="D225" s="926" t="str">
        <f>+NOMINA!O221</f>
        <v>Guia de Centro I</v>
      </c>
      <c r="E225" s="929">
        <f>+NOMINA!H221</f>
        <v>45627</v>
      </c>
      <c r="F225" s="930">
        <f>+NOMINA!BN221</f>
        <v>5.64</v>
      </c>
      <c r="G225" s="599"/>
      <c r="H225" s="600"/>
      <c r="I225" s="600"/>
      <c r="J225" s="600"/>
      <c r="K225" s="600"/>
    </row>
    <row r="226" spans="1:11" ht="15.75" customHeight="1" x14ac:dyDescent="0.25">
      <c r="A226" s="928">
        <f t="shared" si="3"/>
        <v>179</v>
      </c>
      <c r="B226" s="926">
        <f>+NOMINA!C222</f>
        <v>18350884</v>
      </c>
      <c r="C226" s="926" t="str">
        <f>+NOMINA!D222</f>
        <v>Araujo Mendoza Mirelis Carolina</v>
      </c>
      <c r="D226" s="926" t="str">
        <f>+NOMINA!O222</f>
        <v>Guia de Centro I</v>
      </c>
      <c r="E226" s="929">
        <f>+NOMINA!H222</f>
        <v>45474</v>
      </c>
      <c r="F226" s="930">
        <f>+NOMINA!BN222</f>
        <v>3.56</v>
      </c>
      <c r="G226" s="599"/>
      <c r="H226" s="600"/>
      <c r="I226" s="600"/>
      <c r="J226" s="600"/>
      <c r="K226" s="600"/>
    </row>
    <row r="227" spans="1:11" ht="15.75" customHeight="1" x14ac:dyDescent="0.25">
      <c r="A227" s="928">
        <f t="shared" si="3"/>
        <v>180</v>
      </c>
      <c r="B227" s="926">
        <f>+NOMINA!C223</f>
        <v>18378985</v>
      </c>
      <c r="C227" s="926" t="str">
        <f>+NOMINA!D223</f>
        <v>Quintero Paradas Ilse Maria</v>
      </c>
      <c r="D227" s="926" t="str">
        <f>+NOMINA!O223</f>
        <v>Analista de Procesamiento de Datos II</v>
      </c>
      <c r="E227" s="929">
        <f>+NOMINA!H223</f>
        <v>43147</v>
      </c>
      <c r="F227" s="930">
        <f>+NOMINA!BN223</f>
        <v>5.68</v>
      </c>
      <c r="G227" s="599"/>
      <c r="H227" s="600"/>
      <c r="I227" s="600"/>
      <c r="J227" s="600"/>
      <c r="K227" s="600"/>
    </row>
    <row r="228" spans="1:11" ht="15.75" customHeight="1" x14ac:dyDescent="0.25">
      <c r="A228" s="928">
        <f t="shared" si="3"/>
        <v>181</v>
      </c>
      <c r="B228" s="926">
        <f>+NOMINA!C224</f>
        <v>18456345</v>
      </c>
      <c r="C228" s="926" t="str">
        <f>+NOMINA!D224</f>
        <v>Peñaloza Olmos Eduardo Jose</v>
      </c>
      <c r="D228" s="926" t="str">
        <f>+NOMINA!O224</f>
        <v>ESPECIALISTA EN INFORMATICA I</v>
      </c>
      <c r="E228" s="929">
        <f>+NOMINA!H224</f>
        <v>44774</v>
      </c>
      <c r="F228" s="930">
        <f>+NOMINA!BN224</f>
        <v>5.19</v>
      </c>
      <c r="G228" s="599"/>
      <c r="H228" s="600"/>
      <c r="I228" s="600"/>
      <c r="J228" s="600"/>
      <c r="K228" s="600"/>
    </row>
    <row r="229" spans="1:11" ht="15.75" customHeight="1" x14ac:dyDescent="0.25">
      <c r="A229" s="928">
        <f t="shared" si="3"/>
        <v>182</v>
      </c>
      <c r="B229" s="926">
        <f>+NOMINA!C225</f>
        <v>18457406</v>
      </c>
      <c r="C229" s="926" t="str">
        <f>+NOMINA!D225</f>
        <v>Rivero Zambrano Herluis Jose</v>
      </c>
      <c r="D229" s="926" t="str">
        <f>+NOMINA!O225</f>
        <v>Ingeniero Agronomo IV</v>
      </c>
      <c r="E229" s="929">
        <f>+NOMINA!H225</f>
        <v>41548</v>
      </c>
      <c r="F229" s="930">
        <f>+NOMINA!BN225</f>
        <v>0</v>
      </c>
      <c r="G229" s="599"/>
      <c r="H229" s="600"/>
      <c r="I229" s="600"/>
      <c r="J229" s="600"/>
      <c r="K229" s="600"/>
    </row>
    <row r="230" spans="1:11" ht="15.75" customHeight="1" x14ac:dyDescent="0.25">
      <c r="A230" s="928">
        <f t="shared" si="3"/>
        <v>183</v>
      </c>
      <c r="B230" s="926">
        <f>+NOMINA!C226</f>
        <v>18458012</v>
      </c>
      <c r="C230" s="926" t="str">
        <f>+NOMINA!D226</f>
        <v>Briceño Uzcategui Maria Esperanza</v>
      </c>
      <c r="D230" s="926" t="str">
        <f>+NOMINA!O226</f>
        <v>Asistente Administrativo III</v>
      </c>
      <c r="E230" s="929">
        <f>+NOMINA!H226</f>
        <v>44636</v>
      </c>
      <c r="F230" s="930">
        <f>+NOMINA!BN226</f>
        <v>4.57</v>
      </c>
      <c r="G230" s="599"/>
      <c r="H230" s="600"/>
      <c r="I230" s="600"/>
      <c r="J230" s="600"/>
      <c r="K230" s="600"/>
    </row>
    <row r="231" spans="1:11" ht="15.75" customHeight="1" x14ac:dyDescent="0.25">
      <c r="A231" s="928">
        <f t="shared" si="3"/>
        <v>184</v>
      </c>
      <c r="B231" s="926">
        <f>+NOMINA!C227</f>
        <v>18733682</v>
      </c>
      <c r="C231" s="926" t="str">
        <f>+NOMINA!D227</f>
        <v>Ocanto Ramirez Maria Alejandra</v>
      </c>
      <c r="D231" s="926" t="str">
        <f>+NOMINA!O227</f>
        <v>Guia de Centro I</v>
      </c>
      <c r="E231" s="929">
        <f>+NOMINA!H227</f>
        <v>45474</v>
      </c>
      <c r="F231" s="930">
        <f>+NOMINA!BN227</f>
        <v>3.56</v>
      </c>
      <c r="G231" s="599"/>
      <c r="H231" s="600"/>
      <c r="I231" s="600"/>
      <c r="J231" s="600"/>
      <c r="K231" s="600"/>
    </row>
    <row r="232" spans="1:11" ht="15.75" customHeight="1" x14ac:dyDescent="0.25">
      <c r="A232" s="928">
        <f t="shared" si="3"/>
        <v>185</v>
      </c>
      <c r="B232" s="926">
        <f>+NOMINA!C228</f>
        <v>18801597</v>
      </c>
      <c r="C232" s="926" t="str">
        <f>+NOMINA!D228</f>
        <v>Rodriguez Salas Mary Carmen</v>
      </c>
      <c r="D232" s="926" t="str">
        <f>+NOMINA!O228</f>
        <v>Tutor Facilitador III</v>
      </c>
      <c r="E232" s="929">
        <f>+NOMINA!H228</f>
        <v>43359</v>
      </c>
      <c r="F232" s="930">
        <f>+NOMINA!BN228</f>
        <v>5.68</v>
      </c>
      <c r="G232" s="599"/>
      <c r="H232" s="600"/>
      <c r="I232" s="600"/>
      <c r="J232" s="600"/>
      <c r="K232" s="600"/>
    </row>
    <row r="233" spans="1:11" ht="15.75" customHeight="1" x14ac:dyDescent="0.25">
      <c r="A233" s="928">
        <f t="shared" si="3"/>
        <v>186</v>
      </c>
      <c r="B233" s="926">
        <f>+NOMINA!C229</f>
        <v>18802405</v>
      </c>
      <c r="C233" s="926" t="str">
        <f>+NOMINA!D229</f>
        <v>Ramirez Rodriguez Rudys Arelys</v>
      </c>
      <c r="D233" s="926" t="str">
        <f>+NOMINA!O229</f>
        <v>Tutor Facilitador I</v>
      </c>
      <c r="E233" s="929">
        <f>+NOMINA!H229</f>
        <v>44332</v>
      </c>
      <c r="F233" s="930">
        <f>+NOMINA!BN229</f>
        <v>5.54</v>
      </c>
      <c r="G233" s="599"/>
      <c r="H233" s="600"/>
      <c r="I233" s="600"/>
      <c r="J233" s="600"/>
      <c r="K233" s="600"/>
    </row>
    <row r="234" spans="1:11" ht="15.75" customHeight="1" x14ac:dyDescent="0.25">
      <c r="A234" s="928">
        <f t="shared" si="3"/>
        <v>187</v>
      </c>
      <c r="B234" s="926">
        <f>+NOMINA!C230</f>
        <v>18984406</v>
      </c>
      <c r="C234" s="926" t="str">
        <f>+NOMINA!D230</f>
        <v>Torres Santiago Eduardo David</v>
      </c>
      <c r="D234" s="926" t="str">
        <f>+NOMINA!O230</f>
        <v>Guia de Centro I</v>
      </c>
      <c r="E234" s="929">
        <f>+NOMINA!H230</f>
        <v>45200</v>
      </c>
      <c r="F234" s="930">
        <f>+NOMINA!BN230</f>
        <v>3.4</v>
      </c>
      <c r="G234" s="599"/>
      <c r="H234" s="600"/>
      <c r="I234" s="600"/>
      <c r="J234" s="600"/>
      <c r="K234" s="600"/>
    </row>
    <row r="235" spans="1:11" ht="15.75" customHeight="1" x14ac:dyDescent="0.25">
      <c r="A235" s="928">
        <f t="shared" si="3"/>
        <v>188</v>
      </c>
      <c r="B235" s="926">
        <f>+NOMINA!C231</f>
        <v>19101647</v>
      </c>
      <c r="C235" s="926" t="str">
        <f>+NOMINA!D231</f>
        <v>Uzcategui Urbina Madeley Tatiana</v>
      </c>
      <c r="D235" s="926" t="str">
        <f>+NOMINA!O231</f>
        <v>Guia de Centro I</v>
      </c>
      <c r="E235" s="929">
        <f>+NOMINA!H231</f>
        <v>43845</v>
      </c>
      <c r="F235" s="930">
        <f>+NOMINA!BN231</f>
        <v>4.0599999999999996</v>
      </c>
      <c r="G235" s="599"/>
      <c r="H235" s="600"/>
      <c r="I235" s="600"/>
      <c r="J235" s="600"/>
      <c r="K235" s="600"/>
    </row>
    <row r="236" spans="1:11" ht="15.75" customHeight="1" x14ac:dyDescent="0.25">
      <c r="A236" s="928">
        <f t="shared" si="3"/>
        <v>189</v>
      </c>
      <c r="B236" s="926">
        <f>+NOMINA!C232</f>
        <v>19101773</v>
      </c>
      <c r="C236" s="926" t="str">
        <f>+NOMINA!D232</f>
        <v>Gil Molina Maite Karina</v>
      </c>
      <c r="D236" s="926" t="str">
        <f>+NOMINA!O232</f>
        <v>Guia de Centro I</v>
      </c>
      <c r="E236" s="929">
        <f>+NOMINA!H232</f>
        <v>45200</v>
      </c>
      <c r="F236" s="930">
        <f>+NOMINA!BN232</f>
        <v>5.05</v>
      </c>
      <c r="G236" s="599"/>
      <c r="H236" s="600"/>
      <c r="I236" s="600"/>
      <c r="J236" s="600"/>
      <c r="K236" s="600"/>
    </row>
    <row r="237" spans="1:11" ht="15.75" customHeight="1" x14ac:dyDescent="0.25">
      <c r="A237" s="928">
        <f t="shared" si="3"/>
        <v>190</v>
      </c>
      <c r="B237" s="926">
        <f>+NOMINA!C233</f>
        <v>19103118</v>
      </c>
      <c r="C237" s="926" t="str">
        <f>+NOMINA!D233</f>
        <v>Plaza Quintero Orelis Maria</v>
      </c>
      <c r="D237" s="926" t="str">
        <f>+NOMINA!O233</f>
        <v>Tecnico Superior en Trabajo Social II</v>
      </c>
      <c r="E237" s="929">
        <f>+NOMINA!H233</f>
        <v>43724</v>
      </c>
      <c r="F237" s="930">
        <f>+NOMINA!BN233</f>
        <v>4.53</v>
      </c>
      <c r="G237" s="599"/>
      <c r="H237" s="600"/>
      <c r="I237" s="600"/>
      <c r="J237" s="600"/>
      <c r="K237" s="600"/>
    </row>
    <row r="238" spans="1:11" ht="15.75" customHeight="1" x14ac:dyDescent="0.25">
      <c r="A238" s="928">
        <f t="shared" si="3"/>
        <v>191</v>
      </c>
      <c r="B238" s="926">
        <f>+NOMINA!C234</f>
        <v>19103604</v>
      </c>
      <c r="C238" s="926" t="str">
        <f>+NOMINA!D234</f>
        <v>Hernandez Graterol Gleidys Coromoto</v>
      </c>
      <c r="D238" s="926" t="str">
        <f>+NOMINA!O234</f>
        <v>Asistente Administrativo III</v>
      </c>
      <c r="E238" s="929">
        <f>+NOMINA!H234</f>
        <v>44600</v>
      </c>
      <c r="F238" s="930">
        <f>+NOMINA!BN234</f>
        <v>4.57</v>
      </c>
      <c r="G238" s="599"/>
      <c r="H238" s="600"/>
      <c r="I238" s="600"/>
      <c r="J238" s="600"/>
      <c r="K238" s="600"/>
    </row>
    <row r="239" spans="1:11" ht="15.75" customHeight="1" x14ac:dyDescent="0.25">
      <c r="A239" s="928">
        <f t="shared" si="3"/>
        <v>192</v>
      </c>
      <c r="B239" s="926">
        <f>+NOMINA!C235</f>
        <v>19103823</v>
      </c>
      <c r="C239" s="926" t="str">
        <f>+NOMINA!D235</f>
        <v>Valero Sanchez Zulay del Valle</v>
      </c>
      <c r="D239" s="926" t="str">
        <f>+NOMINA!O235</f>
        <v>Tutor Facilitador III</v>
      </c>
      <c r="E239" s="929">
        <f>+NOMINA!H235</f>
        <v>42795</v>
      </c>
      <c r="F239" s="930">
        <f>+NOMINA!BN235</f>
        <v>6.44</v>
      </c>
      <c r="G239" s="599"/>
      <c r="H239" s="600"/>
      <c r="I239" s="600"/>
      <c r="J239" s="600"/>
      <c r="K239" s="600"/>
    </row>
    <row r="240" spans="1:11" ht="15.75" customHeight="1" x14ac:dyDescent="0.25">
      <c r="A240" s="928">
        <f t="shared" si="3"/>
        <v>193</v>
      </c>
      <c r="B240" s="926">
        <f>+NOMINA!C236</f>
        <v>19286780</v>
      </c>
      <c r="C240" s="926" t="str">
        <f>+NOMINA!D236</f>
        <v>Mejia Rosales Katiusca Josefina</v>
      </c>
      <c r="D240" s="926" t="str">
        <f>+NOMINA!O236</f>
        <v>Asistente Administrativo III</v>
      </c>
      <c r="E240" s="929">
        <f>+NOMINA!H236</f>
        <v>42492</v>
      </c>
      <c r="F240" s="930">
        <f>+NOMINA!BN236</f>
        <v>4.8</v>
      </c>
      <c r="G240" s="599"/>
      <c r="H240" s="600"/>
      <c r="I240" s="600"/>
      <c r="J240" s="600"/>
      <c r="K240" s="600"/>
    </row>
    <row r="241" spans="1:11" ht="15.75" customHeight="1" x14ac:dyDescent="0.25">
      <c r="A241" s="928">
        <f t="shared" si="3"/>
        <v>194</v>
      </c>
      <c r="B241" s="926">
        <f>+NOMINA!C237</f>
        <v>19287100</v>
      </c>
      <c r="C241" s="926" t="str">
        <f>+NOMINA!D237</f>
        <v>Leal Mejia Fraineli Yoset</v>
      </c>
      <c r="D241" s="926" t="str">
        <f>+NOMINA!O237</f>
        <v>Tecnico Superior en Trabajo Social II</v>
      </c>
      <c r="E241" s="929">
        <f>+NOMINA!H237</f>
        <v>44713</v>
      </c>
      <c r="F241" s="930">
        <f>+NOMINA!BN237</f>
        <v>4.57</v>
      </c>
      <c r="G241" s="599"/>
      <c r="H241" s="600"/>
      <c r="I241" s="600"/>
      <c r="J241" s="600"/>
      <c r="K241" s="600"/>
    </row>
    <row r="242" spans="1:11" ht="15.75" customHeight="1" x14ac:dyDescent="0.25">
      <c r="A242" s="928">
        <f t="shared" ref="A242:A306" si="4">+A241+1</f>
        <v>195</v>
      </c>
      <c r="B242" s="926">
        <f>+NOMINA!C238</f>
        <v>19610534</v>
      </c>
      <c r="C242" s="926" t="str">
        <f>+NOMINA!D238</f>
        <v>Santos Saavedra Greosmar Johan</v>
      </c>
      <c r="D242" s="926" t="str">
        <f>+NOMINA!O238</f>
        <v>Guia de Centro I</v>
      </c>
      <c r="E242" s="929">
        <f>+NOMINA!H238</f>
        <v>44713</v>
      </c>
      <c r="F242" s="930">
        <f>+NOMINA!BN238</f>
        <v>4.42</v>
      </c>
      <c r="G242" s="599"/>
      <c r="H242" s="600"/>
      <c r="I242" s="600"/>
      <c r="J242" s="600"/>
      <c r="K242" s="600"/>
    </row>
    <row r="243" spans="1:11" ht="15.75" customHeight="1" x14ac:dyDescent="0.25">
      <c r="A243" s="928">
        <f t="shared" si="4"/>
        <v>196</v>
      </c>
      <c r="B243" s="926">
        <f>+NOMINA!C239</f>
        <v>19610565</v>
      </c>
      <c r="C243" s="926" t="str">
        <f>+NOMINA!D239</f>
        <v>Uzcategui Uzcategui Saray Cristina</v>
      </c>
      <c r="D243" s="926" t="str">
        <f>+NOMINA!O239</f>
        <v>Guia de Centro I</v>
      </c>
      <c r="E243" s="929">
        <f>+NOMINA!H239</f>
        <v>44713</v>
      </c>
      <c r="F243" s="930">
        <f>+NOMINA!BN239</f>
        <v>4.76</v>
      </c>
      <c r="G243" s="599"/>
      <c r="H243" s="600"/>
      <c r="I243" s="600"/>
      <c r="J243" s="600"/>
      <c r="K243" s="600"/>
    </row>
    <row r="244" spans="1:11" ht="15.75" customHeight="1" x14ac:dyDescent="0.25">
      <c r="A244" s="928">
        <f t="shared" si="4"/>
        <v>197</v>
      </c>
      <c r="B244" s="926">
        <f>+NOMINA!C240</f>
        <v>19643405</v>
      </c>
      <c r="C244" s="926" t="str">
        <f>+NOMINA!D240</f>
        <v>Valero Mejia Aleidy Rosana</v>
      </c>
      <c r="D244" s="926" t="str">
        <f>+NOMINA!O240</f>
        <v>Guia de Centro II</v>
      </c>
      <c r="E244" s="929">
        <f>+NOMINA!H240</f>
        <v>43221</v>
      </c>
      <c r="F244" s="930">
        <f>+NOMINA!BN240</f>
        <v>5.93</v>
      </c>
      <c r="G244" s="599"/>
      <c r="H244" s="600"/>
      <c r="I244" s="600"/>
      <c r="J244" s="600"/>
      <c r="K244" s="600"/>
    </row>
    <row r="245" spans="1:11" ht="15.75" customHeight="1" x14ac:dyDescent="0.25">
      <c r="A245" s="928">
        <f t="shared" si="4"/>
        <v>198</v>
      </c>
      <c r="B245" s="926">
        <f>+NOMINA!C241</f>
        <v>19643806</v>
      </c>
      <c r="C245" s="926" t="str">
        <f>+NOMINA!D241</f>
        <v>Vazquez Hernandez Doris Mercedes</v>
      </c>
      <c r="D245" s="926" t="str">
        <f>+NOMINA!O241</f>
        <v>Asistente Administrativo III</v>
      </c>
      <c r="E245" s="929">
        <f>+NOMINA!H241</f>
        <v>45505</v>
      </c>
      <c r="F245" s="930">
        <f>+NOMINA!BN241</f>
        <v>4.3600000000000003</v>
      </c>
      <c r="G245" s="599"/>
      <c r="H245" s="600"/>
      <c r="I245" s="600"/>
      <c r="J245" s="600"/>
      <c r="K245" s="600"/>
    </row>
    <row r="246" spans="1:11" ht="15.75" customHeight="1" x14ac:dyDescent="0.25">
      <c r="A246" s="928">
        <f t="shared" si="4"/>
        <v>199</v>
      </c>
      <c r="B246" s="926">
        <f>+NOMINA!C242</f>
        <v>19644743</v>
      </c>
      <c r="C246" s="926" t="str">
        <f>+NOMINA!D242</f>
        <v>Villa Daniela Carolina</v>
      </c>
      <c r="D246" s="926" t="str">
        <f>+NOMINA!O242</f>
        <v>Analista de Procesamiento de Datos II</v>
      </c>
      <c r="E246" s="929">
        <f>+NOMINA!H242</f>
        <v>43967</v>
      </c>
      <c r="F246" s="930">
        <f>+NOMINA!BN242</f>
        <v>5.57</v>
      </c>
      <c r="G246" s="599"/>
      <c r="H246" s="600"/>
      <c r="I246" s="600"/>
      <c r="J246" s="600"/>
      <c r="K246" s="600"/>
    </row>
    <row r="247" spans="1:11" ht="15.75" customHeight="1" x14ac:dyDescent="0.25">
      <c r="A247" s="928">
        <f t="shared" si="4"/>
        <v>200</v>
      </c>
      <c r="B247" s="926">
        <f>+NOMINA!C243</f>
        <v>19644756</v>
      </c>
      <c r="C247" s="926" t="str">
        <f>+NOMINA!D243</f>
        <v>Mejia Aldana Norbelys Carolina</v>
      </c>
      <c r="D247" s="926" t="str">
        <f>+NOMINA!O243</f>
        <v>Economa II</v>
      </c>
      <c r="E247" s="929">
        <f>+NOMINA!H243</f>
        <v>44470</v>
      </c>
      <c r="F247" s="930">
        <f>+NOMINA!BN243</f>
        <v>2.97</v>
      </c>
      <c r="G247" s="599"/>
      <c r="H247" s="600"/>
      <c r="I247" s="600"/>
      <c r="J247" s="600"/>
      <c r="K247" s="600"/>
    </row>
    <row r="248" spans="1:11" ht="15.75" customHeight="1" x14ac:dyDescent="0.25">
      <c r="A248" s="928">
        <f t="shared" si="4"/>
        <v>201</v>
      </c>
      <c r="B248" s="926">
        <f>+NOMINA!C244</f>
        <v>19794217</v>
      </c>
      <c r="C248" s="926" t="str">
        <f>+NOMINA!D244</f>
        <v>Suarez Leal Betzabeth Daimar</v>
      </c>
      <c r="D248" s="926" t="str">
        <f>+NOMINA!O244</f>
        <v>Guia de Centro I</v>
      </c>
      <c r="E248" s="929">
        <f>+NOMINA!H244</f>
        <v>44683</v>
      </c>
      <c r="F248" s="930">
        <f>+NOMINA!BN244</f>
        <v>5.74</v>
      </c>
      <c r="G248" s="599"/>
      <c r="H248" s="600"/>
      <c r="I248" s="600"/>
      <c r="J248" s="600"/>
      <c r="K248" s="600"/>
    </row>
    <row r="249" spans="1:11" ht="15.75" customHeight="1" x14ac:dyDescent="0.25">
      <c r="A249" s="928">
        <f t="shared" si="4"/>
        <v>202</v>
      </c>
      <c r="B249" s="926">
        <f>+NOMINA!C245</f>
        <v>20038162</v>
      </c>
      <c r="C249" s="926" t="str">
        <f>+NOMINA!D245</f>
        <v>Jerez Rangel Gleidy Andreina</v>
      </c>
      <c r="D249" s="926" t="str">
        <f>+NOMINA!O245</f>
        <v>Guia de Centro I</v>
      </c>
      <c r="E249" s="929">
        <f>+NOMINA!H245</f>
        <v>45597</v>
      </c>
      <c r="F249" s="930">
        <f>+NOMINA!BN245</f>
        <v>5.64</v>
      </c>
      <c r="G249" s="599"/>
      <c r="H249" s="600"/>
      <c r="I249" s="600"/>
      <c r="J249" s="600"/>
      <c r="K249" s="600"/>
    </row>
    <row r="250" spans="1:11" ht="15.75" customHeight="1" x14ac:dyDescent="0.25">
      <c r="A250" s="928">
        <f t="shared" si="4"/>
        <v>203</v>
      </c>
      <c r="B250" s="926">
        <f>+NOMINA!C246</f>
        <v>20040405</v>
      </c>
      <c r="C250" s="926" t="str">
        <f>+NOMINA!D246</f>
        <v>Lopez Padilla Angela Maria</v>
      </c>
      <c r="D250" s="926" t="str">
        <f>+NOMINA!O246</f>
        <v>Tutor Facilitador I</v>
      </c>
      <c r="E250" s="929">
        <f>+NOMINA!H246</f>
        <v>45717</v>
      </c>
      <c r="F250" s="930">
        <f>+NOMINA!BN246</f>
        <v>4.7</v>
      </c>
      <c r="G250" s="599"/>
      <c r="H250" s="600"/>
      <c r="I250" s="600"/>
      <c r="J250" s="600"/>
      <c r="K250" s="600"/>
    </row>
    <row r="251" spans="1:11" ht="15.75" customHeight="1" x14ac:dyDescent="0.25">
      <c r="A251" s="928">
        <f t="shared" si="4"/>
        <v>204</v>
      </c>
      <c r="B251" s="926">
        <f>+NOMINA!C247</f>
        <v>20655363</v>
      </c>
      <c r="C251" s="926" t="str">
        <f>+NOMINA!D247</f>
        <v>Sarache Ramirez Maryelis Stefani</v>
      </c>
      <c r="D251" s="926" t="str">
        <f>+NOMINA!O247</f>
        <v>Guia de Centro I</v>
      </c>
      <c r="E251" s="929">
        <f>+NOMINA!H247</f>
        <v>45323</v>
      </c>
      <c r="F251" s="930">
        <f>+NOMINA!BN247</f>
        <v>5.67</v>
      </c>
      <c r="G251" s="599"/>
      <c r="H251" s="600"/>
      <c r="I251" s="600"/>
      <c r="J251" s="600"/>
      <c r="K251" s="600"/>
    </row>
    <row r="252" spans="1:11" ht="15.75" customHeight="1" x14ac:dyDescent="0.25">
      <c r="A252" s="928">
        <f t="shared" si="4"/>
        <v>205</v>
      </c>
      <c r="B252" s="926">
        <f>+NOMINA!C248</f>
        <v>20401711</v>
      </c>
      <c r="C252" s="926" t="str">
        <f>+NOMINA!D248</f>
        <v>Mendez Giro Maryely Roxana</v>
      </c>
      <c r="D252" s="926" t="str">
        <f>+NOMINA!O248</f>
        <v>Guia de Centro II</v>
      </c>
      <c r="E252" s="929">
        <f>+NOMINA!H248</f>
        <v>44363</v>
      </c>
      <c r="F252" s="930">
        <f>+NOMINA!BN248</f>
        <v>6.08</v>
      </c>
      <c r="G252" s="599"/>
      <c r="H252" s="600"/>
      <c r="I252" s="600"/>
      <c r="J252" s="600"/>
      <c r="K252" s="600"/>
    </row>
    <row r="253" spans="1:11" ht="15.75" customHeight="1" x14ac:dyDescent="0.25">
      <c r="A253" s="928">
        <f t="shared" si="4"/>
        <v>206</v>
      </c>
      <c r="B253" s="926">
        <f>+NOMINA!C249</f>
        <v>20428039</v>
      </c>
      <c r="C253" s="926" t="str">
        <f>+NOMINA!D249</f>
        <v>Manzanilla Juan Roberto Antonio</v>
      </c>
      <c r="D253" s="926" t="str">
        <f>+NOMINA!O249</f>
        <v>Guia de Centro I</v>
      </c>
      <c r="E253" s="929">
        <f>+NOMINA!H249</f>
        <v>45566</v>
      </c>
      <c r="F253" s="930">
        <f>+NOMINA!BN249</f>
        <v>3.77</v>
      </c>
      <c r="G253" s="599"/>
      <c r="H253" s="600"/>
      <c r="I253" s="600"/>
      <c r="J253" s="600"/>
      <c r="K253" s="600"/>
    </row>
    <row r="254" spans="1:11" ht="15.75" customHeight="1" x14ac:dyDescent="0.25">
      <c r="A254" s="928">
        <f t="shared" si="4"/>
        <v>207</v>
      </c>
      <c r="B254" s="926">
        <f>+NOMINA!C250</f>
        <v>20603227</v>
      </c>
      <c r="C254" s="926" t="str">
        <f>+NOMINA!D250</f>
        <v>Morillo Garces Yeniree Lourdes</v>
      </c>
      <c r="D254" s="926" t="str">
        <f>+NOMINA!O250</f>
        <v>Tecnico Superior en Trabajo Social II</v>
      </c>
      <c r="E254" s="929">
        <f>+NOMINA!H250</f>
        <v>44470</v>
      </c>
      <c r="F254" s="930">
        <f>+NOMINA!BN250</f>
        <v>4.57</v>
      </c>
      <c r="G254" s="599"/>
      <c r="H254" s="600"/>
      <c r="I254" s="600"/>
      <c r="J254" s="600"/>
      <c r="K254" s="600"/>
    </row>
    <row r="255" spans="1:11" ht="15.75" customHeight="1" x14ac:dyDescent="0.25">
      <c r="A255" s="928">
        <f t="shared" si="4"/>
        <v>208</v>
      </c>
      <c r="B255" s="926">
        <f>+NOMINA!C251</f>
        <v>20707490</v>
      </c>
      <c r="C255" s="926" t="str">
        <f>+NOMINA!D251</f>
        <v>Saavedra Valera Keila Andreina</v>
      </c>
      <c r="D255" s="926" t="str">
        <f>+NOMINA!O251</f>
        <v>Tutor Facilitador III</v>
      </c>
      <c r="E255" s="929">
        <f>+NOMINA!H251</f>
        <v>42751</v>
      </c>
      <c r="F255" s="930">
        <f>+NOMINA!BN251</f>
        <v>4.58</v>
      </c>
      <c r="G255" s="599"/>
      <c r="H255" s="600"/>
      <c r="I255" s="600"/>
      <c r="J255" s="600"/>
      <c r="K255" s="600"/>
    </row>
    <row r="256" spans="1:11" ht="15.75" customHeight="1" x14ac:dyDescent="0.25">
      <c r="A256" s="928">
        <f t="shared" si="4"/>
        <v>209</v>
      </c>
      <c r="B256" s="926">
        <f>+NOMINA!C252</f>
        <v>20789286</v>
      </c>
      <c r="C256" s="926" t="str">
        <f>+NOMINA!D252</f>
        <v>Viloria Jessica del Carmen</v>
      </c>
      <c r="D256" s="926" t="str">
        <f>+NOMINA!O252</f>
        <v>Asistente Administrativo IV</v>
      </c>
      <c r="E256" s="929">
        <f>+NOMINA!H252</f>
        <v>44713</v>
      </c>
      <c r="F256" s="930">
        <f>+NOMINA!BN252</f>
        <v>5.35</v>
      </c>
      <c r="G256" s="599"/>
      <c r="H256" s="600"/>
      <c r="I256" s="600"/>
      <c r="J256" s="600"/>
      <c r="K256" s="600"/>
    </row>
    <row r="257" spans="1:11" ht="15.75" customHeight="1" x14ac:dyDescent="0.25">
      <c r="A257" s="928">
        <f t="shared" si="4"/>
        <v>210</v>
      </c>
      <c r="B257" s="926">
        <f>+NOMINA!C253</f>
        <v>20790947</v>
      </c>
      <c r="C257" s="926" t="str">
        <f>+NOMINA!D253</f>
        <v>Urbina Cuellar Tannessy Lenery</v>
      </c>
      <c r="D257" s="926" t="str">
        <f>+NOMINA!O253</f>
        <v>Asistente Administrativo IV</v>
      </c>
      <c r="E257" s="929">
        <f>+NOMINA!H253</f>
        <v>43967</v>
      </c>
      <c r="F257" s="930">
        <f>+NOMINA!BN253</f>
        <v>0</v>
      </c>
      <c r="G257" s="599"/>
      <c r="H257" s="600"/>
      <c r="I257" s="600"/>
      <c r="J257" s="600"/>
      <c r="K257" s="600"/>
    </row>
    <row r="258" spans="1:11" ht="15.75" customHeight="1" x14ac:dyDescent="0.25">
      <c r="A258" s="928">
        <f t="shared" si="4"/>
        <v>211</v>
      </c>
      <c r="B258" s="926">
        <f>+NOMINA!C254</f>
        <v>21061126</v>
      </c>
      <c r="C258" s="926" t="str">
        <f>+NOMINA!D254</f>
        <v>Olivar Nava Robinson de Jesus</v>
      </c>
      <c r="D258" s="926" t="str">
        <f>+NOMINA!O254</f>
        <v>Guia de Centro I</v>
      </c>
      <c r="E258" s="929">
        <f>+NOMINA!H254</f>
        <v>45047</v>
      </c>
      <c r="F258" s="930">
        <f>+NOMINA!BN254</f>
        <v>5.29</v>
      </c>
      <c r="G258" s="599"/>
      <c r="H258" s="600"/>
      <c r="I258" s="600"/>
      <c r="J258" s="600"/>
      <c r="K258" s="600"/>
    </row>
    <row r="259" spans="1:11" ht="15.75" customHeight="1" x14ac:dyDescent="0.25">
      <c r="A259" s="928">
        <f t="shared" si="4"/>
        <v>212</v>
      </c>
      <c r="B259" s="926">
        <f>+NOMINA!C255</f>
        <v>21061789</v>
      </c>
      <c r="C259" s="926" t="str">
        <f>+NOMINA!D255</f>
        <v>Suarez Briceño Daiver Jose</v>
      </c>
      <c r="D259" s="926" t="str">
        <f>+NOMINA!O255</f>
        <v>Abogado I</v>
      </c>
      <c r="E259" s="929">
        <f>+NOMINA!H255</f>
        <v>44713</v>
      </c>
      <c r="F259" s="930">
        <f>+NOMINA!BN255</f>
        <v>5.19</v>
      </c>
      <c r="G259" s="599"/>
      <c r="H259" s="600"/>
      <c r="I259" s="600"/>
      <c r="J259" s="600"/>
      <c r="K259" s="600"/>
    </row>
    <row r="260" spans="1:11" ht="15.75" customHeight="1" x14ac:dyDescent="0.25">
      <c r="A260" s="928">
        <f t="shared" si="4"/>
        <v>213</v>
      </c>
      <c r="B260" s="926">
        <f>+NOMINA!C256</f>
        <v>21365212</v>
      </c>
      <c r="C260" s="926" t="str">
        <f>+NOMINA!D256</f>
        <v>Manzanilla Gonzalez Landkler Josue</v>
      </c>
      <c r="D260" s="926" t="str">
        <f>+NOMINA!O256</f>
        <v>Asistente Administrativo II</v>
      </c>
      <c r="E260" s="929">
        <f>+NOMINA!H256</f>
        <v>44317</v>
      </c>
      <c r="F260" s="930">
        <f>+NOMINA!BN256</f>
        <v>2.86</v>
      </c>
      <c r="G260" s="599"/>
      <c r="H260" s="600"/>
      <c r="I260" s="600"/>
      <c r="J260" s="600"/>
      <c r="K260" s="600"/>
    </row>
    <row r="261" spans="1:11" ht="15.75" customHeight="1" x14ac:dyDescent="0.25">
      <c r="A261" s="928">
        <f t="shared" si="4"/>
        <v>214</v>
      </c>
      <c r="B261" s="926">
        <f>+NOMINA!C257</f>
        <v>21592108</v>
      </c>
      <c r="C261" s="926" t="str">
        <f>+NOMINA!D257</f>
        <v>Coy Andara Darlin Gabriela</v>
      </c>
      <c r="D261" s="926" t="str">
        <f>+NOMINA!O257</f>
        <v>PLANIFICADOR I</v>
      </c>
      <c r="E261" s="929">
        <f>+NOMINA!H257</f>
        <v>43024</v>
      </c>
      <c r="F261" s="930">
        <f>+NOMINA!BN257</f>
        <v>0</v>
      </c>
      <c r="G261" s="599"/>
      <c r="H261" s="600"/>
      <c r="I261" s="600"/>
      <c r="J261" s="600"/>
      <c r="K261" s="600"/>
    </row>
    <row r="262" spans="1:11" ht="15.75" customHeight="1" x14ac:dyDescent="0.25">
      <c r="A262" s="928">
        <f t="shared" si="4"/>
        <v>215</v>
      </c>
      <c r="B262" s="926">
        <f>+NOMINA!C258</f>
        <v>22622493</v>
      </c>
      <c r="C262" s="926" t="str">
        <f>+NOMINA!D258</f>
        <v>Barrios Olivar Geraldine Katiusca</v>
      </c>
      <c r="D262" s="926" t="str">
        <f>+NOMINA!O258</f>
        <v>Guia de Centro I</v>
      </c>
      <c r="E262" s="929">
        <f>+NOMINA!H258</f>
        <v>44363</v>
      </c>
      <c r="F262" s="930">
        <f>+NOMINA!BN258</f>
        <v>4.04</v>
      </c>
      <c r="G262" s="599"/>
      <c r="H262" s="600"/>
      <c r="I262" s="600"/>
      <c r="J262" s="600"/>
      <c r="K262" s="600"/>
    </row>
    <row r="263" spans="1:11" ht="15.75" customHeight="1" x14ac:dyDescent="0.25">
      <c r="A263" s="928">
        <f t="shared" si="4"/>
        <v>216</v>
      </c>
      <c r="B263" s="926">
        <f>+NOMINA!C259</f>
        <v>22892886</v>
      </c>
      <c r="C263" s="926" t="str">
        <f>+NOMINA!D259</f>
        <v>Rivas Gonzalez Eddy Carolina</v>
      </c>
      <c r="D263" s="926" t="str">
        <f>+NOMINA!O259</f>
        <v>Guia de Centro I</v>
      </c>
      <c r="E263" s="929">
        <f>+NOMINA!H259</f>
        <v>45748</v>
      </c>
      <c r="F263" s="930">
        <f>+NOMINA!BN259</f>
        <v>3.38</v>
      </c>
      <c r="G263" s="599"/>
      <c r="H263" s="600"/>
      <c r="I263" s="600"/>
      <c r="J263" s="600"/>
      <c r="K263" s="600"/>
    </row>
    <row r="264" spans="1:11" ht="15.75" customHeight="1" x14ac:dyDescent="0.25">
      <c r="A264" s="928">
        <f t="shared" si="4"/>
        <v>217</v>
      </c>
      <c r="B264" s="926">
        <f>+NOMINA!C260</f>
        <v>23254359</v>
      </c>
      <c r="C264" s="926" t="str">
        <f>+NOMINA!D260</f>
        <v>Calles Villarreal Jose Bertilio</v>
      </c>
      <c r="D264" s="926" t="str">
        <f>+NOMINA!O260</f>
        <v>Guia de Centro I</v>
      </c>
      <c r="E264" s="929">
        <f>+NOMINA!H260</f>
        <v>45748</v>
      </c>
      <c r="F264" s="930">
        <f>+NOMINA!BN260</f>
        <v>3.38</v>
      </c>
      <c r="G264" s="599"/>
      <c r="H264" s="600"/>
      <c r="I264" s="600"/>
      <c r="J264" s="600"/>
      <c r="K264" s="600"/>
    </row>
    <row r="265" spans="1:11" ht="15.75" customHeight="1" x14ac:dyDescent="0.25">
      <c r="A265" s="928">
        <f t="shared" si="4"/>
        <v>218</v>
      </c>
      <c r="B265" s="926">
        <f>+NOMINA!C261</f>
        <v>23782360</v>
      </c>
      <c r="C265" s="926" t="str">
        <f>+NOMINA!D261</f>
        <v>Rivera Sandoval Ilva Azucena</v>
      </c>
      <c r="D265" s="926" t="str">
        <f>+NOMINA!O261</f>
        <v>Administrador III</v>
      </c>
      <c r="E265" s="929">
        <f>+NOMINA!H261</f>
        <v>39203</v>
      </c>
      <c r="F265" s="930">
        <f>+NOMINA!BN261</f>
        <v>6.03</v>
      </c>
      <c r="G265" s="599"/>
      <c r="H265" s="600"/>
      <c r="I265" s="600"/>
      <c r="J265" s="600"/>
      <c r="K265" s="600"/>
    </row>
    <row r="266" spans="1:11" ht="15.75" customHeight="1" x14ac:dyDescent="0.25">
      <c r="A266" s="928">
        <f t="shared" si="4"/>
        <v>219</v>
      </c>
      <c r="B266" s="926">
        <f>+NOMINA!C262</f>
        <v>23960738</v>
      </c>
      <c r="C266" s="926" t="str">
        <f>+NOMINA!D262</f>
        <v>Molina Briceño Maria de los Angeles</v>
      </c>
      <c r="D266" s="926" t="str">
        <f>+NOMINA!O262</f>
        <v>Psicologo II</v>
      </c>
      <c r="E266" s="929">
        <f>+NOMINA!H262</f>
        <v>43497</v>
      </c>
      <c r="F266" s="930">
        <f>+NOMINA!BN262</f>
        <v>5.33</v>
      </c>
      <c r="G266" s="599"/>
      <c r="H266" s="600"/>
      <c r="I266" s="600"/>
      <c r="J266" s="600"/>
      <c r="K266" s="600"/>
    </row>
    <row r="267" spans="1:11" ht="15.75" customHeight="1" x14ac:dyDescent="0.25">
      <c r="A267" s="928">
        <f t="shared" si="4"/>
        <v>220</v>
      </c>
      <c r="B267" s="926">
        <f>+NOMINA!C263</f>
        <v>24135378</v>
      </c>
      <c r="C267" s="926" t="str">
        <f>+NOMINA!D263</f>
        <v>Rivas Hurtado Orleidys Betania</v>
      </c>
      <c r="D267" s="926" t="str">
        <f>+NOMINA!O263</f>
        <v>Asistente Administrativo IV</v>
      </c>
      <c r="E267" s="929">
        <f>+NOMINA!H263</f>
        <v>43862</v>
      </c>
      <c r="F267" s="930">
        <f>+NOMINA!BN263</f>
        <v>5.57</v>
      </c>
      <c r="G267" s="599"/>
      <c r="H267" s="600"/>
      <c r="I267" s="600"/>
      <c r="J267" s="600"/>
      <c r="K267" s="600"/>
    </row>
    <row r="268" spans="1:11" ht="15.75" customHeight="1" x14ac:dyDescent="0.25">
      <c r="A268" s="928">
        <f t="shared" si="4"/>
        <v>221</v>
      </c>
      <c r="B268" s="926">
        <f>+NOMINA!C264</f>
        <v>24136795</v>
      </c>
      <c r="C268" s="926" t="str">
        <f>+NOMINA!D264</f>
        <v>Viloria Maldonado Gerardo Jesus</v>
      </c>
      <c r="D268" s="926" t="str">
        <f>+NOMINA!O264</f>
        <v>Entrenador Deportivo II</v>
      </c>
      <c r="E268" s="929">
        <f>+NOMINA!H264</f>
        <v>44600</v>
      </c>
      <c r="F268" s="930">
        <f>+NOMINA!BN264</f>
        <v>3.1</v>
      </c>
      <c r="G268" s="599"/>
      <c r="H268" s="600"/>
      <c r="I268" s="600"/>
      <c r="J268" s="600"/>
      <c r="K268" s="600"/>
    </row>
    <row r="269" spans="1:11" ht="15.75" customHeight="1" x14ac:dyDescent="0.25">
      <c r="A269" s="928">
        <f t="shared" si="4"/>
        <v>222</v>
      </c>
      <c r="B269" s="926">
        <f>+NOMINA!C265</f>
        <v>23254845</v>
      </c>
      <c r="C269" s="926" t="str">
        <f>+NOMINA!D265</f>
        <v>Castellanos Paredes Luis Gregorio</v>
      </c>
      <c r="D269" s="926" t="str">
        <f>+NOMINA!O265</f>
        <v>Entrenador Deportivo II</v>
      </c>
      <c r="E269" s="929">
        <f>+NOMINA!H265</f>
        <v>44332</v>
      </c>
      <c r="F269" s="930">
        <f>+NOMINA!BN265</f>
        <v>2.86</v>
      </c>
      <c r="G269" s="599"/>
      <c r="H269" s="600"/>
      <c r="I269" s="600"/>
      <c r="J269" s="600"/>
      <c r="K269" s="600"/>
    </row>
    <row r="270" spans="1:11" ht="15.75" customHeight="1" x14ac:dyDescent="0.25">
      <c r="A270" s="928">
        <f t="shared" si="4"/>
        <v>223</v>
      </c>
      <c r="B270" s="926">
        <f>+NOMINA!C266</f>
        <v>23594366</v>
      </c>
      <c r="C270" s="926" t="str">
        <f>+NOMINA!D266</f>
        <v>Quintero Montilla Merly Paula</v>
      </c>
      <c r="D270" s="926" t="str">
        <f>+NOMINA!O266</f>
        <v>Tutor Facilitador I</v>
      </c>
      <c r="E270" s="929">
        <f>+NOMINA!H266</f>
        <v>45413</v>
      </c>
      <c r="F270" s="930">
        <f>+NOMINA!BN266</f>
        <v>4.7300000000000004</v>
      </c>
      <c r="G270" s="599"/>
      <c r="H270" s="600"/>
      <c r="I270" s="600"/>
      <c r="J270" s="600"/>
      <c r="K270" s="600"/>
    </row>
    <row r="271" spans="1:11" ht="15.75" customHeight="1" x14ac:dyDescent="0.25">
      <c r="A271" s="928">
        <f t="shared" si="4"/>
        <v>224</v>
      </c>
      <c r="B271" s="926">
        <f>+NOMINA!C267</f>
        <v>23775734</v>
      </c>
      <c r="C271" s="926" t="str">
        <f>+NOMINA!D267</f>
        <v>Gonzalez Torres Klerwin Alfonso</v>
      </c>
      <c r="D271" s="926" t="str">
        <f>+NOMINA!O267</f>
        <v>Guia de Centro I</v>
      </c>
      <c r="E271" s="929">
        <f>+NOMINA!H267</f>
        <v>45627</v>
      </c>
      <c r="F271" s="930">
        <f>+NOMINA!BN267</f>
        <v>3.63</v>
      </c>
      <c r="G271" s="599"/>
      <c r="H271" s="600"/>
      <c r="I271" s="600"/>
      <c r="J271" s="600"/>
      <c r="K271" s="600"/>
    </row>
    <row r="272" spans="1:11" ht="15.75" customHeight="1" x14ac:dyDescent="0.25">
      <c r="A272" s="928">
        <f t="shared" si="4"/>
        <v>225</v>
      </c>
      <c r="B272" s="926">
        <f>+NOMINA!C268</f>
        <v>24565372</v>
      </c>
      <c r="C272" s="926" t="str">
        <f>+NOMINA!D268</f>
        <v>Moreno Silva Alfredy Jose</v>
      </c>
      <c r="D272" s="926" t="str">
        <f>+NOMINA!O268</f>
        <v>Asistente de Relaciones Publicas</v>
      </c>
      <c r="E272" s="929">
        <f>+NOMINA!H268</f>
        <v>40360</v>
      </c>
      <c r="F272" s="930">
        <f>+NOMINA!BN268</f>
        <v>0</v>
      </c>
      <c r="G272" s="599"/>
      <c r="H272" s="600"/>
      <c r="I272" s="600"/>
      <c r="J272" s="600"/>
      <c r="K272" s="600"/>
    </row>
    <row r="273" spans="1:11" ht="15.75" customHeight="1" x14ac:dyDescent="0.25">
      <c r="A273" s="928">
        <f t="shared" si="4"/>
        <v>226</v>
      </c>
      <c r="B273" s="926">
        <f>+NOMINA!C269</f>
        <v>25006139</v>
      </c>
      <c r="C273" s="926" t="str">
        <f>+NOMINA!D269</f>
        <v>Ramirez Palomares Carmen Beatriz</v>
      </c>
      <c r="D273" s="926" t="str">
        <f>+NOMINA!O269</f>
        <v>Guia de Centro I</v>
      </c>
      <c r="E273" s="929">
        <f>+NOMINA!H269</f>
        <v>43512</v>
      </c>
      <c r="F273" s="930">
        <f>+NOMINA!BN269</f>
        <v>4.3600000000000003</v>
      </c>
      <c r="G273" s="599"/>
      <c r="H273" s="600"/>
      <c r="I273" s="600"/>
      <c r="J273" s="600"/>
      <c r="K273" s="600"/>
    </row>
    <row r="274" spans="1:11" ht="15.75" customHeight="1" x14ac:dyDescent="0.25">
      <c r="A274" s="928">
        <f t="shared" si="4"/>
        <v>227</v>
      </c>
      <c r="B274" s="926">
        <f>+NOMINA!C270</f>
        <v>25006878</v>
      </c>
      <c r="C274" s="926" t="str">
        <f>+NOMINA!D270</f>
        <v>Fernandez Garcia Rafael Ramon</v>
      </c>
      <c r="D274" s="926" t="str">
        <f>+NOMINA!O270</f>
        <v>Guia de Centro I</v>
      </c>
      <c r="E274" s="929">
        <f>+NOMINA!H270</f>
        <v>44986</v>
      </c>
      <c r="F274" s="930">
        <f>+NOMINA!BN270</f>
        <v>4.3099999999999996</v>
      </c>
      <c r="G274" s="599"/>
      <c r="H274" s="600"/>
      <c r="I274" s="600"/>
      <c r="J274" s="600"/>
      <c r="K274" s="600"/>
    </row>
    <row r="275" spans="1:11" ht="15.75" customHeight="1" x14ac:dyDescent="0.25">
      <c r="A275" s="928">
        <f t="shared" si="4"/>
        <v>228</v>
      </c>
      <c r="B275" s="926">
        <f>+NOMINA!C271</f>
        <v>25096069</v>
      </c>
      <c r="C275" s="926" t="str">
        <f>+NOMINA!D271</f>
        <v>Coello Diaz Yormileidys del Carmen</v>
      </c>
      <c r="D275" s="926" t="str">
        <f>+NOMINA!O271</f>
        <v>Guia de Centro I</v>
      </c>
      <c r="E275" s="929">
        <f>+NOMINA!H271</f>
        <v>44599</v>
      </c>
      <c r="F275" s="930">
        <f>+NOMINA!BN271</f>
        <v>5.98</v>
      </c>
      <c r="G275" s="599"/>
      <c r="H275" s="600"/>
      <c r="I275" s="600"/>
      <c r="J275" s="600"/>
      <c r="K275" s="600"/>
    </row>
    <row r="276" spans="1:11" ht="15.75" customHeight="1" x14ac:dyDescent="0.25">
      <c r="A276" s="928">
        <f t="shared" si="4"/>
        <v>229</v>
      </c>
      <c r="B276" s="926">
        <f>+NOMINA!C272</f>
        <v>25173983</v>
      </c>
      <c r="C276" s="926" t="str">
        <f>+NOMINA!D272</f>
        <v>Guanda Barazarte Roxely Andreina</v>
      </c>
      <c r="D276" s="926" t="str">
        <f>+NOMINA!O272</f>
        <v>Guia de Centro I</v>
      </c>
      <c r="E276" s="929">
        <f>+NOMINA!H272</f>
        <v>44363</v>
      </c>
      <c r="F276" s="930">
        <f>+NOMINA!BN272</f>
        <v>2.99</v>
      </c>
      <c r="G276" s="599"/>
      <c r="H276" s="600"/>
      <c r="I276" s="600"/>
      <c r="J276" s="600"/>
      <c r="K276" s="600"/>
    </row>
    <row r="277" spans="1:11" ht="15.75" customHeight="1" x14ac:dyDescent="0.25">
      <c r="A277" s="928">
        <f t="shared" si="4"/>
        <v>230</v>
      </c>
      <c r="B277" s="926">
        <f>+NOMINA!C273</f>
        <v>25303390</v>
      </c>
      <c r="C277" s="926" t="str">
        <f>+NOMINA!D273</f>
        <v>Graterol Castillo Yoselyn Zunedy</v>
      </c>
      <c r="D277" s="926" t="str">
        <f>+NOMINA!O273</f>
        <v>Guia de Centro I</v>
      </c>
      <c r="E277" s="929">
        <f>+NOMINA!H273</f>
        <v>43862</v>
      </c>
      <c r="F277" s="930">
        <f>+NOMINA!BN273</f>
        <v>4.0599999999999996</v>
      </c>
      <c r="G277" s="599"/>
      <c r="H277" s="600"/>
      <c r="I277" s="600"/>
      <c r="J277" s="600"/>
      <c r="K277" s="600"/>
    </row>
    <row r="278" spans="1:11" ht="15.75" customHeight="1" x14ac:dyDescent="0.25">
      <c r="A278" s="928">
        <f t="shared" si="4"/>
        <v>231</v>
      </c>
      <c r="B278" s="926">
        <f>+NOMINA!C274</f>
        <v>25454143</v>
      </c>
      <c r="C278" s="926" t="str">
        <f>+NOMINA!D274</f>
        <v>Briceño Ana Beatriz</v>
      </c>
      <c r="D278" s="926" t="str">
        <f>+NOMINA!O274</f>
        <v>Guia de Centro I</v>
      </c>
      <c r="E278" s="929">
        <f>+NOMINA!H274</f>
        <v>45536</v>
      </c>
      <c r="F278" s="930">
        <f>+NOMINA!BN274</f>
        <v>3.56</v>
      </c>
      <c r="G278" s="599"/>
      <c r="H278" s="600"/>
      <c r="I278" s="600"/>
      <c r="J278" s="600"/>
      <c r="K278" s="600"/>
    </row>
    <row r="279" spans="1:11" ht="15.75" customHeight="1" x14ac:dyDescent="0.25">
      <c r="A279" s="928">
        <f t="shared" si="4"/>
        <v>232</v>
      </c>
      <c r="B279" s="926">
        <f>+NOMINA!C275</f>
        <v>25604733</v>
      </c>
      <c r="C279" s="926" t="str">
        <f>+NOMINA!D275</f>
        <v>Nava Carrillo Oriana Daniela</v>
      </c>
      <c r="D279" s="926" t="str">
        <f>+NOMINA!O275</f>
        <v>Entrenador Deportivo II</v>
      </c>
      <c r="E279" s="929">
        <f>+NOMINA!H275</f>
        <v>43754</v>
      </c>
      <c r="F279" s="930">
        <f>+NOMINA!BN275</f>
        <v>2.88</v>
      </c>
      <c r="G279" s="599"/>
      <c r="H279" s="600"/>
      <c r="I279" s="600"/>
      <c r="J279" s="600"/>
      <c r="K279" s="600"/>
    </row>
    <row r="280" spans="1:11" ht="15.75" customHeight="1" x14ac:dyDescent="0.25">
      <c r="A280" s="928">
        <f t="shared" si="4"/>
        <v>233</v>
      </c>
      <c r="B280" s="926">
        <f>+NOMINA!C276</f>
        <v>25619540</v>
      </c>
      <c r="C280" s="926" t="str">
        <f>+NOMINA!D276</f>
        <v>Balza Vetencourt Maria Gabriela</v>
      </c>
      <c r="D280" s="926" t="str">
        <f>+NOMINA!O276</f>
        <v>Guia de Centro I</v>
      </c>
      <c r="E280" s="929">
        <f>+NOMINA!H276</f>
        <v>44743</v>
      </c>
      <c r="F280" s="930">
        <f>+NOMINA!BN276</f>
        <v>4.0199999999999996</v>
      </c>
      <c r="G280" s="599"/>
      <c r="H280" s="600"/>
      <c r="I280" s="600"/>
      <c r="J280" s="600"/>
      <c r="K280" s="600"/>
    </row>
    <row r="281" spans="1:11" ht="15.75" customHeight="1" x14ac:dyDescent="0.25">
      <c r="A281" s="928">
        <f t="shared" si="4"/>
        <v>234</v>
      </c>
      <c r="B281" s="926">
        <f>+NOMINA!C277</f>
        <v>26094609</v>
      </c>
      <c r="C281" s="926" t="str">
        <f>+NOMINA!D277</f>
        <v>Andara Moreno Marielena Nathaly</v>
      </c>
      <c r="D281" s="926" t="str">
        <f>+NOMINA!O277</f>
        <v>Abogado I</v>
      </c>
      <c r="E281" s="929">
        <f>+NOMINA!H277</f>
        <v>44713</v>
      </c>
      <c r="F281" s="930">
        <f>+NOMINA!BN277</f>
        <v>5.19</v>
      </c>
      <c r="G281" s="599"/>
      <c r="H281" s="600"/>
      <c r="I281" s="600"/>
      <c r="J281" s="600"/>
      <c r="K281" s="600"/>
    </row>
    <row r="282" spans="1:11" ht="15.75" customHeight="1" x14ac:dyDescent="0.25">
      <c r="A282" s="928">
        <f t="shared" si="4"/>
        <v>235</v>
      </c>
      <c r="B282" s="926">
        <f>+NOMINA!C278</f>
        <v>26094690</v>
      </c>
      <c r="C282" s="926" t="str">
        <f>+NOMINA!D278</f>
        <v>Fernandez Romero Numa Manuel</v>
      </c>
      <c r="D282" s="926" t="str">
        <f>+NOMINA!O278</f>
        <v>Guia de Centro I</v>
      </c>
      <c r="E282" s="929">
        <f>+NOMINA!H278</f>
        <v>45017</v>
      </c>
      <c r="F282" s="930">
        <f>+NOMINA!BN278</f>
        <v>3.74</v>
      </c>
      <c r="G282" s="599"/>
      <c r="H282" s="600"/>
      <c r="I282" s="600"/>
      <c r="J282" s="600"/>
      <c r="K282" s="600"/>
    </row>
    <row r="283" spans="1:11" ht="15.75" customHeight="1" x14ac:dyDescent="0.25">
      <c r="A283" s="928">
        <f t="shared" si="4"/>
        <v>236</v>
      </c>
      <c r="B283" s="926">
        <f>+NOMINA!C279</f>
        <v>26114271</v>
      </c>
      <c r="C283" s="926" t="str">
        <f>+NOMINA!D279</f>
        <v>Moncayo Perez Ruddy Bellaliz</v>
      </c>
      <c r="D283" s="926" t="str">
        <f>+NOMINA!O279</f>
        <v>Abogado I</v>
      </c>
      <c r="E283" s="929">
        <f>+NOMINA!H279</f>
        <v>44636</v>
      </c>
      <c r="F283" s="930">
        <f>+NOMINA!BN279</f>
        <v>5.19</v>
      </c>
      <c r="G283" s="599"/>
      <c r="H283" s="600"/>
      <c r="I283" s="600"/>
      <c r="J283" s="600"/>
      <c r="K283" s="600"/>
    </row>
    <row r="284" spans="1:11" ht="15.75" customHeight="1" x14ac:dyDescent="0.25">
      <c r="A284" s="928">
        <f t="shared" si="4"/>
        <v>237</v>
      </c>
      <c r="B284" s="926">
        <f>+NOMINA!C280</f>
        <v>26191823</v>
      </c>
      <c r="C284" s="926" t="str">
        <f>+NOMINA!D280</f>
        <v>Briceño Espinoza Brayhan Jose</v>
      </c>
      <c r="D284" s="926" t="str">
        <f>+NOMINA!O280</f>
        <v>Abogado II</v>
      </c>
      <c r="E284" s="929">
        <f>+NOMINA!H280</f>
        <v>44470</v>
      </c>
      <c r="F284" s="930">
        <f>+NOMINA!BN280</f>
        <v>5.19</v>
      </c>
      <c r="G284" s="599"/>
      <c r="H284" s="600"/>
      <c r="I284" s="600"/>
      <c r="J284" s="600"/>
      <c r="K284" s="600"/>
    </row>
    <row r="285" spans="1:11" ht="15.75" customHeight="1" x14ac:dyDescent="0.25">
      <c r="A285" s="928">
        <f t="shared" si="4"/>
        <v>238</v>
      </c>
      <c r="B285" s="926">
        <f>+NOMINA!C281</f>
        <v>26235963</v>
      </c>
      <c r="C285" s="926" t="str">
        <f>+NOMINA!D281</f>
        <v>Segovia Segovia Freylu Margarita</v>
      </c>
      <c r="D285" s="926" t="str">
        <f>+NOMINA!O281</f>
        <v>Psicologo I</v>
      </c>
      <c r="E285" s="929">
        <f>+NOMINA!H281</f>
        <v>45383</v>
      </c>
      <c r="F285" s="930">
        <f>+NOMINA!BN281</f>
        <v>4.8899999999999997</v>
      </c>
      <c r="G285" s="599"/>
      <c r="H285" s="600"/>
      <c r="I285" s="600"/>
      <c r="J285" s="600"/>
      <c r="K285" s="600"/>
    </row>
    <row r="286" spans="1:11" ht="15.75" customHeight="1" x14ac:dyDescent="0.25">
      <c r="A286" s="928">
        <f t="shared" si="4"/>
        <v>239</v>
      </c>
      <c r="B286" s="926">
        <f>+NOMINA!C282</f>
        <v>26413871</v>
      </c>
      <c r="C286" s="926" t="str">
        <f>+NOMINA!D282</f>
        <v>Molina Rojas Genesis Angely</v>
      </c>
      <c r="D286" s="926" t="str">
        <f>+NOMINA!O282</f>
        <v>Guia de Centro I</v>
      </c>
      <c r="E286" s="929">
        <f>+NOMINA!H282</f>
        <v>44228</v>
      </c>
      <c r="F286" s="930">
        <f>+NOMINA!BN282</f>
        <v>4.04</v>
      </c>
      <c r="G286" s="599"/>
      <c r="H286" s="600"/>
      <c r="I286" s="600"/>
      <c r="J286" s="600"/>
      <c r="K286" s="600"/>
    </row>
    <row r="287" spans="1:11" ht="15.75" customHeight="1" x14ac:dyDescent="0.25">
      <c r="A287" s="928">
        <f t="shared" si="4"/>
        <v>240</v>
      </c>
      <c r="B287" s="926">
        <f>+NOMINA!C283</f>
        <v>26591879</v>
      </c>
      <c r="C287" s="926" t="str">
        <f>+NOMINA!D283</f>
        <v>Delgado Cabezas Rosa Magdalena</v>
      </c>
      <c r="D287" s="926" t="str">
        <f>+NOMINA!O283</f>
        <v>Psicologo II</v>
      </c>
      <c r="E287" s="929">
        <f>+NOMINA!H283</f>
        <v>43587</v>
      </c>
      <c r="F287" s="930">
        <f>+NOMINA!BN283</f>
        <v>5.49</v>
      </c>
      <c r="G287" s="599"/>
      <c r="H287" s="600"/>
      <c r="I287" s="600"/>
      <c r="J287" s="600"/>
      <c r="K287" s="600"/>
    </row>
    <row r="288" spans="1:11" ht="15.75" customHeight="1" x14ac:dyDescent="0.25">
      <c r="A288" s="928">
        <f t="shared" si="4"/>
        <v>241</v>
      </c>
      <c r="B288" s="926">
        <f>+NOMINA!C284</f>
        <v>26690908</v>
      </c>
      <c r="C288" s="926" t="str">
        <f>+NOMINA!D284</f>
        <v>Segovia Lisbeira del Carmen</v>
      </c>
      <c r="D288" s="926" t="str">
        <f>+NOMINA!O284</f>
        <v>Guia de Centro I</v>
      </c>
      <c r="E288" s="929">
        <f>+NOMINA!H284</f>
        <v>44228</v>
      </c>
      <c r="F288" s="930">
        <f>+NOMINA!BN284</f>
        <v>3.88</v>
      </c>
      <c r="G288" s="599"/>
      <c r="H288" s="600"/>
      <c r="I288" s="600"/>
      <c r="J288" s="600"/>
      <c r="K288" s="600"/>
    </row>
    <row r="289" spans="1:11" ht="15.75" customHeight="1" x14ac:dyDescent="0.25">
      <c r="A289" s="928">
        <f t="shared" si="4"/>
        <v>242</v>
      </c>
      <c r="B289" s="926">
        <f>+NOMINA!C285</f>
        <v>26962104</v>
      </c>
      <c r="C289" s="926" t="str">
        <f>+NOMINA!D285</f>
        <v>Rubio Briceño Diana Carolina</v>
      </c>
      <c r="D289" s="926" t="str">
        <f>+NOMINA!O285</f>
        <v>Asistente Administrativo II</v>
      </c>
      <c r="E289" s="929">
        <f>+NOMINA!H285</f>
        <v>44393</v>
      </c>
      <c r="F289" s="930">
        <f>+NOMINA!BN285</f>
        <v>2.99</v>
      </c>
      <c r="G289" s="599"/>
      <c r="H289" s="600"/>
      <c r="I289" s="600"/>
      <c r="J289" s="600"/>
      <c r="K289" s="600"/>
    </row>
    <row r="290" spans="1:11" ht="15.75" customHeight="1" x14ac:dyDescent="0.25">
      <c r="A290" s="928">
        <f t="shared" si="4"/>
        <v>243</v>
      </c>
      <c r="B290" s="926">
        <f>+NOMINA!C286</f>
        <v>27022450</v>
      </c>
      <c r="C290" s="926" t="str">
        <f>+NOMINA!D286</f>
        <v>Montilla Gonzalez Maria Alexandra</v>
      </c>
      <c r="D290" s="926" t="str">
        <f>+NOMINA!O286</f>
        <v>Tecnico Superior en Trabajo Social I</v>
      </c>
      <c r="E290" s="929">
        <f>+NOMINA!H286</f>
        <v>45717</v>
      </c>
      <c r="F290" s="930">
        <f>+NOMINA!BN286</f>
        <v>3.86</v>
      </c>
      <c r="G290" s="599"/>
      <c r="H290" s="600"/>
      <c r="I290" s="600"/>
      <c r="J290" s="600"/>
      <c r="K290" s="600"/>
    </row>
    <row r="291" spans="1:11" ht="15.75" customHeight="1" x14ac:dyDescent="0.25">
      <c r="A291" s="928">
        <f t="shared" si="4"/>
        <v>244</v>
      </c>
      <c r="B291" s="926">
        <f>+NOMINA!C287</f>
        <v>27251885</v>
      </c>
      <c r="C291" s="926" t="str">
        <f>+NOMINA!D287</f>
        <v>Barrozo Godoy Kellem Daniela</v>
      </c>
      <c r="D291" s="926" t="str">
        <f>+NOMINA!O287</f>
        <v>Guia de Centro I</v>
      </c>
      <c r="E291" s="929">
        <f>+NOMINA!H287</f>
        <v>45474</v>
      </c>
      <c r="F291" s="930">
        <f>+NOMINA!BN287</f>
        <v>3.56</v>
      </c>
      <c r="G291" s="599"/>
      <c r="H291" s="600"/>
      <c r="I291" s="600"/>
      <c r="J291" s="600"/>
      <c r="K291" s="600"/>
    </row>
    <row r="292" spans="1:11" ht="15.75" customHeight="1" x14ac:dyDescent="0.25">
      <c r="A292" s="928">
        <f t="shared" si="4"/>
        <v>245</v>
      </c>
      <c r="B292" s="926">
        <f>+NOMINA!C288</f>
        <v>27251899</v>
      </c>
      <c r="C292" s="926" t="str">
        <f>+NOMINA!D288</f>
        <v>Perez Gonzalez Maria Ines</v>
      </c>
      <c r="D292" s="926" t="str">
        <f>+NOMINA!O288</f>
        <v>Guia de Centro I</v>
      </c>
      <c r="E292" s="929">
        <f>+NOMINA!H288</f>
        <v>45474</v>
      </c>
      <c r="F292" s="930">
        <f>+NOMINA!BN288</f>
        <v>3.56</v>
      </c>
      <c r="G292" s="599"/>
      <c r="H292" s="600"/>
      <c r="I292" s="600"/>
      <c r="J292" s="600"/>
      <c r="K292" s="600"/>
    </row>
    <row r="293" spans="1:11" ht="15.75" customHeight="1" x14ac:dyDescent="0.25">
      <c r="A293" s="928">
        <f t="shared" si="4"/>
        <v>246</v>
      </c>
      <c r="B293" s="926">
        <f>+NOMINA!C289</f>
        <v>27363633</v>
      </c>
      <c r="C293" s="926" t="str">
        <f>+NOMINA!D289</f>
        <v>Padilla Blanco Melany Marian</v>
      </c>
      <c r="D293" s="926" t="str">
        <f>+NOMINA!O289</f>
        <v>Guia de Centro I</v>
      </c>
      <c r="E293" s="929">
        <f>+NOMINA!H289</f>
        <v>45627</v>
      </c>
      <c r="F293" s="930">
        <f>+NOMINA!BN289</f>
        <v>3.38</v>
      </c>
      <c r="G293" s="599"/>
      <c r="H293" s="600"/>
      <c r="I293" s="600"/>
      <c r="J293" s="600"/>
      <c r="K293" s="600"/>
    </row>
    <row r="294" spans="1:11" ht="15.75" customHeight="1" x14ac:dyDescent="0.25">
      <c r="A294" s="928">
        <f t="shared" si="4"/>
        <v>247</v>
      </c>
      <c r="B294" s="926">
        <f>+NOMINA!C290</f>
        <v>27415737</v>
      </c>
      <c r="C294" s="926" t="str">
        <f>+NOMINA!D290</f>
        <v>Rivas Torres Rosa Alba</v>
      </c>
      <c r="D294" s="926" t="str">
        <f>+NOMINA!O290</f>
        <v>Asistente Administrativo II</v>
      </c>
      <c r="E294" s="929">
        <f>+NOMINA!H290</f>
        <v>44363</v>
      </c>
      <c r="F294" s="930">
        <f>+NOMINA!BN290</f>
        <v>2.99</v>
      </c>
      <c r="G294" s="599"/>
      <c r="H294" s="600"/>
      <c r="I294" s="600"/>
      <c r="J294" s="600"/>
      <c r="K294" s="600"/>
    </row>
    <row r="295" spans="1:11" ht="15.75" customHeight="1" x14ac:dyDescent="0.25">
      <c r="A295" s="928">
        <f t="shared" si="4"/>
        <v>248</v>
      </c>
      <c r="B295" s="926">
        <f>+NOMINA!C291</f>
        <v>27415888</v>
      </c>
      <c r="C295" s="926" t="str">
        <f>+NOMINA!D291</f>
        <v>Perdomo Juarez Jose de Jesus</v>
      </c>
      <c r="D295" s="926" t="str">
        <f>+NOMINA!O291</f>
        <v>Entrenador Deportivo II</v>
      </c>
      <c r="E295" s="929">
        <f>+NOMINA!H291</f>
        <v>44713</v>
      </c>
      <c r="F295" s="930">
        <f>+NOMINA!BN291</f>
        <v>3.23</v>
      </c>
      <c r="G295" s="599"/>
      <c r="H295" s="600"/>
      <c r="I295" s="600"/>
      <c r="J295" s="600"/>
      <c r="K295" s="600"/>
    </row>
    <row r="296" spans="1:11" ht="15.75" customHeight="1" x14ac:dyDescent="0.25">
      <c r="A296" s="928">
        <f t="shared" si="4"/>
        <v>249</v>
      </c>
      <c r="B296" s="926">
        <f>+NOMINA!C292</f>
        <v>27628603</v>
      </c>
      <c r="C296" s="926" t="str">
        <f>+NOMINA!D292</f>
        <v>Mendoza Mendoza Kelasky Kixuy</v>
      </c>
      <c r="D296" s="926" t="str">
        <f>+NOMINA!O292</f>
        <v>Instructor De Formacion Empresarial</v>
      </c>
      <c r="E296" s="929">
        <f>+NOMINA!H292</f>
        <v>45139</v>
      </c>
      <c r="F296" s="930">
        <f>+NOMINA!BN292</f>
        <v>2.75</v>
      </c>
      <c r="G296" s="599"/>
      <c r="H296" s="600"/>
      <c r="I296" s="600"/>
      <c r="J296" s="600"/>
      <c r="K296" s="600"/>
    </row>
    <row r="297" spans="1:11" ht="15.75" customHeight="1" x14ac:dyDescent="0.25">
      <c r="A297" s="928">
        <f t="shared" si="4"/>
        <v>250</v>
      </c>
      <c r="B297" s="926">
        <f>+NOMINA!C293</f>
        <v>27677242</v>
      </c>
      <c r="C297" s="926" t="str">
        <f>+NOMINA!D293</f>
        <v>Ramirez Torres Darwin Jose</v>
      </c>
      <c r="D297" s="926" t="str">
        <f>+NOMINA!O293</f>
        <v>Recreador</v>
      </c>
      <c r="E297" s="929">
        <f>+NOMINA!H293</f>
        <v>45139</v>
      </c>
      <c r="F297" s="930">
        <f>+NOMINA!BN293</f>
        <v>2.63</v>
      </c>
      <c r="G297" s="599"/>
      <c r="H297" s="600"/>
      <c r="I297" s="600"/>
      <c r="J297" s="600"/>
      <c r="K297" s="600"/>
    </row>
    <row r="298" spans="1:11" ht="15.75" customHeight="1" x14ac:dyDescent="0.25">
      <c r="A298" s="928">
        <f t="shared" si="4"/>
        <v>251</v>
      </c>
      <c r="B298" s="926">
        <f>+NOMINA!C294</f>
        <v>27889180</v>
      </c>
      <c r="C298" s="926" t="str">
        <f>+NOMINA!D294</f>
        <v>Moreno Andreina del Valle</v>
      </c>
      <c r="D298" s="926" t="str">
        <f>+NOMINA!O294</f>
        <v>Asistente Administrativo II</v>
      </c>
      <c r="E298" s="929">
        <f>+NOMINA!H294</f>
        <v>44393</v>
      </c>
      <c r="F298" s="930">
        <f>+NOMINA!BN294</f>
        <v>0</v>
      </c>
      <c r="G298" s="599"/>
      <c r="H298" s="600"/>
      <c r="I298" s="600"/>
      <c r="J298" s="600"/>
      <c r="K298" s="600"/>
    </row>
    <row r="299" spans="1:11" ht="15.75" customHeight="1" x14ac:dyDescent="0.25">
      <c r="A299" s="928">
        <f t="shared" si="4"/>
        <v>252</v>
      </c>
      <c r="B299" s="926">
        <f>+NOMINA!C295</f>
        <v>28079765</v>
      </c>
      <c r="C299" s="926" t="str">
        <f>+NOMINA!D295</f>
        <v>Mendoza Cardozo Josue Vicensio</v>
      </c>
      <c r="D299" s="926" t="str">
        <f>+NOMINA!O295</f>
        <v>Asistente Administrativo II</v>
      </c>
      <c r="E299" s="929">
        <f>+NOMINA!H295</f>
        <v>44348</v>
      </c>
      <c r="F299" s="930">
        <f>+NOMINA!BN295</f>
        <v>4.29</v>
      </c>
      <c r="G299" s="599"/>
      <c r="H299" s="600"/>
      <c r="I299" s="600"/>
      <c r="J299" s="600"/>
      <c r="K299" s="600"/>
    </row>
    <row r="300" spans="1:11" ht="15.75" customHeight="1" x14ac:dyDescent="0.25">
      <c r="A300" s="928">
        <f t="shared" si="4"/>
        <v>253</v>
      </c>
      <c r="B300" s="926">
        <f>+NOMINA!C296</f>
        <v>28096003</v>
      </c>
      <c r="C300" s="926" t="str">
        <f>+NOMINA!D296</f>
        <v>Quintero Peña Maria Alejandra</v>
      </c>
      <c r="D300" s="926" t="str">
        <f>+NOMINA!O296</f>
        <v>Guia de Centro I</v>
      </c>
      <c r="E300" s="929">
        <f>+NOMINA!H296</f>
        <v>44228</v>
      </c>
      <c r="F300" s="930">
        <f>+NOMINA!BN296</f>
        <v>3.72</v>
      </c>
      <c r="G300" s="599"/>
      <c r="H300" s="600"/>
      <c r="I300" s="600"/>
      <c r="J300" s="600"/>
      <c r="K300" s="600"/>
    </row>
    <row r="301" spans="1:11" ht="15.75" customHeight="1" x14ac:dyDescent="0.25">
      <c r="A301" s="928">
        <f t="shared" si="4"/>
        <v>254</v>
      </c>
      <c r="B301" s="926">
        <f>+NOMINA!C297</f>
        <v>28096576</v>
      </c>
      <c r="C301" s="926" t="str">
        <f>+NOMINA!D297</f>
        <v>Gutierrez Betania Belsally</v>
      </c>
      <c r="D301" s="926" t="str">
        <f>+NOMINA!O297</f>
        <v>Asistente Administrativo I</v>
      </c>
      <c r="E301" s="929">
        <f>+NOMINA!H297</f>
        <v>45017</v>
      </c>
      <c r="F301" s="930">
        <f>+NOMINA!BN297</f>
        <v>2.88</v>
      </c>
      <c r="G301" s="599"/>
      <c r="H301" s="600"/>
      <c r="I301" s="600"/>
      <c r="J301" s="600"/>
      <c r="K301" s="600"/>
    </row>
    <row r="302" spans="1:11" ht="15.75" customHeight="1" x14ac:dyDescent="0.25">
      <c r="A302" s="928">
        <f t="shared" si="4"/>
        <v>255</v>
      </c>
      <c r="B302" s="926">
        <f>+NOMINA!C298</f>
        <v>28445465</v>
      </c>
      <c r="C302" s="926" t="str">
        <f>+NOMINA!D298</f>
        <v>Castillo Carrizo Katherine Cecilia</v>
      </c>
      <c r="D302" s="926" t="str">
        <f>+NOMINA!O298</f>
        <v>Asistente Administrativo II</v>
      </c>
      <c r="E302" s="929">
        <f>+NOMINA!H298</f>
        <v>43770</v>
      </c>
      <c r="F302" s="930">
        <f>+NOMINA!BN298</f>
        <v>2.88</v>
      </c>
      <c r="G302" s="599"/>
      <c r="H302" s="600"/>
      <c r="I302" s="600"/>
      <c r="J302" s="600"/>
      <c r="K302" s="600"/>
    </row>
    <row r="303" spans="1:11" ht="15.75" customHeight="1" x14ac:dyDescent="0.25">
      <c r="A303" s="928">
        <f t="shared" si="4"/>
        <v>256</v>
      </c>
      <c r="B303" s="926">
        <f>+NOMINA!C299</f>
        <v>29539827</v>
      </c>
      <c r="C303" s="926" t="str">
        <f>+NOMINA!D299</f>
        <v>Rivero Fajardo Nohely Gabriela</v>
      </c>
      <c r="D303" s="926" t="str">
        <f>+NOMINA!O299</f>
        <v>PSICOLOGO I</v>
      </c>
      <c r="E303" s="929">
        <f>+NOMINA!H299</f>
        <v>45901</v>
      </c>
      <c r="F303" s="930">
        <f>+NOMINA!BN299</f>
        <v>4.7</v>
      </c>
      <c r="G303" s="599"/>
      <c r="H303" s="600"/>
      <c r="I303" s="600"/>
      <c r="J303" s="600"/>
      <c r="K303" s="600"/>
    </row>
    <row r="304" spans="1:11" ht="15.75" customHeight="1" x14ac:dyDescent="0.25">
      <c r="A304" s="928">
        <f t="shared" si="4"/>
        <v>257</v>
      </c>
      <c r="B304" s="926">
        <f>+NOMINA!C300</f>
        <v>29585477</v>
      </c>
      <c r="C304" s="926" t="str">
        <f>+NOMINA!D300</f>
        <v>Gil Ruiz Marianyeli Sarait</v>
      </c>
      <c r="D304" s="926" t="str">
        <f>+NOMINA!O300</f>
        <v>Entrenador Deportivo II</v>
      </c>
      <c r="E304" s="929">
        <f>+NOMINA!H300</f>
        <v>43512</v>
      </c>
      <c r="F304" s="930">
        <f>+NOMINA!BN300</f>
        <v>3.23</v>
      </c>
      <c r="G304" s="599"/>
      <c r="H304" s="600"/>
      <c r="I304" s="600"/>
      <c r="J304" s="600"/>
      <c r="K304" s="600"/>
    </row>
    <row r="305" spans="1:11" ht="15.75" customHeight="1" x14ac:dyDescent="0.25">
      <c r="A305" s="928">
        <f t="shared" si="4"/>
        <v>258</v>
      </c>
      <c r="B305" s="926">
        <f>+NOMINA!C301</f>
        <v>30190238</v>
      </c>
      <c r="C305" s="926" t="str">
        <f>+NOMINA!D301</f>
        <v>Mendoza Osuna Zaida Liseth</v>
      </c>
      <c r="D305" s="926" t="str">
        <f>+NOMINA!O301</f>
        <v>Guia de Centro I</v>
      </c>
      <c r="E305" s="929">
        <f>+NOMINA!H301</f>
        <v>45200</v>
      </c>
      <c r="F305" s="930">
        <f>+NOMINA!BN301</f>
        <v>3.4</v>
      </c>
      <c r="G305" s="599"/>
      <c r="H305" s="600"/>
      <c r="I305" s="600"/>
      <c r="J305" s="600"/>
      <c r="K305" s="600"/>
    </row>
    <row r="306" spans="1:11" ht="15.75" customHeight="1" thickBot="1" x14ac:dyDescent="0.3">
      <c r="A306" s="928">
        <f t="shared" si="4"/>
        <v>259</v>
      </c>
      <c r="B306" s="926">
        <f>+NOMINA!C302</f>
        <v>30438508</v>
      </c>
      <c r="C306" s="926" t="str">
        <f>+NOMINA!D302</f>
        <v>Teran Araujo Marihangeli Nicoll</v>
      </c>
      <c r="D306" s="926" t="str">
        <f>+NOMINA!O302</f>
        <v>Asistente Administrativo II</v>
      </c>
      <c r="E306" s="929">
        <f>+NOMINA!H302</f>
        <v>45200</v>
      </c>
      <c r="F306" s="930">
        <f>+NOMINA!BN302</f>
        <v>2.88</v>
      </c>
      <c r="G306" s="599"/>
      <c r="H306" s="600"/>
      <c r="I306" s="600"/>
      <c r="J306" s="600"/>
      <c r="K306" s="600"/>
    </row>
    <row r="307" spans="1:11" ht="15.75" customHeight="1" thickBot="1" x14ac:dyDescent="0.3">
      <c r="A307" s="928"/>
      <c r="B307" s="926"/>
      <c r="C307" s="926"/>
      <c r="D307" s="926"/>
      <c r="E307" s="607" t="s">
        <v>4562</v>
      </c>
      <c r="F307" s="927">
        <f>SUM(F48:F306)</f>
        <v>1158.8700000000013</v>
      </c>
      <c r="G307" s="599" t="e">
        <f>+NOMINA!#REF!</f>
        <v>#REF!</v>
      </c>
      <c r="H307" s="600" t="e">
        <f>+F307-G307</f>
        <v>#REF!</v>
      </c>
      <c r="I307" s="600"/>
      <c r="J307" s="600"/>
      <c r="K307" s="600"/>
    </row>
    <row r="308" spans="1:11" ht="15.75" customHeight="1" x14ac:dyDescent="0.25">
      <c r="A308" s="601"/>
      <c r="B308" s="931"/>
      <c r="C308" s="931"/>
      <c r="D308" s="931"/>
      <c r="E308" s="608"/>
      <c r="F308" s="932"/>
      <c r="G308" s="932"/>
      <c r="H308" s="600"/>
      <c r="I308" s="600"/>
      <c r="J308" s="600"/>
      <c r="K308" s="600"/>
    </row>
    <row r="309" spans="1:11" ht="15.75" customHeight="1" x14ac:dyDescent="0.25">
      <c r="A309" s="601"/>
      <c r="B309" s="603"/>
      <c r="C309" s="595" t="s">
        <v>5815</v>
      </c>
      <c r="E309" s="595" t="s">
        <v>5816</v>
      </c>
      <c r="H309" s="600"/>
      <c r="I309" s="600"/>
      <c r="J309" s="600"/>
      <c r="K309" s="600"/>
    </row>
    <row r="310" spans="1:11" ht="15.75" customHeight="1" x14ac:dyDescent="0.25">
      <c r="A310" s="601"/>
      <c r="B310" s="603"/>
      <c r="H310" s="600"/>
      <c r="I310" s="600"/>
      <c r="J310" s="600"/>
      <c r="K310" s="600"/>
    </row>
    <row r="311" spans="1:11" ht="15.75" customHeight="1" x14ac:dyDescent="0.25">
      <c r="A311" s="601"/>
      <c r="B311" s="603"/>
      <c r="H311" s="600"/>
      <c r="I311" s="600"/>
      <c r="J311" s="600"/>
      <c r="K311" s="600"/>
    </row>
    <row r="312" spans="1:11" ht="15.75" customHeight="1" x14ac:dyDescent="0.3">
      <c r="A312" s="601"/>
      <c r="B312" s="603"/>
      <c r="C312" s="605" t="s">
        <v>5817</v>
      </c>
      <c r="E312" s="606" t="s">
        <v>5818</v>
      </c>
      <c r="H312" s="600"/>
      <c r="I312" s="600"/>
      <c r="J312" s="600"/>
      <c r="K312" s="600"/>
    </row>
    <row r="313" spans="1:11" ht="15.75" customHeight="1" x14ac:dyDescent="0.3">
      <c r="A313" s="601"/>
      <c r="B313" s="603"/>
      <c r="C313" s="605" t="s">
        <v>5819</v>
      </c>
      <c r="E313" s="605" t="s">
        <v>5820</v>
      </c>
      <c r="G313" s="609"/>
      <c r="H313" s="600"/>
      <c r="I313" s="600"/>
      <c r="J313" s="600"/>
      <c r="K313" s="600"/>
    </row>
    <row r="314" spans="1:11" ht="15.75" customHeight="1" x14ac:dyDescent="0.25">
      <c r="A314" s="601"/>
      <c r="B314" s="603"/>
      <c r="C314" s="603"/>
      <c r="D314" s="603"/>
      <c r="E314" s="608"/>
      <c r="F314" s="604"/>
      <c r="G314" s="604"/>
      <c r="H314" s="600"/>
      <c r="I314" s="600"/>
      <c r="J314" s="600"/>
      <c r="K314" s="600"/>
    </row>
    <row r="315" spans="1:11" ht="15.75" customHeight="1" x14ac:dyDescent="0.25">
      <c r="A315" s="597" t="s">
        <v>4563</v>
      </c>
      <c r="B315" s="926"/>
      <c r="C315" s="926"/>
      <c r="D315" s="926"/>
      <c r="E315" s="929"/>
      <c r="F315" s="930"/>
      <c r="G315" s="599"/>
      <c r="H315" s="600"/>
      <c r="I315" s="600"/>
      <c r="J315" s="600"/>
      <c r="K315" s="600"/>
    </row>
    <row r="316" spans="1:11" ht="15.75" customHeight="1" x14ac:dyDescent="0.25">
      <c r="A316" s="928">
        <v>1</v>
      </c>
      <c r="B316" s="926">
        <f>+NOMINA!C305</f>
        <v>5505183</v>
      </c>
      <c r="C316" s="926" t="str">
        <f>+NOMINA!D305</f>
        <v>Paredes Marquez Eduardo Jesus</v>
      </c>
      <c r="D316" s="926" t="str">
        <f>+NOMINA!O305</f>
        <v>Ayudante de Servicios Generales</v>
      </c>
      <c r="E316" s="929">
        <f>+NOMINA!H305</f>
        <v>44562</v>
      </c>
      <c r="F316" s="930">
        <f>+NOMINA!BN305</f>
        <v>3.03</v>
      </c>
      <c r="G316" s="599"/>
      <c r="H316" s="600"/>
      <c r="I316" s="600"/>
      <c r="J316" s="600"/>
      <c r="K316" s="600"/>
    </row>
    <row r="317" spans="1:11" ht="15.75" customHeight="1" x14ac:dyDescent="0.25">
      <c r="A317" s="928">
        <f t="shared" ref="A317:A381" si="5">+A316+1</f>
        <v>2</v>
      </c>
      <c r="B317" s="926">
        <f>+NOMINA!C306</f>
        <v>5757455</v>
      </c>
      <c r="C317" s="926" t="str">
        <f>+NOMINA!D306</f>
        <v>Ramirez Garcia Maria Perpetua</v>
      </c>
      <c r="D317" s="926" t="str">
        <f>+NOMINA!O306</f>
        <v>Cocinera</v>
      </c>
      <c r="E317" s="929">
        <f>+NOMINA!H306</f>
        <v>39409</v>
      </c>
      <c r="F317" s="930">
        <f>+NOMINA!BN306</f>
        <v>3.37</v>
      </c>
      <c r="G317" s="599"/>
      <c r="H317" s="600"/>
      <c r="I317" s="600"/>
      <c r="J317" s="600"/>
      <c r="K317" s="600"/>
    </row>
    <row r="318" spans="1:11" ht="15.75" customHeight="1" x14ac:dyDescent="0.25">
      <c r="A318" s="928">
        <f t="shared" si="5"/>
        <v>3</v>
      </c>
      <c r="B318" s="926">
        <f>+NOMINA!C307</f>
        <v>5762185</v>
      </c>
      <c r="C318" s="926" t="str">
        <f>+NOMINA!D307</f>
        <v>Salas Quintero Jose Gregorio</v>
      </c>
      <c r="D318" s="926" t="str">
        <f>+NOMINA!O307</f>
        <v>Vigilante</v>
      </c>
      <c r="E318" s="929">
        <f>+NOMINA!H307</f>
        <v>37622</v>
      </c>
      <c r="F318" s="930">
        <f>+NOMINA!BN307</f>
        <v>3.52</v>
      </c>
      <c r="G318" s="599"/>
      <c r="H318" s="600"/>
      <c r="I318" s="600"/>
      <c r="J318" s="600"/>
      <c r="K318" s="600"/>
    </row>
    <row r="319" spans="1:11" ht="15.75" customHeight="1" x14ac:dyDescent="0.25">
      <c r="A319" s="928">
        <f t="shared" si="5"/>
        <v>4</v>
      </c>
      <c r="B319" s="926">
        <f>+NOMINA!C308</f>
        <v>6332524</v>
      </c>
      <c r="C319" s="926" t="str">
        <f>+NOMINA!D308</f>
        <v>Flores Diana Yamilet</v>
      </c>
      <c r="D319" s="926" t="str">
        <f>+NOMINA!O308</f>
        <v>Cocinera</v>
      </c>
      <c r="E319" s="929">
        <f>+NOMINA!H308</f>
        <v>42948</v>
      </c>
      <c r="F319" s="930">
        <f>+NOMINA!BN308</f>
        <v>3.16</v>
      </c>
      <c r="G319" s="599"/>
      <c r="H319" s="600"/>
      <c r="I319" s="600"/>
      <c r="J319" s="600"/>
      <c r="K319" s="600"/>
    </row>
    <row r="320" spans="1:11" ht="15.75" customHeight="1" x14ac:dyDescent="0.25">
      <c r="A320" s="928">
        <f t="shared" si="5"/>
        <v>5</v>
      </c>
      <c r="B320" s="926">
        <f>+NOMINA!C309</f>
        <v>6902701</v>
      </c>
      <c r="C320" s="926" t="str">
        <f>+NOMINA!D309</f>
        <v>Santiago Torres Jose Ramon</v>
      </c>
      <c r="D320" s="926" t="str">
        <f>+NOMINA!O309</f>
        <v>Mensajero</v>
      </c>
      <c r="E320" s="929">
        <f>+NOMINA!H309</f>
        <v>44228</v>
      </c>
      <c r="F320" s="930">
        <f>+NOMINA!BN309</f>
        <v>2.9</v>
      </c>
      <c r="G320" s="599"/>
      <c r="H320" s="600"/>
      <c r="I320" s="600"/>
      <c r="J320" s="600"/>
      <c r="K320" s="600"/>
    </row>
    <row r="321" spans="1:11" ht="15.75" customHeight="1" x14ac:dyDescent="0.25">
      <c r="A321" s="928">
        <f t="shared" si="5"/>
        <v>6</v>
      </c>
      <c r="B321" s="926">
        <f>+NOMINA!C310</f>
        <v>7252065</v>
      </c>
      <c r="C321" s="926" t="str">
        <f>+NOMINA!D310</f>
        <v>Rivas Rivas Jose Gerardo</v>
      </c>
      <c r="D321" s="926" t="str">
        <f>+NOMINA!O310</f>
        <v>Ayudante de Servicios Generales</v>
      </c>
      <c r="E321" s="929">
        <f>+NOMINA!H310</f>
        <v>43891</v>
      </c>
      <c r="F321" s="930">
        <f>+NOMINA!BN310</f>
        <v>3.76</v>
      </c>
      <c r="G321" s="599"/>
      <c r="H321" s="600"/>
      <c r="I321" s="600"/>
      <c r="J321" s="600"/>
      <c r="K321" s="600"/>
    </row>
    <row r="322" spans="1:11" ht="15.75" customHeight="1" x14ac:dyDescent="0.25">
      <c r="A322" s="928">
        <f t="shared" si="5"/>
        <v>7</v>
      </c>
      <c r="B322" s="926">
        <f>+NOMINA!C311</f>
        <v>9008311</v>
      </c>
      <c r="C322" s="926" t="str">
        <f>+NOMINA!D311</f>
        <v>Toro Margi Enrique</v>
      </c>
      <c r="D322" s="926" t="str">
        <f>+NOMINA!O311</f>
        <v>Ayudante de Servicios Generales</v>
      </c>
      <c r="E322" s="929">
        <f>+NOMINA!H311</f>
        <v>39265</v>
      </c>
      <c r="F322" s="930">
        <f>+NOMINA!BN311</f>
        <v>3.17</v>
      </c>
      <c r="G322" s="599"/>
      <c r="H322" s="600"/>
      <c r="I322" s="600"/>
      <c r="J322" s="600"/>
      <c r="K322" s="600"/>
    </row>
    <row r="323" spans="1:11" ht="15.75" customHeight="1" x14ac:dyDescent="0.25">
      <c r="A323" s="928">
        <f t="shared" si="5"/>
        <v>8</v>
      </c>
      <c r="B323" s="926">
        <f>+NOMINA!C312</f>
        <v>9011963</v>
      </c>
      <c r="C323" s="926" t="str">
        <f>+NOMINA!D312</f>
        <v>Alarcon Argenio</v>
      </c>
      <c r="D323" s="926" t="str">
        <f>+NOMINA!O312</f>
        <v>Ayudante de Servicios Generales</v>
      </c>
      <c r="E323" s="929">
        <f>+NOMINA!H312</f>
        <v>39820</v>
      </c>
      <c r="F323" s="930">
        <f>+NOMINA!BN312</f>
        <v>3.12</v>
      </c>
      <c r="G323" s="599"/>
      <c r="H323" s="600"/>
      <c r="I323" s="600"/>
      <c r="J323" s="600"/>
      <c r="K323" s="600"/>
    </row>
    <row r="324" spans="1:11" ht="15.75" customHeight="1" x14ac:dyDescent="0.25">
      <c r="A324" s="928">
        <f t="shared" si="5"/>
        <v>9</v>
      </c>
      <c r="B324" s="926">
        <f>+NOMINA!C313</f>
        <v>9100500</v>
      </c>
      <c r="C324" s="926" t="str">
        <f>+NOMINA!D313</f>
        <v>Hernandez de Villegas Zoraida Elodia</v>
      </c>
      <c r="D324" s="926" t="str">
        <f>+NOMINA!O313</f>
        <v>Aseadora</v>
      </c>
      <c r="E324" s="929">
        <f>+NOMINA!H313</f>
        <v>39496</v>
      </c>
      <c r="F324" s="930">
        <f>+NOMINA!BN313</f>
        <v>2.88</v>
      </c>
      <c r="G324" s="599"/>
      <c r="H324" s="600"/>
      <c r="I324" s="600"/>
      <c r="J324" s="600"/>
      <c r="K324" s="600"/>
    </row>
    <row r="325" spans="1:11" ht="15.75" customHeight="1" x14ac:dyDescent="0.25">
      <c r="A325" s="928">
        <f t="shared" si="5"/>
        <v>10</v>
      </c>
      <c r="B325" s="926">
        <f>+NOMINA!C314</f>
        <v>9110498</v>
      </c>
      <c r="C325" s="926" t="str">
        <f>+NOMINA!D314</f>
        <v>Ruiz Alberto Jose</v>
      </c>
      <c r="D325" s="926" t="str">
        <f>+NOMINA!O314</f>
        <v>Ayudante de Servicios Generales</v>
      </c>
      <c r="E325" s="929">
        <f>+NOMINA!H314</f>
        <v>37508</v>
      </c>
      <c r="F325" s="930">
        <f>+NOMINA!BN314</f>
        <v>3.28</v>
      </c>
      <c r="G325" s="599"/>
      <c r="H325" s="600"/>
      <c r="I325" s="600"/>
      <c r="J325" s="600"/>
      <c r="K325" s="600"/>
    </row>
    <row r="326" spans="1:11" ht="15.75" customHeight="1" x14ac:dyDescent="0.25">
      <c r="A326" s="928">
        <f t="shared" si="5"/>
        <v>11</v>
      </c>
      <c r="B326" s="926">
        <f>+NOMINA!C315</f>
        <v>9163994</v>
      </c>
      <c r="C326" s="926" t="str">
        <f>+NOMINA!D315</f>
        <v>Rodriguez Fernandez Carlos Eduardo</v>
      </c>
      <c r="D326" s="926" t="str">
        <f>+NOMINA!O315</f>
        <v>Ayudante de Almacen</v>
      </c>
      <c r="E326" s="929">
        <f>+NOMINA!H315</f>
        <v>43770</v>
      </c>
      <c r="F326" s="930">
        <f>+NOMINA!BN315</f>
        <v>3.1</v>
      </c>
      <c r="G326" s="599"/>
      <c r="H326" s="600"/>
      <c r="I326" s="600"/>
      <c r="J326" s="600"/>
      <c r="K326" s="600"/>
    </row>
    <row r="327" spans="1:11" ht="15.75" customHeight="1" x14ac:dyDescent="0.25">
      <c r="A327" s="928">
        <f t="shared" si="5"/>
        <v>12</v>
      </c>
      <c r="B327" s="926">
        <f>+NOMINA!C316</f>
        <v>9167342</v>
      </c>
      <c r="C327" s="926" t="str">
        <f>+NOMINA!D316</f>
        <v>Gutierrez Briceño Jose Justimiano</v>
      </c>
      <c r="D327" s="926" t="str">
        <f>+NOMINA!O316</f>
        <v>Ayudante Agropecuario</v>
      </c>
      <c r="E327" s="929">
        <f>+NOMINA!H316</f>
        <v>43845</v>
      </c>
      <c r="F327" s="930">
        <f>+NOMINA!BN316</f>
        <v>2.9</v>
      </c>
      <c r="G327" s="599"/>
      <c r="H327" s="600"/>
      <c r="I327" s="600"/>
      <c r="J327" s="600"/>
      <c r="K327" s="600"/>
    </row>
    <row r="328" spans="1:11" ht="15.75" customHeight="1" x14ac:dyDescent="0.25">
      <c r="A328" s="928">
        <f t="shared" si="5"/>
        <v>13</v>
      </c>
      <c r="B328" s="926">
        <f>+NOMINA!C317</f>
        <v>9310477</v>
      </c>
      <c r="C328" s="926" t="str">
        <f>+NOMINA!D317</f>
        <v>Campos Muchacho Rafael Angel</v>
      </c>
      <c r="D328" s="926" t="str">
        <f>+NOMINA!O317</f>
        <v>Ayudante Agropecuario</v>
      </c>
      <c r="E328" s="929">
        <f>+NOMINA!H317</f>
        <v>44075</v>
      </c>
      <c r="F328" s="930">
        <f>+NOMINA!BN317</f>
        <v>2.9</v>
      </c>
      <c r="G328" s="599"/>
      <c r="H328" s="600"/>
      <c r="I328" s="600"/>
      <c r="J328" s="600"/>
      <c r="K328" s="600"/>
    </row>
    <row r="329" spans="1:11" ht="15.75" customHeight="1" x14ac:dyDescent="0.25">
      <c r="A329" s="928">
        <f t="shared" si="5"/>
        <v>14</v>
      </c>
      <c r="B329" s="926">
        <f>+NOMINA!C318</f>
        <v>9323739</v>
      </c>
      <c r="C329" s="926" t="str">
        <f>+NOMINA!D318</f>
        <v>Vargas Benitez Jose Nerio</v>
      </c>
      <c r="D329" s="926" t="str">
        <f>+NOMINA!O318</f>
        <v>Ayudante de Servicios Generales</v>
      </c>
      <c r="E329" s="929">
        <f>+NOMINA!H318</f>
        <v>39300</v>
      </c>
      <c r="F329" s="930">
        <f>+NOMINA!BN318</f>
        <v>3.17</v>
      </c>
      <c r="G329" s="599"/>
      <c r="H329" s="600"/>
      <c r="I329" s="600"/>
      <c r="J329" s="600"/>
      <c r="K329" s="600"/>
    </row>
    <row r="330" spans="1:11" ht="15.75" customHeight="1" x14ac:dyDescent="0.25">
      <c r="A330" s="928">
        <f t="shared" si="5"/>
        <v>15</v>
      </c>
      <c r="B330" s="926">
        <f>+NOMINA!C319</f>
        <v>9325664</v>
      </c>
      <c r="C330" s="926" t="str">
        <f>+NOMINA!D319</f>
        <v>Lobo Mendoza Luz Marina</v>
      </c>
      <c r="D330" s="926" t="str">
        <f>+NOMINA!O319</f>
        <v>Ayudante de Servicios Generales</v>
      </c>
      <c r="E330" s="929">
        <f>+NOMINA!H319</f>
        <v>42948</v>
      </c>
      <c r="F330" s="930">
        <f>+NOMINA!BN319</f>
        <v>2.95</v>
      </c>
      <c r="G330" s="599"/>
      <c r="H330" s="600"/>
      <c r="I330" s="600"/>
      <c r="J330" s="600"/>
      <c r="K330" s="600"/>
    </row>
    <row r="331" spans="1:11" ht="15.75" customHeight="1" x14ac:dyDescent="0.25">
      <c r="A331" s="928">
        <f t="shared" si="5"/>
        <v>16</v>
      </c>
      <c r="B331" s="926">
        <f>+NOMINA!C320</f>
        <v>9328045</v>
      </c>
      <c r="C331" s="926" t="str">
        <f>+NOMINA!D320</f>
        <v>Paredes Quintero Jose Benigno</v>
      </c>
      <c r="D331" s="926" t="str">
        <f>+NOMINA!O320</f>
        <v>Ayudante de Servicios Generales</v>
      </c>
      <c r="E331" s="929">
        <f>+NOMINA!H320</f>
        <v>44212</v>
      </c>
      <c r="F331" s="930">
        <f>+NOMINA!BN320</f>
        <v>2.88</v>
      </c>
      <c r="G331" s="599"/>
      <c r="H331" s="600"/>
      <c r="I331" s="600"/>
      <c r="J331" s="600"/>
      <c r="K331" s="600"/>
    </row>
    <row r="332" spans="1:11" ht="15.75" customHeight="1" x14ac:dyDescent="0.25">
      <c r="A332" s="928">
        <f t="shared" si="5"/>
        <v>17</v>
      </c>
      <c r="B332" s="926">
        <f>+NOMINA!C321</f>
        <v>10178456</v>
      </c>
      <c r="C332" s="926" t="str">
        <f>+NOMINA!D321</f>
        <v>Figueroa Roa Yudith Griselda</v>
      </c>
      <c r="D332" s="926" t="str">
        <f>+NOMINA!O321</f>
        <v>Aseadora</v>
      </c>
      <c r="E332" s="929">
        <f>+NOMINA!H321</f>
        <v>44287</v>
      </c>
      <c r="F332" s="930">
        <f>+NOMINA!BN321</f>
        <v>2.65</v>
      </c>
      <c r="G332" s="599"/>
      <c r="H332" s="600"/>
      <c r="I332" s="600"/>
      <c r="J332" s="600"/>
      <c r="K332" s="600"/>
    </row>
    <row r="333" spans="1:11" ht="15.75" customHeight="1" x14ac:dyDescent="0.25">
      <c r="A333" s="928">
        <f t="shared" si="5"/>
        <v>18</v>
      </c>
      <c r="B333" s="926">
        <f>+NOMINA!C322</f>
        <v>10317435</v>
      </c>
      <c r="C333" s="926" t="str">
        <f>+NOMINA!D322</f>
        <v>Milla Ana Julia</v>
      </c>
      <c r="D333" s="926" t="str">
        <f>+NOMINA!O322</f>
        <v>Aseadora</v>
      </c>
      <c r="E333" s="929">
        <f>+NOMINA!H322</f>
        <v>39559</v>
      </c>
      <c r="F333" s="930">
        <f>+NOMINA!BN322</f>
        <v>2.88</v>
      </c>
      <c r="G333" s="599"/>
      <c r="H333" s="600"/>
      <c r="I333" s="600"/>
      <c r="J333" s="600"/>
      <c r="K333" s="600"/>
    </row>
    <row r="334" spans="1:11" ht="15.75" customHeight="1" x14ac:dyDescent="0.25">
      <c r="A334" s="928">
        <f t="shared" si="5"/>
        <v>19</v>
      </c>
      <c r="B334" s="926">
        <f>+NOMINA!C323</f>
        <v>10396367</v>
      </c>
      <c r="C334" s="926" t="str">
        <f>+NOMINA!D323</f>
        <v>Hidalgo Linares Gloria Margarita</v>
      </c>
      <c r="D334" s="926" t="str">
        <f>+NOMINA!O323</f>
        <v>Cocinera</v>
      </c>
      <c r="E334" s="929">
        <f>+NOMINA!H323</f>
        <v>39722</v>
      </c>
      <c r="F334" s="930">
        <f>+NOMINA!BN323</f>
        <v>3.35</v>
      </c>
      <c r="G334" s="599"/>
      <c r="H334" s="600"/>
      <c r="I334" s="600"/>
      <c r="J334" s="600"/>
      <c r="K334" s="600"/>
    </row>
    <row r="335" spans="1:11" ht="15.75" customHeight="1" x14ac:dyDescent="0.25">
      <c r="A335" s="928">
        <f t="shared" si="5"/>
        <v>20</v>
      </c>
      <c r="B335" s="926">
        <f>+NOMINA!C324</f>
        <v>10399474</v>
      </c>
      <c r="C335" s="926" t="str">
        <f>+NOMINA!D324</f>
        <v>Ramirez Araujo Teresa Maria</v>
      </c>
      <c r="D335" s="926" t="str">
        <f>+NOMINA!O324</f>
        <v>Ayudante de Servicios Generales</v>
      </c>
      <c r="E335" s="929">
        <f>+NOMINA!H324</f>
        <v>45597</v>
      </c>
      <c r="F335" s="930">
        <f>+NOMINA!BN324</f>
        <v>2.72</v>
      </c>
      <c r="G335" s="599"/>
      <c r="H335" s="600"/>
      <c r="I335" s="600"/>
      <c r="J335" s="600"/>
      <c r="K335" s="600"/>
    </row>
    <row r="336" spans="1:11" ht="15.75" customHeight="1" x14ac:dyDescent="0.25">
      <c r="A336" s="928">
        <f t="shared" si="5"/>
        <v>21</v>
      </c>
      <c r="B336" s="926">
        <f>+NOMINA!C325</f>
        <v>10401329</v>
      </c>
      <c r="C336" s="926" t="str">
        <f>+NOMINA!D325</f>
        <v>Gonzalez Torres Orangel Ramon</v>
      </c>
      <c r="D336" s="926" t="str">
        <f>+NOMINA!O325</f>
        <v>Chofer De Transporte</v>
      </c>
      <c r="E336" s="929">
        <f>+NOMINA!H325</f>
        <v>39539</v>
      </c>
      <c r="F336" s="930">
        <f>+NOMINA!BN325</f>
        <v>4.38</v>
      </c>
      <c r="G336" s="599"/>
      <c r="H336" s="600"/>
      <c r="I336" s="600"/>
      <c r="J336" s="600"/>
      <c r="K336" s="600"/>
    </row>
    <row r="337" spans="1:11" ht="15.75" customHeight="1" x14ac:dyDescent="0.25">
      <c r="A337" s="928">
        <f t="shared" si="5"/>
        <v>22</v>
      </c>
      <c r="B337" s="926">
        <f>+NOMINA!C326</f>
        <v>10907687</v>
      </c>
      <c r="C337" s="926" t="str">
        <f>+NOMINA!D326</f>
        <v>Viloria Garcia Karina Liseth</v>
      </c>
      <c r="D337" s="926" t="str">
        <f>+NOMINA!O326</f>
        <v>Cocinera</v>
      </c>
      <c r="E337" s="929">
        <f>+NOMINA!H326</f>
        <v>38749</v>
      </c>
      <c r="F337" s="930">
        <f>+NOMINA!BN326</f>
        <v>3.43</v>
      </c>
      <c r="G337" s="599"/>
      <c r="H337" s="600"/>
      <c r="I337" s="600"/>
      <c r="J337" s="600"/>
      <c r="K337" s="600"/>
    </row>
    <row r="338" spans="1:11" ht="15.75" customHeight="1" x14ac:dyDescent="0.25">
      <c r="A338" s="928">
        <f t="shared" si="5"/>
        <v>23</v>
      </c>
      <c r="B338" s="926">
        <f>+NOMINA!C327</f>
        <v>10908543</v>
      </c>
      <c r="C338" s="926" t="str">
        <f>+NOMINA!D327</f>
        <v>Quintero Eric Ludwig</v>
      </c>
      <c r="D338" s="926" t="str">
        <f>+NOMINA!O327</f>
        <v>Cocinero</v>
      </c>
      <c r="E338" s="929">
        <f>+NOMINA!H327</f>
        <v>42751</v>
      </c>
      <c r="F338" s="930">
        <f>+NOMINA!BN327</f>
        <v>3.16</v>
      </c>
      <c r="G338" s="599"/>
      <c r="H338" s="600"/>
      <c r="I338" s="600"/>
      <c r="J338" s="600"/>
      <c r="K338" s="600"/>
    </row>
    <row r="339" spans="1:11" ht="15.75" customHeight="1" x14ac:dyDescent="0.25">
      <c r="A339" s="928">
        <f t="shared" si="5"/>
        <v>24</v>
      </c>
      <c r="B339" s="926">
        <f>+NOMINA!C328</f>
        <v>10909678</v>
      </c>
      <c r="C339" s="926" t="str">
        <f>+NOMINA!D328</f>
        <v>Delgado Jose Argenis</v>
      </c>
      <c r="D339" s="926" t="str">
        <f>+NOMINA!O328</f>
        <v>Aseador</v>
      </c>
      <c r="E339" s="929">
        <f>+NOMINA!H328</f>
        <v>43952</v>
      </c>
      <c r="F339" s="930">
        <f>+NOMINA!BN328</f>
        <v>2.67</v>
      </c>
      <c r="G339" s="599"/>
      <c r="H339" s="600"/>
      <c r="I339" s="600"/>
      <c r="J339" s="600"/>
      <c r="K339" s="600"/>
    </row>
    <row r="340" spans="1:11" ht="15.75" customHeight="1" x14ac:dyDescent="0.25">
      <c r="A340" s="928">
        <f t="shared" si="5"/>
        <v>25</v>
      </c>
      <c r="B340" s="926">
        <f>+NOMINA!C329</f>
        <v>10909819</v>
      </c>
      <c r="C340" s="926" t="str">
        <f>+NOMINA!D329</f>
        <v>Carrizo Jose Waldo</v>
      </c>
      <c r="D340" s="926" t="str">
        <f>+NOMINA!O329</f>
        <v>Cocinero</v>
      </c>
      <c r="E340" s="929">
        <f>+NOMINA!H329</f>
        <v>43359</v>
      </c>
      <c r="F340" s="930">
        <f>+NOMINA!BN329</f>
        <v>3.14</v>
      </c>
      <c r="G340" s="599"/>
      <c r="H340" s="600"/>
      <c r="I340" s="600"/>
      <c r="J340" s="600"/>
      <c r="K340" s="600"/>
    </row>
    <row r="341" spans="1:11" ht="15.75" customHeight="1" x14ac:dyDescent="0.25">
      <c r="A341" s="928">
        <f t="shared" si="5"/>
        <v>26</v>
      </c>
      <c r="B341" s="926">
        <f>+NOMINA!C330</f>
        <v>10912635</v>
      </c>
      <c r="C341" s="926" t="str">
        <f>+NOMINA!D330</f>
        <v>Gutierrez Briceño Jose Orangel</v>
      </c>
      <c r="D341" s="926" t="str">
        <f>+NOMINA!O330</f>
        <v>Ayudante Agropecuario</v>
      </c>
      <c r="E341" s="929">
        <f>+NOMINA!H330</f>
        <v>44348</v>
      </c>
      <c r="F341" s="930">
        <f>+NOMINA!BN330</f>
        <v>2.88</v>
      </c>
      <c r="G341" s="599"/>
      <c r="H341" s="600"/>
      <c r="I341" s="600"/>
      <c r="J341" s="600"/>
      <c r="K341" s="600"/>
    </row>
    <row r="342" spans="1:11" ht="15.75" customHeight="1" x14ac:dyDescent="0.25">
      <c r="A342" s="928">
        <f t="shared" si="5"/>
        <v>27</v>
      </c>
      <c r="B342" s="926">
        <f>+NOMINA!C331</f>
        <v>10915274</v>
      </c>
      <c r="C342" s="926" t="str">
        <f>+NOMINA!D331</f>
        <v>Montilla Vergara Belkys Josefina</v>
      </c>
      <c r="D342" s="926" t="str">
        <f>+NOMINA!O331</f>
        <v>Ayudante de Servicios Generales</v>
      </c>
      <c r="E342" s="929">
        <f>+NOMINA!H331</f>
        <v>44635</v>
      </c>
      <c r="F342" s="930">
        <f>+NOMINA!BN331</f>
        <v>2.87</v>
      </c>
      <c r="G342" s="599"/>
      <c r="H342" s="600"/>
      <c r="I342" s="600"/>
      <c r="J342" s="600"/>
      <c r="K342" s="600"/>
    </row>
    <row r="343" spans="1:11" ht="15.75" customHeight="1" x14ac:dyDescent="0.25">
      <c r="A343" s="928">
        <f t="shared" si="5"/>
        <v>28</v>
      </c>
      <c r="B343" s="926">
        <f>+NOMINA!C332</f>
        <v>11129355</v>
      </c>
      <c r="C343" s="926" t="str">
        <f>+NOMINA!D332</f>
        <v>Luque Azuaje Rigoberto</v>
      </c>
      <c r="D343" s="926" t="str">
        <f>+NOMINA!O332</f>
        <v>Ayudante de Servicios Generales</v>
      </c>
      <c r="E343" s="929">
        <f>+NOMINA!H332</f>
        <v>39539</v>
      </c>
      <c r="F343" s="930">
        <f>+NOMINA!BN332</f>
        <v>4.08</v>
      </c>
      <c r="G343" s="599"/>
      <c r="H343" s="600"/>
      <c r="I343" s="600"/>
      <c r="J343" s="600"/>
      <c r="K343" s="600"/>
    </row>
    <row r="344" spans="1:11" ht="15.75" customHeight="1" x14ac:dyDescent="0.25">
      <c r="A344" s="928">
        <f t="shared" si="5"/>
        <v>29</v>
      </c>
      <c r="B344" s="926">
        <f>+NOMINA!C333</f>
        <v>11315202</v>
      </c>
      <c r="C344" s="926" t="str">
        <f>+NOMINA!D333</f>
        <v>Barreto Maria Ramona</v>
      </c>
      <c r="D344" s="926" t="str">
        <f>+NOMINA!O333</f>
        <v>Cocinera</v>
      </c>
      <c r="E344" s="929">
        <f>+NOMINA!H333</f>
        <v>39539</v>
      </c>
      <c r="F344" s="930">
        <f>+NOMINA!BN333</f>
        <v>3.37</v>
      </c>
      <c r="G344" s="599"/>
      <c r="H344" s="600"/>
      <c r="I344" s="600"/>
      <c r="J344" s="600"/>
      <c r="K344" s="600"/>
    </row>
    <row r="345" spans="1:11" ht="15.75" customHeight="1" x14ac:dyDescent="0.25">
      <c r="A345" s="928">
        <f t="shared" si="5"/>
        <v>30</v>
      </c>
      <c r="B345" s="926">
        <f>+NOMINA!C334</f>
        <v>11321681</v>
      </c>
      <c r="C345" s="926" t="str">
        <f>+NOMINA!D334</f>
        <v>Bentancourt Rivas Luis Enrique</v>
      </c>
      <c r="D345" s="926" t="str">
        <f>+NOMINA!O334</f>
        <v>Ayudante de Servicios Generales</v>
      </c>
      <c r="E345" s="929">
        <f>+NOMINA!H334</f>
        <v>44805</v>
      </c>
      <c r="F345" s="930">
        <f>+NOMINA!BN334</f>
        <v>2.87</v>
      </c>
      <c r="G345" s="599"/>
      <c r="H345" s="600"/>
      <c r="I345" s="600"/>
      <c r="J345" s="600"/>
      <c r="K345" s="600"/>
    </row>
    <row r="346" spans="1:11" ht="15.75" customHeight="1" x14ac:dyDescent="0.25">
      <c r="A346" s="928">
        <f t="shared" si="5"/>
        <v>31</v>
      </c>
      <c r="B346" s="926">
        <f>+NOMINA!C335</f>
        <v>11321782</v>
      </c>
      <c r="C346" s="926" t="str">
        <f>+NOMINA!D335</f>
        <v>Flores Camacho Maria Zoraida</v>
      </c>
      <c r="D346" s="926" t="str">
        <f>+NOMINA!O335</f>
        <v>Cocinera</v>
      </c>
      <c r="E346" s="929">
        <f>+NOMINA!H335</f>
        <v>43815</v>
      </c>
      <c r="F346" s="930">
        <f>+NOMINA!BN335</f>
        <v>3.1</v>
      </c>
      <c r="G346" s="599"/>
      <c r="H346" s="600"/>
      <c r="I346" s="600"/>
      <c r="J346" s="600"/>
      <c r="K346" s="600"/>
    </row>
    <row r="347" spans="1:11" ht="15.75" customHeight="1" x14ac:dyDescent="0.25">
      <c r="A347" s="928">
        <f t="shared" si="5"/>
        <v>32</v>
      </c>
      <c r="B347" s="926">
        <f>+NOMINA!C336</f>
        <v>11324931</v>
      </c>
      <c r="C347" s="926" t="str">
        <f>+NOMINA!D336</f>
        <v>Sulbaran de Araujo Magaly</v>
      </c>
      <c r="D347" s="926" t="str">
        <f>+NOMINA!O336</f>
        <v>Cocinera</v>
      </c>
      <c r="E347" s="929">
        <f>+NOMINA!H336</f>
        <v>38784</v>
      </c>
      <c r="F347" s="930">
        <f>+NOMINA!BN336</f>
        <v>3.43</v>
      </c>
      <c r="G347" s="599"/>
      <c r="H347" s="600"/>
      <c r="I347" s="600"/>
      <c r="J347" s="600"/>
      <c r="K347" s="600"/>
    </row>
    <row r="348" spans="1:11" ht="15.75" customHeight="1" x14ac:dyDescent="0.25">
      <c r="A348" s="928">
        <f t="shared" si="5"/>
        <v>33</v>
      </c>
      <c r="B348" s="926">
        <f>+NOMINA!C337</f>
        <v>11894400</v>
      </c>
      <c r="C348" s="926" t="str">
        <f>+NOMINA!D337</f>
        <v>Aldana Olivar Maria del Carmen</v>
      </c>
      <c r="D348" s="926" t="str">
        <f>+NOMINA!O337</f>
        <v>Cocinera</v>
      </c>
      <c r="E348" s="929">
        <f>+NOMINA!H337</f>
        <v>44287</v>
      </c>
      <c r="F348" s="930">
        <f>+NOMINA!BN337</f>
        <v>3.08</v>
      </c>
      <c r="G348" s="599"/>
      <c r="H348" s="600"/>
      <c r="I348" s="600"/>
      <c r="J348" s="600"/>
      <c r="K348" s="600"/>
    </row>
    <row r="349" spans="1:11" ht="15.75" customHeight="1" x14ac:dyDescent="0.25">
      <c r="A349" s="928">
        <f t="shared" si="5"/>
        <v>34</v>
      </c>
      <c r="B349" s="926">
        <f>+NOMINA!C338</f>
        <v>11897863</v>
      </c>
      <c r="C349" s="926" t="str">
        <f>+NOMINA!D338</f>
        <v>Rodriguez Maria Ibel</v>
      </c>
      <c r="D349" s="926" t="str">
        <f>+NOMINA!O338</f>
        <v>Aseadora</v>
      </c>
      <c r="E349" s="929">
        <f>+NOMINA!H338</f>
        <v>41548</v>
      </c>
      <c r="F349" s="930">
        <f>+NOMINA!BN338</f>
        <v>2.76</v>
      </c>
      <c r="G349" s="599"/>
      <c r="H349" s="600"/>
      <c r="I349" s="600"/>
      <c r="J349" s="600"/>
      <c r="K349" s="600"/>
    </row>
    <row r="350" spans="1:11" ht="15.75" customHeight="1" x14ac:dyDescent="0.25">
      <c r="A350" s="928">
        <f t="shared" si="5"/>
        <v>35</v>
      </c>
      <c r="B350" s="926">
        <f>+NOMINA!C339</f>
        <v>12038359</v>
      </c>
      <c r="C350" s="926" t="str">
        <f>+NOMINA!D339</f>
        <v>Amaya Perez Carmen Elena</v>
      </c>
      <c r="D350" s="926" t="str">
        <f>+NOMINA!O339</f>
        <v>Cocinera</v>
      </c>
      <c r="E350" s="929">
        <f>+NOMINA!H339</f>
        <v>38103</v>
      </c>
      <c r="F350" s="930">
        <f>+NOMINA!BN339</f>
        <v>3.49</v>
      </c>
      <c r="G350" s="599"/>
      <c r="H350" s="600"/>
      <c r="I350" s="600"/>
      <c r="J350" s="600"/>
      <c r="K350" s="600"/>
    </row>
    <row r="351" spans="1:11" ht="15.75" customHeight="1" x14ac:dyDescent="0.25">
      <c r="A351" s="928">
        <f t="shared" si="5"/>
        <v>36</v>
      </c>
      <c r="B351" s="926">
        <f>+NOMINA!C340</f>
        <v>12042930</v>
      </c>
      <c r="C351" s="926" t="str">
        <f>+NOMINA!D340</f>
        <v>Barroeta Cardozo Leonid Andrei</v>
      </c>
      <c r="D351" s="926" t="str">
        <f>+NOMINA!O340</f>
        <v>Ayudante de Servicios Generales</v>
      </c>
      <c r="E351" s="929">
        <f>+NOMINA!H340</f>
        <v>44986</v>
      </c>
      <c r="F351" s="930">
        <f>+NOMINA!BN340</f>
        <v>2.85</v>
      </c>
      <c r="G351" s="599"/>
      <c r="H351" s="600"/>
      <c r="I351" s="600"/>
      <c r="J351" s="600"/>
      <c r="K351" s="600"/>
    </row>
    <row r="352" spans="1:11" ht="15.75" customHeight="1" x14ac:dyDescent="0.25">
      <c r="A352" s="928">
        <f t="shared" si="5"/>
        <v>37</v>
      </c>
      <c r="B352" s="926">
        <f>+NOMINA!C341</f>
        <v>12043135</v>
      </c>
      <c r="C352" s="926" t="str">
        <f>+NOMINA!D341</f>
        <v>Avila Salvio Rodolfo</v>
      </c>
      <c r="D352" s="926" t="str">
        <f>+NOMINA!O341</f>
        <v>Cocinero</v>
      </c>
      <c r="E352" s="929">
        <f>+NOMINA!H341</f>
        <v>43724</v>
      </c>
      <c r="F352" s="930">
        <f>+NOMINA!BN341</f>
        <v>3.12</v>
      </c>
      <c r="G352" s="599"/>
      <c r="H352" s="600"/>
      <c r="I352" s="600"/>
      <c r="J352" s="600"/>
      <c r="K352" s="600"/>
    </row>
    <row r="353" spans="1:11" ht="15.75" customHeight="1" x14ac:dyDescent="0.25">
      <c r="A353" s="928">
        <f t="shared" si="5"/>
        <v>38</v>
      </c>
      <c r="B353" s="926">
        <f>+NOMINA!C342</f>
        <v>12044124</v>
      </c>
      <c r="C353" s="926" t="str">
        <f>+NOMINA!D342</f>
        <v>Rivas Carlos Luis</v>
      </c>
      <c r="D353" s="926" t="str">
        <f>+NOMINA!O342</f>
        <v>Ayudante de Servicios Generales</v>
      </c>
      <c r="E353" s="929">
        <f>+NOMINA!H342</f>
        <v>39539</v>
      </c>
      <c r="F353" s="930">
        <f>+NOMINA!BN342</f>
        <v>4.08</v>
      </c>
      <c r="G353" s="599"/>
      <c r="H353" s="600"/>
      <c r="I353" s="600"/>
      <c r="J353" s="600"/>
      <c r="K353" s="600"/>
    </row>
    <row r="354" spans="1:11" ht="15.75" customHeight="1" x14ac:dyDescent="0.25">
      <c r="A354" s="928">
        <f t="shared" si="5"/>
        <v>39</v>
      </c>
      <c r="B354" s="926">
        <f>+NOMINA!C343</f>
        <v>12044754</v>
      </c>
      <c r="C354" s="926" t="str">
        <f>+NOMINA!D343</f>
        <v>Briceño Graterol Oscar Antonio</v>
      </c>
      <c r="D354" s="926" t="str">
        <f>+NOMINA!O343</f>
        <v>Ayudante de Servicios Generales</v>
      </c>
      <c r="E354" s="929">
        <f>+NOMINA!H343</f>
        <v>43481</v>
      </c>
      <c r="F354" s="930">
        <f>+NOMINA!BN343</f>
        <v>2.91</v>
      </c>
      <c r="G354" s="599"/>
      <c r="H354" s="600"/>
      <c r="I354" s="600"/>
      <c r="J354" s="600"/>
      <c r="K354" s="600"/>
    </row>
    <row r="355" spans="1:11" ht="15.75" customHeight="1" x14ac:dyDescent="0.25">
      <c r="A355" s="928">
        <f t="shared" si="5"/>
        <v>40</v>
      </c>
      <c r="B355" s="926">
        <f>+NOMINA!C344</f>
        <v>12046834</v>
      </c>
      <c r="C355" s="926" t="str">
        <f>+NOMINA!D344</f>
        <v>Perez Montilla William Jose</v>
      </c>
      <c r="D355" s="926" t="str">
        <f>+NOMINA!O344</f>
        <v>Cocinero</v>
      </c>
      <c r="E355" s="929">
        <f>+NOMINA!H344</f>
        <v>43313</v>
      </c>
      <c r="F355" s="930">
        <f>+NOMINA!BN344</f>
        <v>3.26</v>
      </c>
      <c r="G355" s="599"/>
      <c r="H355" s="600"/>
      <c r="I355" s="600"/>
      <c r="J355" s="600"/>
      <c r="K355" s="600"/>
    </row>
    <row r="356" spans="1:11" ht="15.75" customHeight="1" x14ac:dyDescent="0.25">
      <c r="A356" s="928">
        <f t="shared" si="5"/>
        <v>41</v>
      </c>
      <c r="B356" s="926">
        <f>+NOMINA!C345</f>
        <v>12047016</v>
      </c>
      <c r="C356" s="926" t="str">
        <f>+NOMINA!D345</f>
        <v>Lozada de Estenoz Maria Edicta</v>
      </c>
      <c r="D356" s="926" t="str">
        <f>+NOMINA!O345</f>
        <v>Cocinera</v>
      </c>
      <c r="E356" s="929">
        <f>+NOMINA!H345</f>
        <v>42948</v>
      </c>
      <c r="F356" s="930">
        <f>+NOMINA!BN345</f>
        <v>3.28</v>
      </c>
      <c r="G356" s="599"/>
      <c r="H356" s="600"/>
      <c r="I356" s="600"/>
      <c r="J356" s="600"/>
      <c r="K356" s="600"/>
    </row>
    <row r="357" spans="1:11" ht="15.75" customHeight="1" x14ac:dyDescent="0.25">
      <c r="A357" s="928">
        <f t="shared" si="5"/>
        <v>42</v>
      </c>
      <c r="B357" s="926">
        <f>+NOMINA!C346</f>
        <v>12797215</v>
      </c>
      <c r="C357" s="926" t="str">
        <f>+NOMINA!D346</f>
        <v>Briceño Matheus Yhonny Alberto</v>
      </c>
      <c r="D357" s="926" t="str">
        <f>+NOMINA!O346</f>
        <v>Aseador</v>
      </c>
      <c r="E357" s="929">
        <f>+NOMINA!H346</f>
        <v>45778</v>
      </c>
      <c r="F357" s="930">
        <f>+NOMINA!BN346</f>
        <v>2.6</v>
      </c>
      <c r="G357" s="599"/>
      <c r="H357" s="600"/>
      <c r="I357" s="600"/>
      <c r="J357" s="600"/>
      <c r="K357" s="600"/>
    </row>
    <row r="358" spans="1:11" ht="15.75" customHeight="1" x14ac:dyDescent="0.25">
      <c r="A358" s="928">
        <f t="shared" si="5"/>
        <v>43</v>
      </c>
      <c r="B358" s="926">
        <f>+NOMINA!C347</f>
        <v>12797543</v>
      </c>
      <c r="C358" s="926" t="str">
        <f>+NOMINA!D347</f>
        <v>Carrizo Blanco Doris Coromoto</v>
      </c>
      <c r="D358" s="926" t="str">
        <f>+NOMINA!O347</f>
        <v>Ayudante de Servicios Generales</v>
      </c>
      <c r="E358" s="929">
        <f>+NOMINA!H347</f>
        <v>42948</v>
      </c>
      <c r="F358" s="930">
        <f>+NOMINA!BN347</f>
        <v>2.95</v>
      </c>
      <c r="G358" s="599"/>
      <c r="H358" s="600"/>
      <c r="I358" s="600"/>
      <c r="J358" s="600"/>
      <c r="K358" s="600"/>
    </row>
    <row r="359" spans="1:11" ht="15.75" customHeight="1" x14ac:dyDescent="0.25">
      <c r="A359" s="928">
        <f t="shared" si="5"/>
        <v>44</v>
      </c>
      <c r="B359" s="926">
        <f>+NOMINA!C348</f>
        <v>12797598</v>
      </c>
      <c r="C359" s="926" t="str">
        <f>+NOMINA!D348</f>
        <v>Gutierrez Briceño Jose Gabriel</v>
      </c>
      <c r="D359" s="926" t="str">
        <f>+NOMINA!O348</f>
        <v>Cocinero</v>
      </c>
      <c r="E359" s="929">
        <f>+NOMINA!H348</f>
        <v>44635</v>
      </c>
      <c r="F359" s="930">
        <f>+NOMINA!BN348</f>
        <v>3.19</v>
      </c>
      <c r="G359" s="599"/>
      <c r="H359" s="600"/>
      <c r="I359" s="600"/>
      <c r="J359" s="600"/>
      <c r="K359" s="600"/>
    </row>
    <row r="360" spans="1:11" ht="15.75" customHeight="1" x14ac:dyDescent="0.25">
      <c r="A360" s="928">
        <f t="shared" si="5"/>
        <v>45</v>
      </c>
      <c r="B360" s="926">
        <f>+NOMINA!C349</f>
        <v>13049800</v>
      </c>
      <c r="C360" s="926" t="str">
        <f>+NOMINA!D349</f>
        <v>Artigas Sanchez Mereldes Corina</v>
      </c>
      <c r="D360" s="926" t="str">
        <f>+NOMINA!O349</f>
        <v>Aseadora</v>
      </c>
      <c r="E360" s="929">
        <f>+NOMINA!H349</f>
        <v>42171</v>
      </c>
      <c r="F360" s="930">
        <f>+NOMINA!BN349</f>
        <v>2.74</v>
      </c>
      <c r="G360" s="599"/>
      <c r="H360" s="600"/>
      <c r="I360" s="600"/>
      <c r="J360" s="600"/>
      <c r="K360" s="600"/>
    </row>
    <row r="361" spans="1:11" ht="15.75" customHeight="1" x14ac:dyDescent="0.25">
      <c r="A361" s="928">
        <f t="shared" si="5"/>
        <v>46</v>
      </c>
      <c r="B361" s="926">
        <f>+NOMINA!C350</f>
        <v>13376729</v>
      </c>
      <c r="C361" s="926" t="str">
        <f>+NOMINA!D350</f>
        <v>Briceño Aldana Yhon Mario</v>
      </c>
      <c r="D361" s="926" t="str">
        <f>+NOMINA!O350</f>
        <v>Vigilante</v>
      </c>
      <c r="E361" s="929">
        <f>+NOMINA!H350</f>
        <v>42948</v>
      </c>
      <c r="F361" s="930">
        <f>+NOMINA!BN350</f>
        <v>4.2699999999999996</v>
      </c>
      <c r="G361" s="599"/>
      <c r="H361" s="600"/>
      <c r="I361" s="600"/>
      <c r="J361" s="600"/>
      <c r="K361" s="600"/>
    </row>
    <row r="362" spans="1:11" ht="15.75" customHeight="1" x14ac:dyDescent="0.25">
      <c r="A362" s="928">
        <f t="shared" si="5"/>
        <v>47</v>
      </c>
      <c r="B362" s="926">
        <f>+NOMINA!C351</f>
        <v>13404824</v>
      </c>
      <c r="C362" s="926" t="str">
        <f>+NOMINA!D351</f>
        <v>Malpica Rivas Julio Enrique</v>
      </c>
      <c r="D362" s="926" t="str">
        <f>+NOMINA!O351</f>
        <v>Ayudante de Servicios Generales</v>
      </c>
      <c r="E362" s="929">
        <f>+NOMINA!H351</f>
        <v>45474</v>
      </c>
      <c r="F362" s="930">
        <f>+NOMINA!BN351</f>
        <v>2.84</v>
      </c>
      <c r="G362" s="599"/>
      <c r="H362" s="600"/>
      <c r="I362" s="600"/>
      <c r="J362" s="600"/>
      <c r="K362" s="600"/>
    </row>
    <row r="363" spans="1:11" ht="15.75" customHeight="1" x14ac:dyDescent="0.25">
      <c r="A363" s="928">
        <f t="shared" si="5"/>
        <v>48</v>
      </c>
      <c r="B363" s="926">
        <f>+NOMINA!C352</f>
        <v>13745328</v>
      </c>
      <c r="C363" s="926" t="str">
        <f>+NOMINA!D352</f>
        <v>Arroyo Williams Jose</v>
      </c>
      <c r="D363" s="926" t="str">
        <f>+NOMINA!O352</f>
        <v>Ayudante de Servicios Generales</v>
      </c>
      <c r="E363" s="929">
        <f>+NOMINA!H352</f>
        <v>44805</v>
      </c>
      <c r="F363" s="930">
        <f>+NOMINA!BN352</f>
        <v>3.89</v>
      </c>
      <c r="G363" s="599"/>
      <c r="H363" s="600"/>
      <c r="I363" s="600"/>
      <c r="J363" s="600"/>
      <c r="K363" s="600"/>
    </row>
    <row r="364" spans="1:11" ht="15.75" customHeight="1" x14ac:dyDescent="0.25">
      <c r="A364" s="928">
        <f t="shared" si="5"/>
        <v>49</v>
      </c>
      <c r="B364" s="926">
        <f>+NOMINA!C353</f>
        <v>13996661</v>
      </c>
      <c r="C364" s="926" t="str">
        <f>+NOMINA!D353</f>
        <v>Perez Montilla Yosmer Alexander</v>
      </c>
      <c r="D364" s="926" t="str">
        <f>+NOMINA!O353</f>
        <v>Chofer</v>
      </c>
      <c r="E364" s="929">
        <f>+NOMINA!H353</f>
        <v>44743</v>
      </c>
      <c r="F364" s="930">
        <f>+NOMINA!BN353</f>
        <v>4.3899999999999997</v>
      </c>
      <c r="G364" s="599"/>
      <c r="H364" s="600"/>
      <c r="I364" s="600"/>
      <c r="J364" s="600"/>
      <c r="K364" s="600"/>
    </row>
    <row r="365" spans="1:11" ht="15.75" customHeight="1" x14ac:dyDescent="0.25">
      <c r="A365" s="928">
        <f t="shared" si="5"/>
        <v>50</v>
      </c>
      <c r="B365" s="926">
        <f>+NOMINA!C354</f>
        <v>13996885</v>
      </c>
      <c r="C365" s="926" t="str">
        <f>+NOMINA!D354</f>
        <v>Pulido Rojo Wilmer Jose</v>
      </c>
      <c r="D365" s="926" t="str">
        <f>+NOMINA!O354</f>
        <v>Chofer</v>
      </c>
      <c r="E365" s="929">
        <f>+NOMINA!H354</f>
        <v>44363</v>
      </c>
      <c r="F365" s="930">
        <f>+NOMINA!BN354</f>
        <v>3.87</v>
      </c>
      <c r="G365" s="599"/>
      <c r="H365" s="600"/>
      <c r="I365" s="600"/>
      <c r="J365" s="600"/>
      <c r="K365" s="600"/>
    </row>
    <row r="366" spans="1:11" ht="15.75" customHeight="1" x14ac:dyDescent="0.25">
      <c r="A366" s="928">
        <f t="shared" si="5"/>
        <v>51</v>
      </c>
      <c r="B366" s="926">
        <f>+NOMINA!C355</f>
        <v>14149971</v>
      </c>
      <c r="C366" s="926" t="str">
        <f>+NOMINA!D355</f>
        <v>Rivera Virginia del Carmen</v>
      </c>
      <c r="D366" s="926" t="str">
        <f>+NOMINA!O355</f>
        <v>Aseadora</v>
      </c>
      <c r="E366" s="929">
        <f>+NOMINA!H355</f>
        <v>41091</v>
      </c>
      <c r="F366" s="930">
        <f>+NOMINA!BN355</f>
        <v>2.8</v>
      </c>
      <c r="G366" s="599"/>
      <c r="H366" s="600"/>
      <c r="I366" s="600"/>
      <c r="J366" s="600"/>
      <c r="K366" s="600"/>
    </row>
    <row r="367" spans="1:11" ht="15.75" customHeight="1" x14ac:dyDescent="0.25">
      <c r="A367" s="928">
        <f t="shared" si="5"/>
        <v>52</v>
      </c>
      <c r="B367" s="926">
        <f>+NOMINA!C356</f>
        <v>14150495</v>
      </c>
      <c r="C367" s="926" t="str">
        <f>+NOMINA!D356</f>
        <v>Umbria de Segovia Alexandra del Carmen</v>
      </c>
      <c r="D367" s="926" t="str">
        <f>+NOMINA!O356</f>
        <v>Ayudante de Almacen</v>
      </c>
      <c r="E367" s="929">
        <f>+NOMINA!H356</f>
        <v>44228</v>
      </c>
      <c r="F367" s="930">
        <f>+NOMINA!BN356</f>
        <v>3.08</v>
      </c>
      <c r="G367" s="599"/>
      <c r="H367" s="600"/>
      <c r="I367" s="600"/>
      <c r="J367" s="600"/>
      <c r="K367" s="600"/>
    </row>
    <row r="368" spans="1:11" ht="15.75" customHeight="1" x14ac:dyDescent="0.25">
      <c r="A368" s="928">
        <f t="shared" si="5"/>
        <v>53</v>
      </c>
      <c r="B368" s="926">
        <f>+NOMINA!C357</f>
        <v>14718369</v>
      </c>
      <c r="C368" s="926" t="str">
        <f>+NOMINA!D357</f>
        <v>Pacheco Yudith del Valle</v>
      </c>
      <c r="D368" s="926" t="str">
        <f>+NOMINA!O357</f>
        <v>Aseadora</v>
      </c>
      <c r="E368" s="929">
        <f>+NOMINA!H357</f>
        <v>43147</v>
      </c>
      <c r="F368" s="930">
        <f>+NOMINA!BN357</f>
        <v>2.7</v>
      </c>
      <c r="G368" s="599"/>
      <c r="H368" s="600"/>
      <c r="I368" s="600"/>
      <c r="J368" s="600"/>
      <c r="K368" s="600"/>
    </row>
    <row r="369" spans="1:11" ht="15.75" customHeight="1" x14ac:dyDescent="0.25">
      <c r="A369" s="928">
        <f t="shared" si="5"/>
        <v>54</v>
      </c>
      <c r="B369" s="926">
        <f>+NOMINA!C358</f>
        <v>14718468</v>
      </c>
      <c r="C369" s="926" t="str">
        <f>+NOMINA!D358</f>
        <v>Frias Aldana Yhonny Ramon</v>
      </c>
      <c r="D369" s="926" t="str">
        <f>+NOMINA!O358</f>
        <v>Ayudante De Almacen</v>
      </c>
      <c r="E369" s="929">
        <f>+NOMINA!H358</f>
        <v>42948</v>
      </c>
      <c r="F369" s="930">
        <f>+NOMINA!BN358</f>
        <v>3.28</v>
      </c>
      <c r="G369" s="599"/>
      <c r="H369" s="600"/>
      <c r="I369" s="600"/>
      <c r="J369" s="600"/>
      <c r="K369" s="600"/>
    </row>
    <row r="370" spans="1:11" ht="15.75" customHeight="1" x14ac:dyDescent="0.25">
      <c r="A370" s="928">
        <f t="shared" si="5"/>
        <v>55</v>
      </c>
      <c r="B370" s="926">
        <f>+NOMINA!C359</f>
        <v>14719205</v>
      </c>
      <c r="C370" s="926" t="str">
        <f>+NOMINA!D359</f>
        <v>Chinchilla Perez Jean Carlos</v>
      </c>
      <c r="D370" s="926" t="str">
        <f>+NOMINA!O359</f>
        <v>Ayudante de Servicios Generales</v>
      </c>
      <c r="E370" s="929">
        <f>+NOMINA!H359</f>
        <v>39861</v>
      </c>
      <c r="F370" s="930">
        <f>+NOMINA!BN359</f>
        <v>3.12</v>
      </c>
      <c r="G370" s="599"/>
      <c r="H370" s="600"/>
      <c r="I370" s="600"/>
      <c r="J370" s="600"/>
      <c r="K370" s="600"/>
    </row>
    <row r="371" spans="1:11" ht="15.75" customHeight="1" x14ac:dyDescent="0.25">
      <c r="A371" s="928">
        <f t="shared" si="5"/>
        <v>56</v>
      </c>
      <c r="B371" s="926">
        <f>+NOMINA!C360</f>
        <v>14719356</v>
      </c>
      <c r="C371" s="926" t="str">
        <f>+NOMINA!D360</f>
        <v>Linares Montilla Gerardo Enrique</v>
      </c>
      <c r="D371" s="926" t="str">
        <f>+NOMINA!O360</f>
        <v>Ayudante de Servicios Generales</v>
      </c>
      <c r="E371" s="929">
        <f>+NOMINA!H360</f>
        <v>44348</v>
      </c>
      <c r="F371" s="930">
        <f>+NOMINA!BN360</f>
        <v>3.13</v>
      </c>
      <c r="G371" s="599"/>
      <c r="H371" s="600"/>
      <c r="I371" s="600"/>
      <c r="J371" s="600"/>
      <c r="K371" s="600"/>
    </row>
    <row r="372" spans="1:11" ht="15.75" customHeight="1" x14ac:dyDescent="0.25">
      <c r="A372" s="928">
        <f t="shared" si="5"/>
        <v>57</v>
      </c>
      <c r="B372" s="926">
        <f>+NOMINA!C361</f>
        <v>14780893</v>
      </c>
      <c r="C372" s="926" t="str">
        <f>+NOMINA!D361</f>
        <v>Perez Gonzalez Reinaldo Andre</v>
      </c>
      <c r="D372" s="926" t="str">
        <f>+NOMINA!O361</f>
        <v>Ayudante de Servicios Generales</v>
      </c>
      <c r="E372" s="929">
        <f>+NOMINA!H361</f>
        <v>41570</v>
      </c>
      <c r="F372" s="930">
        <f>+NOMINA!BN361</f>
        <v>3.01</v>
      </c>
      <c r="G372" s="599"/>
      <c r="H372" s="600"/>
      <c r="I372" s="600"/>
      <c r="J372" s="600"/>
      <c r="K372" s="600"/>
    </row>
    <row r="373" spans="1:11" ht="15.75" customHeight="1" x14ac:dyDescent="0.25">
      <c r="A373" s="928">
        <f t="shared" si="5"/>
        <v>58</v>
      </c>
      <c r="B373" s="926">
        <f>+NOMINA!C362</f>
        <v>14928047</v>
      </c>
      <c r="C373" s="926" t="str">
        <f>+NOMINA!D362</f>
        <v>Becerra Teran Maria Alejandra</v>
      </c>
      <c r="D373" s="926" t="str">
        <f>+NOMINA!O362</f>
        <v>Cocinera</v>
      </c>
      <c r="E373" s="929">
        <f>+NOMINA!H362</f>
        <v>43297</v>
      </c>
      <c r="F373" s="930">
        <f>+NOMINA!BN362</f>
        <v>3.14</v>
      </c>
      <c r="G373" s="599"/>
      <c r="H373" s="600"/>
      <c r="I373" s="600"/>
      <c r="J373" s="600"/>
      <c r="K373" s="600"/>
    </row>
    <row r="374" spans="1:11" ht="15.75" customHeight="1" x14ac:dyDescent="0.25">
      <c r="A374" s="928">
        <f t="shared" si="5"/>
        <v>59</v>
      </c>
      <c r="B374" s="926">
        <f>+NOMINA!C363</f>
        <v>15042683</v>
      </c>
      <c r="C374" s="926" t="str">
        <f>+NOMINA!D363</f>
        <v>Rivera Hermes Edixon</v>
      </c>
      <c r="D374" s="926" t="str">
        <f>+NOMINA!O363</f>
        <v>Aseador</v>
      </c>
      <c r="E374" s="929">
        <f>+NOMINA!H363</f>
        <v>45292</v>
      </c>
      <c r="F374" s="930">
        <f>+NOMINA!BN363</f>
        <v>2.74</v>
      </c>
      <c r="G374" s="599"/>
      <c r="H374" s="600"/>
      <c r="I374" s="600"/>
      <c r="J374" s="600"/>
      <c r="K374" s="600"/>
    </row>
    <row r="375" spans="1:11" ht="15.75" customHeight="1" x14ac:dyDescent="0.25">
      <c r="A375" s="928">
        <f t="shared" si="5"/>
        <v>60</v>
      </c>
      <c r="B375" s="926">
        <f>+NOMINA!C364</f>
        <v>15293784</v>
      </c>
      <c r="C375" s="926" t="str">
        <f>+NOMINA!D364</f>
        <v>Meza Alipio Jose</v>
      </c>
      <c r="D375" s="926" t="str">
        <f>+NOMINA!O364</f>
        <v>Aseador</v>
      </c>
      <c r="E375" s="929">
        <f>+NOMINA!H364</f>
        <v>45778</v>
      </c>
      <c r="F375" s="930">
        <f>+NOMINA!BN364</f>
        <v>2.6</v>
      </c>
      <c r="G375" s="599"/>
      <c r="H375" s="600"/>
      <c r="I375" s="600"/>
      <c r="J375" s="600"/>
      <c r="K375" s="600"/>
    </row>
    <row r="376" spans="1:11" ht="15.75" customHeight="1" x14ac:dyDescent="0.25">
      <c r="A376" s="928">
        <f t="shared" si="5"/>
        <v>61</v>
      </c>
      <c r="B376" s="926">
        <f>+NOMINA!C365</f>
        <v>15583194</v>
      </c>
      <c r="C376" s="926" t="str">
        <f>+NOMINA!D365</f>
        <v>Garcia Briceño Wuiston Andres</v>
      </c>
      <c r="D376" s="926" t="str">
        <f>+NOMINA!O365</f>
        <v>Cocinero</v>
      </c>
      <c r="E376" s="929">
        <f>+NOMINA!H365</f>
        <v>44166</v>
      </c>
      <c r="F376" s="930">
        <f>+NOMINA!BN365</f>
        <v>3.37</v>
      </c>
      <c r="G376" s="599"/>
      <c r="H376" s="600"/>
      <c r="I376" s="600"/>
      <c r="J376" s="600"/>
      <c r="K376" s="600"/>
    </row>
    <row r="377" spans="1:11" ht="15.75" customHeight="1" x14ac:dyDescent="0.25">
      <c r="A377" s="928">
        <f t="shared" si="5"/>
        <v>62</v>
      </c>
      <c r="B377" s="926">
        <f>+NOMINA!C366</f>
        <v>14928592</v>
      </c>
      <c r="C377" s="926" t="str">
        <f>+NOMINA!D366</f>
        <v>Rosales Ruiz Jesus Alberto</v>
      </c>
      <c r="D377" s="926" t="str">
        <f>+NOMINA!O366</f>
        <v>Cocinero</v>
      </c>
      <c r="E377" s="929">
        <f>+NOMINA!H366</f>
        <v>45017</v>
      </c>
      <c r="F377" s="930">
        <f>+NOMINA!BN366</f>
        <v>3.04</v>
      </c>
      <c r="G377" s="599"/>
      <c r="H377" s="600"/>
      <c r="I377" s="600"/>
      <c r="J377" s="600"/>
      <c r="K377" s="600"/>
    </row>
    <row r="378" spans="1:11" ht="15.75" customHeight="1" x14ac:dyDescent="0.25">
      <c r="A378" s="928">
        <f t="shared" si="5"/>
        <v>63</v>
      </c>
      <c r="B378" s="926">
        <f>+NOMINA!C367</f>
        <v>15952512</v>
      </c>
      <c r="C378" s="926" t="str">
        <f>+NOMINA!D367</f>
        <v>Graterol Gonzalez Maria Ysela</v>
      </c>
      <c r="D378" s="926" t="str">
        <f>+NOMINA!O367</f>
        <v>Aseadora</v>
      </c>
      <c r="E378" s="929">
        <f>+NOMINA!H367</f>
        <v>40725</v>
      </c>
      <c r="F378" s="930">
        <f>+NOMINA!BN367</f>
        <v>2.82</v>
      </c>
      <c r="G378" s="599"/>
      <c r="H378" s="600"/>
      <c r="I378" s="600"/>
      <c r="J378" s="600"/>
      <c r="K378" s="600"/>
    </row>
    <row r="379" spans="1:11" ht="15.75" customHeight="1" x14ac:dyDescent="0.25">
      <c r="A379" s="928">
        <f t="shared" si="5"/>
        <v>64</v>
      </c>
      <c r="B379" s="926">
        <f>+NOMINA!C368</f>
        <v>15953703</v>
      </c>
      <c r="C379" s="926" t="str">
        <f>+NOMINA!D368</f>
        <v>Briceño Salas Jose Leonardo</v>
      </c>
      <c r="D379" s="926" t="str">
        <f>+NOMINA!O368</f>
        <v>Ayudante de Servicios Generales</v>
      </c>
      <c r="E379" s="929">
        <f>+NOMINA!H368</f>
        <v>38718</v>
      </c>
      <c r="F379" s="930">
        <f>+NOMINA!BN368</f>
        <v>3.44</v>
      </c>
      <c r="G379" s="599"/>
      <c r="H379" s="600"/>
      <c r="I379" s="600"/>
      <c r="J379" s="600"/>
      <c r="K379" s="600"/>
    </row>
    <row r="380" spans="1:11" ht="15.75" customHeight="1" x14ac:dyDescent="0.25">
      <c r="A380" s="928">
        <f t="shared" si="5"/>
        <v>65</v>
      </c>
      <c r="B380" s="926">
        <f>+NOMINA!C369</f>
        <v>16266801</v>
      </c>
      <c r="C380" s="926" t="str">
        <f>+NOMINA!D369</f>
        <v>Briceño Gonzalez Mirla Carolina</v>
      </c>
      <c r="D380" s="926" t="str">
        <f>+NOMINA!O369</f>
        <v>Cocinera</v>
      </c>
      <c r="E380" s="929">
        <f>+NOMINA!H369</f>
        <v>39496</v>
      </c>
      <c r="F380" s="930">
        <f>+NOMINA!BN369</f>
        <v>3.5</v>
      </c>
      <c r="G380" s="599"/>
      <c r="H380" s="600"/>
      <c r="I380" s="600"/>
      <c r="J380" s="600"/>
      <c r="K380" s="600"/>
    </row>
    <row r="381" spans="1:11" ht="15.75" customHeight="1" x14ac:dyDescent="0.25">
      <c r="A381" s="928">
        <f t="shared" si="5"/>
        <v>66</v>
      </c>
      <c r="B381" s="926">
        <f>+NOMINA!C370</f>
        <v>16739958</v>
      </c>
      <c r="C381" s="926" t="str">
        <f>+NOMINA!D370</f>
        <v>Ramirez Ramirez Natali Gabriela</v>
      </c>
      <c r="D381" s="926" t="str">
        <f>+NOMINA!O370</f>
        <v>Ayud. Serv. De Cocina</v>
      </c>
      <c r="E381" s="929">
        <f>+NOMINA!H370</f>
        <v>44866</v>
      </c>
      <c r="F381" s="930">
        <f>+NOMINA!BN370</f>
        <v>3</v>
      </c>
      <c r="G381" s="599"/>
      <c r="H381" s="600"/>
      <c r="I381" s="600"/>
      <c r="J381" s="600"/>
      <c r="K381" s="600"/>
    </row>
    <row r="382" spans="1:11" ht="15.75" customHeight="1" x14ac:dyDescent="0.25">
      <c r="A382" s="928">
        <f t="shared" ref="A382:A407" si="6">+A381+1</f>
        <v>67</v>
      </c>
      <c r="B382" s="926">
        <f>+NOMINA!C371</f>
        <v>16881526</v>
      </c>
      <c r="C382" s="926" t="str">
        <f>+NOMINA!D371</f>
        <v>Montilla Mendoza Addy Coromoto</v>
      </c>
      <c r="D382" s="926" t="str">
        <f>+NOMINA!O371</f>
        <v>Aseador</v>
      </c>
      <c r="E382" s="929">
        <f>+NOMINA!H371</f>
        <v>44470</v>
      </c>
      <c r="F382" s="930">
        <f>+NOMINA!BN371</f>
        <v>2.89</v>
      </c>
      <c r="G382" s="599"/>
      <c r="H382" s="600"/>
      <c r="I382" s="600"/>
      <c r="J382" s="600"/>
      <c r="K382" s="600"/>
    </row>
    <row r="383" spans="1:11" ht="15.75" customHeight="1" x14ac:dyDescent="0.25">
      <c r="A383" s="928">
        <f t="shared" si="6"/>
        <v>68</v>
      </c>
      <c r="B383" s="926">
        <f>+NOMINA!C372</f>
        <v>17093567</v>
      </c>
      <c r="C383" s="926" t="str">
        <f>+NOMINA!D372</f>
        <v>Torres Villarreal Yenny del Carmen</v>
      </c>
      <c r="D383" s="926" t="str">
        <f>+NOMINA!O372</f>
        <v>Ayudante de Servicios Generales</v>
      </c>
      <c r="E383" s="929">
        <f>+NOMINA!H372</f>
        <v>39449</v>
      </c>
      <c r="F383" s="930">
        <f>+NOMINA!BN372</f>
        <v>3.14</v>
      </c>
      <c r="G383" s="599"/>
      <c r="H383" s="600"/>
      <c r="I383" s="600"/>
      <c r="J383" s="600"/>
      <c r="K383" s="600"/>
    </row>
    <row r="384" spans="1:11" ht="15.75" customHeight="1" x14ac:dyDescent="0.25">
      <c r="A384" s="928">
        <f t="shared" si="6"/>
        <v>69</v>
      </c>
      <c r="B384" s="926">
        <f>+NOMINA!C373</f>
        <v>17093846</v>
      </c>
      <c r="C384" s="926" t="str">
        <f>+NOMINA!D373</f>
        <v>Bastidas Rivera Junior Antonio</v>
      </c>
      <c r="D384" s="926" t="str">
        <f>+NOMINA!O373</f>
        <v>Ayudante de Servicios Generales</v>
      </c>
      <c r="E384" s="929">
        <f>+NOMINA!H373</f>
        <v>45017</v>
      </c>
      <c r="F384" s="930">
        <f>+NOMINA!BN373</f>
        <v>2.85</v>
      </c>
      <c r="G384" s="599"/>
      <c r="H384" s="600"/>
      <c r="I384" s="600"/>
      <c r="J384" s="600"/>
      <c r="K384" s="600"/>
    </row>
    <row r="385" spans="1:11" ht="15.75" customHeight="1" x14ac:dyDescent="0.25">
      <c r="A385" s="928">
        <f t="shared" si="6"/>
        <v>70</v>
      </c>
      <c r="B385" s="926">
        <f>+NOMINA!C374</f>
        <v>17095084</v>
      </c>
      <c r="C385" s="926" t="str">
        <f>+NOMINA!D374</f>
        <v>Gonzalez Simancas Yulimar del Valle</v>
      </c>
      <c r="D385" s="926" t="str">
        <f>+NOMINA!O374</f>
        <v>Cocinera</v>
      </c>
      <c r="E385" s="929">
        <f>+NOMINA!H374</f>
        <v>44317</v>
      </c>
      <c r="F385" s="930">
        <f>+NOMINA!BN374</f>
        <v>3.33</v>
      </c>
      <c r="G385" s="599"/>
      <c r="H385" s="600"/>
      <c r="I385" s="600"/>
      <c r="J385" s="600"/>
      <c r="K385" s="600"/>
    </row>
    <row r="386" spans="1:11" ht="15.75" customHeight="1" x14ac:dyDescent="0.25">
      <c r="A386" s="928">
        <f t="shared" si="6"/>
        <v>71</v>
      </c>
      <c r="B386" s="926">
        <f>+NOMINA!C375</f>
        <v>17267173</v>
      </c>
      <c r="C386" s="926" t="str">
        <f>+NOMINA!D375</f>
        <v>Torres Alvarez Olga Josefina</v>
      </c>
      <c r="D386" s="926" t="str">
        <f>+NOMINA!O375</f>
        <v>Ayudante de Almacen</v>
      </c>
      <c r="E386" s="929">
        <f>+NOMINA!H375</f>
        <v>44317</v>
      </c>
      <c r="F386" s="930">
        <f>+NOMINA!BN375</f>
        <v>3.2</v>
      </c>
      <c r="G386" s="599"/>
      <c r="H386" s="600"/>
      <c r="I386" s="600"/>
      <c r="J386" s="600"/>
      <c r="K386" s="600"/>
    </row>
    <row r="387" spans="1:11" ht="15.75" customHeight="1" x14ac:dyDescent="0.25">
      <c r="A387" s="928">
        <f t="shared" si="6"/>
        <v>72</v>
      </c>
      <c r="B387" s="926">
        <f>+NOMINA!C376</f>
        <v>17267546</v>
      </c>
      <c r="C387" s="926" t="str">
        <f>+NOMINA!D376</f>
        <v>Bastidas Rivera Franklin Enrique</v>
      </c>
      <c r="D387" s="926" t="str">
        <f>+NOMINA!O376</f>
        <v>Ayudante de Servicios Generales</v>
      </c>
      <c r="E387" s="929">
        <f>+NOMINA!H376</f>
        <v>39197</v>
      </c>
      <c r="F387" s="930">
        <f>+NOMINA!BN376</f>
        <v>3.29</v>
      </c>
      <c r="G387" s="599"/>
      <c r="H387" s="600"/>
      <c r="I387" s="600"/>
      <c r="J387" s="600"/>
      <c r="K387" s="600"/>
    </row>
    <row r="388" spans="1:11" ht="15.75" customHeight="1" x14ac:dyDescent="0.25">
      <c r="A388" s="928">
        <f t="shared" si="6"/>
        <v>73</v>
      </c>
      <c r="B388" s="926">
        <f>+NOMINA!C377</f>
        <v>18096032</v>
      </c>
      <c r="C388" s="926" t="str">
        <f>+NOMINA!D377</f>
        <v>Graterol Graterol Isidro Antonio</v>
      </c>
      <c r="D388" s="926" t="str">
        <f>+NOMINA!O377</f>
        <v>Chofer</v>
      </c>
      <c r="E388" s="929">
        <f>+NOMINA!H377</f>
        <v>45566</v>
      </c>
      <c r="F388" s="930">
        <f>+NOMINA!BN377</f>
        <v>4.5199999999999996</v>
      </c>
      <c r="G388" s="599"/>
      <c r="H388" s="600"/>
      <c r="I388" s="600"/>
      <c r="J388" s="600"/>
      <c r="K388" s="600"/>
    </row>
    <row r="389" spans="1:11" ht="15.75" customHeight="1" x14ac:dyDescent="0.25">
      <c r="A389" s="928">
        <f t="shared" si="6"/>
        <v>74</v>
      </c>
      <c r="B389" s="926">
        <f>+NOMINA!C378</f>
        <v>18096338</v>
      </c>
      <c r="C389" s="926" t="str">
        <f>+NOMINA!D378</f>
        <v>Ramirez Manzanilla Jose Jesus</v>
      </c>
      <c r="D389" s="926" t="str">
        <f>+NOMINA!O378</f>
        <v>Cocinero</v>
      </c>
      <c r="E389" s="929">
        <f>+NOMINA!H378</f>
        <v>39463</v>
      </c>
      <c r="F389" s="930">
        <f>+NOMINA!BN378</f>
        <v>3.58</v>
      </c>
      <c r="G389" s="599"/>
      <c r="H389" s="600"/>
      <c r="I389" s="600"/>
      <c r="J389" s="600"/>
      <c r="K389" s="600"/>
    </row>
    <row r="390" spans="1:11" ht="15.75" customHeight="1" x14ac:dyDescent="0.25">
      <c r="A390" s="928">
        <f t="shared" si="6"/>
        <v>75</v>
      </c>
      <c r="B390" s="926">
        <f>+NOMINA!C379</f>
        <v>18350780</v>
      </c>
      <c r="C390" s="926" t="str">
        <f>+NOMINA!D379</f>
        <v>Frias Aldana Giovanny Jacinto</v>
      </c>
      <c r="D390" s="926" t="str">
        <f>+NOMINA!O379</f>
        <v>Vigilante</v>
      </c>
      <c r="E390" s="929">
        <f>+NOMINA!H379</f>
        <v>43116</v>
      </c>
      <c r="F390" s="930">
        <f>+NOMINA!BN379</f>
        <v>4.24</v>
      </c>
      <c r="G390" s="599"/>
      <c r="H390" s="600"/>
      <c r="I390" s="600"/>
      <c r="J390" s="600"/>
      <c r="K390" s="600"/>
    </row>
    <row r="391" spans="1:11" ht="15.75" customHeight="1" x14ac:dyDescent="0.25">
      <c r="A391" s="928">
        <f t="shared" si="6"/>
        <v>76</v>
      </c>
      <c r="B391" s="926">
        <f>+NOMINA!C380</f>
        <v>18456167</v>
      </c>
      <c r="C391" s="926" t="str">
        <f>+NOMINA!D380</f>
        <v>Olmos Linares Luis Alberto</v>
      </c>
      <c r="D391" s="926" t="str">
        <f>+NOMINA!O380</f>
        <v>Cocinero</v>
      </c>
      <c r="E391" s="929">
        <f>+NOMINA!H380</f>
        <v>44516</v>
      </c>
      <c r="F391" s="930">
        <f>+NOMINA!BN380</f>
        <v>3.31</v>
      </c>
      <c r="G391" s="599"/>
      <c r="H391" s="600"/>
      <c r="I391" s="600"/>
      <c r="J391" s="600"/>
      <c r="K391" s="600"/>
    </row>
    <row r="392" spans="1:11" ht="15.75" customHeight="1" x14ac:dyDescent="0.25">
      <c r="A392" s="928">
        <f t="shared" si="6"/>
        <v>77</v>
      </c>
      <c r="B392" s="926">
        <f>+NOMINA!C381</f>
        <v>18456576</v>
      </c>
      <c r="C392" s="926" t="str">
        <f>+NOMINA!D381</f>
        <v>Quintero Duran Emilio Alfonso</v>
      </c>
      <c r="D392" s="926" t="str">
        <f>+NOMINA!O381</f>
        <v>Chofer</v>
      </c>
      <c r="E392" s="929">
        <f>+NOMINA!H381</f>
        <v>44743</v>
      </c>
      <c r="F392" s="930">
        <f>+NOMINA!BN381</f>
        <v>4.17</v>
      </c>
      <c r="G392" s="599"/>
      <c r="H392" s="600"/>
      <c r="I392" s="600"/>
      <c r="J392" s="600"/>
      <c r="K392" s="600"/>
    </row>
    <row r="393" spans="1:11" ht="15.75" customHeight="1" x14ac:dyDescent="0.25">
      <c r="A393" s="928">
        <f t="shared" si="6"/>
        <v>78</v>
      </c>
      <c r="B393" s="926">
        <f>+NOMINA!C382</f>
        <v>20039961</v>
      </c>
      <c r="C393" s="926" t="str">
        <f>+NOMINA!D382</f>
        <v>Torres Villarreal Lisbeth Carolina</v>
      </c>
      <c r="D393" s="926" t="str">
        <f>+NOMINA!O382</f>
        <v>Aseadora</v>
      </c>
      <c r="E393" s="929">
        <f>+NOMINA!H382</f>
        <v>38412</v>
      </c>
      <c r="F393" s="930">
        <f>+NOMINA!BN382</f>
        <v>3.19</v>
      </c>
      <c r="G393" s="599"/>
      <c r="H393" s="600"/>
      <c r="I393" s="600"/>
      <c r="J393" s="600"/>
      <c r="K393" s="600"/>
    </row>
    <row r="394" spans="1:11" ht="15.75" customHeight="1" x14ac:dyDescent="0.25">
      <c r="A394" s="928">
        <f t="shared" si="6"/>
        <v>79</v>
      </c>
      <c r="B394" s="926">
        <f>+NOMINA!C383</f>
        <v>20040649</v>
      </c>
      <c r="C394" s="926" t="str">
        <f>+NOMINA!D383</f>
        <v>Isarra Materan Jose de La Paz</v>
      </c>
      <c r="D394" s="926" t="str">
        <f>+NOMINA!O383</f>
        <v>Chofer</v>
      </c>
      <c r="E394" s="929">
        <f>+NOMINA!H383</f>
        <v>44743</v>
      </c>
      <c r="F394" s="930">
        <f>+NOMINA!BN383</f>
        <v>4.17</v>
      </c>
      <c r="G394" s="599"/>
      <c r="H394" s="600"/>
      <c r="I394" s="600"/>
      <c r="J394" s="600"/>
      <c r="K394" s="600"/>
    </row>
    <row r="395" spans="1:11" ht="15.75" customHeight="1" x14ac:dyDescent="0.25">
      <c r="A395" s="928">
        <f t="shared" si="6"/>
        <v>80</v>
      </c>
      <c r="B395" s="926">
        <f>+NOMINA!C384</f>
        <v>20788036</v>
      </c>
      <c r="C395" s="926" t="str">
        <f>+NOMINA!D384</f>
        <v>Cabrera Duran Albert Josue</v>
      </c>
      <c r="D395" s="926" t="str">
        <f>+NOMINA!O384</f>
        <v>Vigilante</v>
      </c>
      <c r="E395" s="929">
        <f>+NOMINA!H384</f>
        <v>45778</v>
      </c>
      <c r="F395" s="930">
        <f>+NOMINA!BN384</f>
        <v>3.26</v>
      </c>
      <c r="G395" s="599"/>
      <c r="H395" s="600"/>
      <c r="I395" s="600"/>
      <c r="J395" s="600"/>
      <c r="K395" s="600"/>
    </row>
    <row r="396" spans="1:11" ht="15.75" customHeight="1" x14ac:dyDescent="0.25">
      <c r="A396" s="928">
        <f t="shared" si="6"/>
        <v>81</v>
      </c>
      <c r="B396" s="926">
        <f>+NOMINA!C385</f>
        <v>21366579</v>
      </c>
      <c r="C396" s="926" t="str">
        <f>+NOMINA!D385</f>
        <v>Azuaje Espinoza Erick Enrique</v>
      </c>
      <c r="D396" s="926" t="str">
        <f>+NOMINA!O385</f>
        <v>Mensajero</v>
      </c>
      <c r="E396" s="929">
        <f>+NOMINA!H385</f>
        <v>44774</v>
      </c>
      <c r="F396" s="930">
        <f>+NOMINA!BN385</f>
        <v>2.89</v>
      </c>
      <c r="G396" s="599"/>
      <c r="H396" s="600"/>
      <c r="I396" s="600"/>
      <c r="J396" s="600"/>
      <c r="K396" s="600"/>
    </row>
    <row r="397" spans="1:11" ht="15.75" customHeight="1" x14ac:dyDescent="0.25">
      <c r="A397" s="928">
        <f t="shared" si="6"/>
        <v>82</v>
      </c>
      <c r="B397" s="926">
        <f>+NOMINA!C386</f>
        <v>23594381</v>
      </c>
      <c r="C397" s="926" t="str">
        <f>+NOMINA!D386</f>
        <v>Albornoz Montilla Daniel Enrique</v>
      </c>
      <c r="D397" s="926" t="str">
        <f>+NOMINA!O386</f>
        <v>Ayudante de Servicios Generales</v>
      </c>
      <c r="E397" s="929">
        <f>+NOMINA!H386</f>
        <v>45597</v>
      </c>
      <c r="F397" s="930">
        <f>+NOMINA!BN386</f>
        <v>2.72</v>
      </c>
      <c r="G397" s="599"/>
      <c r="H397" s="600"/>
      <c r="I397" s="600"/>
      <c r="J397" s="600"/>
      <c r="K397" s="600"/>
    </row>
    <row r="398" spans="1:11" ht="15.75" customHeight="1" x14ac:dyDescent="0.25">
      <c r="A398" s="928">
        <f t="shared" si="6"/>
        <v>83</v>
      </c>
      <c r="B398" s="926">
        <f>+NOMINA!C387</f>
        <v>25173228</v>
      </c>
      <c r="C398" s="926" t="str">
        <f>+NOMINA!D387</f>
        <v>Davila Sanchez Eduar Alexander</v>
      </c>
      <c r="D398" s="926" t="str">
        <f>+NOMINA!O387</f>
        <v>Ayudante de Servicios Generales</v>
      </c>
      <c r="E398" s="929">
        <f>+NOMINA!H387</f>
        <v>44531</v>
      </c>
      <c r="F398" s="930">
        <f>+NOMINA!BN387</f>
        <v>4.05</v>
      </c>
      <c r="G398" s="599"/>
      <c r="H398" s="600"/>
      <c r="I398" s="600"/>
      <c r="J398" s="600"/>
      <c r="K398" s="600"/>
    </row>
    <row r="399" spans="1:11" ht="15.75" customHeight="1" x14ac:dyDescent="0.25">
      <c r="A399" s="928">
        <f t="shared" si="6"/>
        <v>84</v>
      </c>
      <c r="B399" s="926">
        <f>+NOMINA!C388</f>
        <v>25631811</v>
      </c>
      <c r="C399" s="926" t="str">
        <f>+NOMINA!D388</f>
        <v>Barrios Briceño Christian Xavier</v>
      </c>
      <c r="D399" s="926" t="str">
        <f>+NOMINA!O388</f>
        <v>Cocinero</v>
      </c>
      <c r="E399" s="929">
        <f>+NOMINA!H388</f>
        <v>44440</v>
      </c>
      <c r="F399" s="930">
        <f>+NOMINA!BN388</f>
        <v>3.08</v>
      </c>
      <c r="G399" s="599"/>
      <c r="H399" s="600"/>
      <c r="I399" s="600"/>
      <c r="J399" s="600"/>
      <c r="K399" s="600"/>
    </row>
    <row r="400" spans="1:11" ht="15.75" customHeight="1" x14ac:dyDescent="0.25">
      <c r="A400" s="928">
        <f t="shared" si="6"/>
        <v>85</v>
      </c>
      <c r="B400" s="926">
        <f>+NOMINA!C389</f>
        <v>25919888</v>
      </c>
      <c r="C400" s="926" t="str">
        <f>+NOMINA!D389</f>
        <v>Rivero Lamus Ninoska del Valle</v>
      </c>
      <c r="D400" s="926" t="str">
        <f>+NOMINA!O389</f>
        <v>Aseadora</v>
      </c>
      <c r="E400" s="929">
        <f>+NOMINA!H389</f>
        <v>44805</v>
      </c>
      <c r="F400" s="930">
        <f>+NOMINA!BN389</f>
        <v>2.89</v>
      </c>
      <c r="G400" s="599"/>
      <c r="H400" s="600"/>
      <c r="I400" s="600"/>
      <c r="J400" s="600"/>
      <c r="K400" s="600"/>
    </row>
    <row r="401" spans="1:11" ht="15.75" customHeight="1" x14ac:dyDescent="0.25">
      <c r="A401" s="928">
        <f t="shared" si="6"/>
        <v>86</v>
      </c>
      <c r="B401" s="926">
        <f>+NOMINA!C390</f>
        <v>26235670</v>
      </c>
      <c r="C401" s="926" t="str">
        <f>+NOMINA!D390</f>
        <v>Viloria Garcia Kieny Keyvit</v>
      </c>
      <c r="D401" s="926" t="str">
        <f>+NOMINA!O390</f>
        <v>Ayudante de Servicios Generales</v>
      </c>
      <c r="E401" s="929">
        <f>+NOMINA!H390</f>
        <v>45597</v>
      </c>
      <c r="F401" s="930">
        <f>+NOMINA!BN390</f>
        <v>2.85</v>
      </c>
      <c r="G401" s="599"/>
      <c r="H401" s="600"/>
      <c r="I401" s="600"/>
      <c r="J401" s="600"/>
      <c r="K401" s="600"/>
    </row>
    <row r="402" spans="1:11" ht="15.75" customHeight="1" x14ac:dyDescent="0.25">
      <c r="A402" s="928">
        <f t="shared" si="6"/>
        <v>87</v>
      </c>
      <c r="B402" s="926">
        <f>+NOMINA!C391</f>
        <v>26482867</v>
      </c>
      <c r="C402" s="926" t="str">
        <f>+NOMINA!D391</f>
        <v>Valecillos Duran Brando Jose</v>
      </c>
      <c r="D402" s="926" t="str">
        <f>+NOMINA!O391</f>
        <v>Ayudante de Servicios Generales</v>
      </c>
      <c r="E402" s="929">
        <f>+NOMINA!H391</f>
        <v>45078</v>
      </c>
      <c r="F402" s="930">
        <f>+NOMINA!BN391</f>
        <v>2.85</v>
      </c>
      <c r="G402" s="599"/>
      <c r="H402" s="600"/>
      <c r="I402" s="600"/>
      <c r="J402" s="600"/>
      <c r="K402" s="600"/>
    </row>
    <row r="403" spans="1:11" ht="15.75" customHeight="1" x14ac:dyDescent="0.25">
      <c r="A403" s="928">
        <f t="shared" si="6"/>
        <v>88</v>
      </c>
      <c r="B403" s="926">
        <f>+NOMINA!C392</f>
        <v>27415509</v>
      </c>
      <c r="C403" s="926" t="str">
        <f>+NOMINA!D392</f>
        <v>Barreto Rivero Luis Diego</v>
      </c>
      <c r="D403" s="926" t="str">
        <f>+NOMINA!O392</f>
        <v>Ayudante de Servicios Generales</v>
      </c>
      <c r="E403" s="929">
        <f>+NOMINA!H392</f>
        <v>43678</v>
      </c>
      <c r="F403" s="930">
        <f>+NOMINA!BN392</f>
        <v>2.91</v>
      </c>
      <c r="G403" s="599"/>
      <c r="H403" s="600"/>
      <c r="I403" s="600"/>
      <c r="J403" s="600"/>
      <c r="K403" s="600"/>
    </row>
    <row r="404" spans="1:11" ht="15.75" customHeight="1" x14ac:dyDescent="0.25">
      <c r="A404" s="928">
        <f t="shared" si="6"/>
        <v>89</v>
      </c>
      <c r="B404" s="926">
        <f>+NOMINA!C393</f>
        <v>27470077</v>
      </c>
      <c r="C404" s="926" t="str">
        <f>+NOMINA!D393</f>
        <v>Gonzalez Castellanos Yusberly Yohandri</v>
      </c>
      <c r="D404" s="926" t="str">
        <f>+NOMINA!O393</f>
        <v>Aseadora</v>
      </c>
      <c r="E404" s="929">
        <f>+NOMINA!H393</f>
        <v>44743</v>
      </c>
      <c r="F404" s="930">
        <f>+NOMINA!BN393</f>
        <v>2.76</v>
      </c>
      <c r="G404" s="599"/>
      <c r="H404" s="600"/>
      <c r="I404" s="600"/>
      <c r="J404" s="600"/>
      <c r="K404" s="600"/>
    </row>
    <row r="405" spans="1:11" ht="15.75" customHeight="1" x14ac:dyDescent="0.25">
      <c r="A405" s="928">
        <f t="shared" si="6"/>
        <v>90</v>
      </c>
      <c r="B405" s="926">
        <f>+NOMINA!C394</f>
        <v>29539270</v>
      </c>
      <c r="C405" s="926" t="str">
        <f>+NOMINA!D394</f>
        <v>Rojas Carrillo Laureano Augusto</v>
      </c>
      <c r="D405" s="926" t="str">
        <f>+NOMINA!O394</f>
        <v>Ayudante de Servicios Generales</v>
      </c>
      <c r="E405" s="929">
        <f>+NOMINA!H394</f>
        <v>44287</v>
      </c>
      <c r="F405" s="930">
        <f>+NOMINA!BN394</f>
        <v>2.88</v>
      </c>
      <c r="G405" s="599"/>
      <c r="H405" s="600"/>
      <c r="I405" s="600"/>
      <c r="J405" s="600"/>
      <c r="K405" s="600"/>
    </row>
    <row r="406" spans="1:11" ht="15.75" customHeight="1" x14ac:dyDescent="0.25">
      <c r="A406" s="928">
        <f t="shared" si="6"/>
        <v>91</v>
      </c>
      <c r="B406" s="926">
        <f>+NOMINA!C395</f>
        <v>29994277</v>
      </c>
      <c r="C406" s="926" t="str">
        <f>+NOMINA!D395</f>
        <v>Quintero Rangel Jose Arsenio</v>
      </c>
      <c r="D406" s="926" t="str">
        <f>+NOMINA!O395</f>
        <v>Ayudante de Servicios Generales</v>
      </c>
      <c r="E406" s="929">
        <f>+NOMINA!H395</f>
        <v>44562</v>
      </c>
      <c r="F406" s="930">
        <f>+NOMINA!BN395</f>
        <v>2.87</v>
      </c>
      <c r="G406" s="599"/>
      <c r="H406" s="600"/>
      <c r="I406" s="600"/>
      <c r="J406" s="600"/>
      <c r="K406" s="600"/>
    </row>
    <row r="407" spans="1:11" ht="15.75" customHeight="1" thickBot="1" x14ac:dyDescent="0.3">
      <c r="A407" s="928">
        <f t="shared" si="6"/>
        <v>92</v>
      </c>
      <c r="B407" s="926">
        <f>+NOMINA!C396</f>
        <v>32084560</v>
      </c>
      <c r="C407" s="926" t="str">
        <f>+NOMINA!D396</f>
        <v>Hernandez Gomez Carmen Elena</v>
      </c>
      <c r="D407" s="926" t="str">
        <f>+NOMINA!O396</f>
        <v xml:space="preserve">Cocinera </v>
      </c>
      <c r="E407" s="929">
        <f>+NOMINA!H396</f>
        <v>44348</v>
      </c>
      <c r="F407" s="930">
        <f>+NOMINA!BN396</f>
        <v>3.2</v>
      </c>
      <c r="G407" s="599"/>
      <c r="H407" s="600"/>
      <c r="I407" s="600"/>
      <c r="J407" s="600"/>
      <c r="K407" s="600"/>
    </row>
    <row r="408" spans="1:11" ht="15.75" customHeight="1" thickBot="1" x14ac:dyDescent="0.3">
      <c r="A408" s="928"/>
      <c r="B408" s="926"/>
      <c r="C408" s="926"/>
      <c r="D408" s="926"/>
      <c r="E408" s="607" t="s">
        <v>4493</v>
      </c>
      <c r="F408" s="927">
        <f>SUM(F316:F407)</f>
        <v>294.5</v>
      </c>
      <c r="G408" s="599">
        <f>+NOMINA!BN388</f>
        <v>3.08</v>
      </c>
      <c r="H408" s="600">
        <f>+F408-G408</f>
        <v>291.42</v>
      </c>
      <c r="I408" s="600"/>
      <c r="J408" s="600"/>
      <c r="K408" s="600"/>
    </row>
    <row r="409" spans="1:11" ht="8.25" customHeight="1" thickBot="1" x14ac:dyDescent="0.3">
      <c r="A409" s="933"/>
      <c r="B409" s="934"/>
      <c r="C409" s="935"/>
      <c r="D409" s="935"/>
      <c r="E409" s="936"/>
      <c r="F409" s="937"/>
      <c r="G409" s="599"/>
    </row>
    <row r="410" spans="1:11" ht="19.5" thickBot="1" x14ac:dyDescent="0.35">
      <c r="A410" s="938"/>
      <c r="B410" s="939"/>
      <c r="C410" s="940"/>
      <c r="D410" s="940"/>
      <c r="E410" s="607" t="s">
        <v>5823</v>
      </c>
      <c r="F410" s="941">
        <f>+F408+F307+F38</f>
        <v>1616.8700000000013</v>
      </c>
      <c r="G410" s="599"/>
      <c r="H410" s="600"/>
    </row>
    <row r="411" spans="1:11" ht="13.5" customHeight="1" x14ac:dyDescent="0.25">
      <c r="G411" s="600"/>
      <c r="H411" s="600"/>
    </row>
    <row r="412" spans="1:11" x14ac:dyDescent="0.25">
      <c r="C412" s="595" t="s">
        <v>5815</v>
      </c>
      <c r="E412" s="595" t="s">
        <v>5816</v>
      </c>
    </row>
    <row r="415" spans="1:11" ht="17.25" x14ac:dyDescent="0.3">
      <c r="C415" s="605" t="s">
        <v>5817</v>
      </c>
      <c r="E415" s="606" t="s">
        <v>5818</v>
      </c>
    </row>
    <row r="416" spans="1:11" ht="17.25" x14ac:dyDescent="0.3">
      <c r="C416" s="605" t="s">
        <v>5819</v>
      </c>
      <c r="E416" s="605" t="s">
        <v>5820</v>
      </c>
      <c r="F416" s="609"/>
      <c r="G416" s="609"/>
    </row>
    <row r="417" spans="6:8" x14ac:dyDescent="0.25">
      <c r="F417" s="611"/>
      <c r="G417" s="610"/>
      <c r="H417" s="610"/>
    </row>
    <row r="418" spans="6:8" x14ac:dyDescent="0.25">
      <c r="G418" s="600"/>
      <c r="H418" s="600"/>
    </row>
  </sheetData>
  <mergeCells count="8">
    <mergeCell ref="A8:F8"/>
    <mergeCell ref="A9:F9"/>
    <mergeCell ref="A1:F1"/>
    <mergeCell ref="A2:F2"/>
    <mergeCell ref="A3:F3"/>
    <mergeCell ref="A4:F4"/>
    <mergeCell ref="A5:F5"/>
    <mergeCell ref="A6:F6"/>
  </mergeCells>
  <pageMargins left="0.19685039370078741" right="0.19685039370078741" top="0.98425196850393704" bottom="0.35433070866141736" header="0.31496062992125984" footer="0.31496062992125984"/>
  <pageSetup scale="80" orientation="portrait" r:id="rId1"/>
  <rowBreaks count="2" manualBreakCount="2">
    <brk id="46" max="5" man="1"/>
    <brk id="314" max="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9"/>
  <sheetViews>
    <sheetView view="pageBreakPreview" zoomScaleSheetLayoutView="100" workbookViewId="0">
      <selection activeCell="A8" sqref="A8:G8"/>
    </sheetView>
  </sheetViews>
  <sheetFormatPr baseColWidth="10" defaultRowHeight="15" x14ac:dyDescent="0.25"/>
  <cols>
    <col min="1" max="1" width="5.140625" style="595" customWidth="1"/>
    <col min="2" max="2" width="11.42578125" style="595"/>
    <col min="3" max="3" width="36.140625" style="595" customWidth="1"/>
    <col min="4" max="4" width="36.7109375" style="595" customWidth="1"/>
    <col min="5" max="5" width="10.85546875" style="595" hidden="1" customWidth="1"/>
    <col min="6" max="6" width="14" style="595" bestFit="1" customWidth="1"/>
    <col min="7" max="7" width="13" style="595" bestFit="1" customWidth="1"/>
    <col min="8" max="8" width="13.42578125" style="595" bestFit="1" customWidth="1"/>
    <col min="9" max="9" width="12.7109375" style="595" bestFit="1" customWidth="1"/>
    <col min="10" max="16384" width="11.42578125" style="595"/>
  </cols>
  <sheetData>
    <row r="1" spans="1:12" ht="15" customHeight="1" x14ac:dyDescent="0.25">
      <c r="A1" s="1768" t="s">
        <v>5802</v>
      </c>
      <c r="B1" s="1768"/>
      <c r="C1" s="1768"/>
      <c r="D1" s="1768"/>
      <c r="E1" s="1768"/>
      <c r="F1" s="1768"/>
      <c r="G1" s="1768"/>
      <c r="H1" s="919"/>
    </row>
    <row r="2" spans="1:12" ht="15" customHeight="1" x14ac:dyDescent="0.25">
      <c r="A2" s="1768" t="s">
        <v>5803</v>
      </c>
      <c r="B2" s="1768"/>
      <c r="C2" s="1768"/>
      <c r="D2" s="1768"/>
      <c r="E2" s="1768"/>
      <c r="F2" s="1768"/>
      <c r="G2" s="1768"/>
      <c r="H2" s="919"/>
    </row>
    <row r="3" spans="1:12" ht="15" customHeight="1" x14ac:dyDescent="0.25">
      <c r="A3" s="1768" t="s">
        <v>5804</v>
      </c>
      <c r="B3" s="1768"/>
      <c r="C3" s="1768"/>
      <c r="D3" s="1768"/>
      <c r="E3" s="1768"/>
      <c r="F3" s="1768"/>
      <c r="G3" s="1768"/>
      <c r="H3" s="919"/>
    </row>
    <row r="4" spans="1:12" ht="15" customHeight="1" x14ac:dyDescent="0.25">
      <c r="A4" s="1768" t="s">
        <v>5805</v>
      </c>
      <c r="B4" s="1768"/>
      <c r="C4" s="1768"/>
      <c r="D4" s="1768"/>
      <c r="E4" s="1768"/>
      <c r="F4" s="1768"/>
      <c r="G4" s="1768"/>
      <c r="H4" s="919"/>
    </row>
    <row r="5" spans="1:12" ht="15" customHeight="1" x14ac:dyDescent="0.25">
      <c r="A5" s="1768" t="s">
        <v>5824</v>
      </c>
      <c r="B5" s="1768"/>
      <c r="C5" s="1768"/>
      <c r="D5" s="1768"/>
      <c r="E5" s="1768"/>
      <c r="F5" s="1768"/>
      <c r="G5" s="1768"/>
      <c r="H5" s="919"/>
    </row>
    <row r="6" spans="1:12" x14ac:dyDescent="0.25">
      <c r="A6" s="1768" t="s">
        <v>5806</v>
      </c>
      <c r="B6" s="1768"/>
      <c r="C6" s="1768"/>
      <c r="D6" s="1768"/>
      <c r="E6" s="1768"/>
      <c r="F6" s="1768"/>
      <c r="G6" s="1768"/>
      <c r="H6" s="919"/>
    </row>
    <row r="8" spans="1:12" ht="20.25" customHeight="1" x14ac:dyDescent="0.3">
      <c r="A8" s="1766" t="s">
        <v>5829</v>
      </c>
      <c r="B8" s="1766"/>
      <c r="C8" s="1766"/>
      <c r="D8" s="1766"/>
      <c r="E8" s="1766"/>
      <c r="F8" s="1766"/>
      <c r="G8" s="1766"/>
      <c r="H8" s="918"/>
    </row>
    <row r="9" spans="1:12" ht="18.75" customHeight="1" x14ac:dyDescent="0.3">
      <c r="A9" s="1766" t="str">
        <f>+"Correspondiente al  mes de "&amp;NOMINA!F9&amp;" "&amp;NOMINA!H9</f>
        <v>Correspondiente al  mes de SEPTIEMBRE 2025</v>
      </c>
      <c r="B9" s="1766"/>
      <c r="C9" s="1766"/>
      <c r="D9" s="1766"/>
      <c r="E9" s="1766"/>
      <c r="F9" s="1766"/>
      <c r="G9" s="1766"/>
      <c r="H9" s="918"/>
    </row>
    <row r="11" spans="1:12" ht="25.5" x14ac:dyDescent="0.25">
      <c r="A11" s="924" t="s">
        <v>5555</v>
      </c>
      <c r="B11" s="924" t="s">
        <v>5808</v>
      </c>
      <c r="C11" s="924" t="s">
        <v>5809</v>
      </c>
      <c r="D11" s="924" t="s">
        <v>5810</v>
      </c>
      <c r="E11" s="925" t="s">
        <v>5811</v>
      </c>
      <c r="F11" s="924" t="s">
        <v>2860</v>
      </c>
      <c r="G11" s="924" t="s">
        <v>5826</v>
      </c>
      <c r="H11" s="596"/>
    </row>
    <row r="12" spans="1:12" ht="15.75" customHeight="1" x14ac:dyDescent="0.25">
      <c r="A12" s="597" t="s">
        <v>5813</v>
      </c>
      <c r="B12" s="926"/>
      <c r="C12" s="926"/>
      <c r="D12" s="926"/>
      <c r="E12" s="926"/>
      <c r="F12" s="927"/>
      <c r="G12" s="927"/>
      <c r="H12" s="599"/>
      <c r="I12" s="600"/>
      <c r="J12" s="600"/>
      <c r="K12" s="600"/>
      <c r="L12" s="600"/>
    </row>
    <row r="13" spans="1:12" ht="15.75" customHeight="1" x14ac:dyDescent="0.25">
      <c r="A13" s="928">
        <v>1</v>
      </c>
      <c r="B13" s="926">
        <f>+NOMINA!C17</f>
        <v>11894534</v>
      </c>
      <c r="C13" s="926" t="str">
        <f>+NOMINA!D17</f>
        <v>Olmos Rodriguez Eberto de Jesus</v>
      </c>
      <c r="D13" s="926" t="str">
        <f>+NOMINA!O17</f>
        <v>JEFE DE DEPARTAMENTO</v>
      </c>
      <c r="E13" s="929">
        <f>+NOMINA!H17</f>
        <v>40909</v>
      </c>
      <c r="F13" s="930">
        <f>+NOMINA!BL17</f>
        <v>34.729999999999997</v>
      </c>
      <c r="G13" s="930">
        <f>+NOMINA!BM17</f>
        <v>4.34</v>
      </c>
      <c r="H13" s="599"/>
      <c r="I13" s="600"/>
      <c r="J13" s="600"/>
      <c r="K13" s="600"/>
      <c r="L13" s="600"/>
    </row>
    <row r="14" spans="1:12" ht="15.75" customHeight="1" x14ac:dyDescent="0.25">
      <c r="A14" s="928">
        <f>+A13+1</f>
        <v>2</v>
      </c>
      <c r="B14" s="926">
        <f>+NOMINA!C18</f>
        <v>12458942</v>
      </c>
      <c r="C14" s="926" t="str">
        <f>+NOMINA!D18</f>
        <v>Mendoza Mendoza Mirian del Milagro</v>
      </c>
      <c r="D14" s="926" t="str">
        <f>+NOMINA!O18</f>
        <v>JEFE DE DEPARTAMENTO</v>
      </c>
      <c r="E14" s="929">
        <f>+NOMINA!H18</f>
        <v>44424</v>
      </c>
      <c r="F14" s="930">
        <f>+NOMINA!BL18</f>
        <v>36.11</v>
      </c>
      <c r="G14" s="930">
        <f>+NOMINA!BM18</f>
        <v>4.51</v>
      </c>
      <c r="H14" s="599"/>
      <c r="I14" s="600"/>
      <c r="J14" s="600"/>
      <c r="K14" s="600"/>
      <c r="L14" s="600"/>
    </row>
    <row r="15" spans="1:12" ht="15.75" customHeight="1" x14ac:dyDescent="0.25">
      <c r="A15" s="928">
        <f t="shared" ref="A15:A37" si="0">+A14+1</f>
        <v>3</v>
      </c>
      <c r="B15" s="926">
        <f>+NOMINA!C19</f>
        <v>8719807</v>
      </c>
      <c r="C15" s="926" t="str">
        <f>+NOMINA!D19</f>
        <v>Perez Saavedra Isabel Teresa</v>
      </c>
      <c r="D15" s="926" t="str">
        <f>+NOMINA!O19</f>
        <v>JEFE DE DEPARTAMENTO</v>
      </c>
      <c r="E15" s="929">
        <f>+NOMINA!H19</f>
        <v>39874</v>
      </c>
      <c r="F15" s="930">
        <f>+NOMINA!BL19</f>
        <v>33.89</v>
      </c>
      <c r="G15" s="930">
        <f>+NOMINA!BM19</f>
        <v>4.24</v>
      </c>
      <c r="H15" s="599"/>
      <c r="I15" s="600"/>
      <c r="J15" s="600"/>
      <c r="K15" s="600"/>
      <c r="L15" s="600"/>
    </row>
    <row r="16" spans="1:12" ht="15.75" customHeight="1" x14ac:dyDescent="0.25">
      <c r="A16" s="928">
        <f t="shared" si="0"/>
        <v>4</v>
      </c>
      <c r="B16" s="926">
        <f>+NOMINA!C20</f>
        <v>10404528</v>
      </c>
      <c r="C16" s="926" t="str">
        <f>+NOMINA!D20</f>
        <v>Perez Castellano Javier Horacio</v>
      </c>
      <c r="D16" s="926" t="str">
        <f>+NOMINA!O20</f>
        <v>JEFE DE DEPARTAMENTO</v>
      </c>
      <c r="E16" s="929">
        <f>+NOMINA!H20</f>
        <v>37622</v>
      </c>
      <c r="F16" s="930">
        <f>+NOMINA!BL20</f>
        <v>35.36</v>
      </c>
      <c r="G16" s="930">
        <f>+NOMINA!BM20</f>
        <v>4.42</v>
      </c>
      <c r="H16" s="599"/>
      <c r="I16" s="600"/>
      <c r="J16" s="600"/>
      <c r="K16" s="600"/>
      <c r="L16" s="600"/>
    </row>
    <row r="17" spans="1:12" ht="15.75" customHeight="1" x14ac:dyDescent="0.25">
      <c r="A17" s="928">
        <f t="shared" si="0"/>
        <v>5</v>
      </c>
      <c r="B17" s="926">
        <f>+NOMINA!C21</f>
        <v>9311822</v>
      </c>
      <c r="C17" s="926" t="str">
        <f>+NOMINA!D21</f>
        <v>Rojo Sanchez Alexis Omar</v>
      </c>
      <c r="D17" s="926" t="str">
        <f>+NOMINA!O21</f>
        <v>JEFE DE DEPARTAMENTO</v>
      </c>
      <c r="E17" s="929">
        <f>+NOMINA!H21</f>
        <v>37662</v>
      </c>
      <c r="F17" s="930">
        <f>+NOMINA!BL21</f>
        <v>27.71</v>
      </c>
      <c r="G17" s="930">
        <f>+NOMINA!BM21</f>
        <v>3.46</v>
      </c>
      <c r="H17" s="599"/>
      <c r="I17" s="600"/>
      <c r="J17" s="600"/>
      <c r="K17" s="600"/>
      <c r="L17" s="600"/>
    </row>
    <row r="18" spans="1:12" ht="15.75" customHeight="1" x14ac:dyDescent="0.25">
      <c r="A18" s="928">
        <f t="shared" si="0"/>
        <v>6</v>
      </c>
      <c r="B18" s="926">
        <f>+NOMINA!C22</f>
        <v>21592108</v>
      </c>
      <c r="C18" s="926" t="str">
        <f>+NOMINA!D22</f>
        <v>Coy Andara Darlin Gabriela</v>
      </c>
      <c r="D18" s="926" t="str">
        <f>+NOMINA!O22</f>
        <v>JEFE DE DEPARTAMENTO</v>
      </c>
      <c r="E18" s="929">
        <f>+NOMINA!H22</f>
        <v>43024</v>
      </c>
      <c r="F18" s="930">
        <f>+NOMINA!BL22</f>
        <v>29.48</v>
      </c>
      <c r="G18" s="930">
        <f>+NOMINA!BM22</f>
        <v>3.69</v>
      </c>
      <c r="H18" s="599"/>
      <c r="I18" s="600"/>
      <c r="J18" s="600"/>
      <c r="K18" s="600"/>
      <c r="L18" s="600"/>
    </row>
    <row r="19" spans="1:12" ht="15.75" customHeight="1" x14ac:dyDescent="0.25">
      <c r="A19" s="928">
        <f t="shared" si="0"/>
        <v>7</v>
      </c>
      <c r="B19" s="926">
        <f>+NOMINA!C23</f>
        <v>13206767</v>
      </c>
      <c r="C19" s="926" t="str">
        <f>+NOMINA!D23</f>
        <v>Bastidas Guerra Soralis del Valle</v>
      </c>
      <c r="D19" s="926" t="str">
        <f>+NOMINA!O23</f>
        <v>COORDINADOR DE PROGRAMA (SAPNNAET)</v>
      </c>
      <c r="E19" s="929">
        <f>+NOMINA!H23</f>
        <v>44713</v>
      </c>
      <c r="F19" s="930">
        <f>+NOMINA!BL23</f>
        <v>28.18</v>
      </c>
      <c r="G19" s="930">
        <f>+NOMINA!BM23</f>
        <v>3.52</v>
      </c>
      <c r="H19" s="599"/>
      <c r="I19" s="600"/>
      <c r="J19" s="600"/>
      <c r="K19" s="600"/>
      <c r="L19" s="600"/>
    </row>
    <row r="20" spans="1:12" ht="15.75" customHeight="1" x14ac:dyDescent="0.25">
      <c r="A20" s="928">
        <f t="shared" si="0"/>
        <v>8</v>
      </c>
      <c r="B20" s="926">
        <f>+NOMINA!C24</f>
        <v>13462933</v>
      </c>
      <c r="C20" s="926" t="str">
        <f>+NOMINA!D24</f>
        <v>Frias Aldana Maria Yaritza</v>
      </c>
      <c r="D20" s="926" t="str">
        <f>+NOMINA!O24</f>
        <v>COORDINADOR DE PROGRAMA (SAPNNAET)</v>
      </c>
      <c r="E20" s="929">
        <f>+NOMINA!H24</f>
        <v>39454</v>
      </c>
      <c r="F20" s="930">
        <f>+NOMINA!BL24</f>
        <v>32.950000000000003</v>
      </c>
      <c r="G20" s="930">
        <f>+NOMINA!BM24</f>
        <v>4.12</v>
      </c>
      <c r="H20" s="599"/>
      <c r="I20" s="600"/>
      <c r="J20" s="600"/>
      <c r="K20" s="600"/>
      <c r="L20" s="600"/>
    </row>
    <row r="21" spans="1:12" ht="15.75" customHeight="1" x14ac:dyDescent="0.25">
      <c r="A21" s="928">
        <f t="shared" si="0"/>
        <v>9</v>
      </c>
      <c r="B21" s="926">
        <f>+NOMINA!C25</f>
        <v>12542413</v>
      </c>
      <c r="C21" s="926" t="str">
        <f>+NOMINA!D25</f>
        <v>Aponte Matheus Richard Alexander</v>
      </c>
      <c r="D21" s="926" t="str">
        <f>+NOMINA!O25</f>
        <v>COORDINADOR DE PROGRAMA (SAPNNAET)</v>
      </c>
      <c r="E21" s="929">
        <f>+NOMINA!H25</f>
        <v>36434</v>
      </c>
      <c r="F21" s="930">
        <f>+NOMINA!BL25</f>
        <v>26.88</v>
      </c>
      <c r="G21" s="930">
        <f>+NOMINA!BM25</f>
        <v>3.36</v>
      </c>
      <c r="H21" s="599"/>
      <c r="I21" s="600"/>
      <c r="J21" s="600"/>
      <c r="K21" s="600"/>
      <c r="L21" s="600"/>
    </row>
    <row r="22" spans="1:12" ht="15.75" customHeight="1" x14ac:dyDescent="0.25">
      <c r="A22" s="928">
        <f t="shared" si="0"/>
        <v>10</v>
      </c>
      <c r="B22" s="926">
        <f>+NOMINA!C26</f>
        <v>18457406</v>
      </c>
      <c r="C22" s="926" t="str">
        <f>+NOMINA!D26</f>
        <v>Rivero Zambrano Herluis Jose</v>
      </c>
      <c r="D22" s="926" t="str">
        <f>+NOMINA!O26</f>
        <v>COORDINADOR DE PROGRAMA (SAPNNAET)</v>
      </c>
      <c r="E22" s="929">
        <f>+NOMINA!H26</f>
        <v>41548</v>
      </c>
      <c r="F22" s="930">
        <f>+NOMINA!BL26</f>
        <v>31.51</v>
      </c>
      <c r="G22" s="930">
        <f>+NOMINA!BM26</f>
        <v>3.94</v>
      </c>
      <c r="H22" s="599"/>
      <c r="I22" s="600"/>
      <c r="J22" s="600"/>
      <c r="K22" s="600"/>
      <c r="L22" s="600"/>
    </row>
    <row r="23" spans="1:12" ht="15.75" customHeight="1" x14ac:dyDescent="0.25">
      <c r="A23" s="928">
        <f t="shared" si="0"/>
        <v>11</v>
      </c>
      <c r="B23" s="926">
        <f>+NOMINA!C27</f>
        <v>11895772</v>
      </c>
      <c r="C23" s="926" t="str">
        <f>+NOMINA!D27</f>
        <v>Rangel Rivas Ildemaro</v>
      </c>
      <c r="D23" s="926" t="str">
        <f>+NOMINA!O27</f>
        <v>COORDINADOR DE PROGRAMA (SAPNNAET)</v>
      </c>
      <c r="E23" s="929">
        <f>+NOMINA!H27</f>
        <v>44743</v>
      </c>
      <c r="F23" s="930">
        <f>+NOMINA!BL27</f>
        <v>27.74</v>
      </c>
      <c r="G23" s="930">
        <f>+NOMINA!BM27</f>
        <v>3.47</v>
      </c>
      <c r="H23" s="599"/>
      <c r="I23" s="600"/>
      <c r="J23" s="600"/>
      <c r="K23" s="600"/>
      <c r="L23" s="600"/>
    </row>
    <row r="24" spans="1:12" ht="15.75" customHeight="1" x14ac:dyDescent="0.25">
      <c r="A24" s="928">
        <f t="shared" si="0"/>
        <v>12</v>
      </c>
      <c r="B24" s="926">
        <f>+NOMINA!C28</f>
        <v>9495661</v>
      </c>
      <c r="C24" s="926" t="str">
        <f>+NOMINA!D28</f>
        <v>Aguial Carrillo Gregoria Coromoto</v>
      </c>
      <c r="D24" s="926" t="str">
        <f>+NOMINA!O28</f>
        <v>COORDINADOR DE PROGRAMA (SAPNNAET)</v>
      </c>
      <c r="E24" s="929">
        <f>+NOMINA!H28</f>
        <v>39692</v>
      </c>
      <c r="F24" s="930">
        <f>+NOMINA!BL28</f>
        <v>25.47</v>
      </c>
      <c r="G24" s="930">
        <f>+NOMINA!BM28</f>
        <v>3.18</v>
      </c>
      <c r="H24" s="599"/>
      <c r="I24" s="600"/>
      <c r="J24" s="600"/>
      <c r="K24" s="600"/>
      <c r="L24" s="600"/>
    </row>
    <row r="25" spans="1:12" ht="15.75" customHeight="1" x14ac:dyDescent="0.25">
      <c r="A25" s="928">
        <f t="shared" si="0"/>
        <v>13</v>
      </c>
      <c r="B25" s="926">
        <f>+NOMINA!C29</f>
        <v>5348397</v>
      </c>
      <c r="C25" s="926" t="str">
        <f>+NOMINA!D29</f>
        <v>Araujo Manzanilla Carlos Antonio</v>
      </c>
      <c r="D25" s="926" t="str">
        <f>+NOMINA!O29</f>
        <v>COORDINADOR DE PROGRAMA (SAPNNAET)</v>
      </c>
      <c r="E25" s="929">
        <f>+NOMINA!H29</f>
        <v>43359</v>
      </c>
      <c r="F25" s="930">
        <f>+NOMINA!BL29</f>
        <v>32.17</v>
      </c>
      <c r="G25" s="930">
        <f>+NOMINA!BM29</f>
        <v>4.0199999999999996</v>
      </c>
      <c r="H25" s="599"/>
      <c r="I25" s="600"/>
      <c r="J25" s="600"/>
      <c r="K25" s="600"/>
      <c r="L25" s="600"/>
    </row>
    <row r="26" spans="1:12" ht="15.75" customHeight="1" x14ac:dyDescent="0.25">
      <c r="A26" s="928">
        <f t="shared" si="0"/>
        <v>14</v>
      </c>
      <c r="B26" s="926">
        <f>+NOMINA!C30</f>
        <v>9314132</v>
      </c>
      <c r="C26" s="926" t="str">
        <f>+NOMINA!D30</f>
        <v>Viloria Montilla Gerardo</v>
      </c>
      <c r="D26" s="926" t="str">
        <f>+NOMINA!O30</f>
        <v>COORDINADOR DE PROGRAMA (SAPNNAET)</v>
      </c>
      <c r="E26" s="929">
        <f>+NOMINA!H30</f>
        <v>44348</v>
      </c>
      <c r="F26" s="930">
        <f>+NOMINA!BL30</f>
        <v>30.65</v>
      </c>
      <c r="G26" s="930">
        <f>+NOMINA!BM30</f>
        <v>3.83</v>
      </c>
      <c r="H26" s="599"/>
      <c r="I26" s="600"/>
      <c r="J26" s="600"/>
      <c r="K26" s="600"/>
      <c r="L26" s="600"/>
    </row>
    <row r="27" spans="1:12" ht="15.75" customHeight="1" x14ac:dyDescent="0.25">
      <c r="A27" s="928">
        <f t="shared" si="0"/>
        <v>15</v>
      </c>
      <c r="B27" s="926">
        <f>+NOMINA!C31</f>
        <v>11320533</v>
      </c>
      <c r="C27" s="926" t="str">
        <f>+NOMINA!D31</f>
        <v>Suarez Chiquin Yaritza Josefina</v>
      </c>
      <c r="D27" s="926" t="str">
        <f>+NOMINA!O31</f>
        <v>COORDINADOR DE PROGRAMA (SAPNNAET)</v>
      </c>
      <c r="E27" s="929">
        <f>+NOMINA!H31</f>
        <v>37629</v>
      </c>
      <c r="F27" s="930">
        <f>+NOMINA!BL31</f>
        <v>34.24</v>
      </c>
      <c r="G27" s="930">
        <f>+NOMINA!BM31</f>
        <v>4.28</v>
      </c>
      <c r="H27" s="599"/>
      <c r="I27" s="600"/>
      <c r="J27" s="600"/>
      <c r="K27" s="600"/>
      <c r="L27" s="600"/>
    </row>
    <row r="28" spans="1:12" ht="15.75" customHeight="1" x14ac:dyDescent="0.25">
      <c r="A28" s="928">
        <f t="shared" si="0"/>
        <v>16</v>
      </c>
      <c r="B28" s="926">
        <f>+NOMINA!C32</f>
        <v>10912595</v>
      </c>
      <c r="C28" s="926" t="str">
        <f>+NOMINA!D32</f>
        <v>Delfin Bustos Jose Hercilio</v>
      </c>
      <c r="D28" s="926" t="str">
        <f>+NOMINA!O32</f>
        <v>COORDINADOR DE PROGRAMA (SAPNNAET)</v>
      </c>
      <c r="E28" s="929">
        <f>+NOMINA!H32</f>
        <v>36039</v>
      </c>
      <c r="F28" s="930">
        <f>+NOMINA!BL32</f>
        <v>26.88</v>
      </c>
      <c r="G28" s="930">
        <f>+NOMINA!BM32</f>
        <v>3.36</v>
      </c>
      <c r="H28" s="599"/>
      <c r="I28" s="600"/>
      <c r="J28" s="600"/>
      <c r="K28" s="600"/>
      <c r="L28" s="600"/>
    </row>
    <row r="29" spans="1:12" ht="15.75" customHeight="1" x14ac:dyDescent="0.25">
      <c r="A29" s="928">
        <f t="shared" si="0"/>
        <v>17</v>
      </c>
      <c r="B29" s="926">
        <f>+NOMINA!C33</f>
        <v>4306476</v>
      </c>
      <c r="C29" s="926" t="str">
        <f>+NOMINA!D33</f>
        <v>Triviño de Bastidas Dioni de la Coromoto</v>
      </c>
      <c r="D29" s="926" t="str">
        <f>+NOMINA!O33</f>
        <v>COORDINADOR DE PROGRAMA (SAPNNAET)</v>
      </c>
      <c r="E29" s="929">
        <f>+NOMINA!H33</f>
        <v>44409</v>
      </c>
      <c r="F29" s="930">
        <f>+NOMINA!BL33</f>
        <v>36.29</v>
      </c>
      <c r="G29" s="930">
        <f>+NOMINA!BM33</f>
        <v>4.54</v>
      </c>
      <c r="H29" s="599"/>
      <c r="I29" s="600"/>
      <c r="J29" s="600"/>
      <c r="K29" s="600"/>
      <c r="L29" s="600"/>
    </row>
    <row r="30" spans="1:12" ht="15.75" customHeight="1" x14ac:dyDescent="0.25">
      <c r="A30" s="928">
        <f t="shared" si="0"/>
        <v>18</v>
      </c>
      <c r="B30" s="926">
        <f>+NOMINA!C34</f>
        <v>13568733</v>
      </c>
      <c r="C30" s="926" t="str">
        <f>+NOMINA!D34</f>
        <v>Campos de Velazquez Nilda Carolina</v>
      </c>
      <c r="D30" s="926" t="str">
        <f>+NOMINA!O34</f>
        <v>COORDINADOR DE PROGRAMA (SAPNNAET)</v>
      </c>
      <c r="E30" s="929">
        <f>+NOMINA!H34</f>
        <v>44805</v>
      </c>
      <c r="F30" s="930">
        <f>+NOMINA!BL34</f>
        <v>28.9</v>
      </c>
      <c r="G30" s="930">
        <f>+NOMINA!BM34</f>
        <v>3.61</v>
      </c>
      <c r="H30" s="599"/>
      <c r="I30" s="600"/>
      <c r="J30" s="600"/>
      <c r="K30" s="600"/>
      <c r="L30" s="600"/>
    </row>
    <row r="31" spans="1:12" ht="15.75" customHeight="1" x14ac:dyDescent="0.25">
      <c r="A31" s="928">
        <f t="shared" si="0"/>
        <v>19</v>
      </c>
      <c r="B31" s="926">
        <f>+NOMINA!C35</f>
        <v>20790947</v>
      </c>
      <c r="C31" s="926" t="str">
        <f>+NOMINA!D35</f>
        <v>Urbina Cuellar Tannessy Lenery</v>
      </c>
      <c r="D31" s="926" t="str">
        <f>+NOMINA!O35</f>
        <v>COORDINADOR DE PROGRAMA (SAPNNAET)</v>
      </c>
      <c r="E31" s="929">
        <f>+NOMINA!H35</f>
        <v>43967</v>
      </c>
      <c r="F31" s="930">
        <f>+NOMINA!BL35</f>
        <v>29.3</v>
      </c>
      <c r="G31" s="930">
        <f>+NOMINA!BM35</f>
        <v>3.66</v>
      </c>
      <c r="H31" s="599"/>
      <c r="I31" s="600"/>
      <c r="J31" s="600"/>
      <c r="K31" s="600"/>
      <c r="L31" s="600"/>
    </row>
    <row r="32" spans="1:12" ht="15.75" customHeight="1" x14ac:dyDescent="0.25">
      <c r="A32" s="928">
        <f t="shared" si="0"/>
        <v>20</v>
      </c>
      <c r="B32" s="926">
        <f>+NOMINA!C36</f>
        <v>15752183</v>
      </c>
      <c r="C32" s="926" t="str">
        <f>+NOMINA!D36</f>
        <v>Delduca Adriana del Valle</v>
      </c>
      <c r="D32" s="926" t="str">
        <f>+NOMINA!O36</f>
        <v>COORDINADOR DE PROGRAMA (SAPNNAET)</v>
      </c>
      <c r="E32" s="929">
        <f>+NOMINA!H36</f>
        <v>38930</v>
      </c>
      <c r="F32" s="930">
        <f>+NOMINA!BL36</f>
        <v>27.13</v>
      </c>
      <c r="G32" s="930">
        <f>+NOMINA!BM36</f>
        <v>3.39</v>
      </c>
      <c r="H32" s="599"/>
      <c r="I32" s="600"/>
      <c r="J32" s="600"/>
      <c r="K32" s="600"/>
      <c r="L32" s="600"/>
    </row>
    <row r="33" spans="1:12" ht="15.75" customHeight="1" x14ac:dyDescent="0.25">
      <c r="A33" s="928">
        <f t="shared" si="0"/>
        <v>21</v>
      </c>
      <c r="B33" s="926">
        <f>+NOMINA!C37</f>
        <v>16739081</v>
      </c>
      <c r="C33" s="926" t="str">
        <f>+NOMINA!D37</f>
        <v>Albarran Araujo Yely Coromoto</v>
      </c>
      <c r="D33" s="926" t="str">
        <f>+NOMINA!O37</f>
        <v>COORDINADOR DE PROGRAMA (SAPNNAET)</v>
      </c>
      <c r="E33" s="929">
        <f>+NOMINA!H37</f>
        <v>42948</v>
      </c>
      <c r="F33" s="930">
        <f>+NOMINA!BL37</f>
        <v>29.52</v>
      </c>
      <c r="G33" s="930">
        <f>+NOMINA!BM37</f>
        <v>3.69</v>
      </c>
      <c r="H33" s="599"/>
      <c r="I33" s="600"/>
      <c r="J33" s="600"/>
      <c r="K33" s="600"/>
      <c r="L33" s="600"/>
    </row>
    <row r="34" spans="1:12" ht="15.75" customHeight="1" x14ac:dyDescent="0.25">
      <c r="A34" s="928">
        <f t="shared" si="0"/>
        <v>22</v>
      </c>
      <c r="B34" s="926">
        <f>+NOMINA!C38</f>
        <v>18349553</v>
      </c>
      <c r="C34" s="926" t="str">
        <f>+NOMINA!D38</f>
        <v>Quiroga Valdes Nayla Carolina</v>
      </c>
      <c r="D34" s="926" t="str">
        <f>+NOMINA!O38</f>
        <v>COORDINADOR DE PROGRAMA (SAPNNAET)</v>
      </c>
      <c r="E34" s="929">
        <f>+NOMINA!H38</f>
        <v>45566</v>
      </c>
      <c r="F34" s="930">
        <f>+NOMINA!BL38</f>
        <v>27.58</v>
      </c>
      <c r="G34" s="930">
        <f>+NOMINA!BM38</f>
        <v>3.45</v>
      </c>
      <c r="H34" s="599"/>
      <c r="I34" s="600"/>
      <c r="J34" s="600"/>
      <c r="K34" s="600"/>
      <c r="L34" s="600"/>
    </row>
    <row r="35" spans="1:12" ht="15.75" customHeight="1" x14ac:dyDescent="0.25">
      <c r="A35" s="928">
        <f t="shared" si="0"/>
        <v>23</v>
      </c>
      <c r="B35" s="926">
        <f>+NOMINA!C39</f>
        <v>16066524</v>
      </c>
      <c r="C35" s="926" t="str">
        <f>+NOMINA!D39</f>
        <v>Carmona Peñaloza Yaneth Coromoto</v>
      </c>
      <c r="D35" s="926" t="str">
        <f>+NOMINA!O39</f>
        <v>COORDINADOR DE PROGRAMA (SAPNNAET)</v>
      </c>
      <c r="E35" s="929">
        <f>+NOMINA!H39</f>
        <v>41456</v>
      </c>
      <c r="F35" s="930">
        <f>+NOMINA!BL39</f>
        <v>30.52</v>
      </c>
      <c r="G35" s="930">
        <f>+NOMINA!BM39</f>
        <v>3.81</v>
      </c>
      <c r="H35" s="599"/>
      <c r="I35" s="600"/>
      <c r="J35" s="600"/>
      <c r="K35" s="600"/>
      <c r="L35" s="600"/>
    </row>
    <row r="36" spans="1:12" ht="15.75" customHeight="1" x14ac:dyDescent="0.25">
      <c r="A36" s="928">
        <f t="shared" si="0"/>
        <v>24</v>
      </c>
      <c r="B36" s="926">
        <f>+NOMINA!C40</f>
        <v>27889180</v>
      </c>
      <c r="C36" s="926" t="str">
        <f>+NOMINA!D40</f>
        <v>Moreno Andreina del Valle</v>
      </c>
      <c r="D36" s="926" t="str">
        <f>+NOMINA!O40</f>
        <v>COORDINADOR DE PROGRAMA (SAPNNAET)</v>
      </c>
      <c r="E36" s="929">
        <f>+NOMINA!H40</f>
        <v>44393</v>
      </c>
      <c r="F36" s="930">
        <f>+NOMINA!BL40</f>
        <v>23.28</v>
      </c>
      <c r="G36" s="930">
        <f>+NOMINA!BM40</f>
        <v>2.91</v>
      </c>
      <c r="H36" s="599"/>
      <c r="I36" s="600"/>
      <c r="J36" s="600"/>
      <c r="K36" s="600"/>
      <c r="L36" s="600"/>
    </row>
    <row r="37" spans="1:12" ht="15.75" customHeight="1" thickBot="1" x14ac:dyDescent="0.3">
      <c r="A37" s="928">
        <f t="shared" si="0"/>
        <v>25</v>
      </c>
      <c r="B37" s="926">
        <f>+NOMINA!C41</f>
        <v>12781930</v>
      </c>
      <c r="C37" s="926" t="str">
        <f>+NOMINA!D41</f>
        <v>Berrios Gomez Neida Marina</v>
      </c>
      <c r="D37" s="926" t="str">
        <f>+NOMINA!O41</f>
        <v>COORDINADOR DE PROGRAMA (SAPNNAET)</v>
      </c>
      <c r="E37" s="929">
        <f>+NOMINA!H41</f>
        <v>44652</v>
      </c>
      <c r="F37" s="930">
        <f>+NOMINA!BL41</f>
        <v>28.18</v>
      </c>
      <c r="G37" s="930">
        <f>+NOMINA!BM41</f>
        <v>3.52</v>
      </c>
      <c r="H37" s="599"/>
      <c r="I37" s="600"/>
      <c r="J37" s="600"/>
      <c r="K37" s="600"/>
      <c r="L37" s="600"/>
    </row>
    <row r="38" spans="1:12" ht="15.75" customHeight="1" thickBot="1" x14ac:dyDescent="0.35">
      <c r="A38" s="928"/>
      <c r="B38" s="926"/>
      <c r="C38" s="926"/>
      <c r="D38" s="598" t="s">
        <v>5768</v>
      </c>
      <c r="E38" s="870"/>
      <c r="F38" s="871">
        <f>SUM(F13:F37)</f>
        <v>754.64999999999986</v>
      </c>
      <c r="G38" s="871">
        <f>SUM(G13:G37)</f>
        <v>94.32</v>
      </c>
      <c r="H38" s="599">
        <f>+NOMINA!BL42</f>
        <v>754.64999999999986</v>
      </c>
      <c r="I38" s="600">
        <f>+F38-H38</f>
        <v>0</v>
      </c>
      <c r="J38" s="599">
        <f>+NOMINA!BM42</f>
        <v>94.32</v>
      </c>
      <c r="K38" s="600">
        <f>+G38-J38</f>
        <v>0</v>
      </c>
      <c r="L38" s="600"/>
    </row>
    <row r="39" spans="1:12" ht="15.75" customHeight="1" x14ac:dyDescent="0.25">
      <c r="A39" s="601"/>
      <c r="B39" s="931"/>
      <c r="C39" s="931"/>
      <c r="D39" s="931"/>
      <c r="E39" s="602"/>
      <c r="F39" s="604"/>
      <c r="G39" s="604"/>
      <c r="H39" s="599"/>
      <c r="I39" s="600"/>
      <c r="J39" s="600"/>
      <c r="K39" s="600"/>
      <c r="L39" s="600"/>
    </row>
    <row r="40" spans="1:12" ht="15.75" customHeight="1" x14ac:dyDescent="0.25">
      <c r="A40" s="601"/>
      <c r="B40" s="603"/>
      <c r="C40" s="603"/>
      <c r="D40" s="603"/>
      <c r="E40" s="602"/>
      <c r="F40" s="604"/>
      <c r="G40" s="604"/>
      <c r="H40" s="599"/>
      <c r="I40" s="600"/>
      <c r="J40" s="600"/>
      <c r="K40" s="600"/>
      <c r="L40" s="600"/>
    </row>
    <row r="41" spans="1:12" ht="15.75" customHeight="1" x14ac:dyDescent="0.25">
      <c r="A41" s="601"/>
      <c r="B41" s="603"/>
      <c r="C41" s="595" t="s">
        <v>5815</v>
      </c>
      <c r="F41" s="595" t="s">
        <v>5816</v>
      </c>
      <c r="H41" s="599"/>
      <c r="I41" s="600"/>
      <c r="J41" s="600"/>
      <c r="K41" s="600"/>
      <c r="L41" s="600"/>
    </row>
    <row r="42" spans="1:12" ht="15.75" customHeight="1" x14ac:dyDescent="0.25">
      <c r="A42" s="601"/>
      <c r="B42" s="603"/>
      <c r="H42" s="599"/>
      <c r="I42" s="600"/>
      <c r="J42" s="600"/>
      <c r="K42" s="600"/>
      <c r="L42" s="600"/>
    </row>
    <row r="43" spans="1:12" ht="15.75" customHeight="1" x14ac:dyDescent="0.25">
      <c r="A43" s="601"/>
      <c r="B43" s="603"/>
      <c r="H43" s="599"/>
      <c r="I43" s="600"/>
      <c r="J43" s="600"/>
      <c r="K43" s="600"/>
      <c r="L43" s="600"/>
    </row>
    <row r="44" spans="1:12" ht="15.75" customHeight="1" x14ac:dyDescent="0.3">
      <c r="A44" s="601"/>
      <c r="B44" s="603"/>
      <c r="C44" s="605" t="s">
        <v>5817</v>
      </c>
      <c r="F44" s="606" t="s">
        <v>5818</v>
      </c>
      <c r="H44" s="599"/>
      <c r="I44" s="600"/>
      <c r="J44" s="600"/>
      <c r="K44" s="600"/>
      <c r="L44" s="600"/>
    </row>
    <row r="45" spans="1:12" ht="15.75" customHeight="1" x14ac:dyDescent="0.3">
      <c r="A45" s="601"/>
      <c r="B45" s="603"/>
      <c r="C45" s="605" t="s">
        <v>5819</v>
      </c>
      <c r="F45" s="605" t="s">
        <v>5820</v>
      </c>
      <c r="G45" s="609"/>
      <c r="H45" s="599"/>
      <c r="I45" s="600"/>
      <c r="J45" s="600"/>
      <c r="K45" s="600"/>
      <c r="L45" s="600"/>
    </row>
    <row r="46" spans="1:12" ht="15.75" customHeight="1" x14ac:dyDescent="0.25">
      <c r="A46" s="601"/>
      <c r="B46" s="603"/>
      <c r="C46" s="603"/>
      <c r="D46" s="603"/>
      <c r="E46" s="602"/>
      <c r="F46" s="604"/>
      <c r="G46" s="604"/>
      <c r="H46" s="599"/>
      <c r="I46" s="600"/>
      <c r="J46" s="600"/>
      <c r="K46" s="600"/>
      <c r="L46" s="600"/>
    </row>
    <row r="47" spans="1:12" ht="15.75" customHeight="1" x14ac:dyDescent="0.25">
      <c r="A47" s="612" t="s">
        <v>4561</v>
      </c>
      <c r="B47" s="613"/>
      <c r="C47" s="613"/>
      <c r="D47" s="613"/>
      <c r="E47" s="614"/>
      <c r="F47" s="615"/>
      <c r="G47" s="615"/>
      <c r="H47" s="599"/>
      <c r="I47" s="600"/>
      <c r="J47" s="600"/>
      <c r="K47" s="600"/>
      <c r="L47" s="600"/>
    </row>
    <row r="48" spans="1:12" ht="15.75" customHeight="1" x14ac:dyDescent="0.25">
      <c r="A48" s="928">
        <v>1</v>
      </c>
      <c r="B48" s="926">
        <f>+NOMINA!C44</f>
        <v>4324055</v>
      </c>
      <c r="C48" s="926" t="str">
        <f>+NOMINA!D44</f>
        <v>Mejia Linares Alexis de Jesus</v>
      </c>
      <c r="D48" s="926" t="str">
        <f>+NOMINA!O44</f>
        <v>Abogado II</v>
      </c>
      <c r="E48" s="929">
        <f>+NOMINA!H44</f>
        <v>44470</v>
      </c>
      <c r="F48" s="930">
        <f>+NOMINA!BL44</f>
        <v>23.96</v>
      </c>
      <c r="G48" s="930">
        <f>+NOMINA!BM44</f>
        <v>3</v>
      </c>
      <c r="H48" s="599"/>
      <c r="I48" s="600"/>
      <c r="J48" s="600"/>
      <c r="K48" s="600"/>
      <c r="L48" s="600"/>
    </row>
    <row r="49" spans="1:12" ht="15.75" customHeight="1" x14ac:dyDescent="0.25">
      <c r="A49" s="928">
        <f>+A48+1</f>
        <v>2</v>
      </c>
      <c r="B49" s="926">
        <f>+NOMINA!C45</f>
        <v>4657974</v>
      </c>
      <c r="C49" s="926" t="str">
        <f>+NOMINA!D45</f>
        <v>Balestrini Nuñez Ulises Ramon</v>
      </c>
      <c r="D49" s="926" t="str">
        <f>+NOMINA!O45</f>
        <v>Promotor Cultural I</v>
      </c>
      <c r="E49" s="929">
        <f>+NOMINA!H45</f>
        <v>39463</v>
      </c>
      <c r="F49" s="930">
        <f>+NOMINA!BL45</f>
        <v>15.85</v>
      </c>
      <c r="G49" s="930">
        <f>+NOMINA!BM45</f>
        <v>1.98</v>
      </c>
      <c r="H49" s="599"/>
      <c r="I49" s="600"/>
      <c r="J49" s="600"/>
      <c r="K49" s="600"/>
      <c r="L49" s="600"/>
    </row>
    <row r="50" spans="1:12" ht="15.75" customHeight="1" x14ac:dyDescent="0.25">
      <c r="A50" s="928">
        <f t="shared" ref="A50:A113" si="1">+A49+1</f>
        <v>3</v>
      </c>
      <c r="B50" s="926">
        <f>+NOMINA!C46</f>
        <v>5762861</v>
      </c>
      <c r="C50" s="926" t="str">
        <f>+NOMINA!D46</f>
        <v>Aldana Duran Delia Mercedes</v>
      </c>
      <c r="D50" s="926" t="str">
        <f>+NOMINA!O46</f>
        <v>Jefe de Centro</v>
      </c>
      <c r="E50" s="929">
        <f>+NOMINA!H46</f>
        <v>37851</v>
      </c>
      <c r="F50" s="930">
        <f>+NOMINA!BL46</f>
        <v>0</v>
      </c>
      <c r="G50" s="930">
        <f>+NOMINA!BM46</f>
        <v>0</v>
      </c>
      <c r="H50" s="599"/>
      <c r="I50" s="600"/>
      <c r="J50" s="600"/>
      <c r="K50" s="600"/>
      <c r="L50" s="600"/>
    </row>
    <row r="51" spans="1:12" ht="15.75" customHeight="1" x14ac:dyDescent="0.25">
      <c r="A51" s="928">
        <f t="shared" si="1"/>
        <v>4</v>
      </c>
      <c r="B51" s="926">
        <f>+NOMINA!C47</f>
        <v>5782060</v>
      </c>
      <c r="C51" s="926" t="str">
        <f>+NOMINA!D47</f>
        <v>Linares Araujo Adolfo Jose</v>
      </c>
      <c r="D51" s="926" t="str">
        <f>+NOMINA!O47</f>
        <v>Asistente Administrativo III</v>
      </c>
      <c r="E51" s="929">
        <f>+NOMINA!H47</f>
        <v>39539</v>
      </c>
      <c r="F51" s="930">
        <f>+NOMINA!BL47</f>
        <v>22.37</v>
      </c>
      <c r="G51" s="930">
        <f>+NOMINA!BM47</f>
        <v>2.8</v>
      </c>
      <c r="H51" s="599"/>
      <c r="I51" s="600"/>
      <c r="J51" s="600"/>
      <c r="K51" s="600"/>
      <c r="L51" s="600"/>
    </row>
    <row r="52" spans="1:12" ht="15.75" customHeight="1" x14ac:dyDescent="0.25">
      <c r="A52" s="928">
        <f t="shared" si="1"/>
        <v>5</v>
      </c>
      <c r="B52" s="926">
        <f>+NOMINA!C48</f>
        <v>5790501</v>
      </c>
      <c r="C52" s="926" t="str">
        <f>+NOMINA!D48</f>
        <v>Castellanos de Araujo Maria Eustoquia</v>
      </c>
      <c r="D52" s="926" t="str">
        <f>+NOMINA!O48</f>
        <v>Asistente de Analista III</v>
      </c>
      <c r="E52" s="929">
        <f>+NOMINA!H48</f>
        <v>39707</v>
      </c>
      <c r="F52" s="930">
        <f>+NOMINA!BL48</f>
        <v>24.07</v>
      </c>
      <c r="G52" s="930">
        <f>+NOMINA!BM48</f>
        <v>3.01</v>
      </c>
      <c r="H52" s="599"/>
      <c r="I52" s="600"/>
      <c r="J52" s="600"/>
      <c r="K52" s="600"/>
      <c r="L52" s="600"/>
    </row>
    <row r="53" spans="1:12" ht="15.75" customHeight="1" x14ac:dyDescent="0.25">
      <c r="A53" s="928">
        <f t="shared" si="1"/>
        <v>6</v>
      </c>
      <c r="B53" s="926">
        <f>+NOMINA!C49</f>
        <v>7744688</v>
      </c>
      <c r="C53" s="926" t="str">
        <f>+NOMINA!D49</f>
        <v>Aguilera Carroz Gerardo Raul</v>
      </c>
      <c r="D53" s="926" t="str">
        <f>+NOMINA!O49</f>
        <v>Asistente Administrativo III</v>
      </c>
      <c r="E53" s="929">
        <f>+NOMINA!H49</f>
        <v>44713</v>
      </c>
      <c r="F53" s="930">
        <f>+NOMINA!BL49</f>
        <v>19.690000000000001</v>
      </c>
      <c r="G53" s="930">
        <f>+NOMINA!BM49</f>
        <v>2.46</v>
      </c>
      <c r="H53" s="599"/>
      <c r="I53" s="600"/>
      <c r="J53" s="600"/>
      <c r="K53" s="600"/>
      <c r="L53" s="600"/>
    </row>
    <row r="54" spans="1:12" ht="15.75" customHeight="1" x14ac:dyDescent="0.25">
      <c r="A54" s="928">
        <f t="shared" si="1"/>
        <v>7</v>
      </c>
      <c r="B54" s="926">
        <f>+NOMINA!C50</f>
        <v>7890070</v>
      </c>
      <c r="C54" s="926" t="str">
        <f>+NOMINA!D50</f>
        <v>Pacheco Bermudez Bebsabeth Coromoto</v>
      </c>
      <c r="D54" s="926" t="str">
        <f>+NOMINA!O50</f>
        <v>Guia de Centro II</v>
      </c>
      <c r="E54" s="929">
        <f>+NOMINA!H50</f>
        <v>38930</v>
      </c>
      <c r="F54" s="930">
        <f>+NOMINA!BL50</f>
        <v>16.62</v>
      </c>
      <c r="G54" s="930">
        <f>+NOMINA!BM50</f>
        <v>2.08</v>
      </c>
      <c r="H54" s="599"/>
      <c r="I54" s="600"/>
      <c r="J54" s="600"/>
      <c r="K54" s="600"/>
      <c r="L54" s="600"/>
    </row>
    <row r="55" spans="1:12" ht="15.75" customHeight="1" x14ac:dyDescent="0.25">
      <c r="A55" s="928">
        <f t="shared" si="1"/>
        <v>8</v>
      </c>
      <c r="B55" s="926">
        <f>+NOMINA!C51</f>
        <v>8719807</v>
      </c>
      <c r="C55" s="926" t="str">
        <f>+NOMINA!D51</f>
        <v>Perez Saavedra Isabel Teresa</v>
      </c>
      <c r="D55" s="926" t="str">
        <f>+NOMINA!O51</f>
        <v>Abogado Jefe</v>
      </c>
      <c r="E55" s="929">
        <f>+NOMINA!H51</f>
        <v>39874</v>
      </c>
      <c r="F55" s="930">
        <f>+NOMINA!BL51</f>
        <v>0</v>
      </c>
      <c r="G55" s="930">
        <f>+NOMINA!BM51</f>
        <v>0</v>
      </c>
      <c r="H55" s="599"/>
      <c r="I55" s="600"/>
      <c r="J55" s="600"/>
      <c r="K55" s="600"/>
      <c r="L55" s="600"/>
    </row>
    <row r="56" spans="1:12" ht="15.75" customHeight="1" x14ac:dyDescent="0.25">
      <c r="A56" s="928">
        <f t="shared" si="1"/>
        <v>9</v>
      </c>
      <c r="B56" s="926">
        <f>+NOMINA!C52</f>
        <v>8266170</v>
      </c>
      <c r="C56" s="926" t="str">
        <f>+NOMINA!D52</f>
        <v>Aguana Sanchez Yraida Josefina</v>
      </c>
      <c r="D56" s="926" t="str">
        <f>+NOMINA!O52</f>
        <v>Guia de Centro I</v>
      </c>
      <c r="E56" s="929">
        <f>+NOMINA!H52</f>
        <v>45323</v>
      </c>
      <c r="F56" s="930">
        <f>+NOMINA!BL52</f>
        <v>28.29</v>
      </c>
      <c r="G56" s="930">
        <f>+NOMINA!BM52</f>
        <v>3.54</v>
      </c>
      <c r="H56" s="599"/>
      <c r="I56" s="600"/>
      <c r="J56" s="600"/>
      <c r="K56" s="600"/>
      <c r="L56" s="600"/>
    </row>
    <row r="57" spans="1:12" ht="15.75" customHeight="1" x14ac:dyDescent="0.25">
      <c r="A57" s="928">
        <f t="shared" si="1"/>
        <v>10</v>
      </c>
      <c r="B57" s="926">
        <f>+NOMINA!C53</f>
        <v>9162178</v>
      </c>
      <c r="C57" s="926" t="str">
        <f>+NOMINA!D53</f>
        <v>Duarte de Bastidas Gladys Margarita</v>
      </c>
      <c r="D57" s="926" t="str">
        <f>+NOMINA!O53</f>
        <v>Guia de Centro II</v>
      </c>
      <c r="E57" s="929">
        <f>+NOMINA!H53</f>
        <v>39566</v>
      </c>
      <c r="F57" s="930">
        <f>+NOMINA!BL53</f>
        <v>21.37</v>
      </c>
      <c r="G57" s="930">
        <f>+NOMINA!BM53</f>
        <v>2.67</v>
      </c>
      <c r="H57" s="599"/>
      <c r="I57" s="600"/>
      <c r="J57" s="600"/>
      <c r="K57" s="600"/>
      <c r="L57" s="600"/>
    </row>
    <row r="58" spans="1:12" ht="15.75" customHeight="1" x14ac:dyDescent="0.25">
      <c r="A58" s="928">
        <f t="shared" si="1"/>
        <v>11</v>
      </c>
      <c r="B58" s="926">
        <f>+NOMINA!C54</f>
        <v>9162243</v>
      </c>
      <c r="C58" s="926" t="str">
        <f>+NOMINA!D54</f>
        <v>Valera Borrero Marcos Tulio</v>
      </c>
      <c r="D58" s="926" t="str">
        <f>+NOMINA!O54</f>
        <v>Guia de Centro II</v>
      </c>
      <c r="E58" s="929">
        <f>+NOMINA!H54</f>
        <v>35535</v>
      </c>
      <c r="F58" s="930">
        <f>+NOMINA!BL54</f>
        <v>16.62</v>
      </c>
      <c r="G58" s="930">
        <f>+NOMINA!BM54</f>
        <v>2.08</v>
      </c>
      <c r="H58" s="599"/>
      <c r="I58" s="600"/>
      <c r="J58" s="600"/>
      <c r="K58" s="600"/>
      <c r="L58" s="600"/>
    </row>
    <row r="59" spans="1:12" ht="15.75" customHeight="1" x14ac:dyDescent="0.25">
      <c r="A59" s="928">
        <f t="shared" si="1"/>
        <v>12</v>
      </c>
      <c r="B59" s="926">
        <f>+NOMINA!C55</f>
        <v>9170647</v>
      </c>
      <c r="C59" s="926" t="str">
        <f>+NOMINA!D55</f>
        <v>Torres Gonzalez Meris del Carmen</v>
      </c>
      <c r="D59" s="926" t="str">
        <f>+NOMINA!O55</f>
        <v>Guia de Centro II</v>
      </c>
      <c r="E59" s="929">
        <f>+NOMINA!H55</f>
        <v>39238</v>
      </c>
      <c r="F59" s="930">
        <f>+NOMINA!BL55</f>
        <v>29.52</v>
      </c>
      <c r="G59" s="930">
        <f>+NOMINA!BM55</f>
        <v>3.69</v>
      </c>
      <c r="H59" s="599"/>
      <c r="I59" s="600"/>
      <c r="J59" s="600"/>
      <c r="K59" s="600"/>
      <c r="L59" s="600"/>
    </row>
    <row r="60" spans="1:12" ht="15.75" customHeight="1" x14ac:dyDescent="0.25">
      <c r="A60" s="928">
        <f t="shared" si="1"/>
        <v>13</v>
      </c>
      <c r="B60" s="926">
        <f>+NOMINA!C56</f>
        <v>9177323</v>
      </c>
      <c r="C60" s="926" t="str">
        <f>+NOMINA!D56</f>
        <v>Simancas de Mendoza Alix Josefina</v>
      </c>
      <c r="D60" s="926" t="str">
        <f>+NOMINA!O56</f>
        <v>Asistente Administrativo III</v>
      </c>
      <c r="E60" s="929">
        <f>+NOMINA!H56</f>
        <v>37879</v>
      </c>
      <c r="F60" s="930">
        <f>+NOMINA!BL56</f>
        <v>0</v>
      </c>
      <c r="G60" s="930">
        <f>+NOMINA!BM56</f>
        <v>0</v>
      </c>
      <c r="H60" s="599"/>
      <c r="I60" s="600"/>
      <c r="J60" s="600"/>
      <c r="K60" s="600"/>
      <c r="L60" s="600"/>
    </row>
    <row r="61" spans="1:12" ht="15.75" customHeight="1" x14ac:dyDescent="0.25">
      <c r="A61" s="928">
        <f t="shared" si="1"/>
        <v>14</v>
      </c>
      <c r="B61" s="926">
        <f>+NOMINA!C57</f>
        <v>9178087</v>
      </c>
      <c r="C61" s="926" t="str">
        <f>+NOMINA!D57</f>
        <v>Saavedra Juan Jose</v>
      </c>
      <c r="D61" s="926" t="str">
        <f>+NOMINA!O57</f>
        <v>Asistente Administrativo III</v>
      </c>
      <c r="E61" s="929">
        <f>+NOMINA!H57</f>
        <v>37622</v>
      </c>
      <c r="F61" s="930">
        <f>+NOMINA!BL57</f>
        <v>16.59</v>
      </c>
      <c r="G61" s="930">
        <f>+NOMINA!BM57</f>
        <v>2.0699999999999998</v>
      </c>
      <c r="H61" s="599"/>
      <c r="I61" s="600"/>
      <c r="J61" s="600"/>
      <c r="K61" s="600"/>
      <c r="L61" s="600"/>
    </row>
    <row r="62" spans="1:12" ht="15.75" customHeight="1" x14ac:dyDescent="0.25">
      <c r="A62" s="928">
        <f t="shared" si="1"/>
        <v>15</v>
      </c>
      <c r="B62" s="926">
        <f>+NOMINA!C58</f>
        <v>9179981</v>
      </c>
      <c r="C62" s="926" t="str">
        <f>+NOMINA!D58</f>
        <v>Manzanilla Molina Alfredo Jose</v>
      </c>
      <c r="D62" s="926" t="str">
        <f>+NOMINA!O58</f>
        <v>Instructor Agropecuario III</v>
      </c>
      <c r="E62" s="929">
        <f>+NOMINA!H58</f>
        <v>45597</v>
      </c>
      <c r="F62" s="930">
        <f>+NOMINA!BL58</f>
        <v>20.04</v>
      </c>
      <c r="G62" s="930">
        <f>+NOMINA!BM58</f>
        <v>2.5099999999999998</v>
      </c>
      <c r="H62" s="599"/>
      <c r="I62" s="600"/>
      <c r="J62" s="600"/>
      <c r="K62" s="600"/>
      <c r="L62" s="600"/>
    </row>
    <row r="63" spans="1:12" ht="15.75" customHeight="1" x14ac:dyDescent="0.25">
      <c r="A63" s="928">
        <f t="shared" si="1"/>
        <v>16</v>
      </c>
      <c r="B63" s="926">
        <f>+NOMINA!C59</f>
        <v>9311822</v>
      </c>
      <c r="C63" s="926" t="str">
        <f>+NOMINA!D59</f>
        <v>Rojo Sanchez Alexis Omar</v>
      </c>
      <c r="D63" s="926" t="str">
        <f>+NOMINA!O59</f>
        <v>Asistente Administrativo III</v>
      </c>
      <c r="E63" s="929">
        <f>+NOMINA!H59</f>
        <v>37662</v>
      </c>
      <c r="F63" s="930">
        <f>+NOMINA!BL59</f>
        <v>0</v>
      </c>
      <c r="G63" s="930">
        <f>+NOMINA!BM59</f>
        <v>0</v>
      </c>
      <c r="H63" s="599"/>
      <c r="I63" s="600"/>
      <c r="J63" s="600"/>
      <c r="K63" s="600"/>
      <c r="L63" s="600"/>
    </row>
    <row r="64" spans="1:12" ht="15.75" customHeight="1" x14ac:dyDescent="0.25">
      <c r="A64" s="928">
        <f t="shared" si="1"/>
        <v>17</v>
      </c>
      <c r="B64" s="926">
        <f>+NOMINA!C60</f>
        <v>9315117</v>
      </c>
      <c r="C64" s="926" t="str">
        <f>+NOMINA!D60</f>
        <v>Palma de Briceño Sonia Josefina</v>
      </c>
      <c r="D64" s="926" t="str">
        <f>+NOMINA!O60</f>
        <v>Analista de Personal V</v>
      </c>
      <c r="E64" s="929">
        <f>+NOMINA!H60</f>
        <v>38412</v>
      </c>
      <c r="F64" s="930">
        <f>+NOMINA!BL60</f>
        <v>28.36</v>
      </c>
      <c r="G64" s="930">
        <f>+NOMINA!BM60</f>
        <v>3.55</v>
      </c>
      <c r="H64" s="599"/>
      <c r="I64" s="600"/>
      <c r="J64" s="600"/>
      <c r="K64" s="600"/>
      <c r="L64" s="600"/>
    </row>
    <row r="65" spans="1:12" ht="15.75" customHeight="1" x14ac:dyDescent="0.25">
      <c r="A65" s="928">
        <f t="shared" si="1"/>
        <v>18</v>
      </c>
      <c r="B65" s="926">
        <f>+NOMINA!C61</f>
        <v>9315325</v>
      </c>
      <c r="C65" s="926" t="str">
        <f>+NOMINA!D61</f>
        <v>Gonzalez Hernandez Marianela</v>
      </c>
      <c r="D65" s="926" t="str">
        <f>+NOMINA!O61</f>
        <v>Asistente Administrativo IV</v>
      </c>
      <c r="E65" s="929">
        <f>+NOMINA!H61</f>
        <v>39678</v>
      </c>
      <c r="F65" s="930">
        <f>+NOMINA!BL61</f>
        <v>22.91</v>
      </c>
      <c r="G65" s="930">
        <f>+NOMINA!BM61</f>
        <v>2.86</v>
      </c>
      <c r="H65" s="599"/>
      <c r="I65" s="600"/>
      <c r="J65" s="600"/>
      <c r="K65" s="600"/>
      <c r="L65" s="600"/>
    </row>
    <row r="66" spans="1:12" ht="15.75" customHeight="1" x14ac:dyDescent="0.25">
      <c r="A66" s="928">
        <f t="shared" si="1"/>
        <v>19</v>
      </c>
      <c r="B66" s="926">
        <f>+NOMINA!C62</f>
        <v>9316224</v>
      </c>
      <c r="C66" s="926" t="str">
        <f>+NOMINA!D62</f>
        <v>Sanchez Barrios Magalis del Carmen</v>
      </c>
      <c r="D66" s="926" t="str">
        <f>+NOMINA!O62</f>
        <v>Tecnico Superior en Trabajo Social II</v>
      </c>
      <c r="E66" s="929">
        <f>+NOMINA!H62</f>
        <v>44317</v>
      </c>
      <c r="F66" s="930">
        <f>+NOMINA!BL62</f>
        <v>19.809999999999999</v>
      </c>
      <c r="G66" s="930">
        <f>+NOMINA!BM62</f>
        <v>2.48</v>
      </c>
      <c r="H66" s="599"/>
      <c r="I66" s="600"/>
      <c r="J66" s="600"/>
      <c r="K66" s="600"/>
      <c r="L66" s="600"/>
    </row>
    <row r="67" spans="1:12" ht="15.75" customHeight="1" x14ac:dyDescent="0.25">
      <c r="A67" s="928">
        <f t="shared" si="1"/>
        <v>20</v>
      </c>
      <c r="B67" s="926">
        <f>+NOMINA!C63</f>
        <v>9323927</v>
      </c>
      <c r="C67" s="926" t="str">
        <f>+NOMINA!D63</f>
        <v>Cardozo Garcia Jorge Antonio</v>
      </c>
      <c r="D67" s="926" t="str">
        <f>+NOMINA!O63</f>
        <v>Guia de Centro II</v>
      </c>
      <c r="E67" s="929">
        <f>+NOMINA!H63</f>
        <v>35704</v>
      </c>
      <c r="F67" s="930">
        <f>+NOMINA!BL63</f>
        <v>16.62</v>
      </c>
      <c r="G67" s="930">
        <f>+NOMINA!BM63</f>
        <v>2.08</v>
      </c>
      <c r="H67" s="599"/>
      <c r="I67" s="600"/>
      <c r="J67" s="600"/>
      <c r="K67" s="600"/>
      <c r="L67" s="600"/>
    </row>
    <row r="68" spans="1:12" ht="15.75" customHeight="1" x14ac:dyDescent="0.25">
      <c r="A68" s="928">
        <f t="shared" si="1"/>
        <v>21</v>
      </c>
      <c r="B68" s="926">
        <f>+NOMINA!C64</f>
        <v>9327253</v>
      </c>
      <c r="C68" s="926" t="str">
        <f>+NOMINA!D64</f>
        <v>Garcia Araujo Jose Domingo</v>
      </c>
      <c r="D68" s="926" t="str">
        <f>+NOMINA!O64</f>
        <v>Analista de Presupuesto III</v>
      </c>
      <c r="E68" s="929">
        <f>+NOMINA!H64</f>
        <v>38930</v>
      </c>
      <c r="F68" s="930">
        <f>+NOMINA!BL64</f>
        <v>22.48</v>
      </c>
      <c r="G68" s="930">
        <f>+NOMINA!BM64</f>
        <v>2.81</v>
      </c>
      <c r="H68" s="599"/>
      <c r="I68" s="600"/>
      <c r="J68" s="600"/>
      <c r="K68" s="600"/>
      <c r="L68" s="600"/>
    </row>
    <row r="69" spans="1:12" ht="15.75" customHeight="1" x14ac:dyDescent="0.25">
      <c r="A69" s="928">
        <f t="shared" si="1"/>
        <v>22</v>
      </c>
      <c r="B69" s="926">
        <f>+NOMINA!C65</f>
        <v>9328157</v>
      </c>
      <c r="C69" s="926" t="str">
        <f>+NOMINA!D65</f>
        <v>Perez Salas Olga Margarita</v>
      </c>
      <c r="D69" s="926" t="str">
        <f>+NOMINA!O65</f>
        <v>Guia de Centro II</v>
      </c>
      <c r="E69" s="929">
        <f>+NOMINA!H65</f>
        <v>41153</v>
      </c>
      <c r="F69" s="930">
        <f>+NOMINA!BL65</f>
        <v>15.25</v>
      </c>
      <c r="G69" s="930">
        <f>+NOMINA!BM65</f>
        <v>1.91</v>
      </c>
      <c r="H69" s="599"/>
      <c r="I69" s="600"/>
      <c r="J69" s="600"/>
      <c r="K69" s="600"/>
      <c r="L69" s="600"/>
    </row>
    <row r="70" spans="1:12" ht="15.75" customHeight="1" x14ac:dyDescent="0.25">
      <c r="A70" s="928">
        <f t="shared" si="1"/>
        <v>23</v>
      </c>
      <c r="B70" s="926">
        <f>+NOMINA!C66</f>
        <v>9328224</v>
      </c>
      <c r="C70" s="926" t="str">
        <f>+NOMINA!D66</f>
        <v>Abreu Araujo Omar Antonio</v>
      </c>
      <c r="D70" s="926" t="str">
        <f>+NOMINA!O66</f>
        <v>Tecnico Agropecuario III</v>
      </c>
      <c r="E70" s="929">
        <f>+NOMINA!H66</f>
        <v>39356</v>
      </c>
      <c r="F70" s="930">
        <f>+NOMINA!BL66</f>
        <v>19.09</v>
      </c>
      <c r="G70" s="930">
        <f>+NOMINA!BM66</f>
        <v>2.39</v>
      </c>
      <c r="H70" s="599"/>
      <c r="I70" s="600"/>
      <c r="J70" s="600"/>
      <c r="K70" s="600"/>
      <c r="L70" s="600"/>
    </row>
    <row r="71" spans="1:12" ht="15.75" customHeight="1" x14ac:dyDescent="0.25">
      <c r="A71" s="928">
        <f t="shared" si="1"/>
        <v>24</v>
      </c>
      <c r="B71" s="926">
        <f>+NOMINA!C67</f>
        <v>9495661</v>
      </c>
      <c r="C71" s="926" t="str">
        <f>+NOMINA!D67</f>
        <v>Aguial Carrillo Gregoria Coromoto</v>
      </c>
      <c r="D71" s="926" t="str">
        <f>+NOMINA!O67</f>
        <v>Jefe de Centro</v>
      </c>
      <c r="E71" s="929">
        <f>+NOMINA!H67</f>
        <v>39692</v>
      </c>
      <c r="F71" s="930">
        <f>+NOMINA!BL67</f>
        <v>0</v>
      </c>
      <c r="G71" s="930">
        <f>+NOMINA!BM67</f>
        <v>0</v>
      </c>
      <c r="H71" s="599"/>
      <c r="I71" s="600"/>
      <c r="J71" s="600"/>
      <c r="K71" s="600"/>
      <c r="L71" s="600"/>
    </row>
    <row r="72" spans="1:12" ht="15.75" customHeight="1" x14ac:dyDescent="0.25">
      <c r="A72" s="928">
        <f t="shared" si="1"/>
        <v>25</v>
      </c>
      <c r="B72" s="926">
        <f>+NOMINA!C68</f>
        <v>9496860</v>
      </c>
      <c r="C72" s="926" t="str">
        <f>+NOMINA!D68</f>
        <v>Hernandez Valero Jose Alfredo</v>
      </c>
      <c r="D72" s="926" t="str">
        <f>+NOMINA!O68</f>
        <v>AUDITOR III</v>
      </c>
      <c r="E72" s="929">
        <f>+NOMINA!H68</f>
        <v>43877</v>
      </c>
      <c r="F72" s="930">
        <f>+NOMINA!BL68</f>
        <v>27.43</v>
      </c>
      <c r="G72" s="930">
        <f>+NOMINA!BM68</f>
        <v>3.43</v>
      </c>
      <c r="H72" s="599"/>
      <c r="I72" s="600"/>
      <c r="J72" s="600"/>
      <c r="K72" s="600"/>
      <c r="L72" s="600"/>
    </row>
    <row r="73" spans="1:12" ht="15.75" customHeight="1" x14ac:dyDescent="0.25">
      <c r="A73" s="928">
        <f t="shared" si="1"/>
        <v>26</v>
      </c>
      <c r="B73" s="926">
        <f>+NOMINA!C69</f>
        <v>9497151</v>
      </c>
      <c r="C73" s="926" t="str">
        <f>+NOMINA!D69</f>
        <v>Mendoza Vieras Pedro Luis</v>
      </c>
      <c r="D73" s="926" t="str">
        <f>+NOMINA!O69</f>
        <v>Ingeniero Industrial II</v>
      </c>
      <c r="E73" s="929">
        <f>+NOMINA!H69</f>
        <v>36770</v>
      </c>
      <c r="F73" s="930">
        <f>+NOMINA!BL69</f>
        <v>29.03</v>
      </c>
      <c r="G73" s="930">
        <f>+NOMINA!BM69</f>
        <v>3.63</v>
      </c>
      <c r="H73" s="599"/>
      <c r="I73" s="600"/>
      <c r="J73" s="600"/>
      <c r="K73" s="600"/>
      <c r="L73" s="600"/>
    </row>
    <row r="74" spans="1:12" ht="15.75" customHeight="1" x14ac:dyDescent="0.25">
      <c r="A74" s="928">
        <f t="shared" si="1"/>
        <v>27</v>
      </c>
      <c r="B74" s="926">
        <f>+NOMINA!C70</f>
        <v>9497349</v>
      </c>
      <c r="C74" s="926" t="str">
        <f>+NOMINA!D70</f>
        <v>Cano Blanco Juan Carlos</v>
      </c>
      <c r="D74" s="926" t="str">
        <f>+NOMINA!O70</f>
        <v>Guia de Centro I</v>
      </c>
      <c r="E74" s="929">
        <f>+NOMINA!H70</f>
        <v>45809</v>
      </c>
      <c r="F74" s="930">
        <f>+NOMINA!BL70</f>
        <v>15.6</v>
      </c>
      <c r="G74" s="930">
        <f>+NOMINA!BM70</f>
        <v>1.95</v>
      </c>
      <c r="H74" s="599"/>
      <c r="I74" s="600"/>
      <c r="J74" s="600"/>
      <c r="K74" s="600"/>
      <c r="L74" s="600"/>
    </row>
    <row r="75" spans="1:12" ht="15.75" customHeight="1" x14ac:dyDescent="0.25">
      <c r="A75" s="928">
        <f t="shared" si="1"/>
        <v>28</v>
      </c>
      <c r="B75" s="926">
        <f>+NOMINA!C71</f>
        <v>10033119</v>
      </c>
      <c r="C75" s="926" t="str">
        <f>+NOMINA!D71</f>
        <v>Artigas de Hernandez Ana Maria</v>
      </c>
      <c r="D75" s="926" t="str">
        <f>+NOMINA!O71</f>
        <v>Tutor Facilitador III</v>
      </c>
      <c r="E75" s="929">
        <f>+NOMINA!H71</f>
        <v>43359</v>
      </c>
      <c r="F75" s="930">
        <f>+NOMINA!BL71</f>
        <v>24.79</v>
      </c>
      <c r="G75" s="930">
        <f>+NOMINA!BM71</f>
        <v>3.1</v>
      </c>
      <c r="H75" s="599"/>
      <c r="I75" s="600"/>
      <c r="J75" s="600"/>
      <c r="K75" s="600"/>
      <c r="L75" s="600"/>
    </row>
    <row r="76" spans="1:12" ht="15.75" customHeight="1" x14ac:dyDescent="0.25">
      <c r="A76" s="928">
        <f t="shared" si="1"/>
        <v>29</v>
      </c>
      <c r="B76" s="926">
        <f>+NOMINA!C72</f>
        <v>10035540</v>
      </c>
      <c r="C76" s="926" t="str">
        <f>+NOMINA!D72</f>
        <v>Linares Linares Emma Teresa</v>
      </c>
      <c r="D76" s="926" t="str">
        <f>+NOMINA!O72</f>
        <v>Tecnico Superior en Trabajo Social II</v>
      </c>
      <c r="E76" s="929">
        <f>+NOMINA!H72</f>
        <v>43236</v>
      </c>
      <c r="F76" s="930">
        <f>+NOMINA!BL72</f>
        <v>21.19</v>
      </c>
      <c r="G76" s="930">
        <f>+NOMINA!BM72</f>
        <v>2.65</v>
      </c>
      <c r="H76" s="599"/>
      <c r="I76" s="600"/>
      <c r="J76" s="600"/>
      <c r="K76" s="600"/>
      <c r="L76" s="600"/>
    </row>
    <row r="77" spans="1:12" ht="15.75" customHeight="1" x14ac:dyDescent="0.25">
      <c r="A77" s="928">
        <f t="shared" si="1"/>
        <v>30</v>
      </c>
      <c r="B77" s="926">
        <f>+NOMINA!C73</f>
        <v>10037054</v>
      </c>
      <c r="C77" s="926" t="str">
        <f>+NOMINA!D73</f>
        <v>Aguial Carrillo Deris Margarita</v>
      </c>
      <c r="D77" s="926" t="str">
        <f>+NOMINA!O73</f>
        <v>Guia de Centro II</v>
      </c>
      <c r="E77" s="929">
        <f>+NOMINA!H73</f>
        <v>39820</v>
      </c>
      <c r="F77" s="930">
        <f>+NOMINA!BL73</f>
        <v>20.43</v>
      </c>
      <c r="G77" s="930">
        <f>+NOMINA!BM73</f>
        <v>2.5499999999999998</v>
      </c>
      <c r="H77" s="599"/>
      <c r="I77" s="600"/>
      <c r="J77" s="600"/>
      <c r="K77" s="600"/>
      <c r="L77" s="600"/>
    </row>
    <row r="78" spans="1:12" ht="15.75" customHeight="1" x14ac:dyDescent="0.25">
      <c r="A78" s="928">
        <f t="shared" si="1"/>
        <v>31</v>
      </c>
      <c r="B78" s="926">
        <f>+NOMINA!C74</f>
        <v>10175616</v>
      </c>
      <c r="C78" s="926" t="str">
        <f>+NOMINA!D74</f>
        <v>Carrillo Prato Blanca Isabel</v>
      </c>
      <c r="D78" s="926" t="str">
        <f>+NOMINA!O74</f>
        <v>Medico jefe I</v>
      </c>
      <c r="E78" s="929">
        <f>+NOMINA!H74</f>
        <v>44228</v>
      </c>
      <c r="F78" s="930">
        <f>+NOMINA!BL74</f>
        <v>26.96</v>
      </c>
      <c r="G78" s="930">
        <f>+NOMINA!BM74</f>
        <v>3.37</v>
      </c>
      <c r="H78" s="599"/>
      <c r="I78" s="600"/>
      <c r="J78" s="600"/>
      <c r="K78" s="600"/>
      <c r="L78" s="600"/>
    </row>
    <row r="79" spans="1:12" ht="15.75" customHeight="1" x14ac:dyDescent="0.25">
      <c r="A79" s="928">
        <f t="shared" si="1"/>
        <v>32</v>
      </c>
      <c r="B79" s="926">
        <f>+NOMINA!C75</f>
        <v>10257016</v>
      </c>
      <c r="C79" s="926" t="str">
        <f>+NOMINA!D75</f>
        <v>Torres Dulma Ramona</v>
      </c>
      <c r="D79" s="926" t="str">
        <f>+NOMINA!O75</f>
        <v>Tutor Facilitador III</v>
      </c>
      <c r="E79" s="929">
        <f>+NOMINA!H75</f>
        <v>35947</v>
      </c>
      <c r="F79" s="930">
        <f>+NOMINA!BL75</f>
        <v>29.03</v>
      </c>
      <c r="G79" s="930">
        <f>+NOMINA!BM75</f>
        <v>3.63</v>
      </c>
      <c r="H79" s="599"/>
      <c r="I79" s="600"/>
      <c r="J79" s="600"/>
      <c r="K79" s="600"/>
      <c r="L79" s="600"/>
    </row>
    <row r="80" spans="1:12" ht="15.75" customHeight="1" x14ac:dyDescent="0.25">
      <c r="A80" s="928">
        <f t="shared" si="1"/>
        <v>33</v>
      </c>
      <c r="B80" s="926">
        <f>+NOMINA!C76</f>
        <v>10315803</v>
      </c>
      <c r="C80" s="926" t="str">
        <f>+NOMINA!D76</f>
        <v>Frias Jacson Daniel</v>
      </c>
      <c r="D80" s="926" t="str">
        <f>+NOMINA!O76</f>
        <v>Guia de Centro II</v>
      </c>
      <c r="E80" s="929">
        <f>+NOMINA!H76</f>
        <v>35415</v>
      </c>
      <c r="F80" s="930">
        <f>+NOMINA!BL76</f>
        <v>21.61</v>
      </c>
      <c r="G80" s="930">
        <f>+NOMINA!BM76</f>
        <v>2.7</v>
      </c>
      <c r="H80" s="599"/>
      <c r="I80" s="600"/>
      <c r="J80" s="600"/>
      <c r="K80" s="600"/>
      <c r="L80" s="600"/>
    </row>
    <row r="81" spans="1:12" ht="15.75" customHeight="1" x14ac:dyDescent="0.25">
      <c r="A81" s="928">
        <f t="shared" si="1"/>
        <v>34</v>
      </c>
      <c r="B81" s="926">
        <f>+NOMINA!C77</f>
        <v>10319457</v>
      </c>
      <c r="C81" s="926" t="str">
        <f>+NOMINA!D77</f>
        <v>Marquez Marquez Maribel del Valle</v>
      </c>
      <c r="D81" s="926" t="str">
        <f>+NOMINA!O77</f>
        <v>Secretario Ejecutivo III</v>
      </c>
      <c r="E81" s="929">
        <f>+NOMINA!H77</f>
        <v>38831</v>
      </c>
      <c r="F81" s="930">
        <f>+NOMINA!BL77</f>
        <v>16.739999999999998</v>
      </c>
      <c r="G81" s="930">
        <f>+NOMINA!BM77</f>
        <v>2.09</v>
      </c>
      <c r="H81" s="599"/>
      <c r="I81" s="600"/>
      <c r="J81" s="600"/>
      <c r="K81" s="600"/>
      <c r="L81" s="600"/>
    </row>
    <row r="82" spans="1:12" ht="15.75" customHeight="1" x14ac:dyDescent="0.25">
      <c r="A82" s="928">
        <f t="shared" si="1"/>
        <v>35</v>
      </c>
      <c r="B82" s="926">
        <f>+NOMINA!C78</f>
        <v>10396379</v>
      </c>
      <c r="C82" s="926" t="str">
        <f>+NOMINA!D78</f>
        <v>Ruiz Luis Alfonzo</v>
      </c>
      <c r="D82" s="926" t="str">
        <f>+NOMINA!O78</f>
        <v>ENTRENADOR DEPORTIVO II</v>
      </c>
      <c r="E82" s="929">
        <f>+NOMINA!H78</f>
        <v>44743</v>
      </c>
      <c r="F82" s="930">
        <f>+NOMINA!BL78</f>
        <v>13.13</v>
      </c>
      <c r="G82" s="930">
        <f>+NOMINA!BM78</f>
        <v>1.64</v>
      </c>
      <c r="H82" s="599"/>
      <c r="I82" s="600"/>
      <c r="J82" s="600"/>
      <c r="K82" s="600"/>
      <c r="L82" s="600"/>
    </row>
    <row r="83" spans="1:12" ht="15.75" customHeight="1" x14ac:dyDescent="0.25">
      <c r="A83" s="928">
        <f t="shared" si="1"/>
        <v>36</v>
      </c>
      <c r="B83" s="926">
        <f>+NOMINA!C79</f>
        <v>10398694</v>
      </c>
      <c r="C83" s="926" t="str">
        <f>+NOMINA!D79</f>
        <v>Santana Briceño Jose Gregorio</v>
      </c>
      <c r="D83" s="926" t="str">
        <f>+NOMINA!O79</f>
        <v>Guia de Centro I</v>
      </c>
      <c r="E83" s="929">
        <f>+NOMINA!H79</f>
        <v>44743</v>
      </c>
      <c r="F83" s="930">
        <f>+NOMINA!BL79</f>
        <v>30.7</v>
      </c>
      <c r="G83" s="930">
        <f>+NOMINA!BM79</f>
        <v>3.84</v>
      </c>
      <c r="H83" s="599"/>
      <c r="I83" s="600"/>
      <c r="J83" s="600"/>
      <c r="K83" s="600"/>
      <c r="L83" s="600"/>
    </row>
    <row r="84" spans="1:12" ht="15.75" customHeight="1" x14ac:dyDescent="0.25">
      <c r="A84" s="928">
        <f t="shared" si="1"/>
        <v>37</v>
      </c>
      <c r="B84" s="926">
        <f>+NOMINA!C80</f>
        <v>10399064</v>
      </c>
      <c r="C84" s="926" t="str">
        <f>+NOMINA!D80</f>
        <v>Perdomo Perdomo Angela Aurora</v>
      </c>
      <c r="D84" s="926" t="str">
        <f>+NOMINA!O80</f>
        <v>Guia de Centro II</v>
      </c>
      <c r="E84" s="929">
        <f>+NOMINA!H80</f>
        <v>39328</v>
      </c>
      <c r="F84" s="930">
        <f>+NOMINA!BL80</f>
        <v>29.52</v>
      </c>
      <c r="G84" s="930">
        <f>+NOMINA!BM80</f>
        <v>3.69</v>
      </c>
      <c r="H84" s="599"/>
      <c r="I84" s="600"/>
      <c r="J84" s="600"/>
      <c r="K84" s="600"/>
      <c r="L84" s="600"/>
    </row>
    <row r="85" spans="1:12" ht="15.75" customHeight="1" x14ac:dyDescent="0.25">
      <c r="A85" s="928">
        <f t="shared" si="1"/>
        <v>38</v>
      </c>
      <c r="B85" s="926">
        <f>+NOMINA!C81</f>
        <v>10400214</v>
      </c>
      <c r="C85" s="926" t="str">
        <f>+NOMINA!D81</f>
        <v>Bastidas Yanitza del Valle</v>
      </c>
      <c r="D85" s="926" t="str">
        <f>+NOMINA!O81</f>
        <v>Guia de Centro II</v>
      </c>
      <c r="E85" s="929">
        <f>+NOMINA!H81</f>
        <v>41153</v>
      </c>
      <c r="F85" s="930">
        <f>+NOMINA!BL81</f>
        <v>28.02</v>
      </c>
      <c r="G85" s="930">
        <f>+NOMINA!BM81</f>
        <v>3.5</v>
      </c>
      <c r="H85" s="599"/>
      <c r="I85" s="600"/>
      <c r="J85" s="600"/>
      <c r="K85" s="600"/>
      <c r="L85" s="600"/>
    </row>
    <row r="86" spans="1:12" ht="15.75" customHeight="1" x14ac:dyDescent="0.25">
      <c r="A86" s="928">
        <f t="shared" si="1"/>
        <v>39</v>
      </c>
      <c r="B86" s="926">
        <f>+NOMINA!C82</f>
        <v>10400365</v>
      </c>
      <c r="C86" s="926" t="str">
        <f>+NOMINA!D82</f>
        <v>Briceño Ruiz Sara Josefina</v>
      </c>
      <c r="D86" s="926" t="str">
        <f>+NOMINA!O82</f>
        <v>Supervisor de Servicios Generales IV</v>
      </c>
      <c r="E86" s="929">
        <f>+NOMINA!H82</f>
        <v>39328</v>
      </c>
      <c r="F86" s="930">
        <f>+NOMINA!BL82</f>
        <v>22.71</v>
      </c>
      <c r="G86" s="930">
        <f>+NOMINA!BM82</f>
        <v>2.84</v>
      </c>
      <c r="H86" s="599"/>
      <c r="I86" s="600"/>
      <c r="J86" s="600"/>
      <c r="K86" s="600"/>
      <c r="L86" s="600"/>
    </row>
    <row r="87" spans="1:12" ht="15.75" customHeight="1" x14ac:dyDescent="0.25">
      <c r="A87" s="928">
        <f t="shared" si="1"/>
        <v>40</v>
      </c>
      <c r="B87" s="926">
        <f>+NOMINA!C83</f>
        <v>10400876</v>
      </c>
      <c r="C87" s="926" t="str">
        <f>+NOMINA!D83</f>
        <v>Ramirez Vergara Graciela de Jesus</v>
      </c>
      <c r="D87" s="926" t="str">
        <f>+NOMINA!O83</f>
        <v>Analista de Procesamiento de Datos I</v>
      </c>
      <c r="E87" s="929">
        <f>+NOMINA!H83</f>
        <v>43556</v>
      </c>
      <c r="F87" s="930">
        <f>+NOMINA!BL83</f>
        <v>22.17</v>
      </c>
      <c r="G87" s="930">
        <f>+NOMINA!BM83</f>
        <v>2.77</v>
      </c>
      <c r="H87" s="599"/>
      <c r="I87" s="600"/>
      <c r="J87" s="600"/>
      <c r="K87" s="600"/>
      <c r="L87" s="600"/>
    </row>
    <row r="88" spans="1:12" ht="15.75" customHeight="1" x14ac:dyDescent="0.25">
      <c r="A88" s="928">
        <f t="shared" si="1"/>
        <v>41</v>
      </c>
      <c r="B88" s="926">
        <f>+NOMINA!C84</f>
        <v>10404528</v>
      </c>
      <c r="C88" s="926" t="str">
        <f>+NOMINA!D84</f>
        <v>Perez Castellano Javier Horacio</v>
      </c>
      <c r="D88" s="926" t="str">
        <f>+NOMINA!O84</f>
        <v>Administrador IV</v>
      </c>
      <c r="E88" s="929">
        <f>+NOMINA!H84</f>
        <v>37622</v>
      </c>
      <c r="F88" s="930">
        <f>+NOMINA!BL84</f>
        <v>0</v>
      </c>
      <c r="G88" s="930">
        <f>+NOMINA!BM84</f>
        <v>0</v>
      </c>
      <c r="H88" s="599"/>
      <c r="I88" s="600"/>
      <c r="J88" s="600"/>
      <c r="K88" s="600"/>
      <c r="L88" s="600"/>
    </row>
    <row r="89" spans="1:12" ht="15.75" customHeight="1" x14ac:dyDescent="0.25">
      <c r="A89" s="928">
        <f t="shared" si="1"/>
        <v>42</v>
      </c>
      <c r="B89" s="926">
        <f>+NOMINA!C85</f>
        <v>10906110</v>
      </c>
      <c r="C89" s="926" t="str">
        <f>+NOMINA!D85</f>
        <v>Linares Prato Yraima Gregoria</v>
      </c>
      <c r="D89" s="926" t="str">
        <f>+NOMINA!O85</f>
        <v>Guia de Centro I</v>
      </c>
      <c r="E89" s="929">
        <f>+NOMINA!H85</f>
        <v>45292</v>
      </c>
      <c r="F89" s="930">
        <f>+NOMINA!BL85</f>
        <v>15.68</v>
      </c>
      <c r="G89" s="930">
        <f>+NOMINA!BM85</f>
        <v>1.96</v>
      </c>
      <c r="H89" s="599"/>
      <c r="I89" s="600"/>
      <c r="J89" s="600"/>
      <c r="K89" s="600"/>
      <c r="L89" s="600"/>
    </row>
    <row r="90" spans="1:12" ht="15.75" customHeight="1" x14ac:dyDescent="0.25">
      <c r="A90" s="928">
        <f t="shared" si="1"/>
        <v>43</v>
      </c>
      <c r="B90" s="926">
        <f>+NOMINA!C86</f>
        <v>10906923</v>
      </c>
      <c r="C90" s="926" t="str">
        <f>+NOMINA!D86</f>
        <v>Cruz de Rodriguez Yanet Coromoto</v>
      </c>
      <c r="D90" s="926" t="str">
        <f>+NOMINA!O86</f>
        <v>Guia de Centro I</v>
      </c>
      <c r="E90" s="929">
        <f>+NOMINA!H86</f>
        <v>44636</v>
      </c>
      <c r="F90" s="930">
        <f>+NOMINA!BL86</f>
        <v>20.39</v>
      </c>
      <c r="G90" s="930">
        <f>+NOMINA!BM86</f>
        <v>2.5499999999999998</v>
      </c>
      <c r="H90" s="599"/>
      <c r="I90" s="600"/>
      <c r="J90" s="600"/>
      <c r="K90" s="600"/>
      <c r="L90" s="600"/>
    </row>
    <row r="91" spans="1:12" ht="15.75" customHeight="1" x14ac:dyDescent="0.25">
      <c r="A91" s="928">
        <f t="shared" si="1"/>
        <v>44</v>
      </c>
      <c r="B91" s="926">
        <f>+NOMINA!C87</f>
        <v>10908510</v>
      </c>
      <c r="C91" s="926" t="str">
        <f>+NOMINA!D87</f>
        <v>Castro de Vielma Yanira Rosa</v>
      </c>
      <c r="D91" s="926" t="str">
        <f>+NOMINA!O87</f>
        <v>Jefe de Centro</v>
      </c>
      <c r="E91" s="929">
        <f>+NOMINA!H87</f>
        <v>39874</v>
      </c>
      <c r="F91" s="930">
        <f>+NOMINA!BL87</f>
        <v>28.96</v>
      </c>
      <c r="G91" s="930">
        <f>+NOMINA!BM87</f>
        <v>3.62</v>
      </c>
      <c r="H91" s="599"/>
      <c r="I91" s="600"/>
      <c r="J91" s="600"/>
      <c r="K91" s="600"/>
      <c r="L91" s="600"/>
    </row>
    <row r="92" spans="1:12" ht="15.75" customHeight="1" x14ac:dyDescent="0.25">
      <c r="A92" s="928">
        <f t="shared" si="1"/>
        <v>45</v>
      </c>
      <c r="B92" s="926">
        <f>+NOMINA!C88</f>
        <v>10909245</v>
      </c>
      <c r="C92" s="926" t="str">
        <f>+NOMINA!D88</f>
        <v>Delduca Moreno Luisa</v>
      </c>
      <c r="D92" s="926" t="str">
        <f>+NOMINA!O88</f>
        <v>Guia de Centro II</v>
      </c>
      <c r="E92" s="929">
        <f>+NOMINA!H88</f>
        <v>36054</v>
      </c>
      <c r="F92" s="930">
        <f>+NOMINA!BL88</f>
        <v>30.7</v>
      </c>
      <c r="G92" s="930">
        <f>+NOMINA!BM88</f>
        <v>3.84</v>
      </c>
      <c r="H92" s="599"/>
      <c r="I92" s="600"/>
      <c r="J92" s="600"/>
      <c r="K92" s="600"/>
      <c r="L92" s="600"/>
    </row>
    <row r="93" spans="1:12" ht="15.75" customHeight="1" x14ac:dyDescent="0.25">
      <c r="A93" s="928">
        <f t="shared" si="1"/>
        <v>46</v>
      </c>
      <c r="B93" s="926">
        <f>+NOMINA!C89</f>
        <v>10910698</v>
      </c>
      <c r="C93" s="926" t="str">
        <f>+NOMINA!D89</f>
        <v>Rangel Briceño Marcial Segundo</v>
      </c>
      <c r="D93" s="926" t="str">
        <f>+NOMINA!O89</f>
        <v>Asistente Administrativo II</v>
      </c>
      <c r="E93" s="929">
        <f>+NOMINA!H89</f>
        <v>43891</v>
      </c>
      <c r="F93" s="930">
        <f>+NOMINA!BL89</f>
        <v>13.27</v>
      </c>
      <c r="G93" s="930">
        <f>+NOMINA!BM89</f>
        <v>1.66</v>
      </c>
      <c r="H93" s="599"/>
      <c r="I93" s="600"/>
      <c r="J93" s="600"/>
      <c r="K93" s="600"/>
      <c r="L93" s="600"/>
    </row>
    <row r="94" spans="1:12" ht="15.75" customHeight="1" x14ac:dyDescent="0.25">
      <c r="A94" s="928">
        <f t="shared" si="1"/>
        <v>47</v>
      </c>
      <c r="B94" s="926">
        <f>+NOMINA!C90</f>
        <v>10912595</v>
      </c>
      <c r="C94" s="926" t="str">
        <f>+NOMINA!D90</f>
        <v>Delfin Bustos Jose Hercilio</v>
      </c>
      <c r="D94" s="926" t="str">
        <f>+NOMINA!O90</f>
        <v>Guia de Centro II</v>
      </c>
      <c r="E94" s="929">
        <f>+NOMINA!H90</f>
        <v>36039</v>
      </c>
      <c r="F94" s="930">
        <f>+NOMINA!BL90</f>
        <v>0</v>
      </c>
      <c r="G94" s="930">
        <f>+NOMINA!BM90</f>
        <v>0</v>
      </c>
      <c r="H94" s="599"/>
      <c r="I94" s="600"/>
      <c r="J94" s="600"/>
      <c r="K94" s="600"/>
      <c r="L94" s="600"/>
    </row>
    <row r="95" spans="1:12" ht="15.75" customHeight="1" x14ac:dyDescent="0.25">
      <c r="A95" s="928">
        <f t="shared" si="1"/>
        <v>48</v>
      </c>
      <c r="B95" s="926">
        <f>+NOMINA!C91</f>
        <v>10913178</v>
      </c>
      <c r="C95" s="926" t="str">
        <f>+NOMINA!D91</f>
        <v>Garcia Moreno Iris Josefina</v>
      </c>
      <c r="D95" s="926" t="str">
        <f>+NOMINA!O91</f>
        <v>Asistente de Servicio Social</v>
      </c>
      <c r="E95" s="929">
        <f>+NOMINA!H91</f>
        <v>44805</v>
      </c>
      <c r="F95" s="930">
        <f>+NOMINA!BL91</f>
        <v>15.14</v>
      </c>
      <c r="G95" s="930">
        <f>+NOMINA!BM91</f>
        <v>1.89</v>
      </c>
      <c r="H95" s="599"/>
      <c r="I95" s="600"/>
      <c r="J95" s="600"/>
      <c r="K95" s="600"/>
      <c r="L95" s="600"/>
    </row>
    <row r="96" spans="1:12" ht="15.75" customHeight="1" x14ac:dyDescent="0.25">
      <c r="A96" s="928">
        <f t="shared" si="1"/>
        <v>49</v>
      </c>
      <c r="B96" s="926">
        <f>+NOMINA!C92</f>
        <v>10913637</v>
      </c>
      <c r="C96" s="926" t="str">
        <f>+NOMINA!D92</f>
        <v>Angarita Hernandez Ana del Carmen</v>
      </c>
      <c r="D96" s="926" t="str">
        <f>+NOMINA!O92</f>
        <v>Guia de Centro II</v>
      </c>
      <c r="E96" s="929">
        <f>+NOMINA!H92</f>
        <v>40664</v>
      </c>
      <c r="F96" s="930">
        <f>+NOMINA!BL92</f>
        <v>34.5</v>
      </c>
      <c r="G96" s="930">
        <f>+NOMINA!BM92</f>
        <v>4.3099999999999996</v>
      </c>
      <c r="H96" s="599"/>
      <c r="I96" s="600"/>
      <c r="J96" s="600"/>
      <c r="K96" s="600"/>
      <c r="L96" s="600"/>
    </row>
    <row r="97" spans="1:12" ht="15.75" customHeight="1" x14ac:dyDescent="0.25">
      <c r="A97" s="928">
        <f t="shared" si="1"/>
        <v>50</v>
      </c>
      <c r="B97" s="926">
        <f>+NOMINA!C93</f>
        <v>10915223</v>
      </c>
      <c r="C97" s="926" t="str">
        <f>+NOMINA!D93</f>
        <v>Contreras Rojo Gerardo Alexander</v>
      </c>
      <c r="D97" s="926" t="str">
        <f>+NOMINA!O93</f>
        <v>Tutor Facilitador III</v>
      </c>
      <c r="E97" s="929">
        <f>+NOMINA!H93</f>
        <v>35339</v>
      </c>
      <c r="F97" s="930">
        <f>+NOMINA!BL93</f>
        <v>33.700000000000003</v>
      </c>
      <c r="G97" s="930">
        <f>+NOMINA!BM93</f>
        <v>4.21</v>
      </c>
      <c r="H97" s="599"/>
      <c r="I97" s="600"/>
      <c r="J97" s="600"/>
      <c r="K97" s="600"/>
      <c r="L97" s="600"/>
    </row>
    <row r="98" spans="1:12" ht="15.75" customHeight="1" x14ac:dyDescent="0.25">
      <c r="A98" s="928">
        <f t="shared" si="1"/>
        <v>51</v>
      </c>
      <c r="B98" s="926">
        <f>+NOMINA!C94</f>
        <v>10915384</v>
      </c>
      <c r="C98" s="926" t="str">
        <f>+NOMINA!D94</f>
        <v>Rojas Hernandez Morela del Carmen</v>
      </c>
      <c r="D98" s="926" t="str">
        <f>+NOMINA!O94</f>
        <v>Guia de Centro II</v>
      </c>
      <c r="E98" s="929">
        <f>+NOMINA!H94</f>
        <v>43147</v>
      </c>
      <c r="F98" s="930">
        <f>+NOMINA!BL94</f>
        <v>26.45</v>
      </c>
      <c r="G98" s="930">
        <f>+NOMINA!BM94</f>
        <v>3.31</v>
      </c>
      <c r="H98" s="599"/>
      <c r="I98" s="600"/>
      <c r="J98" s="600"/>
      <c r="K98" s="600"/>
      <c r="L98" s="600"/>
    </row>
    <row r="99" spans="1:12" ht="15.75" customHeight="1" x14ac:dyDescent="0.25">
      <c r="A99" s="928">
        <f t="shared" si="1"/>
        <v>52</v>
      </c>
      <c r="B99" s="926">
        <f>+NOMINA!C95</f>
        <v>10915597</v>
      </c>
      <c r="C99" s="926" t="str">
        <f>+NOMINA!D95</f>
        <v>Carrillo Altuve Maria Mercedes</v>
      </c>
      <c r="D99" s="926" t="str">
        <f>+NOMINA!O95</f>
        <v>Guia de Centro I</v>
      </c>
      <c r="E99" s="929">
        <f>+NOMINA!H95</f>
        <v>44501</v>
      </c>
      <c r="F99" s="930">
        <f>+NOMINA!BL95</f>
        <v>29.87</v>
      </c>
      <c r="G99" s="930">
        <f>+NOMINA!BM95</f>
        <v>3.73</v>
      </c>
      <c r="H99" s="599"/>
      <c r="I99" s="600"/>
      <c r="J99" s="600"/>
      <c r="K99" s="600"/>
      <c r="L99" s="600"/>
    </row>
    <row r="100" spans="1:12" ht="15.75" customHeight="1" x14ac:dyDescent="0.25">
      <c r="A100" s="928">
        <f t="shared" si="1"/>
        <v>53</v>
      </c>
      <c r="B100" s="926">
        <f>+NOMINA!C96</f>
        <v>11128954</v>
      </c>
      <c r="C100" s="926" t="str">
        <f>+NOMINA!D96</f>
        <v>Soto Lopez Rafael Maria</v>
      </c>
      <c r="D100" s="926" t="str">
        <f>+NOMINA!O96</f>
        <v>Guia de Centro I</v>
      </c>
      <c r="E100" s="929">
        <f>+NOMINA!H96</f>
        <v>45170</v>
      </c>
      <c r="F100" s="930">
        <f>+NOMINA!BL96</f>
        <v>31.6</v>
      </c>
      <c r="G100" s="930">
        <f>+NOMINA!BM96</f>
        <v>3.95</v>
      </c>
      <c r="H100" s="599"/>
      <c r="I100" s="600"/>
      <c r="J100" s="600"/>
      <c r="K100" s="600"/>
      <c r="L100" s="600"/>
    </row>
    <row r="101" spans="1:12" ht="15.75" customHeight="1" x14ac:dyDescent="0.25">
      <c r="A101" s="928">
        <f t="shared" si="1"/>
        <v>54</v>
      </c>
      <c r="B101" s="926">
        <f>+NOMINA!C97</f>
        <v>11132900</v>
      </c>
      <c r="C101" s="926" t="str">
        <f>+NOMINA!D97</f>
        <v>Morillo Valero Ender Ramon</v>
      </c>
      <c r="D101" s="926" t="str">
        <f>+NOMINA!O97</f>
        <v>Guia de Centro I</v>
      </c>
      <c r="E101" s="929">
        <f>+NOMINA!H97</f>
        <v>44866</v>
      </c>
      <c r="F101" s="930">
        <f>+NOMINA!BL97</f>
        <v>23.46</v>
      </c>
      <c r="G101" s="930">
        <f>+NOMINA!BM97</f>
        <v>2.93</v>
      </c>
      <c r="H101" s="599"/>
      <c r="I101" s="600"/>
      <c r="J101" s="600"/>
      <c r="K101" s="600"/>
      <c r="L101" s="600"/>
    </row>
    <row r="102" spans="1:12" ht="15.75" customHeight="1" x14ac:dyDescent="0.25">
      <c r="A102" s="928">
        <f t="shared" si="1"/>
        <v>55</v>
      </c>
      <c r="B102" s="926">
        <f>+NOMINA!C98</f>
        <v>11132943</v>
      </c>
      <c r="C102" s="926" t="str">
        <f>+NOMINA!D98</f>
        <v>Materano Delgado Yoleida Josefina</v>
      </c>
      <c r="D102" s="926" t="str">
        <f>+NOMINA!O98</f>
        <v>Guia de Centro II</v>
      </c>
      <c r="E102" s="929">
        <f>+NOMINA!H98</f>
        <v>39738</v>
      </c>
      <c r="F102" s="930">
        <f>+NOMINA!BL98</f>
        <v>15.72</v>
      </c>
      <c r="G102" s="930">
        <f>+NOMINA!BM98</f>
        <v>1.96</v>
      </c>
      <c r="H102" s="599"/>
      <c r="I102" s="600"/>
      <c r="J102" s="600"/>
      <c r="K102" s="600"/>
      <c r="L102" s="600"/>
    </row>
    <row r="103" spans="1:12" ht="15.75" customHeight="1" x14ac:dyDescent="0.25">
      <c r="A103" s="928">
        <f t="shared" si="1"/>
        <v>56</v>
      </c>
      <c r="B103" s="926">
        <f>+NOMINA!C99</f>
        <v>11132979</v>
      </c>
      <c r="C103" s="926" t="str">
        <f>+NOMINA!D99</f>
        <v>Olivar Santana Maria Valbina</v>
      </c>
      <c r="D103" s="926" t="str">
        <f>+NOMINA!O99</f>
        <v>Guia de Centro II</v>
      </c>
      <c r="E103" s="929">
        <f>+NOMINA!H99</f>
        <v>44348</v>
      </c>
      <c r="F103" s="930">
        <f>+NOMINA!BL99</f>
        <v>36.25</v>
      </c>
      <c r="G103" s="930">
        <f>+NOMINA!BM99</f>
        <v>4.53</v>
      </c>
      <c r="H103" s="599"/>
      <c r="I103" s="600"/>
      <c r="J103" s="600"/>
      <c r="K103" s="600"/>
      <c r="L103" s="600"/>
    </row>
    <row r="104" spans="1:12" ht="15.75" customHeight="1" x14ac:dyDescent="0.25">
      <c r="A104" s="928">
        <f t="shared" si="1"/>
        <v>57</v>
      </c>
      <c r="B104" s="926">
        <f>+NOMINA!C100</f>
        <v>11257247</v>
      </c>
      <c r="C104" s="926" t="str">
        <f>+NOMINA!D100</f>
        <v>Chacin Sanchez Eduard Fabian</v>
      </c>
      <c r="D104" s="926" t="str">
        <f>+NOMINA!O100</f>
        <v>DELEGADO PRUEBA III</v>
      </c>
      <c r="E104" s="929">
        <f>+NOMINA!H100</f>
        <v>42492</v>
      </c>
      <c r="F104" s="930">
        <f>+NOMINA!BL100</f>
        <v>26.02</v>
      </c>
      <c r="G104" s="930">
        <f>+NOMINA!BM100</f>
        <v>3.25</v>
      </c>
      <c r="H104" s="599"/>
      <c r="I104" s="600"/>
      <c r="J104" s="600"/>
      <c r="K104" s="600"/>
      <c r="L104" s="600"/>
    </row>
    <row r="105" spans="1:12" ht="15.75" customHeight="1" x14ac:dyDescent="0.25">
      <c r="A105" s="928">
        <f t="shared" si="1"/>
        <v>58</v>
      </c>
      <c r="B105" s="926">
        <f>+NOMINA!C101</f>
        <v>11318142</v>
      </c>
      <c r="C105" s="926" t="str">
        <f>+NOMINA!D101</f>
        <v>Perdomo Rosales Modesto Ramon</v>
      </c>
      <c r="D105" s="926" t="str">
        <f>+NOMINA!O101</f>
        <v>Almacenista II</v>
      </c>
      <c r="E105" s="929">
        <f>+NOMINA!H101</f>
        <v>43983</v>
      </c>
      <c r="F105" s="930">
        <f>+NOMINA!BL101</f>
        <v>13.27</v>
      </c>
      <c r="G105" s="930">
        <f>+NOMINA!BM101</f>
        <v>1.66</v>
      </c>
      <c r="H105" s="599"/>
      <c r="I105" s="600"/>
      <c r="J105" s="600"/>
      <c r="K105" s="600"/>
      <c r="L105" s="600"/>
    </row>
    <row r="106" spans="1:12" ht="15.75" customHeight="1" x14ac:dyDescent="0.25">
      <c r="A106" s="928">
        <f t="shared" si="1"/>
        <v>59</v>
      </c>
      <c r="B106" s="926">
        <f>+NOMINA!C102</f>
        <v>11318697</v>
      </c>
      <c r="C106" s="926" t="str">
        <f>+NOMINA!D102</f>
        <v>Sardi Hernandez Gladis Josefina</v>
      </c>
      <c r="D106" s="926" t="str">
        <f>+NOMINA!O102</f>
        <v>Asistente Administrativo III</v>
      </c>
      <c r="E106" s="929">
        <f>+NOMINA!H102</f>
        <v>39539</v>
      </c>
      <c r="F106" s="930">
        <f>+NOMINA!BL102</f>
        <v>15.85</v>
      </c>
      <c r="G106" s="930">
        <f>+NOMINA!BM102</f>
        <v>1.98</v>
      </c>
      <c r="H106" s="599"/>
      <c r="I106" s="600"/>
      <c r="J106" s="600"/>
      <c r="K106" s="600"/>
      <c r="L106" s="600"/>
    </row>
    <row r="107" spans="1:12" ht="15.75" customHeight="1" x14ac:dyDescent="0.25">
      <c r="A107" s="928">
        <f t="shared" si="1"/>
        <v>60</v>
      </c>
      <c r="B107" s="926">
        <f>+NOMINA!C103</f>
        <v>11319154</v>
      </c>
      <c r="C107" s="926" t="str">
        <f>+NOMINA!D103</f>
        <v>Peña Villegas Lisette Carolina</v>
      </c>
      <c r="D107" s="926" t="str">
        <f>+NOMINA!O103</f>
        <v>Guia de Centro II</v>
      </c>
      <c r="E107" s="929">
        <f>+NOMINA!H103</f>
        <v>34428</v>
      </c>
      <c r="F107" s="930">
        <f>+NOMINA!BL103</f>
        <v>33.700000000000003</v>
      </c>
      <c r="G107" s="930">
        <f>+NOMINA!BM103</f>
        <v>4.21</v>
      </c>
      <c r="H107" s="599"/>
      <c r="I107" s="600"/>
      <c r="J107" s="600"/>
      <c r="K107" s="600"/>
      <c r="L107" s="600"/>
    </row>
    <row r="108" spans="1:12" ht="15.75" customHeight="1" x14ac:dyDescent="0.25">
      <c r="A108" s="928">
        <f t="shared" si="1"/>
        <v>61</v>
      </c>
      <c r="B108" s="926">
        <f>+NOMINA!C104</f>
        <v>11320533</v>
      </c>
      <c r="C108" s="926" t="str">
        <f>+NOMINA!D104</f>
        <v>Suarez Chiquin Yaritza Josefina</v>
      </c>
      <c r="D108" s="926" t="str">
        <f>+NOMINA!O104</f>
        <v>Administrador IV</v>
      </c>
      <c r="E108" s="929">
        <f>+NOMINA!H104</f>
        <v>37629</v>
      </c>
      <c r="F108" s="930">
        <f>+NOMINA!BL104</f>
        <v>0</v>
      </c>
      <c r="G108" s="930">
        <f>+NOMINA!BM104</f>
        <v>0</v>
      </c>
      <c r="H108" s="599"/>
      <c r="I108" s="600"/>
      <c r="J108" s="600"/>
      <c r="K108" s="600"/>
      <c r="L108" s="600"/>
    </row>
    <row r="109" spans="1:12" ht="15.75" customHeight="1" x14ac:dyDescent="0.25">
      <c r="A109" s="928">
        <f t="shared" si="1"/>
        <v>62</v>
      </c>
      <c r="B109" s="926">
        <f>+NOMINA!C105</f>
        <v>11322871</v>
      </c>
      <c r="C109" s="926" t="str">
        <f>+NOMINA!D105</f>
        <v>Rivas Albarran Martin Antonio</v>
      </c>
      <c r="D109" s="926" t="str">
        <f>+NOMINA!O105</f>
        <v>Tutor Facilitador III</v>
      </c>
      <c r="E109" s="929">
        <f>+NOMINA!H105</f>
        <v>38718</v>
      </c>
      <c r="F109" s="930">
        <f>+NOMINA!BL105</f>
        <v>28.1</v>
      </c>
      <c r="G109" s="930">
        <f>+NOMINA!BM105</f>
        <v>3.51</v>
      </c>
      <c r="H109" s="599"/>
      <c r="I109" s="600"/>
      <c r="J109" s="600"/>
      <c r="K109" s="600"/>
      <c r="L109" s="600"/>
    </row>
    <row r="110" spans="1:12" ht="15.75" customHeight="1" x14ac:dyDescent="0.25">
      <c r="A110" s="928">
        <f t="shared" si="1"/>
        <v>63</v>
      </c>
      <c r="B110" s="926">
        <f>+NOMINA!C106</f>
        <v>11616673</v>
      </c>
      <c r="C110" s="926" t="str">
        <f>+NOMINA!D106</f>
        <v>Perdomo Orlando Jose</v>
      </c>
      <c r="D110" s="926" t="str">
        <f>+NOMINA!O106</f>
        <v>Tutor Facilitador III</v>
      </c>
      <c r="E110" s="929">
        <f>+NOMINA!H106</f>
        <v>35066</v>
      </c>
      <c r="F110" s="930">
        <f>+NOMINA!BL106</f>
        <v>29.03</v>
      </c>
      <c r="G110" s="930">
        <f>+NOMINA!BM106</f>
        <v>3.63</v>
      </c>
      <c r="H110" s="599"/>
      <c r="I110" s="600"/>
      <c r="J110" s="600"/>
      <c r="K110" s="600"/>
      <c r="L110" s="600"/>
    </row>
    <row r="111" spans="1:12" ht="15.75" customHeight="1" x14ac:dyDescent="0.25">
      <c r="A111" s="928">
        <f t="shared" si="1"/>
        <v>64</v>
      </c>
      <c r="B111" s="926">
        <f>+NOMINA!C107</f>
        <v>11734553</v>
      </c>
      <c r="C111" s="926" t="str">
        <f>+NOMINA!D107</f>
        <v>Teran Torres Olga del Carmen</v>
      </c>
      <c r="D111" s="926" t="str">
        <f>+NOMINA!O107</f>
        <v>Tutor Facilitador III</v>
      </c>
      <c r="E111" s="929">
        <f>+NOMINA!H107</f>
        <v>43206</v>
      </c>
      <c r="F111" s="930">
        <f>+NOMINA!BL107</f>
        <v>28.71</v>
      </c>
      <c r="G111" s="930">
        <f>+NOMINA!BM107</f>
        <v>3.59</v>
      </c>
      <c r="H111" s="599"/>
      <c r="I111" s="600"/>
      <c r="J111" s="600"/>
      <c r="K111" s="600"/>
      <c r="L111" s="600"/>
    </row>
    <row r="112" spans="1:12" ht="15.75" customHeight="1" x14ac:dyDescent="0.25">
      <c r="A112" s="928">
        <f t="shared" si="1"/>
        <v>65</v>
      </c>
      <c r="B112" s="926">
        <f>+NOMINA!C108</f>
        <v>11894534</v>
      </c>
      <c r="C112" s="926" t="str">
        <f>+NOMINA!D108</f>
        <v>Olmos Rodriguez Eberto de Jesus</v>
      </c>
      <c r="D112" s="926" t="str">
        <f>+NOMINA!O108</f>
        <v>Administrador Jefe</v>
      </c>
      <c r="E112" s="929">
        <f>+NOMINA!H108</f>
        <v>40909</v>
      </c>
      <c r="F112" s="930">
        <f>+NOMINA!BL108</f>
        <v>0</v>
      </c>
      <c r="G112" s="930">
        <f>+NOMINA!BM108</f>
        <v>0</v>
      </c>
      <c r="H112" s="599"/>
      <c r="I112" s="600"/>
      <c r="J112" s="600"/>
      <c r="K112" s="600"/>
      <c r="L112" s="600"/>
    </row>
    <row r="113" spans="1:12" ht="15.75" customHeight="1" x14ac:dyDescent="0.25">
      <c r="A113" s="928">
        <f t="shared" si="1"/>
        <v>66</v>
      </c>
      <c r="B113" s="926">
        <f>+NOMINA!C109</f>
        <v>11895772</v>
      </c>
      <c r="C113" s="926" t="str">
        <f>+NOMINA!D109</f>
        <v>Rangel Rivas Ildemaro</v>
      </c>
      <c r="D113" s="926" t="str">
        <f>+NOMINA!O109</f>
        <v>Entrenador Deportivo II</v>
      </c>
      <c r="E113" s="929">
        <f>+NOMINA!H109</f>
        <v>44743</v>
      </c>
      <c r="F113" s="930">
        <f>+NOMINA!BL109</f>
        <v>0</v>
      </c>
      <c r="G113" s="930">
        <f>+NOMINA!BM109</f>
        <v>0</v>
      </c>
      <c r="H113" s="599"/>
      <c r="I113" s="600"/>
      <c r="J113" s="600"/>
      <c r="K113" s="600"/>
      <c r="L113" s="600"/>
    </row>
    <row r="114" spans="1:12" ht="15.75" customHeight="1" x14ac:dyDescent="0.25">
      <c r="A114" s="928">
        <f t="shared" ref="A114:A177" si="2">+A113+1</f>
        <v>67</v>
      </c>
      <c r="B114" s="926">
        <f>+NOMINA!C110</f>
        <v>11898486</v>
      </c>
      <c r="C114" s="926" t="str">
        <f>+NOMINA!D110</f>
        <v>Linares Hernandez Thaiz Yoconda</v>
      </c>
      <c r="D114" s="926" t="str">
        <f>+NOMINA!O110</f>
        <v>Asistente Administrativo III</v>
      </c>
      <c r="E114" s="929">
        <f>+NOMINA!H110</f>
        <v>40065</v>
      </c>
      <c r="F114" s="930">
        <f>+NOMINA!BL110</f>
        <v>22.17</v>
      </c>
      <c r="G114" s="930">
        <f>+NOMINA!BM110</f>
        <v>2.77</v>
      </c>
      <c r="H114" s="599"/>
      <c r="I114" s="600"/>
      <c r="J114" s="600"/>
      <c r="K114" s="600"/>
      <c r="L114" s="600"/>
    </row>
    <row r="115" spans="1:12" ht="15.75" customHeight="1" x14ac:dyDescent="0.25">
      <c r="A115" s="928">
        <f t="shared" si="2"/>
        <v>68</v>
      </c>
      <c r="B115" s="926">
        <f>+NOMINA!C111</f>
        <v>12040792</v>
      </c>
      <c r="C115" s="926" t="str">
        <f>+NOMINA!D111</f>
        <v>Sulbaran Campos Jesus Alberto</v>
      </c>
      <c r="D115" s="926" t="str">
        <f>+NOMINA!O111</f>
        <v>Supervisor de Servicios Generales III</v>
      </c>
      <c r="E115" s="929">
        <f>+NOMINA!H111</f>
        <v>43236</v>
      </c>
      <c r="F115" s="930">
        <f>+NOMINA!BL111</f>
        <v>17.53</v>
      </c>
      <c r="G115" s="930">
        <f>+NOMINA!BM111</f>
        <v>2.19</v>
      </c>
      <c r="H115" s="599"/>
      <c r="I115" s="600"/>
      <c r="J115" s="600"/>
      <c r="K115" s="600"/>
      <c r="L115" s="600"/>
    </row>
    <row r="116" spans="1:12" ht="15.75" customHeight="1" x14ac:dyDescent="0.25">
      <c r="A116" s="928">
        <f t="shared" si="2"/>
        <v>69</v>
      </c>
      <c r="B116" s="926">
        <f>+NOMINA!C112</f>
        <v>12042855</v>
      </c>
      <c r="C116" s="926" t="str">
        <f>+NOMINA!D112</f>
        <v>Alburguez  Manzanilla Neira Josefina</v>
      </c>
      <c r="D116" s="926" t="str">
        <f>+NOMINA!O112</f>
        <v>Enfermera Jefe I</v>
      </c>
      <c r="E116" s="929">
        <f>+NOMINA!H112</f>
        <v>44028</v>
      </c>
      <c r="F116" s="930">
        <f>+NOMINA!BL112</f>
        <v>20.77</v>
      </c>
      <c r="G116" s="930">
        <f>+NOMINA!BM112</f>
        <v>2.6</v>
      </c>
      <c r="H116" s="599"/>
      <c r="I116" s="600"/>
      <c r="J116" s="600"/>
      <c r="K116" s="600"/>
      <c r="L116" s="600"/>
    </row>
    <row r="117" spans="1:12" ht="15.75" customHeight="1" x14ac:dyDescent="0.25">
      <c r="A117" s="928">
        <f t="shared" si="2"/>
        <v>70</v>
      </c>
      <c r="B117" s="926">
        <f>+NOMINA!C113</f>
        <v>12045335</v>
      </c>
      <c r="C117" s="926" t="str">
        <f>+NOMINA!D113</f>
        <v>Gonzalez De Briceño Yasmin Coromoto</v>
      </c>
      <c r="D117" s="926" t="str">
        <f>+NOMINA!O113</f>
        <v>Guia de Centro I</v>
      </c>
      <c r="E117" s="929">
        <f>+NOMINA!H113</f>
        <v>45505</v>
      </c>
      <c r="F117" s="930">
        <f>+NOMINA!BL113</f>
        <v>28.38</v>
      </c>
      <c r="G117" s="930">
        <f>+NOMINA!BM113</f>
        <v>3.55</v>
      </c>
      <c r="H117" s="599"/>
      <c r="I117" s="600"/>
      <c r="J117" s="600"/>
      <c r="K117" s="600"/>
      <c r="L117" s="600"/>
    </row>
    <row r="118" spans="1:12" ht="15.75" customHeight="1" x14ac:dyDescent="0.25">
      <c r="A118" s="928">
        <f t="shared" si="2"/>
        <v>71</v>
      </c>
      <c r="B118" s="926">
        <f>+NOMINA!C114</f>
        <v>12045360</v>
      </c>
      <c r="C118" s="926" t="str">
        <f>+NOMINA!D114</f>
        <v>Montilla Lamus Ana Cristina</v>
      </c>
      <c r="D118" s="926" t="str">
        <f>+NOMINA!O114</f>
        <v>Guia de Centro I</v>
      </c>
      <c r="E118" s="929">
        <f>+NOMINA!H114</f>
        <v>39238</v>
      </c>
      <c r="F118" s="930">
        <f>+NOMINA!BL114</f>
        <v>16.61</v>
      </c>
      <c r="G118" s="930">
        <f>+NOMINA!BM114</f>
        <v>2.08</v>
      </c>
      <c r="H118" s="599"/>
      <c r="I118" s="600"/>
      <c r="J118" s="600"/>
      <c r="K118" s="600"/>
      <c r="L118" s="600"/>
    </row>
    <row r="119" spans="1:12" ht="15.75" customHeight="1" x14ac:dyDescent="0.25">
      <c r="A119" s="928">
        <f t="shared" si="2"/>
        <v>72</v>
      </c>
      <c r="B119" s="926">
        <f>+NOMINA!C115</f>
        <v>12045504</v>
      </c>
      <c r="C119" s="926" t="str">
        <f>+NOMINA!D115</f>
        <v>Sanchez Olivar Denis Josefina</v>
      </c>
      <c r="D119" s="926" t="str">
        <f>+NOMINA!O115</f>
        <v>Asistente Administrativo II</v>
      </c>
      <c r="E119" s="929">
        <f>+NOMINA!H115</f>
        <v>43862</v>
      </c>
      <c r="F119" s="930">
        <f>+NOMINA!BL115</f>
        <v>14.42</v>
      </c>
      <c r="G119" s="930">
        <f>+NOMINA!BM115</f>
        <v>1.8</v>
      </c>
      <c r="H119" s="599"/>
      <c r="I119" s="600"/>
      <c r="J119" s="600"/>
      <c r="K119" s="600"/>
      <c r="L119" s="600"/>
    </row>
    <row r="120" spans="1:12" ht="15.75" customHeight="1" x14ac:dyDescent="0.25">
      <c r="A120" s="928">
        <f t="shared" si="2"/>
        <v>73</v>
      </c>
      <c r="B120" s="926">
        <f>+NOMINA!C116</f>
        <v>12045934</v>
      </c>
      <c r="C120" s="926" t="str">
        <f>+NOMINA!D116</f>
        <v>Mendez Olmos Tulio Enrique</v>
      </c>
      <c r="D120" s="926" t="str">
        <f>+NOMINA!O116</f>
        <v>Especialista en Informatica I</v>
      </c>
      <c r="E120" s="929">
        <f>+NOMINA!H116</f>
        <v>36342</v>
      </c>
      <c r="F120" s="930">
        <f>+NOMINA!BL116</f>
        <v>29.03</v>
      </c>
      <c r="G120" s="930">
        <f>+NOMINA!BM116</f>
        <v>3.63</v>
      </c>
      <c r="H120" s="599"/>
      <c r="I120" s="600"/>
      <c r="J120" s="600"/>
      <c r="K120" s="600"/>
      <c r="L120" s="600"/>
    </row>
    <row r="121" spans="1:12" ht="15.75" customHeight="1" x14ac:dyDescent="0.25">
      <c r="A121" s="928">
        <f t="shared" si="2"/>
        <v>74</v>
      </c>
      <c r="B121" s="926">
        <f>+NOMINA!C117</f>
        <v>12457981</v>
      </c>
      <c r="C121" s="926" t="str">
        <f>+NOMINA!D117</f>
        <v>Escalona Ruiz Luis Alberto</v>
      </c>
      <c r="D121" s="926" t="str">
        <f>+NOMINA!O117</f>
        <v>Medico Especialista II</v>
      </c>
      <c r="E121" s="929">
        <f>+NOMINA!H117</f>
        <v>44348</v>
      </c>
      <c r="F121" s="930">
        <f>+NOMINA!BL117</f>
        <v>20.56</v>
      </c>
      <c r="G121" s="930">
        <f>+NOMINA!BM117</f>
        <v>2.57</v>
      </c>
      <c r="H121" s="599"/>
      <c r="I121" s="600"/>
      <c r="J121" s="600"/>
      <c r="K121" s="600"/>
      <c r="L121" s="600"/>
    </row>
    <row r="122" spans="1:12" ht="15.75" customHeight="1" x14ac:dyDescent="0.25">
      <c r="A122" s="928">
        <f t="shared" si="2"/>
        <v>75</v>
      </c>
      <c r="B122" s="926">
        <f>+NOMINA!C118</f>
        <v>12458811</v>
      </c>
      <c r="C122" s="926" t="str">
        <f>+NOMINA!D118</f>
        <v>Segovia Rondon Milagros del Valle</v>
      </c>
      <c r="D122" s="926" t="str">
        <f>+NOMINA!O118</f>
        <v>Analista de Presupuesto Jefe</v>
      </c>
      <c r="E122" s="929">
        <f>+NOMINA!H118</f>
        <v>39514</v>
      </c>
      <c r="F122" s="930">
        <f>+NOMINA!BL118</f>
        <v>33.200000000000003</v>
      </c>
      <c r="G122" s="930">
        <f>+NOMINA!BM118</f>
        <v>4.1500000000000004</v>
      </c>
      <c r="H122" s="599"/>
      <c r="I122" s="600"/>
      <c r="J122" s="600"/>
      <c r="K122" s="600"/>
      <c r="L122" s="600"/>
    </row>
    <row r="123" spans="1:12" ht="15.75" customHeight="1" x14ac:dyDescent="0.25">
      <c r="A123" s="928">
        <f t="shared" si="2"/>
        <v>76</v>
      </c>
      <c r="B123" s="926">
        <f>+NOMINA!C119</f>
        <v>12458942</v>
      </c>
      <c r="C123" s="926" t="str">
        <f>+NOMINA!D119</f>
        <v>Mendoza Mendoza Mirian Del Milagro</v>
      </c>
      <c r="D123" s="926" t="str">
        <f>+NOMINA!O119</f>
        <v>Administrador Jefe</v>
      </c>
      <c r="E123" s="929">
        <f>+NOMINA!H119</f>
        <v>44424</v>
      </c>
      <c r="F123" s="930">
        <f>+NOMINA!BL119</f>
        <v>0</v>
      </c>
      <c r="G123" s="930">
        <f>+NOMINA!BM119</f>
        <v>0</v>
      </c>
      <c r="H123" s="599"/>
      <c r="I123" s="600"/>
      <c r="J123" s="600"/>
      <c r="K123" s="600"/>
      <c r="L123" s="600"/>
    </row>
    <row r="124" spans="1:12" ht="15.75" customHeight="1" x14ac:dyDescent="0.25">
      <c r="A124" s="928">
        <f t="shared" si="2"/>
        <v>77</v>
      </c>
      <c r="B124" s="926">
        <f>+NOMINA!C120</f>
        <v>12541044</v>
      </c>
      <c r="C124" s="926" t="str">
        <f>+NOMINA!D120</f>
        <v>Rojas Telles Lisbeth Josefina</v>
      </c>
      <c r="D124" s="926" t="str">
        <f>+NOMINA!O120</f>
        <v>Tutor Facilitador I</v>
      </c>
      <c r="E124" s="929">
        <f>+NOMINA!H120</f>
        <v>45597</v>
      </c>
      <c r="F124" s="930">
        <f>+NOMINA!BL120</f>
        <v>22.41</v>
      </c>
      <c r="G124" s="930">
        <f>+NOMINA!BM120</f>
        <v>2.8</v>
      </c>
      <c r="H124" s="599"/>
      <c r="I124" s="600"/>
      <c r="J124" s="600"/>
      <c r="K124" s="600"/>
      <c r="L124" s="600"/>
    </row>
    <row r="125" spans="1:12" ht="15.75" customHeight="1" x14ac:dyDescent="0.25">
      <c r="A125" s="928">
        <f t="shared" si="2"/>
        <v>78</v>
      </c>
      <c r="B125" s="926">
        <f>+NOMINA!C121</f>
        <v>12542413</v>
      </c>
      <c r="C125" s="926" t="str">
        <f>+NOMINA!D121</f>
        <v>Aponte Matheus Richard Alexander</v>
      </c>
      <c r="D125" s="926" t="str">
        <f>+NOMINA!O121</f>
        <v>Guia de Centro II</v>
      </c>
      <c r="E125" s="929">
        <f>+NOMINA!H121</f>
        <v>36434</v>
      </c>
      <c r="F125" s="930">
        <f>+NOMINA!BL121</f>
        <v>0</v>
      </c>
      <c r="G125" s="930">
        <f>+NOMINA!BM121</f>
        <v>0</v>
      </c>
      <c r="H125" s="599"/>
      <c r="I125" s="600"/>
      <c r="J125" s="600"/>
      <c r="K125" s="600"/>
      <c r="L125" s="600"/>
    </row>
    <row r="126" spans="1:12" ht="15.75" customHeight="1" x14ac:dyDescent="0.25">
      <c r="A126" s="928">
        <f t="shared" si="2"/>
        <v>79</v>
      </c>
      <c r="B126" s="926">
        <f>+NOMINA!C122</f>
        <v>12798604</v>
      </c>
      <c r="C126" s="926" t="str">
        <f>+NOMINA!D122</f>
        <v>Camacho Gomez Trina Margarita</v>
      </c>
      <c r="D126" s="926" t="str">
        <f>+NOMINA!O122</f>
        <v>Guia de Centro II</v>
      </c>
      <c r="E126" s="929">
        <f>+NOMINA!H122</f>
        <v>35384</v>
      </c>
      <c r="F126" s="930">
        <f>+NOMINA!BL122</f>
        <v>17.2</v>
      </c>
      <c r="G126" s="930">
        <f>+NOMINA!BM122</f>
        <v>2.15</v>
      </c>
      <c r="H126" s="599"/>
      <c r="I126" s="600"/>
      <c r="J126" s="600"/>
      <c r="K126" s="600"/>
      <c r="L126" s="600"/>
    </row>
    <row r="127" spans="1:12" ht="15.75" customHeight="1" x14ac:dyDescent="0.25">
      <c r="A127" s="928">
        <f t="shared" si="2"/>
        <v>80</v>
      </c>
      <c r="B127" s="926">
        <f>+NOMINA!C123</f>
        <v>12798736</v>
      </c>
      <c r="C127" s="926" t="str">
        <f>+NOMINA!D123</f>
        <v>Gonzalez Pabon Marianela</v>
      </c>
      <c r="D127" s="926" t="str">
        <f>+NOMINA!O123</f>
        <v>Analista de Personal VI</v>
      </c>
      <c r="E127" s="929">
        <f>+NOMINA!H123</f>
        <v>39479</v>
      </c>
      <c r="F127" s="930">
        <f>+NOMINA!BL123</f>
        <v>31.92</v>
      </c>
      <c r="G127" s="930">
        <f>+NOMINA!BM123</f>
        <v>3.99</v>
      </c>
      <c r="H127" s="599"/>
      <c r="I127" s="600"/>
      <c r="J127" s="600"/>
      <c r="K127" s="600"/>
      <c r="L127" s="600"/>
    </row>
    <row r="128" spans="1:12" ht="15.75" customHeight="1" x14ac:dyDescent="0.25">
      <c r="A128" s="928">
        <f t="shared" si="2"/>
        <v>81</v>
      </c>
      <c r="B128" s="926">
        <f>+NOMINA!C124</f>
        <v>12939010</v>
      </c>
      <c r="C128" s="926" t="str">
        <f>+NOMINA!D124</f>
        <v>Mendez de Viloria Yelitza del Valle</v>
      </c>
      <c r="D128" s="926" t="str">
        <f>+NOMINA!O124</f>
        <v>Asistente Administrativo III</v>
      </c>
      <c r="E128" s="929">
        <f>+NOMINA!H124</f>
        <v>42948</v>
      </c>
      <c r="F128" s="930">
        <f>+NOMINA!BL124</f>
        <v>21.35</v>
      </c>
      <c r="G128" s="930">
        <f>+NOMINA!BM124</f>
        <v>2.67</v>
      </c>
      <c r="H128" s="599"/>
      <c r="I128" s="600"/>
      <c r="J128" s="600"/>
      <c r="K128" s="600"/>
      <c r="L128" s="600"/>
    </row>
    <row r="129" spans="1:12" ht="15.75" customHeight="1" x14ac:dyDescent="0.25">
      <c r="A129" s="928">
        <f t="shared" si="2"/>
        <v>82</v>
      </c>
      <c r="B129" s="926">
        <f>+NOMINA!C125</f>
        <v>12941385</v>
      </c>
      <c r="C129" s="926" t="str">
        <f>+NOMINA!D125</f>
        <v>Torres de Gonzalez Milangela Maria</v>
      </c>
      <c r="D129" s="926" t="str">
        <f>+NOMINA!O125</f>
        <v>Tutor Facilitador III</v>
      </c>
      <c r="E129" s="929">
        <f>+NOMINA!H125</f>
        <v>42948</v>
      </c>
      <c r="F129" s="930">
        <f>+NOMINA!BL125</f>
        <v>24.98</v>
      </c>
      <c r="G129" s="930">
        <f>+NOMINA!BM125</f>
        <v>3.12</v>
      </c>
      <c r="H129" s="599"/>
      <c r="I129" s="600"/>
      <c r="J129" s="600"/>
      <c r="K129" s="600"/>
      <c r="L129" s="600"/>
    </row>
    <row r="130" spans="1:12" ht="15.75" customHeight="1" x14ac:dyDescent="0.25">
      <c r="A130" s="928">
        <f t="shared" si="2"/>
        <v>83</v>
      </c>
      <c r="B130" s="926">
        <f>+NOMINA!C126</f>
        <v>13117904</v>
      </c>
      <c r="C130" s="926" t="str">
        <f>+NOMINA!D126</f>
        <v>Villegas Jaime Antonio</v>
      </c>
      <c r="D130" s="926" t="str">
        <f>+NOMINA!O126</f>
        <v>Guia de Centro I</v>
      </c>
      <c r="E130" s="929">
        <f>+NOMINA!H126</f>
        <v>43693</v>
      </c>
      <c r="F130" s="930">
        <f>+NOMINA!BL126</f>
        <v>19.38</v>
      </c>
      <c r="G130" s="930">
        <f>+NOMINA!BM126</f>
        <v>2.42</v>
      </c>
      <c r="H130" s="599"/>
      <c r="I130" s="600"/>
      <c r="J130" s="600"/>
      <c r="K130" s="600"/>
      <c r="L130" s="600"/>
    </row>
    <row r="131" spans="1:12" ht="15.75" customHeight="1" x14ac:dyDescent="0.25">
      <c r="A131" s="928">
        <f t="shared" si="2"/>
        <v>84</v>
      </c>
      <c r="B131" s="926">
        <f>+NOMINA!C127</f>
        <v>13206767</v>
      </c>
      <c r="C131" s="926" t="str">
        <f>+NOMINA!D127</f>
        <v>Bastidas Guerra Soralis del Valle</v>
      </c>
      <c r="D131" s="926" t="str">
        <f>+NOMINA!O127</f>
        <v>Abogado I</v>
      </c>
      <c r="E131" s="929">
        <f>+NOMINA!H127</f>
        <v>44713</v>
      </c>
      <c r="F131" s="930">
        <f>+NOMINA!BL127</f>
        <v>0</v>
      </c>
      <c r="G131" s="930">
        <f>+NOMINA!BM127</f>
        <v>0</v>
      </c>
      <c r="H131" s="599"/>
      <c r="I131" s="600"/>
      <c r="J131" s="600"/>
      <c r="K131" s="600"/>
      <c r="L131" s="600"/>
    </row>
    <row r="132" spans="1:12" ht="15.75" customHeight="1" x14ac:dyDescent="0.25">
      <c r="A132" s="928">
        <f t="shared" si="2"/>
        <v>85</v>
      </c>
      <c r="B132" s="926">
        <f>+NOMINA!C128</f>
        <v>13207692</v>
      </c>
      <c r="C132" s="926" t="str">
        <f>+NOMINA!D128</f>
        <v>Macias Briceño Alejandra Coromoto</v>
      </c>
      <c r="D132" s="926" t="str">
        <f>+NOMINA!O128</f>
        <v>Administrador III</v>
      </c>
      <c r="E132" s="929">
        <f>+NOMINA!H128</f>
        <v>38504</v>
      </c>
      <c r="F132" s="930">
        <f>+NOMINA!BL128</f>
        <v>29.81</v>
      </c>
      <c r="G132" s="930">
        <f>+NOMINA!BM128</f>
        <v>3.73</v>
      </c>
      <c r="H132" s="599"/>
      <c r="I132" s="600"/>
      <c r="J132" s="600"/>
      <c r="K132" s="600"/>
      <c r="L132" s="600"/>
    </row>
    <row r="133" spans="1:12" ht="15.75" customHeight="1" x14ac:dyDescent="0.25">
      <c r="A133" s="928">
        <f t="shared" si="2"/>
        <v>86</v>
      </c>
      <c r="B133" s="926">
        <f>+NOMINA!C129</f>
        <v>13260050</v>
      </c>
      <c r="C133" s="926" t="str">
        <f>+NOMINA!D129</f>
        <v>Mendoza Vieras Maria Elena</v>
      </c>
      <c r="D133" s="926" t="str">
        <f>+NOMINA!O129</f>
        <v>ADMINISTRADOR III</v>
      </c>
      <c r="E133" s="929">
        <f>+NOMINA!H129</f>
        <v>45444</v>
      </c>
      <c r="F133" s="930">
        <f>+NOMINA!BL129</f>
        <v>26.31</v>
      </c>
      <c r="G133" s="930">
        <f>+NOMINA!BM129</f>
        <v>3.29</v>
      </c>
      <c r="H133" s="599"/>
      <c r="I133" s="600"/>
      <c r="J133" s="600"/>
      <c r="K133" s="600"/>
      <c r="L133" s="600"/>
    </row>
    <row r="134" spans="1:12" ht="15.75" customHeight="1" x14ac:dyDescent="0.25">
      <c r="A134" s="928">
        <f t="shared" si="2"/>
        <v>87</v>
      </c>
      <c r="B134" s="926">
        <f>+NOMINA!C130</f>
        <v>13261035</v>
      </c>
      <c r="C134" s="926" t="str">
        <f>+NOMINA!D130</f>
        <v>Henry Peña Yokary Nakary</v>
      </c>
      <c r="D134" s="926" t="str">
        <f>+NOMINA!O130</f>
        <v>Entrenador Deportivo V</v>
      </c>
      <c r="E134" s="929">
        <f>+NOMINA!H130</f>
        <v>43770</v>
      </c>
      <c r="F134" s="930">
        <f>+NOMINA!BL130</f>
        <v>24.28</v>
      </c>
      <c r="G134" s="930">
        <f>+NOMINA!BM130</f>
        <v>3.03</v>
      </c>
      <c r="H134" s="599"/>
      <c r="I134" s="600"/>
      <c r="J134" s="600"/>
      <c r="K134" s="600"/>
      <c r="L134" s="600"/>
    </row>
    <row r="135" spans="1:12" ht="15.75" customHeight="1" x14ac:dyDescent="0.25">
      <c r="A135" s="928">
        <f t="shared" si="2"/>
        <v>88</v>
      </c>
      <c r="B135" s="926">
        <f>+NOMINA!C131</f>
        <v>13261229</v>
      </c>
      <c r="C135" s="926" t="str">
        <f>+NOMINA!D131</f>
        <v>Abreu Rodriguez Eva del Carmen</v>
      </c>
      <c r="D135" s="926" t="str">
        <f>+NOMINA!O131</f>
        <v>Asistente Administrativo III</v>
      </c>
      <c r="E135" s="929">
        <f>+NOMINA!H131</f>
        <v>42644</v>
      </c>
      <c r="F135" s="930">
        <f>+NOMINA!BL131</f>
        <v>21.19</v>
      </c>
      <c r="G135" s="930">
        <f>+NOMINA!BM131</f>
        <v>2.65</v>
      </c>
      <c r="H135" s="599"/>
      <c r="I135" s="600"/>
      <c r="J135" s="600"/>
      <c r="K135" s="600"/>
      <c r="L135" s="600"/>
    </row>
    <row r="136" spans="1:12" ht="15.75" customHeight="1" x14ac:dyDescent="0.25">
      <c r="A136" s="928">
        <f t="shared" si="2"/>
        <v>89</v>
      </c>
      <c r="B136" s="926">
        <f>+NOMINA!C132</f>
        <v>13461934</v>
      </c>
      <c r="C136" s="926" t="str">
        <f>+NOMINA!D132</f>
        <v>Ramirez Ayala Jenny Marisela</v>
      </c>
      <c r="D136" s="926" t="str">
        <f>+NOMINA!O132</f>
        <v>Guia de Centro II</v>
      </c>
      <c r="E136" s="929">
        <f>+NOMINA!H132</f>
        <v>43252</v>
      </c>
      <c r="F136" s="930">
        <f>+NOMINA!BL132</f>
        <v>18.75</v>
      </c>
      <c r="G136" s="930">
        <f>+NOMINA!BM132</f>
        <v>2.34</v>
      </c>
      <c r="H136" s="599"/>
      <c r="I136" s="600"/>
      <c r="J136" s="600"/>
      <c r="K136" s="600"/>
      <c r="L136" s="600"/>
    </row>
    <row r="137" spans="1:12" ht="15.75" customHeight="1" x14ac:dyDescent="0.25">
      <c r="A137" s="928">
        <f t="shared" si="2"/>
        <v>90</v>
      </c>
      <c r="B137" s="926">
        <f>+NOMINA!C133</f>
        <v>13462933</v>
      </c>
      <c r="C137" s="926" t="str">
        <f>+NOMINA!D133</f>
        <v>Frias Aldana Maria Yaritza</v>
      </c>
      <c r="D137" s="926" t="str">
        <f>+NOMINA!O133</f>
        <v>Administrador Jefe</v>
      </c>
      <c r="E137" s="929">
        <f>+NOMINA!H133</f>
        <v>39454</v>
      </c>
      <c r="F137" s="930">
        <f>+NOMINA!BL133</f>
        <v>0</v>
      </c>
      <c r="G137" s="930">
        <f>+NOMINA!BM133</f>
        <v>0</v>
      </c>
      <c r="H137" s="599"/>
      <c r="I137" s="600"/>
      <c r="J137" s="600"/>
      <c r="K137" s="600"/>
      <c r="L137" s="600"/>
    </row>
    <row r="138" spans="1:12" ht="15.75" customHeight="1" x14ac:dyDescent="0.25">
      <c r="A138" s="928">
        <f t="shared" si="2"/>
        <v>91</v>
      </c>
      <c r="B138" s="926">
        <f>+NOMINA!C134</f>
        <v>13462511</v>
      </c>
      <c r="C138" s="926" t="str">
        <f>+NOMINA!D134</f>
        <v>Vielma Jenifer</v>
      </c>
      <c r="D138" s="926" t="str">
        <f>+NOMINA!O134</f>
        <v>Criminologo</v>
      </c>
      <c r="E138" s="929">
        <f>+NOMINA!H134</f>
        <v>43738</v>
      </c>
      <c r="F138" s="930">
        <f>+NOMINA!BL134</f>
        <v>31.55</v>
      </c>
      <c r="G138" s="930">
        <f>+NOMINA!BM134</f>
        <v>3.94</v>
      </c>
      <c r="H138" s="599"/>
      <c r="I138" s="600"/>
      <c r="J138" s="600"/>
      <c r="K138" s="600"/>
      <c r="L138" s="600"/>
    </row>
    <row r="139" spans="1:12" ht="15.75" customHeight="1" x14ac:dyDescent="0.25">
      <c r="A139" s="928">
        <f t="shared" si="2"/>
        <v>92</v>
      </c>
      <c r="B139" s="926">
        <f>+NOMINA!C135</f>
        <v>13522518</v>
      </c>
      <c r="C139" s="926" t="str">
        <f>+NOMINA!D135</f>
        <v>Altuve Diaz Jose Antonio</v>
      </c>
      <c r="D139" s="926" t="str">
        <f>+NOMINA!O135</f>
        <v>Almacenista II</v>
      </c>
      <c r="E139" s="929">
        <f>+NOMINA!H135</f>
        <v>43739</v>
      </c>
      <c r="F139" s="930">
        <f>+NOMINA!BL135</f>
        <v>13.85</v>
      </c>
      <c r="G139" s="930">
        <f>+NOMINA!BM135</f>
        <v>1.73</v>
      </c>
      <c r="H139" s="599"/>
      <c r="I139" s="600"/>
      <c r="J139" s="600"/>
      <c r="K139" s="600"/>
      <c r="L139" s="600"/>
    </row>
    <row r="140" spans="1:12" ht="15.75" customHeight="1" x14ac:dyDescent="0.25">
      <c r="A140" s="928">
        <f t="shared" si="2"/>
        <v>93</v>
      </c>
      <c r="B140" s="926">
        <f>+NOMINA!C136</f>
        <v>13523075</v>
      </c>
      <c r="C140" s="926" t="str">
        <f>+NOMINA!D136</f>
        <v>Zambrano Castellanos Maria Alejandra</v>
      </c>
      <c r="D140" s="926" t="str">
        <f>+NOMINA!O136</f>
        <v>Planificador V</v>
      </c>
      <c r="E140" s="929">
        <f>+NOMINA!H136</f>
        <v>37718</v>
      </c>
      <c r="F140" s="930">
        <f>+NOMINA!BL136</f>
        <v>24.95</v>
      </c>
      <c r="G140" s="930">
        <f>+NOMINA!BM136</f>
        <v>3.12</v>
      </c>
      <c r="H140" s="599"/>
      <c r="I140" s="600"/>
      <c r="J140" s="600"/>
      <c r="K140" s="600"/>
      <c r="L140" s="600"/>
    </row>
    <row r="141" spans="1:12" ht="15.75" customHeight="1" x14ac:dyDescent="0.25">
      <c r="A141" s="928">
        <f t="shared" si="2"/>
        <v>94</v>
      </c>
      <c r="B141" s="926">
        <f>+NOMINA!C137</f>
        <v>13765028</v>
      </c>
      <c r="C141" s="926" t="str">
        <f>+NOMINA!D137</f>
        <v>Diaz Ramirez Mileyda del Valle</v>
      </c>
      <c r="D141" s="926" t="str">
        <f>+NOMINA!O137</f>
        <v>Guia de Centro II</v>
      </c>
      <c r="E141" s="929">
        <f>+NOMINA!H137</f>
        <v>44348</v>
      </c>
      <c r="F141" s="930">
        <f>+NOMINA!BL137</f>
        <v>27.41</v>
      </c>
      <c r="G141" s="930">
        <f>+NOMINA!BM137</f>
        <v>3.43</v>
      </c>
      <c r="H141" s="599"/>
      <c r="I141" s="600"/>
      <c r="J141" s="600"/>
      <c r="K141" s="600"/>
      <c r="L141" s="600"/>
    </row>
    <row r="142" spans="1:12" ht="15.75" customHeight="1" x14ac:dyDescent="0.25">
      <c r="A142" s="928">
        <f t="shared" si="2"/>
        <v>95</v>
      </c>
      <c r="B142" s="926">
        <f>+NOMINA!C138</f>
        <v>13896147</v>
      </c>
      <c r="C142" s="926" t="str">
        <f>+NOMINA!D138</f>
        <v>Carrizo Blanco Belquis Cecilia</v>
      </c>
      <c r="D142" s="926" t="str">
        <f>+NOMINA!O138</f>
        <v>Administrador III</v>
      </c>
      <c r="E142" s="929">
        <f>+NOMINA!H138</f>
        <v>41334</v>
      </c>
      <c r="F142" s="930">
        <f>+NOMINA!BL138</f>
        <v>26.08</v>
      </c>
      <c r="G142" s="930">
        <f>+NOMINA!BM138</f>
        <v>3.26</v>
      </c>
      <c r="H142" s="599"/>
      <c r="I142" s="600"/>
      <c r="J142" s="600"/>
      <c r="K142" s="600"/>
      <c r="L142" s="600"/>
    </row>
    <row r="143" spans="1:12" ht="15.75" customHeight="1" x14ac:dyDescent="0.25">
      <c r="A143" s="928">
        <f t="shared" si="2"/>
        <v>96</v>
      </c>
      <c r="B143" s="926">
        <f>+NOMINA!C139</f>
        <v>13896239</v>
      </c>
      <c r="C143" s="926" t="str">
        <f>+NOMINA!D139</f>
        <v>Sulbaran Campos Yusneida Ayarith</v>
      </c>
      <c r="D143" s="926" t="str">
        <f>+NOMINA!O139</f>
        <v>Analista de Presupuesto IV</v>
      </c>
      <c r="E143" s="929">
        <f>+NOMINA!H139</f>
        <v>42416</v>
      </c>
      <c r="F143" s="930">
        <f>+NOMINA!BL139</f>
        <v>15.29</v>
      </c>
      <c r="G143" s="930">
        <f>+NOMINA!BM139</f>
        <v>1.91</v>
      </c>
      <c r="H143" s="599"/>
      <c r="I143" s="600"/>
      <c r="J143" s="600"/>
      <c r="K143" s="600"/>
      <c r="L143" s="600"/>
    </row>
    <row r="144" spans="1:12" ht="15.75" customHeight="1" x14ac:dyDescent="0.25">
      <c r="A144" s="928">
        <f t="shared" si="2"/>
        <v>97</v>
      </c>
      <c r="B144" s="926">
        <f>+NOMINA!C140</f>
        <v>13897046</v>
      </c>
      <c r="C144" s="926" t="str">
        <f>+NOMINA!D140</f>
        <v>Artigas Sanchez Mireya Carolina</v>
      </c>
      <c r="D144" s="926" t="str">
        <f>+NOMINA!O140</f>
        <v>Tecnico Superior en Trabajo Social II</v>
      </c>
      <c r="E144" s="929">
        <f>+NOMINA!H140</f>
        <v>42384</v>
      </c>
      <c r="F144" s="930">
        <f>+NOMINA!BL140</f>
        <v>22.15</v>
      </c>
      <c r="G144" s="930">
        <f>+NOMINA!BM140</f>
        <v>2.77</v>
      </c>
      <c r="H144" s="599"/>
      <c r="I144" s="600"/>
      <c r="J144" s="600"/>
      <c r="K144" s="600"/>
      <c r="L144" s="600"/>
    </row>
    <row r="145" spans="1:12" ht="15.75" customHeight="1" x14ac:dyDescent="0.25">
      <c r="A145" s="928">
        <f t="shared" si="2"/>
        <v>98</v>
      </c>
      <c r="B145" s="926">
        <f>+NOMINA!C141</f>
        <v>13897695</v>
      </c>
      <c r="C145" s="926" t="str">
        <f>+NOMINA!D141</f>
        <v>Araujo Matheus Alba Mariela</v>
      </c>
      <c r="D145" s="926" t="str">
        <f>+NOMINA!O141</f>
        <v>Analista de Presupuesto Jefe</v>
      </c>
      <c r="E145" s="929">
        <f>+NOMINA!H141</f>
        <v>39496</v>
      </c>
      <c r="F145" s="930">
        <f>+NOMINA!BL141</f>
        <v>29.81</v>
      </c>
      <c r="G145" s="930">
        <f>+NOMINA!BM141</f>
        <v>3.73</v>
      </c>
      <c r="H145" s="599"/>
      <c r="I145" s="600"/>
      <c r="J145" s="600"/>
      <c r="K145" s="600"/>
      <c r="L145" s="600"/>
    </row>
    <row r="146" spans="1:12" ht="15.75" customHeight="1" x14ac:dyDescent="0.25">
      <c r="A146" s="928">
        <f t="shared" si="2"/>
        <v>99</v>
      </c>
      <c r="B146" s="926">
        <f>+NOMINA!C142</f>
        <v>13996024</v>
      </c>
      <c r="C146" s="926" t="str">
        <f>+NOMINA!D142</f>
        <v>Perez Barrios Helenmar</v>
      </c>
      <c r="D146" s="926" t="str">
        <f>+NOMINA!O142</f>
        <v>Contador III</v>
      </c>
      <c r="E146" s="929">
        <f>+NOMINA!H142</f>
        <v>40028</v>
      </c>
      <c r="F146" s="930">
        <f>+NOMINA!BL142</f>
        <v>27.89</v>
      </c>
      <c r="G146" s="930">
        <f>+NOMINA!BM142</f>
        <v>3.49</v>
      </c>
      <c r="H146" s="599"/>
      <c r="I146" s="600"/>
      <c r="J146" s="600"/>
      <c r="K146" s="600"/>
      <c r="L146" s="600"/>
    </row>
    <row r="147" spans="1:12" ht="15.75" customHeight="1" x14ac:dyDescent="0.25">
      <c r="A147" s="928">
        <f t="shared" si="2"/>
        <v>100</v>
      </c>
      <c r="B147" s="926">
        <f>+NOMINA!C143</f>
        <v>13997965</v>
      </c>
      <c r="C147" s="926" t="str">
        <f>+NOMINA!D143</f>
        <v>Sulbaran Baptista Yenny del Carmen</v>
      </c>
      <c r="D147" s="926" t="str">
        <f>+NOMINA!O143</f>
        <v>Asistente Administrativo I</v>
      </c>
      <c r="E147" s="929">
        <f>+NOMINA!H143</f>
        <v>45839</v>
      </c>
      <c r="F147" s="930">
        <f>+NOMINA!BL143</f>
        <v>13.15</v>
      </c>
      <c r="G147" s="930">
        <f>+NOMINA!BM143</f>
        <v>1.64</v>
      </c>
      <c r="H147" s="599"/>
      <c r="I147" s="600"/>
      <c r="J147" s="600"/>
      <c r="K147" s="600"/>
      <c r="L147" s="600"/>
    </row>
    <row r="148" spans="1:12" ht="15.75" customHeight="1" x14ac:dyDescent="0.25">
      <c r="A148" s="928">
        <f t="shared" si="2"/>
        <v>101</v>
      </c>
      <c r="B148" s="926">
        <f>+NOMINA!C144</f>
        <v>14106648</v>
      </c>
      <c r="C148" s="926" t="str">
        <f>+NOMINA!D144</f>
        <v>Aguilar Flores Heidy Coromoto</v>
      </c>
      <c r="D148" s="926" t="str">
        <f>+NOMINA!O144</f>
        <v>Asistente Administrativo IV</v>
      </c>
      <c r="E148" s="929">
        <f>+NOMINA!H144</f>
        <v>40787</v>
      </c>
      <c r="F148" s="930">
        <f>+NOMINA!BL144</f>
        <v>23.8</v>
      </c>
      <c r="G148" s="930">
        <f>+NOMINA!BM144</f>
        <v>2.98</v>
      </c>
      <c r="H148" s="599"/>
      <c r="I148" s="600"/>
      <c r="J148" s="600"/>
      <c r="K148" s="600"/>
      <c r="L148" s="600"/>
    </row>
    <row r="149" spans="1:12" ht="15.75" customHeight="1" x14ac:dyDescent="0.25">
      <c r="A149" s="928">
        <f t="shared" si="2"/>
        <v>102</v>
      </c>
      <c r="B149" s="926">
        <f>+NOMINA!C145</f>
        <v>14329448</v>
      </c>
      <c r="C149" s="926" t="str">
        <f>+NOMINA!D145</f>
        <v>Leal Mejia Jociany Trinny</v>
      </c>
      <c r="D149" s="926" t="str">
        <f>+NOMINA!O145</f>
        <v>Tutor Facilitador I</v>
      </c>
      <c r="E149" s="929">
        <f>+NOMINA!H145</f>
        <v>44743</v>
      </c>
      <c r="F149" s="930">
        <f>+NOMINA!BL145</f>
        <v>24.68</v>
      </c>
      <c r="G149" s="930">
        <f>+NOMINA!BM145</f>
        <v>3.09</v>
      </c>
      <c r="H149" s="599"/>
      <c r="I149" s="600"/>
      <c r="J149" s="600"/>
      <c r="K149" s="600"/>
      <c r="L149" s="600"/>
    </row>
    <row r="150" spans="1:12" ht="15.75" customHeight="1" x14ac:dyDescent="0.25">
      <c r="A150" s="928">
        <f t="shared" si="2"/>
        <v>103</v>
      </c>
      <c r="B150" s="926">
        <f>+NOMINA!C146</f>
        <v>14406240</v>
      </c>
      <c r="C150" s="926" t="str">
        <f>+NOMINA!D146</f>
        <v>Sarmiento Suarez Karem Yanira</v>
      </c>
      <c r="D150" s="926" t="str">
        <f>+NOMINA!O146</f>
        <v>Tecnico Superior en Trabajo Social II</v>
      </c>
      <c r="E150" s="929">
        <f>+NOMINA!H146</f>
        <v>43785</v>
      </c>
      <c r="F150" s="930">
        <f>+NOMINA!BL146</f>
        <v>23.09</v>
      </c>
      <c r="G150" s="930">
        <f>+NOMINA!BM146</f>
        <v>2.89</v>
      </c>
      <c r="H150" s="599"/>
      <c r="I150" s="600"/>
      <c r="J150" s="600"/>
      <c r="K150" s="600"/>
      <c r="L150" s="600"/>
    </row>
    <row r="151" spans="1:12" ht="15.75" customHeight="1" x14ac:dyDescent="0.25">
      <c r="A151" s="928">
        <f t="shared" si="2"/>
        <v>104</v>
      </c>
      <c r="B151" s="926">
        <f>+NOMINA!C147</f>
        <v>14459607</v>
      </c>
      <c r="C151" s="926" t="str">
        <f>+NOMINA!D147</f>
        <v>Martinez Leal Deyanira Yusissan</v>
      </c>
      <c r="D151" s="926" t="str">
        <f>+NOMINA!O147</f>
        <v>Tecnico Superior en Trabajo Social II</v>
      </c>
      <c r="E151" s="929">
        <f>+NOMINA!H147</f>
        <v>43116</v>
      </c>
      <c r="F151" s="930">
        <f>+NOMINA!BL147</f>
        <v>21.73</v>
      </c>
      <c r="G151" s="930">
        <f>+NOMINA!BM147</f>
        <v>2.72</v>
      </c>
      <c r="H151" s="599"/>
      <c r="I151" s="600"/>
      <c r="J151" s="600"/>
      <c r="K151" s="600"/>
      <c r="L151" s="600"/>
    </row>
    <row r="152" spans="1:12" ht="15.75" customHeight="1" x14ac:dyDescent="0.25">
      <c r="A152" s="928">
        <f t="shared" si="2"/>
        <v>105</v>
      </c>
      <c r="B152" s="926">
        <f>+NOMINA!C148</f>
        <v>14598170</v>
      </c>
      <c r="C152" s="926" t="str">
        <f>+NOMINA!D148</f>
        <v>Rendon Utrilla Gerson Paul</v>
      </c>
      <c r="D152" s="926" t="str">
        <f>+NOMINA!O148</f>
        <v>Tutor Facilitador III</v>
      </c>
      <c r="E152" s="929">
        <f>+NOMINA!H148</f>
        <v>43435</v>
      </c>
      <c r="F152" s="930">
        <f>+NOMINA!BL148</f>
        <v>25.32</v>
      </c>
      <c r="G152" s="930">
        <f>+NOMINA!BM148</f>
        <v>3.16</v>
      </c>
      <c r="H152" s="599"/>
      <c r="I152" s="600"/>
      <c r="J152" s="600"/>
      <c r="K152" s="600"/>
      <c r="L152" s="600"/>
    </row>
    <row r="153" spans="1:12" ht="15.75" customHeight="1" x14ac:dyDescent="0.25">
      <c r="A153" s="928">
        <f t="shared" si="2"/>
        <v>106</v>
      </c>
      <c r="B153" s="926">
        <f>+NOMINA!C149</f>
        <v>14598687</v>
      </c>
      <c r="C153" s="926" t="str">
        <f>+NOMINA!D149</f>
        <v>Godoy Bracamonte Juan Carlos</v>
      </c>
      <c r="D153" s="926" t="str">
        <f>+NOMINA!O149</f>
        <v>Entrenador Deportivo IV</v>
      </c>
      <c r="E153" s="929">
        <f>+NOMINA!H149</f>
        <v>44332</v>
      </c>
      <c r="F153" s="930">
        <f>+NOMINA!BL149</f>
        <v>28.77</v>
      </c>
      <c r="G153" s="930">
        <f>+NOMINA!BM149</f>
        <v>3.6</v>
      </c>
      <c r="H153" s="599"/>
      <c r="I153" s="600"/>
      <c r="J153" s="600"/>
      <c r="K153" s="600"/>
      <c r="L153" s="600"/>
    </row>
    <row r="154" spans="1:12" ht="15.75" customHeight="1" x14ac:dyDescent="0.25">
      <c r="A154" s="928">
        <f t="shared" si="2"/>
        <v>107</v>
      </c>
      <c r="B154" s="926">
        <f>+NOMINA!C150</f>
        <v>14719639</v>
      </c>
      <c r="C154" s="926" t="str">
        <f>+NOMINA!D150</f>
        <v>Coy de Dorante Sandra Liliana</v>
      </c>
      <c r="D154" s="926" t="str">
        <f>+NOMINA!O150</f>
        <v>Guia de Centro I</v>
      </c>
      <c r="E154" s="929">
        <f>+NOMINA!H150</f>
        <v>44896</v>
      </c>
      <c r="F154" s="930">
        <f>+NOMINA!BL150</f>
        <v>17.260000000000002</v>
      </c>
      <c r="G154" s="930">
        <f>+NOMINA!BM150</f>
        <v>2.16</v>
      </c>
      <c r="H154" s="599"/>
      <c r="I154" s="600"/>
      <c r="J154" s="600"/>
      <c r="K154" s="600"/>
      <c r="L154" s="600"/>
    </row>
    <row r="155" spans="1:12" ht="15.75" customHeight="1" x14ac:dyDescent="0.25">
      <c r="A155" s="928">
        <f t="shared" si="2"/>
        <v>108</v>
      </c>
      <c r="B155" s="926">
        <f>+NOMINA!C151</f>
        <v>14739168</v>
      </c>
      <c r="C155" s="926" t="str">
        <f>+NOMINA!D151</f>
        <v>Briceño Hernandez Yeny del Carmen</v>
      </c>
      <c r="D155" s="926" t="str">
        <f>+NOMINA!O151</f>
        <v>Trabajador Social III</v>
      </c>
      <c r="E155" s="929">
        <f>+NOMINA!H151</f>
        <v>38841</v>
      </c>
      <c r="F155" s="930">
        <f>+NOMINA!BL151</f>
        <v>23.6</v>
      </c>
      <c r="G155" s="930">
        <f>+NOMINA!BM151</f>
        <v>2.95</v>
      </c>
      <c r="H155" s="599"/>
      <c r="I155" s="600"/>
      <c r="J155" s="600"/>
      <c r="K155" s="600"/>
      <c r="L155" s="600"/>
    </row>
    <row r="156" spans="1:12" ht="15.75" customHeight="1" x14ac:dyDescent="0.25">
      <c r="A156" s="928">
        <f t="shared" si="2"/>
        <v>109</v>
      </c>
      <c r="B156" s="926">
        <f>+NOMINA!C152</f>
        <v>14928034</v>
      </c>
      <c r="C156" s="926" t="str">
        <f>+NOMINA!D152</f>
        <v>Ramirez Palomares Mariana Teresa</v>
      </c>
      <c r="D156" s="926" t="str">
        <f>+NOMINA!O152</f>
        <v>Promotor Cultural I</v>
      </c>
      <c r="E156" s="929">
        <f>+NOMINA!H152</f>
        <v>44302</v>
      </c>
      <c r="F156" s="930">
        <f>+NOMINA!BL152</f>
        <v>15.59</v>
      </c>
      <c r="G156" s="930">
        <f>+NOMINA!BM152</f>
        <v>1.95</v>
      </c>
      <c r="H156" s="599"/>
      <c r="I156" s="600"/>
      <c r="J156" s="600"/>
      <c r="K156" s="600"/>
      <c r="L156" s="600"/>
    </row>
    <row r="157" spans="1:12" ht="15.75" customHeight="1" x14ac:dyDescent="0.25">
      <c r="A157" s="928">
        <f t="shared" si="2"/>
        <v>110</v>
      </c>
      <c r="B157" s="926">
        <f>+NOMINA!C153</f>
        <v>14928260</v>
      </c>
      <c r="C157" s="926" t="str">
        <f>+NOMINA!D153</f>
        <v>Rivas Ana Lucila</v>
      </c>
      <c r="D157" s="926" t="str">
        <f>+NOMINA!O153</f>
        <v>Tutor Facilitador I</v>
      </c>
      <c r="E157" s="929">
        <f>+NOMINA!H153</f>
        <v>39104</v>
      </c>
      <c r="F157" s="930">
        <f>+NOMINA!BL153</f>
        <v>23.4</v>
      </c>
      <c r="G157" s="930">
        <f>+NOMINA!BM153</f>
        <v>2.92</v>
      </c>
      <c r="H157" s="599"/>
      <c r="I157" s="600"/>
      <c r="J157" s="600"/>
      <c r="K157" s="600"/>
      <c r="L157" s="600"/>
    </row>
    <row r="158" spans="1:12" ht="15.75" customHeight="1" x14ac:dyDescent="0.25">
      <c r="A158" s="928">
        <f t="shared" si="2"/>
        <v>111</v>
      </c>
      <c r="B158" s="926">
        <f>+NOMINA!C154</f>
        <v>14929642</v>
      </c>
      <c r="C158" s="926" t="str">
        <f>+NOMINA!D154</f>
        <v>Alvarran Arjona Ismenia del Carmen</v>
      </c>
      <c r="D158" s="926" t="str">
        <f>+NOMINA!O154</f>
        <v>GUIA DE CENTRO II</v>
      </c>
      <c r="E158" s="929">
        <f>+NOMINA!H154</f>
        <v>43419</v>
      </c>
      <c r="F158" s="930">
        <f>+NOMINA!BL154</f>
        <v>27.16</v>
      </c>
      <c r="G158" s="930">
        <f>+NOMINA!BM154</f>
        <v>3.39</v>
      </c>
      <c r="H158" s="599"/>
      <c r="I158" s="600"/>
      <c r="J158" s="600"/>
      <c r="K158" s="600"/>
      <c r="L158" s="600"/>
    </row>
    <row r="159" spans="1:12" ht="15.75" customHeight="1" x14ac:dyDescent="0.25">
      <c r="A159" s="928">
        <f t="shared" si="2"/>
        <v>112</v>
      </c>
      <c r="B159" s="926">
        <f>+NOMINA!C155</f>
        <v>14986675</v>
      </c>
      <c r="C159" s="926" t="str">
        <f>+NOMINA!D155</f>
        <v>Mecias Nuñez Shirly Ygnacia</v>
      </c>
      <c r="D159" s="926" t="str">
        <f>+NOMINA!O155</f>
        <v>Tutor Facilitador I</v>
      </c>
      <c r="E159" s="929">
        <f>+NOMINA!H155</f>
        <v>44805</v>
      </c>
      <c r="F159" s="930">
        <f>+NOMINA!BL155</f>
        <v>24.68</v>
      </c>
      <c r="G159" s="930">
        <f>+NOMINA!BM155</f>
        <v>3.09</v>
      </c>
      <c r="H159" s="599"/>
      <c r="I159" s="600"/>
      <c r="J159" s="600"/>
      <c r="K159" s="600"/>
      <c r="L159" s="600"/>
    </row>
    <row r="160" spans="1:12" ht="15.75" customHeight="1" x14ac:dyDescent="0.25">
      <c r="A160" s="928">
        <f t="shared" si="2"/>
        <v>113</v>
      </c>
      <c r="B160" s="926">
        <f>+NOMINA!C156</f>
        <v>15188927</v>
      </c>
      <c r="C160" s="926" t="str">
        <f>+NOMINA!D156</f>
        <v>Linares Villarreal Rosmely del Carmen</v>
      </c>
      <c r="D160" s="926" t="str">
        <f>+NOMINA!O156</f>
        <v>Guia de Centro II</v>
      </c>
      <c r="E160" s="929">
        <f>+NOMINA!H156</f>
        <v>44409</v>
      </c>
      <c r="F160" s="930">
        <f>+NOMINA!BL156</f>
        <v>18.66</v>
      </c>
      <c r="G160" s="930">
        <f>+NOMINA!BM156</f>
        <v>2.33</v>
      </c>
      <c r="H160" s="599"/>
      <c r="I160" s="600"/>
      <c r="J160" s="600"/>
      <c r="K160" s="600"/>
      <c r="L160" s="600"/>
    </row>
    <row r="161" spans="1:12" ht="15.75" customHeight="1" x14ac:dyDescent="0.25">
      <c r="A161" s="928">
        <f t="shared" si="2"/>
        <v>114</v>
      </c>
      <c r="B161" s="926">
        <f>+NOMINA!C157</f>
        <v>15560762</v>
      </c>
      <c r="C161" s="926" t="str">
        <f>+NOMINA!D157</f>
        <v>Villalobos Javier Jose</v>
      </c>
      <c r="D161" s="926" t="str">
        <f>+NOMINA!O157</f>
        <v>Entrenador Deportivo IV</v>
      </c>
      <c r="E161" s="929">
        <f>+NOMINA!H157</f>
        <v>45474</v>
      </c>
      <c r="F161" s="930">
        <f>+NOMINA!BL157</f>
        <v>22.56</v>
      </c>
      <c r="G161" s="930">
        <f>+NOMINA!BM157</f>
        <v>2.82</v>
      </c>
      <c r="H161" s="599"/>
      <c r="I161" s="600"/>
      <c r="J161" s="600"/>
      <c r="K161" s="600"/>
      <c r="L161" s="600"/>
    </row>
    <row r="162" spans="1:12" ht="15.75" customHeight="1" x14ac:dyDescent="0.25">
      <c r="A162" s="928">
        <f t="shared" si="2"/>
        <v>115</v>
      </c>
      <c r="B162" s="926">
        <f>+NOMINA!C158</f>
        <v>15583745</v>
      </c>
      <c r="C162" s="926" t="str">
        <f>+NOMINA!D158</f>
        <v>Briceño Araujo Alexander Javier</v>
      </c>
      <c r="D162" s="926" t="str">
        <f>+NOMINA!O158</f>
        <v>Administrador II</v>
      </c>
      <c r="E162" s="929">
        <f>+NOMINA!H158</f>
        <v>43481</v>
      </c>
      <c r="F162" s="930">
        <f>+NOMINA!BL158</f>
        <v>24.59</v>
      </c>
      <c r="G162" s="930">
        <f>+NOMINA!BM158</f>
        <v>3.07</v>
      </c>
      <c r="H162" s="599"/>
      <c r="I162" s="600"/>
      <c r="J162" s="600"/>
      <c r="K162" s="600"/>
      <c r="L162" s="600"/>
    </row>
    <row r="163" spans="1:12" ht="15.75" customHeight="1" x14ac:dyDescent="0.25">
      <c r="A163" s="928">
        <f t="shared" si="2"/>
        <v>116</v>
      </c>
      <c r="B163" s="926">
        <f>+NOMINA!C159</f>
        <v>15588470</v>
      </c>
      <c r="C163" s="926" t="str">
        <f>+NOMINA!D159</f>
        <v>Briceño Lozada Maraiby Coromoto</v>
      </c>
      <c r="D163" s="926" t="str">
        <f>+NOMINA!O159</f>
        <v>Trabajador Social II</v>
      </c>
      <c r="E163" s="929">
        <f>+NOMINA!H159</f>
        <v>39098</v>
      </c>
      <c r="F163" s="930">
        <f>+NOMINA!BL159</f>
        <v>23.4</v>
      </c>
      <c r="G163" s="930">
        <f>+NOMINA!BM159</f>
        <v>2.92</v>
      </c>
      <c r="H163" s="599"/>
      <c r="I163" s="600"/>
      <c r="J163" s="600"/>
      <c r="K163" s="600"/>
      <c r="L163" s="600"/>
    </row>
    <row r="164" spans="1:12" ht="15.75" customHeight="1" x14ac:dyDescent="0.25">
      <c r="A164" s="928">
        <f t="shared" si="2"/>
        <v>117</v>
      </c>
      <c r="B164" s="926">
        <f>+NOMINA!C160</f>
        <v>15752048</v>
      </c>
      <c r="C164" s="926" t="str">
        <f>+NOMINA!D160</f>
        <v>Briceño Rangel Sudney Dayan</v>
      </c>
      <c r="D164" s="926" t="str">
        <f>+NOMINA!O160</f>
        <v>Guia de Centro II</v>
      </c>
      <c r="E164" s="929">
        <f>+NOMINA!H160</f>
        <v>39679</v>
      </c>
      <c r="F164" s="930">
        <f>+NOMINA!BL160</f>
        <v>31.81</v>
      </c>
      <c r="G164" s="930">
        <f>+NOMINA!BM160</f>
        <v>3.98</v>
      </c>
      <c r="H164" s="599"/>
      <c r="I164" s="600"/>
      <c r="J164" s="600"/>
      <c r="K164" s="600"/>
      <c r="L164" s="600"/>
    </row>
    <row r="165" spans="1:12" ht="15.75" customHeight="1" x14ac:dyDescent="0.25">
      <c r="A165" s="928">
        <f t="shared" si="2"/>
        <v>118</v>
      </c>
      <c r="B165" s="926">
        <f>+NOMINA!C161</f>
        <v>15752183</v>
      </c>
      <c r="C165" s="926" t="str">
        <f>+NOMINA!D161</f>
        <v>Delduca Adriana del Valle</v>
      </c>
      <c r="D165" s="926" t="str">
        <f>+NOMINA!O161</f>
        <v>Analista de Presupuesto IV</v>
      </c>
      <c r="E165" s="929">
        <f>+NOMINA!H161</f>
        <v>38930</v>
      </c>
      <c r="F165" s="930">
        <f>+NOMINA!BL161</f>
        <v>0</v>
      </c>
      <c r="G165" s="930">
        <f>+NOMINA!BM161</f>
        <v>0</v>
      </c>
      <c r="H165" s="599"/>
      <c r="I165" s="600"/>
      <c r="J165" s="600"/>
      <c r="K165" s="600"/>
      <c r="L165" s="600"/>
    </row>
    <row r="166" spans="1:12" ht="15.75" customHeight="1" x14ac:dyDescent="0.25">
      <c r="A166" s="928">
        <f t="shared" si="2"/>
        <v>119</v>
      </c>
      <c r="B166" s="926">
        <f>+NOMINA!C162</f>
        <v>15752386</v>
      </c>
      <c r="C166" s="926" t="str">
        <f>+NOMINA!D162</f>
        <v>Villegas Gonzalez Mileide Karine</v>
      </c>
      <c r="D166" s="926" t="str">
        <f>+NOMINA!O162</f>
        <v>Guia de Centro II</v>
      </c>
      <c r="E166" s="929">
        <f>+NOMINA!H162</f>
        <v>38930</v>
      </c>
      <c r="F166" s="930">
        <f>+NOMINA!BL162</f>
        <v>31.58</v>
      </c>
      <c r="G166" s="930">
        <f>+NOMINA!BM162</f>
        <v>3.95</v>
      </c>
      <c r="H166" s="599"/>
      <c r="I166" s="600"/>
      <c r="J166" s="600"/>
      <c r="K166" s="600"/>
      <c r="L166" s="600"/>
    </row>
    <row r="167" spans="1:12" ht="15.75" customHeight="1" x14ac:dyDescent="0.25">
      <c r="A167" s="928">
        <f t="shared" si="2"/>
        <v>120</v>
      </c>
      <c r="B167" s="926">
        <f>+NOMINA!C163</f>
        <v>15752435</v>
      </c>
      <c r="C167" s="926" t="str">
        <f>+NOMINA!D163</f>
        <v>Gonzalez de Sayago Damarys Coromoto</v>
      </c>
      <c r="D167" s="926" t="str">
        <f>+NOMINA!O163</f>
        <v>Trabajador Social II</v>
      </c>
      <c r="E167" s="929">
        <f>+NOMINA!H163</f>
        <v>38930</v>
      </c>
      <c r="F167" s="930">
        <f>+NOMINA!BL163</f>
        <v>24.29</v>
      </c>
      <c r="G167" s="930">
        <f>+NOMINA!BM163</f>
        <v>3.04</v>
      </c>
      <c r="H167" s="599"/>
      <c r="I167" s="600"/>
      <c r="J167" s="600"/>
      <c r="K167" s="600"/>
      <c r="L167" s="600"/>
    </row>
    <row r="168" spans="1:12" ht="15.75" customHeight="1" x14ac:dyDescent="0.25">
      <c r="A168" s="928">
        <f t="shared" si="2"/>
        <v>121</v>
      </c>
      <c r="B168" s="926">
        <f>+NOMINA!C164</f>
        <v>15780354</v>
      </c>
      <c r="C168" s="926" t="str">
        <f>+NOMINA!D164</f>
        <v>Yndriago Blanco Lismiley Andreina</v>
      </c>
      <c r="D168" s="926" t="str">
        <f>+NOMINA!O164</f>
        <v>Guia de Centro I</v>
      </c>
      <c r="E168" s="929">
        <f>+NOMINA!H164</f>
        <v>44409</v>
      </c>
      <c r="F168" s="930">
        <f>+NOMINA!BL164</f>
        <v>26.83</v>
      </c>
      <c r="G168" s="930">
        <f>+NOMINA!BM164</f>
        <v>3.35</v>
      </c>
      <c r="H168" s="599"/>
      <c r="I168" s="600"/>
      <c r="J168" s="600"/>
      <c r="K168" s="600"/>
      <c r="L168" s="600"/>
    </row>
    <row r="169" spans="1:12" ht="15.75" customHeight="1" x14ac:dyDescent="0.25">
      <c r="A169" s="928">
        <f t="shared" si="2"/>
        <v>122</v>
      </c>
      <c r="B169" s="926">
        <f>+NOMINA!C165</f>
        <v>15824548</v>
      </c>
      <c r="C169" s="926" t="str">
        <f>+NOMINA!D165</f>
        <v>Moreno Maria Angelica</v>
      </c>
      <c r="D169" s="926" t="str">
        <f>+NOMINA!O165</f>
        <v>Tecnico Superior en Trabajo Social II</v>
      </c>
      <c r="E169" s="929">
        <f>+NOMINA!H165</f>
        <v>44317</v>
      </c>
      <c r="F169" s="930">
        <f>+NOMINA!BL165</f>
        <v>20.51</v>
      </c>
      <c r="G169" s="930">
        <f>+NOMINA!BM165</f>
        <v>2.56</v>
      </c>
      <c r="H169" s="599"/>
      <c r="I169" s="600"/>
      <c r="J169" s="600"/>
      <c r="K169" s="600"/>
      <c r="L169" s="600"/>
    </row>
    <row r="170" spans="1:12" ht="15.75" customHeight="1" x14ac:dyDescent="0.25">
      <c r="A170" s="928">
        <f t="shared" si="2"/>
        <v>123</v>
      </c>
      <c r="B170" s="926">
        <f>+NOMINA!C166</f>
        <v>15904692</v>
      </c>
      <c r="C170" s="926" t="str">
        <f>+NOMINA!D166</f>
        <v>Sifontes Sosa Mayulis Dayana</v>
      </c>
      <c r="D170" s="926" t="str">
        <f>+NOMINA!O166</f>
        <v>Guia de Centro II</v>
      </c>
      <c r="E170" s="929">
        <f>+NOMINA!H166</f>
        <v>39756</v>
      </c>
      <c r="F170" s="930">
        <f>+NOMINA!BL166</f>
        <v>30.62</v>
      </c>
      <c r="G170" s="930">
        <f>+NOMINA!BM166</f>
        <v>3.83</v>
      </c>
      <c r="H170" s="599"/>
      <c r="I170" s="600"/>
      <c r="J170" s="600"/>
      <c r="K170" s="600"/>
      <c r="L170" s="600"/>
    </row>
    <row r="171" spans="1:12" ht="15.75" customHeight="1" x14ac:dyDescent="0.25">
      <c r="A171" s="928">
        <f t="shared" si="2"/>
        <v>124</v>
      </c>
      <c r="B171" s="926">
        <f>+NOMINA!C167</f>
        <v>16015833</v>
      </c>
      <c r="C171" s="926" t="str">
        <f>+NOMINA!D167</f>
        <v>Briceño Doris Elena</v>
      </c>
      <c r="D171" s="926" t="str">
        <f>+NOMINA!O167</f>
        <v>Guia de Centro II</v>
      </c>
      <c r="E171" s="929">
        <f>+NOMINA!H167</f>
        <v>42948</v>
      </c>
      <c r="F171" s="930">
        <f>+NOMINA!BL167</f>
        <v>33.409999999999997</v>
      </c>
      <c r="G171" s="930">
        <f>+NOMINA!BM167</f>
        <v>4.18</v>
      </c>
      <c r="H171" s="599"/>
      <c r="I171" s="600"/>
      <c r="J171" s="600"/>
      <c r="K171" s="600"/>
      <c r="L171" s="600"/>
    </row>
    <row r="172" spans="1:12" ht="15.75" customHeight="1" x14ac:dyDescent="0.25">
      <c r="A172" s="928">
        <f t="shared" si="2"/>
        <v>125</v>
      </c>
      <c r="B172" s="926">
        <f>+NOMINA!C168</f>
        <v>16065580</v>
      </c>
      <c r="C172" s="926" t="str">
        <f>+NOMINA!D168</f>
        <v>Paredes de Rendon Zuly Josefina</v>
      </c>
      <c r="D172" s="926" t="str">
        <f>+NOMINA!O168</f>
        <v>Tutor Facilitador II</v>
      </c>
      <c r="E172" s="929">
        <f>+NOMINA!H168</f>
        <v>44363</v>
      </c>
      <c r="F172" s="930">
        <f>+NOMINA!BL168</f>
        <v>24.84</v>
      </c>
      <c r="G172" s="930">
        <f>+NOMINA!BM168</f>
        <v>3.11</v>
      </c>
      <c r="H172" s="599"/>
      <c r="I172" s="600"/>
      <c r="J172" s="600"/>
      <c r="K172" s="600"/>
      <c r="L172" s="600"/>
    </row>
    <row r="173" spans="1:12" ht="15.75" customHeight="1" x14ac:dyDescent="0.25">
      <c r="A173" s="928">
        <f t="shared" si="2"/>
        <v>126</v>
      </c>
      <c r="B173" s="926">
        <f>+NOMINA!C169</f>
        <v>16065861</v>
      </c>
      <c r="C173" s="926" t="str">
        <f>+NOMINA!D169</f>
        <v>Gonzalez Pineda Eduardo Manuel</v>
      </c>
      <c r="D173" s="926" t="str">
        <f>+NOMINA!O169</f>
        <v>Entrenador Deportivo VI</v>
      </c>
      <c r="E173" s="929">
        <f>+NOMINA!H169</f>
        <v>43906</v>
      </c>
      <c r="F173" s="930">
        <f>+NOMINA!BL169</f>
        <v>27.83</v>
      </c>
      <c r="G173" s="930">
        <f>+NOMINA!BM169</f>
        <v>3.48</v>
      </c>
      <c r="H173" s="599"/>
      <c r="I173" s="600"/>
      <c r="J173" s="600"/>
      <c r="K173" s="600"/>
      <c r="L173" s="600"/>
    </row>
    <row r="174" spans="1:12" ht="15.75" customHeight="1" x14ac:dyDescent="0.25">
      <c r="A174" s="928">
        <f t="shared" si="2"/>
        <v>127</v>
      </c>
      <c r="B174" s="926">
        <f>+NOMINA!C170</f>
        <v>16066524</v>
      </c>
      <c r="C174" s="926" t="str">
        <f>+NOMINA!D170</f>
        <v>Carmona Peñaloza Yaneth Coromoto</v>
      </c>
      <c r="D174" s="926" t="str">
        <f>+NOMINA!O170</f>
        <v>Asistente Administrativo III</v>
      </c>
      <c r="E174" s="929">
        <f>+NOMINA!H170</f>
        <v>41456</v>
      </c>
      <c r="F174" s="930">
        <f>+NOMINA!BL170</f>
        <v>0</v>
      </c>
      <c r="G174" s="930">
        <f>+NOMINA!BM170</f>
        <v>0</v>
      </c>
      <c r="H174" s="599"/>
      <c r="I174" s="600"/>
      <c r="J174" s="600"/>
      <c r="K174" s="600"/>
      <c r="L174" s="600"/>
    </row>
    <row r="175" spans="1:12" ht="15.75" customHeight="1" x14ac:dyDescent="0.25">
      <c r="A175" s="928">
        <f t="shared" si="2"/>
        <v>128</v>
      </c>
      <c r="B175" s="926">
        <f>+NOMINA!C171</f>
        <v>16066554</v>
      </c>
      <c r="C175" s="926" t="str">
        <f>+NOMINA!D171</f>
        <v>Gonzalez Huerta Maria Josefina</v>
      </c>
      <c r="D175" s="926" t="str">
        <f>+NOMINA!O171</f>
        <v>Auditor IV</v>
      </c>
      <c r="E175" s="929">
        <f>+NOMINA!H171</f>
        <v>38797</v>
      </c>
      <c r="F175" s="930">
        <f>+NOMINA!BL171</f>
        <v>29.54</v>
      </c>
      <c r="G175" s="930">
        <f>+NOMINA!BM171</f>
        <v>3.69</v>
      </c>
      <c r="H175" s="599"/>
      <c r="I175" s="600"/>
      <c r="J175" s="600"/>
      <c r="K175" s="600"/>
      <c r="L175" s="600"/>
    </row>
    <row r="176" spans="1:12" ht="15.75" customHeight="1" x14ac:dyDescent="0.25">
      <c r="A176" s="928">
        <f t="shared" si="2"/>
        <v>129</v>
      </c>
      <c r="B176" s="926">
        <f>+NOMINA!C172</f>
        <v>16266033</v>
      </c>
      <c r="C176" s="926" t="str">
        <f>+NOMINA!D172</f>
        <v>Montilla de Davila Nileidy del Valle</v>
      </c>
      <c r="D176" s="926" t="str">
        <f>+NOMINA!O172</f>
        <v>Guia de Centro I</v>
      </c>
      <c r="E176" s="929">
        <f>+NOMINA!H172</f>
        <v>44713</v>
      </c>
      <c r="F176" s="930">
        <f>+NOMINA!BL172</f>
        <v>28.54</v>
      </c>
      <c r="G176" s="930">
        <f>+NOMINA!BM172</f>
        <v>3.57</v>
      </c>
      <c r="H176" s="599"/>
      <c r="I176" s="600"/>
      <c r="J176" s="600"/>
      <c r="K176" s="600"/>
      <c r="L176" s="600"/>
    </row>
    <row r="177" spans="1:12" ht="15.75" customHeight="1" x14ac:dyDescent="0.25">
      <c r="A177" s="928">
        <f t="shared" si="2"/>
        <v>130</v>
      </c>
      <c r="B177" s="926">
        <f>+NOMINA!C173</f>
        <v>16266989</v>
      </c>
      <c r="C177" s="926" t="str">
        <f>+NOMINA!D173</f>
        <v>Rincon Quevedo Angela Adriana</v>
      </c>
      <c r="D177" s="926" t="str">
        <f>+NOMINA!O173</f>
        <v>Guia de Centro II</v>
      </c>
      <c r="E177" s="929">
        <f>+NOMINA!H173</f>
        <v>43040</v>
      </c>
      <c r="F177" s="930">
        <f>+NOMINA!BL173</f>
        <v>34.1</v>
      </c>
      <c r="G177" s="930">
        <f>+NOMINA!BM173</f>
        <v>4.26</v>
      </c>
      <c r="H177" s="599"/>
      <c r="I177" s="600"/>
      <c r="J177" s="600"/>
      <c r="K177" s="600"/>
      <c r="L177" s="600"/>
    </row>
    <row r="178" spans="1:12" ht="15.75" customHeight="1" x14ac:dyDescent="0.25">
      <c r="A178" s="928">
        <f t="shared" ref="A178:A241" si="3">+A177+1</f>
        <v>131</v>
      </c>
      <c r="B178" s="926">
        <f>+NOMINA!C174</f>
        <v>16267940</v>
      </c>
      <c r="C178" s="926" t="str">
        <f>+NOMINA!D174</f>
        <v>Araujo Moreno Elisaelith</v>
      </c>
      <c r="D178" s="926" t="str">
        <f>+NOMINA!O174</f>
        <v>Tecnico Superior en Trabajo Social II</v>
      </c>
      <c r="E178" s="929">
        <f>+NOMINA!H174</f>
        <v>44600</v>
      </c>
      <c r="F178" s="930">
        <f>+NOMINA!BL174</f>
        <v>20.39</v>
      </c>
      <c r="G178" s="930">
        <f>+NOMINA!BM174</f>
        <v>2.5499999999999998</v>
      </c>
      <c r="H178" s="599"/>
      <c r="I178" s="600"/>
      <c r="J178" s="600"/>
      <c r="K178" s="600"/>
      <c r="L178" s="600"/>
    </row>
    <row r="179" spans="1:12" ht="15.75" customHeight="1" x14ac:dyDescent="0.25">
      <c r="A179" s="928">
        <f t="shared" si="3"/>
        <v>132</v>
      </c>
      <c r="B179" s="926">
        <f>+NOMINA!C175</f>
        <v>16376534</v>
      </c>
      <c r="C179" s="926" t="str">
        <f>+NOMINA!D175</f>
        <v>Lugo Moreno Yenny Katiuska</v>
      </c>
      <c r="D179" s="926" t="str">
        <f>+NOMINA!O175</f>
        <v>Guia de Centro II</v>
      </c>
      <c r="E179" s="929">
        <f>+NOMINA!H175</f>
        <v>43754</v>
      </c>
      <c r="F179" s="930">
        <f>+NOMINA!BL175</f>
        <v>32.5</v>
      </c>
      <c r="G179" s="930">
        <f>+NOMINA!BM175</f>
        <v>4.0599999999999996</v>
      </c>
      <c r="H179" s="599"/>
      <c r="I179" s="600"/>
      <c r="J179" s="600"/>
      <c r="K179" s="600"/>
      <c r="L179" s="600"/>
    </row>
    <row r="180" spans="1:12" ht="15.75" customHeight="1" x14ac:dyDescent="0.25">
      <c r="A180" s="928">
        <f t="shared" si="3"/>
        <v>133</v>
      </c>
      <c r="B180" s="926">
        <f>+NOMINA!C176</f>
        <v>16376698</v>
      </c>
      <c r="C180" s="926" t="str">
        <f>+NOMINA!D176</f>
        <v>Barreto Maldonado Jose Luis</v>
      </c>
      <c r="D180" s="926" t="str">
        <f>+NOMINA!O176</f>
        <v>Supervisor de Servicios Generales IV</v>
      </c>
      <c r="E180" s="929">
        <f>+NOMINA!H176</f>
        <v>40909</v>
      </c>
      <c r="F180" s="930">
        <f>+NOMINA!BL176</f>
        <v>16.41</v>
      </c>
      <c r="G180" s="930">
        <f>+NOMINA!BM176</f>
        <v>2.0499999999999998</v>
      </c>
      <c r="H180" s="599"/>
      <c r="I180" s="600"/>
      <c r="J180" s="600"/>
      <c r="K180" s="600"/>
      <c r="L180" s="600"/>
    </row>
    <row r="181" spans="1:12" ht="15.75" customHeight="1" x14ac:dyDescent="0.25">
      <c r="A181" s="928">
        <f t="shared" si="3"/>
        <v>134</v>
      </c>
      <c r="B181" s="926">
        <f>+NOMINA!C177</f>
        <v>16377159</v>
      </c>
      <c r="C181" s="926" t="str">
        <f>+NOMINA!D177</f>
        <v>Carrillo Uzcategui Tahiyuani Carolina</v>
      </c>
      <c r="D181" s="926" t="str">
        <f>+NOMINA!O177</f>
        <v>Guia de Centro I</v>
      </c>
      <c r="E181" s="929">
        <f>+NOMINA!H177</f>
        <v>44743</v>
      </c>
      <c r="F181" s="930">
        <f>+NOMINA!BL177</f>
        <v>27.4</v>
      </c>
      <c r="G181" s="930">
        <f>+NOMINA!BM177</f>
        <v>3.43</v>
      </c>
      <c r="H181" s="599"/>
      <c r="I181" s="600"/>
      <c r="J181" s="600"/>
      <c r="K181" s="600"/>
      <c r="L181" s="600"/>
    </row>
    <row r="182" spans="1:12" ht="15.75" customHeight="1" x14ac:dyDescent="0.25">
      <c r="A182" s="928">
        <f t="shared" si="3"/>
        <v>135</v>
      </c>
      <c r="B182" s="926">
        <f>+NOMINA!C178</f>
        <v>16377588</v>
      </c>
      <c r="C182" s="926" t="str">
        <f>+NOMINA!D178</f>
        <v>Perdomo Linares Alejandra Carolina</v>
      </c>
      <c r="D182" s="926" t="str">
        <f>+NOMINA!O178</f>
        <v>Tutor Facilitador II</v>
      </c>
      <c r="E182" s="929">
        <f>+NOMINA!H178</f>
        <v>44059</v>
      </c>
      <c r="F182" s="930">
        <f>+NOMINA!BL178</f>
        <v>25</v>
      </c>
      <c r="G182" s="930">
        <f>+NOMINA!BM178</f>
        <v>3.13</v>
      </c>
      <c r="H182" s="599"/>
      <c r="I182" s="600"/>
      <c r="J182" s="600"/>
      <c r="K182" s="600"/>
      <c r="L182" s="600"/>
    </row>
    <row r="183" spans="1:12" ht="15.75" customHeight="1" x14ac:dyDescent="0.25">
      <c r="A183" s="928">
        <f t="shared" si="3"/>
        <v>136</v>
      </c>
      <c r="B183" s="926">
        <f>+NOMINA!C179</f>
        <v>16377628</v>
      </c>
      <c r="C183" s="926" t="str">
        <f>+NOMINA!D179</f>
        <v>Peña Nava Maria Gabriela</v>
      </c>
      <c r="D183" s="926" t="str">
        <f>+NOMINA!O179</f>
        <v>Guia de Centro II</v>
      </c>
      <c r="E183" s="929">
        <f>+NOMINA!H179</f>
        <v>44743</v>
      </c>
      <c r="F183" s="930">
        <f>+NOMINA!BL179</f>
        <v>34.840000000000003</v>
      </c>
      <c r="G183" s="930">
        <f>+NOMINA!BM179</f>
        <v>4.3600000000000003</v>
      </c>
      <c r="H183" s="599"/>
      <c r="I183" s="600"/>
      <c r="J183" s="600"/>
      <c r="K183" s="600"/>
      <c r="L183" s="600"/>
    </row>
    <row r="184" spans="1:12" ht="15.75" customHeight="1" x14ac:dyDescent="0.25">
      <c r="A184" s="928">
        <f t="shared" si="3"/>
        <v>137</v>
      </c>
      <c r="B184" s="926">
        <f>+NOMINA!C180</f>
        <v>16533566</v>
      </c>
      <c r="C184" s="926" t="str">
        <f>+NOMINA!D180</f>
        <v>Materan Gallardo Vivian Katiana</v>
      </c>
      <c r="D184" s="926" t="str">
        <f>+NOMINA!O180</f>
        <v>Guia de Centro I</v>
      </c>
      <c r="E184" s="929">
        <f>+NOMINA!H180</f>
        <v>44683</v>
      </c>
      <c r="F184" s="930">
        <f>+NOMINA!BL180</f>
        <v>18.57</v>
      </c>
      <c r="G184" s="930">
        <f>+NOMINA!BM180</f>
        <v>2.3199999999999998</v>
      </c>
      <c r="H184" s="599"/>
      <c r="I184" s="600"/>
      <c r="J184" s="600"/>
      <c r="K184" s="600"/>
      <c r="L184" s="600"/>
    </row>
    <row r="185" spans="1:12" ht="15.75" customHeight="1" x14ac:dyDescent="0.25">
      <c r="A185" s="928">
        <f t="shared" si="3"/>
        <v>138</v>
      </c>
      <c r="B185" s="926">
        <f>+NOMINA!C181</f>
        <v>16533615</v>
      </c>
      <c r="C185" s="926" t="str">
        <f>+NOMINA!D181</f>
        <v>Valero Sulbaran Urquia Del Mar</v>
      </c>
      <c r="D185" s="926" t="str">
        <f>+NOMINA!O181</f>
        <v>Guia de Centro I</v>
      </c>
      <c r="E185" s="929">
        <f>+NOMINA!H181</f>
        <v>45474</v>
      </c>
      <c r="F185" s="930">
        <f>+NOMINA!BL181</f>
        <v>29.32</v>
      </c>
      <c r="G185" s="930">
        <f>+NOMINA!BM181</f>
        <v>3.67</v>
      </c>
      <c r="H185" s="599"/>
      <c r="I185" s="600"/>
      <c r="J185" s="600"/>
      <c r="K185" s="600"/>
      <c r="L185" s="600"/>
    </row>
    <row r="186" spans="1:12" ht="15.75" customHeight="1" x14ac:dyDescent="0.25">
      <c r="A186" s="928">
        <f t="shared" si="3"/>
        <v>139</v>
      </c>
      <c r="B186" s="926">
        <f>+NOMINA!C182</f>
        <v>16533986</v>
      </c>
      <c r="C186" s="926" t="str">
        <f>+NOMINA!D182</f>
        <v>Serrada Bustos Gladys Magaly</v>
      </c>
      <c r="D186" s="926" t="str">
        <f>+NOMINA!O182</f>
        <v>INGENIERO ELECTRICISTA JEFE</v>
      </c>
      <c r="E186" s="929">
        <f>+NOMINA!H182</f>
        <v>42948</v>
      </c>
      <c r="F186" s="930">
        <f>+NOMINA!BL182</f>
        <v>25.7</v>
      </c>
      <c r="G186" s="930">
        <f>+NOMINA!BM182</f>
        <v>3.21</v>
      </c>
      <c r="H186" s="599"/>
      <c r="I186" s="600"/>
      <c r="J186" s="600"/>
      <c r="K186" s="600"/>
      <c r="L186" s="600"/>
    </row>
    <row r="187" spans="1:12" ht="15.75" customHeight="1" x14ac:dyDescent="0.25">
      <c r="A187" s="928">
        <f t="shared" si="3"/>
        <v>140</v>
      </c>
      <c r="B187" s="926">
        <f>+NOMINA!C183</f>
        <v>16739081</v>
      </c>
      <c r="C187" s="926" t="str">
        <f>+NOMINA!D183</f>
        <v>Albarran Araujo Yely Coromoto</v>
      </c>
      <c r="D187" s="926" t="str">
        <f>+NOMINA!O183</f>
        <v>Asistente Administrativo III</v>
      </c>
      <c r="E187" s="929">
        <f>+NOMINA!H183</f>
        <v>42948</v>
      </c>
      <c r="F187" s="930">
        <f>+NOMINA!BL183</f>
        <v>0</v>
      </c>
      <c r="G187" s="930">
        <f>+NOMINA!BM183</f>
        <v>0</v>
      </c>
      <c r="H187" s="599"/>
      <c r="I187" s="600"/>
      <c r="J187" s="600"/>
      <c r="K187" s="600"/>
      <c r="L187" s="600"/>
    </row>
    <row r="188" spans="1:12" ht="15.75" customHeight="1" x14ac:dyDescent="0.25">
      <c r="A188" s="928">
        <f t="shared" si="3"/>
        <v>141</v>
      </c>
      <c r="B188" s="926">
        <f>+NOMINA!C184</f>
        <v>16740261</v>
      </c>
      <c r="C188" s="926" t="str">
        <f>+NOMINA!D184</f>
        <v>Rivas Briceño Nathaly Del Carmen</v>
      </c>
      <c r="D188" s="926" t="str">
        <f>+NOMINA!O184</f>
        <v>Tecnico Superior en Trabajo Social I</v>
      </c>
      <c r="E188" s="929">
        <f>+NOMINA!H184</f>
        <v>45505</v>
      </c>
      <c r="F188" s="930">
        <f>+NOMINA!BL184</f>
        <v>18.63</v>
      </c>
      <c r="G188" s="930">
        <f>+NOMINA!BM184</f>
        <v>2.33</v>
      </c>
      <c r="H188" s="599"/>
      <c r="I188" s="600"/>
      <c r="J188" s="600"/>
      <c r="K188" s="600"/>
      <c r="L188" s="600"/>
    </row>
    <row r="189" spans="1:12" ht="15.75" customHeight="1" x14ac:dyDescent="0.25">
      <c r="A189" s="928">
        <f t="shared" si="3"/>
        <v>142</v>
      </c>
      <c r="B189" s="926">
        <f>+NOMINA!C185</f>
        <v>16881384</v>
      </c>
      <c r="C189" s="926" t="str">
        <f>+NOMINA!D185</f>
        <v>Perez Ramirez Yonathan Jesus</v>
      </c>
      <c r="D189" s="926" t="str">
        <f>+NOMINA!O185</f>
        <v>Guia de Centro II</v>
      </c>
      <c r="E189" s="929">
        <f>+NOMINA!H185</f>
        <v>43906</v>
      </c>
      <c r="F189" s="930">
        <f>+NOMINA!BL185</f>
        <v>28.25</v>
      </c>
      <c r="G189" s="930">
        <f>+NOMINA!BM185</f>
        <v>3.53</v>
      </c>
      <c r="H189" s="599"/>
      <c r="I189" s="600"/>
      <c r="J189" s="600"/>
      <c r="K189" s="600"/>
      <c r="L189" s="600"/>
    </row>
    <row r="190" spans="1:12" ht="15.75" customHeight="1" x14ac:dyDescent="0.25">
      <c r="A190" s="928">
        <f t="shared" si="3"/>
        <v>143</v>
      </c>
      <c r="B190" s="926">
        <f>+NOMINA!C186</f>
        <v>16882467</v>
      </c>
      <c r="C190" s="926" t="str">
        <f>+NOMINA!D186</f>
        <v>Mejia Araujo Sandra Coromoto</v>
      </c>
      <c r="D190" s="926" t="str">
        <f>+NOMINA!O186</f>
        <v>Analista de Personal IV</v>
      </c>
      <c r="E190" s="929">
        <f>+NOMINA!H186</f>
        <v>42948</v>
      </c>
      <c r="F190" s="930">
        <f>+NOMINA!BL186</f>
        <v>26.9</v>
      </c>
      <c r="G190" s="930">
        <f>+NOMINA!BM186</f>
        <v>3.36</v>
      </c>
      <c r="H190" s="599"/>
      <c r="I190" s="600"/>
      <c r="J190" s="600"/>
      <c r="K190" s="600"/>
      <c r="L190" s="600"/>
    </row>
    <row r="191" spans="1:12" ht="15.75" customHeight="1" x14ac:dyDescent="0.25">
      <c r="A191" s="928">
        <f t="shared" si="3"/>
        <v>144</v>
      </c>
      <c r="B191" s="926">
        <f>+NOMINA!C187</f>
        <v>16883267</v>
      </c>
      <c r="C191" s="926" t="str">
        <f>+NOMINA!D187</f>
        <v>Matheus Rondon Aida</v>
      </c>
      <c r="D191" s="926" t="str">
        <f>+NOMINA!O187</f>
        <v>Guia de Centro II</v>
      </c>
      <c r="E191" s="929">
        <f>+NOMINA!H187</f>
        <v>38930</v>
      </c>
      <c r="F191" s="930">
        <f>+NOMINA!BL187</f>
        <v>22.91</v>
      </c>
      <c r="G191" s="930">
        <f>+NOMINA!BM187</f>
        <v>2.86</v>
      </c>
      <c r="H191" s="599"/>
      <c r="I191" s="600"/>
      <c r="J191" s="600"/>
      <c r="K191" s="600"/>
      <c r="L191" s="600"/>
    </row>
    <row r="192" spans="1:12" ht="15.75" customHeight="1" x14ac:dyDescent="0.25">
      <c r="A192" s="928">
        <f t="shared" si="3"/>
        <v>145</v>
      </c>
      <c r="B192" s="926">
        <f>+NOMINA!C188</f>
        <v>17037244</v>
      </c>
      <c r="C192" s="926" t="str">
        <f>+NOMINA!D188</f>
        <v>Bastidas Yelitza del Carmen</v>
      </c>
      <c r="D192" s="926" t="str">
        <f>+NOMINA!O188</f>
        <v>Guia de Centro II</v>
      </c>
      <c r="E192" s="929">
        <f>+NOMINA!H188</f>
        <v>40087</v>
      </c>
      <c r="F192" s="930">
        <f>+NOMINA!BL188</f>
        <v>30.36</v>
      </c>
      <c r="G192" s="930">
        <f>+NOMINA!BM188</f>
        <v>3.8</v>
      </c>
      <c r="H192" s="599"/>
      <c r="I192" s="600"/>
      <c r="J192" s="600"/>
      <c r="K192" s="600"/>
      <c r="L192" s="600"/>
    </row>
    <row r="193" spans="1:12" ht="15.75" customHeight="1" x14ac:dyDescent="0.25">
      <c r="A193" s="928">
        <f t="shared" si="3"/>
        <v>146</v>
      </c>
      <c r="B193" s="926">
        <f>+NOMINA!C189</f>
        <v>17038061</v>
      </c>
      <c r="C193" s="926" t="str">
        <f>+NOMINA!D189</f>
        <v>Ruendez Araujo Omaira del Carmen</v>
      </c>
      <c r="D193" s="926" t="str">
        <f>+NOMINA!O189</f>
        <v>Guia de Centro I</v>
      </c>
      <c r="E193" s="929">
        <f>+NOMINA!H189</f>
        <v>45809</v>
      </c>
      <c r="F193" s="930">
        <f>+NOMINA!BL189</f>
        <v>17.18</v>
      </c>
      <c r="G193" s="930">
        <f>+NOMINA!BM189</f>
        <v>2.15</v>
      </c>
      <c r="H193" s="599"/>
      <c r="I193" s="600"/>
      <c r="J193" s="600"/>
      <c r="K193" s="600"/>
      <c r="L193" s="600"/>
    </row>
    <row r="194" spans="1:12" ht="15.75" customHeight="1" x14ac:dyDescent="0.25">
      <c r="A194" s="928">
        <f t="shared" si="3"/>
        <v>147</v>
      </c>
      <c r="B194" s="926">
        <f>+NOMINA!C190</f>
        <v>17094419</v>
      </c>
      <c r="C194" s="926" t="str">
        <f>+NOMINA!D190</f>
        <v>Aponte Rivera Lenismar del Valle</v>
      </c>
      <c r="D194" s="926" t="str">
        <f>+NOMINA!O190</f>
        <v>Guia de Centro I</v>
      </c>
      <c r="E194" s="929">
        <f>+NOMINA!H190</f>
        <v>44409</v>
      </c>
      <c r="F194" s="930">
        <f>+NOMINA!BL190</f>
        <v>17.91</v>
      </c>
      <c r="G194" s="930">
        <f>+NOMINA!BM190</f>
        <v>2.2400000000000002</v>
      </c>
      <c r="H194" s="599"/>
      <c r="I194" s="600"/>
      <c r="J194" s="600"/>
      <c r="K194" s="600"/>
      <c r="L194" s="600"/>
    </row>
    <row r="195" spans="1:12" ht="15.75" customHeight="1" x14ac:dyDescent="0.25">
      <c r="A195" s="928">
        <f t="shared" si="3"/>
        <v>148</v>
      </c>
      <c r="B195" s="926">
        <f>+NOMINA!C191</f>
        <v>17094426</v>
      </c>
      <c r="C195" s="926" t="str">
        <f>+NOMINA!D191</f>
        <v>Manzanilla Araujo Richard Jose</v>
      </c>
      <c r="D195" s="926" t="str">
        <f>+NOMINA!O191</f>
        <v>Guia de Centro II</v>
      </c>
      <c r="E195" s="929">
        <f>+NOMINA!H191</f>
        <v>43344</v>
      </c>
      <c r="F195" s="930">
        <f>+NOMINA!BL191</f>
        <v>33.159999999999997</v>
      </c>
      <c r="G195" s="930">
        <f>+NOMINA!BM191</f>
        <v>4.1500000000000004</v>
      </c>
      <c r="H195" s="599"/>
      <c r="I195" s="600"/>
      <c r="J195" s="600"/>
      <c r="K195" s="600"/>
      <c r="L195" s="600"/>
    </row>
    <row r="196" spans="1:12" ht="15.75" customHeight="1" x14ac:dyDescent="0.25">
      <c r="A196" s="928">
        <f t="shared" si="3"/>
        <v>149</v>
      </c>
      <c r="B196" s="926">
        <f>+NOMINA!C192</f>
        <v>17130893</v>
      </c>
      <c r="C196" s="926" t="str">
        <f>+NOMINA!D192</f>
        <v>Leon Valero Ceila Maria</v>
      </c>
      <c r="D196" s="926" t="str">
        <f>+NOMINA!O192</f>
        <v>Tutor Facilitador III</v>
      </c>
      <c r="E196" s="929">
        <f>+NOMINA!H192</f>
        <v>39602</v>
      </c>
      <c r="F196" s="930">
        <f>+NOMINA!BL192</f>
        <v>28.87</v>
      </c>
      <c r="G196" s="930">
        <f>+NOMINA!BM192</f>
        <v>3.61</v>
      </c>
      <c r="H196" s="599"/>
      <c r="I196" s="600"/>
      <c r="J196" s="600"/>
      <c r="K196" s="600"/>
      <c r="L196" s="600"/>
    </row>
    <row r="197" spans="1:12" ht="15.75" customHeight="1" x14ac:dyDescent="0.25">
      <c r="A197" s="928">
        <f t="shared" si="3"/>
        <v>150</v>
      </c>
      <c r="B197" s="926">
        <f>+NOMINA!C193</f>
        <v>17265578</v>
      </c>
      <c r="C197" s="926" t="str">
        <f>+NOMINA!D193</f>
        <v>Briceño Aguilar Rebeca Andreina</v>
      </c>
      <c r="D197" s="926" t="str">
        <f>+NOMINA!O193</f>
        <v>Tecnico Superior en Trabajo Social II</v>
      </c>
      <c r="E197" s="929">
        <f>+NOMINA!H193</f>
        <v>45047</v>
      </c>
      <c r="F197" s="930">
        <f>+NOMINA!BL193</f>
        <v>20.51</v>
      </c>
      <c r="G197" s="930">
        <f>+NOMINA!BM193</f>
        <v>2.56</v>
      </c>
      <c r="H197" s="599"/>
      <c r="I197" s="600"/>
      <c r="J197" s="600"/>
      <c r="K197" s="600"/>
      <c r="L197" s="600"/>
    </row>
    <row r="198" spans="1:12" ht="15.75" customHeight="1" x14ac:dyDescent="0.25">
      <c r="A198" s="928">
        <f t="shared" si="3"/>
        <v>151</v>
      </c>
      <c r="B198" s="926">
        <f>+NOMINA!C194</f>
        <v>17265648</v>
      </c>
      <c r="C198" s="926" t="str">
        <f>+NOMINA!D194</f>
        <v>Carrizo Mary Alejandra</v>
      </c>
      <c r="D198" s="926" t="str">
        <f>+NOMINA!O194</f>
        <v>Guia de Centro II</v>
      </c>
      <c r="E198" s="929">
        <f>+NOMINA!H194</f>
        <v>43709</v>
      </c>
      <c r="F198" s="930">
        <f>+NOMINA!BL194</f>
        <v>20.13</v>
      </c>
      <c r="G198" s="930">
        <f>+NOMINA!BM194</f>
        <v>2.52</v>
      </c>
      <c r="H198" s="599"/>
      <c r="I198" s="600"/>
      <c r="J198" s="600"/>
      <c r="K198" s="600"/>
      <c r="L198" s="600"/>
    </row>
    <row r="199" spans="1:12" ht="15.75" customHeight="1" x14ac:dyDescent="0.25">
      <c r="A199" s="928">
        <f t="shared" si="3"/>
        <v>152</v>
      </c>
      <c r="B199" s="926">
        <f>+NOMINA!C195</f>
        <v>17267324</v>
      </c>
      <c r="C199" s="926" t="str">
        <f>+NOMINA!D195</f>
        <v>Urdaneta Soto Katherine Esther</v>
      </c>
      <c r="D199" s="926" t="str">
        <f>+NOMINA!O195</f>
        <v>Guia de Centro II</v>
      </c>
      <c r="E199" s="929">
        <f>+NOMINA!H195</f>
        <v>43785</v>
      </c>
      <c r="F199" s="930">
        <f>+NOMINA!BL195</f>
        <v>18</v>
      </c>
      <c r="G199" s="930">
        <f>+NOMINA!BM195</f>
        <v>2.25</v>
      </c>
      <c r="H199" s="599"/>
      <c r="I199" s="600"/>
      <c r="J199" s="600"/>
      <c r="K199" s="600"/>
      <c r="L199" s="600"/>
    </row>
    <row r="200" spans="1:12" ht="15.75" customHeight="1" x14ac:dyDescent="0.25">
      <c r="A200" s="928">
        <f t="shared" si="3"/>
        <v>153</v>
      </c>
      <c r="B200" s="926">
        <f>+NOMINA!C196</f>
        <v>17391316</v>
      </c>
      <c r="C200" s="926" t="str">
        <f>+NOMINA!D196</f>
        <v>Torres Aranguren Lilibeth del Valle</v>
      </c>
      <c r="D200" s="926" t="str">
        <f>+NOMINA!O196</f>
        <v>Guia de Centro I</v>
      </c>
      <c r="E200" s="929">
        <f>+NOMINA!H196</f>
        <v>44713</v>
      </c>
      <c r="F200" s="930">
        <f>+NOMINA!BL196</f>
        <v>26.5</v>
      </c>
      <c r="G200" s="930">
        <f>+NOMINA!BM196</f>
        <v>3.31</v>
      </c>
      <c r="H200" s="599"/>
      <c r="I200" s="600"/>
      <c r="J200" s="600"/>
      <c r="K200" s="600"/>
      <c r="L200" s="600"/>
    </row>
    <row r="201" spans="1:12" ht="15.75" customHeight="1" x14ac:dyDescent="0.25">
      <c r="A201" s="928">
        <f t="shared" si="3"/>
        <v>154</v>
      </c>
      <c r="B201" s="926">
        <f>+NOMINA!C197</f>
        <v>17391892</v>
      </c>
      <c r="C201" s="926" t="str">
        <f>+NOMINA!D197</f>
        <v>Godoy Padilla Darcy Yaneth</v>
      </c>
      <c r="D201" s="926" t="str">
        <f>+NOMINA!O197</f>
        <v>Analista de Personal I</v>
      </c>
      <c r="E201" s="929">
        <f>+NOMINA!H197</f>
        <v>45323</v>
      </c>
      <c r="F201" s="930">
        <f>+NOMINA!BL197</f>
        <v>25.4</v>
      </c>
      <c r="G201" s="930">
        <f>+NOMINA!BM197</f>
        <v>3.18</v>
      </c>
      <c r="H201" s="599"/>
      <c r="I201" s="600"/>
      <c r="J201" s="600"/>
      <c r="K201" s="600"/>
      <c r="L201" s="600"/>
    </row>
    <row r="202" spans="1:12" ht="15.75" customHeight="1" x14ac:dyDescent="0.25">
      <c r="A202" s="928">
        <f t="shared" si="3"/>
        <v>155</v>
      </c>
      <c r="B202" s="926">
        <f>+NOMINA!C198</f>
        <v>17392309</v>
      </c>
      <c r="C202" s="926" t="str">
        <f>+NOMINA!D198</f>
        <v>Torres Briceño Yarelis del Carmen</v>
      </c>
      <c r="D202" s="926" t="str">
        <f>+NOMINA!O198</f>
        <v>Administrador II</v>
      </c>
      <c r="E202" s="929">
        <f>+NOMINA!H198</f>
        <v>43116</v>
      </c>
      <c r="F202" s="930">
        <f>+NOMINA!BL198</f>
        <v>25.51</v>
      </c>
      <c r="G202" s="930">
        <f>+NOMINA!BM198</f>
        <v>3.19</v>
      </c>
      <c r="H202" s="599"/>
      <c r="I202" s="600"/>
      <c r="J202" s="600"/>
      <c r="K202" s="600"/>
      <c r="L202" s="600"/>
    </row>
    <row r="203" spans="1:12" ht="15.75" customHeight="1" x14ac:dyDescent="0.25">
      <c r="A203" s="928">
        <f t="shared" si="3"/>
        <v>156</v>
      </c>
      <c r="B203" s="926">
        <f>+NOMINA!C199</f>
        <v>17393693</v>
      </c>
      <c r="C203" s="926" t="str">
        <f>+NOMINA!D199</f>
        <v>Nuñez Maria Gusmara</v>
      </c>
      <c r="D203" s="926" t="str">
        <f>+NOMINA!O199</f>
        <v>Asistente Administrativo II</v>
      </c>
      <c r="E203" s="929">
        <f>+NOMINA!H199</f>
        <v>44516</v>
      </c>
      <c r="F203" s="930">
        <f>+NOMINA!BL199</f>
        <v>14.28</v>
      </c>
      <c r="G203" s="930">
        <f>+NOMINA!BM199</f>
        <v>1.79</v>
      </c>
      <c r="H203" s="599"/>
      <c r="I203" s="600"/>
      <c r="J203" s="600"/>
      <c r="K203" s="600"/>
      <c r="L203" s="600"/>
    </row>
    <row r="204" spans="1:12" ht="15.75" customHeight="1" x14ac:dyDescent="0.25">
      <c r="A204" s="928">
        <f t="shared" si="3"/>
        <v>157</v>
      </c>
      <c r="B204" s="926">
        <f>+NOMINA!C200</f>
        <v>17596844</v>
      </c>
      <c r="C204" s="926" t="str">
        <f>+NOMINA!D200</f>
        <v>Colmenares Jorge Luis</v>
      </c>
      <c r="D204" s="926" t="str">
        <f>+NOMINA!O200</f>
        <v>Guia de Centro I</v>
      </c>
      <c r="E204" s="929">
        <f>+NOMINA!H200</f>
        <v>45474</v>
      </c>
      <c r="F204" s="930">
        <f>+NOMINA!BL200</f>
        <v>25.12</v>
      </c>
      <c r="G204" s="930">
        <f>+NOMINA!BM200</f>
        <v>3.14</v>
      </c>
      <c r="H204" s="599"/>
      <c r="I204" s="600"/>
      <c r="J204" s="600"/>
      <c r="K204" s="600"/>
      <c r="L204" s="600"/>
    </row>
    <row r="205" spans="1:12" ht="15.75" customHeight="1" x14ac:dyDescent="0.25">
      <c r="A205" s="928">
        <f t="shared" si="3"/>
        <v>158</v>
      </c>
      <c r="B205" s="926">
        <f>+NOMINA!C201</f>
        <v>17597257</v>
      </c>
      <c r="C205" s="926" t="str">
        <f>+NOMINA!D201</f>
        <v>Linares Barreto Jorge Luis</v>
      </c>
      <c r="D205" s="926" t="str">
        <f>+NOMINA!O201</f>
        <v>GUIA DE CENTRO I</v>
      </c>
      <c r="E205" s="929">
        <f>+NOMINA!H201</f>
        <v>45536</v>
      </c>
      <c r="F205" s="930">
        <f>+NOMINA!BL201</f>
        <v>24.22</v>
      </c>
      <c r="G205" s="930">
        <f>+NOMINA!BM201</f>
        <v>3.03</v>
      </c>
      <c r="H205" s="599"/>
      <c r="I205" s="600"/>
      <c r="J205" s="600"/>
      <c r="K205" s="600"/>
      <c r="L205" s="600"/>
    </row>
    <row r="206" spans="1:12" ht="15.75" customHeight="1" x14ac:dyDescent="0.25">
      <c r="A206" s="928">
        <f t="shared" si="3"/>
        <v>159</v>
      </c>
      <c r="B206" s="926">
        <f>+NOMINA!C202</f>
        <v>17597285</v>
      </c>
      <c r="C206" s="926" t="str">
        <f>+NOMINA!D202</f>
        <v>Duarte Portillo Dani Vicente</v>
      </c>
      <c r="D206" s="926" t="str">
        <f>+NOMINA!O202</f>
        <v>Tecnico Superior en Trabajo Social II</v>
      </c>
      <c r="E206" s="929">
        <f>+NOMINA!H202</f>
        <v>42782</v>
      </c>
      <c r="F206" s="930">
        <f>+NOMINA!BL202</f>
        <v>20.49</v>
      </c>
      <c r="G206" s="930">
        <f>+NOMINA!BM202</f>
        <v>2.56</v>
      </c>
      <c r="H206" s="599"/>
      <c r="I206" s="600"/>
      <c r="J206" s="600"/>
      <c r="K206" s="600"/>
      <c r="L206" s="600"/>
    </row>
    <row r="207" spans="1:12" ht="15.75" customHeight="1" x14ac:dyDescent="0.25">
      <c r="A207" s="928">
        <f t="shared" si="3"/>
        <v>160</v>
      </c>
      <c r="B207" s="926">
        <f>+NOMINA!C203</f>
        <v>17604568</v>
      </c>
      <c r="C207" s="926" t="str">
        <f>+NOMINA!D203</f>
        <v>Rivera Gil Christian Rafael</v>
      </c>
      <c r="D207" s="926" t="str">
        <f>+NOMINA!O203</f>
        <v>Tecnico en Reparacion y Mantenimiento I</v>
      </c>
      <c r="E207" s="929">
        <f>+NOMINA!H203</f>
        <v>43831</v>
      </c>
      <c r="F207" s="930">
        <f>+NOMINA!BL203</f>
        <v>21.32</v>
      </c>
      <c r="G207" s="930">
        <f>+NOMINA!BM203</f>
        <v>2.67</v>
      </c>
      <c r="H207" s="599"/>
      <c r="I207" s="600"/>
      <c r="J207" s="600"/>
      <c r="K207" s="600"/>
      <c r="L207" s="600"/>
    </row>
    <row r="208" spans="1:12" ht="15.75" customHeight="1" x14ac:dyDescent="0.25">
      <c r="A208" s="928">
        <f t="shared" si="3"/>
        <v>161</v>
      </c>
      <c r="B208" s="926">
        <f>+NOMINA!C204</f>
        <v>17605222</v>
      </c>
      <c r="C208" s="926" t="str">
        <f>+NOMINA!D204</f>
        <v>Aguial Dayana Carolina</v>
      </c>
      <c r="D208" s="926" t="str">
        <f>+NOMINA!O204</f>
        <v>Guia de Centro II</v>
      </c>
      <c r="E208" s="929">
        <f>+NOMINA!H204</f>
        <v>42737</v>
      </c>
      <c r="F208" s="930">
        <f>+NOMINA!BL204</f>
        <v>27.75</v>
      </c>
      <c r="G208" s="930">
        <f>+NOMINA!BM204</f>
        <v>3.47</v>
      </c>
      <c r="H208" s="599"/>
      <c r="I208" s="600"/>
      <c r="J208" s="600"/>
      <c r="K208" s="600"/>
      <c r="L208" s="600"/>
    </row>
    <row r="209" spans="1:12" ht="15.75" customHeight="1" x14ac:dyDescent="0.25">
      <c r="A209" s="928">
        <f t="shared" si="3"/>
        <v>162</v>
      </c>
      <c r="B209" s="926">
        <f>+NOMINA!C205</f>
        <v>17605492</v>
      </c>
      <c r="C209" s="926" t="str">
        <f>+NOMINA!D205</f>
        <v>Briceño Briceño Naibely Carolina</v>
      </c>
      <c r="D209" s="926" t="str">
        <f>+NOMINA!O205</f>
        <v>Asistente Administrativo V</v>
      </c>
      <c r="E209" s="929">
        <f>+NOMINA!H205</f>
        <v>43967</v>
      </c>
      <c r="F209" s="930">
        <f>+NOMINA!BL205</f>
        <v>24.28</v>
      </c>
      <c r="G209" s="930">
        <f>+NOMINA!BM205</f>
        <v>3.03</v>
      </c>
      <c r="H209" s="599"/>
      <c r="I209" s="600"/>
      <c r="J209" s="600"/>
      <c r="K209" s="600"/>
      <c r="L209" s="600"/>
    </row>
    <row r="210" spans="1:12" ht="15.75" customHeight="1" x14ac:dyDescent="0.25">
      <c r="A210" s="928">
        <f t="shared" si="3"/>
        <v>163</v>
      </c>
      <c r="B210" s="926">
        <f>+NOMINA!C206</f>
        <v>17606237</v>
      </c>
      <c r="C210" s="926" t="str">
        <f>+NOMINA!D206</f>
        <v>Castellano Rivera Maria Antonina</v>
      </c>
      <c r="D210" s="926" t="str">
        <f>+NOMINA!O206</f>
        <v>Asistente Administrativo III</v>
      </c>
      <c r="E210" s="929">
        <f>+NOMINA!H206</f>
        <v>40909</v>
      </c>
      <c r="F210" s="930">
        <f>+NOMINA!BL206</f>
        <v>18.989999999999998</v>
      </c>
      <c r="G210" s="930">
        <f>+NOMINA!BM206</f>
        <v>2.37</v>
      </c>
      <c r="H210" s="599"/>
      <c r="I210" s="600"/>
      <c r="J210" s="600"/>
      <c r="K210" s="600"/>
      <c r="L210" s="600"/>
    </row>
    <row r="211" spans="1:12" ht="15.75" customHeight="1" x14ac:dyDescent="0.25">
      <c r="A211" s="928">
        <f t="shared" si="3"/>
        <v>164</v>
      </c>
      <c r="B211" s="926">
        <f>+NOMINA!C207</f>
        <v>17830972</v>
      </c>
      <c r="C211" s="926" t="str">
        <f>+NOMINA!D207</f>
        <v>Bastidas Franco Dianellys Sarain</v>
      </c>
      <c r="D211" s="926" t="str">
        <f>+NOMINA!O207</f>
        <v>Entrenador Deportivo IV</v>
      </c>
      <c r="E211" s="929">
        <f>+NOMINA!H207</f>
        <v>44713</v>
      </c>
      <c r="F211" s="930">
        <f>+NOMINA!BL207</f>
        <v>23.96</v>
      </c>
      <c r="G211" s="930">
        <f>+NOMINA!BM207</f>
        <v>3</v>
      </c>
      <c r="H211" s="599"/>
      <c r="I211" s="600"/>
      <c r="J211" s="600"/>
      <c r="K211" s="600"/>
      <c r="L211" s="600"/>
    </row>
    <row r="212" spans="1:12" ht="15.75" customHeight="1" x14ac:dyDescent="0.25">
      <c r="A212" s="928">
        <f t="shared" si="3"/>
        <v>165</v>
      </c>
      <c r="B212" s="926">
        <f>+NOMINA!C208</f>
        <v>17831012</v>
      </c>
      <c r="C212" s="926" t="str">
        <f>+NOMINA!D208</f>
        <v>Valera Briceño Jesus Enrique</v>
      </c>
      <c r="D212" s="926" t="str">
        <f>+NOMINA!O208</f>
        <v>Guia de Centro I</v>
      </c>
      <c r="E212" s="929">
        <f>+NOMINA!H208</f>
        <v>45474</v>
      </c>
      <c r="F212" s="930">
        <f>+NOMINA!BL208</f>
        <v>19.38</v>
      </c>
      <c r="G212" s="930">
        <f>+NOMINA!BM208</f>
        <v>2.42</v>
      </c>
      <c r="H212" s="599"/>
      <c r="I212" s="600"/>
      <c r="J212" s="600"/>
      <c r="K212" s="600"/>
      <c r="L212" s="600"/>
    </row>
    <row r="213" spans="1:12" ht="15.75" customHeight="1" x14ac:dyDescent="0.25">
      <c r="A213" s="928">
        <f t="shared" si="3"/>
        <v>166</v>
      </c>
      <c r="B213" s="926">
        <f>+NOMINA!C209</f>
        <v>17832396</v>
      </c>
      <c r="C213" s="926" t="str">
        <f>+NOMINA!D209</f>
        <v>Pulido Sanchez Joalina Vanessa</v>
      </c>
      <c r="D213" s="926" t="str">
        <f>+NOMINA!O209</f>
        <v>Enfermera Jefe I</v>
      </c>
      <c r="E213" s="929">
        <f>+NOMINA!H209</f>
        <v>43191</v>
      </c>
      <c r="F213" s="930">
        <f>+NOMINA!BL209</f>
        <v>21.73</v>
      </c>
      <c r="G213" s="930">
        <f>+NOMINA!BM209</f>
        <v>2.72</v>
      </c>
      <c r="H213" s="599"/>
      <c r="I213" s="600"/>
      <c r="J213" s="600"/>
      <c r="K213" s="600"/>
      <c r="L213" s="600"/>
    </row>
    <row r="214" spans="1:12" ht="15.75" customHeight="1" x14ac:dyDescent="0.25">
      <c r="A214" s="928">
        <f t="shared" si="3"/>
        <v>167</v>
      </c>
      <c r="B214" s="926">
        <f>+NOMINA!C210</f>
        <v>17865154</v>
      </c>
      <c r="C214" s="926" t="str">
        <f>+NOMINA!D210</f>
        <v>Serrano Ingrid Maria</v>
      </c>
      <c r="D214" s="926" t="str">
        <f>+NOMINA!O210</f>
        <v>Guia de Centro I</v>
      </c>
      <c r="E214" s="929">
        <f>+NOMINA!H210</f>
        <v>43846</v>
      </c>
      <c r="F214" s="930">
        <f>+NOMINA!BL210</f>
        <v>17.25</v>
      </c>
      <c r="G214" s="930">
        <f>+NOMINA!BM210</f>
        <v>2.16</v>
      </c>
      <c r="H214" s="599"/>
      <c r="I214" s="600"/>
      <c r="J214" s="600"/>
      <c r="K214" s="600"/>
      <c r="L214" s="600"/>
    </row>
    <row r="215" spans="1:12" ht="15.75" customHeight="1" x14ac:dyDescent="0.25">
      <c r="A215" s="928">
        <f t="shared" si="3"/>
        <v>168</v>
      </c>
      <c r="B215" s="926">
        <f>+NOMINA!C211</f>
        <v>18036203</v>
      </c>
      <c r="C215" s="926" t="str">
        <f>+NOMINA!D211</f>
        <v>Yepes Caceres Mervis Javier</v>
      </c>
      <c r="D215" s="926" t="str">
        <f>+NOMINA!O211</f>
        <v>Guia de Centro I</v>
      </c>
      <c r="E215" s="929">
        <f>+NOMINA!H211</f>
        <v>45505</v>
      </c>
      <c r="F215" s="930">
        <f>+NOMINA!BL211</f>
        <v>17.18</v>
      </c>
      <c r="G215" s="930">
        <f>+NOMINA!BM211</f>
        <v>2.15</v>
      </c>
      <c r="H215" s="599"/>
      <c r="I215" s="600"/>
      <c r="J215" s="600"/>
      <c r="K215" s="600"/>
      <c r="L215" s="600"/>
    </row>
    <row r="216" spans="1:12" ht="15.75" customHeight="1" x14ac:dyDescent="0.25">
      <c r="A216" s="928">
        <f t="shared" si="3"/>
        <v>169</v>
      </c>
      <c r="B216" s="926">
        <f>+NOMINA!C212</f>
        <v>18036156</v>
      </c>
      <c r="C216" s="926" t="str">
        <f>+NOMINA!D212</f>
        <v>Ruiz Vasquez Endri Ramon</v>
      </c>
      <c r="D216" s="926" t="str">
        <f>+NOMINA!O212</f>
        <v>Guia de Centro I</v>
      </c>
      <c r="E216" s="929">
        <f>+NOMINA!H212</f>
        <v>45597</v>
      </c>
      <c r="F216" s="930">
        <f>+NOMINA!BL212</f>
        <v>15.6</v>
      </c>
      <c r="G216" s="930">
        <f>+NOMINA!BM212</f>
        <v>1.95</v>
      </c>
      <c r="H216" s="599"/>
      <c r="I216" s="600"/>
      <c r="J216" s="600"/>
      <c r="K216" s="600"/>
      <c r="L216" s="600"/>
    </row>
    <row r="217" spans="1:12" ht="15.75" customHeight="1" x14ac:dyDescent="0.25">
      <c r="A217" s="928">
        <f t="shared" si="3"/>
        <v>170</v>
      </c>
      <c r="B217" s="926">
        <f>+NOMINA!C213</f>
        <v>18095603</v>
      </c>
      <c r="C217" s="926" t="str">
        <f>+NOMINA!D213</f>
        <v>Lozada Bencomo Daniela Carolina</v>
      </c>
      <c r="D217" s="926" t="str">
        <f>+NOMINA!O213</f>
        <v>Tecnico Superior en Trabajo Social II</v>
      </c>
      <c r="E217" s="929">
        <f>+NOMINA!H213</f>
        <v>42963</v>
      </c>
      <c r="F217" s="930">
        <f>+NOMINA!BL213</f>
        <v>22.07</v>
      </c>
      <c r="G217" s="930">
        <f>+NOMINA!BM213</f>
        <v>2.76</v>
      </c>
      <c r="H217" s="599"/>
      <c r="I217" s="600"/>
      <c r="J217" s="600"/>
      <c r="K217" s="600"/>
      <c r="L217" s="600"/>
    </row>
    <row r="218" spans="1:12" ht="15.75" customHeight="1" x14ac:dyDescent="0.25">
      <c r="A218" s="928">
        <f t="shared" si="3"/>
        <v>171</v>
      </c>
      <c r="B218" s="926">
        <f>+NOMINA!C214</f>
        <v>18096996</v>
      </c>
      <c r="C218" s="926" t="str">
        <f>+NOMINA!D214</f>
        <v>Diaz Maldonado Anny Jackeline</v>
      </c>
      <c r="D218" s="926" t="str">
        <f>+NOMINA!O214</f>
        <v>CONTABILISTA III</v>
      </c>
      <c r="E218" s="929">
        <f>+NOMINA!H214</f>
        <v>44743</v>
      </c>
      <c r="F218" s="930">
        <f>+NOMINA!BL214</f>
        <v>20.39</v>
      </c>
      <c r="G218" s="930">
        <f>+NOMINA!BM214</f>
        <v>2.5499999999999998</v>
      </c>
      <c r="H218" s="599"/>
      <c r="I218" s="600"/>
      <c r="J218" s="600"/>
      <c r="K218" s="600"/>
      <c r="L218" s="600"/>
    </row>
    <row r="219" spans="1:12" ht="15.75" customHeight="1" x14ac:dyDescent="0.25">
      <c r="A219" s="928">
        <f t="shared" si="3"/>
        <v>172</v>
      </c>
      <c r="B219" s="926">
        <f>+NOMINA!C215</f>
        <v>18097528</v>
      </c>
      <c r="C219" s="926" t="str">
        <f>+NOMINA!D215</f>
        <v>Godoy Suarez Nelson Jose</v>
      </c>
      <c r="D219" s="926" t="str">
        <f>+NOMINA!O215</f>
        <v>Guia de Centro I</v>
      </c>
      <c r="E219" s="929">
        <f>+NOMINA!H215</f>
        <v>45536</v>
      </c>
      <c r="F219" s="930">
        <f>+NOMINA!BL215</f>
        <v>17.18</v>
      </c>
      <c r="G219" s="930">
        <f>+NOMINA!BM215</f>
        <v>2.15</v>
      </c>
      <c r="H219" s="599"/>
      <c r="I219" s="600"/>
      <c r="J219" s="600"/>
      <c r="K219" s="600"/>
      <c r="L219" s="600"/>
    </row>
    <row r="220" spans="1:12" ht="15.75" customHeight="1" x14ac:dyDescent="0.25">
      <c r="A220" s="928">
        <f t="shared" si="3"/>
        <v>173</v>
      </c>
      <c r="B220" s="926">
        <f>+NOMINA!C216</f>
        <v>18097873</v>
      </c>
      <c r="C220" s="926" t="str">
        <f>+NOMINA!D216</f>
        <v>Villarreal Prada Yoriangela Nataly</v>
      </c>
      <c r="D220" s="926" t="str">
        <f>+NOMINA!O216</f>
        <v>Guia de Centro I</v>
      </c>
      <c r="E220" s="929">
        <f>+NOMINA!H216</f>
        <v>44531</v>
      </c>
      <c r="F220" s="930">
        <f>+NOMINA!BL216</f>
        <v>18.57</v>
      </c>
      <c r="G220" s="930">
        <f>+NOMINA!BM216</f>
        <v>2.3199999999999998</v>
      </c>
      <c r="H220" s="599"/>
      <c r="I220" s="600"/>
      <c r="J220" s="600"/>
      <c r="K220" s="600"/>
      <c r="L220" s="600"/>
    </row>
    <row r="221" spans="1:12" ht="15.75" customHeight="1" x14ac:dyDescent="0.25">
      <c r="A221" s="928">
        <f t="shared" si="3"/>
        <v>174</v>
      </c>
      <c r="B221" s="926">
        <f>+NOMINA!C217</f>
        <v>18348317</v>
      </c>
      <c r="C221" s="926" t="str">
        <f>+NOMINA!D217</f>
        <v>Abreu Araujo Gilmer Francisco</v>
      </c>
      <c r="D221" s="926" t="str">
        <f>+NOMINA!O217</f>
        <v>Tutor Facilitador III</v>
      </c>
      <c r="E221" s="929">
        <f>+NOMINA!H217</f>
        <v>43160</v>
      </c>
      <c r="F221" s="930">
        <f>+NOMINA!BL217</f>
        <v>26.53</v>
      </c>
      <c r="G221" s="930">
        <f>+NOMINA!BM217</f>
        <v>3.32</v>
      </c>
      <c r="H221" s="599"/>
      <c r="I221" s="600"/>
      <c r="J221" s="600"/>
      <c r="K221" s="600"/>
      <c r="L221" s="600"/>
    </row>
    <row r="222" spans="1:12" ht="15.75" customHeight="1" x14ac:dyDescent="0.25">
      <c r="A222" s="928">
        <f t="shared" si="3"/>
        <v>175</v>
      </c>
      <c r="B222" s="926">
        <f>+NOMINA!C218</f>
        <v>18348721</v>
      </c>
      <c r="C222" s="926" t="str">
        <f>+NOMINA!D218</f>
        <v>Villarreal Lusana Carolina</v>
      </c>
      <c r="D222" s="926" t="str">
        <f>+NOMINA!O218</f>
        <v>Tecnico Superior en Trabajo Social II</v>
      </c>
      <c r="E222" s="929">
        <f>+NOMINA!H218</f>
        <v>42948</v>
      </c>
      <c r="F222" s="930">
        <f>+NOMINA!BL218</f>
        <v>21.88</v>
      </c>
      <c r="G222" s="930">
        <f>+NOMINA!BM218</f>
        <v>2.73</v>
      </c>
      <c r="H222" s="599"/>
      <c r="I222" s="600"/>
      <c r="J222" s="600"/>
      <c r="K222" s="600"/>
      <c r="L222" s="600"/>
    </row>
    <row r="223" spans="1:12" ht="15.75" customHeight="1" x14ac:dyDescent="0.25">
      <c r="A223" s="928">
        <f t="shared" si="3"/>
        <v>176</v>
      </c>
      <c r="B223" s="926">
        <f>+NOMINA!C219</f>
        <v>18349021</v>
      </c>
      <c r="C223" s="926" t="str">
        <f>+NOMINA!D219</f>
        <v>Godoy Linares Amenaida del Valle</v>
      </c>
      <c r="D223" s="926" t="str">
        <f>+NOMINA!O219</f>
        <v>Guia de Centro I</v>
      </c>
      <c r="E223" s="929">
        <f>+NOMINA!H219</f>
        <v>44683</v>
      </c>
      <c r="F223" s="930">
        <f>+NOMINA!BL219</f>
        <v>27.61</v>
      </c>
      <c r="G223" s="930">
        <f>+NOMINA!BM219</f>
        <v>3.45</v>
      </c>
      <c r="H223" s="599"/>
      <c r="I223" s="600"/>
      <c r="J223" s="600"/>
      <c r="K223" s="600"/>
      <c r="L223" s="600"/>
    </row>
    <row r="224" spans="1:12" ht="15.75" customHeight="1" x14ac:dyDescent="0.25">
      <c r="A224" s="928">
        <f t="shared" si="3"/>
        <v>177</v>
      </c>
      <c r="B224" s="926">
        <f>+NOMINA!C220</f>
        <v>18349409</v>
      </c>
      <c r="C224" s="926" t="str">
        <f>+NOMINA!D220</f>
        <v>Fernandez Mendoza Maria Alejandra</v>
      </c>
      <c r="D224" s="926" t="str">
        <f>+NOMINA!O220</f>
        <v>Guia de Centro I</v>
      </c>
      <c r="E224" s="929">
        <f>+NOMINA!H220</f>
        <v>45839</v>
      </c>
      <c r="F224" s="930">
        <f>+NOMINA!BL220</f>
        <v>16.350000000000001</v>
      </c>
      <c r="G224" s="930">
        <f>+NOMINA!BM220</f>
        <v>2.04</v>
      </c>
      <c r="H224" s="599"/>
      <c r="I224" s="600"/>
      <c r="J224" s="600"/>
      <c r="K224" s="600"/>
      <c r="L224" s="600"/>
    </row>
    <row r="225" spans="1:12" ht="15.75" customHeight="1" x14ac:dyDescent="0.25">
      <c r="A225" s="928">
        <f t="shared" si="3"/>
        <v>178</v>
      </c>
      <c r="B225" s="926">
        <f>+NOMINA!C221</f>
        <v>18349653</v>
      </c>
      <c r="C225" s="926" t="str">
        <f>+NOMINA!D221</f>
        <v>Baptista Finol Violexy del Valle</v>
      </c>
      <c r="D225" s="926" t="str">
        <f>+NOMINA!O221</f>
        <v>Guia de Centro I</v>
      </c>
      <c r="E225" s="929">
        <f>+NOMINA!H221</f>
        <v>45627</v>
      </c>
      <c r="F225" s="930">
        <f>+NOMINA!BL221</f>
        <v>26.03</v>
      </c>
      <c r="G225" s="930">
        <f>+NOMINA!BM221</f>
        <v>3.25</v>
      </c>
      <c r="H225" s="599"/>
      <c r="I225" s="600"/>
      <c r="J225" s="600"/>
      <c r="K225" s="600"/>
      <c r="L225" s="600"/>
    </row>
    <row r="226" spans="1:12" ht="15.75" customHeight="1" x14ac:dyDescent="0.25">
      <c r="A226" s="928">
        <f t="shared" si="3"/>
        <v>179</v>
      </c>
      <c r="B226" s="926">
        <f>+NOMINA!C222</f>
        <v>18350884</v>
      </c>
      <c r="C226" s="926" t="str">
        <f>+NOMINA!D222</f>
        <v>Araujo Mendoza Mirelis Carolina</v>
      </c>
      <c r="D226" s="926" t="str">
        <f>+NOMINA!O222</f>
        <v>Guia de Centro I</v>
      </c>
      <c r="E226" s="929">
        <f>+NOMINA!H222</f>
        <v>45474</v>
      </c>
      <c r="F226" s="930">
        <f>+NOMINA!BL222</f>
        <v>16.43</v>
      </c>
      <c r="G226" s="930">
        <f>+NOMINA!BM222</f>
        <v>2.0499999999999998</v>
      </c>
      <c r="H226" s="599"/>
      <c r="I226" s="600"/>
      <c r="J226" s="600"/>
      <c r="K226" s="600"/>
      <c r="L226" s="600"/>
    </row>
    <row r="227" spans="1:12" ht="15.75" customHeight="1" x14ac:dyDescent="0.25">
      <c r="A227" s="928">
        <f t="shared" si="3"/>
        <v>180</v>
      </c>
      <c r="B227" s="926">
        <f>+NOMINA!C223</f>
        <v>18378985</v>
      </c>
      <c r="C227" s="926" t="str">
        <f>+NOMINA!D223</f>
        <v>Quintero Paradas Ilse Maria</v>
      </c>
      <c r="D227" s="926" t="str">
        <f>+NOMINA!O223</f>
        <v>Analista de Procesamiento de Datos II</v>
      </c>
      <c r="E227" s="929">
        <f>+NOMINA!H223</f>
        <v>43147</v>
      </c>
      <c r="F227" s="930">
        <f>+NOMINA!BL223</f>
        <v>26.23</v>
      </c>
      <c r="G227" s="930">
        <f>+NOMINA!BM223</f>
        <v>3.28</v>
      </c>
      <c r="H227" s="599"/>
      <c r="I227" s="600"/>
      <c r="J227" s="600"/>
      <c r="K227" s="600"/>
      <c r="L227" s="600"/>
    </row>
    <row r="228" spans="1:12" ht="15.75" customHeight="1" x14ac:dyDescent="0.25">
      <c r="A228" s="928">
        <f t="shared" si="3"/>
        <v>181</v>
      </c>
      <c r="B228" s="926">
        <f>+NOMINA!C224</f>
        <v>18456345</v>
      </c>
      <c r="C228" s="926" t="str">
        <f>+NOMINA!D224</f>
        <v>Peñaloza Olmos Eduardo Jose</v>
      </c>
      <c r="D228" s="926" t="str">
        <f>+NOMINA!O224</f>
        <v>ESPECIALISTA EN INFORMATICA I</v>
      </c>
      <c r="E228" s="929">
        <f>+NOMINA!H224</f>
        <v>44774</v>
      </c>
      <c r="F228" s="930">
        <f>+NOMINA!BL224</f>
        <v>23.96</v>
      </c>
      <c r="G228" s="930">
        <f>+NOMINA!BM224</f>
        <v>3</v>
      </c>
      <c r="H228" s="599"/>
      <c r="I228" s="600"/>
      <c r="J228" s="600"/>
      <c r="K228" s="600"/>
      <c r="L228" s="600"/>
    </row>
    <row r="229" spans="1:12" ht="15.75" customHeight="1" x14ac:dyDescent="0.25">
      <c r="A229" s="928">
        <f t="shared" si="3"/>
        <v>182</v>
      </c>
      <c r="B229" s="926">
        <f>+NOMINA!C225</f>
        <v>18457406</v>
      </c>
      <c r="C229" s="926" t="str">
        <f>+NOMINA!D225</f>
        <v>Rivero Zambrano Herluis Jose</v>
      </c>
      <c r="D229" s="926" t="str">
        <f>+NOMINA!O225</f>
        <v>Ingeniero Agronomo IV</v>
      </c>
      <c r="E229" s="929">
        <f>+NOMINA!H225</f>
        <v>41548</v>
      </c>
      <c r="F229" s="930">
        <f>+NOMINA!BL225</f>
        <v>0</v>
      </c>
      <c r="G229" s="930">
        <f>+NOMINA!BM225</f>
        <v>0</v>
      </c>
      <c r="H229" s="599"/>
      <c r="I229" s="600"/>
      <c r="J229" s="600"/>
      <c r="K229" s="600"/>
      <c r="L229" s="600"/>
    </row>
    <row r="230" spans="1:12" ht="15.75" customHeight="1" x14ac:dyDescent="0.25">
      <c r="A230" s="928">
        <f t="shared" si="3"/>
        <v>183</v>
      </c>
      <c r="B230" s="926">
        <f>+NOMINA!C226</f>
        <v>18458012</v>
      </c>
      <c r="C230" s="926" t="str">
        <f>+NOMINA!D226</f>
        <v>Briceño Uzcategui Maria Esperanza</v>
      </c>
      <c r="D230" s="926" t="str">
        <f>+NOMINA!O226</f>
        <v>Asistente Administrativo III</v>
      </c>
      <c r="E230" s="929">
        <f>+NOMINA!H226</f>
        <v>44636</v>
      </c>
      <c r="F230" s="930">
        <f>+NOMINA!BL226</f>
        <v>21.08</v>
      </c>
      <c r="G230" s="930">
        <f>+NOMINA!BM226</f>
        <v>2.63</v>
      </c>
      <c r="H230" s="599"/>
      <c r="I230" s="600"/>
      <c r="J230" s="600"/>
      <c r="K230" s="600"/>
      <c r="L230" s="600"/>
    </row>
    <row r="231" spans="1:12" ht="15.75" customHeight="1" x14ac:dyDescent="0.25">
      <c r="A231" s="928">
        <f t="shared" si="3"/>
        <v>184</v>
      </c>
      <c r="B231" s="926">
        <f>+NOMINA!C227</f>
        <v>18733682</v>
      </c>
      <c r="C231" s="926" t="str">
        <f>+NOMINA!D227</f>
        <v>Ocanto Ramirez Maria Alejandra</v>
      </c>
      <c r="D231" s="926" t="str">
        <f>+NOMINA!O227</f>
        <v>Guia de Centro I</v>
      </c>
      <c r="E231" s="929">
        <f>+NOMINA!H227</f>
        <v>45474</v>
      </c>
      <c r="F231" s="930">
        <f>+NOMINA!BL227</f>
        <v>16.43</v>
      </c>
      <c r="G231" s="930">
        <f>+NOMINA!BM227</f>
        <v>2.0499999999999998</v>
      </c>
      <c r="H231" s="599"/>
      <c r="I231" s="600"/>
      <c r="J231" s="600"/>
      <c r="K231" s="600"/>
      <c r="L231" s="600"/>
    </row>
    <row r="232" spans="1:12" ht="15.75" customHeight="1" x14ac:dyDescent="0.25">
      <c r="A232" s="928">
        <f t="shared" si="3"/>
        <v>185</v>
      </c>
      <c r="B232" s="926">
        <f>+NOMINA!C228</f>
        <v>18801597</v>
      </c>
      <c r="C232" s="926" t="str">
        <f>+NOMINA!D228</f>
        <v>Rodriguez Salas Mary Carmen</v>
      </c>
      <c r="D232" s="926" t="str">
        <f>+NOMINA!O228</f>
        <v>Tutor Facilitador III</v>
      </c>
      <c r="E232" s="929">
        <f>+NOMINA!H228</f>
        <v>43359</v>
      </c>
      <c r="F232" s="930">
        <f>+NOMINA!BL228</f>
        <v>26.23</v>
      </c>
      <c r="G232" s="930">
        <f>+NOMINA!BM228</f>
        <v>3.28</v>
      </c>
      <c r="H232" s="599"/>
      <c r="I232" s="600"/>
      <c r="J232" s="600"/>
      <c r="K232" s="600"/>
      <c r="L232" s="600"/>
    </row>
    <row r="233" spans="1:12" ht="15.75" customHeight="1" x14ac:dyDescent="0.25">
      <c r="A233" s="928">
        <f t="shared" si="3"/>
        <v>186</v>
      </c>
      <c r="B233" s="926">
        <f>+NOMINA!C229</f>
        <v>18802405</v>
      </c>
      <c r="C233" s="926" t="str">
        <f>+NOMINA!D229</f>
        <v>Ramirez Rodriguez Rudys Arelys</v>
      </c>
      <c r="D233" s="926" t="str">
        <f>+NOMINA!O229</f>
        <v>Tutor Facilitador I</v>
      </c>
      <c r="E233" s="929">
        <f>+NOMINA!H229</f>
        <v>44332</v>
      </c>
      <c r="F233" s="930">
        <f>+NOMINA!BL229</f>
        <v>25.56</v>
      </c>
      <c r="G233" s="930">
        <f>+NOMINA!BM229</f>
        <v>3.2</v>
      </c>
      <c r="H233" s="599"/>
      <c r="I233" s="600"/>
      <c r="J233" s="600"/>
      <c r="K233" s="600"/>
      <c r="L233" s="600"/>
    </row>
    <row r="234" spans="1:12" ht="15.75" customHeight="1" x14ac:dyDescent="0.25">
      <c r="A234" s="928">
        <f t="shared" si="3"/>
        <v>187</v>
      </c>
      <c r="B234" s="926">
        <f>+NOMINA!C230</f>
        <v>18984406</v>
      </c>
      <c r="C234" s="926" t="str">
        <f>+NOMINA!D230</f>
        <v>Torres Santiago Eduardo David</v>
      </c>
      <c r="D234" s="926" t="str">
        <f>+NOMINA!O230</f>
        <v>Guia de Centro I</v>
      </c>
      <c r="E234" s="929">
        <f>+NOMINA!H230</f>
        <v>45200</v>
      </c>
      <c r="F234" s="930">
        <f>+NOMINA!BL230</f>
        <v>15.68</v>
      </c>
      <c r="G234" s="930">
        <f>+NOMINA!BM230</f>
        <v>1.96</v>
      </c>
      <c r="H234" s="599"/>
      <c r="I234" s="600"/>
      <c r="J234" s="600"/>
      <c r="K234" s="600"/>
      <c r="L234" s="600"/>
    </row>
    <row r="235" spans="1:12" ht="15.75" customHeight="1" x14ac:dyDescent="0.25">
      <c r="A235" s="928">
        <f t="shared" si="3"/>
        <v>188</v>
      </c>
      <c r="B235" s="926">
        <f>+NOMINA!C231</f>
        <v>19101647</v>
      </c>
      <c r="C235" s="926" t="str">
        <f>+NOMINA!D231</f>
        <v>Uzcategui Urbina Madeley Tatiana</v>
      </c>
      <c r="D235" s="926" t="str">
        <f>+NOMINA!O231</f>
        <v>Guia de Centro I</v>
      </c>
      <c r="E235" s="929">
        <f>+NOMINA!H231</f>
        <v>43845</v>
      </c>
      <c r="F235" s="930">
        <f>+NOMINA!BL231</f>
        <v>18.75</v>
      </c>
      <c r="G235" s="930">
        <f>+NOMINA!BM231</f>
        <v>2.34</v>
      </c>
      <c r="H235" s="599"/>
      <c r="I235" s="600"/>
      <c r="J235" s="600"/>
      <c r="K235" s="600"/>
      <c r="L235" s="600"/>
    </row>
    <row r="236" spans="1:12" ht="15.75" customHeight="1" x14ac:dyDescent="0.25">
      <c r="A236" s="928">
        <f t="shared" si="3"/>
        <v>189</v>
      </c>
      <c r="B236" s="926">
        <f>+NOMINA!C232</f>
        <v>19101773</v>
      </c>
      <c r="C236" s="926" t="str">
        <f>+NOMINA!D232</f>
        <v>Gil Molina Maite Karina</v>
      </c>
      <c r="D236" s="926" t="str">
        <f>+NOMINA!O232</f>
        <v>Guia de Centro I</v>
      </c>
      <c r="E236" s="929">
        <f>+NOMINA!H232</f>
        <v>45200</v>
      </c>
      <c r="F236" s="930">
        <f>+NOMINA!BL232</f>
        <v>23.32</v>
      </c>
      <c r="G236" s="930">
        <f>+NOMINA!BM232</f>
        <v>2.92</v>
      </c>
      <c r="H236" s="599"/>
      <c r="I236" s="600"/>
      <c r="J236" s="600"/>
      <c r="K236" s="600"/>
      <c r="L236" s="600"/>
    </row>
    <row r="237" spans="1:12" ht="15.75" customHeight="1" x14ac:dyDescent="0.25">
      <c r="A237" s="928">
        <f t="shared" si="3"/>
        <v>190</v>
      </c>
      <c r="B237" s="926">
        <f>+NOMINA!C233</f>
        <v>19103118</v>
      </c>
      <c r="C237" s="926" t="str">
        <f>+NOMINA!D233</f>
        <v>Plaza Quintero Orelis Maria</v>
      </c>
      <c r="D237" s="926" t="str">
        <f>+NOMINA!O233</f>
        <v>Tecnico Superior en Trabajo Social II</v>
      </c>
      <c r="E237" s="929">
        <f>+NOMINA!H233</f>
        <v>43724</v>
      </c>
      <c r="F237" s="930">
        <f>+NOMINA!BL233</f>
        <v>20.89</v>
      </c>
      <c r="G237" s="930">
        <f>+NOMINA!BM233</f>
        <v>2.61</v>
      </c>
      <c r="H237" s="599"/>
      <c r="I237" s="600"/>
      <c r="J237" s="600"/>
      <c r="K237" s="600"/>
      <c r="L237" s="600"/>
    </row>
    <row r="238" spans="1:12" ht="15.75" customHeight="1" x14ac:dyDescent="0.25">
      <c r="A238" s="928">
        <f t="shared" si="3"/>
        <v>191</v>
      </c>
      <c r="B238" s="926">
        <f>+NOMINA!C234</f>
        <v>19103604</v>
      </c>
      <c r="C238" s="926" t="str">
        <f>+NOMINA!D234</f>
        <v>Hernandez Graterol Gleidys Coromoto</v>
      </c>
      <c r="D238" s="926" t="str">
        <f>+NOMINA!O234</f>
        <v>Asistente Administrativo III</v>
      </c>
      <c r="E238" s="929">
        <f>+NOMINA!H234</f>
        <v>44600</v>
      </c>
      <c r="F238" s="930">
        <f>+NOMINA!BL234</f>
        <v>21.08</v>
      </c>
      <c r="G238" s="930">
        <f>+NOMINA!BM234</f>
        <v>2.63</v>
      </c>
      <c r="H238" s="599"/>
      <c r="I238" s="600"/>
      <c r="J238" s="600"/>
      <c r="K238" s="600"/>
      <c r="L238" s="600"/>
    </row>
    <row r="239" spans="1:12" ht="15.75" customHeight="1" x14ac:dyDescent="0.25">
      <c r="A239" s="928">
        <f t="shared" si="3"/>
        <v>192</v>
      </c>
      <c r="B239" s="926">
        <f>+NOMINA!C235</f>
        <v>19103823</v>
      </c>
      <c r="C239" s="926" t="str">
        <f>+NOMINA!D235</f>
        <v>Valero Sanchez Zulay del Valle</v>
      </c>
      <c r="D239" s="926" t="str">
        <f>+NOMINA!O235</f>
        <v>Tutor Facilitador III</v>
      </c>
      <c r="E239" s="929">
        <f>+NOMINA!H235</f>
        <v>42795</v>
      </c>
      <c r="F239" s="930">
        <f>+NOMINA!BL235</f>
        <v>29.72</v>
      </c>
      <c r="G239" s="930">
        <f>+NOMINA!BM235</f>
        <v>3.72</v>
      </c>
      <c r="H239" s="599"/>
      <c r="I239" s="600"/>
      <c r="J239" s="600"/>
      <c r="K239" s="600"/>
      <c r="L239" s="600"/>
    </row>
    <row r="240" spans="1:12" ht="15.75" customHeight="1" x14ac:dyDescent="0.25">
      <c r="A240" s="928">
        <f t="shared" si="3"/>
        <v>193</v>
      </c>
      <c r="B240" s="926">
        <f>+NOMINA!C236</f>
        <v>19286780</v>
      </c>
      <c r="C240" s="926" t="str">
        <f>+NOMINA!D236</f>
        <v>Mejia Rosales Katiusca Josefina</v>
      </c>
      <c r="D240" s="926" t="str">
        <f>+NOMINA!O236</f>
        <v>Asistente Administrativo III</v>
      </c>
      <c r="E240" s="929">
        <f>+NOMINA!H236</f>
        <v>42492</v>
      </c>
      <c r="F240" s="930">
        <f>+NOMINA!BL236</f>
        <v>22.15</v>
      </c>
      <c r="G240" s="930">
        <f>+NOMINA!BM236</f>
        <v>2.77</v>
      </c>
      <c r="H240" s="599"/>
      <c r="I240" s="600"/>
      <c r="J240" s="600"/>
      <c r="K240" s="600"/>
      <c r="L240" s="600"/>
    </row>
    <row r="241" spans="1:12" ht="15.75" customHeight="1" x14ac:dyDescent="0.25">
      <c r="A241" s="928">
        <f t="shared" si="3"/>
        <v>194</v>
      </c>
      <c r="B241" s="926">
        <f>+NOMINA!C237</f>
        <v>19287100</v>
      </c>
      <c r="C241" s="926" t="str">
        <f>+NOMINA!D237</f>
        <v>Leal Mejia Fraineli Yoset</v>
      </c>
      <c r="D241" s="926" t="str">
        <f>+NOMINA!O237</f>
        <v>Tecnico Superior en Trabajo Social II</v>
      </c>
      <c r="E241" s="929">
        <f>+NOMINA!H237</f>
        <v>44713</v>
      </c>
      <c r="F241" s="930">
        <f>+NOMINA!BL237</f>
        <v>21.08</v>
      </c>
      <c r="G241" s="930">
        <f>+NOMINA!BM237</f>
        <v>2.63</v>
      </c>
      <c r="H241" s="599"/>
      <c r="I241" s="600"/>
      <c r="J241" s="600"/>
      <c r="K241" s="600"/>
      <c r="L241" s="600"/>
    </row>
    <row r="242" spans="1:12" ht="15.75" customHeight="1" x14ac:dyDescent="0.25">
      <c r="A242" s="928">
        <f t="shared" ref="A242:A306" si="4">+A241+1</f>
        <v>195</v>
      </c>
      <c r="B242" s="926">
        <f>+NOMINA!C238</f>
        <v>19610534</v>
      </c>
      <c r="C242" s="926" t="str">
        <f>+NOMINA!D238</f>
        <v>Santos Saavedra Greosmar Johan</v>
      </c>
      <c r="D242" s="926" t="str">
        <f>+NOMINA!O238</f>
        <v>Guia de Centro I</v>
      </c>
      <c r="E242" s="929">
        <f>+NOMINA!H238</f>
        <v>44713</v>
      </c>
      <c r="F242" s="930">
        <f>+NOMINA!BL238</f>
        <v>20.39</v>
      </c>
      <c r="G242" s="930">
        <f>+NOMINA!BM238</f>
        <v>2.5499999999999998</v>
      </c>
      <c r="H242" s="599"/>
      <c r="I242" s="600"/>
      <c r="J242" s="600"/>
      <c r="K242" s="600"/>
      <c r="L242" s="600"/>
    </row>
    <row r="243" spans="1:12" ht="15.75" customHeight="1" x14ac:dyDescent="0.25">
      <c r="A243" s="928">
        <f t="shared" si="4"/>
        <v>196</v>
      </c>
      <c r="B243" s="926">
        <f>+NOMINA!C239</f>
        <v>19610565</v>
      </c>
      <c r="C243" s="926" t="str">
        <f>+NOMINA!D239</f>
        <v>Uzcategui Uzcategui Saray Cristina</v>
      </c>
      <c r="D243" s="926" t="str">
        <f>+NOMINA!O239</f>
        <v>Guia de Centro I</v>
      </c>
      <c r="E243" s="929">
        <f>+NOMINA!H239</f>
        <v>44713</v>
      </c>
      <c r="F243" s="930">
        <f>+NOMINA!BL239</f>
        <v>21.96</v>
      </c>
      <c r="G243" s="930">
        <f>+NOMINA!BM239</f>
        <v>2.74</v>
      </c>
      <c r="H243" s="599"/>
      <c r="I243" s="600"/>
      <c r="J243" s="600"/>
      <c r="K243" s="600"/>
      <c r="L243" s="600"/>
    </row>
    <row r="244" spans="1:12" ht="15.75" customHeight="1" x14ac:dyDescent="0.25">
      <c r="A244" s="928">
        <f t="shared" si="4"/>
        <v>197</v>
      </c>
      <c r="B244" s="926">
        <f>+NOMINA!C240</f>
        <v>19643405</v>
      </c>
      <c r="C244" s="926" t="str">
        <f>+NOMINA!D240</f>
        <v>Valero Mejia Aleidy Rosana</v>
      </c>
      <c r="D244" s="926" t="str">
        <f>+NOMINA!O240</f>
        <v>Guia de Centro II</v>
      </c>
      <c r="E244" s="929">
        <f>+NOMINA!H240</f>
        <v>43221</v>
      </c>
      <c r="F244" s="930">
        <f>+NOMINA!BL240</f>
        <v>27.35</v>
      </c>
      <c r="G244" s="930">
        <f>+NOMINA!BM240</f>
        <v>3.42</v>
      </c>
      <c r="H244" s="599"/>
      <c r="I244" s="600"/>
      <c r="J244" s="600"/>
      <c r="K244" s="600"/>
      <c r="L244" s="600"/>
    </row>
    <row r="245" spans="1:12" ht="15.75" customHeight="1" x14ac:dyDescent="0.25">
      <c r="A245" s="928">
        <f t="shared" si="4"/>
        <v>198</v>
      </c>
      <c r="B245" s="926">
        <f>+NOMINA!C241</f>
        <v>19643806</v>
      </c>
      <c r="C245" s="926" t="str">
        <f>+NOMINA!D241</f>
        <v>Vazquez Hernandez Doris Mercedes</v>
      </c>
      <c r="D245" s="926" t="str">
        <f>+NOMINA!O241</f>
        <v>Asistente Administrativo III</v>
      </c>
      <c r="E245" s="929">
        <f>+NOMINA!H241</f>
        <v>45505</v>
      </c>
      <c r="F245" s="930">
        <f>+NOMINA!BL241</f>
        <v>20.13</v>
      </c>
      <c r="G245" s="930">
        <f>+NOMINA!BM241</f>
        <v>2.52</v>
      </c>
      <c r="H245" s="599"/>
      <c r="I245" s="600"/>
      <c r="J245" s="600"/>
      <c r="K245" s="600"/>
      <c r="L245" s="600"/>
    </row>
    <row r="246" spans="1:12" ht="15.75" customHeight="1" x14ac:dyDescent="0.25">
      <c r="A246" s="928">
        <f t="shared" si="4"/>
        <v>199</v>
      </c>
      <c r="B246" s="926">
        <f>+NOMINA!C242</f>
        <v>19644743</v>
      </c>
      <c r="C246" s="926" t="str">
        <f>+NOMINA!D242</f>
        <v>Villa Daniela Carolina</v>
      </c>
      <c r="D246" s="926" t="str">
        <f>+NOMINA!O242</f>
        <v>Analista de Procesamiento de Datos II</v>
      </c>
      <c r="E246" s="929">
        <f>+NOMINA!H242</f>
        <v>43967</v>
      </c>
      <c r="F246" s="930">
        <f>+NOMINA!BL242</f>
        <v>25.72</v>
      </c>
      <c r="G246" s="930">
        <f>+NOMINA!BM242</f>
        <v>3.22</v>
      </c>
      <c r="H246" s="599"/>
      <c r="I246" s="600"/>
      <c r="J246" s="600"/>
      <c r="K246" s="600"/>
      <c r="L246" s="600"/>
    </row>
    <row r="247" spans="1:12" ht="15.75" customHeight="1" x14ac:dyDescent="0.25">
      <c r="A247" s="928">
        <f t="shared" si="4"/>
        <v>200</v>
      </c>
      <c r="B247" s="926">
        <f>+NOMINA!C243</f>
        <v>19644756</v>
      </c>
      <c r="C247" s="926" t="str">
        <f>+NOMINA!D243</f>
        <v>Mejia Aldana Norbelys Carolina</v>
      </c>
      <c r="D247" s="926" t="str">
        <f>+NOMINA!O243</f>
        <v>Economa II</v>
      </c>
      <c r="E247" s="929">
        <f>+NOMINA!H243</f>
        <v>44470</v>
      </c>
      <c r="F247" s="930">
        <f>+NOMINA!BL243</f>
        <v>13.71</v>
      </c>
      <c r="G247" s="930">
        <f>+NOMINA!BM243</f>
        <v>1.71</v>
      </c>
      <c r="H247" s="599"/>
      <c r="I247" s="600"/>
      <c r="J247" s="600"/>
      <c r="K247" s="600"/>
      <c r="L247" s="600"/>
    </row>
    <row r="248" spans="1:12" ht="15.75" customHeight="1" x14ac:dyDescent="0.25">
      <c r="A248" s="928">
        <f t="shared" si="4"/>
        <v>201</v>
      </c>
      <c r="B248" s="926">
        <f>+NOMINA!C244</f>
        <v>19794217</v>
      </c>
      <c r="C248" s="926" t="str">
        <f>+NOMINA!D244</f>
        <v>Suarez Leal Betzabeth Daimar</v>
      </c>
      <c r="D248" s="926" t="str">
        <f>+NOMINA!O244</f>
        <v>Guia de Centro I</v>
      </c>
      <c r="E248" s="929">
        <f>+NOMINA!H244</f>
        <v>44683</v>
      </c>
      <c r="F248" s="930">
        <f>+NOMINA!BL244</f>
        <v>26.5</v>
      </c>
      <c r="G248" s="930">
        <f>+NOMINA!BM244</f>
        <v>3.31</v>
      </c>
      <c r="H248" s="599"/>
      <c r="I248" s="600"/>
      <c r="J248" s="600"/>
      <c r="K248" s="600"/>
      <c r="L248" s="600"/>
    </row>
    <row r="249" spans="1:12" ht="15.75" customHeight="1" x14ac:dyDescent="0.25">
      <c r="A249" s="928">
        <f t="shared" si="4"/>
        <v>202</v>
      </c>
      <c r="B249" s="926">
        <f>+NOMINA!C245</f>
        <v>20038162</v>
      </c>
      <c r="C249" s="926" t="str">
        <f>+NOMINA!D245</f>
        <v>Jerez Rangel Gleidy Andreina</v>
      </c>
      <c r="D249" s="926" t="str">
        <f>+NOMINA!O245</f>
        <v>Guia de Centro I</v>
      </c>
      <c r="E249" s="929">
        <f>+NOMINA!H245</f>
        <v>45597</v>
      </c>
      <c r="F249" s="930">
        <f>+NOMINA!BL245</f>
        <v>26.03</v>
      </c>
      <c r="G249" s="930">
        <f>+NOMINA!BM245</f>
        <v>3.25</v>
      </c>
      <c r="H249" s="599"/>
      <c r="I249" s="600"/>
      <c r="J249" s="600"/>
      <c r="K249" s="600"/>
      <c r="L249" s="600"/>
    </row>
    <row r="250" spans="1:12" ht="15.75" customHeight="1" x14ac:dyDescent="0.25">
      <c r="A250" s="928">
        <f t="shared" si="4"/>
        <v>203</v>
      </c>
      <c r="B250" s="926">
        <f>+NOMINA!C246</f>
        <v>20040405</v>
      </c>
      <c r="C250" s="926" t="str">
        <f>+NOMINA!D246</f>
        <v>Lopez Padilla Angela Maria</v>
      </c>
      <c r="D250" s="926" t="str">
        <f>+NOMINA!O246</f>
        <v>Tutor Facilitador I</v>
      </c>
      <c r="E250" s="929">
        <f>+NOMINA!H246</f>
        <v>45717</v>
      </c>
      <c r="F250" s="930">
        <f>+NOMINA!BL246</f>
        <v>21.69</v>
      </c>
      <c r="G250" s="930">
        <f>+NOMINA!BM246</f>
        <v>2.71</v>
      </c>
      <c r="H250" s="599"/>
      <c r="I250" s="600"/>
      <c r="J250" s="600"/>
      <c r="K250" s="600"/>
      <c r="L250" s="600"/>
    </row>
    <row r="251" spans="1:12" ht="15.75" customHeight="1" x14ac:dyDescent="0.25">
      <c r="A251" s="928">
        <f t="shared" si="4"/>
        <v>204</v>
      </c>
      <c r="B251" s="926">
        <f>+NOMINA!C247</f>
        <v>20655363</v>
      </c>
      <c r="C251" s="926" t="str">
        <f>+NOMINA!D247</f>
        <v>Sarache Ramirez Maryelis Stefani</v>
      </c>
      <c r="D251" s="926" t="str">
        <f>+NOMINA!O247</f>
        <v>Guia de Centro I</v>
      </c>
      <c r="E251" s="929">
        <f>+NOMINA!H247</f>
        <v>45323</v>
      </c>
      <c r="F251" s="930">
        <f>+NOMINA!BL247</f>
        <v>26.17</v>
      </c>
      <c r="G251" s="930">
        <f>+NOMINA!BM247</f>
        <v>3.27</v>
      </c>
      <c r="H251" s="599"/>
      <c r="I251" s="600"/>
      <c r="J251" s="600"/>
      <c r="K251" s="600"/>
      <c r="L251" s="600"/>
    </row>
    <row r="252" spans="1:12" ht="15.75" customHeight="1" x14ac:dyDescent="0.25">
      <c r="A252" s="928">
        <f t="shared" si="4"/>
        <v>205</v>
      </c>
      <c r="B252" s="926">
        <f>+NOMINA!C248</f>
        <v>20401711</v>
      </c>
      <c r="C252" s="926" t="str">
        <f>+NOMINA!D248</f>
        <v>Mendez Giro Maryely Roxana</v>
      </c>
      <c r="D252" s="926" t="str">
        <f>+NOMINA!O248</f>
        <v>Guia de Centro II</v>
      </c>
      <c r="E252" s="929">
        <f>+NOMINA!H248</f>
        <v>44363</v>
      </c>
      <c r="F252" s="930">
        <f>+NOMINA!BL248</f>
        <v>28.06</v>
      </c>
      <c r="G252" s="930">
        <f>+NOMINA!BM248</f>
        <v>3.51</v>
      </c>
      <c r="H252" s="599"/>
      <c r="I252" s="600"/>
      <c r="J252" s="600"/>
      <c r="K252" s="600"/>
      <c r="L252" s="600"/>
    </row>
    <row r="253" spans="1:12" ht="15.75" customHeight="1" x14ac:dyDescent="0.25">
      <c r="A253" s="928">
        <f t="shared" si="4"/>
        <v>206</v>
      </c>
      <c r="B253" s="926">
        <f>+NOMINA!C249</f>
        <v>20428039</v>
      </c>
      <c r="C253" s="926" t="str">
        <f>+NOMINA!D249</f>
        <v>Manzanilla Juan Roberto Antonio</v>
      </c>
      <c r="D253" s="926" t="str">
        <f>+NOMINA!O249</f>
        <v>Guia de Centro I</v>
      </c>
      <c r="E253" s="929">
        <f>+NOMINA!H249</f>
        <v>45566</v>
      </c>
      <c r="F253" s="930">
        <f>+NOMINA!BL249</f>
        <v>17.41</v>
      </c>
      <c r="G253" s="930">
        <f>+NOMINA!BM249</f>
        <v>2.1800000000000002</v>
      </c>
      <c r="H253" s="599"/>
      <c r="I253" s="600"/>
      <c r="J253" s="600"/>
      <c r="K253" s="600"/>
      <c r="L253" s="600"/>
    </row>
    <row r="254" spans="1:12" ht="15.75" customHeight="1" x14ac:dyDescent="0.25">
      <c r="A254" s="928">
        <f t="shared" si="4"/>
        <v>207</v>
      </c>
      <c r="B254" s="926">
        <f>+NOMINA!C250</f>
        <v>20603227</v>
      </c>
      <c r="C254" s="926" t="str">
        <f>+NOMINA!D250</f>
        <v>Morillo Garces Yeniree Lourdes</v>
      </c>
      <c r="D254" s="926" t="str">
        <f>+NOMINA!O250</f>
        <v>Tecnico Superior en Trabajo Social II</v>
      </c>
      <c r="E254" s="929">
        <f>+NOMINA!H250</f>
        <v>44470</v>
      </c>
      <c r="F254" s="930">
        <f>+NOMINA!BL250</f>
        <v>21.08</v>
      </c>
      <c r="G254" s="930">
        <f>+NOMINA!BM250</f>
        <v>2.63</v>
      </c>
      <c r="H254" s="599"/>
      <c r="I254" s="600"/>
      <c r="J254" s="600"/>
      <c r="K254" s="600"/>
      <c r="L254" s="600"/>
    </row>
    <row r="255" spans="1:12" ht="15.75" customHeight="1" x14ac:dyDescent="0.25">
      <c r="A255" s="928">
        <f t="shared" si="4"/>
        <v>208</v>
      </c>
      <c r="B255" s="926">
        <f>+NOMINA!C251</f>
        <v>20707490</v>
      </c>
      <c r="C255" s="926" t="str">
        <f>+NOMINA!D251</f>
        <v>Saavedra Valera Keila Andreina</v>
      </c>
      <c r="D255" s="926" t="str">
        <f>+NOMINA!O251</f>
        <v>Tutor Facilitador III</v>
      </c>
      <c r="E255" s="929">
        <f>+NOMINA!H251</f>
        <v>42751</v>
      </c>
      <c r="F255" s="930">
        <f>+NOMINA!BL251</f>
        <v>21.14</v>
      </c>
      <c r="G255" s="930">
        <f>+NOMINA!BM251</f>
        <v>2.64</v>
      </c>
      <c r="H255" s="599"/>
      <c r="I255" s="600"/>
      <c r="J255" s="600"/>
      <c r="K255" s="600"/>
      <c r="L255" s="600"/>
    </row>
    <row r="256" spans="1:12" ht="15.75" customHeight="1" x14ac:dyDescent="0.25">
      <c r="A256" s="928">
        <f t="shared" si="4"/>
        <v>209</v>
      </c>
      <c r="B256" s="926">
        <f>+NOMINA!C252</f>
        <v>20789286</v>
      </c>
      <c r="C256" s="926" t="str">
        <f>+NOMINA!D252</f>
        <v>Viloria Jessica del Carmen</v>
      </c>
      <c r="D256" s="926" t="str">
        <f>+NOMINA!O252</f>
        <v>Asistente Administrativo IV</v>
      </c>
      <c r="E256" s="929">
        <f>+NOMINA!H252</f>
        <v>44713</v>
      </c>
      <c r="F256" s="930">
        <f>+NOMINA!BL252</f>
        <v>24.68</v>
      </c>
      <c r="G256" s="930">
        <f>+NOMINA!BM252</f>
        <v>3.09</v>
      </c>
      <c r="H256" s="599"/>
      <c r="I256" s="600"/>
      <c r="J256" s="600"/>
      <c r="K256" s="600"/>
      <c r="L256" s="600"/>
    </row>
    <row r="257" spans="1:12" ht="15.75" customHeight="1" x14ac:dyDescent="0.25">
      <c r="A257" s="928">
        <f t="shared" si="4"/>
        <v>210</v>
      </c>
      <c r="B257" s="926">
        <f>+NOMINA!C253</f>
        <v>20790947</v>
      </c>
      <c r="C257" s="926" t="str">
        <f>+NOMINA!D253</f>
        <v>Urbina Cuellar Tannessy Lenery</v>
      </c>
      <c r="D257" s="926" t="str">
        <f>+NOMINA!O253</f>
        <v>Asistente Administrativo IV</v>
      </c>
      <c r="E257" s="929">
        <f>+NOMINA!H253</f>
        <v>43967</v>
      </c>
      <c r="F257" s="930">
        <f>+NOMINA!BL253</f>
        <v>0</v>
      </c>
      <c r="G257" s="930">
        <f>+NOMINA!BM253</f>
        <v>0</v>
      </c>
      <c r="H257" s="599"/>
      <c r="I257" s="600"/>
      <c r="J257" s="600"/>
      <c r="K257" s="600"/>
      <c r="L257" s="600"/>
    </row>
    <row r="258" spans="1:12" ht="15.75" customHeight="1" x14ac:dyDescent="0.25">
      <c r="A258" s="928">
        <f t="shared" si="4"/>
        <v>211</v>
      </c>
      <c r="B258" s="926">
        <f>+NOMINA!C254</f>
        <v>21061126</v>
      </c>
      <c r="C258" s="926" t="str">
        <f>+NOMINA!D254</f>
        <v>Olivar Nava Robinson de Jesus</v>
      </c>
      <c r="D258" s="926" t="str">
        <f>+NOMINA!O254</f>
        <v>Guia de Centro I</v>
      </c>
      <c r="E258" s="929">
        <f>+NOMINA!H254</f>
        <v>45047</v>
      </c>
      <c r="F258" s="930">
        <f>+NOMINA!BL254</f>
        <v>24.44</v>
      </c>
      <c r="G258" s="930">
        <f>+NOMINA!BM254</f>
        <v>3.05</v>
      </c>
      <c r="H258" s="599"/>
      <c r="I258" s="600"/>
      <c r="J258" s="600"/>
      <c r="K258" s="600"/>
      <c r="L258" s="600"/>
    </row>
    <row r="259" spans="1:12" ht="15.75" customHeight="1" x14ac:dyDescent="0.25">
      <c r="A259" s="928">
        <f t="shared" si="4"/>
        <v>212</v>
      </c>
      <c r="B259" s="926">
        <f>+NOMINA!C255</f>
        <v>21061789</v>
      </c>
      <c r="C259" s="926" t="str">
        <f>+NOMINA!D255</f>
        <v>Suarez Briceño Daiver Jose</v>
      </c>
      <c r="D259" s="926" t="str">
        <f>+NOMINA!O255</f>
        <v>Abogado I</v>
      </c>
      <c r="E259" s="929">
        <f>+NOMINA!H255</f>
        <v>44713</v>
      </c>
      <c r="F259" s="930">
        <f>+NOMINA!BL255</f>
        <v>23.96</v>
      </c>
      <c r="G259" s="930">
        <f>+NOMINA!BM255</f>
        <v>3</v>
      </c>
      <c r="H259" s="599"/>
      <c r="I259" s="600"/>
      <c r="J259" s="600"/>
      <c r="K259" s="600"/>
      <c r="L259" s="600"/>
    </row>
    <row r="260" spans="1:12" ht="15.75" customHeight="1" x14ac:dyDescent="0.25">
      <c r="A260" s="928">
        <f t="shared" si="4"/>
        <v>213</v>
      </c>
      <c r="B260" s="926">
        <f>+NOMINA!C256</f>
        <v>21365212</v>
      </c>
      <c r="C260" s="926" t="str">
        <f>+NOMINA!D256</f>
        <v>Manzanilla Gonzalez Landkler Josue</v>
      </c>
      <c r="D260" s="926" t="str">
        <f>+NOMINA!O256</f>
        <v>Asistente Administrativo II</v>
      </c>
      <c r="E260" s="929">
        <f>+NOMINA!H256</f>
        <v>44317</v>
      </c>
      <c r="F260" s="930">
        <f>+NOMINA!BL256</f>
        <v>13.2</v>
      </c>
      <c r="G260" s="930">
        <f>+NOMINA!BM256</f>
        <v>1.65</v>
      </c>
      <c r="H260" s="599"/>
      <c r="I260" s="600"/>
      <c r="J260" s="600"/>
      <c r="K260" s="600"/>
      <c r="L260" s="600"/>
    </row>
    <row r="261" spans="1:12" ht="15.75" customHeight="1" x14ac:dyDescent="0.25">
      <c r="A261" s="928">
        <f t="shared" si="4"/>
        <v>214</v>
      </c>
      <c r="B261" s="926">
        <f>+NOMINA!C257</f>
        <v>21592108</v>
      </c>
      <c r="C261" s="926" t="str">
        <f>+NOMINA!D257</f>
        <v>Coy Andara Darlin Gabriela</v>
      </c>
      <c r="D261" s="926" t="str">
        <f>+NOMINA!O257</f>
        <v>PLANIFICADOR I</v>
      </c>
      <c r="E261" s="929">
        <f>+NOMINA!H257</f>
        <v>43024</v>
      </c>
      <c r="F261" s="930">
        <f>+NOMINA!BL257</f>
        <v>0</v>
      </c>
      <c r="G261" s="930">
        <f>+NOMINA!BM257</f>
        <v>0</v>
      </c>
      <c r="H261" s="599"/>
      <c r="I261" s="600"/>
      <c r="J261" s="600"/>
      <c r="K261" s="600"/>
      <c r="L261" s="600"/>
    </row>
    <row r="262" spans="1:12" ht="15.75" customHeight="1" x14ac:dyDescent="0.25">
      <c r="A262" s="928">
        <f t="shared" si="4"/>
        <v>215</v>
      </c>
      <c r="B262" s="926">
        <f>+NOMINA!C258</f>
        <v>22622493</v>
      </c>
      <c r="C262" s="926" t="str">
        <f>+NOMINA!D258</f>
        <v>Barrios Olivar Geraldine Katiusca</v>
      </c>
      <c r="D262" s="926" t="str">
        <f>+NOMINA!O258</f>
        <v>Guia de Centro I</v>
      </c>
      <c r="E262" s="929">
        <f>+NOMINA!H258</f>
        <v>44363</v>
      </c>
      <c r="F262" s="930">
        <f>+NOMINA!BL258</f>
        <v>18.66</v>
      </c>
      <c r="G262" s="930">
        <f>+NOMINA!BM258</f>
        <v>2.33</v>
      </c>
      <c r="H262" s="599"/>
      <c r="I262" s="600"/>
      <c r="J262" s="600"/>
      <c r="K262" s="600"/>
      <c r="L262" s="600"/>
    </row>
    <row r="263" spans="1:12" ht="15.75" customHeight="1" x14ac:dyDescent="0.25">
      <c r="A263" s="928">
        <f t="shared" si="4"/>
        <v>216</v>
      </c>
      <c r="B263" s="926">
        <f>+NOMINA!C259</f>
        <v>22892886</v>
      </c>
      <c r="C263" s="926" t="str">
        <f>+NOMINA!D259</f>
        <v>Rivas Gonzalez Eddy Carolina</v>
      </c>
      <c r="D263" s="926" t="str">
        <f>+NOMINA!O259</f>
        <v>Guia de Centro I</v>
      </c>
      <c r="E263" s="929">
        <f>+NOMINA!H259</f>
        <v>45748</v>
      </c>
      <c r="F263" s="930">
        <f>+NOMINA!BL259</f>
        <v>15.6</v>
      </c>
      <c r="G263" s="930">
        <f>+NOMINA!BM259</f>
        <v>1.95</v>
      </c>
      <c r="H263" s="599"/>
      <c r="I263" s="600"/>
      <c r="J263" s="600"/>
      <c r="K263" s="600"/>
      <c r="L263" s="600"/>
    </row>
    <row r="264" spans="1:12" ht="15.75" customHeight="1" x14ac:dyDescent="0.25">
      <c r="A264" s="928">
        <f t="shared" si="4"/>
        <v>217</v>
      </c>
      <c r="B264" s="926">
        <f>+NOMINA!C260</f>
        <v>23254359</v>
      </c>
      <c r="C264" s="926" t="str">
        <f>+NOMINA!D260</f>
        <v>Calles Villarreal Jose Bertilio</v>
      </c>
      <c r="D264" s="926" t="str">
        <f>+NOMINA!O260</f>
        <v>Guia de Centro I</v>
      </c>
      <c r="E264" s="929">
        <f>+NOMINA!H260</f>
        <v>45748</v>
      </c>
      <c r="F264" s="930">
        <f>+NOMINA!BL260</f>
        <v>15.6</v>
      </c>
      <c r="G264" s="930">
        <f>+NOMINA!BM260</f>
        <v>1.95</v>
      </c>
      <c r="H264" s="599"/>
      <c r="I264" s="600"/>
      <c r="J264" s="600"/>
      <c r="K264" s="600"/>
      <c r="L264" s="600"/>
    </row>
    <row r="265" spans="1:12" ht="15.75" customHeight="1" x14ac:dyDescent="0.25">
      <c r="A265" s="928">
        <f t="shared" si="4"/>
        <v>218</v>
      </c>
      <c r="B265" s="926">
        <f>+NOMINA!C261</f>
        <v>23782360</v>
      </c>
      <c r="C265" s="926" t="str">
        <f>+NOMINA!D261</f>
        <v>Rivera Sandoval Ilva Azucena</v>
      </c>
      <c r="D265" s="926" t="str">
        <f>+NOMINA!O261</f>
        <v>Administrador III</v>
      </c>
      <c r="E265" s="929">
        <f>+NOMINA!H261</f>
        <v>39203</v>
      </c>
      <c r="F265" s="930">
        <f>+NOMINA!BL261</f>
        <v>27.83</v>
      </c>
      <c r="G265" s="930">
        <f>+NOMINA!BM261</f>
        <v>3.48</v>
      </c>
      <c r="H265" s="599"/>
      <c r="I265" s="600"/>
      <c r="J265" s="600"/>
      <c r="K265" s="600"/>
      <c r="L265" s="600"/>
    </row>
    <row r="266" spans="1:12" ht="15.75" customHeight="1" x14ac:dyDescent="0.25">
      <c r="A266" s="928">
        <f t="shared" si="4"/>
        <v>219</v>
      </c>
      <c r="B266" s="926">
        <f>+NOMINA!C262</f>
        <v>23960738</v>
      </c>
      <c r="C266" s="926" t="str">
        <f>+NOMINA!D262</f>
        <v>Molina Briceño Maria de los Angeles</v>
      </c>
      <c r="D266" s="926" t="str">
        <f>+NOMINA!O262</f>
        <v>Psicologo II</v>
      </c>
      <c r="E266" s="929">
        <f>+NOMINA!H262</f>
        <v>43497</v>
      </c>
      <c r="F266" s="930">
        <f>+NOMINA!BL262</f>
        <v>24.59</v>
      </c>
      <c r="G266" s="930">
        <f>+NOMINA!BM262</f>
        <v>3.07</v>
      </c>
      <c r="H266" s="599"/>
      <c r="I266" s="600"/>
      <c r="J266" s="600"/>
      <c r="K266" s="600"/>
      <c r="L266" s="600"/>
    </row>
    <row r="267" spans="1:12" ht="15.75" customHeight="1" x14ac:dyDescent="0.25">
      <c r="A267" s="928">
        <f t="shared" si="4"/>
        <v>220</v>
      </c>
      <c r="B267" s="926">
        <f>+NOMINA!C263</f>
        <v>24135378</v>
      </c>
      <c r="C267" s="926" t="str">
        <f>+NOMINA!D263</f>
        <v>Rivas Hurtado Orleidys Betania</v>
      </c>
      <c r="D267" s="926" t="str">
        <f>+NOMINA!O263</f>
        <v>Asistente Administrativo IV</v>
      </c>
      <c r="E267" s="929">
        <f>+NOMINA!H263</f>
        <v>43862</v>
      </c>
      <c r="F267" s="930">
        <f>+NOMINA!BL263</f>
        <v>25.72</v>
      </c>
      <c r="G267" s="930">
        <f>+NOMINA!BM263</f>
        <v>3.22</v>
      </c>
      <c r="H267" s="599"/>
      <c r="I267" s="600"/>
      <c r="J267" s="600"/>
      <c r="K267" s="600"/>
      <c r="L267" s="600"/>
    </row>
    <row r="268" spans="1:12" ht="15.75" customHeight="1" x14ac:dyDescent="0.25">
      <c r="A268" s="928">
        <f t="shared" si="4"/>
        <v>221</v>
      </c>
      <c r="B268" s="926">
        <f>+NOMINA!C264</f>
        <v>24136795</v>
      </c>
      <c r="C268" s="926" t="str">
        <f>+NOMINA!D264</f>
        <v>Viloria Maldonado Gerardo Jesus</v>
      </c>
      <c r="D268" s="926" t="str">
        <f>+NOMINA!O264</f>
        <v>Entrenador Deportivo II</v>
      </c>
      <c r="E268" s="929">
        <f>+NOMINA!H264</f>
        <v>44600</v>
      </c>
      <c r="F268" s="930">
        <f>+NOMINA!BL264</f>
        <v>14.28</v>
      </c>
      <c r="G268" s="930">
        <f>+NOMINA!BM264</f>
        <v>1.79</v>
      </c>
      <c r="H268" s="599"/>
      <c r="I268" s="600"/>
      <c r="J268" s="600"/>
      <c r="K268" s="600"/>
      <c r="L268" s="600"/>
    </row>
    <row r="269" spans="1:12" ht="15.75" customHeight="1" x14ac:dyDescent="0.25">
      <c r="A269" s="928">
        <f t="shared" si="4"/>
        <v>222</v>
      </c>
      <c r="B269" s="926">
        <f>+NOMINA!C265</f>
        <v>23254845</v>
      </c>
      <c r="C269" s="926" t="str">
        <f>+NOMINA!D265</f>
        <v>Castellanos Paredes Luis Gregorio</v>
      </c>
      <c r="D269" s="926" t="str">
        <f>+NOMINA!O265</f>
        <v>Entrenador Deportivo II</v>
      </c>
      <c r="E269" s="929">
        <f>+NOMINA!H265</f>
        <v>44332</v>
      </c>
      <c r="F269" s="930">
        <f>+NOMINA!BL265</f>
        <v>13.2</v>
      </c>
      <c r="G269" s="930">
        <f>+NOMINA!BM265</f>
        <v>1.65</v>
      </c>
      <c r="H269" s="599"/>
      <c r="I269" s="600"/>
      <c r="J269" s="600"/>
      <c r="K269" s="600"/>
      <c r="L269" s="600"/>
    </row>
    <row r="270" spans="1:12" ht="15.75" customHeight="1" x14ac:dyDescent="0.25">
      <c r="A270" s="928">
        <f t="shared" si="4"/>
        <v>223</v>
      </c>
      <c r="B270" s="926">
        <f>+NOMINA!C266</f>
        <v>23594366</v>
      </c>
      <c r="C270" s="926" t="str">
        <f>+NOMINA!D266</f>
        <v>Quintero Montilla Merly Paula</v>
      </c>
      <c r="D270" s="926" t="str">
        <f>+NOMINA!O266</f>
        <v>Tutor Facilitador I</v>
      </c>
      <c r="E270" s="929">
        <f>+NOMINA!H266</f>
        <v>45413</v>
      </c>
      <c r="F270" s="930">
        <f>+NOMINA!BL266</f>
        <v>21.83</v>
      </c>
      <c r="G270" s="930">
        <f>+NOMINA!BM266</f>
        <v>2.73</v>
      </c>
      <c r="H270" s="599"/>
      <c r="I270" s="600"/>
      <c r="J270" s="600"/>
      <c r="K270" s="600"/>
      <c r="L270" s="600"/>
    </row>
    <row r="271" spans="1:12" ht="15.75" customHeight="1" x14ac:dyDescent="0.25">
      <c r="A271" s="928">
        <f t="shared" si="4"/>
        <v>224</v>
      </c>
      <c r="B271" s="926">
        <f>+NOMINA!C267</f>
        <v>23775734</v>
      </c>
      <c r="C271" s="926" t="str">
        <f>+NOMINA!D267</f>
        <v>Gonzalez Torres Klerwin Alfonso</v>
      </c>
      <c r="D271" s="926" t="str">
        <f>+NOMINA!O267</f>
        <v>Guia de Centro I</v>
      </c>
      <c r="E271" s="929">
        <f>+NOMINA!H267</f>
        <v>45627</v>
      </c>
      <c r="F271" s="930">
        <f>+NOMINA!BL267</f>
        <v>16.739999999999998</v>
      </c>
      <c r="G271" s="930">
        <f>+NOMINA!BM267</f>
        <v>2.09</v>
      </c>
      <c r="H271" s="599"/>
      <c r="I271" s="600"/>
      <c r="J271" s="600"/>
      <c r="K271" s="600"/>
      <c r="L271" s="600"/>
    </row>
    <row r="272" spans="1:12" ht="15.75" customHeight="1" x14ac:dyDescent="0.25">
      <c r="A272" s="928">
        <f t="shared" si="4"/>
        <v>225</v>
      </c>
      <c r="B272" s="926">
        <f>+NOMINA!C268</f>
        <v>24565372</v>
      </c>
      <c r="C272" s="926" t="str">
        <f>+NOMINA!D268</f>
        <v>Moreno Silva Alfredy Jose</v>
      </c>
      <c r="D272" s="926" t="str">
        <f>+NOMINA!O268</f>
        <v>Asistente de Relaciones Publicas</v>
      </c>
      <c r="E272" s="929">
        <f>+NOMINA!H268</f>
        <v>40360</v>
      </c>
      <c r="F272" s="930">
        <f>+NOMINA!BL268</f>
        <v>0</v>
      </c>
      <c r="G272" s="930">
        <f>+NOMINA!BM268</f>
        <v>0</v>
      </c>
      <c r="H272" s="599"/>
      <c r="I272" s="600"/>
      <c r="J272" s="600"/>
      <c r="K272" s="600"/>
      <c r="L272" s="600"/>
    </row>
    <row r="273" spans="1:12" ht="15.75" customHeight="1" x14ac:dyDescent="0.25">
      <c r="A273" s="928">
        <f t="shared" si="4"/>
        <v>226</v>
      </c>
      <c r="B273" s="926">
        <f>+NOMINA!C269</f>
        <v>25006139</v>
      </c>
      <c r="C273" s="926" t="str">
        <f>+NOMINA!D269</f>
        <v>Ramirez Palomares Carmen Beatriz</v>
      </c>
      <c r="D273" s="926" t="str">
        <f>+NOMINA!O269</f>
        <v>Guia de Centro I</v>
      </c>
      <c r="E273" s="929">
        <f>+NOMINA!H269</f>
        <v>43512</v>
      </c>
      <c r="F273" s="930">
        <f>+NOMINA!BL269</f>
        <v>20.13</v>
      </c>
      <c r="G273" s="930">
        <f>+NOMINA!BM269</f>
        <v>2.52</v>
      </c>
      <c r="H273" s="599"/>
      <c r="I273" s="600"/>
      <c r="J273" s="600"/>
      <c r="K273" s="600"/>
      <c r="L273" s="600"/>
    </row>
    <row r="274" spans="1:12" ht="15.75" customHeight="1" x14ac:dyDescent="0.25">
      <c r="A274" s="928">
        <f t="shared" si="4"/>
        <v>227</v>
      </c>
      <c r="B274" s="926">
        <f>+NOMINA!C270</f>
        <v>25006878</v>
      </c>
      <c r="C274" s="926" t="str">
        <f>+NOMINA!D270</f>
        <v>Fernandez Garcia Rafael Ramon</v>
      </c>
      <c r="D274" s="926" t="str">
        <f>+NOMINA!O270</f>
        <v>Guia de Centro I</v>
      </c>
      <c r="E274" s="929">
        <f>+NOMINA!H270</f>
        <v>44986</v>
      </c>
      <c r="F274" s="930">
        <f>+NOMINA!BL270</f>
        <v>19.88</v>
      </c>
      <c r="G274" s="930">
        <f>+NOMINA!BM270</f>
        <v>2.4900000000000002</v>
      </c>
      <c r="H274" s="599"/>
      <c r="I274" s="600"/>
      <c r="J274" s="600"/>
      <c r="K274" s="600"/>
      <c r="L274" s="600"/>
    </row>
    <row r="275" spans="1:12" ht="15.75" customHeight="1" x14ac:dyDescent="0.25">
      <c r="A275" s="928">
        <f t="shared" si="4"/>
        <v>228</v>
      </c>
      <c r="B275" s="926">
        <f>+NOMINA!C271</f>
        <v>25096069</v>
      </c>
      <c r="C275" s="926" t="str">
        <f>+NOMINA!D271</f>
        <v>Coello Diaz Yormileidys del Carmen</v>
      </c>
      <c r="D275" s="926" t="str">
        <f>+NOMINA!O271</f>
        <v>Guia de Centro I</v>
      </c>
      <c r="E275" s="929">
        <f>+NOMINA!H271</f>
        <v>44599</v>
      </c>
      <c r="F275" s="930">
        <f>+NOMINA!BL271</f>
        <v>27.61</v>
      </c>
      <c r="G275" s="930">
        <f>+NOMINA!BM271</f>
        <v>3.45</v>
      </c>
      <c r="H275" s="599"/>
      <c r="I275" s="600"/>
      <c r="J275" s="600"/>
      <c r="K275" s="600"/>
      <c r="L275" s="600"/>
    </row>
    <row r="276" spans="1:12" ht="15.75" customHeight="1" x14ac:dyDescent="0.25">
      <c r="A276" s="928">
        <f t="shared" si="4"/>
        <v>229</v>
      </c>
      <c r="B276" s="926">
        <f>+NOMINA!C272</f>
        <v>25173983</v>
      </c>
      <c r="C276" s="926" t="str">
        <f>+NOMINA!D272</f>
        <v>Guanda Barazarte Roxely Andreina</v>
      </c>
      <c r="D276" s="926" t="str">
        <f>+NOMINA!O272</f>
        <v>Guia de Centro I</v>
      </c>
      <c r="E276" s="929">
        <f>+NOMINA!H272</f>
        <v>44363</v>
      </c>
      <c r="F276" s="930">
        <f>+NOMINA!BL272</f>
        <v>13.78</v>
      </c>
      <c r="G276" s="930">
        <f>+NOMINA!BM272</f>
        <v>1.72</v>
      </c>
      <c r="H276" s="599"/>
      <c r="I276" s="600"/>
      <c r="J276" s="600"/>
      <c r="K276" s="600"/>
      <c r="L276" s="600"/>
    </row>
    <row r="277" spans="1:12" ht="15.75" customHeight="1" x14ac:dyDescent="0.25">
      <c r="A277" s="928">
        <f t="shared" si="4"/>
        <v>230</v>
      </c>
      <c r="B277" s="926">
        <f>+NOMINA!C273</f>
        <v>25303390</v>
      </c>
      <c r="C277" s="926" t="str">
        <f>+NOMINA!D273</f>
        <v>Graterol Castillo Yoselyn Zunedy</v>
      </c>
      <c r="D277" s="926" t="str">
        <f>+NOMINA!O273</f>
        <v>Guia de Centro I</v>
      </c>
      <c r="E277" s="929">
        <f>+NOMINA!H273</f>
        <v>43862</v>
      </c>
      <c r="F277" s="930">
        <f>+NOMINA!BL273</f>
        <v>18.75</v>
      </c>
      <c r="G277" s="930">
        <f>+NOMINA!BM273</f>
        <v>2.34</v>
      </c>
      <c r="H277" s="599"/>
      <c r="I277" s="600"/>
      <c r="J277" s="600"/>
      <c r="K277" s="600"/>
      <c r="L277" s="600"/>
    </row>
    <row r="278" spans="1:12" ht="15.75" customHeight="1" x14ac:dyDescent="0.25">
      <c r="A278" s="928">
        <f t="shared" si="4"/>
        <v>231</v>
      </c>
      <c r="B278" s="926">
        <f>+NOMINA!C274</f>
        <v>25454143</v>
      </c>
      <c r="C278" s="926" t="str">
        <f>+NOMINA!D274</f>
        <v>Briceño Ana Beatriz</v>
      </c>
      <c r="D278" s="926" t="str">
        <f>+NOMINA!O274</f>
        <v>Guia de Centro I</v>
      </c>
      <c r="E278" s="929">
        <f>+NOMINA!H274</f>
        <v>45536</v>
      </c>
      <c r="F278" s="930">
        <f>+NOMINA!BL274</f>
        <v>16.43</v>
      </c>
      <c r="G278" s="930">
        <f>+NOMINA!BM274</f>
        <v>2.0499999999999998</v>
      </c>
      <c r="H278" s="599"/>
      <c r="I278" s="600"/>
      <c r="J278" s="600"/>
      <c r="K278" s="600"/>
      <c r="L278" s="600"/>
    </row>
    <row r="279" spans="1:12" ht="15.75" customHeight="1" x14ac:dyDescent="0.25">
      <c r="A279" s="928">
        <f t="shared" si="4"/>
        <v>232</v>
      </c>
      <c r="B279" s="926">
        <f>+NOMINA!C275</f>
        <v>25604733</v>
      </c>
      <c r="C279" s="926" t="str">
        <f>+NOMINA!D275</f>
        <v>Nava Carrillo Oriana Daniela</v>
      </c>
      <c r="D279" s="926" t="str">
        <f>+NOMINA!O275</f>
        <v>Entrenador Deportivo II</v>
      </c>
      <c r="E279" s="929">
        <f>+NOMINA!H275</f>
        <v>43754</v>
      </c>
      <c r="F279" s="930">
        <f>+NOMINA!BL275</f>
        <v>13.27</v>
      </c>
      <c r="G279" s="930">
        <f>+NOMINA!BM275</f>
        <v>1.66</v>
      </c>
      <c r="H279" s="599"/>
      <c r="I279" s="600"/>
      <c r="J279" s="600"/>
      <c r="K279" s="600"/>
      <c r="L279" s="600"/>
    </row>
    <row r="280" spans="1:12" ht="15.75" customHeight="1" x14ac:dyDescent="0.25">
      <c r="A280" s="928">
        <f t="shared" si="4"/>
        <v>233</v>
      </c>
      <c r="B280" s="926">
        <f>+NOMINA!C276</f>
        <v>25619540</v>
      </c>
      <c r="C280" s="926" t="str">
        <f>+NOMINA!D276</f>
        <v>Balza Vetencourt Maria Gabriela</v>
      </c>
      <c r="D280" s="926" t="str">
        <f>+NOMINA!O276</f>
        <v>Guia de Centro I</v>
      </c>
      <c r="E280" s="929">
        <f>+NOMINA!H276</f>
        <v>44743</v>
      </c>
      <c r="F280" s="930">
        <f>+NOMINA!BL276</f>
        <v>18.57</v>
      </c>
      <c r="G280" s="930">
        <f>+NOMINA!BM276</f>
        <v>2.3199999999999998</v>
      </c>
      <c r="H280" s="599"/>
      <c r="I280" s="600"/>
      <c r="J280" s="600"/>
      <c r="K280" s="600"/>
      <c r="L280" s="600"/>
    </row>
    <row r="281" spans="1:12" ht="15.75" customHeight="1" x14ac:dyDescent="0.25">
      <c r="A281" s="928">
        <f t="shared" si="4"/>
        <v>234</v>
      </c>
      <c r="B281" s="926">
        <f>+NOMINA!C277</f>
        <v>26094609</v>
      </c>
      <c r="C281" s="926" t="str">
        <f>+NOMINA!D277</f>
        <v>Andara Moreno Marielena Nathaly</v>
      </c>
      <c r="D281" s="926" t="str">
        <f>+NOMINA!O277</f>
        <v>Abogado I</v>
      </c>
      <c r="E281" s="929">
        <f>+NOMINA!H277</f>
        <v>44713</v>
      </c>
      <c r="F281" s="930">
        <f>+NOMINA!BL277</f>
        <v>23.96</v>
      </c>
      <c r="G281" s="930">
        <f>+NOMINA!BM277</f>
        <v>3</v>
      </c>
      <c r="H281" s="599"/>
      <c r="I281" s="600"/>
      <c r="J281" s="600"/>
      <c r="K281" s="600"/>
      <c r="L281" s="600"/>
    </row>
    <row r="282" spans="1:12" ht="15.75" customHeight="1" x14ac:dyDescent="0.25">
      <c r="A282" s="928">
        <f t="shared" si="4"/>
        <v>235</v>
      </c>
      <c r="B282" s="926">
        <f>+NOMINA!C278</f>
        <v>26094690</v>
      </c>
      <c r="C282" s="926" t="str">
        <f>+NOMINA!D278</f>
        <v>Fernandez Romero Numa Manuel</v>
      </c>
      <c r="D282" s="926" t="str">
        <f>+NOMINA!O278</f>
        <v>Guia de Centro I</v>
      </c>
      <c r="E282" s="929">
        <f>+NOMINA!H278</f>
        <v>45017</v>
      </c>
      <c r="F282" s="930">
        <f>+NOMINA!BL278</f>
        <v>17.260000000000002</v>
      </c>
      <c r="G282" s="930">
        <f>+NOMINA!BM278</f>
        <v>2.16</v>
      </c>
      <c r="H282" s="599"/>
      <c r="I282" s="600"/>
      <c r="J282" s="600"/>
      <c r="K282" s="600"/>
      <c r="L282" s="600"/>
    </row>
    <row r="283" spans="1:12" ht="15.75" customHeight="1" x14ac:dyDescent="0.25">
      <c r="A283" s="928">
        <f t="shared" si="4"/>
        <v>236</v>
      </c>
      <c r="B283" s="926">
        <f>+NOMINA!C279</f>
        <v>26114271</v>
      </c>
      <c r="C283" s="926" t="str">
        <f>+NOMINA!D279</f>
        <v>Moncayo Perez Ruddy Bellaliz</v>
      </c>
      <c r="D283" s="926" t="str">
        <f>+NOMINA!O279</f>
        <v>Abogado I</v>
      </c>
      <c r="E283" s="929">
        <f>+NOMINA!H279</f>
        <v>44636</v>
      </c>
      <c r="F283" s="930">
        <f>+NOMINA!BL279</f>
        <v>23.96</v>
      </c>
      <c r="G283" s="930">
        <f>+NOMINA!BM279</f>
        <v>3</v>
      </c>
      <c r="H283" s="599"/>
      <c r="I283" s="600"/>
      <c r="J283" s="600"/>
      <c r="K283" s="600"/>
      <c r="L283" s="600"/>
    </row>
    <row r="284" spans="1:12" ht="15.75" customHeight="1" x14ac:dyDescent="0.25">
      <c r="A284" s="928">
        <f t="shared" si="4"/>
        <v>237</v>
      </c>
      <c r="B284" s="926">
        <f>+NOMINA!C280</f>
        <v>26191823</v>
      </c>
      <c r="C284" s="926" t="str">
        <f>+NOMINA!D280</f>
        <v>Briceño Espinoza Brayhan Jose</v>
      </c>
      <c r="D284" s="926" t="str">
        <f>+NOMINA!O280</f>
        <v>Abogado II</v>
      </c>
      <c r="E284" s="929">
        <f>+NOMINA!H280</f>
        <v>44470</v>
      </c>
      <c r="F284" s="930">
        <f>+NOMINA!BL280</f>
        <v>23.96</v>
      </c>
      <c r="G284" s="930">
        <f>+NOMINA!BM280</f>
        <v>3</v>
      </c>
      <c r="H284" s="599"/>
      <c r="I284" s="600"/>
      <c r="J284" s="600"/>
      <c r="K284" s="600"/>
      <c r="L284" s="600"/>
    </row>
    <row r="285" spans="1:12" ht="15.75" customHeight="1" x14ac:dyDescent="0.25">
      <c r="A285" s="928">
        <f t="shared" si="4"/>
        <v>238</v>
      </c>
      <c r="B285" s="926">
        <f>+NOMINA!C281</f>
        <v>26235963</v>
      </c>
      <c r="C285" s="926" t="str">
        <f>+NOMINA!D281</f>
        <v>Segovia Segovia Freylu Margarita</v>
      </c>
      <c r="D285" s="926" t="str">
        <f>+NOMINA!O281</f>
        <v>Psicologo I</v>
      </c>
      <c r="E285" s="929">
        <f>+NOMINA!H281</f>
        <v>45383</v>
      </c>
      <c r="F285" s="930">
        <f>+NOMINA!BL281</f>
        <v>22.56</v>
      </c>
      <c r="G285" s="930">
        <f>+NOMINA!BM281</f>
        <v>2.82</v>
      </c>
      <c r="H285" s="599"/>
      <c r="I285" s="600"/>
      <c r="J285" s="600"/>
      <c r="K285" s="600"/>
      <c r="L285" s="600"/>
    </row>
    <row r="286" spans="1:12" ht="15.75" customHeight="1" x14ac:dyDescent="0.25">
      <c r="A286" s="928">
        <f t="shared" si="4"/>
        <v>239</v>
      </c>
      <c r="B286" s="926">
        <f>+NOMINA!C282</f>
        <v>26413871</v>
      </c>
      <c r="C286" s="926" t="str">
        <f>+NOMINA!D282</f>
        <v>Molina Rojas Genesis Angely</v>
      </c>
      <c r="D286" s="926" t="str">
        <f>+NOMINA!O282</f>
        <v>Guia de Centro I</v>
      </c>
      <c r="E286" s="929">
        <f>+NOMINA!H282</f>
        <v>44228</v>
      </c>
      <c r="F286" s="930">
        <f>+NOMINA!BL282</f>
        <v>18.66</v>
      </c>
      <c r="G286" s="930">
        <f>+NOMINA!BM282</f>
        <v>2.33</v>
      </c>
      <c r="H286" s="599"/>
      <c r="I286" s="600"/>
      <c r="J286" s="600"/>
      <c r="K286" s="600"/>
      <c r="L286" s="600"/>
    </row>
    <row r="287" spans="1:12" ht="15.75" customHeight="1" x14ac:dyDescent="0.25">
      <c r="A287" s="928">
        <f t="shared" si="4"/>
        <v>240</v>
      </c>
      <c r="B287" s="926">
        <f>+NOMINA!C283</f>
        <v>26591879</v>
      </c>
      <c r="C287" s="926" t="str">
        <f>+NOMINA!D283</f>
        <v>Delgado Cabezas Rosa Magdalena</v>
      </c>
      <c r="D287" s="926" t="str">
        <f>+NOMINA!O283</f>
        <v>Psicologo II</v>
      </c>
      <c r="E287" s="929">
        <f>+NOMINA!H283</f>
        <v>43587</v>
      </c>
      <c r="F287" s="930">
        <f>+NOMINA!BL283</f>
        <v>25.32</v>
      </c>
      <c r="G287" s="930">
        <f>+NOMINA!BM283</f>
        <v>3.16</v>
      </c>
      <c r="H287" s="599"/>
      <c r="I287" s="600"/>
      <c r="J287" s="600"/>
      <c r="K287" s="600"/>
      <c r="L287" s="600"/>
    </row>
    <row r="288" spans="1:12" ht="15.75" customHeight="1" x14ac:dyDescent="0.25">
      <c r="A288" s="928">
        <f t="shared" si="4"/>
        <v>241</v>
      </c>
      <c r="B288" s="926">
        <f>+NOMINA!C284</f>
        <v>26690908</v>
      </c>
      <c r="C288" s="926" t="str">
        <f>+NOMINA!D284</f>
        <v>Segovia Lisbeira del Carmen</v>
      </c>
      <c r="D288" s="926" t="str">
        <f>+NOMINA!O284</f>
        <v>Guia de Centro I</v>
      </c>
      <c r="E288" s="929">
        <f>+NOMINA!H284</f>
        <v>44228</v>
      </c>
      <c r="F288" s="930">
        <f>+NOMINA!BL284</f>
        <v>17.91</v>
      </c>
      <c r="G288" s="930">
        <f>+NOMINA!BM284</f>
        <v>2.2400000000000002</v>
      </c>
      <c r="H288" s="599"/>
      <c r="I288" s="600"/>
      <c r="J288" s="600"/>
      <c r="K288" s="600"/>
      <c r="L288" s="600"/>
    </row>
    <row r="289" spans="1:12" ht="15.75" customHeight="1" x14ac:dyDescent="0.25">
      <c r="A289" s="928">
        <f t="shared" si="4"/>
        <v>242</v>
      </c>
      <c r="B289" s="926">
        <f>+NOMINA!C285</f>
        <v>26962104</v>
      </c>
      <c r="C289" s="926" t="str">
        <f>+NOMINA!D285</f>
        <v>Rubio Briceño Diana Carolina</v>
      </c>
      <c r="D289" s="926" t="str">
        <f>+NOMINA!O285</f>
        <v>Asistente Administrativo II</v>
      </c>
      <c r="E289" s="929">
        <f>+NOMINA!H285</f>
        <v>44393</v>
      </c>
      <c r="F289" s="930">
        <f>+NOMINA!BL285</f>
        <v>13.78</v>
      </c>
      <c r="G289" s="930">
        <f>+NOMINA!BM285</f>
        <v>1.72</v>
      </c>
      <c r="H289" s="599"/>
      <c r="I289" s="600"/>
      <c r="J289" s="600"/>
      <c r="K289" s="600"/>
      <c r="L289" s="600"/>
    </row>
    <row r="290" spans="1:12" ht="15.75" customHeight="1" x14ac:dyDescent="0.25">
      <c r="A290" s="928">
        <f t="shared" si="4"/>
        <v>243</v>
      </c>
      <c r="B290" s="926">
        <f>+NOMINA!C286</f>
        <v>27022450</v>
      </c>
      <c r="C290" s="926" t="str">
        <f>+NOMINA!D286</f>
        <v>Montilla Gonzalez Maria Alexandra</v>
      </c>
      <c r="D290" s="926" t="str">
        <f>+NOMINA!O286</f>
        <v>Tecnico Superior en Trabajo Social I</v>
      </c>
      <c r="E290" s="929">
        <f>+NOMINA!H286</f>
        <v>45717</v>
      </c>
      <c r="F290" s="930">
        <f>+NOMINA!BL286</f>
        <v>17.829999999999998</v>
      </c>
      <c r="G290" s="930">
        <f>+NOMINA!BM286</f>
        <v>2.23</v>
      </c>
      <c r="H290" s="599"/>
      <c r="I290" s="600"/>
      <c r="J290" s="600"/>
      <c r="K290" s="600"/>
      <c r="L290" s="600"/>
    </row>
    <row r="291" spans="1:12" ht="15.75" customHeight="1" x14ac:dyDescent="0.25">
      <c r="A291" s="928">
        <f t="shared" si="4"/>
        <v>244</v>
      </c>
      <c r="B291" s="926">
        <f>+NOMINA!C287</f>
        <v>27251885</v>
      </c>
      <c r="C291" s="926" t="str">
        <f>+NOMINA!D287</f>
        <v>Barrozo Godoy Kellem Daniela</v>
      </c>
      <c r="D291" s="926" t="str">
        <f>+NOMINA!O287</f>
        <v>Guia de Centro I</v>
      </c>
      <c r="E291" s="929">
        <f>+NOMINA!H287</f>
        <v>45474</v>
      </c>
      <c r="F291" s="930">
        <f>+NOMINA!BL287</f>
        <v>16.43</v>
      </c>
      <c r="G291" s="930">
        <f>+NOMINA!BM287</f>
        <v>2.0499999999999998</v>
      </c>
      <c r="H291" s="599"/>
      <c r="I291" s="600"/>
      <c r="J291" s="600"/>
      <c r="K291" s="600"/>
      <c r="L291" s="600"/>
    </row>
    <row r="292" spans="1:12" ht="15.75" customHeight="1" x14ac:dyDescent="0.25">
      <c r="A292" s="928">
        <f t="shared" si="4"/>
        <v>245</v>
      </c>
      <c r="B292" s="926">
        <f>+NOMINA!C288</f>
        <v>27251899</v>
      </c>
      <c r="C292" s="926" t="str">
        <f>+NOMINA!D288</f>
        <v>Perez Gonzalez Maria Ines</v>
      </c>
      <c r="D292" s="926" t="str">
        <f>+NOMINA!O288</f>
        <v>Guia de Centro I</v>
      </c>
      <c r="E292" s="929">
        <f>+NOMINA!H288</f>
        <v>45474</v>
      </c>
      <c r="F292" s="930">
        <f>+NOMINA!BL288</f>
        <v>16.43</v>
      </c>
      <c r="G292" s="930">
        <f>+NOMINA!BM288</f>
        <v>2.0499999999999998</v>
      </c>
      <c r="H292" s="599"/>
      <c r="I292" s="600"/>
      <c r="J292" s="600"/>
      <c r="K292" s="600"/>
      <c r="L292" s="600"/>
    </row>
    <row r="293" spans="1:12" ht="15.75" customHeight="1" x14ac:dyDescent="0.25">
      <c r="A293" s="928">
        <f t="shared" si="4"/>
        <v>246</v>
      </c>
      <c r="B293" s="926">
        <f>+NOMINA!C289</f>
        <v>27363633</v>
      </c>
      <c r="C293" s="926" t="str">
        <f>+NOMINA!D289</f>
        <v>Padilla Blanco Melany Marian</v>
      </c>
      <c r="D293" s="926" t="str">
        <f>+NOMINA!O289</f>
        <v>Guia de Centro I</v>
      </c>
      <c r="E293" s="929">
        <f>+NOMINA!H289</f>
        <v>45627</v>
      </c>
      <c r="F293" s="930">
        <f>+NOMINA!BL289</f>
        <v>15.6</v>
      </c>
      <c r="G293" s="930">
        <f>+NOMINA!BM289</f>
        <v>1.95</v>
      </c>
      <c r="H293" s="599"/>
      <c r="I293" s="600"/>
      <c r="J293" s="600"/>
      <c r="K293" s="600"/>
      <c r="L293" s="600"/>
    </row>
    <row r="294" spans="1:12" ht="15.75" customHeight="1" x14ac:dyDescent="0.25">
      <c r="A294" s="928">
        <f t="shared" si="4"/>
        <v>247</v>
      </c>
      <c r="B294" s="926">
        <f>+NOMINA!C290</f>
        <v>27415737</v>
      </c>
      <c r="C294" s="926" t="str">
        <f>+NOMINA!D290</f>
        <v>Rivas Torres Rosa Alba</v>
      </c>
      <c r="D294" s="926" t="str">
        <f>+NOMINA!O290</f>
        <v>Asistente Administrativo II</v>
      </c>
      <c r="E294" s="929">
        <f>+NOMINA!H290</f>
        <v>44363</v>
      </c>
      <c r="F294" s="930">
        <f>+NOMINA!BL290</f>
        <v>13.78</v>
      </c>
      <c r="G294" s="930">
        <f>+NOMINA!BM290</f>
        <v>1.72</v>
      </c>
      <c r="H294" s="599"/>
      <c r="I294" s="600"/>
      <c r="J294" s="600"/>
      <c r="K294" s="600"/>
      <c r="L294" s="600"/>
    </row>
    <row r="295" spans="1:12" ht="15.75" customHeight="1" x14ac:dyDescent="0.25">
      <c r="A295" s="928">
        <f t="shared" si="4"/>
        <v>248</v>
      </c>
      <c r="B295" s="926">
        <f>+NOMINA!C291</f>
        <v>27415888</v>
      </c>
      <c r="C295" s="926" t="str">
        <f>+NOMINA!D291</f>
        <v>Perdomo Juarez Jose de Jesus</v>
      </c>
      <c r="D295" s="926" t="str">
        <f>+NOMINA!O291</f>
        <v>Entrenador Deportivo II</v>
      </c>
      <c r="E295" s="929">
        <f>+NOMINA!H291</f>
        <v>44713</v>
      </c>
      <c r="F295" s="930">
        <f>+NOMINA!BL291</f>
        <v>14.91</v>
      </c>
      <c r="G295" s="930">
        <f>+NOMINA!BM291</f>
        <v>1.86</v>
      </c>
      <c r="H295" s="599"/>
      <c r="I295" s="600"/>
      <c r="J295" s="600"/>
      <c r="K295" s="600"/>
      <c r="L295" s="600"/>
    </row>
    <row r="296" spans="1:12" ht="15.75" customHeight="1" x14ac:dyDescent="0.25">
      <c r="A296" s="928">
        <f t="shared" si="4"/>
        <v>249</v>
      </c>
      <c r="B296" s="926">
        <f>+NOMINA!C292</f>
        <v>27628603</v>
      </c>
      <c r="C296" s="926" t="str">
        <f>+NOMINA!D292</f>
        <v>Mendoza Mendoza Kelasky Kixuy</v>
      </c>
      <c r="D296" s="926" t="str">
        <f>+NOMINA!O292</f>
        <v>Instructor De Formacion Empresarial</v>
      </c>
      <c r="E296" s="929">
        <f>+NOMINA!H292</f>
        <v>45139</v>
      </c>
      <c r="F296" s="930">
        <f>+NOMINA!BL292</f>
        <v>12.7</v>
      </c>
      <c r="G296" s="930">
        <f>+NOMINA!BM292</f>
        <v>1.59</v>
      </c>
      <c r="H296" s="599"/>
      <c r="I296" s="600"/>
      <c r="J296" s="600"/>
      <c r="K296" s="600"/>
      <c r="L296" s="600"/>
    </row>
    <row r="297" spans="1:12" ht="15.75" customHeight="1" x14ac:dyDescent="0.25">
      <c r="A297" s="928">
        <f t="shared" si="4"/>
        <v>250</v>
      </c>
      <c r="B297" s="926">
        <f>+NOMINA!C293</f>
        <v>27677242</v>
      </c>
      <c r="C297" s="926" t="str">
        <f>+NOMINA!D293</f>
        <v>Ramirez Torres Darwin Jose</v>
      </c>
      <c r="D297" s="926" t="str">
        <f>+NOMINA!O293</f>
        <v>Recreador</v>
      </c>
      <c r="E297" s="929">
        <f>+NOMINA!H293</f>
        <v>45139</v>
      </c>
      <c r="F297" s="930">
        <f>+NOMINA!BL293</f>
        <v>12.12</v>
      </c>
      <c r="G297" s="930">
        <f>+NOMINA!BM293</f>
        <v>1.52</v>
      </c>
      <c r="H297" s="599"/>
      <c r="I297" s="600"/>
      <c r="J297" s="600"/>
      <c r="K297" s="600"/>
      <c r="L297" s="600"/>
    </row>
    <row r="298" spans="1:12" ht="15.75" customHeight="1" x14ac:dyDescent="0.25">
      <c r="A298" s="928">
        <f t="shared" si="4"/>
        <v>251</v>
      </c>
      <c r="B298" s="926">
        <f>+NOMINA!C294</f>
        <v>27889180</v>
      </c>
      <c r="C298" s="926" t="str">
        <f>+NOMINA!D294</f>
        <v>Moreno Andreina del Valle</v>
      </c>
      <c r="D298" s="926" t="str">
        <f>+NOMINA!O294</f>
        <v>Asistente Administrativo II</v>
      </c>
      <c r="E298" s="929">
        <f>+NOMINA!H294</f>
        <v>44393</v>
      </c>
      <c r="F298" s="930">
        <f>+NOMINA!BL294</f>
        <v>0</v>
      </c>
      <c r="G298" s="930">
        <f>+NOMINA!BM294</f>
        <v>0</v>
      </c>
      <c r="H298" s="599"/>
      <c r="I298" s="600"/>
      <c r="J298" s="600"/>
      <c r="K298" s="600"/>
      <c r="L298" s="600"/>
    </row>
    <row r="299" spans="1:12" ht="15.75" customHeight="1" x14ac:dyDescent="0.25">
      <c r="A299" s="928">
        <f t="shared" si="4"/>
        <v>252</v>
      </c>
      <c r="B299" s="926">
        <f>+NOMINA!C295</f>
        <v>28079765</v>
      </c>
      <c r="C299" s="926" t="str">
        <f>+NOMINA!D295</f>
        <v>Mendoza Cardozo Josue Vicensio</v>
      </c>
      <c r="D299" s="926" t="str">
        <f>+NOMINA!O295</f>
        <v>Asistente Administrativo II</v>
      </c>
      <c r="E299" s="929">
        <f>+NOMINA!H295</f>
        <v>44348</v>
      </c>
      <c r="F299" s="930">
        <f>+NOMINA!BL295</f>
        <v>19.809999999999999</v>
      </c>
      <c r="G299" s="930">
        <f>+NOMINA!BM295</f>
        <v>2.48</v>
      </c>
      <c r="H299" s="599"/>
      <c r="I299" s="600"/>
      <c r="J299" s="600"/>
      <c r="K299" s="600"/>
      <c r="L299" s="600"/>
    </row>
    <row r="300" spans="1:12" ht="15.75" customHeight="1" x14ac:dyDescent="0.25">
      <c r="A300" s="928">
        <f t="shared" si="4"/>
        <v>253</v>
      </c>
      <c r="B300" s="926">
        <f>+NOMINA!C296</f>
        <v>28096003</v>
      </c>
      <c r="C300" s="926" t="str">
        <f>+NOMINA!D296</f>
        <v>Quintero Peña Maria Alejandra</v>
      </c>
      <c r="D300" s="926" t="str">
        <f>+NOMINA!O296</f>
        <v>Guia de Centro I</v>
      </c>
      <c r="E300" s="929">
        <f>+NOMINA!H296</f>
        <v>44228</v>
      </c>
      <c r="F300" s="930">
        <f>+NOMINA!BL296</f>
        <v>17.16</v>
      </c>
      <c r="G300" s="930">
        <f>+NOMINA!BM296</f>
        <v>2.15</v>
      </c>
      <c r="H300" s="599"/>
      <c r="I300" s="600"/>
      <c r="J300" s="600"/>
      <c r="K300" s="600"/>
      <c r="L300" s="600"/>
    </row>
    <row r="301" spans="1:12" ht="15.75" customHeight="1" x14ac:dyDescent="0.25">
      <c r="A301" s="928">
        <f t="shared" si="4"/>
        <v>254</v>
      </c>
      <c r="B301" s="926">
        <f>+NOMINA!C297</f>
        <v>28096576</v>
      </c>
      <c r="C301" s="926" t="str">
        <f>+NOMINA!D297</f>
        <v>Gutierrez Betania Belsally</v>
      </c>
      <c r="D301" s="926" t="str">
        <f>+NOMINA!O297</f>
        <v>Asistente Administrativo I</v>
      </c>
      <c r="E301" s="929">
        <f>+NOMINA!H297</f>
        <v>45017</v>
      </c>
      <c r="F301" s="930">
        <f>+NOMINA!BL297</f>
        <v>13.27</v>
      </c>
      <c r="G301" s="930">
        <f>+NOMINA!BM297</f>
        <v>1.66</v>
      </c>
      <c r="H301" s="599"/>
      <c r="I301" s="600"/>
      <c r="J301" s="600"/>
      <c r="K301" s="600"/>
      <c r="L301" s="600"/>
    </row>
    <row r="302" spans="1:12" ht="15.75" customHeight="1" x14ac:dyDescent="0.25">
      <c r="A302" s="928">
        <f t="shared" si="4"/>
        <v>255</v>
      </c>
      <c r="B302" s="926">
        <f>+NOMINA!C298</f>
        <v>28445465</v>
      </c>
      <c r="C302" s="926" t="str">
        <f>+NOMINA!D298</f>
        <v>Castillo Carrizo Katherine Cecilia</v>
      </c>
      <c r="D302" s="926" t="str">
        <f>+NOMINA!O298</f>
        <v>Asistente Administrativo II</v>
      </c>
      <c r="E302" s="929">
        <f>+NOMINA!H298</f>
        <v>43770</v>
      </c>
      <c r="F302" s="930">
        <f>+NOMINA!BL298</f>
        <v>13.27</v>
      </c>
      <c r="G302" s="930">
        <f>+NOMINA!BM298</f>
        <v>1.66</v>
      </c>
      <c r="H302" s="599"/>
      <c r="I302" s="600"/>
      <c r="J302" s="600"/>
      <c r="K302" s="600"/>
      <c r="L302" s="600"/>
    </row>
    <row r="303" spans="1:12" ht="15.75" customHeight="1" x14ac:dyDescent="0.25">
      <c r="A303" s="928">
        <f t="shared" si="4"/>
        <v>256</v>
      </c>
      <c r="B303" s="926">
        <f>+NOMINA!C299</f>
        <v>29539827</v>
      </c>
      <c r="C303" s="926" t="str">
        <f>+NOMINA!D299</f>
        <v>Rivero Fajardo Nohely Gabriela</v>
      </c>
      <c r="D303" s="926" t="str">
        <f>+NOMINA!O299</f>
        <v>PSICOLOGO I</v>
      </c>
      <c r="E303" s="929">
        <f>+NOMINA!H299</f>
        <v>45901</v>
      </c>
      <c r="F303" s="930">
        <f>+NOMINA!BL299</f>
        <v>21.69</v>
      </c>
      <c r="G303" s="930">
        <f>+NOMINA!BM299</f>
        <v>2.71</v>
      </c>
      <c r="H303" s="599"/>
      <c r="I303" s="600"/>
      <c r="J303" s="600"/>
      <c r="K303" s="600"/>
      <c r="L303" s="600"/>
    </row>
    <row r="304" spans="1:12" ht="15.75" customHeight="1" x14ac:dyDescent="0.25">
      <c r="A304" s="928">
        <f t="shared" si="4"/>
        <v>257</v>
      </c>
      <c r="B304" s="926">
        <f>+NOMINA!C300</f>
        <v>29585477</v>
      </c>
      <c r="C304" s="926" t="str">
        <f>+NOMINA!D300</f>
        <v>Gil Ruiz Marianyeli Sarait</v>
      </c>
      <c r="D304" s="926" t="str">
        <f>+NOMINA!O300</f>
        <v>Entrenador Deportivo II</v>
      </c>
      <c r="E304" s="929">
        <f>+NOMINA!H300</f>
        <v>43512</v>
      </c>
      <c r="F304" s="930">
        <f>+NOMINA!BL300</f>
        <v>14.91</v>
      </c>
      <c r="G304" s="930">
        <f>+NOMINA!BM300</f>
        <v>1.86</v>
      </c>
      <c r="H304" s="599"/>
      <c r="I304" s="600"/>
      <c r="J304" s="600"/>
      <c r="K304" s="600"/>
      <c r="L304" s="600"/>
    </row>
    <row r="305" spans="1:12" ht="15.75" customHeight="1" x14ac:dyDescent="0.25">
      <c r="A305" s="928">
        <f t="shared" si="4"/>
        <v>258</v>
      </c>
      <c r="B305" s="926">
        <f>+NOMINA!C301</f>
        <v>30190238</v>
      </c>
      <c r="C305" s="926" t="str">
        <f>+NOMINA!D301</f>
        <v>Mendoza Osuna Zaida Liseth</v>
      </c>
      <c r="D305" s="926" t="str">
        <f>+NOMINA!O301</f>
        <v>Guia de Centro I</v>
      </c>
      <c r="E305" s="929">
        <f>+NOMINA!H301</f>
        <v>45200</v>
      </c>
      <c r="F305" s="930">
        <f>+NOMINA!BL301</f>
        <v>15.68</v>
      </c>
      <c r="G305" s="930">
        <f>+NOMINA!BM301</f>
        <v>1.96</v>
      </c>
      <c r="H305" s="599"/>
      <c r="I305" s="600"/>
      <c r="J305" s="600"/>
      <c r="K305" s="600"/>
      <c r="L305" s="600"/>
    </row>
    <row r="306" spans="1:12" ht="15.75" customHeight="1" thickBot="1" x14ac:dyDescent="0.3">
      <c r="A306" s="928">
        <f t="shared" si="4"/>
        <v>259</v>
      </c>
      <c r="B306" s="926">
        <f>+NOMINA!C302</f>
        <v>30438508</v>
      </c>
      <c r="C306" s="926" t="str">
        <f>+NOMINA!D302</f>
        <v>Teran Araujo Marihangeli Nicoll</v>
      </c>
      <c r="D306" s="926" t="str">
        <f>+NOMINA!O302</f>
        <v>Asistente Administrativo II</v>
      </c>
      <c r="E306" s="929">
        <f>+NOMINA!H302</f>
        <v>45200</v>
      </c>
      <c r="F306" s="930">
        <f>+NOMINA!BL302</f>
        <v>13.27</v>
      </c>
      <c r="G306" s="930">
        <f>+NOMINA!BM302</f>
        <v>1.66</v>
      </c>
      <c r="H306" s="599"/>
      <c r="I306" s="600"/>
      <c r="J306" s="600"/>
      <c r="K306" s="600"/>
      <c r="L306" s="600"/>
    </row>
    <row r="307" spans="1:12" ht="15.75" customHeight="1" thickBot="1" x14ac:dyDescent="0.35">
      <c r="A307" s="872"/>
      <c r="B307" s="873"/>
      <c r="C307" s="873"/>
      <c r="D307" s="874" t="s">
        <v>4562</v>
      </c>
      <c r="E307" s="875" t="s">
        <v>5821</v>
      </c>
      <c r="F307" s="871">
        <f>SUM(F48:F306)</f>
        <v>5302.9300000000021</v>
      </c>
      <c r="G307" s="876">
        <f>SUM(G48:G306)</f>
        <v>662.94000000000028</v>
      </c>
      <c r="H307" s="599" t="e">
        <f>+NOMINA!#REF!</f>
        <v>#REF!</v>
      </c>
      <c r="I307" s="600" t="e">
        <f>+F307-H307</f>
        <v>#REF!</v>
      </c>
      <c r="J307" s="599" t="e">
        <f>+NOMINA!#REF!</f>
        <v>#REF!</v>
      </c>
      <c r="K307" s="600" t="e">
        <f>+G307-J307</f>
        <v>#REF!</v>
      </c>
      <c r="L307" s="600"/>
    </row>
    <row r="308" spans="1:12" ht="15.75" customHeight="1" x14ac:dyDescent="0.25">
      <c r="A308" s="601"/>
      <c r="B308" s="603"/>
      <c r="C308" s="603"/>
      <c r="D308" s="603"/>
      <c r="E308" s="608"/>
      <c r="F308" s="604"/>
      <c r="G308" s="604"/>
      <c r="H308" s="599"/>
      <c r="I308" s="600"/>
      <c r="J308" s="600"/>
      <c r="K308" s="600"/>
      <c r="L308" s="600"/>
    </row>
    <row r="309" spans="1:12" ht="15.75" customHeight="1" x14ac:dyDescent="0.25">
      <c r="A309" s="601"/>
      <c r="B309" s="603"/>
      <c r="C309" s="595" t="s">
        <v>5815</v>
      </c>
      <c r="E309" s="595" t="s">
        <v>5816</v>
      </c>
      <c r="F309" s="595" t="s">
        <v>5816</v>
      </c>
      <c r="H309" s="599"/>
      <c r="I309" s="600"/>
      <c r="J309" s="600"/>
      <c r="K309" s="600"/>
      <c r="L309" s="600"/>
    </row>
    <row r="310" spans="1:12" ht="15.75" customHeight="1" x14ac:dyDescent="0.25">
      <c r="A310" s="601"/>
      <c r="B310" s="603"/>
      <c r="H310" s="599"/>
      <c r="I310" s="600"/>
      <c r="J310" s="600"/>
      <c r="K310" s="600"/>
      <c r="L310" s="600"/>
    </row>
    <row r="311" spans="1:12" ht="15.75" customHeight="1" x14ac:dyDescent="0.25">
      <c r="A311" s="601"/>
      <c r="B311" s="603"/>
      <c r="H311" s="599"/>
      <c r="I311" s="600"/>
      <c r="J311" s="600"/>
      <c r="K311" s="600"/>
      <c r="L311" s="600"/>
    </row>
    <row r="312" spans="1:12" ht="15.75" customHeight="1" x14ac:dyDescent="0.3">
      <c r="A312" s="601"/>
      <c r="B312" s="603"/>
      <c r="C312" s="605" t="s">
        <v>5817</v>
      </c>
      <c r="E312" s="606" t="s">
        <v>5827</v>
      </c>
      <c r="F312" s="606" t="s">
        <v>5818</v>
      </c>
      <c r="H312" s="599"/>
      <c r="I312" s="600"/>
      <c r="J312" s="600"/>
      <c r="K312" s="600"/>
      <c r="L312" s="600"/>
    </row>
    <row r="313" spans="1:12" ht="15.75" customHeight="1" x14ac:dyDescent="0.3">
      <c r="A313" s="601"/>
      <c r="B313" s="603"/>
      <c r="C313" s="605" t="s">
        <v>5819</v>
      </c>
      <c r="E313" s="605" t="s">
        <v>5820</v>
      </c>
      <c r="F313" s="605" t="s">
        <v>5820</v>
      </c>
      <c r="G313" s="609"/>
      <c r="H313" s="599"/>
      <c r="I313" s="600"/>
      <c r="J313" s="600"/>
      <c r="K313" s="600"/>
      <c r="L313" s="600"/>
    </row>
    <row r="314" spans="1:12" ht="15.75" customHeight="1" x14ac:dyDescent="0.25">
      <c r="A314" s="601"/>
      <c r="B314" s="603"/>
      <c r="C314" s="603"/>
      <c r="D314" s="603"/>
      <c r="E314" s="608"/>
      <c r="F314" s="604"/>
      <c r="G314" s="604"/>
      <c r="H314" s="599"/>
      <c r="I314" s="600"/>
      <c r="J314" s="600"/>
      <c r="K314" s="600"/>
      <c r="L314" s="600"/>
    </row>
    <row r="315" spans="1:12" ht="15.75" customHeight="1" x14ac:dyDescent="0.25">
      <c r="A315" s="612" t="s">
        <v>4563</v>
      </c>
      <c r="B315" s="613"/>
      <c r="C315" s="613"/>
      <c r="D315" s="613"/>
      <c r="E315" s="614"/>
      <c r="F315" s="615"/>
      <c r="G315" s="615"/>
      <c r="H315" s="599"/>
      <c r="I315" s="600"/>
      <c r="J315" s="600"/>
      <c r="K315" s="600"/>
      <c r="L315" s="600"/>
    </row>
    <row r="316" spans="1:12" ht="15.75" customHeight="1" x14ac:dyDescent="0.25">
      <c r="A316" s="928">
        <v>1</v>
      </c>
      <c r="B316" s="926">
        <f>+NOMINA!C305</f>
        <v>5505183</v>
      </c>
      <c r="C316" s="926" t="str">
        <f>+NOMINA!D305</f>
        <v>Paredes Marquez Eduardo Jesus</v>
      </c>
      <c r="D316" s="926" t="str">
        <f>+NOMINA!O305</f>
        <v>Ayudante de Servicios Generales</v>
      </c>
      <c r="E316" s="929">
        <f>+NOMINA!H305</f>
        <v>44562</v>
      </c>
      <c r="F316" s="930">
        <f>+NOMINA!BL305</f>
        <v>13.98</v>
      </c>
      <c r="G316" s="930">
        <f>+NOMINA!BM305</f>
        <v>1.75</v>
      </c>
      <c r="H316" s="599"/>
      <c r="I316" s="600"/>
      <c r="J316" s="600"/>
      <c r="K316" s="600"/>
      <c r="L316" s="600"/>
    </row>
    <row r="317" spans="1:12" ht="15.75" customHeight="1" x14ac:dyDescent="0.25">
      <c r="A317" s="928">
        <f>+A316+1</f>
        <v>2</v>
      </c>
      <c r="B317" s="926">
        <f>+NOMINA!C306</f>
        <v>5757455</v>
      </c>
      <c r="C317" s="926" t="str">
        <f>+NOMINA!D306</f>
        <v>Ramirez Garcia Maria Perpetua</v>
      </c>
      <c r="D317" s="926" t="str">
        <f>+NOMINA!O306</f>
        <v>Cocinera</v>
      </c>
      <c r="E317" s="929">
        <f>+NOMINA!H306</f>
        <v>39409</v>
      </c>
      <c r="F317" s="930">
        <f>+NOMINA!BL306</f>
        <v>0</v>
      </c>
      <c r="G317" s="930">
        <f>+NOMINA!BM306</f>
        <v>0</v>
      </c>
      <c r="H317" s="599"/>
      <c r="I317" s="600"/>
      <c r="J317" s="600"/>
      <c r="K317" s="600"/>
      <c r="L317" s="600"/>
    </row>
    <row r="318" spans="1:12" ht="15.75" customHeight="1" x14ac:dyDescent="0.25">
      <c r="A318" s="928">
        <f t="shared" ref="A318:A381" si="5">+A317+1</f>
        <v>3</v>
      </c>
      <c r="B318" s="926">
        <f>+NOMINA!C307</f>
        <v>5762185</v>
      </c>
      <c r="C318" s="926" t="str">
        <f>+NOMINA!D307</f>
        <v>Salas Quintero Jose Gregorio</v>
      </c>
      <c r="D318" s="926" t="str">
        <f>+NOMINA!O307</f>
        <v>Vigilante</v>
      </c>
      <c r="E318" s="929">
        <f>+NOMINA!H307</f>
        <v>37622</v>
      </c>
      <c r="F318" s="930">
        <f>+NOMINA!BL307</f>
        <v>16.23</v>
      </c>
      <c r="G318" s="930">
        <f>+NOMINA!BM307</f>
        <v>2.0299999999999998</v>
      </c>
      <c r="H318" s="599"/>
      <c r="I318" s="600"/>
      <c r="J318" s="600"/>
      <c r="K318" s="600"/>
      <c r="L318" s="600"/>
    </row>
    <row r="319" spans="1:12" ht="15.75" customHeight="1" x14ac:dyDescent="0.25">
      <c r="A319" s="928">
        <f t="shared" si="5"/>
        <v>4</v>
      </c>
      <c r="B319" s="926">
        <f>+NOMINA!C308</f>
        <v>6332524</v>
      </c>
      <c r="C319" s="926" t="str">
        <f>+NOMINA!D308</f>
        <v>Flores Diana Yamilet</v>
      </c>
      <c r="D319" s="926" t="str">
        <f>+NOMINA!O308</f>
        <v>Cocinera</v>
      </c>
      <c r="E319" s="929">
        <f>+NOMINA!H308</f>
        <v>42948</v>
      </c>
      <c r="F319" s="930">
        <f>+NOMINA!BL308</f>
        <v>14.57</v>
      </c>
      <c r="G319" s="930">
        <f>+NOMINA!BM308</f>
        <v>1.82</v>
      </c>
      <c r="H319" s="599"/>
      <c r="I319" s="600"/>
      <c r="J319" s="600"/>
      <c r="K319" s="600"/>
      <c r="L319" s="600"/>
    </row>
    <row r="320" spans="1:12" ht="15.75" customHeight="1" x14ac:dyDescent="0.25">
      <c r="A320" s="928">
        <f t="shared" si="5"/>
        <v>5</v>
      </c>
      <c r="B320" s="926">
        <f>+NOMINA!C309</f>
        <v>6902701</v>
      </c>
      <c r="C320" s="926" t="str">
        <f>+NOMINA!D309</f>
        <v>Santiago Torres Jose Ramon</v>
      </c>
      <c r="D320" s="926" t="str">
        <f>+NOMINA!O309</f>
        <v>Mensajero</v>
      </c>
      <c r="E320" s="929">
        <f>+NOMINA!H309</f>
        <v>44228</v>
      </c>
      <c r="F320" s="930">
        <f>+NOMINA!BL309</f>
        <v>13.39</v>
      </c>
      <c r="G320" s="930">
        <f>+NOMINA!BM309</f>
        <v>1.67</v>
      </c>
      <c r="H320" s="599"/>
      <c r="I320" s="600"/>
      <c r="J320" s="600"/>
      <c r="K320" s="600"/>
      <c r="L320" s="600"/>
    </row>
    <row r="321" spans="1:12" ht="15.75" customHeight="1" x14ac:dyDescent="0.25">
      <c r="A321" s="928">
        <f t="shared" si="5"/>
        <v>6</v>
      </c>
      <c r="B321" s="926">
        <f>+NOMINA!C310</f>
        <v>7252065</v>
      </c>
      <c r="C321" s="926" t="str">
        <f>+NOMINA!D310</f>
        <v>Rivas Rivas Jose Gerardo</v>
      </c>
      <c r="D321" s="926" t="str">
        <f>+NOMINA!O310</f>
        <v>Ayudante de Servicios Generales</v>
      </c>
      <c r="E321" s="929">
        <f>+NOMINA!H310</f>
        <v>43891</v>
      </c>
      <c r="F321" s="930">
        <f>+NOMINA!BL310</f>
        <v>17.38</v>
      </c>
      <c r="G321" s="930">
        <f>+NOMINA!BM310</f>
        <v>2.17</v>
      </c>
      <c r="H321" s="599"/>
      <c r="I321" s="600"/>
      <c r="J321" s="600"/>
      <c r="K321" s="600"/>
      <c r="L321" s="600"/>
    </row>
    <row r="322" spans="1:12" ht="15.75" customHeight="1" x14ac:dyDescent="0.25">
      <c r="A322" s="928">
        <f t="shared" si="5"/>
        <v>7</v>
      </c>
      <c r="B322" s="926">
        <f>+NOMINA!C311</f>
        <v>9008311</v>
      </c>
      <c r="C322" s="926" t="str">
        <f>+NOMINA!D311</f>
        <v>Toro Margi Enrique</v>
      </c>
      <c r="D322" s="926" t="str">
        <f>+NOMINA!O311</f>
        <v>Ayudante de Servicios Generales</v>
      </c>
      <c r="E322" s="929">
        <f>+NOMINA!H311</f>
        <v>39265</v>
      </c>
      <c r="F322" s="930">
        <f>+NOMINA!BL311</f>
        <v>14.62</v>
      </c>
      <c r="G322" s="930">
        <f>+NOMINA!BM311</f>
        <v>1.83</v>
      </c>
      <c r="H322" s="599"/>
      <c r="I322" s="600"/>
      <c r="J322" s="600"/>
      <c r="K322" s="600"/>
      <c r="L322" s="600"/>
    </row>
    <row r="323" spans="1:12" ht="15.75" customHeight="1" x14ac:dyDescent="0.25">
      <c r="A323" s="928">
        <f t="shared" si="5"/>
        <v>8</v>
      </c>
      <c r="B323" s="926">
        <f>+NOMINA!C312</f>
        <v>9011963</v>
      </c>
      <c r="C323" s="926" t="str">
        <f>+NOMINA!D312</f>
        <v>Alarcon Argenio</v>
      </c>
      <c r="D323" s="926" t="str">
        <f>+NOMINA!O312</f>
        <v>Ayudante de Servicios Generales</v>
      </c>
      <c r="E323" s="929">
        <f>+NOMINA!H312</f>
        <v>39820</v>
      </c>
      <c r="F323" s="930">
        <f>+NOMINA!BL312</f>
        <v>0</v>
      </c>
      <c r="G323" s="930">
        <f>+NOMINA!BM312</f>
        <v>0</v>
      </c>
      <c r="H323" s="599"/>
      <c r="I323" s="600"/>
      <c r="J323" s="600"/>
      <c r="K323" s="600"/>
      <c r="L323" s="600"/>
    </row>
    <row r="324" spans="1:12" ht="15.75" customHeight="1" x14ac:dyDescent="0.25">
      <c r="A324" s="928">
        <f t="shared" si="5"/>
        <v>9</v>
      </c>
      <c r="B324" s="926">
        <f>+NOMINA!C313</f>
        <v>9100500</v>
      </c>
      <c r="C324" s="926" t="str">
        <f>+NOMINA!D313</f>
        <v>Hernandez de Villegas Zoraida Elodia</v>
      </c>
      <c r="D324" s="926" t="str">
        <f>+NOMINA!O313</f>
        <v>Aseadora</v>
      </c>
      <c r="E324" s="929">
        <f>+NOMINA!H313</f>
        <v>39496</v>
      </c>
      <c r="F324" s="930">
        <f>+NOMINA!BL313</f>
        <v>13.27</v>
      </c>
      <c r="G324" s="930">
        <f>+NOMINA!BM313</f>
        <v>1.66</v>
      </c>
      <c r="H324" s="599"/>
      <c r="I324" s="600"/>
      <c r="J324" s="600"/>
      <c r="K324" s="600"/>
      <c r="L324" s="600"/>
    </row>
    <row r="325" spans="1:12" ht="15.75" customHeight="1" x14ac:dyDescent="0.25">
      <c r="A325" s="928">
        <f t="shared" si="5"/>
        <v>10</v>
      </c>
      <c r="B325" s="926">
        <f>+NOMINA!C314</f>
        <v>9110498</v>
      </c>
      <c r="C325" s="926" t="str">
        <f>+NOMINA!D314</f>
        <v>Ruiz Alberto Jose</v>
      </c>
      <c r="D325" s="926" t="str">
        <f>+NOMINA!O314</f>
        <v>Ayudante de Servicios Generales</v>
      </c>
      <c r="E325" s="929">
        <f>+NOMINA!H314</f>
        <v>37508</v>
      </c>
      <c r="F325" s="930">
        <f>+NOMINA!BL314</f>
        <v>15.12</v>
      </c>
      <c r="G325" s="930">
        <f>+NOMINA!BM314</f>
        <v>1.89</v>
      </c>
      <c r="H325" s="599"/>
      <c r="I325" s="600"/>
      <c r="J325" s="600"/>
      <c r="K325" s="600"/>
      <c r="L325" s="600"/>
    </row>
    <row r="326" spans="1:12" ht="15.75" customHeight="1" x14ac:dyDescent="0.25">
      <c r="A326" s="928">
        <f t="shared" si="5"/>
        <v>11</v>
      </c>
      <c r="B326" s="926">
        <f>+NOMINA!C315</f>
        <v>9163994</v>
      </c>
      <c r="C326" s="926" t="str">
        <f>+NOMINA!D315</f>
        <v>Rodriguez Fernandez Carlos Eduardo</v>
      </c>
      <c r="D326" s="926" t="str">
        <f>+NOMINA!O315</f>
        <v>Ayudante de Almacen</v>
      </c>
      <c r="E326" s="929">
        <f>+NOMINA!H315</f>
        <v>43770</v>
      </c>
      <c r="F326" s="930">
        <f>+NOMINA!BL315</f>
        <v>14.29</v>
      </c>
      <c r="G326" s="930">
        <f>+NOMINA!BM315</f>
        <v>1.79</v>
      </c>
      <c r="H326" s="599"/>
      <c r="I326" s="600"/>
      <c r="J326" s="600"/>
      <c r="K326" s="600"/>
      <c r="L326" s="600"/>
    </row>
    <row r="327" spans="1:12" ht="15.75" customHeight="1" x14ac:dyDescent="0.25">
      <c r="A327" s="928">
        <f t="shared" si="5"/>
        <v>12</v>
      </c>
      <c r="B327" s="926">
        <f>+NOMINA!C316</f>
        <v>9167342</v>
      </c>
      <c r="C327" s="926" t="str">
        <f>+NOMINA!D316</f>
        <v>Gutierrez Briceño Jose Justimiano</v>
      </c>
      <c r="D327" s="926" t="str">
        <f>+NOMINA!O316</f>
        <v>Ayudante Agropecuario</v>
      </c>
      <c r="E327" s="929">
        <f>+NOMINA!H316</f>
        <v>43845</v>
      </c>
      <c r="F327" s="930">
        <f>+NOMINA!BL316</f>
        <v>13.37</v>
      </c>
      <c r="G327" s="930">
        <f>+NOMINA!BM316</f>
        <v>1.67</v>
      </c>
      <c r="H327" s="599"/>
      <c r="I327" s="600"/>
      <c r="J327" s="600"/>
      <c r="K327" s="600"/>
      <c r="L327" s="600"/>
    </row>
    <row r="328" spans="1:12" ht="15.75" customHeight="1" x14ac:dyDescent="0.25">
      <c r="A328" s="928">
        <f t="shared" si="5"/>
        <v>13</v>
      </c>
      <c r="B328" s="926">
        <f>+NOMINA!C317</f>
        <v>9310477</v>
      </c>
      <c r="C328" s="926" t="str">
        <f>+NOMINA!D317</f>
        <v>Campos Muchacho Rafael Angel</v>
      </c>
      <c r="D328" s="926" t="str">
        <f>+NOMINA!O317</f>
        <v>Ayudante Agropecuario</v>
      </c>
      <c r="E328" s="929">
        <f>+NOMINA!H317</f>
        <v>44075</v>
      </c>
      <c r="F328" s="930">
        <f>+NOMINA!BL317</f>
        <v>13.37</v>
      </c>
      <c r="G328" s="930">
        <f>+NOMINA!BM317</f>
        <v>1.67</v>
      </c>
      <c r="H328" s="599"/>
      <c r="I328" s="600"/>
      <c r="J328" s="600"/>
      <c r="K328" s="600"/>
      <c r="L328" s="600"/>
    </row>
    <row r="329" spans="1:12" ht="15.75" customHeight="1" x14ac:dyDescent="0.25">
      <c r="A329" s="928">
        <f t="shared" si="5"/>
        <v>14</v>
      </c>
      <c r="B329" s="926">
        <f>+NOMINA!C318</f>
        <v>9323739</v>
      </c>
      <c r="C329" s="926" t="str">
        <f>+NOMINA!D318</f>
        <v>Vargas Benitez Jose Nerio</v>
      </c>
      <c r="D329" s="926" t="str">
        <f>+NOMINA!O318</f>
        <v>Ayudante de Servicios Generales</v>
      </c>
      <c r="E329" s="929">
        <f>+NOMINA!H318</f>
        <v>39300</v>
      </c>
      <c r="F329" s="930">
        <f>+NOMINA!BL318</f>
        <v>14.62</v>
      </c>
      <c r="G329" s="930">
        <f>+NOMINA!BM318</f>
        <v>1.83</v>
      </c>
      <c r="H329" s="599"/>
      <c r="I329" s="600"/>
      <c r="J329" s="600"/>
      <c r="K329" s="600"/>
      <c r="L329" s="600"/>
    </row>
    <row r="330" spans="1:12" ht="15.75" customHeight="1" x14ac:dyDescent="0.25">
      <c r="A330" s="928">
        <f t="shared" si="5"/>
        <v>15</v>
      </c>
      <c r="B330" s="926">
        <f>+NOMINA!C319</f>
        <v>9325664</v>
      </c>
      <c r="C330" s="926" t="str">
        <f>+NOMINA!D319</f>
        <v>Lobo Mendoza Luz Marina</v>
      </c>
      <c r="D330" s="926" t="str">
        <f>+NOMINA!O319</f>
        <v>Ayudante de Servicios Generales</v>
      </c>
      <c r="E330" s="929">
        <f>+NOMINA!H319</f>
        <v>42948</v>
      </c>
      <c r="F330" s="930">
        <f>+NOMINA!BL319</f>
        <v>13.62</v>
      </c>
      <c r="G330" s="930">
        <f>+NOMINA!BM319</f>
        <v>1.7</v>
      </c>
      <c r="H330" s="599"/>
      <c r="I330" s="600"/>
      <c r="J330" s="600"/>
      <c r="K330" s="600"/>
      <c r="L330" s="600"/>
    </row>
    <row r="331" spans="1:12" ht="15.75" customHeight="1" x14ac:dyDescent="0.25">
      <c r="A331" s="928">
        <f t="shared" si="5"/>
        <v>16</v>
      </c>
      <c r="B331" s="926">
        <f>+NOMINA!C320</f>
        <v>9328045</v>
      </c>
      <c r="C331" s="926" t="str">
        <f>+NOMINA!D320</f>
        <v>Paredes Quintero Jose Benigno</v>
      </c>
      <c r="D331" s="926" t="str">
        <f>+NOMINA!O320</f>
        <v>Ayudante de Servicios Generales</v>
      </c>
      <c r="E331" s="929">
        <f>+NOMINA!H320</f>
        <v>44212</v>
      </c>
      <c r="F331" s="930">
        <f>+NOMINA!BL320</f>
        <v>13.3</v>
      </c>
      <c r="G331" s="930">
        <f>+NOMINA!BM320</f>
        <v>1.66</v>
      </c>
      <c r="H331" s="599"/>
      <c r="I331" s="600"/>
      <c r="J331" s="600"/>
      <c r="K331" s="600"/>
      <c r="L331" s="600"/>
    </row>
    <row r="332" spans="1:12" ht="15.75" customHeight="1" x14ac:dyDescent="0.25">
      <c r="A332" s="928">
        <f t="shared" si="5"/>
        <v>17</v>
      </c>
      <c r="B332" s="926">
        <f>+NOMINA!C321</f>
        <v>10178456</v>
      </c>
      <c r="C332" s="926" t="str">
        <f>+NOMINA!D321</f>
        <v>Figueroa Roa Yudith Griselda</v>
      </c>
      <c r="D332" s="926" t="str">
        <f>+NOMINA!O321</f>
        <v>Aseadora</v>
      </c>
      <c r="E332" s="929">
        <f>+NOMINA!H321</f>
        <v>44287</v>
      </c>
      <c r="F332" s="930">
        <f>+NOMINA!BL321</f>
        <v>12.24</v>
      </c>
      <c r="G332" s="930">
        <f>+NOMINA!BM321</f>
        <v>1.53</v>
      </c>
      <c r="H332" s="599"/>
      <c r="I332" s="600"/>
      <c r="J332" s="600"/>
      <c r="K332" s="600"/>
      <c r="L332" s="600"/>
    </row>
    <row r="333" spans="1:12" ht="15.75" customHeight="1" x14ac:dyDescent="0.25">
      <c r="A333" s="928">
        <f t="shared" si="5"/>
        <v>18</v>
      </c>
      <c r="B333" s="926">
        <f>+NOMINA!C322</f>
        <v>10317435</v>
      </c>
      <c r="C333" s="926" t="str">
        <f>+NOMINA!D322</f>
        <v>Milla Ana Julia</v>
      </c>
      <c r="D333" s="926" t="str">
        <f>+NOMINA!O322</f>
        <v>Aseadora</v>
      </c>
      <c r="E333" s="929">
        <f>+NOMINA!H322</f>
        <v>39559</v>
      </c>
      <c r="F333" s="930">
        <f>+NOMINA!BL322</f>
        <v>13.27</v>
      </c>
      <c r="G333" s="930">
        <f>+NOMINA!BM322</f>
        <v>1.66</v>
      </c>
      <c r="H333" s="599"/>
      <c r="I333" s="600"/>
      <c r="J333" s="600"/>
      <c r="K333" s="600"/>
      <c r="L333" s="600"/>
    </row>
    <row r="334" spans="1:12" ht="15.75" customHeight="1" x14ac:dyDescent="0.25">
      <c r="A334" s="928">
        <f t="shared" si="5"/>
        <v>19</v>
      </c>
      <c r="B334" s="926">
        <f>+NOMINA!C323</f>
        <v>10396367</v>
      </c>
      <c r="C334" s="926" t="str">
        <f>+NOMINA!D323</f>
        <v>Hidalgo Linares Gloria Margarita</v>
      </c>
      <c r="D334" s="926" t="str">
        <f>+NOMINA!O323</f>
        <v>Cocinera</v>
      </c>
      <c r="E334" s="929">
        <f>+NOMINA!H323</f>
        <v>39722</v>
      </c>
      <c r="F334" s="930">
        <f>+NOMINA!BL323</f>
        <v>15.44</v>
      </c>
      <c r="G334" s="930">
        <f>+NOMINA!BM323</f>
        <v>1.93</v>
      </c>
      <c r="H334" s="599"/>
      <c r="I334" s="600"/>
      <c r="J334" s="600"/>
      <c r="K334" s="600"/>
      <c r="L334" s="600"/>
    </row>
    <row r="335" spans="1:12" ht="15.75" customHeight="1" x14ac:dyDescent="0.25">
      <c r="A335" s="928">
        <f t="shared" si="5"/>
        <v>20</v>
      </c>
      <c r="B335" s="926">
        <f>+NOMINA!C324</f>
        <v>10399474</v>
      </c>
      <c r="C335" s="926" t="str">
        <f>+NOMINA!D324</f>
        <v>Ramirez Araujo Teresa Maria</v>
      </c>
      <c r="D335" s="926" t="str">
        <f>+NOMINA!O324</f>
        <v>Ayudante de Servicios Generales</v>
      </c>
      <c r="E335" s="929">
        <f>+NOMINA!H324</f>
        <v>45597</v>
      </c>
      <c r="F335" s="930">
        <f>+NOMINA!BL324</f>
        <v>12.55</v>
      </c>
      <c r="G335" s="930">
        <f>+NOMINA!BM324</f>
        <v>1.57</v>
      </c>
      <c r="H335" s="599"/>
      <c r="I335" s="600"/>
      <c r="J335" s="600"/>
      <c r="K335" s="600"/>
      <c r="L335" s="600"/>
    </row>
    <row r="336" spans="1:12" ht="15.75" customHeight="1" x14ac:dyDescent="0.25">
      <c r="A336" s="928">
        <f t="shared" si="5"/>
        <v>21</v>
      </c>
      <c r="B336" s="926">
        <f>+NOMINA!C325</f>
        <v>10401329</v>
      </c>
      <c r="C336" s="926" t="str">
        <f>+NOMINA!D325</f>
        <v>Gonzalez Torres Orangel Ramon</v>
      </c>
      <c r="D336" s="926" t="str">
        <f>+NOMINA!O325</f>
        <v>Chofer De Transporte</v>
      </c>
      <c r="E336" s="929">
        <f>+NOMINA!H325</f>
        <v>39539</v>
      </c>
      <c r="F336" s="930">
        <f>+NOMINA!BL325</f>
        <v>20.239999999999998</v>
      </c>
      <c r="G336" s="930">
        <f>+NOMINA!BM325</f>
        <v>2.5299999999999998</v>
      </c>
      <c r="H336" s="599"/>
      <c r="I336" s="600"/>
      <c r="J336" s="600"/>
      <c r="K336" s="600"/>
      <c r="L336" s="600"/>
    </row>
    <row r="337" spans="1:12" ht="15.75" customHeight="1" x14ac:dyDescent="0.25">
      <c r="A337" s="928">
        <f t="shared" si="5"/>
        <v>22</v>
      </c>
      <c r="B337" s="926">
        <f>+NOMINA!C326</f>
        <v>10907687</v>
      </c>
      <c r="C337" s="926" t="str">
        <f>+NOMINA!D326</f>
        <v>Viloria Garcia Karina Liseth</v>
      </c>
      <c r="D337" s="926" t="str">
        <f>+NOMINA!O326</f>
        <v>Cocinera</v>
      </c>
      <c r="E337" s="929">
        <f>+NOMINA!H326</f>
        <v>38749</v>
      </c>
      <c r="F337" s="930">
        <f>+NOMINA!BL326</f>
        <v>15.82</v>
      </c>
      <c r="G337" s="930">
        <f>+NOMINA!BM326</f>
        <v>1.98</v>
      </c>
      <c r="H337" s="599"/>
      <c r="I337" s="600"/>
      <c r="J337" s="600"/>
      <c r="K337" s="600"/>
      <c r="L337" s="600"/>
    </row>
    <row r="338" spans="1:12" ht="15.75" customHeight="1" x14ac:dyDescent="0.25">
      <c r="A338" s="928">
        <f t="shared" si="5"/>
        <v>23</v>
      </c>
      <c r="B338" s="926">
        <f>+NOMINA!C327</f>
        <v>10908543</v>
      </c>
      <c r="C338" s="926" t="str">
        <f>+NOMINA!D327</f>
        <v>Quintero Eric Ludwig</v>
      </c>
      <c r="D338" s="926" t="str">
        <f>+NOMINA!O327</f>
        <v>Cocinero</v>
      </c>
      <c r="E338" s="929">
        <f>+NOMINA!H327</f>
        <v>42751</v>
      </c>
      <c r="F338" s="930">
        <f>+NOMINA!BL327</f>
        <v>14.57</v>
      </c>
      <c r="G338" s="930">
        <f>+NOMINA!BM327</f>
        <v>1.82</v>
      </c>
      <c r="H338" s="599"/>
      <c r="I338" s="600"/>
      <c r="J338" s="600"/>
      <c r="K338" s="600"/>
      <c r="L338" s="600"/>
    </row>
    <row r="339" spans="1:12" ht="15.75" customHeight="1" x14ac:dyDescent="0.25">
      <c r="A339" s="928">
        <f t="shared" si="5"/>
        <v>24</v>
      </c>
      <c r="B339" s="926">
        <f>+NOMINA!C328</f>
        <v>10909678</v>
      </c>
      <c r="C339" s="926" t="str">
        <f>+NOMINA!D328</f>
        <v>Delgado Jose Argenis</v>
      </c>
      <c r="D339" s="926" t="str">
        <f>+NOMINA!O328</f>
        <v>Aseador</v>
      </c>
      <c r="E339" s="929">
        <f>+NOMINA!H328</f>
        <v>43952</v>
      </c>
      <c r="F339" s="930">
        <f>+NOMINA!BL328</f>
        <v>12.3</v>
      </c>
      <c r="G339" s="930">
        <f>+NOMINA!BM328</f>
        <v>1.54</v>
      </c>
      <c r="H339" s="599"/>
      <c r="I339" s="600"/>
      <c r="J339" s="600"/>
      <c r="K339" s="600"/>
      <c r="L339" s="600"/>
    </row>
    <row r="340" spans="1:12" ht="15.75" customHeight="1" x14ac:dyDescent="0.25">
      <c r="A340" s="928">
        <f t="shared" si="5"/>
        <v>25</v>
      </c>
      <c r="B340" s="926">
        <f>+NOMINA!C329</f>
        <v>10909819</v>
      </c>
      <c r="C340" s="926" t="str">
        <f>+NOMINA!D329</f>
        <v>Carrizo Jose Waldo</v>
      </c>
      <c r="D340" s="926" t="str">
        <f>+NOMINA!O329</f>
        <v>Cocinero</v>
      </c>
      <c r="E340" s="929">
        <f>+NOMINA!H329</f>
        <v>43359</v>
      </c>
      <c r="F340" s="930">
        <f>+NOMINA!BL329</f>
        <v>14.48</v>
      </c>
      <c r="G340" s="930">
        <f>+NOMINA!BM329</f>
        <v>1.81</v>
      </c>
      <c r="H340" s="599"/>
      <c r="I340" s="600"/>
      <c r="J340" s="600"/>
      <c r="K340" s="600"/>
      <c r="L340" s="600"/>
    </row>
    <row r="341" spans="1:12" ht="15.75" customHeight="1" x14ac:dyDescent="0.25">
      <c r="A341" s="928">
        <f t="shared" si="5"/>
        <v>26</v>
      </c>
      <c r="B341" s="926">
        <f>+NOMINA!C330</f>
        <v>10912635</v>
      </c>
      <c r="C341" s="926" t="str">
        <f>+NOMINA!D330</f>
        <v>Gutierrez Briceño Jose Orangel</v>
      </c>
      <c r="D341" s="926" t="str">
        <f>+NOMINA!O330</f>
        <v>Ayudante Agropecuario</v>
      </c>
      <c r="E341" s="929">
        <f>+NOMINA!H330</f>
        <v>44348</v>
      </c>
      <c r="F341" s="930">
        <f>+NOMINA!BL330</f>
        <v>13.3</v>
      </c>
      <c r="G341" s="930">
        <f>+NOMINA!BM330</f>
        <v>1.66</v>
      </c>
      <c r="H341" s="599"/>
      <c r="I341" s="600"/>
      <c r="J341" s="600"/>
      <c r="K341" s="600"/>
      <c r="L341" s="600"/>
    </row>
    <row r="342" spans="1:12" ht="15.75" customHeight="1" x14ac:dyDescent="0.25">
      <c r="A342" s="928">
        <f t="shared" si="5"/>
        <v>27</v>
      </c>
      <c r="B342" s="926">
        <f>+NOMINA!C331</f>
        <v>10915274</v>
      </c>
      <c r="C342" s="926" t="str">
        <f>+NOMINA!D331</f>
        <v>Montilla Vergara Belkys Josefina</v>
      </c>
      <c r="D342" s="926" t="str">
        <f>+NOMINA!O331</f>
        <v>Ayudante de Servicios Generales</v>
      </c>
      <c r="E342" s="929">
        <f>+NOMINA!H331</f>
        <v>44635</v>
      </c>
      <c r="F342" s="930">
        <f>+NOMINA!BL331</f>
        <v>13.23</v>
      </c>
      <c r="G342" s="930">
        <f>+NOMINA!BM331</f>
        <v>1.65</v>
      </c>
      <c r="H342" s="599"/>
      <c r="I342" s="600"/>
      <c r="J342" s="600"/>
      <c r="K342" s="600"/>
      <c r="L342" s="600"/>
    </row>
    <row r="343" spans="1:12" ht="15.75" customHeight="1" x14ac:dyDescent="0.25">
      <c r="A343" s="928">
        <f t="shared" si="5"/>
        <v>28</v>
      </c>
      <c r="B343" s="926">
        <f>+NOMINA!C332</f>
        <v>11129355</v>
      </c>
      <c r="C343" s="926" t="str">
        <f>+NOMINA!D332</f>
        <v>Luque Azuaje Rigoberto</v>
      </c>
      <c r="D343" s="926" t="str">
        <f>+NOMINA!O332</f>
        <v>Ayudante de Servicios Generales</v>
      </c>
      <c r="E343" s="929">
        <f>+NOMINA!H332</f>
        <v>39539</v>
      </c>
      <c r="F343" s="930">
        <f>+NOMINA!BL332</f>
        <v>18.850000000000001</v>
      </c>
      <c r="G343" s="930">
        <f>+NOMINA!BM332</f>
        <v>2.36</v>
      </c>
      <c r="H343" s="599"/>
      <c r="I343" s="600"/>
      <c r="J343" s="600"/>
      <c r="K343" s="600"/>
      <c r="L343" s="600"/>
    </row>
    <row r="344" spans="1:12" ht="15.75" customHeight="1" x14ac:dyDescent="0.25">
      <c r="A344" s="928">
        <f t="shared" si="5"/>
        <v>29</v>
      </c>
      <c r="B344" s="926">
        <f>+NOMINA!C333</f>
        <v>11315202</v>
      </c>
      <c r="C344" s="926" t="str">
        <f>+NOMINA!D333</f>
        <v>Barreto Maria Ramona</v>
      </c>
      <c r="D344" s="926" t="str">
        <f>+NOMINA!O333</f>
        <v>Cocinera</v>
      </c>
      <c r="E344" s="929">
        <f>+NOMINA!H333</f>
        <v>39539</v>
      </c>
      <c r="F344" s="930">
        <f>+NOMINA!BL333</f>
        <v>15.57</v>
      </c>
      <c r="G344" s="930">
        <f>+NOMINA!BM333</f>
        <v>1.95</v>
      </c>
      <c r="H344" s="599"/>
      <c r="I344" s="600"/>
      <c r="J344" s="600"/>
      <c r="K344" s="600"/>
      <c r="L344" s="600"/>
    </row>
    <row r="345" spans="1:12" ht="15.75" customHeight="1" x14ac:dyDescent="0.25">
      <c r="A345" s="928">
        <f t="shared" si="5"/>
        <v>30</v>
      </c>
      <c r="B345" s="926">
        <f>+NOMINA!C334</f>
        <v>11321681</v>
      </c>
      <c r="C345" s="926" t="str">
        <f>+NOMINA!D334</f>
        <v>Bentancourt Rivas Luis Enrique</v>
      </c>
      <c r="D345" s="926" t="str">
        <f>+NOMINA!O334</f>
        <v>Ayudante de Servicios Generales</v>
      </c>
      <c r="E345" s="929">
        <f>+NOMINA!H334</f>
        <v>44805</v>
      </c>
      <c r="F345" s="930">
        <f>+NOMINA!BL334</f>
        <v>13.23</v>
      </c>
      <c r="G345" s="930">
        <f>+NOMINA!BM334</f>
        <v>1.65</v>
      </c>
      <c r="H345" s="599"/>
      <c r="I345" s="600"/>
      <c r="J345" s="600"/>
      <c r="K345" s="600"/>
      <c r="L345" s="600"/>
    </row>
    <row r="346" spans="1:12" ht="15.75" customHeight="1" x14ac:dyDescent="0.25">
      <c r="A346" s="928">
        <f t="shared" si="5"/>
        <v>31</v>
      </c>
      <c r="B346" s="926">
        <f>+NOMINA!C335</f>
        <v>11321782</v>
      </c>
      <c r="C346" s="926" t="str">
        <f>+NOMINA!D335</f>
        <v>Flores Camacho Maria Zoraida</v>
      </c>
      <c r="D346" s="926" t="str">
        <f>+NOMINA!O335</f>
        <v>Cocinera</v>
      </c>
      <c r="E346" s="929">
        <f>+NOMINA!H335</f>
        <v>43815</v>
      </c>
      <c r="F346" s="930">
        <f>+NOMINA!BL335</f>
        <v>14.29</v>
      </c>
      <c r="G346" s="930">
        <f>+NOMINA!BM335</f>
        <v>1.79</v>
      </c>
      <c r="H346" s="599"/>
      <c r="I346" s="600"/>
      <c r="J346" s="600"/>
      <c r="K346" s="600"/>
      <c r="L346" s="600"/>
    </row>
    <row r="347" spans="1:12" ht="15.75" customHeight="1" x14ac:dyDescent="0.25">
      <c r="A347" s="928">
        <f t="shared" si="5"/>
        <v>32</v>
      </c>
      <c r="B347" s="926">
        <f>+NOMINA!C336</f>
        <v>11324931</v>
      </c>
      <c r="C347" s="926" t="str">
        <f>+NOMINA!D336</f>
        <v>Sulbaran de Araujo Magaly</v>
      </c>
      <c r="D347" s="926" t="str">
        <f>+NOMINA!O336</f>
        <v>Cocinera</v>
      </c>
      <c r="E347" s="929">
        <f>+NOMINA!H336</f>
        <v>38784</v>
      </c>
      <c r="F347" s="930">
        <f>+NOMINA!BL336</f>
        <v>15.82</v>
      </c>
      <c r="G347" s="930">
        <f>+NOMINA!BM336</f>
        <v>1.98</v>
      </c>
      <c r="H347" s="599"/>
      <c r="I347" s="600"/>
      <c r="J347" s="600"/>
      <c r="K347" s="600"/>
      <c r="L347" s="600"/>
    </row>
    <row r="348" spans="1:12" ht="15.75" customHeight="1" x14ac:dyDescent="0.25">
      <c r="A348" s="928">
        <f t="shared" si="5"/>
        <v>33</v>
      </c>
      <c r="B348" s="926">
        <f>+NOMINA!C337</f>
        <v>11894400</v>
      </c>
      <c r="C348" s="926" t="str">
        <f>+NOMINA!D337</f>
        <v>Aldana Olivar Maria del Carmen</v>
      </c>
      <c r="D348" s="926" t="str">
        <f>+NOMINA!O337</f>
        <v>Cocinera</v>
      </c>
      <c r="E348" s="929">
        <f>+NOMINA!H337</f>
        <v>44287</v>
      </c>
      <c r="F348" s="930">
        <f>+NOMINA!BL337</f>
        <v>14.21</v>
      </c>
      <c r="G348" s="930">
        <f>+NOMINA!BM337</f>
        <v>1.78</v>
      </c>
      <c r="H348" s="599"/>
      <c r="I348" s="600"/>
      <c r="J348" s="600"/>
      <c r="K348" s="600"/>
      <c r="L348" s="600"/>
    </row>
    <row r="349" spans="1:12" ht="15.75" customHeight="1" x14ac:dyDescent="0.25">
      <c r="A349" s="928">
        <f t="shared" si="5"/>
        <v>34</v>
      </c>
      <c r="B349" s="926">
        <f>+NOMINA!C338</f>
        <v>11897863</v>
      </c>
      <c r="C349" s="926" t="str">
        <f>+NOMINA!D338</f>
        <v>Rodriguez Maria Ibel</v>
      </c>
      <c r="D349" s="926" t="str">
        <f>+NOMINA!O338</f>
        <v>Aseadora</v>
      </c>
      <c r="E349" s="929">
        <f>+NOMINA!H338</f>
        <v>41548</v>
      </c>
      <c r="F349" s="930">
        <f>+NOMINA!BL338</f>
        <v>12.74</v>
      </c>
      <c r="G349" s="930">
        <f>+NOMINA!BM338</f>
        <v>1.59</v>
      </c>
      <c r="H349" s="599"/>
      <c r="I349" s="600"/>
      <c r="J349" s="600"/>
      <c r="K349" s="600"/>
      <c r="L349" s="600"/>
    </row>
    <row r="350" spans="1:12" ht="15.75" customHeight="1" x14ac:dyDescent="0.25">
      <c r="A350" s="928">
        <f t="shared" si="5"/>
        <v>35</v>
      </c>
      <c r="B350" s="926">
        <f>+NOMINA!C339</f>
        <v>12038359</v>
      </c>
      <c r="C350" s="926" t="str">
        <f>+NOMINA!D339</f>
        <v>Amaya Perez Carmen Elena</v>
      </c>
      <c r="D350" s="926" t="str">
        <f>+NOMINA!O339</f>
        <v>Cocinera</v>
      </c>
      <c r="E350" s="929">
        <f>+NOMINA!H339</f>
        <v>38103</v>
      </c>
      <c r="F350" s="930">
        <f>+NOMINA!BL339</f>
        <v>16.09</v>
      </c>
      <c r="G350" s="930">
        <f>+NOMINA!BM339</f>
        <v>2.0099999999999998</v>
      </c>
      <c r="H350" s="599"/>
      <c r="I350" s="600"/>
      <c r="J350" s="600"/>
      <c r="K350" s="600"/>
      <c r="L350" s="600"/>
    </row>
    <row r="351" spans="1:12" ht="15.75" customHeight="1" x14ac:dyDescent="0.25">
      <c r="A351" s="928">
        <f t="shared" si="5"/>
        <v>36</v>
      </c>
      <c r="B351" s="926">
        <f>+NOMINA!C340</f>
        <v>12042930</v>
      </c>
      <c r="C351" s="926" t="str">
        <f>+NOMINA!D340</f>
        <v>Barroeta Cardozo Leonid Andrei</v>
      </c>
      <c r="D351" s="926" t="str">
        <f>+NOMINA!O340</f>
        <v>Ayudante de Servicios Generales</v>
      </c>
      <c r="E351" s="929">
        <f>+NOMINA!H340</f>
        <v>44986</v>
      </c>
      <c r="F351" s="930">
        <f>+NOMINA!BL340</f>
        <v>13.16</v>
      </c>
      <c r="G351" s="930">
        <f>+NOMINA!BM340</f>
        <v>1.64</v>
      </c>
      <c r="H351" s="599"/>
      <c r="I351" s="600"/>
      <c r="J351" s="600"/>
      <c r="K351" s="600"/>
      <c r="L351" s="600"/>
    </row>
    <row r="352" spans="1:12" ht="15.75" customHeight="1" x14ac:dyDescent="0.25">
      <c r="A352" s="928">
        <f t="shared" si="5"/>
        <v>37</v>
      </c>
      <c r="B352" s="926">
        <f>+NOMINA!C341</f>
        <v>12043135</v>
      </c>
      <c r="C352" s="926" t="str">
        <f>+NOMINA!D341</f>
        <v>Avila Salvio Rodolfo</v>
      </c>
      <c r="D352" s="926" t="str">
        <f>+NOMINA!O341</f>
        <v>Cocinero</v>
      </c>
      <c r="E352" s="929">
        <f>+NOMINA!H341</f>
        <v>43724</v>
      </c>
      <c r="F352" s="930">
        <f>+NOMINA!BL341</f>
        <v>14.38</v>
      </c>
      <c r="G352" s="930">
        <f>+NOMINA!BM341</f>
        <v>1.8</v>
      </c>
      <c r="H352" s="599"/>
      <c r="I352" s="600"/>
      <c r="J352" s="600"/>
      <c r="K352" s="600"/>
      <c r="L352" s="600"/>
    </row>
    <row r="353" spans="1:12" ht="15.75" customHeight="1" x14ac:dyDescent="0.25">
      <c r="A353" s="928">
        <f t="shared" si="5"/>
        <v>38</v>
      </c>
      <c r="B353" s="926">
        <f>+NOMINA!C342</f>
        <v>12044124</v>
      </c>
      <c r="C353" s="926" t="str">
        <f>+NOMINA!D342</f>
        <v>Rivas Carlos Luis</v>
      </c>
      <c r="D353" s="926" t="str">
        <f>+NOMINA!O342</f>
        <v>Ayudante de Servicios Generales</v>
      </c>
      <c r="E353" s="929">
        <f>+NOMINA!H342</f>
        <v>39539</v>
      </c>
      <c r="F353" s="930">
        <f>+NOMINA!BL342</f>
        <v>18.850000000000001</v>
      </c>
      <c r="G353" s="930">
        <f>+NOMINA!BM342</f>
        <v>2.36</v>
      </c>
      <c r="H353" s="599"/>
      <c r="I353" s="600"/>
      <c r="J353" s="600"/>
      <c r="K353" s="600"/>
      <c r="L353" s="600"/>
    </row>
    <row r="354" spans="1:12" ht="15.75" customHeight="1" x14ac:dyDescent="0.25">
      <c r="A354" s="928">
        <f t="shared" si="5"/>
        <v>39</v>
      </c>
      <c r="B354" s="926">
        <f>+NOMINA!C343</f>
        <v>12044754</v>
      </c>
      <c r="C354" s="926" t="str">
        <f>+NOMINA!D343</f>
        <v>Briceño Graterol Oscar Antonio</v>
      </c>
      <c r="D354" s="926" t="str">
        <f>+NOMINA!O343</f>
        <v>Ayudante de Servicios Generales</v>
      </c>
      <c r="E354" s="929">
        <f>+NOMINA!H343</f>
        <v>43481</v>
      </c>
      <c r="F354" s="930">
        <f>+NOMINA!BL343</f>
        <v>13.45</v>
      </c>
      <c r="G354" s="930">
        <f>+NOMINA!BM343</f>
        <v>1.68</v>
      </c>
      <c r="H354" s="599"/>
      <c r="I354" s="600"/>
      <c r="J354" s="600"/>
      <c r="K354" s="600"/>
      <c r="L354" s="600"/>
    </row>
    <row r="355" spans="1:12" ht="15.75" customHeight="1" x14ac:dyDescent="0.25">
      <c r="A355" s="928">
        <f t="shared" si="5"/>
        <v>40</v>
      </c>
      <c r="B355" s="926">
        <f>+NOMINA!C344</f>
        <v>12046834</v>
      </c>
      <c r="C355" s="926" t="str">
        <f>+NOMINA!D344</f>
        <v>Perez Montilla William Jose</v>
      </c>
      <c r="D355" s="926" t="str">
        <f>+NOMINA!O344</f>
        <v>Cocinero</v>
      </c>
      <c r="E355" s="929">
        <f>+NOMINA!H344</f>
        <v>43313</v>
      </c>
      <c r="F355" s="930">
        <f>+NOMINA!BL344</f>
        <v>15.05</v>
      </c>
      <c r="G355" s="930">
        <f>+NOMINA!BM344</f>
        <v>1.88</v>
      </c>
      <c r="H355" s="599"/>
      <c r="I355" s="600"/>
      <c r="J355" s="600"/>
      <c r="K355" s="600"/>
      <c r="L355" s="600"/>
    </row>
    <row r="356" spans="1:12" ht="15.75" customHeight="1" x14ac:dyDescent="0.25">
      <c r="A356" s="928">
        <f t="shared" si="5"/>
        <v>41</v>
      </c>
      <c r="B356" s="926">
        <f>+NOMINA!C345</f>
        <v>12047016</v>
      </c>
      <c r="C356" s="926" t="str">
        <f>+NOMINA!D345</f>
        <v>Lozada de Estenoz Maria Edicta</v>
      </c>
      <c r="D356" s="926" t="str">
        <f>+NOMINA!O345</f>
        <v>Cocinera</v>
      </c>
      <c r="E356" s="929">
        <f>+NOMINA!H345</f>
        <v>42948</v>
      </c>
      <c r="F356" s="930">
        <f>+NOMINA!BL345</f>
        <v>15.15</v>
      </c>
      <c r="G356" s="930">
        <f>+NOMINA!BM345</f>
        <v>1.89</v>
      </c>
      <c r="H356" s="599"/>
      <c r="I356" s="600"/>
      <c r="J356" s="600"/>
      <c r="K356" s="600"/>
      <c r="L356" s="600"/>
    </row>
    <row r="357" spans="1:12" ht="15.75" customHeight="1" x14ac:dyDescent="0.25">
      <c r="A357" s="928">
        <f t="shared" si="5"/>
        <v>42</v>
      </c>
      <c r="B357" s="926">
        <f>+NOMINA!C346</f>
        <v>12797215</v>
      </c>
      <c r="C357" s="926" t="str">
        <f>+NOMINA!D346</f>
        <v>Briceño Matheus Yhonny Alberto</v>
      </c>
      <c r="D357" s="926" t="str">
        <f>+NOMINA!O346</f>
        <v>Aseador</v>
      </c>
      <c r="E357" s="929">
        <f>+NOMINA!H346</f>
        <v>45778</v>
      </c>
      <c r="F357" s="930">
        <f>+NOMINA!BL346</f>
        <v>12</v>
      </c>
      <c r="G357" s="930">
        <f>+NOMINA!BM346</f>
        <v>1.5</v>
      </c>
      <c r="H357" s="599"/>
      <c r="I357" s="600"/>
      <c r="J357" s="600"/>
      <c r="K357" s="600"/>
      <c r="L357" s="600"/>
    </row>
    <row r="358" spans="1:12" ht="15.75" customHeight="1" x14ac:dyDescent="0.25">
      <c r="A358" s="928">
        <f t="shared" si="5"/>
        <v>43</v>
      </c>
      <c r="B358" s="926">
        <f>+NOMINA!C347</f>
        <v>12797543</v>
      </c>
      <c r="C358" s="926" t="str">
        <f>+NOMINA!D347</f>
        <v>Carrizo Blanco Doris Coromoto</v>
      </c>
      <c r="D358" s="926" t="str">
        <f>+NOMINA!O347</f>
        <v>Ayudante de Servicios Generales</v>
      </c>
      <c r="E358" s="929">
        <f>+NOMINA!H347</f>
        <v>42948</v>
      </c>
      <c r="F358" s="930">
        <f>+NOMINA!BL347</f>
        <v>13.62</v>
      </c>
      <c r="G358" s="930">
        <f>+NOMINA!BM347</f>
        <v>1.7</v>
      </c>
      <c r="H358" s="599"/>
      <c r="I358" s="600"/>
      <c r="J358" s="600"/>
      <c r="K358" s="600"/>
      <c r="L358" s="600"/>
    </row>
    <row r="359" spans="1:12" ht="15.75" customHeight="1" x14ac:dyDescent="0.25">
      <c r="A359" s="928">
        <f t="shared" si="5"/>
        <v>44</v>
      </c>
      <c r="B359" s="926">
        <f>+NOMINA!C348</f>
        <v>12797598</v>
      </c>
      <c r="C359" s="926" t="str">
        <f>+NOMINA!D348</f>
        <v>Gutierrez Briceño Jose Gabriel</v>
      </c>
      <c r="D359" s="926" t="str">
        <f>+NOMINA!O348</f>
        <v>Cocinero</v>
      </c>
      <c r="E359" s="929">
        <f>+NOMINA!H348</f>
        <v>44635</v>
      </c>
      <c r="F359" s="930">
        <f>+NOMINA!BL348</f>
        <v>14.71</v>
      </c>
      <c r="G359" s="930">
        <f>+NOMINA!BM348</f>
        <v>1.84</v>
      </c>
      <c r="H359" s="599"/>
      <c r="I359" s="600"/>
      <c r="J359" s="600"/>
      <c r="K359" s="600"/>
      <c r="L359" s="600"/>
    </row>
    <row r="360" spans="1:12" ht="15.75" customHeight="1" x14ac:dyDescent="0.25">
      <c r="A360" s="928">
        <f t="shared" si="5"/>
        <v>45</v>
      </c>
      <c r="B360" s="926">
        <f>+NOMINA!C349</f>
        <v>13049800</v>
      </c>
      <c r="C360" s="926" t="str">
        <f>+NOMINA!D349</f>
        <v>Artigas Sanchez Mereldes Corina</v>
      </c>
      <c r="D360" s="926" t="str">
        <f>+NOMINA!O349</f>
        <v>Aseadora</v>
      </c>
      <c r="E360" s="929">
        <f>+NOMINA!H349</f>
        <v>42171</v>
      </c>
      <c r="F360" s="930">
        <f>+NOMINA!BL349</f>
        <v>12.66</v>
      </c>
      <c r="G360" s="930">
        <f>+NOMINA!BM349</f>
        <v>1.58</v>
      </c>
      <c r="H360" s="599"/>
      <c r="I360" s="600"/>
      <c r="J360" s="600"/>
      <c r="K360" s="600"/>
      <c r="L360" s="600"/>
    </row>
    <row r="361" spans="1:12" ht="15.75" customHeight="1" x14ac:dyDescent="0.25">
      <c r="A361" s="928">
        <f t="shared" si="5"/>
        <v>46</v>
      </c>
      <c r="B361" s="926">
        <f>+NOMINA!C350</f>
        <v>13376729</v>
      </c>
      <c r="C361" s="926" t="str">
        <f>+NOMINA!D350</f>
        <v>Briceño Aldana Yhon Mario</v>
      </c>
      <c r="D361" s="926" t="str">
        <f>+NOMINA!O350</f>
        <v>Vigilante</v>
      </c>
      <c r="E361" s="929">
        <f>+NOMINA!H350</f>
        <v>42948</v>
      </c>
      <c r="F361" s="930">
        <f>+NOMINA!BL350</f>
        <v>19.690000000000001</v>
      </c>
      <c r="G361" s="930">
        <f>+NOMINA!BM350</f>
        <v>2.46</v>
      </c>
      <c r="H361" s="599"/>
      <c r="I361" s="600"/>
      <c r="J361" s="600"/>
      <c r="K361" s="600"/>
      <c r="L361" s="600"/>
    </row>
    <row r="362" spans="1:12" ht="15.75" customHeight="1" x14ac:dyDescent="0.25">
      <c r="A362" s="928">
        <f t="shared" si="5"/>
        <v>47</v>
      </c>
      <c r="B362" s="926">
        <f>+NOMINA!C351</f>
        <v>13404824</v>
      </c>
      <c r="C362" s="926" t="str">
        <f>+NOMINA!D351</f>
        <v>Malpica Rivas Julio Enrique</v>
      </c>
      <c r="D362" s="926" t="str">
        <f>+NOMINA!O351</f>
        <v>Ayudante de Servicios Generales</v>
      </c>
      <c r="E362" s="929">
        <f>+NOMINA!H351</f>
        <v>45474</v>
      </c>
      <c r="F362" s="930">
        <f>+NOMINA!BL351</f>
        <v>13.09</v>
      </c>
      <c r="G362" s="930">
        <f>+NOMINA!BM351</f>
        <v>1.64</v>
      </c>
      <c r="H362" s="599"/>
      <c r="I362" s="600"/>
      <c r="J362" s="600"/>
      <c r="K362" s="600"/>
      <c r="L362" s="600"/>
    </row>
    <row r="363" spans="1:12" ht="15.75" customHeight="1" x14ac:dyDescent="0.25">
      <c r="A363" s="928">
        <f t="shared" si="5"/>
        <v>48</v>
      </c>
      <c r="B363" s="926">
        <f>+NOMINA!C352</f>
        <v>13745328</v>
      </c>
      <c r="C363" s="926" t="str">
        <f>+NOMINA!D352</f>
        <v>Arroyo Williams Jose</v>
      </c>
      <c r="D363" s="926" t="str">
        <f>+NOMINA!O352</f>
        <v>Ayudante de Servicios Generales</v>
      </c>
      <c r="E363" s="929">
        <f>+NOMINA!H352</f>
        <v>44805</v>
      </c>
      <c r="F363" s="930">
        <f>+NOMINA!BL352</f>
        <v>17.940000000000001</v>
      </c>
      <c r="G363" s="930">
        <f>+NOMINA!BM352</f>
        <v>2.2400000000000002</v>
      </c>
      <c r="H363" s="599"/>
      <c r="I363" s="600"/>
      <c r="J363" s="600"/>
      <c r="K363" s="600"/>
      <c r="L363" s="600"/>
    </row>
    <row r="364" spans="1:12" ht="15.75" customHeight="1" x14ac:dyDescent="0.25">
      <c r="A364" s="928">
        <f t="shared" si="5"/>
        <v>49</v>
      </c>
      <c r="B364" s="926">
        <f>+NOMINA!C353</f>
        <v>13996661</v>
      </c>
      <c r="C364" s="926" t="str">
        <f>+NOMINA!D353</f>
        <v>Perez Montilla Yosmer Alexander</v>
      </c>
      <c r="D364" s="926" t="str">
        <f>+NOMINA!O353</f>
        <v>Chofer</v>
      </c>
      <c r="E364" s="929">
        <f>+NOMINA!H353</f>
        <v>44743</v>
      </c>
      <c r="F364" s="930">
        <f>+NOMINA!BL353</f>
        <v>20.260000000000002</v>
      </c>
      <c r="G364" s="930">
        <f>+NOMINA!BM353</f>
        <v>2.5299999999999998</v>
      </c>
      <c r="H364" s="599"/>
      <c r="I364" s="600"/>
      <c r="J364" s="600"/>
      <c r="K364" s="600"/>
      <c r="L364" s="600"/>
    </row>
    <row r="365" spans="1:12" ht="15.75" customHeight="1" x14ac:dyDescent="0.25">
      <c r="A365" s="928">
        <f t="shared" si="5"/>
        <v>50</v>
      </c>
      <c r="B365" s="926">
        <f>+NOMINA!C354</f>
        <v>13996885</v>
      </c>
      <c r="C365" s="926" t="str">
        <f>+NOMINA!D354</f>
        <v>Pulido Rojo Wilmer Jose</v>
      </c>
      <c r="D365" s="926" t="str">
        <f>+NOMINA!O354</f>
        <v>Chofer</v>
      </c>
      <c r="E365" s="929">
        <f>+NOMINA!H354</f>
        <v>44363</v>
      </c>
      <c r="F365" s="930">
        <f>+NOMINA!BL354</f>
        <v>17.850000000000001</v>
      </c>
      <c r="G365" s="930">
        <f>+NOMINA!BM354</f>
        <v>2.23</v>
      </c>
      <c r="H365" s="599"/>
      <c r="I365" s="600"/>
      <c r="J365" s="600"/>
      <c r="K365" s="600"/>
      <c r="L365" s="600"/>
    </row>
    <row r="366" spans="1:12" ht="15.75" customHeight="1" x14ac:dyDescent="0.25">
      <c r="A366" s="928">
        <f t="shared" si="5"/>
        <v>51</v>
      </c>
      <c r="B366" s="926">
        <f>+NOMINA!C355</f>
        <v>14149971</v>
      </c>
      <c r="C366" s="926" t="str">
        <f>+NOMINA!D355</f>
        <v>Rivera Virginia del Carmen</v>
      </c>
      <c r="D366" s="926" t="str">
        <f>+NOMINA!O355</f>
        <v>Aseadora</v>
      </c>
      <c r="E366" s="929">
        <f>+NOMINA!H355</f>
        <v>41091</v>
      </c>
      <c r="F366" s="930">
        <f>+NOMINA!BL355</f>
        <v>12.91</v>
      </c>
      <c r="G366" s="930">
        <f>+NOMINA!BM355</f>
        <v>1.61</v>
      </c>
      <c r="H366" s="599"/>
      <c r="I366" s="600"/>
      <c r="J366" s="600"/>
      <c r="K366" s="600"/>
      <c r="L366" s="600"/>
    </row>
    <row r="367" spans="1:12" ht="15.75" customHeight="1" x14ac:dyDescent="0.25">
      <c r="A367" s="928">
        <f t="shared" si="5"/>
        <v>52</v>
      </c>
      <c r="B367" s="926">
        <f>+NOMINA!C356</f>
        <v>14150495</v>
      </c>
      <c r="C367" s="926" t="str">
        <f>+NOMINA!D356</f>
        <v>Umbria de Segovia Alexandra del Carmen</v>
      </c>
      <c r="D367" s="926" t="str">
        <f>+NOMINA!O356</f>
        <v>Ayudante de Almacen</v>
      </c>
      <c r="E367" s="929">
        <f>+NOMINA!H356</f>
        <v>44228</v>
      </c>
      <c r="F367" s="930">
        <f>+NOMINA!BL356</f>
        <v>14.21</v>
      </c>
      <c r="G367" s="930">
        <f>+NOMINA!BM356</f>
        <v>1.78</v>
      </c>
      <c r="H367" s="599"/>
      <c r="I367" s="600"/>
      <c r="J367" s="600"/>
      <c r="K367" s="600"/>
      <c r="L367" s="600"/>
    </row>
    <row r="368" spans="1:12" ht="15.75" customHeight="1" x14ac:dyDescent="0.25">
      <c r="A368" s="928">
        <f t="shared" si="5"/>
        <v>53</v>
      </c>
      <c r="B368" s="926">
        <f>+NOMINA!C357</f>
        <v>14718369</v>
      </c>
      <c r="C368" s="926" t="str">
        <f>+NOMINA!D357</f>
        <v>Pacheco Yudith del Valle</v>
      </c>
      <c r="D368" s="926" t="str">
        <f>+NOMINA!O357</f>
        <v>Aseadora</v>
      </c>
      <c r="E368" s="929">
        <f>+NOMINA!H357</f>
        <v>43147</v>
      </c>
      <c r="F368" s="930">
        <f>+NOMINA!BL357</f>
        <v>12.44</v>
      </c>
      <c r="G368" s="930">
        <f>+NOMINA!BM357</f>
        <v>1.56</v>
      </c>
      <c r="H368" s="599"/>
      <c r="I368" s="600"/>
      <c r="J368" s="600"/>
      <c r="K368" s="600"/>
      <c r="L368" s="600"/>
    </row>
    <row r="369" spans="1:12" ht="15.75" customHeight="1" x14ac:dyDescent="0.25">
      <c r="A369" s="928">
        <f t="shared" si="5"/>
        <v>54</v>
      </c>
      <c r="B369" s="926">
        <f>+NOMINA!C358</f>
        <v>14718468</v>
      </c>
      <c r="C369" s="926" t="str">
        <f>+NOMINA!D358</f>
        <v>Frias Aldana Yhonny Ramon</v>
      </c>
      <c r="D369" s="926" t="str">
        <f>+NOMINA!O358</f>
        <v>Ayudante De Almacen</v>
      </c>
      <c r="E369" s="929">
        <f>+NOMINA!H358</f>
        <v>42948</v>
      </c>
      <c r="F369" s="930">
        <f>+NOMINA!BL358</f>
        <v>15.15</v>
      </c>
      <c r="G369" s="930">
        <f>+NOMINA!BM358</f>
        <v>1.89</v>
      </c>
      <c r="H369" s="599"/>
      <c r="I369" s="600"/>
      <c r="J369" s="600"/>
      <c r="K369" s="600"/>
      <c r="L369" s="600"/>
    </row>
    <row r="370" spans="1:12" ht="15.75" customHeight="1" x14ac:dyDescent="0.25">
      <c r="A370" s="928">
        <f t="shared" si="5"/>
        <v>55</v>
      </c>
      <c r="B370" s="926">
        <f>+NOMINA!C359</f>
        <v>14719205</v>
      </c>
      <c r="C370" s="926" t="str">
        <f>+NOMINA!D359</f>
        <v>Chinchilla Perez Jean Carlos</v>
      </c>
      <c r="D370" s="926" t="str">
        <f>+NOMINA!O359</f>
        <v>Ayudante de Servicios Generales</v>
      </c>
      <c r="E370" s="929">
        <f>+NOMINA!H359</f>
        <v>39861</v>
      </c>
      <c r="F370" s="930">
        <f>+NOMINA!BL359</f>
        <v>14.39</v>
      </c>
      <c r="G370" s="930">
        <f>+NOMINA!BM359</f>
        <v>1.8</v>
      </c>
      <c r="H370" s="599"/>
      <c r="I370" s="600"/>
      <c r="J370" s="600"/>
      <c r="K370" s="600"/>
      <c r="L370" s="600"/>
    </row>
    <row r="371" spans="1:12" ht="15.75" customHeight="1" x14ac:dyDescent="0.25">
      <c r="A371" s="928">
        <f t="shared" si="5"/>
        <v>56</v>
      </c>
      <c r="B371" s="926">
        <f>+NOMINA!C360</f>
        <v>14719356</v>
      </c>
      <c r="C371" s="926" t="str">
        <f>+NOMINA!D360</f>
        <v>Linares Montilla Gerardo Enrique</v>
      </c>
      <c r="D371" s="926" t="str">
        <f>+NOMINA!O360</f>
        <v>Ayudante de Servicios Generales</v>
      </c>
      <c r="E371" s="929">
        <f>+NOMINA!H360</f>
        <v>44348</v>
      </c>
      <c r="F371" s="930">
        <f>+NOMINA!BL360</f>
        <v>14.45</v>
      </c>
      <c r="G371" s="930">
        <f>+NOMINA!BM360</f>
        <v>1.81</v>
      </c>
      <c r="H371" s="599"/>
      <c r="I371" s="600"/>
      <c r="J371" s="600"/>
      <c r="K371" s="600"/>
      <c r="L371" s="600"/>
    </row>
    <row r="372" spans="1:12" ht="15.75" customHeight="1" x14ac:dyDescent="0.25">
      <c r="A372" s="928">
        <f t="shared" si="5"/>
        <v>57</v>
      </c>
      <c r="B372" s="926">
        <f>+NOMINA!C361</f>
        <v>14780893</v>
      </c>
      <c r="C372" s="926" t="str">
        <f>+NOMINA!D361</f>
        <v>Perez Gonzalez Reinaldo Andre</v>
      </c>
      <c r="D372" s="926" t="str">
        <f>+NOMINA!O361</f>
        <v>Ayudante de Servicios Generales</v>
      </c>
      <c r="E372" s="929">
        <f>+NOMINA!H361</f>
        <v>41570</v>
      </c>
      <c r="F372" s="930">
        <f>+NOMINA!BL361</f>
        <v>13.89</v>
      </c>
      <c r="G372" s="930">
        <f>+NOMINA!BM361</f>
        <v>1.74</v>
      </c>
      <c r="H372" s="599"/>
      <c r="I372" s="600"/>
      <c r="J372" s="600"/>
      <c r="K372" s="600"/>
      <c r="L372" s="600"/>
    </row>
    <row r="373" spans="1:12" ht="15.75" customHeight="1" x14ac:dyDescent="0.25">
      <c r="A373" s="928">
        <f t="shared" si="5"/>
        <v>58</v>
      </c>
      <c r="B373" s="926">
        <f>+NOMINA!C362</f>
        <v>14928047</v>
      </c>
      <c r="C373" s="926" t="str">
        <f>+NOMINA!D362</f>
        <v>Becerra Teran Maria Alejandra</v>
      </c>
      <c r="D373" s="926" t="str">
        <f>+NOMINA!O362</f>
        <v>Cocinera</v>
      </c>
      <c r="E373" s="929">
        <f>+NOMINA!H362</f>
        <v>43297</v>
      </c>
      <c r="F373" s="930">
        <f>+NOMINA!BL362</f>
        <v>14.48</v>
      </c>
      <c r="G373" s="930">
        <f>+NOMINA!BM362</f>
        <v>1.81</v>
      </c>
      <c r="H373" s="599"/>
      <c r="I373" s="600"/>
      <c r="J373" s="600"/>
      <c r="K373" s="600"/>
      <c r="L373" s="600"/>
    </row>
    <row r="374" spans="1:12" ht="15.75" customHeight="1" x14ac:dyDescent="0.25">
      <c r="A374" s="928">
        <f t="shared" si="5"/>
        <v>59</v>
      </c>
      <c r="B374" s="926">
        <f>+NOMINA!C363</f>
        <v>15042683</v>
      </c>
      <c r="C374" s="926" t="str">
        <f>+NOMINA!D363</f>
        <v>Rivera Hermes Edixon</v>
      </c>
      <c r="D374" s="926" t="str">
        <f>+NOMINA!O363</f>
        <v>Aseador</v>
      </c>
      <c r="E374" s="929">
        <f>+NOMINA!H363</f>
        <v>45292</v>
      </c>
      <c r="F374" s="930">
        <f>+NOMINA!BL363</f>
        <v>12.64</v>
      </c>
      <c r="G374" s="930">
        <f>+NOMINA!BM363</f>
        <v>1.58</v>
      </c>
      <c r="H374" s="599"/>
      <c r="I374" s="600"/>
      <c r="J374" s="600"/>
      <c r="K374" s="600"/>
      <c r="L374" s="600"/>
    </row>
    <row r="375" spans="1:12" ht="15.75" customHeight="1" x14ac:dyDescent="0.25">
      <c r="A375" s="928">
        <f t="shared" si="5"/>
        <v>60</v>
      </c>
      <c r="B375" s="926">
        <f>+NOMINA!C364</f>
        <v>15293784</v>
      </c>
      <c r="C375" s="926" t="str">
        <f>+NOMINA!D364</f>
        <v>Meza Alipio Jose</v>
      </c>
      <c r="D375" s="926" t="str">
        <f>+NOMINA!O364</f>
        <v>Aseador</v>
      </c>
      <c r="E375" s="929">
        <f>+NOMINA!H364</f>
        <v>45778</v>
      </c>
      <c r="F375" s="930">
        <f>+NOMINA!BL364</f>
        <v>12</v>
      </c>
      <c r="G375" s="930">
        <f>+NOMINA!BM364</f>
        <v>1.5</v>
      </c>
      <c r="H375" s="599"/>
      <c r="I375" s="600"/>
      <c r="J375" s="600"/>
      <c r="K375" s="600"/>
      <c r="L375" s="600"/>
    </row>
    <row r="376" spans="1:12" ht="15.75" customHeight="1" x14ac:dyDescent="0.25">
      <c r="A376" s="928">
        <f t="shared" si="5"/>
        <v>61</v>
      </c>
      <c r="B376" s="926">
        <f>+NOMINA!C365</f>
        <v>15583194</v>
      </c>
      <c r="C376" s="926" t="str">
        <f>+NOMINA!D365</f>
        <v>Garcia Briceño Wuiston Andres</v>
      </c>
      <c r="D376" s="926" t="str">
        <f>+NOMINA!O365</f>
        <v>Cocinero</v>
      </c>
      <c r="E376" s="929">
        <f>+NOMINA!H365</f>
        <v>44166</v>
      </c>
      <c r="F376" s="930">
        <f>+NOMINA!BL365</f>
        <v>15.56</v>
      </c>
      <c r="G376" s="930">
        <f>+NOMINA!BM365</f>
        <v>1.94</v>
      </c>
      <c r="H376" s="599"/>
      <c r="I376" s="600"/>
      <c r="J376" s="600"/>
      <c r="K376" s="600"/>
      <c r="L376" s="600"/>
    </row>
    <row r="377" spans="1:12" ht="15.75" customHeight="1" x14ac:dyDescent="0.25">
      <c r="A377" s="928">
        <f t="shared" si="5"/>
        <v>62</v>
      </c>
      <c r="B377" s="926">
        <f>+NOMINA!C366</f>
        <v>14928592</v>
      </c>
      <c r="C377" s="926" t="str">
        <f>+NOMINA!D366</f>
        <v>Rosales Ruiz Jesus Alberto</v>
      </c>
      <c r="D377" s="926" t="str">
        <f>+NOMINA!O366</f>
        <v>Cocinero</v>
      </c>
      <c r="E377" s="929">
        <f>+NOMINA!H366</f>
        <v>45017</v>
      </c>
      <c r="F377" s="930">
        <f>+NOMINA!BL366</f>
        <v>14.05</v>
      </c>
      <c r="G377" s="930">
        <f>+NOMINA!BM366</f>
        <v>1.76</v>
      </c>
      <c r="H377" s="599"/>
      <c r="I377" s="600"/>
      <c r="J377" s="600"/>
      <c r="K377" s="600"/>
      <c r="L377" s="600"/>
    </row>
    <row r="378" spans="1:12" ht="15.75" customHeight="1" x14ac:dyDescent="0.25">
      <c r="A378" s="928">
        <f t="shared" si="5"/>
        <v>63</v>
      </c>
      <c r="B378" s="926">
        <f>+NOMINA!C367</f>
        <v>15952512</v>
      </c>
      <c r="C378" s="926" t="str">
        <f>+NOMINA!D367</f>
        <v>Graterol Gonzalez Maria Ysela</v>
      </c>
      <c r="D378" s="926" t="str">
        <f>+NOMINA!O367</f>
        <v>Aseadora</v>
      </c>
      <c r="E378" s="929">
        <f>+NOMINA!H367</f>
        <v>40725</v>
      </c>
      <c r="F378" s="930">
        <f>+NOMINA!BL367</f>
        <v>13</v>
      </c>
      <c r="G378" s="930">
        <f>+NOMINA!BM367</f>
        <v>1.62</v>
      </c>
      <c r="H378" s="599"/>
      <c r="I378" s="600"/>
      <c r="J378" s="600"/>
      <c r="K378" s="600"/>
      <c r="L378" s="600"/>
    </row>
    <row r="379" spans="1:12" ht="15.75" customHeight="1" x14ac:dyDescent="0.25">
      <c r="A379" s="928">
        <f t="shared" si="5"/>
        <v>64</v>
      </c>
      <c r="B379" s="926">
        <f>+NOMINA!C368</f>
        <v>15953703</v>
      </c>
      <c r="C379" s="926" t="str">
        <f>+NOMINA!D368</f>
        <v>Briceño Salas Jose Leonardo</v>
      </c>
      <c r="D379" s="926" t="str">
        <f>+NOMINA!O368</f>
        <v>Ayudante de Servicios Generales</v>
      </c>
      <c r="E379" s="929">
        <f>+NOMINA!H368</f>
        <v>38718</v>
      </c>
      <c r="F379" s="930">
        <f>+NOMINA!BL368</f>
        <v>15.88</v>
      </c>
      <c r="G379" s="930">
        <f>+NOMINA!BM368</f>
        <v>1.99</v>
      </c>
      <c r="H379" s="599"/>
      <c r="I379" s="600"/>
      <c r="J379" s="600"/>
      <c r="K379" s="600"/>
      <c r="L379" s="600"/>
    </row>
    <row r="380" spans="1:12" ht="15.75" customHeight="1" x14ac:dyDescent="0.25">
      <c r="A380" s="928">
        <f t="shared" si="5"/>
        <v>65</v>
      </c>
      <c r="B380" s="926">
        <f>+NOMINA!C369</f>
        <v>16266801</v>
      </c>
      <c r="C380" s="926" t="str">
        <f>+NOMINA!D369</f>
        <v>Briceño Gonzalez Mirla Carolina</v>
      </c>
      <c r="D380" s="926" t="str">
        <f>+NOMINA!O369</f>
        <v>Cocinera</v>
      </c>
      <c r="E380" s="929">
        <f>+NOMINA!H369</f>
        <v>39496</v>
      </c>
      <c r="F380" s="930">
        <f>+NOMINA!BL369</f>
        <v>16.14</v>
      </c>
      <c r="G380" s="930">
        <f>+NOMINA!BM369</f>
        <v>2.02</v>
      </c>
      <c r="H380" s="599"/>
      <c r="I380" s="600"/>
      <c r="J380" s="600"/>
      <c r="K380" s="600"/>
      <c r="L380" s="600"/>
    </row>
    <row r="381" spans="1:12" ht="15.75" customHeight="1" x14ac:dyDescent="0.25">
      <c r="A381" s="928">
        <f t="shared" si="5"/>
        <v>66</v>
      </c>
      <c r="B381" s="926">
        <f>+NOMINA!C370</f>
        <v>16739958</v>
      </c>
      <c r="C381" s="926" t="str">
        <f>+NOMINA!D370</f>
        <v>Ramirez Ramirez Natali Gabriela</v>
      </c>
      <c r="D381" s="926" t="str">
        <f>+NOMINA!O370</f>
        <v>Ayud. Serv. De Cocina</v>
      </c>
      <c r="E381" s="929">
        <f>+NOMINA!H370</f>
        <v>44866</v>
      </c>
      <c r="F381" s="930">
        <f>+NOMINA!BL370</f>
        <v>13.84</v>
      </c>
      <c r="G381" s="930">
        <f>+NOMINA!BM370</f>
        <v>1.73</v>
      </c>
      <c r="H381" s="599"/>
      <c r="I381" s="600"/>
      <c r="J381" s="600"/>
      <c r="K381" s="600"/>
      <c r="L381" s="600"/>
    </row>
    <row r="382" spans="1:12" ht="15.75" customHeight="1" x14ac:dyDescent="0.25">
      <c r="A382" s="928">
        <f t="shared" ref="A382:A407" si="6">+A381+1</f>
        <v>67</v>
      </c>
      <c r="B382" s="926">
        <f>+NOMINA!C371</f>
        <v>16881526</v>
      </c>
      <c r="C382" s="926" t="str">
        <f>+NOMINA!D371</f>
        <v>Montilla Mendoza Addy Coromoto</v>
      </c>
      <c r="D382" s="926" t="str">
        <f>+NOMINA!O371</f>
        <v>Aseador</v>
      </c>
      <c r="E382" s="929">
        <f>+NOMINA!H371</f>
        <v>44470</v>
      </c>
      <c r="F382" s="930">
        <f>+NOMINA!BL371</f>
        <v>13.33</v>
      </c>
      <c r="G382" s="930">
        <f>+NOMINA!BM371</f>
        <v>1.67</v>
      </c>
      <c r="H382" s="599"/>
      <c r="I382" s="600"/>
      <c r="J382" s="600"/>
      <c r="K382" s="600"/>
      <c r="L382" s="600"/>
    </row>
    <row r="383" spans="1:12" ht="15.75" customHeight="1" x14ac:dyDescent="0.25">
      <c r="A383" s="928">
        <f t="shared" si="6"/>
        <v>68</v>
      </c>
      <c r="B383" s="926">
        <f>+NOMINA!C372</f>
        <v>17093567</v>
      </c>
      <c r="C383" s="926" t="str">
        <f>+NOMINA!D372</f>
        <v>Torres Villarreal Yenny del Carmen</v>
      </c>
      <c r="D383" s="926" t="str">
        <f>+NOMINA!O372</f>
        <v>Ayudante de Servicios Generales</v>
      </c>
      <c r="E383" s="929">
        <f>+NOMINA!H372</f>
        <v>39449</v>
      </c>
      <c r="F383" s="930">
        <f>+NOMINA!BL372</f>
        <v>14.5</v>
      </c>
      <c r="G383" s="930">
        <f>+NOMINA!BM372</f>
        <v>1.81</v>
      </c>
      <c r="H383" s="599"/>
      <c r="I383" s="600"/>
      <c r="J383" s="600"/>
      <c r="K383" s="600"/>
      <c r="L383" s="600"/>
    </row>
    <row r="384" spans="1:12" ht="15.75" customHeight="1" x14ac:dyDescent="0.25">
      <c r="A384" s="928">
        <f t="shared" si="6"/>
        <v>69</v>
      </c>
      <c r="B384" s="926">
        <f>+NOMINA!C373</f>
        <v>17093846</v>
      </c>
      <c r="C384" s="926" t="str">
        <f>+NOMINA!D373</f>
        <v>Bastidas Rivera Junior Antonio</v>
      </c>
      <c r="D384" s="926" t="str">
        <f>+NOMINA!O373</f>
        <v>Ayudante de Servicios Generales</v>
      </c>
      <c r="E384" s="929">
        <f>+NOMINA!H373</f>
        <v>45017</v>
      </c>
      <c r="F384" s="930">
        <f>+NOMINA!BL373</f>
        <v>13.16</v>
      </c>
      <c r="G384" s="930">
        <f>+NOMINA!BM373</f>
        <v>1.64</v>
      </c>
      <c r="H384" s="599"/>
      <c r="I384" s="600"/>
      <c r="J384" s="600"/>
      <c r="K384" s="600"/>
      <c r="L384" s="600"/>
    </row>
    <row r="385" spans="1:12" ht="15.75" customHeight="1" x14ac:dyDescent="0.25">
      <c r="A385" s="928">
        <f t="shared" si="6"/>
        <v>70</v>
      </c>
      <c r="B385" s="926">
        <f>+NOMINA!C374</f>
        <v>17095084</v>
      </c>
      <c r="C385" s="926" t="str">
        <f>+NOMINA!D374</f>
        <v>Gonzalez Simancas Yulimar del Valle</v>
      </c>
      <c r="D385" s="926" t="str">
        <f>+NOMINA!O374</f>
        <v>Cocinera</v>
      </c>
      <c r="E385" s="929">
        <f>+NOMINA!H374</f>
        <v>44317</v>
      </c>
      <c r="F385" s="930">
        <f>+NOMINA!BL374</f>
        <v>15.36</v>
      </c>
      <c r="G385" s="930">
        <f>+NOMINA!BM374</f>
        <v>1.92</v>
      </c>
      <c r="H385" s="599"/>
      <c r="I385" s="600"/>
      <c r="J385" s="600"/>
      <c r="K385" s="600"/>
      <c r="L385" s="600"/>
    </row>
    <row r="386" spans="1:12" ht="15.75" customHeight="1" x14ac:dyDescent="0.25">
      <c r="A386" s="928">
        <f t="shared" si="6"/>
        <v>71</v>
      </c>
      <c r="B386" s="926">
        <f>+NOMINA!C375</f>
        <v>17267173</v>
      </c>
      <c r="C386" s="926" t="str">
        <f>+NOMINA!D375</f>
        <v>Torres Alvarez Olga Josefina</v>
      </c>
      <c r="D386" s="926" t="str">
        <f>+NOMINA!O375</f>
        <v>Ayudante de Almacen</v>
      </c>
      <c r="E386" s="929">
        <f>+NOMINA!H375</f>
        <v>44317</v>
      </c>
      <c r="F386" s="930">
        <f>+NOMINA!BL375</f>
        <v>14.76</v>
      </c>
      <c r="G386" s="930">
        <f>+NOMINA!BM375</f>
        <v>1.85</v>
      </c>
      <c r="H386" s="599"/>
      <c r="I386" s="600"/>
      <c r="J386" s="600"/>
      <c r="K386" s="600"/>
      <c r="L386" s="600"/>
    </row>
    <row r="387" spans="1:12" ht="15.75" customHeight="1" x14ac:dyDescent="0.25">
      <c r="A387" s="928">
        <f t="shared" si="6"/>
        <v>72</v>
      </c>
      <c r="B387" s="926">
        <f>+NOMINA!C376</f>
        <v>17267546</v>
      </c>
      <c r="C387" s="926" t="str">
        <f>+NOMINA!D376</f>
        <v>Bastidas Rivera Franklin Enrique</v>
      </c>
      <c r="D387" s="926" t="str">
        <f>+NOMINA!O376</f>
        <v>Ayudante de Servicios Generales</v>
      </c>
      <c r="E387" s="929">
        <f>+NOMINA!H376</f>
        <v>39197</v>
      </c>
      <c r="F387" s="930">
        <f>+NOMINA!BL376</f>
        <v>15.19</v>
      </c>
      <c r="G387" s="930">
        <f>+NOMINA!BM376</f>
        <v>1.9</v>
      </c>
      <c r="H387" s="599"/>
      <c r="I387" s="600"/>
      <c r="J387" s="600"/>
      <c r="K387" s="600"/>
      <c r="L387" s="600"/>
    </row>
    <row r="388" spans="1:12" ht="15.75" customHeight="1" x14ac:dyDescent="0.25">
      <c r="A388" s="928">
        <f t="shared" si="6"/>
        <v>73</v>
      </c>
      <c r="B388" s="926">
        <f>+NOMINA!C377</f>
        <v>18096032</v>
      </c>
      <c r="C388" s="926" t="str">
        <f>+NOMINA!D377</f>
        <v>Graterol Graterol Isidro Antonio</v>
      </c>
      <c r="D388" s="926" t="str">
        <f>+NOMINA!O377</f>
        <v>Chofer</v>
      </c>
      <c r="E388" s="929">
        <f>+NOMINA!H377</f>
        <v>45566</v>
      </c>
      <c r="F388" s="930">
        <f>+NOMINA!BL377</f>
        <v>20.85</v>
      </c>
      <c r="G388" s="930">
        <f>+NOMINA!BM377</f>
        <v>2.61</v>
      </c>
      <c r="H388" s="599"/>
      <c r="I388" s="600"/>
      <c r="J388" s="600"/>
      <c r="K388" s="600"/>
      <c r="L388" s="600"/>
    </row>
    <row r="389" spans="1:12" ht="15.75" customHeight="1" x14ac:dyDescent="0.25">
      <c r="A389" s="928">
        <f t="shared" si="6"/>
        <v>74</v>
      </c>
      <c r="B389" s="926">
        <f>+NOMINA!C378</f>
        <v>18096338</v>
      </c>
      <c r="C389" s="926" t="str">
        <f>+NOMINA!D378</f>
        <v>Ramirez Manzanilla Jose Jesus</v>
      </c>
      <c r="D389" s="926" t="str">
        <f>+NOMINA!O378</f>
        <v>Cocinero</v>
      </c>
      <c r="E389" s="929">
        <f>+NOMINA!H378</f>
        <v>39463</v>
      </c>
      <c r="F389" s="930">
        <f>+NOMINA!BL378</f>
        <v>16.52</v>
      </c>
      <c r="G389" s="930">
        <f>+NOMINA!BM378</f>
        <v>2.0699999999999998</v>
      </c>
      <c r="H389" s="599"/>
      <c r="I389" s="600"/>
      <c r="J389" s="600"/>
      <c r="K389" s="600"/>
      <c r="L389" s="600"/>
    </row>
    <row r="390" spans="1:12" ht="15.75" customHeight="1" x14ac:dyDescent="0.25">
      <c r="A390" s="928">
        <f t="shared" si="6"/>
        <v>75</v>
      </c>
      <c r="B390" s="926">
        <f>+NOMINA!C379</f>
        <v>18350780</v>
      </c>
      <c r="C390" s="926" t="str">
        <f>+NOMINA!D379</f>
        <v>Frias Aldana Giovanny Jacinto</v>
      </c>
      <c r="D390" s="926" t="str">
        <f>+NOMINA!O379</f>
        <v>Vigilante</v>
      </c>
      <c r="E390" s="929">
        <f>+NOMINA!H379</f>
        <v>43116</v>
      </c>
      <c r="F390" s="930">
        <f>+NOMINA!BL379</f>
        <v>19.57</v>
      </c>
      <c r="G390" s="930">
        <f>+NOMINA!BM379</f>
        <v>2.4500000000000002</v>
      </c>
      <c r="H390" s="599"/>
      <c r="I390" s="600"/>
      <c r="J390" s="600"/>
      <c r="K390" s="600"/>
      <c r="L390" s="600"/>
    </row>
    <row r="391" spans="1:12" ht="15.75" customHeight="1" x14ac:dyDescent="0.25">
      <c r="A391" s="928">
        <f t="shared" si="6"/>
        <v>76</v>
      </c>
      <c r="B391" s="926">
        <f>+NOMINA!C380</f>
        <v>18456167</v>
      </c>
      <c r="C391" s="926" t="str">
        <f>+NOMINA!D380</f>
        <v>Olmos Linares Luis Alberto</v>
      </c>
      <c r="D391" s="926" t="str">
        <f>+NOMINA!O380</f>
        <v>Cocinero</v>
      </c>
      <c r="E391" s="929">
        <f>+NOMINA!H380</f>
        <v>44516</v>
      </c>
      <c r="F391" s="930">
        <f>+NOMINA!BL380</f>
        <v>15.28</v>
      </c>
      <c r="G391" s="930">
        <f>+NOMINA!BM380</f>
        <v>1.91</v>
      </c>
      <c r="H391" s="599"/>
      <c r="I391" s="600"/>
      <c r="J391" s="600"/>
      <c r="K391" s="600"/>
      <c r="L391" s="600"/>
    </row>
    <row r="392" spans="1:12" ht="15.75" customHeight="1" x14ac:dyDescent="0.25">
      <c r="A392" s="928">
        <f t="shared" si="6"/>
        <v>77</v>
      </c>
      <c r="B392" s="926">
        <f>+NOMINA!C381</f>
        <v>18456576</v>
      </c>
      <c r="C392" s="926" t="str">
        <f>+NOMINA!D381</f>
        <v>Quintero Duran Emilio Alfonso</v>
      </c>
      <c r="D392" s="926" t="str">
        <f>+NOMINA!O381</f>
        <v>Chofer</v>
      </c>
      <c r="E392" s="929">
        <f>+NOMINA!H381</f>
        <v>44743</v>
      </c>
      <c r="F392" s="930">
        <f>+NOMINA!BL381</f>
        <v>19.25</v>
      </c>
      <c r="G392" s="930">
        <f>+NOMINA!BM381</f>
        <v>2.41</v>
      </c>
      <c r="H392" s="599"/>
      <c r="I392" s="600"/>
      <c r="J392" s="600"/>
      <c r="K392" s="600"/>
      <c r="L392" s="600"/>
    </row>
    <row r="393" spans="1:12" ht="15.75" customHeight="1" x14ac:dyDescent="0.25">
      <c r="A393" s="928">
        <f t="shared" si="6"/>
        <v>78</v>
      </c>
      <c r="B393" s="926">
        <f>+NOMINA!C382</f>
        <v>20039961</v>
      </c>
      <c r="C393" s="926" t="str">
        <f>+NOMINA!D382</f>
        <v>Torres Villarreal Lisbeth Carolina</v>
      </c>
      <c r="D393" s="926" t="str">
        <f>+NOMINA!O382</f>
        <v>Aseadora</v>
      </c>
      <c r="E393" s="929">
        <f>+NOMINA!H382</f>
        <v>38412</v>
      </c>
      <c r="F393" s="930">
        <f>+NOMINA!BL382</f>
        <v>14.71</v>
      </c>
      <c r="G393" s="930">
        <f>+NOMINA!BM382</f>
        <v>1.84</v>
      </c>
      <c r="H393" s="599"/>
      <c r="I393" s="600"/>
      <c r="J393" s="600"/>
      <c r="K393" s="600"/>
      <c r="L393" s="600"/>
    </row>
    <row r="394" spans="1:12" ht="15.75" customHeight="1" x14ac:dyDescent="0.25">
      <c r="A394" s="928">
        <f t="shared" si="6"/>
        <v>79</v>
      </c>
      <c r="B394" s="926">
        <f>+NOMINA!C383</f>
        <v>20040649</v>
      </c>
      <c r="C394" s="926" t="str">
        <f>+NOMINA!D383</f>
        <v>Isarra Materan Jose de La Paz</v>
      </c>
      <c r="D394" s="926" t="str">
        <f>+NOMINA!O383</f>
        <v>Chofer</v>
      </c>
      <c r="E394" s="929">
        <f>+NOMINA!H383</f>
        <v>44743</v>
      </c>
      <c r="F394" s="930">
        <f>+NOMINA!BL383</f>
        <v>19.25</v>
      </c>
      <c r="G394" s="930">
        <f>+NOMINA!BM383</f>
        <v>2.41</v>
      </c>
      <c r="H394" s="599"/>
      <c r="I394" s="600"/>
      <c r="J394" s="600"/>
      <c r="K394" s="600"/>
      <c r="L394" s="600"/>
    </row>
    <row r="395" spans="1:12" ht="15.75" customHeight="1" x14ac:dyDescent="0.25">
      <c r="A395" s="928">
        <f t="shared" si="6"/>
        <v>80</v>
      </c>
      <c r="B395" s="926">
        <f>+NOMINA!C384</f>
        <v>20788036</v>
      </c>
      <c r="C395" s="926" t="str">
        <f>+NOMINA!D384</f>
        <v>Cabrera Duran Albert Josue</v>
      </c>
      <c r="D395" s="926" t="str">
        <f>+NOMINA!O384</f>
        <v>Vigilante</v>
      </c>
      <c r="E395" s="929">
        <f>+NOMINA!H384</f>
        <v>45778</v>
      </c>
      <c r="F395" s="930">
        <f>+NOMINA!BL384</f>
        <v>15.05</v>
      </c>
      <c r="G395" s="930">
        <f>+NOMINA!BM384</f>
        <v>1.88</v>
      </c>
      <c r="H395" s="599"/>
      <c r="I395" s="600"/>
      <c r="J395" s="600"/>
      <c r="K395" s="600"/>
      <c r="L395" s="600"/>
    </row>
    <row r="396" spans="1:12" ht="15.75" customHeight="1" x14ac:dyDescent="0.25">
      <c r="A396" s="928">
        <f t="shared" si="6"/>
        <v>81</v>
      </c>
      <c r="B396" s="926">
        <f>+NOMINA!C385</f>
        <v>21366579</v>
      </c>
      <c r="C396" s="926" t="str">
        <f>+NOMINA!D385</f>
        <v>Azuaje Espinoza Erick Enrique</v>
      </c>
      <c r="D396" s="926" t="str">
        <f>+NOMINA!O385</f>
        <v>Mensajero</v>
      </c>
      <c r="E396" s="929">
        <f>+NOMINA!H385</f>
        <v>44774</v>
      </c>
      <c r="F396" s="930">
        <f>+NOMINA!BL385</f>
        <v>13.33</v>
      </c>
      <c r="G396" s="930">
        <f>+NOMINA!BM385</f>
        <v>1.67</v>
      </c>
      <c r="H396" s="599"/>
      <c r="I396" s="600"/>
      <c r="J396" s="600"/>
      <c r="K396" s="600"/>
      <c r="L396" s="600"/>
    </row>
    <row r="397" spans="1:12" ht="15.75" customHeight="1" x14ac:dyDescent="0.25">
      <c r="A397" s="928">
        <f t="shared" si="6"/>
        <v>82</v>
      </c>
      <c r="B397" s="926">
        <f>+NOMINA!C386</f>
        <v>23594381</v>
      </c>
      <c r="C397" s="926" t="str">
        <f>+NOMINA!D386</f>
        <v>Albornoz Montilla Daniel Enrique</v>
      </c>
      <c r="D397" s="926" t="str">
        <f>+NOMINA!O386</f>
        <v>Ayudante de Servicios Generales</v>
      </c>
      <c r="E397" s="929">
        <f>+NOMINA!H386</f>
        <v>45597</v>
      </c>
      <c r="F397" s="930">
        <f>+NOMINA!BL386</f>
        <v>12.55</v>
      </c>
      <c r="G397" s="930">
        <f>+NOMINA!BM386</f>
        <v>1.57</v>
      </c>
      <c r="H397" s="599"/>
      <c r="I397" s="600"/>
      <c r="J397" s="600"/>
      <c r="K397" s="600"/>
      <c r="L397" s="600"/>
    </row>
    <row r="398" spans="1:12" ht="15.75" customHeight="1" x14ac:dyDescent="0.25">
      <c r="A398" s="928">
        <f t="shared" si="6"/>
        <v>83</v>
      </c>
      <c r="B398" s="926">
        <f>+NOMINA!C387</f>
        <v>25173228</v>
      </c>
      <c r="C398" s="926" t="str">
        <f>+NOMINA!D387</f>
        <v>Davila Sanchez Eduar Alexander</v>
      </c>
      <c r="D398" s="926" t="str">
        <f>+NOMINA!O387</f>
        <v>Ayudante de Servicios Generales</v>
      </c>
      <c r="E398" s="929">
        <f>+NOMINA!H387</f>
        <v>44531</v>
      </c>
      <c r="F398" s="930">
        <f>+NOMINA!BL387</f>
        <v>18.690000000000001</v>
      </c>
      <c r="G398" s="930">
        <f>+NOMINA!BM387</f>
        <v>2.34</v>
      </c>
      <c r="H398" s="599"/>
      <c r="I398" s="600"/>
      <c r="J398" s="600"/>
      <c r="K398" s="600"/>
      <c r="L398" s="600"/>
    </row>
    <row r="399" spans="1:12" ht="15.75" customHeight="1" x14ac:dyDescent="0.25">
      <c r="A399" s="928">
        <f t="shared" si="6"/>
        <v>84</v>
      </c>
      <c r="B399" s="926">
        <f>+NOMINA!C388</f>
        <v>25631811</v>
      </c>
      <c r="C399" s="926" t="str">
        <f>+NOMINA!D388</f>
        <v>Barrios Briceño Christian Xavier</v>
      </c>
      <c r="D399" s="926" t="str">
        <f>+NOMINA!O388</f>
        <v>Cocinero</v>
      </c>
      <c r="E399" s="929">
        <f>+NOMINA!H388</f>
        <v>44440</v>
      </c>
      <c r="F399" s="930">
        <f>+NOMINA!BL388</f>
        <v>14.21</v>
      </c>
      <c r="G399" s="930">
        <f>+NOMINA!BM388</f>
        <v>1.78</v>
      </c>
      <c r="H399" s="599"/>
      <c r="I399" s="600"/>
      <c r="J399" s="600"/>
      <c r="K399" s="600"/>
      <c r="L399" s="600"/>
    </row>
    <row r="400" spans="1:12" ht="15.75" customHeight="1" x14ac:dyDescent="0.25">
      <c r="A400" s="928">
        <f t="shared" si="6"/>
        <v>85</v>
      </c>
      <c r="B400" s="926">
        <f>+NOMINA!C389</f>
        <v>25919888</v>
      </c>
      <c r="C400" s="926" t="str">
        <f>+NOMINA!D389</f>
        <v>Rivero Lamus Ninoska del Valle</v>
      </c>
      <c r="D400" s="926" t="str">
        <f>+NOMINA!O389</f>
        <v>Aseadora</v>
      </c>
      <c r="E400" s="929">
        <f>+NOMINA!H389</f>
        <v>44805</v>
      </c>
      <c r="F400" s="930">
        <f>+NOMINA!BL389</f>
        <v>13.33</v>
      </c>
      <c r="G400" s="930">
        <f>+NOMINA!BM389</f>
        <v>1.67</v>
      </c>
      <c r="H400" s="599"/>
      <c r="I400" s="600"/>
      <c r="J400" s="600"/>
      <c r="K400" s="600"/>
      <c r="L400" s="600"/>
    </row>
    <row r="401" spans="1:12" ht="15.75" customHeight="1" x14ac:dyDescent="0.25">
      <c r="A401" s="928">
        <f t="shared" si="6"/>
        <v>86</v>
      </c>
      <c r="B401" s="926">
        <f>+NOMINA!C390</f>
        <v>26235670</v>
      </c>
      <c r="C401" s="926" t="str">
        <f>+NOMINA!D390</f>
        <v>Viloria Garcia Kieny Keyvit</v>
      </c>
      <c r="D401" s="926" t="str">
        <f>+NOMINA!O390</f>
        <v>Ayudante de Servicios Generales</v>
      </c>
      <c r="E401" s="929">
        <f>+NOMINA!H390</f>
        <v>45597</v>
      </c>
      <c r="F401" s="930">
        <f>+NOMINA!BL390</f>
        <v>13.13</v>
      </c>
      <c r="G401" s="930">
        <f>+NOMINA!BM390</f>
        <v>1.64</v>
      </c>
      <c r="H401" s="599"/>
      <c r="I401" s="600"/>
      <c r="J401" s="600"/>
      <c r="K401" s="600"/>
      <c r="L401" s="600"/>
    </row>
    <row r="402" spans="1:12" ht="15.75" customHeight="1" x14ac:dyDescent="0.25">
      <c r="A402" s="928">
        <f t="shared" si="6"/>
        <v>87</v>
      </c>
      <c r="B402" s="926">
        <f>+NOMINA!C391</f>
        <v>26482867</v>
      </c>
      <c r="C402" s="926" t="str">
        <f>+NOMINA!D391</f>
        <v>Valecillos Duran Brando Jose</v>
      </c>
      <c r="D402" s="926" t="str">
        <f>+NOMINA!O391</f>
        <v>Ayudante de Servicios Generales</v>
      </c>
      <c r="E402" s="929">
        <f>+NOMINA!H391</f>
        <v>45078</v>
      </c>
      <c r="F402" s="930">
        <f>+NOMINA!BL391</f>
        <v>13.16</v>
      </c>
      <c r="G402" s="930">
        <f>+NOMINA!BM391</f>
        <v>1.64</v>
      </c>
      <c r="H402" s="599"/>
      <c r="I402" s="600"/>
      <c r="J402" s="600"/>
      <c r="K402" s="600"/>
      <c r="L402" s="600"/>
    </row>
    <row r="403" spans="1:12" ht="15.75" customHeight="1" x14ac:dyDescent="0.25">
      <c r="A403" s="928">
        <f t="shared" si="6"/>
        <v>88</v>
      </c>
      <c r="B403" s="926">
        <f>+NOMINA!C392</f>
        <v>27415509</v>
      </c>
      <c r="C403" s="926" t="str">
        <f>+NOMINA!D392</f>
        <v>Barreto Rivero Luis Diego</v>
      </c>
      <c r="D403" s="926" t="str">
        <f>+NOMINA!O392</f>
        <v>Ayudante de Servicios Generales</v>
      </c>
      <c r="E403" s="929">
        <f>+NOMINA!H392</f>
        <v>43678</v>
      </c>
      <c r="F403" s="930">
        <f>+NOMINA!BL392</f>
        <v>13.45</v>
      </c>
      <c r="G403" s="930">
        <f>+NOMINA!BM392</f>
        <v>1.68</v>
      </c>
      <c r="H403" s="599"/>
      <c r="I403" s="600"/>
      <c r="J403" s="600"/>
      <c r="K403" s="600"/>
      <c r="L403" s="600"/>
    </row>
    <row r="404" spans="1:12" ht="15.75" customHeight="1" x14ac:dyDescent="0.25">
      <c r="A404" s="928">
        <f t="shared" si="6"/>
        <v>89</v>
      </c>
      <c r="B404" s="926">
        <f>+NOMINA!C393</f>
        <v>27470077</v>
      </c>
      <c r="C404" s="926" t="str">
        <f>+NOMINA!D393</f>
        <v>Gonzalez Castellanos Yusberly Yohandri</v>
      </c>
      <c r="D404" s="926" t="str">
        <f>+NOMINA!O393</f>
        <v>Aseadora</v>
      </c>
      <c r="E404" s="929">
        <f>+NOMINA!H393</f>
        <v>44743</v>
      </c>
      <c r="F404" s="930">
        <f>+NOMINA!BL393</f>
        <v>12.76</v>
      </c>
      <c r="G404" s="930">
        <f>+NOMINA!BM393</f>
        <v>1.59</v>
      </c>
      <c r="H404" s="599"/>
      <c r="I404" s="600"/>
      <c r="J404" s="600"/>
      <c r="K404" s="600"/>
      <c r="L404" s="600"/>
    </row>
    <row r="405" spans="1:12" ht="15.75" customHeight="1" x14ac:dyDescent="0.25">
      <c r="A405" s="928">
        <f t="shared" si="6"/>
        <v>90</v>
      </c>
      <c r="B405" s="926">
        <f>+NOMINA!C394</f>
        <v>29539270</v>
      </c>
      <c r="C405" s="926" t="str">
        <f>+NOMINA!D394</f>
        <v>Rojas Carrillo Laureano Augusto</v>
      </c>
      <c r="D405" s="926" t="str">
        <f>+NOMINA!O394</f>
        <v>Ayudante de Servicios Generales</v>
      </c>
      <c r="E405" s="929">
        <f>+NOMINA!H394</f>
        <v>44287</v>
      </c>
      <c r="F405" s="930">
        <f>+NOMINA!BL394</f>
        <v>13.3</v>
      </c>
      <c r="G405" s="930">
        <f>+NOMINA!BM394</f>
        <v>1.66</v>
      </c>
      <c r="H405" s="599"/>
      <c r="I405" s="600"/>
      <c r="J405" s="600"/>
      <c r="K405" s="600"/>
      <c r="L405" s="600"/>
    </row>
    <row r="406" spans="1:12" ht="15.75" customHeight="1" x14ac:dyDescent="0.25">
      <c r="A406" s="928">
        <f t="shared" si="6"/>
        <v>91</v>
      </c>
      <c r="B406" s="926">
        <f>+NOMINA!C395</f>
        <v>29994277</v>
      </c>
      <c r="C406" s="926" t="str">
        <f>+NOMINA!D395</f>
        <v>Quintero Rangel Jose Arsenio</v>
      </c>
      <c r="D406" s="926" t="str">
        <f>+NOMINA!O395</f>
        <v>Ayudante de Servicios Generales</v>
      </c>
      <c r="E406" s="929">
        <f>+NOMINA!H395</f>
        <v>44562</v>
      </c>
      <c r="F406" s="930">
        <f>+NOMINA!BL395</f>
        <v>13.23</v>
      </c>
      <c r="G406" s="930">
        <f>+NOMINA!BM395</f>
        <v>1.65</v>
      </c>
      <c r="H406" s="599"/>
      <c r="I406" s="600"/>
      <c r="J406" s="600"/>
      <c r="K406" s="600"/>
      <c r="L406" s="600"/>
    </row>
    <row r="407" spans="1:12" ht="15.75" customHeight="1" thickBot="1" x14ac:dyDescent="0.3">
      <c r="A407" s="928">
        <f t="shared" si="6"/>
        <v>92</v>
      </c>
      <c r="B407" s="926">
        <f>+NOMINA!C396</f>
        <v>32084560</v>
      </c>
      <c r="C407" s="926" t="str">
        <f>+NOMINA!D396</f>
        <v>Hernandez Gomez Carmen Elena</v>
      </c>
      <c r="D407" s="926" t="str">
        <f>+NOMINA!O396</f>
        <v xml:space="preserve">Cocinera </v>
      </c>
      <c r="E407" s="929">
        <f>+NOMINA!H396</f>
        <v>44348</v>
      </c>
      <c r="F407" s="930">
        <f>+NOMINA!BL396</f>
        <v>14.78</v>
      </c>
      <c r="G407" s="930">
        <f>+NOMINA!BM396</f>
        <v>1.85</v>
      </c>
      <c r="H407" s="599"/>
      <c r="I407" s="600"/>
      <c r="J407" s="600"/>
      <c r="K407" s="600"/>
      <c r="L407" s="600"/>
    </row>
    <row r="408" spans="1:12" ht="15.75" customHeight="1" thickBot="1" x14ac:dyDescent="0.3">
      <c r="A408" s="928"/>
      <c r="B408" s="926"/>
      <c r="C408" s="926"/>
      <c r="D408" s="942" t="s">
        <v>4493</v>
      </c>
      <c r="E408" s="607" t="s">
        <v>5822</v>
      </c>
      <c r="F408" s="927">
        <f>SUM(F316:F407)</f>
        <v>1328.9600000000003</v>
      </c>
      <c r="G408" s="927">
        <f>SUM(G316:G407)</f>
        <v>166.14999999999992</v>
      </c>
      <c r="H408" s="599">
        <f>+NOMINA!BL388</f>
        <v>14.21</v>
      </c>
      <c r="I408" s="600">
        <f>+F408-H408</f>
        <v>1314.7500000000002</v>
      </c>
      <c r="J408" s="599">
        <f>+NOMINA!BM388</f>
        <v>1.78</v>
      </c>
      <c r="K408" s="600">
        <f>+G408-J408</f>
        <v>164.36999999999992</v>
      </c>
      <c r="L408" s="600"/>
    </row>
    <row r="409" spans="1:12" ht="8.25" customHeight="1" x14ac:dyDescent="0.25">
      <c r="A409" s="944"/>
      <c r="B409" s="931"/>
      <c r="C409" s="945"/>
      <c r="D409" s="945"/>
      <c r="E409" s="946"/>
      <c r="F409" s="947"/>
      <c r="G409" s="947"/>
      <c r="H409" s="599"/>
    </row>
    <row r="410" spans="1:12" ht="8.25" customHeight="1" thickBot="1" x14ac:dyDescent="0.3">
      <c r="A410" s="617"/>
      <c r="B410" s="613"/>
      <c r="C410" s="618"/>
      <c r="D410" s="618"/>
      <c r="E410" s="616"/>
      <c r="F410" s="615"/>
      <c r="G410" s="615"/>
      <c r="H410" s="599"/>
    </row>
    <row r="411" spans="1:12" ht="19.5" thickBot="1" x14ac:dyDescent="0.35">
      <c r="A411" s="938"/>
      <c r="B411" s="939"/>
      <c r="C411" s="940"/>
      <c r="D411" s="943" t="s">
        <v>5823</v>
      </c>
      <c r="E411" s="607" t="s">
        <v>5823</v>
      </c>
      <c r="F411" s="941">
        <f>+F408+F307+F38</f>
        <v>7386.5400000000018</v>
      </c>
      <c r="G411" s="941">
        <f>+G408+G307+G38</f>
        <v>923.41000000000008</v>
      </c>
      <c r="H411" s="599">
        <f>+NOMINA!BL392</f>
        <v>13.45</v>
      </c>
      <c r="I411" s="600">
        <f>+F411-H411</f>
        <v>7373.090000000002</v>
      </c>
      <c r="J411" s="599">
        <f>+NOMINA!BM392</f>
        <v>1.68</v>
      </c>
      <c r="K411" s="600">
        <f>+G411-J411</f>
        <v>921.73000000000013</v>
      </c>
    </row>
    <row r="412" spans="1:12" ht="13.5" customHeight="1" x14ac:dyDescent="0.25">
      <c r="H412" s="600"/>
      <c r="I412" s="600"/>
    </row>
    <row r="413" spans="1:12" x14ac:dyDescent="0.25">
      <c r="C413" s="595" t="s">
        <v>5815</v>
      </c>
      <c r="E413" s="595" t="s">
        <v>5816</v>
      </c>
      <c r="F413" s="595" t="s">
        <v>5816</v>
      </c>
    </row>
    <row r="416" spans="1:12" ht="17.25" x14ac:dyDescent="0.3">
      <c r="C416" s="605" t="s">
        <v>5817</v>
      </c>
      <c r="E416" s="606" t="s">
        <v>5827</v>
      </c>
      <c r="F416" s="606" t="s">
        <v>5818</v>
      </c>
    </row>
    <row r="417" spans="3:9" ht="17.25" x14ac:dyDescent="0.3">
      <c r="C417" s="605" t="s">
        <v>5819</v>
      </c>
      <c r="E417" s="605" t="s">
        <v>5820</v>
      </c>
      <c r="F417" s="605" t="s">
        <v>5820</v>
      </c>
      <c r="G417" s="609"/>
      <c r="H417" s="609"/>
    </row>
    <row r="418" spans="3:9" x14ac:dyDescent="0.25">
      <c r="G418" s="611"/>
      <c r="H418" s="610"/>
      <c r="I418" s="610"/>
    </row>
    <row r="419" spans="3:9" x14ac:dyDescent="0.25">
      <c r="H419" s="600"/>
      <c r="I419" s="600"/>
    </row>
  </sheetData>
  <mergeCells count="8">
    <mergeCell ref="A8:G8"/>
    <mergeCell ref="A9:G9"/>
    <mergeCell ref="A1:G1"/>
    <mergeCell ref="A2:G2"/>
    <mergeCell ref="A3:G3"/>
    <mergeCell ref="A4:G4"/>
    <mergeCell ref="A5:G5"/>
    <mergeCell ref="A6:G6"/>
  </mergeCells>
  <pageMargins left="0.19685039370078741" right="0.19685039370078741" top="0.98425196850393704" bottom="0.35433070866141736" header="0.31496062992125984" footer="0.31496062992125984"/>
  <pageSetup scale="80" orientation="portrait" r:id="rId1"/>
  <rowBreaks count="2" manualBreakCount="2">
    <brk id="46" max="6" man="1"/>
    <brk id="314" max="6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</sheetPr>
  <dimension ref="A1:AH471"/>
  <sheetViews>
    <sheetView view="pageBreakPreview" topLeftCell="T11" zoomScale="80" zoomScaleNormal="60" zoomScaleSheetLayoutView="80" workbookViewId="0">
      <pane ySplit="1500" topLeftCell="A434" activePane="bottomLeft"/>
      <selection activeCell="N11" sqref="N11"/>
      <selection pane="bottomLeft" activeCell="AB447" sqref="AB447"/>
    </sheetView>
  </sheetViews>
  <sheetFormatPr baseColWidth="10" defaultRowHeight="15" x14ac:dyDescent="0.2"/>
  <cols>
    <col min="1" max="1" width="16.5703125" style="594" hidden="1" customWidth="1"/>
    <col min="2" max="2" width="7.5703125" style="263" customWidth="1"/>
    <col min="3" max="3" width="14.85546875" style="265" customWidth="1"/>
    <col min="4" max="4" width="41.85546875" style="728" customWidth="1"/>
    <col min="5" max="5" width="13.42578125" style="265" hidden="1" customWidth="1"/>
    <col min="6" max="6" width="17" style="728" hidden="1" customWidth="1"/>
    <col min="7" max="7" width="8.7109375" style="594" hidden="1" customWidth="1"/>
    <col min="8" max="8" width="13.7109375" style="729" customWidth="1"/>
    <col min="9" max="9" width="9" style="594" hidden="1" customWidth="1"/>
    <col min="10" max="11" width="10.140625" style="594" hidden="1" customWidth="1"/>
    <col min="12" max="12" width="21.42578125" style="594" hidden="1" customWidth="1"/>
    <col min="13" max="13" width="14.140625" style="594" hidden="1" customWidth="1"/>
    <col min="14" max="14" width="39.7109375" style="265" customWidth="1"/>
    <col min="15" max="15" width="39.7109375" style="265" hidden="1" customWidth="1"/>
    <col min="16" max="16" width="13.5703125" style="263" customWidth="1"/>
    <col min="17" max="17" width="14.28515625" style="263" hidden="1" customWidth="1"/>
    <col min="18" max="18" width="15.7109375" style="730" customWidth="1"/>
    <col min="19" max="19" width="16.5703125" style="730" customWidth="1"/>
    <col min="20" max="20" width="14.7109375" style="730" customWidth="1"/>
    <col min="21" max="22" width="14.42578125" style="730" customWidth="1"/>
    <col min="23" max="23" width="14.7109375" style="816" customWidth="1"/>
    <col min="24" max="24" width="16" style="816" customWidth="1"/>
    <col min="25" max="26" width="18.140625" style="816" customWidth="1"/>
    <col min="27" max="27" width="16" style="816" customWidth="1"/>
    <col min="28" max="28" width="18.5703125" style="731" customWidth="1"/>
    <col min="29" max="33" width="11.42578125" style="265"/>
    <col min="34" max="34" width="27.42578125" style="265" bestFit="1" customWidth="1"/>
    <col min="35" max="16384" width="11.42578125" style="265"/>
  </cols>
  <sheetData>
    <row r="1" spans="1:34" s="620" customFormat="1" ht="22.5" customHeight="1" x14ac:dyDescent="0.25">
      <c r="A1" s="1462"/>
      <c r="B1" s="619"/>
      <c r="D1" s="621">
        <f>F9</f>
        <v>0</v>
      </c>
      <c r="F1" s="622"/>
      <c r="G1" s="1462"/>
      <c r="H1" s="623"/>
      <c r="I1" s="1462"/>
      <c r="J1" s="1462"/>
      <c r="K1" s="1462"/>
      <c r="L1" s="1462"/>
      <c r="M1" s="1462"/>
      <c r="P1" s="619"/>
      <c r="Q1" s="619"/>
      <c r="R1" s="624"/>
      <c r="S1" s="624"/>
      <c r="T1" s="624"/>
      <c r="U1" s="624"/>
      <c r="V1" s="624"/>
      <c r="W1" s="732"/>
      <c r="X1" s="732"/>
      <c r="Y1" s="732"/>
      <c r="Z1" s="732"/>
      <c r="AA1" s="732"/>
      <c r="AB1" s="625"/>
    </row>
    <row r="2" spans="1:34" s="620" customFormat="1" hidden="1" x14ac:dyDescent="0.2">
      <c r="A2" s="1462"/>
      <c r="B2" s="619"/>
      <c r="D2" s="622"/>
      <c r="F2" s="622"/>
      <c r="G2" s="1462"/>
      <c r="H2" s="623"/>
      <c r="I2" s="1462"/>
      <c r="J2" s="1462"/>
      <c r="K2" s="1462"/>
      <c r="L2" s="1462"/>
      <c r="M2" s="1462"/>
      <c r="P2" s="619"/>
      <c r="Q2" s="619"/>
      <c r="R2" s="624"/>
      <c r="S2" s="624"/>
      <c r="T2" s="624"/>
      <c r="U2" s="624"/>
      <c r="V2" s="624"/>
      <c r="W2" s="732"/>
      <c r="X2" s="732"/>
      <c r="Y2" s="732"/>
      <c r="Z2" s="732"/>
      <c r="AA2" s="732"/>
      <c r="AB2" s="625"/>
    </row>
    <row r="3" spans="1:34" s="620" customFormat="1" hidden="1" x14ac:dyDescent="0.2">
      <c r="A3" s="1462"/>
      <c r="B3" s="619"/>
      <c r="D3" s="622"/>
      <c r="F3" s="622"/>
      <c r="G3" s="1462"/>
      <c r="H3" s="623"/>
      <c r="I3" s="1462"/>
      <c r="J3" s="1462"/>
      <c r="K3" s="1462"/>
      <c r="L3" s="1462"/>
      <c r="M3" s="1462"/>
      <c r="P3" s="619"/>
      <c r="Q3" s="619"/>
      <c r="R3" s="624"/>
      <c r="S3" s="624"/>
      <c r="T3" s="624"/>
      <c r="U3" s="624"/>
      <c r="V3" s="624"/>
      <c r="W3" s="732"/>
      <c r="X3" s="732"/>
      <c r="Y3" s="732"/>
      <c r="Z3" s="732"/>
      <c r="AA3" s="732"/>
      <c r="AB3" s="625"/>
    </row>
    <row r="4" spans="1:34" s="620" customFormat="1" hidden="1" x14ac:dyDescent="0.2">
      <c r="A4" s="1462"/>
      <c r="B4" s="619"/>
      <c r="D4" s="622"/>
      <c r="F4" s="622"/>
      <c r="G4" s="1462"/>
      <c r="H4" s="623"/>
      <c r="I4" s="1462"/>
      <c r="J4" s="1462"/>
      <c r="K4" s="1462"/>
      <c r="L4" s="1462"/>
      <c r="M4" s="1462"/>
      <c r="P4" s="619"/>
      <c r="Q4" s="619"/>
      <c r="R4" s="624"/>
      <c r="S4" s="624"/>
      <c r="T4" s="624"/>
      <c r="U4" s="624"/>
      <c r="V4" s="624"/>
      <c r="W4" s="732"/>
      <c r="X4" s="732"/>
      <c r="Y4" s="732"/>
      <c r="Z4" s="732"/>
      <c r="AA4" s="732"/>
      <c r="AB4" s="625"/>
    </row>
    <row r="5" spans="1:34" s="620" customFormat="1" x14ac:dyDescent="0.2">
      <c r="A5" s="1462"/>
      <c r="B5" s="619"/>
      <c r="D5" s="622"/>
      <c r="F5" s="622"/>
      <c r="G5" s="1462"/>
      <c r="H5" s="623"/>
      <c r="I5" s="1462"/>
      <c r="J5" s="1462"/>
      <c r="K5" s="1462"/>
      <c r="L5" s="1462"/>
      <c r="M5" s="1462"/>
      <c r="P5" s="619"/>
      <c r="Q5" s="619"/>
      <c r="R5" s="624"/>
      <c r="S5" s="624"/>
      <c r="T5" s="624"/>
      <c r="U5" s="624"/>
      <c r="V5" s="624"/>
      <c r="W5" s="732"/>
      <c r="X5" s="732"/>
      <c r="Y5" s="732"/>
      <c r="Z5" s="732"/>
      <c r="AA5" s="732"/>
      <c r="AB5" s="625"/>
    </row>
    <row r="6" spans="1:34" s="620" customFormat="1" x14ac:dyDescent="0.2">
      <c r="A6" s="1462"/>
      <c r="B6" s="619"/>
      <c r="D6" s="622"/>
      <c r="F6" s="622"/>
      <c r="G6" s="1462"/>
      <c r="H6" s="623"/>
      <c r="I6" s="1462"/>
      <c r="J6" s="1462"/>
      <c r="K6" s="1462"/>
      <c r="L6" s="1462"/>
      <c r="M6" s="1462"/>
      <c r="P6" s="619"/>
      <c r="Q6" s="619"/>
      <c r="R6" s="624"/>
      <c r="S6" s="624"/>
      <c r="T6" s="624"/>
      <c r="U6" s="624"/>
      <c r="V6" s="624"/>
      <c r="W6" s="732"/>
      <c r="X6" s="732"/>
      <c r="Y6" s="732"/>
      <c r="Z6" s="732"/>
      <c r="AA6" s="732"/>
      <c r="AB6" s="625"/>
    </row>
    <row r="7" spans="1:34" s="620" customFormat="1" ht="37.5" customHeight="1" x14ac:dyDescent="0.2">
      <c r="A7" s="1462"/>
      <c r="B7" s="619"/>
      <c r="D7" s="622"/>
      <c r="F7" s="622"/>
      <c r="G7" s="1462"/>
      <c r="H7" s="623"/>
      <c r="I7" s="1462"/>
      <c r="J7" s="1462"/>
      <c r="K7" s="1462"/>
      <c r="L7" s="1462"/>
      <c r="M7" s="1462"/>
      <c r="P7" s="619"/>
      <c r="Q7" s="619"/>
      <c r="R7" s="624"/>
      <c r="S7" s="624"/>
      <c r="T7" s="624"/>
      <c r="U7" s="624"/>
      <c r="V7" s="624"/>
      <c r="W7" s="732"/>
      <c r="X7" s="732"/>
      <c r="Y7" s="732"/>
      <c r="Z7" s="732"/>
      <c r="AA7" s="732"/>
      <c r="AB7" s="625"/>
    </row>
    <row r="8" spans="1:34" s="620" customFormat="1" ht="21" customHeight="1" x14ac:dyDescent="0.2">
      <c r="A8" s="1462"/>
      <c r="B8" s="619"/>
      <c r="D8" s="622"/>
      <c r="F8" s="622"/>
      <c r="G8" s="1462"/>
      <c r="H8" s="623"/>
      <c r="I8" s="1462"/>
      <c r="J8" s="1462"/>
      <c r="K8" s="1462"/>
      <c r="L8" s="1462"/>
      <c r="M8" s="1462"/>
      <c r="P8" s="619"/>
      <c r="Q8" s="619"/>
      <c r="R8" s="624"/>
      <c r="S8" s="624"/>
      <c r="T8" s="624"/>
      <c r="U8" s="624"/>
      <c r="V8" s="624"/>
      <c r="W8" s="732"/>
      <c r="X8" s="732"/>
      <c r="Y8" s="732"/>
      <c r="Z8" s="732"/>
      <c r="AA8" s="732"/>
      <c r="AB8" s="625"/>
    </row>
    <row r="9" spans="1:34" s="620" customFormat="1" ht="29.25" customHeight="1" thickBot="1" x14ac:dyDescent="0.3">
      <c r="A9" s="1462"/>
      <c r="B9" s="619"/>
      <c r="C9" s="1769" t="str">
        <f>+"4TO PAGO AGUINALDOS"</f>
        <v>4TO PAGO AGUINALDOS</v>
      </c>
      <c r="D9" s="1769"/>
      <c r="E9" s="1769"/>
      <c r="F9" s="1769"/>
      <c r="G9" s="1769"/>
      <c r="H9" s="1769"/>
      <c r="I9" s="1769"/>
      <c r="J9" s="1769"/>
      <c r="K9" s="630"/>
      <c r="L9" s="630"/>
      <c r="M9" s="1462"/>
      <c r="N9" s="1438"/>
      <c r="P9" s="619"/>
      <c r="Q9" s="619"/>
      <c r="R9" s="624"/>
      <c r="S9" s="624"/>
      <c r="T9" s="624"/>
      <c r="U9" s="624"/>
      <c r="V9" s="624"/>
      <c r="W9" s="732"/>
      <c r="X9" s="732"/>
      <c r="Y9" s="732"/>
      <c r="Z9" s="732"/>
      <c r="AA9" s="732"/>
      <c r="AB9" s="625"/>
    </row>
    <row r="10" spans="1:34" s="633" customFormat="1" ht="27.75" customHeight="1" thickBot="1" x14ac:dyDescent="0.25">
      <c r="A10" s="632"/>
      <c r="B10" s="632"/>
      <c r="D10" s="634"/>
      <c r="F10" s="634"/>
      <c r="G10" s="632"/>
      <c r="H10" s="635"/>
      <c r="I10" s="632"/>
      <c r="J10" s="632"/>
      <c r="K10" s="632"/>
      <c r="L10" s="1770" t="s">
        <v>4627</v>
      </c>
      <c r="M10" s="1771"/>
      <c r="N10" s="620"/>
      <c r="O10" s="620"/>
      <c r="P10" s="632"/>
      <c r="Q10" s="632"/>
      <c r="R10" s="1772"/>
      <c r="S10" s="1772"/>
      <c r="T10" s="1464"/>
      <c r="U10" s="1464"/>
      <c r="V10" s="1464"/>
      <c r="W10" s="734"/>
      <c r="X10" s="735"/>
      <c r="Y10" s="736"/>
      <c r="Z10" s="1439"/>
      <c r="AA10" s="1439"/>
      <c r="AB10" s="1440">
        <v>4</v>
      </c>
    </row>
    <row r="11" spans="1:34" s="620" customFormat="1" ht="78.75" customHeight="1" thickBot="1" x14ac:dyDescent="0.25">
      <c r="A11" s="643" t="s">
        <v>2840</v>
      </c>
      <c r="B11" s="644" t="s">
        <v>0</v>
      </c>
      <c r="C11" s="645" t="s">
        <v>2</v>
      </c>
      <c r="D11" s="646" t="s">
        <v>3</v>
      </c>
      <c r="E11" s="645" t="s">
        <v>4619</v>
      </c>
      <c r="F11" s="647" t="s">
        <v>4580</v>
      </c>
      <c r="G11" s="645" t="s">
        <v>4623</v>
      </c>
      <c r="H11" s="645" t="s">
        <v>4</v>
      </c>
      <c r="I11" s="645" t="s">
        <v>4625</v>
      </c>
      <c r="J11" s="645" t="s">
        <v>4624</v>
      </c>
      <c r="K11" s="645" t="s">
        <v>4574</v>
      </c>
      <c r="L11" s="740" t="s">
        <v>4636</v>
      </c>
      <c r="M11" s="740" t="s">
        <v>4573</v>
      </c>
      <c r="N11" s="645" t="s">
        <v>5</v>
      </c>
      <c r="O11" s="645" t="s">
        <v>5101</v>
      </c>
      <c r="P11" s="645" t="s">
        <v>6714</v>
      </c>
      <c r="Q11" s="645" t="s">
        <v>7218</v>
      </c>
      <c r="R11" s="741" t="s">
        <v>7219</v>
      </c>
      <c r="S11" s="645" t="s">
        <v>7220</v>
      </c>
      <c r="T11" s="645" t="s">
        <v>7221</v>
      </c>
      <c r="U11" s="1463" t="s">
        <v>7222</v>
      </c>
      <c r="V11" s="868" t="s">
        <v>9</v>
      </c>
      <c r="W11" s="742" t="s">
        <v>5794</v>
      </c>
      <c r="X11" s="742" t="s">
        <v>5795</v>
      </c>
      <c r="Y11" s="742" t="s">
        <v>5799</v>
      </c>
      <c r="Z11" s="648" t="s">
        <v>7241</v>
      </c>
      <c r="AA11" s="648" t="s">
        <v>2859</v>
      </c>
      <c r="AB11" s="648" t="s">
        <v>7223</v>
      </c>
    </row>
    <row r="12" spans="1:34" s="620" customFormat="1" ht="21.75" customHeight="1" thickBot="1" x14ac:dyDescent="0.3">
      <c r="A12" s="745"/>
      <c r="B12" s="746" t="str">
        <f>+"PERSONAL EN COMISION DE SERVICIO_NOMINA_4TO PAGO AGUINALDOS"</f>
        <v>PERSONAL EN COMISION DE SERVICIO_NOMINA_4TO PAGO AGUINALDOS</v>
      </c>
      <c r="C12" s="747"/>
      <c r="D12" s="748"/>
      <c r="E12" s="747"/>
      <c r="F12" s="748"/>
      <c r="G12" s="749"/>
      <c r="H12" s="750"/>
      <c r="I12" s="751"/>
      <c r="J12" s="751"/>
      <c r="K12" s="751"/>
      <c r="L12" s="751"/>
      <c r="M12" s="751"/>
      <c r="N12" s="752"/>
      <c r="O12" s="752"/>
      <c r="P12" s="753"/>
      <c r="Q12" s="753"/>
      <c r="R12" s="754"/>
      <c r="S12" s="754"/>
      <c r="T12" s="754"/>
      <c r="U12" s="754"/>
      <c r="V12" s="756"/>
      <c r="W12" s="755"/>
      <c r="X12" s="755"/>
      <c r="Y12" s="755"/>
      <c r="Z12" s="1441"/>
      <c r="AA12" s="1441"/>
    </row>
    <row r="13" spans="1:34" s="620" customFormat="1" ht="20.100000000000001" customHeight="1" x14ac:dyDescent="0.2">
      <c r="A13" s="758" t="s">
        <v>2846</v>
      </c>
      <c r="B13" s="759">
        <v>1</v>
      </c>
      <c r="C13" s="1102">
        <f>NOMINA!C13</f>
        <v>19591141</v>
      </c>
      <c r="D13" s="1103" t="str">
        <f>NOMINA!D13</f>
        <v>Almazan Barragan Maria de los Angeles</v>
      </c>
      <c r="E13" s="1461" t="s">
        <v>4622</v>
      </c>
      <c r="F13" s="1110">
        <v>32351</v>
      </c>
      <c r="G13" s="1461" t="s">
        <v>4620</v>
      </c>
      <c r="H13" s="1442">
        <f>NOMINA!H13</f>
        <v>44537</v>
      </c>
      <c r="I13" s="1105">
        <f>NOMINA!I13</f>
        <v>3</v>
      </c>
      <c r="J13" s="1106">
        <f>NOMINA!J13</f>
        <v>0</v>
      </c>
      <c r="K13" s="1105">
        <f>I13+J13</f>
        <v>3</v>
      </c>
      <c r="L13" s="1106" t="s">
        <v>4932</v>
      </c>
      <c r="M13" s="1106"/>
      <c r="N13" s="1443" t="str">
        <f>NOMINA!O13</f>
        <v>DIRECTOR GENERAL</v>
      </c>
      <c r="O13" s="1106" t="s">
        <v>5209</v>
      </c>
      <c r="P13" s="1107">
        <f>ROUND(+NOMINA!T13,2)</f>
        <v>0</v>
      </c>
      <c r="Q13" s="1108">
        <f>ROUND(NOMINA!W13,2)</f>
        <v>0</v>
      </c>
      <c r="R13" s="1108">
        <f>ROUND(+NOMINA!AA13,2)</f>
        <v>0</v>
      </c>
      <c r="S13" s="1108">
        <f>ROUND(+NOMINA!AB13,2)</f>
        <v>0</v>
      </c>
      <c r="T13" s="1108">
        <f>ROUND(+NOMINA!AC13,2)</f>
        <v>0</v>
      </c>
      <c r="U13" s="1108">
        <f>ROUND(+NOMINA!AD13,2)</f>
        <v>0</v>
      </c>
      <c r="V13" s="1108">
        <f>ROUND(NOMINA!AQ13,2)</f>
        <v>0</v>
      </c>
      <c r="W13" s="1108">
        <f>+NOMINA!AS13</f>
        <v>0</v>
      </c>
      <c r="X13" s="1108">
        <f>+NOMINA!AT13</f>
        <v>0</v>
      </c>
      <c r="Y13" s="1108">
        <f>+NOMINA!AU13</f>
        <v>0</v>
      </c>
      <c r="Z13" s="1108">
        <f>+NOMINA!BW13</f>
        <v>0</v>
      </c>
      <c r="AA13" s="1108">
        <f>+NOMINA!BX13</f>
        <v>0</v>
      </c>
      <c r="AB13" s="1108">
        <f>+Z13+AA13</f>
        <v>0</v>
      </c>
      <c r="AH13" s="1467" t="str">
        <f>NOMINA!P13</f>
        <v>01020876910000061829</v>
      </c>
    </row>
    <row r="14" spans="1:34" s="620" customFormat="1" ht="20.100000000000001" customHeight="1" thickBot="1" x14ac:dyDescent="0.25">
      <c r="A14" s="1117" t="s">
        <v>2846</v>
      </c>
      <c r="B14" s="759">
        <f ca="1">OFFSET(B14,-1,0)+1</f>
        <v>2</v>
      </c>
      <c r="C14" s="1102">
        <f>NOMINA!C14</f>
        <v>15827671</v>
      </c>
      <c r="D14" s="1103" t="str">
        <f>NOMINA!D14</f>
        <v>Montilla Macias Lucy Margarita</v>
      </c>
      <c r="E14" s="1461" t="s">
        <v>4622</v>
      </c>
      <c r="F14" s="1110">
        <v>32351</v>
      </c>
      <c r="G14" s="1461" t="s">
        <v>4620</v>
      </c>
      <c r="H14" s="1442">
        <f>NOMINA!H14</f>
        <v>44545</v>
      </c>
      <c r="I14" s="1105">
        <f>NOMINA!I14</f>
        <v>3</v>
      </c>
      <c r="J14" s="1106">
        <f>NOMINA!J14</f>
        <v>1</v>
      </c>
      <c r="K14" s="1105">
        <f>I14+J14</f>
        <v>4</v>
      </c>
      <c r="L14" s="1106" t="s">
        <v>4932</v>
      </c>
      <c r="M14" s="1106"/>
      <c r="N14" s="1443" t="str">
        <f>NOMINA!O14</f>
        <v>JEFE DE DEPARTAMENTO</v>
      </c>
      <c r="O14" s="1106" t="s">
        <v>5209</v>
      </c>
      <c r="P14" s="1107">
        <f>ROUND(NOMINA!W14,2)</f>
        <v>26.5</v>
      </c>
      <c r="Q14" s="1108">
        <f>ROUND(NOMINA!W14,2)*0</f>
        <v>0</v>
      </c>
      <c r="R14" s="1108">
        <f>ROUND(+NOMINA!AA14,2)</f>
        <v>2.12</v>
      </c>
      <c r="S14" s="1108">
        <f>ROUND(+NOMINA!AB14,2)</f>
        <v>0</v>
      </c>
      <c r="T14" s="1108">
        <f>ROUND(+NOMINA!AC14,2)</f>
        <v>0</v>
      </c>
      <c r="U14" s="1108">
        <f>ROUND(+NOMINA!AD14,2)</f>
        <v>13.78</v>
      </c>
      <c r="V14" s="1108">
        <f>ROUND(NOMINA!AQ14,2)</f>
        <v>0</v>
      </c>
      <c r="W14" s="1108">
        <f>+NOMINA!AS14</f>
        <v>0</v>
      </c>
      <c r="X14" s="1108">
        <f>+NOMINA!AT14</f>
        <v>0</v>
      </c>
      <c r="Y14" s="1108">
        <f>+NOMINA!AU14</f>
        <v>68.900000000000006</v>
      </c>
      <c r="Z14" s="1108">
        <f>+NOMINA!BX14</f>
        <v>129.19</v>
      </c>
      <c r="AA14" s="1108">
        <f>+NOMINA!BY14</f>
        <v>0</v>
      </c>
      <c r="AB14" s="1108">
        <f>+Z14+AA14</f>
        <v>129.19</v>
      </c>
      <c r="AH14" s="1467" t="str">
        <f>NOMINA!P14</f>
        <v>01020369470000060626</v>
      </c>
    </row>
    <row r="15" spans="1:34" s="620" customFormat="1" ht="24.95" customHeight="1" thickBot="1" x14ac:dyDescent="0.25">
      <c r="A15" s="1117"/>
      <c r="B15" s="667"/>
      <c r="C15" s="760"/>
      <c r="D15" s="761"/>
      <c r="E15" s="762"/>
      <c r="F15" s="763"/>
      <c r="G15" s="762"/>
      <c r="H15" s="1444"/>
      <c r="I15" s="764"/>
      <c r="J15" s="765"/>
      <c r="K15" s="598" t="s">
        <v>5846</v>
      </c>
      <c r="L15" s="1445"/>
      <c r="M15" s="765"/>
      <c r="N15" s="1446"/>
      <c r="O15" s="765"/>
      <c r="P15" s="685">
        <f t="shared" ref="P15:AB15" si="0">SUM(P13:P14)</f>
        <v>26.5</v>
      </c>
      <c r="Q15" s="685">
        <f t="shared" si="0"/>
        <v>0</v>
      </c>
      <c r="R15" s="685">
        <f t="shared" si="0"/>
        <v>2.12</v>
      </c>
      <c r="S15" s="685">
        <f t="shared" si="0"/>
        <v>0</v>
      </c>
      <c r="T15" s="685">
        <f t="shared" si="0"/>
        <v>0</v>
      </c>
      <c r="U15" s="685">
        <f t="shared" si="0"/>
        <v>13.78</v>
      </c>
      <c r="V15" s="685">
        <f t="shared" si="0"/>
        <v>0</v>
      </c>
      <c r="W15" s="685">
        <f t="shared" si="0"/>
        <v>0</v>
      </c>
      <c r="X15" s="685">
        <f t="shared" si="0"/>
        <v>0</v>
      </c>
      <c r="Y15" s="685">
        <f t="shared" si="0"/>
        <v>68.900000000000006</v>
      </c>
      <c r="Z15" s="685">
        <f t="shared" si="0"/>
        <v>129.19</v>
      </c>
      <c r="AA15" s="685">
        <f t="shared" si="0"/>
        <v>0</v>
      </c>
      <c r="AB15" s="685">
        <f t="shared" si="0"/>
        <v>129.19</v>
      </c>
      <c r="AC15" s="625"/>
      <c r="AD15" s="625"/>
      <c r="AH15" s="761"/>
    </row>
    <row r="16" spans="1:34" s="620" customFormat="1" ht="20.100000000000001" customHeight="1" x14ac:dyDescent="0.2">
      <c r="A16" s="1117"/>
      <c r="B16" s="766"/>
      <c r="C16" s="767"/>
      <c r="D16" s="768"/>
      <c r="E16" s="769"/>
      <c r="F16" s="770"/>
      <c r="G16" s="769"/>
      <c r="H16" s="771"/>
      <c r="I16" s="772"/>
      <c r="J16" s="773"/>
      <c r="K16" s="774"/>
      <c r="L16" s="775"/>
      <c r="M16" s="773"/>
      <c r="N16" s="776"/>
      <c r="O16" s="773"/>
      <c r="P16" s="777"/>
      <c r="Q16" s="777"/>
      <c r="R16" s="777"/>
      <c r="S16" s="777"/>
      <c r="T16" s="777"/>
      <c r="U16" s="777"/>
      <c r="V16" s="777"/>
      <c r="W16" s="777"/>
      <c r="X16" s="777"/>
      <c r="Y16" s="777"/>
      <c r="Z16" s="777"/>
      <c r="AA16" s="777"/>
      <c r="AB16" s="777"/>
      <c r="AH16" s="768"/>
    </row>
    <row r="17" spans="1:34" s="620" customFormat="1" ht="20.100000000000001" customHeight="1" x14ac:dyDescent="0.2">
      <c r="A17" s="1117"/>
      <c r="B17" s="778"/>
      <c r="C17" s="779"/>
      <c r="D17" s="780"/>
      <c r="E17" s="699"/>
      <c r="F17" s="781"/>
      <c r="G17" s="699"/>
      <c r="H17" s="782"/>
      <c r="I17" s="783"/>
      <c r="J17" s="784"/>
      <c r="K17" s="602"/>
      <c r="L17" s="785"/>
      <c r="M17" s="784"/>
      <c r="N17" s="786"/>
      <c r="O17" s="784"/>
      <c r="P17" s="787"/>
      <c r="Q17" s="787"/>
      <c r="R17" s="787"/>
      <c r="S17" s="787"/>
      <c r="T17" s="787"/>
      <c r="U17" s="787"/>
      <c r="V17" s="787"/>
      <c r="W17" s="787"/>
      <c r="X17" s="787"/>
      <c r="Y17" s="787"/>
      <c r="Z17" s="787"/>
      <c r="AA17" s="787"/>
      <c r="AB17" s="787"/>
      <c r="AH17" s="780"/>
    </row>
    <row r="18" spans="1:34" s="620" customFormat="1" ht="20.100000000000001" customHeight="1" x14ac:dyDescent="0.2">
      <c r="A18" s="1117"/>
      <c r="B18" s="778"/>
      <c r="C18" s="779"/>
      <c r="D18" s="780"/>
      <c r="E18" s="699"/>
      <c r="F18" s="781"/>
      <c r="G18" s="699"/>
      <c r="H18" s="782"/>
      <c r="I18" s="783"/>
      <c r="J18" s="784"/>
      <c r="K18" s="602"/>
      <c r="L18" s="785"/>
      <c r="M18" s="784"/>
      <c r="N18" s="786"/>
      <c r="O18" s="784"/>
      <c r="P18" s="787"/>
      <c r="Q18" s="787"/>
      <c r="R18" s="787"/>
      <c r="S18" s="787"/>
      <c r="T18" s="787"/>
      <c r="U18" s="787"/>
      <c r="V18" s="787"/>
      <c r="W18" s="787"/>
      <c r="X18" s="787"/>
      <c r="Y18" s="787"/>
      <c r="Z18" s="787"/>
      <c r="AA18" s="787"/>
      <c r="AB18" s="787"/>
      <c r="AH18" s="780"/>
    </row>
    <row r="19" spans="1:34" s="620" customFormat="1" ht="20.100000000000001" customHeight="1" x14ac:dyDescent="0.2">
      <c r="A19" s="1117"/>
      <c r="B19" s="778"/>
      <c r="C19" s="779"/>
      <c r="D19" s="780"/>
      <c r="E19" s="699"/>
      <c r="F19" s="781"/>
      <c r="G19" s="699"/>
      <c r="H19" s="782"/>
      <c r="I19" s="783"/>
      <c r="J19" s="784"/>
      <c r="K19" s="602"/>
      <c r="L19" s="785"/>
      <c r="M19" s="784"/>
      <c r="N19" s="786"/>
      <c r="O19" s="784"/>
      <c r="P19" s="787"/>
      <c r="Q19" s="787"/>
      <c r="R19" s="787"/>
      <c r="S19" s="787"/>
      <c r="T19" s="787"/>
      <c r="U19" s="787"/>
      <c r="V19" s="787"/>
      <c r="W19" s="787"/>
      <c r="X19" s="787"/>
      <c r="Y19" s="787"/>
      <c r="Z19" s="787"/>
      <c r="AA19" s="787"/>
      <c r="AB19" s="787"/>
      <c r="AH19" s="780"/>
    </row>
    <row r="20" spans="1:34" s="620" customFormat="1" ht="20.100000000000001" customHeight="1" x14ac:dyDescent="0.2">
      <c r="A20" s="1117"/>
      <c r="B20" s="778"/>
      <c r="C20" s="779"/>
      <c r="D20" s="780"/>
      <c r="E20" s="699"/>
      <c r="F20" s="781"/>
      <c r="G20" s="699"/>
      <c r="H20" s="782"/>
      <c r="I20" s="783"/>
      <c r="J20" s="784"/>
      <c r="K20" s="602"/>
      <c r="L20" s="785"/>
      <c r="M20" s="784"/>
      <c r="N20" s="786"/>
      <c r="O20" s="784"/>
      <c r="P20" s="787"/>
      <c r="Q20" s="787"/>
      <c r="R20" s="787"/>
      <c r="S20" s="787"/>
      <c r="T20" s="787"/>
      <c r="U20" s="787"/>
      <c r="V20" s="787"/>
      <c r="W20" s="787"/>
      <c r="X20" s="787"/>
      <c r="Y20" s="787"/>
      <c r="Z20" s="787"/>
      <c r="AA20" s="787"/>
      <c r="AB20" s="787"/>
      <c r="AH20" s="780"/>
    </row>
    <row r="21" spans="1:34" s="620" customFormat="1" ht="20.100000000000001" customHeight="1" x14ac:dyDescent="0.2">
      <c r="A21" s="1117"/>
      <c r="B21" s="778"/>
      <c r="C21" s="779"/>
      <c r="D21" s="726" t="s">
        <v>5833</v>
      </c>
      <c r="E21" s="699"/>
      <c r="F21" s="781"/>
      <c r="G21" s="699"/>
      <c r="H21" s="782"/>
      <c r="I21" s="783"/>
      <c r="J21" s="784"/>
      <c r="K21" s="602"/>
      <c r="L21" s="785"/>
      <c r="M21" s="784"/>
      <c r="N21" s="786"/>
      <c r="O21" s="784"/>
      <c r="P21" s="717" t="s">
        <v>5834</v>
      </c>
      <c r="Q21" s="787"/>
      <c r="R21" s="787"/>
      <c r="S21" s="787"/>
      <c r="T21" s="787"/>
      <c r="U21" s="787"/>
      <c r="V21" s="787"/>
      <c r="W21" s="787"/>
      <c r="X21" s="787"/>
      <c r="Y21" s="715" t="s">
        <v>5835</v>
      </c>
      <c r="Z21" s="715"/>
      <c r="AA21" s="715"/>
      <c r="AB21" s="787"/>
      <c r="AH21" s="726"/>
    </row>
    <row r="22" spans="1:34" s="620" customFormat="1" ht="20.100000000000001" customHeight="1" x14ac:dyDescent="0.2">
      <c r="A22" s="1117"/>
      <c r="B22" s="778"/>
      <c r="C22" s="779"/>
      <c r="D22" s="780"/>
      <c r="E22" s="699"/>
      <c r="F22" s="781"/>
      <c r="G22" s="699"/>
      <c r="H22" s="782"/>
      <c r="I22" s="783"/>
      <c r="J22" s="784"/>
      <c r="K22" s="602"/>
      <c r="L22" s="785"/>
      <c r="M22" s="784"/>
      <c r="N22" s="786"/>
      <c r="O22" s="784"/>
      <c r="P22" s="787"/>
      <c r="Q22" s="787"/>
      <c r="R22" s="787"/>
      <c r="S22" s="787"/>
      <c r="T22" s="787"/>
      <c r="U22" s="787"/>
      <c r="V22" s="787"/>
      <c r="W22" s="787"/>
      <c r="X22" s="787"/>
      <c r="Y22" s="787"/>
      <c r="Z22" s="787"/>
      <c r="AA22" s="787"/>
      <c r="AB22" s="787"/>
      <c r="AH22" s="780"/>
    </row>
    <row r="23" spans="1:34" s="620" customFormat="1" ht="20.100000000000001" customHeight="1" x14ac:dyDescent="0.2">
      <c r="A23" s="1117"/>
      <c r="B23" s="778"/>
      <c r="C23" s="779"/>
      <c r="D23" s="780"/>
      <c r="E23" s="699"/>
      <c r="F23" s="781"/>
      <c r="G23" s="699"/>
      <c r="H23" s="782"/>
      <c r="I23" s="783"/>
      <c r="J23" s="784"/>
      <c r="K23" s="602"/>
      <c r="L23" s="785"/>
      <c r="M23" s="784"/>
      <c r="N23" s="786"/>
      <c r="O23" s="784"/>
      <c r="P23" s="787"/>
      <c r="Q23" s="787"/>
      <c r="R23" s="787"/>
      <c r="S23" s="787"/>
      <c r="T23" s="787"/>
      <c r="U23" s="787"/>
      <c r="V23" s="787"/>
      <c r="W23" s="787"/>
      <c r="X23" s="787"/>
      <c r="Y23" s="787"/>
      <c r="Z23" s="787"/>
      <c r="AA23" s="787"/>
      <c r="AB23" s="787"/>
      <c r="AH23" s="780"/>
    </row>
    <row r="24" spans="1:34" s="620" customFormat="1" ht="20.100000000000001" customHeight="1" x14ac:dyDescent="0.2">
      <c r="A24" s="1117"/>
      <c r="B24" s="778"/>
      <c r="C24" s="779"/>
      <c r="D24" s="780"/>
      <c r="E24" s="699"/>
      <c r="F24" s="781"/>
      <c r="G24" s="699"/>
      <c r="H24" s="782"/>
      <c r="I24" s="783"/>
      <c r="J24" s="784"/>
      <c r="K24" s="602"/>
      <c r="L24" s="785"/>
      <c r="M24" s="784"/>
      <c r="N24" s="786"/>
      <c r="O24" s="784"/>
      <c r="P24" s="787"/>
      <c r="Q24" s="787"/>
      <c r="R24" s="787"/>
      <c r="S24" s="787"/>
      <c r="T24" s="787"/>
      <c r="U24" s="787"/>
      <c r="V24" s="787"/>
      <c r="W24" s="787"/>
      <c r="X24" s="787"/>
      <c r="Y24" s="787"/>
      <c r="Z24" s="787"/>
      <c r="AA24" s="787"/>
      <c r="AB24" s="787"/>
      <c r="AH24" s="780"/>
    </row>
    <row r="25" spans="1:34" s="620" customFormat="1" ht="20.100000000000001" customHeight="1" x14ac:dyDescent="0.2">
      <c r="A25" s="1117"/>
      <c r="B25" s="725" t="s">
        <v>6752</v>
      </c>
      <c r="C25" s="726"/>
      <c r="D25" s="724"/>
      <c r="E25" s="724"/>
      <c r="F25" s="724"/>
      <c r="G25" s="724"/>
      <c r="H25" s="725" t="s">
        <v>6116</v>
      </c>
      <c r="I25" s="725"/>
      <c r="K25" s="602"/>
      <c r="L25" s="785"/>
      <c r="M25" s="784"/>
      <c r="N25" s="786"/>
      <c r="O25" s="784"/>
      <c r="P25" s="727" t="s">
        <v>5836</v>
      </c>
      <c r="Q25" s="787"/>
      <c r="R25" s="787"/>
      <c r="S25" s="787"/>
      <c r="T25" s="787"/>
      <c r="U25" s="787"/>
      <c r="V25" s="787"/>
      <c r="W25" s="787"/>
      <c r="X25" s="787"/>
      <c r="Y25" s="715" t="s">
        <v>5847</v>
      </c>
      <c r="Z25" s="715"/>
      <c r="AA25" s="715"/>
      <c r="AB25" s="787"/>
      <c r="AH25" s="724"/>
    </row>
    <row r="26" spans="1:34" s="620" customFormat="1" ht="20.100000000000001" customHeight="1" x14ac:dyDescent="0.2">
      <c r="A26" s="1117"/>
      <c r="B26" s="725" t="s">
        <v>6753</v>
      </c>
      <c r="C26" s="726"/>
      <c r="D26" s="724"/>
      <c r="E26" s="724"/>
      <c r="F26" s="724"/>
      <c r="G26" s="724"/>
      <c r="H26" s="725" t="s">
        <v>6117</v>
      </c>
      <c r="I26" s="725"/>
      <c r="K26" s="602"/>
      <c r="L26" s="785"/>
      <c r="M26" s="784"/>
      <c r="N26" s="786"/>
      <c r="O26" s="784"/>
      <c r="P26" s="727" t="s">
        <v>5838</v>
      </c>
      <c r="Q26" s="787"/>
      <c r="R26" s="787"/>
      <c r="S26" s="787"/>
      <c r="T26" s="787"/>
      <c r="U26" s="787"/>
      <c r="V26" s="787"/>
      <c r="W26" s="787"/>
      <c r="X26" s="787"/>
      <c r="Y26" s="725" t="s">
        <v>5839</v>
      </c>
      <c r="Z26" s="725"/>
      <c r="AA26" s="725"/>
      <c r="AB26" s="787"/>
      <c r="AH26" s="724"/>
    </row>
    <row r="27" spans="1:34" s="620" customFormat="1" ht="20.100000000000001" customHeight="1" x14ac:dyDescent="0.2">
      <c r="A27" s="1117"/>
      <c r="B27" s="725" t="s">
        <v>5240</v>
      </c>
      <c r="C27" s="726"/>
      <c r="D27" s="724"/>
      <c r="E27" s="724"/>
      <c r="F27" s="724"/>
      <c r="G27" s="724"/>
      <c r="H27" s="725" t="s">
        <v>5261</v>
      </c>
      <c r="I27" s="725"/>
      <c r="K27" s="602"/>
      <c r="L27" s="785"/>
      <c r="M27" s="784"/>
      <c r="N27" s="786"/>
      <c r="O27" s="784"/>
      <c r="P27" s="727" t="s">
        <v>5840</v>
      </c>
      <c r="Q27" s="787"/>
      <c r="R27" s="787"/>
      <c r="S27" s="787"/>
      <c r="T27" s="787"/>
      <c r="U27" s="787"/>
      <c r="V27" s="787"/>
      <c r="W27" s="787"/>
      <c r="X27" s="787"/>
      <c r="Y27" s="715" t="s">
        <v>5841</v>
      </c>
      <c r="Z27" s="715"/>
      <c r="AA27" s="715"/>
      <c r="AB27" s="787"/>
      <c r="AH27" s="724"/>
    </row>
    <row r="28" spans="1:34" s="620" customFormat="1" ht="20.100000000000001" customHeight="1" x14ac:dyDescent="0.2">
      <c r="A28" s="1117"/>
      <c r="B28" s="778"/>
      <c r="C28" s="779"/>
      <c r="D28" s="780"/>
      <c r="E28" s="699"/>
      <c r="F28" s="781"/>
      <c r="G28" s="699"/>
      <c r="H28" s="782"/>
      <c r="I28" s="783"/>
      <c r="J28" s="784"/>
      <c r="K28" s="602"/>
      <c r="L28" s="785"/>
      <c r="M28" s="784"/>
      <c r="N28" s="786"/>
      <c r="O28" s="784"/>
      <c r="P28" s="787"/>
      <c r="Q28" s="787"/>
      <c r="R28" s="787"/>
      <c r="S28" s="787"/>
      <c r="T28" s="787"/>
      <c r="U28" s="787"/>
      <c r="V28" s="787"/>
      <c r="W28" s="787"/>
      <c r="X28" s="787"/>
      <c r="Y28" s="787"/>
      <c r="Z28" s="787"/>
      <c r="AA28" s="787"/>
      <c r="AB28" s="787"/>
      <c r="AH28" s="780"/>
    </row>
    <row r="29" spans="1:34" s="620" customFormat="1" ht="20.100000000000001" customHeight="1" x14ac:dyDescent="0.2">
      <c r="A29" s="1117"/>
      <c r="B29" s="778"/>
      <c r="C29" s="779"/>
      <c r="D29" s="780"/>
      <c r="E29" s="699"/>
      <c r="F29" s="781"/>
      <c r="G29" s="699"/>
      <c r="H29" s="782"/>
      <c r="I29" s="783"/>
      <c r="J29" s="784"/>
      <c r="K29" s="602"/>
      <c r="L29" s="785"/>
      <c r="M29" s="784"/>
      <c r="N29" s="786"/>
      <c r="O29" s="784"/>
      <c r="P29" s="787"/>
      <c r="Q29" s="787"/>
      <c r="R29" s="787"/>
      <c r="S29" s="787"/>
      <c r="T29" s="787"/>
      <c r="U29" s="787"/>
      <c r="V29" s="787"/>
      <c r="W29" s="787"/>
      <c r="X29" s="787"/>
      <c r="Y29" s="787"/>
      <c r="Z29" s="787"/>
      <c r="AA29" s="787"/>
      <c r="AB29" s="787"/>
      <c r="AH29" s="780"/>
    </row>
    <row r="30" spans="1:34" s="620" customFormat="1" ht="20.100000000000001" customHeight="1" x14ac:dyDescent="0.2">
      <c r="A30" s="1117"/>
      <c r="B30" s="778"/>
      <c r="C30" s="779"/>
      <c r="D30" s="780"/>
      <c r="E30" s="699"/>
      <c r="F30" s="781"/>
      <c r="G30" s="699"/>
      <c r="H30" s="782"/>
      <c r="I30" s="783"/>
      <c r="J30" s="784"/>
      <c r="K30" s="602"/>
      <c r="L30" s="785"/>
      <c r="M30" s="784"/>
      <c r="N30" s="786"/>
      <c r="O30" s="784"/>
      <c r="P30" s="787"/>
      <c r="Q30" s="787"/>
      <c r="R30" s="787"/>
      <c r="S30" s="787"/>
      <c r="T30" s="787"/>
      <c r="U30" s="787"/>
      <c r="V30" s="787"/>
      <c r="W30" s="787"/>
      <c r="X30" s="787"/>
      <c r="Y30" s="787"/>
      <c r="Z30" s="787"/>
      <c r="AA30" s="787"/>
      <c r="AB30" s="787"/>
      <c r="AH30" s="780"/>
    </row>
    <row r="31" spans="1:34" s="620" customFormat="1" ht="20.100000000000001" customHeight="1" thickBot="1" x14ac:dyDescent="0.25">
      <c r="A31" s="1117"/>
      <c r="B31" s="778"/>
      <c r="C31" s="779"/>
      <c r="D31" s="780"/>
      <c r="E31" s="699"/>
      <c r="F31" s="781"/>
      <c r="G31" s="699"/>
      <c r="H31" s="782"/>
      <c r="I31" s="783"/>
      <c r="J31" s="784"/>
      <c r="K31" s="602"/>
      <c r="L31" s="785"/>
      <c r="M31" s="784"/>
      <c r="N31" s="786"/>
      <c r="O31" s="784"/>
      <c r="P31" s="787"/>
      <c r="Q31" s="787"/>
      <c r="R31" s="787"/>
      <c r="S31" s="787"/>
      <c r="T31" s="787"/>
      <c r="U31" s="787"/>
      <c r="V31" s="787"/>
      <c r="W31" s="787"/>
      <c r="X31" s="787"/>
      <c r="Y31" s="787"/>
      <c r="Z31" s="787"/>
      <c r="AA31" s="787"/>
      <c r="AB31" s="787"/>
      <c r="AH31" s="780"/>
    </row>
    <row r="32" spans="1:34" s="620" customFormat="1" ht="20.100000000000001" customHeight="1" x14ac:dyDescent="0.2">
      <c r="A32" s="1117"/>
      <c r="B32" s="656" t="str">
        <f>+"ALTO NIVEL Y DIRECCION_NOMINA_4TO PAGO AGUINALDO"</f>
        <v>ALTO NIVEL Y DIRECCION_NOMINA_4TO PAGO AGUINALDO</v>
      </c>
      <c r="C32" s="788"/>
      <c r="D32" s="789"/>
      <c r="E32" s="790"/>
      <c r="F32" s="791"/>
      <c r="G32" s="790"/>
      <c r="H32" s="792"/>
      <c r="I32" s="793"/>
      <c r="J32" s="794"/>
      <c r="K32" s="793"/>
      <c r="L32" s="795"/>
      <c r="M32" s="794"/>
      <c r="N32" s="796"/>
      <c r="O32" s="794"/>
      <c r="P32" s="797"/>
      <c r="Q32" s="798"/>
      <c r="R32" s="797"/>
      <c r="S32" s="797"/>
      <c r="T32" s="797"/>
      <c r="U32" s="797"/>
      <c r="V32" s="797"/>
      <c r="W32" s="797"/>
      <c r="X32" s="799"/>
      <c r="Y32" s="800"/>
      <c r="Z32" s="1447"/>
      <c r="AA32" s="1447"/>
      <c r="AB32" s="801"/>
      <c r="AH32" s="789"/>
    </row>
    <row r="33" spans="1:34" s="620" customFormat="1" ht="20.100000000000001" customHeight="1" x14ac:dyDescent="0.2">
      <c r="A33" s="1117" t="s">
        <v>2846</v>
      </c>
      <c r="B33" s="759">
        <v>1</v>
      </c>
      <c r="C33" s="1102">
        <f>NOMINA!C17</f>
        <v>11894534</v>
      </c>
      <c r="D33" s="1103" t="str">
        <f>NOMINA!D17</f>
        <v>Olmos Rodriguez Eberto de Jesus</v>
      </c>
      <c r="E33" s="1461" t="s">
        <v>4622</v>
      </c>
      <c r="F33" s="1110">
        <v>32351</v>
      </c>
      <c r="G33" s="1461" t="s">
        <v>4620</v>
      </c>
      <c r="H33" s="1442">
        <f>NOMINA!H17</f>
        <v>40909</v>
      </c>
      <c r="I33" s="1105">
        <f>NOMINA!I17</f>
        <v>13</v>
      </c>
      <c r="J33" s="1106">
        <f>NOMINA!J17</f>
        <v>13</v>
      </c>
      <c r="K33" s="1105">
        <f>I33+J33</f>
        <v>26</v>
      </c>
      <c r="L33" s="1106" t="s">
        <v>4932</v>
      </c>
      <c r="M33" s="1106"/>
      <c r="N33" s="1443" t="str">
        <f>NOMINA!O17</f>
        <v>JEFE DE DEPARTAMENTO</v>
      </c>
      <c r="O33" s="1106">
        <v>1.02087691000006E+18</v>
      </c>
      <c r="P33" s="1107">
        <f>ROUND(+NOMINA!T17,2)</f>
        <v>363</v>
      </c>
      <c r="Q33" s="1108">
        <v>0</v>
      </c>
      <c r="R33" s="1108">
        <f>ROUND(+NOMINA!AA17,2)</f>
        <v>108.9</v>
      </c>
      <c r="S33" s="1108">
        <f>ROUND(+NOMINA!AB17,2)</f>
        <v>130</v>
      </c>
      <c r="T33" s="1108">
        <f>ROUND(+NOMINA!AC17,2)</f>
        <v>0</v>
      </c>
      <c r="U33" s="1108">
        <f>ROUND(+NOMINA!AD17,2)</f>
        <v>150.47999999999999</v>
      </c>
      <c r="V33" s="1108">
        <f>ROUND(NOMINA!AQ17,2)</f>
        <v>0</v>
      </c>
      <c r="W33" s="1108">
        <f>+NOMINA!AS17</f>
        <v>0</v>
      </c>
      <c r="X33" s="1108">
        <f>+NOMINA!AT17</f>
        <v>0</v>
      </c>
      <c r="Y33" s="1108">
        <f>+NOMINA!AU17</f>
        <v>752.38</v>
      </c>
      <c r="Z33" s="1108">
        <f>+NOMINA!BX17</f>
        <v>1410.71</v>
      </c>
      <c r="AA33" s="1108">
        <f>+NOMINA!BY17</f>
        <v>0</v>
      </c>
      <c r="AB33" s="1108">
        <f>+Z33+AA33</f>
        <v>1410.71</v>
      </c>
      <c r="AH33" s="1467" t="str">
        <f>NOMINA!P17</f>
        <v>01020373290000440013</v>
      </c>
    </row>
    <row r="34" spans="1:34" s="620" customFormat="1" ht="20.100000000000001" customHeight="1" x14ac:dyDescent="0.2">
      <c r="A34" s="1117" t="s">
        <v>2846</v>
      </c>
      <c r="B34" s="759">
        <f>+B33+1</f>
        <v>2</v>
      </c>
      <c r="C34" s="1102">
        <f>NOMINA!C18</f>
        <v>12458942</v>
      </c>
      <c r="D34" s="1103" t="str">
        <f>NOMINA!D18</f>
        <v>Mendoza Mendoza Mirian del Milagro</v>
      </c>
      <c r="E34" s="1461" t="s">
        <v>4622</v>
      </c>
      <c r="F34" s="1110">
        <v>32351</v>
      </c>
      <c r="G34" s="1461" t="s">
        <v>4620</v>
      </c>
      <c r="H34" s="1442">
        <f>NOMINA!H18</f>
        <v>44424</v>
      </c>
      <c r="I34" s="1105">
        <f>NOMINA!I18</f>
        <v>4</v>
      </c>
      <c r="J34" s="1106">
        <f>NOMINA!J18</f>
        <v>19</v>
      </c>
      <c r="K34" s="1105">
        <f t="shared" ref="K34:K57" si="1">I34+J34</f>
        <v>23</v>
      </c>
      <c r="L34" s="1106" t="s">
        <v>4932</v>
      </c>
      <c r="M34" s="1106"/>
      <c r="N34" s="1443" t="str">
        <f>NOMINA!O18</f>
        <v>JEFE DE DEPARTAMENTO</v>
      </c>
      <c r="O34" s="1106">
        <v>1.02087691000006E+18</v>
      </c>
      <c r="P34" s="1107">
        <f>ROUND(+NOMINA!T18,2)</f>
        <v>363</v>
      </c>
      <c r="Q34" s="1108">
        <v>0</v>
      </c>
      <c r="R34" s="1108">
        <f>ROUND(+NOMINA!AA18,2)</f>
        <v>108.9</v>
      </c>
      <c r="S34" s="1108">
        <f>ROUND(+NOMINA!AB18,2)</f>
        <v>130</v>
      </c>
      <c r="T34" s="1108">
        <f>ROUND(+NOMINA!AC18,2)</f>
        <v>0</v>
      </c>
      <c r="U34" s="1108">
        <f>ROUND(+NOMINA!AD18,2)</f>
        <v>180.57</v>
      </c>
      <c r="V34" s="1108">
        <f>ROUND(NOMINA!AQ18,2)</f>
        <v>0</v>
      </c>
      <c r="W34" s="1108">
        <f>+NOMINA!AS18</f>
        <v>0</v>
      </c>
      <c r="X34" s="1108">
        <f>+NOMINA!AT18</f>
        <v>0</v>
      </c>
      <c r="Y34" s="1108">
        <f>+NOMINA!AU18</f>
        <v>782.47</v>
      </c>
      <c r="Z34" s="1108">
        <f>+NOMINA!BX18</f>
        <v>1467.13</v>
      </c>
      <c r="AA34" s="1108">
        <f>+NOMINA!BY18</f>
        <v>0</v>
      </c>
      <c r="AB34" s="1108">
        <f t="shared" ref="AB34:AB57" si="2">+Z34+AA34</f>
        <v>1467.13</v>
      </c>
      <c r="AH34" s="1467" t="str">
        <f>NOMINA!P18</f>
        <v>01020373280000439419</v>
      </c>
    </row>
    <row r="35" spans="1:34" s="620" customFormat="1" ht="20.100000000000001" customHeight="1" x14ac:dyDescent="0.2">
      <c r="A35" s="1117" t="s">
        <v>2846</v>
      </c>
      <c r="B35" s="759">
        <f t="shared" ref="B35:B57" si="3">+B34+1</f>
        <v>3</v>
      </c>
      <c r="C35" s="1102">
        <f>NOMINA!C19</f>
        <v>8719807</v>
      </c>
      <c r="D35" s="1103" t="str">
        <f>NOMINA!D19</f>
        <v>Perez Saavedra Isabel Teresa</v>
      </c>
      <c r="E35" s="1461" t="s">
        <v>4622</v>
      </c>
      <c r="F35" s="1110">
        <v>32351</v>
      </c>
      <c r="G35" s="1461" t="s">
        <v>4620</v>
      </c>
      <c r="H35" s="1442">
        <f>NOMINA!H19</f>
        <v>39874</v>
      </c>
      <c r="I35" s="1105">
        <f>NOMINA!I19</f>
        <v>16</v>
      </c>
      <c r="J35" s="1106">
        <f>NOMINA!J19</f>
        <v>4</v>
      </c>
      <c r="K35" s="1105">
        <f t="shared" si="1"/>
        <v>20</v>
      </c>
      <c r="L35" s="1106" t="s">
        <v>4932</v>
      </c>
      <c r="M35" s="1106"/>
      <c r="N35" s="1443" t="str">
        <f>NOMINA!O19</f>
        <v>JEFE DE DEPARTAMENTO</v>
      </c>
      <c r="O35" s="1106">
        <v>1.02087691000006E+18</v>
      </c>
      <c r="P35" s="1107">
        <f>ROUND(+NOMINA!T19,2)</f>
        <v>363</v>
      </c>
      <c r="Q35" s="1108">
        <v>0</v>
      </c>
      <c r="R35" s="1108">
        <f>ROUND(+NOMINA!AA19,2)</f>
        <v>94.38</v>
      </c>
      <c r="S35" s="1108">
        <f>ROUND(+NOMINA!AB19,2)</f>
        <v>130</v>
      </c>
      <c r="T35" s="1108">
        <f>ROUND(+NOMINA!AC19,2)</f>
        <v>0</v>
      </c>
      <c r="U35" s="1108">
        <f>ROUND(+NOMINA!AD19,2)</f>
        <v>146.85</v>
      </c>
      <c r="V35" s="1108">
        <f>ROUND(NOMINA!AQ19,2)</f>
        <v>0</v>
      </c>
      <c r="W35" s="1108">
        <f>+NOMINA!AS19</f>
        <v>0</v>
      </c>
      <c r="X35" s="1108">
        <f>+NOMINA!AT19</f>
        <v>0</v>
      </c>
      <c r="Y35" s="1108">
        <f>+NOMINA!AU19</f>
        <v>734.23</v>
      </c>
      <c r="Z35" s="1108">
        <f>+NOMINA!BX19</f>
        <v>1376.68</v>
      </c>
      <c r="AA35" s="1108">
        <f>+NOMINA!BY19</f>
        <v>0</v>
      </c>
      <c r="AB35" s="1108">
        <f t="shared" si="2"/>
        <v>1376.68</v>
      </c>
      <c r="AH35" s="1467" t="str">
        <f>NOMINA!P19</f>
        <v>01020373220000438999</v>
      </c>
    </row>
    <row r="36" spans="1:34" s="620" customFormat="1" ht="20.100000000000001" customHeight="1" x14ac:dyDescent="0.2">
      <c r="A36" s="1117" t="s">
        <v>2846</v>
      </c>
      <c r="B36" s="759">
        <f t="shared" si="3"/>
        <v>4</v>
      </c>
      <c r="C36" s="1102">
        <f>NOMINA!C20</f>
        <v>10404528</v>
      </c>
      <c r="D36" s="1103" t="str">
        <f>NOMINA!D20</f>
        <v>Perez Castellano Javier Horacio</v>
      </c>
      <c r="E36" s="1461" t="s">
        <v>4622</v>
      </c>
      <c r="F36" s="1110">
        <v>32351</v>
      </c>
      <c r="G36" s="1461" t="s">
        <v>4620</v>
      </c>
      <c r="H36" s="1442">
        <f>NOMINA!H20</f>
        <v>37622</v>
      </c>
      <c r="I36" s="1105">
        <f>NOMINA!I20</f>
        <v>22</v>
      </c>
      <c r="J36" s="1106">
        <f>NOMINA!J20</f>
        <v>0</v>
      </c>
      <c r="K36" s="1105">
        <f t="shared" si="1"/>
        <v>22</v>
      </c>
      <c r="L36" s="1106" t="s">
        <v>4932</v>
      </c>
      <c r="M36" s="1106"/>
      <c r="N36" s="1443" t="str">
        <f>NOMINA!O20</f>
        <v>JEFE DE DEPARTAMENTO</v>
      </c>
      <c r="O36" s="1106">
        <v>1.02087691000006E+18</v>
      </c>
      <c r="P36" s="1107">
        <f>ROUND(+NOMINA!T20,2)</f>
        <v>363</v>
      </c>
      <c r="Q36" s="1108">
        <v>0</v>
      </c>
      <c r="R36" s="1108">
        <f>ROUND(+NOMINA!AA20,2)</f>
        <v>107.45</v>
      </c>
      <c r="S36" s="1108">
        <f>ROUND(+NOMINA!AB20,2)</f>
        <v>130</v>
      </c>
      <c r="T36" s="1108">
        <f>ROUND(+NOMINA!AC20,2)</f>
        <v>12.5</v>
      </c>
      <c r="U36" s="1108">
        <f>ROUND(+NOMINA!AD20,2)</f>
        <v>153.24</v>
      </c>
      <c r="V36" s="1108">
        <f>ROUND(NOMINA!AQ20,2)</f>
        <v>0</v>
      </c>
      <c r="W36" s="1108">
        <f>+NOMINA!AS20</f>
        <v>0</v>
      </c>
      <c r="X36" s="1108">
        <f>+NOMINA!AT20</f>
        <v>12.5</v>
      </c>
      <c r="Y36" s="1108">
        <f>+NOMINA!AU20</f>
        <v>766.19</v>
      </c>
      <c r="Z36" s="1108">
        <f>+NOMINA!BX20</f>
        <v>1436.61</v>
      </c>
      <c r="AA36" s="1108">
        <f>+NOMINA!BY20</f>
        <v>0</v>
      </c>
      <c r="AB36" s="1108">
        <f t="shared" si="2"/>
        <v>1436.61</v>
      </c>
      <c r="AH36" s="1467" t="str">
        <f>NOMINA!P20</f>
        <v>01020373260000442189</v>
      </c>
    </row>
    <row r="37" spans="1:34" s="620" customFormat="1" ht="20.100000000000001" customHeight="1" x14ac:dyDescent="0.2">
      <c r="A37" s="1117" t="s">
        <v>2846</v>
      </c>
      <c r="B37" s="759">
        <f t="shared" si="3"/>
        <v>5</v>
      </c>
      <c r="C37" s="1102">
        <f>NOMINA!C21</f>
        <v>9311822</v>
      </c>
      <c r="D37" s="1103" t="str">
        <f>NOMINA!D21</f>
        <v>Rojo Sanchez Alexis Omar</v>
      </c>
      <c r="E37" s="1461" t="s">
        <v>4622</v>
      </c>
      <c r="F37" s="1110">
        <v>32351</v>
      </c>
      <c r="G37" s="1461" t="s">
        <v>4620</v>
      </c>
      <c r="H37" s="1442">
        <f>NOMINA!H21</f>
        <v>37662</v>
      </c>
      <c r="I37" s="1105">
        <f>NOMINA!I21</f>
        <v>22</v>
      </c>
      <c r="J37" s="1106">
        <f>NOMINA!J21</f>
        <v>0</v>
      </c>
      <c r="K37" s="1105">
        <f t="shared" si="1"/>
        <v>22</v>
      </c>
      <c r="L37" s="1106" t="s">
        <v>4932</v>
      </c>
      <c r="M37" s="1106"/>
      <c r="N37" s="1443" t="str">
        <f>NOMINA!O21</f>
        <v>JEFE DE DEPARTAMENTO</v>
      </c>
      <c r="O37" s="1106">
        <v>1.02087691000006E+18</v>
      </c>
      <c r="P37" s="1107">
        <f>ROUND(+NOMINA!T21,2)</f>
        <v>363</v>
      </c>
      <c r="Q37" s="1108">
        <v>0</v>
      </c>
      <c r="R37" s="1108">
        <f>ROUND(+NOMINA!AA21,2)</f>
        <v>107.45</v>
      </c>
      <c r="S37" s="1108">
        <f>ROUND(+NOMINA!AB21,2)</f>
        <v>130</v>
      </c>
      <c r="T37" s="1108">
        <f>ROUND(+NOMINA!AC21,2)</f>
        <v>0</v>
      </c>
      <c r="U37" s="1108">
        <f>ROUND(+NOMINA!AD21,2)</f>
        <v>0</v>
      </c>
      <c r="V37" s="1108">
        <f>ROUND(NOMINA!AQ21,2)</f>
        <v>0</v>
      </c>
      <c r="W37" s="1108">
        <f>+NOMINA!AS21</f>
        <v>0</v>
      </c>
      <c r="X37" s="1108">
        <f>+NOMINA!AT21</f>
        <v>0</v>
      </c>
      <c r="Y37" s="1108">
        <f>+NOMINA!AU21</f>
        <v>600.45000000000005</v>
      </c>
      <c r="Z37" s="1108">
        <f>+NOMINA!BX21</f>
        <v>1125.8499999999999</v>
      </c>
      <c r="AA37" s="1108">
        <f>+NOMINA!BY21</f>
        <v>0</v>
      </c>
      <c r="AB37" s="1108">
        <f t="shared" si="2"/>
        <v>1125.8499999999999</v>
      </c>
      <c r="AH37" s="1467" t="str">
        <f>NOMINA!P21</f>
        <v>01020373290000440657</v>
      </c>
    </row>
    <row r="38" spans="1:34" s="620" customFormat="1" ht="20.100000000000001" customHeight="1" x14ac:dyDescent="0.2">
      <c r="A38" s="1117" t="s">
        <v>2846</v>
      </c>
      <c r="B38" s="759">
        <f t="shared" si="3"/>
        <v>6</v>
      </c>
      <c r="C38" s="1102">
        <f>NOMINA!C22</f>
        <v>21592108</v>
      </c>
      <c r="D38" s="1103" t="str">
        <f>NOMINA!D22</f>
        <v>Coy Andara Darlin Gabriela</v>
      </c>
      <c r="E38" s="1461" t="s">
        <v>4622</v>
      </c>
      <c r="F38" s="1110">
        <v>32351</v>
      </c>
      <c r="G38" s="1461" t="s">
        <v>4620</v>
      </c>
      <c r="H38" s="1442">
        <f>NOMINA!H22</f>
        <v>43024</v>
      </c>
      <c r="I38" s="1105">
        <f>NOMINA!I22</f>
        <v>7</v>
      </c>
      <c r="J38" s="1106">
        <f>NOMINA!J22</f>
        <v>0</v>
      </c>
      <c r="K38" s="1105">
        <f t="shared" si="1"/>
        <v>7</v>
      </c>
      <c r="L38" s="1106" t="s">
        <v>4932</v>
      </c>
      <c r="M38" s="1106"/>
      <c r="N38" s="1443" t="str">
        <f>NOMINA!O22</f>
        <v>JEFE DE DEPARTAMENTO</v>
      </c>
      <c r="O38" s="1106">
        <v>1.02087691000006E+18</v>
      </c>
      <c r="P38" s="1107">
        <f>ROUND(+NOMINA!T22,2)</f>
        <v>363</v>
      </c>
      <c r="Q38" s="1108">
        <v>0</v>
      </c>
      <c r="R38" s="1108">
        <f>ROUND(+NOMINA!AA22,2)</f>
        <v>26.86</v>
      </c>
      <c r="S38" s="1108">
        <f>ROUND(+NOMINA!AB22,2)</f>
        <v>130</v>
      </c>
      <c r="T38" s="1108">
        <f>ROUND(+NOMINA!AC22,2)</f>
        <v>12.5</v>
      </c>
      <c r="U38" s="1108">
        <f>ROUND(+NOMINA!AD22,2)</f>
        <v>106.47</v>
      </c>
      <c r="V38" s="1108">
        <f>ROUND(NOMINA!AQ22,2)</f>
        <v>0</v>
      </c>
      <c r="W38" s="1108">
        <f>+NOMINA!AS22</f>
        <v>0</v>
      </c>
      <c r="X38" s="1108">
        <f>+NOMINA!AT22</f>
        <v>0</v>
      </c>
      <c r="Y38" s="1108">
        <f>+NOMINA!AU22</f>
        <v>638.83000000000004</v>
      </c>
      <c r="Z38" s="1108">
        <f>+NOMINA!BX22</f>
        <v>1197.81</v>
      </c>
      <c r="AA38" s="1108">
        <f>+NOMINA!BY22</f>
        <v>0</v>
      </c>
      <c r="AB38" s="1108">
        <f t="shared" si="2"/>
        <v>1197.81</v>
      </c>
      <c r="AH38" s="1467" t="str">
        <f>NOMINA!P22</f>
        <v>01020373250000478991</v>
      </c>
    </row>
    <row r="39" spans="1:34" s="620" customFormat="1" ht="20.100000000000001" customHeight="1" x14ac:dyDescent="0.2">
      <c r="A39" s="1117" t="s">
        <v>2846</v>
      </c>
      <c r="B39" s="759">
        <f t="shared" si="3"/>
        <v>7</v>
      </c>
      <c r="C39" s="1102">
        <f>NOMINA!C23</f>
        <v>13206767</v>
      </c>
      <c r="D39" s="1103" t="str">
        <f>NOMINA!D23</f>
        <v>Bastidas Guerra Soralis del Valle</v>
      </c>
      <c r="E39" s="1461" t="s">
        <v>4622</v>
      </c>
      <c r="F39" s="1110">
        <v>32351</v>
      </c>
      <c r="G39" s="1461" t="s">
        <v>4620</v>
      </c>
      <c r="H39" s="1442">
        <f>NOMINA!H23</f>
        <v>44713</v>
      </c>
      <c r="I39" s="1105">
        <f>NOMINA!I23</f>
        <v>3</v>
      </c>
      <c r="J39" s="1106">
        <f>NOMINA!J23</f>
        <v>0</v>
      </c>
      <c r="K39" s="1105">
        <f t="shared" si="1"/>
        <v>3</v>
      </c>
      <c r="L39" s="1106" t="s">
        <v>4932</v>
      </c>
      <c r="M39" s="1106"/>
      <c r="N39" s="1443" t="str">
        <f>NOMINA!O23</f>
        <v>COORDINADOR DE PROGRAMA (SAPNNAET)</v>
      </c>
      <c r="O39" s="1106">
        <v>1.02087691000006E+18</v>
      </c>
      <c r="P39" s="1107">
        <f>ROUND(+NOMINA!T23,2)</f>
        <v>348</v>
      </c>
      <c r="Q39" s="1108">
        <v>0</v>
      </c>
      <c r="R39" s="1108">
        <f>ROUND(+NOMINA!AA23,2)</f>
        <v>10.44</v>
      </c>
      <c r="S39" s="1108">
        <f>ROUND(+NOMINA!AB23,2)</f>
        <v>130</v>
      </c>
      <c r="T39" s="1108">
        <f>ROUND(+NOMINA!AC23,2)</f>
        <v>0</v>
      </c>
      <c r="U39" s="1108">
        <f>ROUND(+NOMINA!AD23,2)</f>
        <v>122.11</v>
      </c>
      <c r="V39" s="1108">
        <f>ROUND(NOMINA!AQ23,2)</f>
        <v>0</v>
      </c>
      <c r="W39" s="1108">
        <f>+NOMINA!AS23</f>
        <v>0</v>
      </c>
      <c r="X39" s="1108">
        <f>+NOMINA!AT23</f>
        <v>0</v>
      </c>
      <c r="Y39" s="1108">
        <f>+NOMINA!AU23</f>
        <v>610.54999999999995</v>
      </c>
      <c r="Z39" s="1108">
        <f>+NOMINA!BX23</f>
        <v>1144.78</v>
      </c>
      <c r="AA39" s="1108">
        <f>+NOMINA!BY23</f>
        <v>0</v>
      </c>
      <c r="AB39" s="1108">
        <f t="shared" si="2"/>
        <v>1144.78</v>
      </c>
      <c r="AH39" s="1467" t="str">
        <f>NOMINA!P23</f>
        <v>01020345720000067289</v>
      </c>
    </row>
    <row r="40" spans="1:34" s="620" customFormat="1" ht="20.100000000000001" customHeight="1" x14ac:dyDescent="0.2">
      <c r="A40" s="1117" t="s">
        <v>2846</v>
      </c>
      <c r="B40" s="759">
        <f t="shared" si="3"/>
        <v>8</v>
      </c>
      <c r="C40" s="1102">
        <f>NOMINA!C24</f>
        <v>13462933</v>
      </c>
      <c r="D40" s="1103" t="str">
        <f>NOMINA!D24</f>
        <v>Frias Aldana Maria Yaritza</v>
      </c>
      <c r="E40" s="1461" t="s">
        <v>4622</v>
      </c>
      <c r="F40" s="1110">
        <v>32351</v>
      </c>
      <c r="G40" s="1461" t="s">
        <v>4620</v>
      </c>
      <c r="H40" s="1442">
        <f>NOMINA!H24</f>
        <v>39454</v>
      </c>
      <c r="I40" s="1105">
        <f>NOMINA!I24</f>
        <v>17</v>
      </c>
      <c r="J40" s="1106">
        <f>NOMINA!J24</f>
        <v>6</v>
      </c>
      <c r="K40" s="1105">
        <f t="shared" si="1"/>
        <v>23</v>
      </c>
      <c r="L40" s="1106" t="s">
        <v>4932</v>
      </c>
      <c r="M40" s="1106"/>
      <c r="N40" s="1443" t="str">
        <f>NOMINA!O24</f>
        <v>COORDINADOR DE PROGRAMA (SAPNNAET)</v>
      </c>
      <c r="O40" s="1106">
        <v>1.02087691000006E+18</v>
      </c>
      <c r="P40" s="1107">
        <f>ROUND(+NOMINA!T24,2)</f>
        <v>348</v>
      </c>
      <c r="Q40" s="1108">
        <v>0</v>
      </c>
      <c r="R40" s="1108">
        <f>ROUND(+NOMINA!AA24,2)</f>
        <v>104.4</v>
      </c>
      <c r="S40" s="1108">
        <f>ROUND(+NOMINA!AB24,2)</f>
        <v>130</v>
      </c>
      <c r="T40" s="1108">
        <f>ROUND(+NOMINA!AC24,2)</f>
        <v>12.5</v>
      </c>
      <c r="U40" s="1108">
        <f>ROUND(+NOMINA!AD24,2)</f>
        <v>118.98</v>
      </c>
      <c r="V40" s="1108">
        <f>ROUND(NOMINA!AQ24,2)</f>
        <v>0</v>
      </c>
      <c r="W40" s="1108">
        <f>+NOMINA!AS24</f>
        <v>0</v>
      </c>
      <c r="X40" s="1108">
        <f>+NOMINA!AT24</f>
        <v>12.5</v>
      </c>
      <c r="Y40" s="1108">
        <f>+NOMINA!AU24</f>
        <v>713.88</v>
      </c>
      <c r="Z40" s="1108">
        <f>+NOMINA!BX24</f>
        <v>1338.53</v>
      </c>
      <c r="AA40" s="1108">
        <f>+NOMINA!BY24</f>
        <v>0</v>
      </c>
      <c r="AB40" s="1108">
        <f t="shared" si="2"/>
        <v>1338.53</v>
      </c>
      <c r="AH40" s="1467" t="str">
        <f>NOMINA!P24</f>
        <v>01020373210000440521</v>
      </c>
    </row>
    <row r="41" spans="1:34" s="620" customFormat="1" ht="20.100000000000001" customHeight="1" x14ac:dyDescent="0.2">
      <c r="A41" s="1117" t="s">
        <v>2846</v>
      </c>
      <c r="B41" s="759">
        <f t="shared" si="3"/>
        <v>9</v>
      </c>
      <c r="C41" s="1102" t="e">
        <f>NOMINA!#REF!</f>
        <v>#REF!</v>
      </c>
      <c r="D41" s="1103" t="e">
        <f>NOMINA!#REF!</f>
        <v>#REF!</v>
      </c>
      <c r="E41" s="1461" t="s">
        <v>4622</v>
      </c>
      <c r="F41" s="1110">
        <v>32351</v>
      </c>
      <c r="G41" s="1461" t="s">
        <v>4620</v>
      </c>
      <c r="H41" s="1442" t="e">
        <f>NOMINA!#REF!</f>
        <v>#REF!</v>
      </c>
      <c r="I41" s="1105" t="e">
        <f>NOMINA!#REF!</f>
        <v>#REF!</v>
      </c>
      <c r="J41" s="1106" t="e">
        <f>NOMINA!#REF!</f>
        <v>#REF!</v>
      </c>
      <c r="K41" s="1105" t="e">
        <f t="shared" si="1"/>
        <v>#REF!</v>
      </c>
      <c r="L41" s="1106" t="s">
        <v>4932</v>
      </c>
      <c r="M41" s="1106"/>
      <c r="N41" s="1443" t="e">
        <f>NOMINA!#REF!</f>
        <v>#REF!</v>
      </c>
      <c r="O41" s="1106">
        <v>1.02087691000006E+18</v>
      </c>
      <c r="P41" s="1107" t="e">
        <f>ROUND(+NOMINA!#REF!,2)</f>
        <v>#REF!</v>
      </c>
      <c r="Q41" s="1108">
        <v>0</v>
      </c>
      <c r="R41" s="1108" t="e">
        <f>ROUND(+NOMINA!#REF!,2)</f>
        <v>#REF!</v>
      </c>
      <c r="S41" s="1108" t="e">
        <f>ROUND(+NOMINA!#REF!,2)</f>
        <v>#REF!</v>
      </c>
      <c r="T41" s="1108" t="e">
        <f>ROUND(+NOMINA!#REF!,2)</f>
        <v>#REF!</v>
      </c>
      <c r="U41" s="1108" t="e">
        <f>ROUND(+NOMINA!#REF!,2)</f>
        <v>#REF!</v>
      </c>
      <c r="V41" s="1108" t="e">
        <f>ROUND(NOMINA!#REF!,2)</f>
        <v>#REF!</v>
      </c>
      <c r="W41" s="1108" t="e">
        <f>+NOMINA!#REF!</f>
        <v>#REF!</v>
      </c>
      <c r="X41" s="1108" t="e">
        <f>+NOMINA!#REF!</f>
        <v>#REF!</v>
      </c>
      <c r="Y41" s="1108" t="e">
        <f>+NOMINA!#REF!</f>
        <v>#REF!</v>
      </c>
      <c r="Z41" s="1108" t="e">
        <f>+NOMINA!#REF!</f>
        <v>#REF!</v>
      </c>
      <c r="AA41" s="1108" t="e">
        <f>+NOMINA!#REF!</f>
        <v>#REF!</v>
      </c>
      <c r="AB41" s="1108" t="e">
        <f t="shared" si="2"/>
        <v>#REF!</v>
      </c>
      <c r="AH41" s="1467" t="e">
        <f>NOMINA!#REF!</f>
        <v>#REF!</v>
      </c>
    </row>
    <row r="42" spans="1:34" s="620" customFormat="1" ht="20.100000000000001" customHeight="1" x14ac:dyDescent="0.2">
      <c r="A42" s="1117" t="s">
        <v>2846</v>
      </c>
      <c r="B42" s="759">
        <f t="shared" si="3"/>
        <v>10</v>
      </c>
      <c r="C42" s="1102" t="e">
        <f>NOMINA!#REF!</f>
        <v>#REF!</v>
      </c>
      <c r="D42" s="1103" t="e">
        <f>NOMINA!#REF!</f>
        <v>#REF!</v>
      </c>
      <c r="E42" s="1461" t="s">
        <v>4622</v>
      </c>
      <c r="F42" s="1110">
        <v>32351</v>
      </c>
      <c r="G42" s="1461" t="s">
        <v>4620</v>
      </c>
      <c r="H42" s="1442" t="e">
        <f>NOMINA!#REF!</f>
        <v>#REF!</v>
      </c>
      <c r="I42" s="1105" t="e">
        <f>NOMINA!#REF!</f>
        <v>#REF!</v>
      </c>
      <c r="J42" s="1106" t="e">
        <f>NOMINA!#REF!</f>
        <v>#REF!</v>
      </c>
      <c r="K42" s="1105" t="e">
        <f t="shared" si="1"/>
        <v>#REF!</v>
      </c>
      <c r="L42" s="1106" t="s">
        <v>4932</v>
      </c>
      <c r="M42" s="1106"/>
      <c r="N42" s="1443" t="e">
        <f>NOMINA!#REF!</f>
        <v>#REF!</v>
      </c>
      <c r="O42" s="1106">
        <v>1.02087691000006E+18</v>
      </c>
      <c r="P42" s="1107" t="e">
        <f>ROUND(+NOMINA!#REF!,2)</f>
        <v>#REF!</v>
      </c>
      <c r="Q42" s="1108">
        <v>0</v>
      </c>
      <c r="R42" s="1108" t="e">
        <f>ROUND(+NOMINA!#REF!,2)</f>
        <v>#REF!</v>
      </c>
      <c r="S42" s="1108" t="e">
        <f>ROUND(+NOMINA!#REF!,2)</f>
        <v>#REF!</v>
      </c>
      <c r="T42" s="1108" t="e">
        <f>ROUND(+NOMINA!#REF!,2)</f>
        <v>#REF!</v>
      </c>
      <c r="U42" s="1108" t="e">
        <f>ROUND(+NOMINA!#REF!,2)</f>
        <v>#REF!</v>
      </c>
      <c r="V42" s="1108" t="e">
        <f>ROUND(NOMINA!#REF!,2)</f>
        <v>#REF!</v>
      </c>
      <c r="W42" s="1108" t="e">
        <f>+NOMINA!#REF!</f>
        <v>#REF!</v>
      </c>
      <c r="X42" s="1108" t="e">
        <f>+NOMINA!#REF!</f>
        <v>#REF!</v>
      </c>
      <c r="Y42" s="1108" t="e">
        <f>+NOMINA!#REF!</f>
        <v>#REF!</v>
      </c>
      <c r="Z42" s="1108" t="e">
        <f>+NOMINA!#REF!</f>
        <v>#REF!</v>
      </c>
      <c r="AA42" s="1108" t="e">
        <f>+NOMINA!#REF!</f>
        <v>#REF!</v>
      </c>
      <c r="AB42" s="1108" t="e">
        <f t="shared" si="2"/>
        <v>#REF!</v>
      </c>
      <c r="AH42" s="1467" t="e">
        <f>NOMINA!#REF!</f>
        <v>#REF!</v>
      </c>
    </row>
    <row r="43" spans="1:34" s="620" customFormat="1" ht="20.100000000000001" customHeight="1" x14ac:dyDescent="0.2">
      <c r="A43" s="1117" t="s">
        <v>2846</v>
      </c>
      <c r="B43" s="759">
        <f t="shared" si="3"/>
        <v>11</v>
      </c>
      <c r="C43" s="1102">
        <f>NOMINA!C25</f>
        <v>12542413</v>
      </c>
      <c r="D43" s="1103" t="str">
        <f>NOMINA!D25</f>
        <v>Aponte Matheus Richard Alexander</v>
      </c>
      <c r="E43" s="1461" t="s">
        <v>4622</v>
      </c>
      <c r="F43" s="1110">
        <v>32351</v>
      </c>
      <c r="G43" s="1461" t="s">
        <v>4620</v>
      </c>
      <c r="H43" s="1442">
        <f>NOMINA!H25</f>
        <v>36434</v>
      </c>
      <c r="I43" s="1105">
        <f>NOMINA!I25</f>
        <v>25</v>
      </c>
      <c r="J43" s="1106">
        <f>NOMINA!J25</f>
        <v>0</v>
      </c>
      <c r="K43" s="1105">
        <f t="shared" si="1"/>
        <v>25</v>
      </c>
      <c r="L43" s="1106" t="s">
        <v>4932</v>
      </c>
      <c r="M43" s="1106"/>
      <c r="N43" s="1443" t="str">
        <f>NOMINA!O25</f>
        <v>COORDINADOR DE PROGRAMA (SAPNNAET)</v>
      </c>
      <c r="O43" s="1106">
        <v>1.02087691000006E+18</v>
      </c>
      <c r="P43" s="1107">
        <f>ROUND(+NOMINA!T25,2)</f>
        <v>348</v>
      </c>
      <c r="Q43" s="1108">
        <v>0</v>
      </c>
      <c r="R43" s="1108">
        <f>ROUND(+NOMINA!AA25,2)</f>
        <v>104.4</v>
      </c>
      <c r="S43" s="1108">
        <f>ROUND(+NOMINA!AB25,2)</f>
        <v>130</v>
      </c>
      <c r="T43" s="1108">
        <f>ROUND(+NOMINA!AC25,2)</f>
        <v>0</v>
      </c>
      <c r="U43" s="1108">
        <f>ROUND(+NOMINA!AD25,2)</f>
        <v>0</v>
      </c>
      <c r="V43" s="1108">
        <f>ROUND(NOMINA!AQ25,2)</f>
        <v>0</v>
      </c>
      <c r="W43" s="1108">
        <f>+NOMINA!AS25</f>
        <v>0</v>
      </c>
      <c r="X43" s="1108">
        <f>+NOMINA!AT25</f>
        <v>0</v>
      </c>
      <c r="Y43" s="1108">
        <f>+NOMINA!AU25</f>
        <v>582.4</v>
      </c>
      <c r="Z43" s="1108">
        <f>+NOMINA!BX25</f>
        <v>1092</v>
      </c>
      <c r="AA43" s="1108">
        <f>+NOMINA!BY25</f>
        <v>0</v>
      </c>
      <c r="AB43" s="1108">
        <f t="shared" si="2"/>
        <v>1092</v>
      </c>
      <c r="AH43" s="1467" t="str">
        <f>NOMINA!P25</f>
        <v>01020373200000439435</v>
      </c>
    </row>
    <row r="44" spans="1:34" s="620" customFormat="1" ht="20.100000000000001" customHeight="1" x14ac:dyDescent="0.2">
      <c r="A44" s="1117" t="s">
        <v>2846</v>
      </c>
      <c r="B44" s="759">
        <f t="shared" si="3"/>
        <v>12</v>
      </c>
      <c r="C44" s="1102">
        <f>NOMINA!C26</f>
        <v>18457406</v>
      </c>
      <c r="D44" s="1103" t="str">
        <f>NOMINA!D26</f>
        <v>Rivero Zambrano Herluis Jose</v>
      </c>
      <c r="E44" s="1461" t="s">
        <v>4622</v>
      </c>
      <c r="F44" s="1110">
        <v>32351</v>
      </c>
      <c r="G44" s="1461" t="s">
        <v>4620</v>
      </c>
      <c r="H44" s="1442">
        <f>NOMINA!H26</f>
        <v>41548</v>
      </c>
      <c r="I44" s="1105">
        <f>NOMINA!I26</f>
        <v>11</v>
      </c>
      <c r="J44" s="1106">
        <f>NOMINA!J26</f>
        <v>0</v>
      </c>
      <c r="K44" s="1105">
        <f t="shared" si="1"/>
        <v>11</v>
      </c>
      <c r="L44" s="1106" t="s">
        <v>4932</v>
      </c>
      <c r="M44" s="1106"/>
      <c r="N44" s="1443" t="str">
        <f>NOMINA!O26</f>
        <v>COORDINADOR DE PROGRAMA (SAPNNAET)</v>
      </c>
      <c r="O44" s="1106">
        <v>1.02087691000006E+18</v>
      </c>
      <c r="P44" s="1107">
        <f>ROUND(+NOMINA!T26,2)</f>
        <v>348</v>
      </c>
      <c r="Q44" s="1108">
        <v>0</v>
      </c>
      <c r="R44" s="1108">
        <f>ROUND(+NOMINA!AA26,2)</f>
        <v>43.15</v>
      </c>
      <c r="S44" s="1108">
        <f>ROUND(+NOMINA!AB26,2)</f>
        <v>130</v>
      </c>
      <c r="T44" s="1108">
        <f>ROUND(+NOMINA!AC26,2)</f>
        <v>25</v>
      </c>
      <c r="U44" s="1108">
        <f>ROUND(+NOMINA!AD26,2)</f>
        <v>136.54</v>
      </c>
      <c r="V44" s="1108">
        <f>ROUND(NOMINA!AQ26,2)</f>
        <v>0</v>
      </c>
      <c r="W44" s="1108">
        <f>+NOMINA!AS26</f>
        <v>0</v>
      </c>
      <c r="X44" s="1108">
        <f>+NOMINA!AT26</f>
        <v>12.5</v>
      </c>
      <c r="Y44" s="1108">
        <f>+NOMINA!AU26</f>
        <v>682.69</v>
      </c>
      <c r="Z44" s="1108">
        <f>+NOMINA!BX26</f>
        <v>1280.05</v>
      </c>
      <c r="AA44" s="1108">
        <f>+NOMINA!BY26</f>
        <v>0</v>
      </c>
      <c r="AB44" s="1108">
        <f t="shared" si="2"/>
        <v>1280.05</v>
      </c>
      <c r="AH44" s="1467" t="str">
        <f>NOMINA!P26</f>
        <v>01020373280000441669</v>
      </c>
    </row>
    <row r="45" spans="1:34" s="620" customFormat="1" ht="20.100000000000001" customHeight="1" x14ac:dyDescent="0.2">
      <c r="A45" s="1117" t="s">
        <v>2846</v>
      </c>
      <c r="B45" s="759">
        <f t="shared" si="3"/>
        <v>13</v>
      </c>
      <c r="C45" s="1102">
        <f>NOMINA!C27</f>
        <v>11895772</v>
      </c>
      <c r="D45" s="1103" t="str">
        <f>NOMINA!D27</f>
        <v>Rangel Rivas Ildemaro</v>
      </c>
      <c r="E45" s="1461" t="s">
        <v>4622</v>
      </c>
      <c r="F45" s="1110">
        <v>32351</v>
      </c>
      <c r="G45" s="1461" t="s">
        <v>4620</v>
      </c>
      <c r="H45" s="1442">
        <f>NOMINA!H27</f>
        <v>44743</v>
      </c>
      <c r="I45" s="1105">
        <f>NOMINA!I27</f>
        <v>3</v>
      </c>
      <c r="J45" s="1106">
        <f>NOMINA!J27</f>
        <v>0</v>
      </c>
      <c r="K45" s="1105">
        <f t="shared" si="1"/>
        <v>3</v>
      </c>
      <c r="L45" s="1106" t="s">
        <v>4932</v>
      </c>
      <c r="M45" s="1106"/>
      <c r="N45" s="1443" t="str">
        <f>NOMINA!O27</f>
        <v>COORDINADOR DE PROGRAMA (SAPNNAET)</v>
      </c>
      <c r="O45" s="1106">
        <v>1.02087691000006E+18</v>
      </c>
      <c r="P45" s="1107">
        <f>ROUND(+NOMINA!T27,2)</f>
        <v>348</v>
      </c>
      <c r="Q45" s="1108">
        <v>0</v>
      </c>
      <c r="R45" s="1108">
        <f>ROUND(+NOMINA!AA27,2)</f>
        <v>10.44</v>
      </c>
      <c r="S45" s="1108">
        <f>ROUND(+NOMINA!AB27,2)</f>
        <v>130</v>
      </c>
      <c r="T45" s="1108">
        <f>ROUND(+NOMINA!AC27,2)</f>
        <v>12.5</v>
      </c>
      <c r="U45" s="1108">
        <f>ROUND(+NOMINA!AD27,2)</f>
        <v>100.19</v>
      </c>
      <c r="V45" s="1108">
        <f>ROUND(NOMINA!AQ27,2)</f>
        <v>0</v>
      </c>
      <c r="W45" s="1108">
        <f>+NOMINA!AS27</f>
        <v>0</v>
      </c>
      <c r="X45" s="1108">
        <f>+NOMINA!AT27</f>
        <v>12.5</v>
      </c>
      <c r="Y45" s="1108">
        <f>+NOMINA!AU27</f>
        <v>601.13</v>
      </c>
      <c r="Z45" s="1108">
        <f>+NOMINA!BX27</f>
        <v>1127.1199999999999</v>
      </c>
      <c r="AA45" s="1108">
        <f>+NOMINA!BY27</f>
        <v>0</v>
      </c>
      <c r="AB45" s="1108">
        <f t="shared" si="2"/>
        <v>1127.1199999999999</v>
      </c>
      <c r="AH45" s="1467" t="str">
        <f>NOMINA!P27</f>
        <v>01020494110000059129</v>
      </c>
    </row>
    <row r="46" spans="1:34" s="620" customFormat="1" ht="20.100000000000001" customHeight="1" x14ac:dyDescent="0.2">
      <c r="A46" s="1117" t="s">
        <v>2846</v>
      </c>
      <c r="B46" s="759">
        <f t="shared" si="3"/>
        <v>14</v>
      </c>
      <c r="C46" s="1102">
        <f>NOMINA!C28</f>
        <v>9495661</v>
      </c>
      <c r="D46" s="1103" t="str">
        <f>NOMINA!D28</f>
        <v>Aguial Carrillo Gregoria Coromoto</v>
      </c>
      <c r="E46" s="1461" t="s">
        <v>4622</v>
      </c>
      <c r="F46" s="1110">
        <v>32351</v>
      </c>
      <c r="G46" s="1461" t="s">
        <v>4620</v>
      </c>
      <c r="H46" s="1442">
        <f>NOMINA!H28</f>
        <v>39692</v>
      </c>
      <c r="I46" s="1105">
        <f>NOMINA!I28</f>
        <v>17</v>
      </c>
      <c r="J46" s="1106">
        <f>NOMINA!J28</f>
        <v>0</v>
      </c>
      <c r="K46" s="1105">
        <f t="shared" si="1"/>
        <v>17</v>
      </c>
      <c r="L46" s="1106" t="s">
        <v>4932</v>
      </c>
      <c r="M46" s="1106"/>
      <c r="N46" s="1443" t="str">
        <f>NOMINA!O28</f>
        <v>COORDINADOR DE PROGRAMA (SAPNNAET)</v>
      </c>
      <c r="O46" s="1106">
        <v>1.02087691000006E+18</v>
      </c>
      <c r="P46" s="1107">
        <f>ROUND(+NOMINA!T28,2)</f>
        <v>348</v>
      </c>
      <c r="Q46" s="1108">
        <v>0</v>
      </c>
      <c r="R46" s="1108">
        <f>ROUND(+NOMINA!AA28,2)</f>
        <v>73.78</v>
      </c>
      <c r="S46" s="1108">
        <f>ROUND(+NOMINA!AB28,2)</f>
        <v>130</v>
      </c>
      <c r="T46" s="1108">
        <f>ROUND(+NOMINA!AC28,2)</f>
        <v>0</v>
      </c>
      <c r="U46" s="1108">
        <f>ROUND(+NOMINA!AD28,2)</f>
        <v>0</v>
      </c>
      <c r="V46" s="1108">
        <f>ROUND(NOMINA!AQ28,2)</f>
        <v>0</v>
      </c>
      <c r="W46" s="1108">
        <f>+NOMINA!AS28</f>
        <v>0</v>
      </c>
      <c r="X46" s="1108">
        <f>+NOMINA!AT28</f>
        <v>0</v>
      </c>
      <c r="Y46" s="1108">
        <f>+NOMINA!AU28</f>
        <v>551.78</v>
      </c>
      <c r="Z46" s="1108">
        <f>+NOMINA!BX28</f>
        <v>1034.5899999999999</v>
      </c>
      <c r="AA46" s="1108">
        <f>+NOMINA!BY28</f>
        <v>0</v>
      </c>
      <c r="AB46" s="1108">
        <f t="shared" si="2"/>
        <v>1034.5899999999999</v>
      </c>
      <c r="AH46" s="1467" t="str">
        <f>NOMINA!P28</f>
        <v>01020373260000439244</v>
      </c>
    </row>
    <row r="47" spans="1:34" s="620" customFormat="1" ht="20.100000000000001" customHeight="1" x14ac:dyDescent="0.2">
      <c r="A47" s="1117" t="s">
        <v>2846</v>
      </c>
      <c r="B47" s="759">
        <f t="shared" si="3"/>
        <v>15</v>
      </c>
      <c r="C47" s="1102">
        <f>NOMINA!C29</f>
        <v>5348397</v>
      </c>
      <c r="D47" s="1103" t="str">
        <f>NOMINA!D29</f>
        <v>Araujo Manzanilla Carlos Antonio</v>
      </c>
      <c r="E47" s="1461" t="s">
        <v>4622</v>
      </c>
      <c r="F47" s="1110">
        <v>32351</v>
      </c>
      <c r="G47" s="1461" t="s">
        <v>4620</v>
      </c>
      <c r="H47" s="1442">
        <f>NOMINA!H29</f>
        <v>43359</v>
      </c>
      <c r="I47" s="1105">
        <f>NOMINA!I29</f>
        <v>7</v>
      </c>
      <c r="J47" s="1106">
        <f>NOMINA!J29</f>
        <v>0</v>
      </c>
      <c r="K47" s="1105">
        <f t="shared" si="1"/>
        <v>7</v>
      </c>
      <c r="L47" s="1106" t="s">
        <v>4932</v>
      </c>
      <c r="M47" s="1106"/>
      <c r="N47" s="1443" t="str">
        <f>NOMINA!O29</f>
        <v>COORDINADOR DE PROGRAMA (SAPNNAET)</v>
      </c>
      <c r="O47" s="1106">
        <v>1.02087691000006E+18</v>
      </c>
      <c r="P47" s="1107">
        <f>ROUND(+NOMINA!T29,2)</f>
        <v>348</v>
      </c>
      <c r="Q47" s="1108">
        <v>0</v>
      </c>
      <c r="R47" s="1108">
        <f>ROUND(+NOMINA!AA29,2)</f>
        <v>25.75</v>
      </c>
      <c r="S47" s="1108">
        <f>ROUND(+NOMINA!AB29,2)</f>
        <v>130</v>
      </c>
      <c r="T47" s="1108">
        <f>ROUND(+NOMINA!AC29,2)</f>
        <v>12.5</v>
      </c>
      <c r="U47" s="1108">
        <f>ROUND(+NOMINA!AD29,2)</f>
        <v>180.69</v>
      </c>
      <c r="V47" s="1108">
        <f>ROUND(NOMINA!AQ29,2)</f>
        <v>0</v>
      </c>
      <c r="W47" s="1108">
        <f>+NOMINA!AS29</f>
        <v>0</v>
      </c>
      <c r="X47" s="1108">
        <f>+NOMINA!AT29</f>
        <v>0</v>
      </c>
      <c r="Y47" s="1108">
        <f>+NOMINA!AU29</f>
        <v>696.94</v>
      </c>
      <c r="Z47" s="1108">
        <f>+NOMINA!BX29</f>
        <v>1306.76</v>
      </c>
      <c r="AA47" s="1108">
        <f>+NOMINA!BY29</f>
        <v>0</v>
      </c>
      <c r="AB47" s="1108">
        <f t="shared" si="2"/>
        <v>1306.76</v>
      </c>
      <c r="AH47" s="1467" t="str">
        <f>NOMINA!P29</f>
        <v>01020747950000327987</v>
      </c>
    </row>
    <row r="48" spans="1:34" s="620" customFormat="1" ht="20.100000000000001" customHeight="1" x14ac:dyDescent="0.2">
      <c r="A48" s="1117" t="s">
        <v>2846</v>
      </c>
      <c r="B48" s="759">
        <f t="shared" si="3"/>
        <v>16</v>
      </c>
      <c r="C48" s="1102">
        <f>NOMINA!C30</f>
        <v>9314132</v>
      </c>
      <c r="D48" s="1103" t="str">
        <f>NOMINA!D30</f>
        <v>Viloria Montilla Gerardo</v>
      </c>
      <c r="E48" s="1461" t="s">
        <v>4622</v>
      </c>
      <c r="F48" s="1110">
        <v>32351</v>
      </c>
      <c r="G48" s="1461" t="s">
        <v>4620</v>
      </c>
      <c r="H48" s="1442">
        <f>NOMINA!H30</f>
        <v>44348</v>
      </c>
      <c r="I48" s="1105">
        <f>NOMINA!I30</f>
        <v>4</v>
      </c>
      <c r="J48" s="1106">
        <f>NOMINA!J30</f>
        <v>0</v>
      </c>
      <c r="K48" s="1105">
        <f t="shared" si="1"/>
        <v>4</v>
      </c>
      <c r="L48" s="1106" t="s">
        <v>4932</v>
      </c>
      <c r="M48" s="1106"/>
      <c r="N48" s="1443" t="str">
        <f>NOMINA!O30</f>
        <v>COORDINADOR DE PROGRAMA (SAPNNAET)</v>
      </c>
      <c r="O48" s="1106">
        <v>1.02087691000006E+18</v>
      </c>
      <c r="P48" s="1107">
        <f>ROUND(+NOMINA!T30,2)</f>
        <v>348</v>
      </c>
      <c r="Q48" s="1108">
        <v>0</v>
      </c>
      <c r="R48" s="1108">
        <f>ROUND(+NOMINA!AA30,2)</f>
        <v>13.92</v>
      </c>
      <c r="S48" s="1108">
        <f>ROUND(+NOMINA!AB30,2)</f>
        <v>130</v>
      </c>
      <c r="T48" s="1108">
        <f>ROUND(+NOMINA!AC30,2)</f>
        <v>0</v>
      </c>
      <c r="U48" s="1108">
        <f>ROUND(+NOMINA!AD30,2)</f>
        <v>172.17</v>
      </c>
      <c r="V48" s="1108">
        <f>ROUND(NOMINA!AQ30,2)</f>
        <v>0</v>
      </c>
      <c r="W48" s="1108">
        <f>+NOMINA!AS30</f>
        <v>0</v>
      </c>
      <c r="X48" s="1108">
        <f>+NOMINA!AT30</f>
        <v>0</v>
      </c>
      <c r="Y48" s="1108">
        <f>+NOMINA!AU30</f>
        <v>664.08999999999992</v>
      </c>
      <c r="Z48" s="1108">
        <f>+NOMINA!BX30</f>
        <v>1245.17</v>
      </c>
      <c r="AA48" s="1108">
        <f>+NOMINA!BY30</f>
        <v>0</v>
      </c>
      <c r="AB48" s="1108">
        <f t="shared" si="2"/>
        <v>1245.17</v>
      </c>
      <c r="AH48" s="1467" t="str">
        <f>NOMINA!P30</f>
        <v>01020369460001033238</v>
      </c>
    </row>
    <row r="49" spans="1:34" s="620" customFormat="1" ht="20.100000000000001" customHeight="1" x14ac:dyDescent="0.2">
      <c r="A49" s="1117" t="s">
        <v>2846</v>
      </c>
      <c r="B49" s="759">
        <f t="shared" si="3"/>
        <v>17</v>
      </c>
      <c r="C49" s="1102">
        <f>NOMINA!C31</f>
        <v>11320533</v>
      </c>
      <c r="D49" s="1103" t="str">
        <f>NOMINA!D31</f>
        <v>Suarez Chiquin Yaritza Josefina</v>
      </c>
      <c r="E49" s="1461" t="s">
        <v>4622</v>
      </c>
      <c r="F49" s="1110">
        <v>32351</v>
      </c>
      <c r="G49" s="1461" t="s">
        <v>4620</v>
      </c>
      <c r="H49" s="1442">
        <f>NOMINA!H31</f>
        <v>37629</v>
      </c>
      <c r="I49" s="1105">
        <f>NOMINA!I31</f>
        <v>22</v>
      </c>
      <c r="J49" s="1106">
        <f>NOMINA!J31</f>
        <v>0</v>
      </c>
      <c r="K49" s="1105">
        <f t="shared" si="1"/>
        <v>22</v>
      </c>
      <c r="L49" s="1106" t="s">
        <v>4932</v>
      </c>
      <c r="M49" s="1106"/>
      <c r="N49" s="1443" t="str">
        <f>NOMINA!O31</f>
        <v>COORDINADOR DE PROGRAMA (SAPNNAET)</v>
      </c>
      <c r="O49" s="1106">
        <v>1.02087691000006E+18</v>
      </c>
      <c r="P49" s="1107">
        <f>ROUND(+NOMINA!T31,2)</f>
        <v>348</v>
      </c>
      <c r="Q49" s="1108">
        <v>0</v>
      </c>
      <c r="R49" s="1108">
        <f>ROUND(+NOMINA!AA31,2)</f>
        <v>103.01</v>
      </c>
      <c r="S49" s="1108">
        <f>ROUND(+NOMINA!AB31,2)</f>
        <v>130</v>
      </c>
      <c r="T49" s="1108">
        <f>ROUND(+NOMINA!AC31,2)</f>
        <v>12.5</v>
      </c>
      <c r="U49" s="1108">
        <f>ROUND(+NOMINA!AD31,2)</f>
        <v>148.38</v>
      </c>
      <c r="V49" s="1108">
        <f>ROUND(NOMINA!AQ31,2)</f>
        <v>0</v>
      </c>
      <c r="W49" s="1108">
        <f>+NOMINA!AS31</f>
        <v>0</v>
      </c>
      <c r="X49" s="1108">
        <f>+NOMINA!AT31</f>
        <v>0</v>
      </c>
      <c r="Y49" s="1108">
        <f>+NOMINA!AU31</f>
        <v>741.89</v>
      </c>
      <c r="Z49" s="1108">
        <f>+NOMINA!BX31</f>
        <v>1391.05</v>
      </c>
      <c r="AA49" s="1108">
        <f>+NOMINA!BY31</f>
        <v>0</v>
      </c>
      <c r="AB49" s="1108">
        <f t="shared" si="2"/>
        <v>1391.05</v>
      </c>
      <c r="AH49" s="1467" t="str">
        <f>NOMINA!P31</f>
        <v>01020373290000439914</v>
      </c>
    </row>
    <row r="50" spans="1:34" s="620" customFormat="1" ht="20.100000000000001" customHeight="1" x14ac:dyDescent="0.2">
      <c r="A50" s="1117" t="s">
        <v>2846</v>
      </c>
      <c r="B50" s="759">
        <f t="shared" si="3"/>
        <v>18</v>
      </c>
      <c r="C50" s="1102">
        <f>NOMINA!C32</f>
        <v>10912595</v>
      </c>
      <c r="D50" s="1103" t="str">
        <f>NOMINA!D32</f>
        <v>Delfin Bustos Jose Hercilio</v>
      </c>
      <c r="E50" s="1461" t="s">
        <v>4622</v>
      </c>
      <c r="F50" s="1110">
        <v>32351</v>
      </c>
      <c r="G50" s="1461" t="s">
        <v>4620</v>
      </c>
      <c r="H50" s="1442">
        <f>NOMINA!H32</f>
        <v>36039</v>
      </c>
      <c r="I50" s="1105">
        <f>NOMINA!I32</f>
        <v>27</v>
      </c>
      <c r="J50" s="1106">
        <f>NOMINA!J32</f>
        <v>0</v>
      </c>
      <c r="K50" s="1105">
        <f t="shared" si="1"/>
        <v>27</v>
      </c>
      <c r="L50" s="1106" t="s">
        <v>4932</v>
      </c>
      <c r="M50" s="1106"/>
      <c r="N50" s="1443" t="str">
        <f>NOMINA!O32</f>
        <v>COORDINADOR DE PROGRAMA (SAPNNAET)</v>
      </c>
      <c r="O50" s="1106">
        <v>1.02087691000006E+18</v>
      </c>
      <c r="P50" s="1107">
        <f>ROUND(+NOMINA!T32,2)</f>
        <v>348</v>
      </c>
      <c r="Q50" s="1108">
        <v>0</v>
      </c>
      <c r="R50" s="1108">
        <f>ROUND(+NOMINA!AA32,2)</f>
        <v>104.4</v>
      </c>
      <c r="S50" s="1108">
        <f>ROUND(+NOMINA!AB32,2)</f>
        <v>130</v>
      </c>
      <c r="T50" s="1108">
        <f>ROUND(+NOMINA!AC32,2)</f>
        <v>0</v>
      </c>
      <c r="U50" s="1108">
        <f>ROUND(+NOMINA!AD32,2)</f>
        <v>0</v>
      </c>
      <c r="V50" s="1108">
        <f>ROUND(NOMINA!AQ32,2)</f>
        <v>0</v>
      </c>
      <c r="W50" s="1108">
        <f>+NOMINA!AS32</f>
        <v>0</v>
      </c>
      <c r="X50" s="1108">
        <f>+NOMINA!AT32</f>
        <v>0</v>
      </c>
      <c r="Y50" s="1108">
        <f>+NOMINA!AU32</f>
        <v>582.4</v>
      </c>
      <c r="Z50" s="1108">
        <f>+NOMINA!BX32</f>
        <v>1092</v>
      </c>
      <c r="AA50" s="1108">
        <f>+NOMINA!BY32</f>
        <v>0</v>
      </c>
      <c r="AB50" s="1108">
        <f t="shared" si="2"/>
        <v>1092</v>
      </c>
      <c r="AH50" s="1467" t="str">
        <f>NOMINA!P32</f>
        <v>01020373200000442299</v>
      </c>
    </row>
    <row r="51" spans="1:34" s="620" customFormat="1" ht="20.100000000000001" customHeight="1" x14ac:dyDescent="0.2">
      <c r="A51" s="1117" t="s">
        <v>2846</v>
      </c>
      <c r="B51" s="759">
        <f t="shared" si="3"/>
        <v>19</v>
      </c>
      <c r="C51" s="1102">
        <f>NOMINA!C33</f>
        <v>4306476</v>
      </c>
      <c r="D51" s="1103" t="str">
        <f>NOMINA!D33</f>
        <v>Triviño de Bastidas Dioni de la Coromoto</v>
      </c>
      <c r="E51" s="1461" t="s">
        <v>4622</v>
      </c>
      <c r="F51" s="1110">
        <v>32351</v>
      </c>
      <c r="G51" s="1461" t="s">
        <v>4620</v>
      </c>
      <c r="H51" s="1442">
        <f>NOMINA!H33</f>
        <v>44409</v>
      </c>
      <c r="I51" s="1105">
        <f>NOMINA!I33</f>
        <v>4</v>
      </c>
      <c r="J51" s="1106">
        <f>NOMINA!J33</f>
        <v>25</v>
      </c>
      <c r="K51" s="1105">
        <f t="shared" si="1"/>
        <v>29</v>
      </c>
      <c r="L51" s="1106" t="s">
        <v>4932</v>
      </c>
      <c r="M51" s="1106"/>
      <c r="N51" s="1443" t="str">
        <f>NOMINA!O33</f>
        <v>COORDINADOR DE PROGRAMA (SAPNNAET)</v>
      </c>
      <c r="O51" s="1106">
        <v>1.02087691000006E+18</v>
      </c>
      <c r="P51" s="1107">
        <f>ROUND(+NOMINA!T33,2)</f>
        <v>348</v>
      </c>
      <c r="Q51" s="1108">
        <v>0</v>
      </c>
      <c r="R51" s="1108">
        <f>ROUND(+NOMINA!AA33,2)</f>
        <v>104.4</v>
      </c>
      <c r="S51" s="1108">
        <f>ROUND(+NOMINA!AB33,2)</f>
        <v>130</v>
      </c>
      <c r="T51" s="1108">
        <f>ROUND(+NOMINA!AC33,2)</f>
        <v>0</v>
      </c>
      <c r="U51" s="1108">
        <f>ROUND(+NOMINA!AD33,2)</f>
        <v>203.84</v>
      </c>
      <c r="V51" s="1108">
        <f>ROUND(NOMINA!AQ33,2)</f>
        <v>0</v>
      </c>
      <c r="W51" s="1108">
        <f>+NOMINA!AS33</f>
        <v>0</v>
      </c>
      <c r="X51" s="1108">
        <f>+NOMINA!AT33</f>
        <v>0</v>
      </c>
      <c r="Y51" s="1108">
        <f>+NOMINA!AU33</f>
        <v>786.24</v>
      </c>
      <c r="Z51" s="1108">
        <f>+NOMINA!BX33</f>
        <v>1474.2</v>
      </c>
      <c r="AA51" s="1108">
        <f>+NOMINA!BY33</f>
        <v>0</v>
      </c>
      <c r="AB51" s="1108">
        <f t="shared" si="2"/>
        <v>1474.2</v>
      </c>
      <c r="AH51" s="1467" t="str">
        <f>NOMINA!P33</f>
        <v>01020373220000439053</v>
      </c>
    </row>
    <row r="52" spans="1:34" s="620" customFormat="1" ht="20.100000000000001" customHeight="1" x14ac:dyDescent="0.2">
      <c r="A52" s="1117" t="s">
        <v>2846</v>
      </c>
      <c r="B52" s="759">
        <f t="shared" si="3"/>
        <v>20</v>
      </c>
      <c r="C52" s="1102">
        <f>NOMINA!C34</f>
        <v>13568733</v>
      </c>
      <c r="D52" s="1103" t="str">
        <f>NOMINA!D34</f>
        <v>Campos de Velazquez Nilda Carolina</v>
      </c>
      <c r="E52" s="1461" t="s">
        <v>4622</v>
      </c>
      <c r="F52" s="1110">
        <v>32351</v>
      </c>
      <c r="G52" s="1461" t="s">
        <v>4620</v>
      </c>
      <c r="H52" s="1442">
        <f>NOMINA!H34</f>
        <v>44805</v>
      </c>
      <c r="I52" s="1105">
        <f>NOMINA!I34</f>
        <v>3</v>
      </c>
      <c r="J52" s="1106">
        <f>NOMINA!J34</f>
        <v>0</v>
      </c>
      <c r="K52" s="1105">
        <f t="shared" si="1"/>
        <v>3</v>
      </c>
      <c r="L52" s="1106" t="s">
        <v>4932</v>
      </c>
      <c r="M52" s="1106"/>
      <c r="N52" s="1443" t="str">
        <f>NOMINA!O34</f>
        <v>COORDINADOR DE PROGRAMA (SAPNNAET)</v>
      </c>
      <c r="O52" s="1106">
        <v>1.02087691000006E+18</v>
      </c>
      <c r="P52" s="1107">
        <f>ROUND(+NOMINA!T34,2)</f>
        <v>348</v>
      </c>
      <c r="Q52" s="1108">
        <v>0</v>
      </c>
      <c r="R52" s="1108">
        <f>ROUND(+NOMINA!AA34,2)</f>
        <v>10.44</v>
      </c>
      <c r="S52" s="1108">
        <f>ROUND(+NOMINA!AB34,2)</f>
        <v>130</v>
      </c>
      <c r="T52" s="1108">
        <f>ROUND(+NOMINA!AC34,2)</f>
        <v>12.5</v>
      </c>
      <c r="U52" s="1108">
        <f>ROUND(+NOMINA!AD34,2)</f>
        <v>125.24</v>
      </c>
      <c r="V52" s="1108">
        <f>ROUND(NOMINA!AQ34,2)</f>
        <v>0</v>
      </c>
      <c r="W52" s="1108">
        <f>+NOMINA!AS34</f>
        <v>0</v>
      </c>
      <c r="X52" s="1108">
        <f>+NOMINA!AT34</f>
        <v>12.5</v>
      </c>
      <c r="Y52" s="1108">
        <f>+NOMINA!AU34</f>
        <v>626.18000000000006</v>
      </c>
      <c r="Z52" s="1108">
        <f>+NOMINA!BX34</f>
        <v>1174.0899999999999</v>
      </c>
      <c r="AA52" s="1108">
        <f>+NOMINA!BY34</f>
        <v>0</v>
      </c>
      <c r="AB52" s="1108">
        <f t="shared" si="2"/>
        <v>1174.0899999999999</v>
      </c>
      <c r="AH52" s="1467" t="str">
        <f>NOMINA!P34</f>
        <v>01020493380000044516</v>
      </c>
    </row>
    <row r="53" spans="1:34" s="620" customFormat="1" ht="20.100000000000001" customHeight="1" x14ac:dyDescent="0.2">
      <c r="A53" s="1117" t="s">
        <v>2846</v>
      </c>
      <c r="B53" s="759">
        <f t="shared" si="3"/>
        <v>21</v>
      </c>
      <c r="C53" s="1102">
        <f>NOMINA!C35</f>
        <v>20790947</v>
      </c>
      <c r="D53" s="1103" t="str">
        <f>NOMINA!D35</f>
        <v>Urbina Cuellar Tannessy Lenery</v>
      </c>
      <c r="E53" s="1461" t="s">
        <v>4622</v>
      </c>
      <c r="F53" s="1110">
        <v>32351</v>
      </c>
      <c r="G53" s="1461" t="s">
        <v>4620</v>
      </c>
      <c r="H53" s="1442">
        <f>NOMINA!H35</f>
        <v>43967</v>
      </c>
      <c r="I53" s="1105">
        <f>NOMINA!I35</f>
        <v>5</v>
      </c>
      <c r="J53" s="1106">
        <f>NOMINA!J35</f>
        <v>0</v>
      </c>
      <c r="K53" s="1105">
        <f t="shared" si="1"/>
        <v>5</v>
      </c>
      <c r="L53" s="1106" t="s">
        <v>4932</v>
      </c>
      <c r="M53" s="1106"/>
      <c r="N53" s="1443" t="str">
        <f>NOMINA!O35</f>
        <v>COORDINADOR DE PROGRAMA (SAPNNAET)</v>
      </c>
      <c r="O53" s="1106">
        <v>1.02087691000006E+18</v>
      </c>
      <c r="P53" s="1107">
        <f>ROUND(+NOMINA!T35,2)</f>
        <v>348</v>
      </c>
      <c r="Q53" s="1108">
        <v>0</v>
      </c>
      <c r="R53" s="1108">
        <f>ROUND(+NOMINA!AA35,2)</f>
        <v>17.399999999999999</v>
      </c>
      <c r="S53" s="1108">
        <f>ROUND(+NOMINA!AB35,2)</f>
        <v>130</v>
      </c>
      <c r="T53" s="1108">
        <f>ROUND(+NOMINA!AC35,2)</f>
        <v>12.5</v>
      </c>
      <c r="U53" s="1108">
        <f>ROUND(+NOMINA!AD35,2)</f>
        <v>126.98</v>
      </c>
      <c r="V53" s="1108">
        <f>ROUND(NOMINA!AQ35,2)</f>
        <v>0</v>
      </c>
      <c r="W53" s="1108">
        <f>+NOMINA!AS35</f>
        <v>0</v>
      </c>
      <c r="X53" s="1108">
        <f>+NOMINA!AT35</f>
        <v>12.5</v>
      </c>
      <c r="Y53" s="1108">
        <f>+NOMINA!AU35</f>
        <v>634.88</v>
      </c>
      <c r="Z53" s="1108">
        <f>+NOMINA!BX35</f>
        <v>1190.4000000000001</v>
      </c>
      <c r="AA53" s="1108">
        <f>+NOMINA!BY35</f>
        <v>0</v>
      </c>
      <c r="AB53" s="1108">
        <f t="shared" si="2"/>
        <v>1190.4000000000001</v>
      </c>
      <c r="AH53" s="1467" t="str">
        <f>NOMINA!P35</f>
        <v>01020373270000678283</v>
      </c>
    </row>
    <row r="54" spans="1:34" s="620" customFormat="1" ht="20.100000000000001" customHeight="1" x14ac:dyDescent="0.2">
      <c r="A54" s="1117" t="s">
        <v>2846</v>
      </c>
      <c r="B54" s="759">
        <f t="shared" si="3"/>
        <v>22</v>
      </c>
      <c r="C54" s="1102">
        <f>NOMINA!C36</f>
        <v>15752183</v>
      </c>
      <c r="D54" s="1103" t="str">
        <f>NOMINA!D36</f>
        <v>Delduca Adriana del Valle</v>
      </c>
      <c r="E54" s="1461" t="s">
        <v>4622</v>
      </c>
      <c r="F54" s="1110">
        <v>32351</v>
      </c>
      <c r="G54" s="1461" t="s">
        <v>4620</v>
      </c>
      <c r="H54" s="1442">
        <f>NOMINA!H36</f>
        <v>38930</v>
      </c>
      <c r="I54" s="1105">
        <f>NOMINA!I36</f>
        <v>19</v>
      </c>
      <c r="J54" s="1106">
        <f>NOMINA!J36</f>
        <v>0</v>
      </c>
      <c r="K54" s="1105">
        <f t="shared" si="1"/>
        <v>19</v>
      </c>
      <c r="L54" s="1106" t="s">
        <v>4932</v>
      </c>
      <c r="M54" s="1106"/>
      <c r="N54" s="1443" t="str">
        <f>NOMINA!O36</f>
        <v>COORDINADOR DE PROGRAMA (SAPNNAET)</v>
      </c>
      <c r="O54" s="1106">
        <v>1.02087691000006E+18</v>
      </c>
      <c r="P54" s="1107">
        <f>ROUND(+NOMINA!T36,2)</f>
        <v>348</v>
      </c>
      <c r="Q54" s="1108">
        <v>0</v>
      </c>
      <c r="R54" s="1108">
        <f>ROUND(+NOMINA!AA36,2)</f>
        <v>84.91</v>
      </c>
      <c r="S54" s="1108">
        <f>ROUND(+NOMINA!AB36,2)</f>
        <v>130</v>
      </c>
      <c r="T54" s="1108">
        <f>ROUND(+NOMINA!AC36,2)</f>
        <v>25</v>
      </c>
      <c r="U54" s="1108">
        <f>ROUND(+NOMINA!AD36,2)</f>
        <v>0</v>
      </c>
      <c r="V54" s="1108">
        <f>ROUND(NOMINA!AQ36,2)</f>
        <v>0</v>
      </c>
      <c r="W54" s="1108">
        <f>+NOMINA!AS36</f>
        <v>0</v>
      </c>
      <c r="X54" s="1108">
        <f>+NOMINA!AT36</f>
        <v>0</v>
      </c>
      <c r="Y54" s="1108">
        <f>+NOMINA!AU36</f>
        <v>587.91</v>
      </c>
      <c r="Z54" s="1108">
        <f>+NOMINA!BX36</f>
        <v>1102.33</v>
      </c>
      <c r="AA54" s="1108">
        <f>+NOMINA!BY36</f>
        <v>0</v>
      </c>
      <c r="AB54" s="1108">
        <f t="shared" si="2"/>
        <v>1102.33</v>
      </c>
      <c r="AH54" s="1467" t="str">
        <f>NOMINA!P36</f>
        <v>01020373260000441009</v>
      </c>
    </row>
    <row r="55" spans="1:34" s="620" customFormat="1" ht="20.100000000000001" customHeight="1" x14ac:dyDescent="0.2">
      <c r="A55" s="1117" t="s">
        <v>2846</v>
      </c>
      <c r="B55" s="759">
        <f t="shared" si="3"/>
        <v>23</v>
      </c>
      <c r="C55" s="1102">
        <f>NOMINA!C37</f>
        <v>16739081</v>
      </c>
      <c r="D55" s="1103" t="str">
        <f>NOMINA!D37</f>
        <v>Albarran Araujo Yely Coromoto</v>
      </c>
      <c r="E55" s="1461" t="s">
        <v>4622</v>
      </c>
      <c r="F55" s="1110">
        <v>32351</v>
      </c>
      <c r="G55" s="1461" t="s">
        <v>4620</v>
      </c>
      <c r="H55" s="1442">
        <f>NOMINA!H37</f>
        <v>42948</v>
      </c>
      <c r="I55" s="1105">
        <f>NOMINA!I37</f>
        <v>8</v>
      </c>
      <c r="J55" s="1106">
        <f>NOMINA!J37</f>
        <v>0</v>
      </c>
      <c r="K55" s="1105">
        <f t="shared" si="1"/>
        <v>8</v>
      </c>
      <c r="L55" s="1106" t="s">
        <v>4932</v>
      </c>
      <c r="M55" s="1106"/>
      <c r="N55" s="1443" t="str">
        <f>NOMINA!O37</f>
        <v>COORDINADOR DE PROGRAMA (SAPNNAET)</v>
      </c>
      <c r="O55" s="1106">
        <v>1.02087691000006E+18</v>
      </c>
      <c r="P55" s="1107">
        <f>ROUND(+NOMINA!T37,2)</f>
        <v>348</v>
      </c>
      <c r="Q55" s="1108">
        <v>0</v>
      </c>
      <c r="R55" s="1108">
        <f>ROUND(+NOMINA!AA37,2)</f>
        <v>29.93</v>
      </c>
      <c r="S55" s="1108">
        <f>ROUND(+NOMINA!AB37,2)</f>
        <v>130</v>
      </c>
      <c r="T55" s="1108">
        <f>ROUND(+NOMINA!AC37,2)</f>
        <v>25</v>
      </c>
      <c r="U55" s="1108">
        <f>ROUND(+NOMINA!AD37,2)</f>
        <v>106.59</v>
      </c>
      <c r="V55" s="1108">
        <f>ROUND(NOMINA!AQ37,2)</f>
        <v>0</v>
      </c>
      <c r="W55" s="1108">
        <f>+NOMINA!AS37</f>
        <v>0</v>
      </c>
      <c r="X55" s="1108">
        <f>+NOMINA!AT37</f>
        <v>0</v>
      </c>
      <c r="Y55" s="1108">
        <f>+NOMINA!AU37</f>
        <v>639.52</v>
      </c>
      <c r="Z55" s="1108">
        <f>+NOMINA!BX37</f>
        <v>1199.0999999999999</v>
      </c>
      <c r="AA55" s="1108">
        <f>+NOMINA!BY37</f>
        <v>0</v>
      </c>
      <c r="AB55" s="1108">
        <f t="shared" si="2"/>
        <v>1199.0999999999999</v>
      </c>
      <c r="AH55" s="1467" t="str">
        <f>NOMINA!P37</f>
        <v>01020373230000462839</v>
      </c>
    </row>
    <row r="56" spans="1:34" s="620" customFormat="1" ht="20.100000000000001" customHeight="1" x14ac:dyDescent="0.2">
      <c r="A56" s="1117"/>
      <c r="B56" s="759">
        <f t="shared" si="3"/>
        <v>24</v>
      </c>
      <c r="C56" s="1102">
        <f>NOMINA!C41</f>
        <v>12781930</v>
      </c>
      <c r="D56" s="1103" t="str">
        <f>NOMINA!D41</f>
        <v>Berrios Gomez Neida Marina</v>
      </c>
      <c r="E56" s="1461" t="s">
        <v>4622</v>
      </c>
      <c r="F56" s="1110">
        <v>32351</v>
      </c>
      <c r="G56" s="1461" t="s">
        <v>4620</v>
      </c>
      <c r="H56" s="1442">
        <f>NOMINA!H41</f>
        <v>44652</v>
      </c>
      <c r="I56" s="1105">
        <f>NOMINA!I41</f>
        <v>3</v>
      </c>
      <c r="J56" s="1106">
        <f>NOMINA!J41</f>
        <v>0</v>
      </c>
      <c r="K56" s="1105">
        <f t="shared" si="1"/>
        <v>3</v>
      </c>
      <c r="L56" s="1106" t="s">
        <v>4932</v>
      </c>
      <c r="M56" s="1106"/>
      <c r="N56" s="1443" t="str">
        <f>NOMINA!O41</f>
        <v>COORDINADOR DE PROGRAMA (SAPNNAET)</v>
      </c>
      <c r="O56" s="1106">
        <v>1.02087691000006E+18</v>
      </c>
      <c r="P56" s="1107">
        <f>ROUND(+NOMINA!T41,2)</f>
        <v>348</v>
      </c>
      <c r="Q56" s="1108">
        <v>0</v>
      </c>
      <c r="R56" s="1108">
        <f>ROUND(+NOMINA!AA41,2)</f>
        <v>10.44</v>
      </c>
      <c r="S56" s="1108">
        <f>ROUND(+NOMINA!AB41,2)</f>
        <v>130</v>
      </c>
      <c r="T56" s="1108">
        <f>ROUND(+NOMINA!AC41,2)</f>
        <v>0</v>
      </c>
      <c r="U56" s="1108">
        <f>ROUND(+NOMINA!AD41,2)</f>
        <v>122.11</v>
      </c>
      <c r="V56" s="1108">
        <f>ROUND(NOMINA!AQ41,2)</f>
        <v>0</v>
      </c>
      <c r="W56" s="1108">
        <f>+NOMINA!AS41</f>
        <v>0</v>
      </c>
      <c r="X56" s="1108">
        <f>+NOMINA!AT41</f>
        <v>0</v>
      </c>
      <c r="Y56" s="1108">
        <f>+NOMINA!AU41</f>
        <v>610.54999999999995</v>
      </c>
      <c r="Z56" s="1108">
        <f>+NOMINA!BX41</f>
        <v>1144.78</v>
      </c>
      <c r="AA56" s="1108">
        <f>+NOMINA!BY41</f>
        <v>0</v>
      </c>
      <c r="AB56" s="1108">
        <f t="shared" si="2"/>
        <v>1144.78</v>
      </c>
      <c r="AH56" s="1467" t="str">
        <f>NOMINA!P41</f>
        <v>01020118700000111203</v>
      </c>
    </row>
    <row r="57" spans="1:34" s="620" customFormat="1" ht="20.100000000000001" customHeight="1" thickBot="1" x14ac:dyDescent="0.25">
      <c r="A57" s="1117"/>
      <c r="B57" s="759">
        <f t="shared" si="3"/>
        <v>25</v>
      </c>
      <c r="C57" s="1102" t="e">
        <f>NOMINA!#REF!</f>
        <v>#REF!</v>
      </c>
      <c r="D57" s="1103" t="e">
        <f>NOMINA!#REF!</f>
        <v>#REF!</v>
      </c>
      <c r="E57" s="1461" t="s">
        <v>4622</v>
      </c>
      <c r="F57" s="1110">
        <v>32351</v>
      </c>
      <c r="G57" s="1461" t="s">
        <v>4620</v>
      </c>
      <c r="H57" s="1442" t="e">
        <f>NOMINA!#REF!</f>
        <v>#REF!</v>
      </c>
      <c r="I57" s="1105" t="e">
        <f>NOMINA!#REF!</f>
        <v>#REF!</v>
      </c>
      <c r="J57" s="1106" t="e">
        <f>NOMINA!#REF!</f>
        <v>#REF!</v>
      </c>
      <c r="K57" s="1105" t="e">
        <f t="shared" si="1"/>
        <v>#REF!</v>
      </c>
      <c r="L57" s="1106" t="s">
        <v>4932</v>
      </c>
      <c r="M57" s="1106"/>
      <c r="N57" s="1443" t="e">
        <f>NOMINA!#REF!</f>
        <v>#REF!</v>
      </c>
      <c r="O57" s="1106">
        <v>1.02087691000006E+18</v>
      </c>
      <c r="P57" s="1107" t="e">
        <f>ROUND(+NOMINA!#REF!,2)</f>
        <v>#REF!</v>
      </c>
      <c r="Q57" s="1108">
        <v>0</v>
      </c>
      <c r="R57" s="1108" t="e">
        <f>ROUND(+NOMINA!#REF!,2)</f>
        <v>#REF!</v>
      </c>
      <c r="S57" s="1108" t="e">
        <f>ROUND(+NOMINA!#REF!,2)</f>
        <v>#REF!</v>
      </c>
      <c r="T57" s="1108" t="e">
        <f>ROUND(+NOMINA!#REF!,2)</f>
        <v>#REF!</v>
      </c>
      <c r="U57" s="1108" t="e">
        <f>ROUND(+NOMINA!#REF!,2)</f>
        <v>#REF!</v>
      </c>
      <c r="V57" s="1108" t="e">
        <f>ROUND(NOMINA!#REF!,2)</f>
        <v>#REF!</v>
      </c>
      <c r="W57" s="1108" t="e">
        <f>+NOMINA!#REF!</f>
        <v>#REF!</v>
      </c>
      <c r="X57" s="1108" t="e">
        <f>+NOMINA!#REF!</f>
        <v>#REF!</v>
      </c>
      <c r="Y57" s="1108" t="e">
        <f>+NOMINA!#REF!</f>
        <v>#REF!</v>
      </c>
      <c r="Z57" s="1108" t="e">
        <f>+NOMINA!#REF!</f>
        <v>#REF!</v>
      </c>
      <c r="AA57" s="1108" t="e">
        <f>+NOMINA!#REF!</f>
        <v>#REF!</v>
      </c>
      <c r="AB57" s="1108" t="e">
        <f t="shared" si="2"/>
        <v>#REF!</v>
      </c>
      <c r="AH57" s="1467" t="e">
        <f>NOMINA!#REF!</f>
        <v>#REF!</v>
      </c>
    </row>
    <row r="58" spans="1:34" s="620" customFormat="1" ht="19.5" customHeight="1" thickBot="1" x14ac:dyDescent="0.3">
      <c r="A58" s="666"/>
      <c r="B58" s="667"/>
      <c r="C58" s="668"/>
      <c r="D58" s="668"/>
      <c r="E58" s="668"/>
      <c r="F58" s="668"/>
      <c r="G58" s="668"/>
      <c r="H58" s="669"/>
      <c r="I58" s="668"/>
      <c r="J58" s="668"/>
      <c r="K58" s="598" t="s">
        <v>5814</v>
      </c>
      <c r="L58" s="668"/>
      <c r="M58" s="668"/>
      <c r="N58" s="668"/>
      <c r="O58" s="668"/>
      <c r="P58" s="670" t="e">
        <f t="shared" ref="P58:AB58" si="4">SUM(P33:P57)</f>
        <v>#REF!</v>
      </c>
      <c r="Q58" s="670">
        <f t="shared" si="4"/>
        <v>0</v>
      </c>
      <c r="R58" s="670" t="e">
        <f t="shared" si="4"/>
        <v>#REF!</v>
      </c>
      <c r="S58" s="670" t="e">
        <f t="shared" si="4"/>
        <v>#REF!</v>
      </c>
      <c r="T58" s="670" t="e">
        <f t="shared" si="4"/>
        <v>#REF!</v>
      </c>
      <c r="U58" s="670" t="e">
        <f t="shared" si="4"/>
        <v>#REF!</v>
      </c>
      <c r="V58" s="670" t="e">
        <f t="shared" si="4"/>
        <v>#REF!</v>
      </c>
      <c r="W58" s="670" t="e">
        <f t="shared" si="4"/>
        <v>#REF!</v>
      </c>
      <c r="X58" s="670" t="e">
        <f t="shared" si="4"/>
        <v>#REF!</v>
      </c>
      <c r="Y58" s="670" t="e">
        <f t="shared" si="4"/>
        <v>#REF!</v>
      </c>
      <c r="Z58" s="670" t="e">
        <f t="shared" si="4"/>
        <v>#REF!</v>
      </c>
      <c r="AA58" s="670" t="e">
        <f t="shared" si="4"/>
        <v>#REF!</v>
      </c>
      <c r="AB58" s="672" t="e">
        <f t="shared" si="4"/>
        <v>#REF!</v>
      </c>
      <c r="AC58" s="625"/>
      <c r="AD58" s="625"/>
      <c r="AH58" s="668"/>
    </row>
    <row r="59" spans="1:34" s="620" customFormat="1" ht="19.5" customHeight="1" x14ac:dyDescent="0.25">
      <c r="A59" s="666"/>
      <c r="B59" s="766"/>
      <c r="C59" s="802"/>
      <c r="D59" s="802"/>
      <c r="E59" s="802"/>
      <c r="F59" s="802"/>
      <c r="G59" s="802"/>
      <c r="H59" s="803"/>
      <c r="I59" s="802"/>
      <c r="J59" s="802"/>
      <c r="K59" s="774"/>
      <c r="L59" s="802"/>
      <c r="M59" s="802"/>
      <c r="N59" s="802"/>
      <c r="O59" s="802"/>
      <c r="P59" s="804"/>
      <c r="Q59" s="804"/>
      <c r="R59" s="804"/>
      <c r="S59" s="804"/>
      <c r="T59" s="804"/>
      <c r="U59" s="804"/>
      <c r="V59" s="804"/>
      <c r="W59" s="804"/>
      <c r="X59" s="804"/>
      <c r="Y59" s="804"/>
      <c r="Z59" s="804"/>
      <c r="AA59" s="804"/>
      <c r="AB59" s="804"/>
      <c r="AH59" s="802"/>
    </row>
    <row r="60" spans="1:34" s="620" customFormat="1" ht="19.5" customHeight="1" x14ac:dyDescent="0.25">
      <c r="A60" s="666"/>
      <c r="B60" s="778"/>
      <c r="C60" s="779"/>
      <c r="D60" s="726" t="s">
        <v>5833</v>
      </c>
      <c r="E60" s="699"/>
      <c r="F60" s="781"/>
      <c r="G60" s="699"/>
      <c r="H60" s="782"/>
      <c r="I60" s="783"/>
      <c r="J60" s="784"/>
      <c r="K60" s="602"/>
      <c r="L60" s="785"/>
      <c r="M60" s="784"/>
      <c r="N60" s="786"/>
      <c r="O60" s="784"/>
      <c r="P60" s="717" t="s">
        <v>5834</v>
      </c>
      <c r="Q60" s="787"/>
      <c r="R60" s="787"/>
      <c r="S60" s="787"/>
      <c r="T60" s="787"/>
      <c r="U60" s="787"/>
      <c r="V60" s="787"/>
      <c r="W60" s="787"/>
      <c r="X60" s="787"/>
      <c r="Y60" s="715" t="s">
        <v>5835</v>
      </c>
      <c r="Z60" s="715"/>
      <c r="AA60" s="715"/>
      <c r="AB60" s="805"/>
      <c r="AH60" s="726"/>
    </row>
    <row r="61" spans="1:34" s="620" customFormat="1" ht="19.5" customHeight="1" x14ac:dyDescent="0.25">
      <c r="A61" s="666"/>
      <c r="B61" s="778"/>
      <c r="C61" s="779"/>
      <c r="D61" s="780"/>
      <c r="E61" s="699"/>
      <c r="F61" s="781"/>
      <c r="G61" s="699"/>
      <c r="H61" s="782"/>
      <c r="I61" s="783"/>
      <c r="J61" s="784"/>
      <c r="K61" s="602"/>
      <c r="L61" s="785"/>
      <c r="M61" s="784"/>
      <c r="N61" s="786"/>
      <c r="O61" s="784"/>
      <c r="P61" s="787"/>
      <c r="Q61" s="787"/>
      <c r="R61" s="787"/>
      <c r="S61" s="787"/>
      <c r="T61" s="787"/>
      <c r="U61" s="787"/>
      <c r="V61" s="787"/>
      <c r="W61" s="787"/>
      <c r="X61" s="787"/>
      <c r="Y61" s="787"/>
      <c r="Z61" s="787"/>
      <c r="AA61" s="787"/>
      <c r="AB61" s="805"/>
      <c r="AH61" s="780"/>
    </row>
    <row r="62" spans="1:34" s="620" customFormat="1" ht="19.5" customHeight="1" x14ac:dyDescent="0.25">
      <c r="A62" s="666"/>
      <c r="B62" s="778"/>
      <c r="C62" s="779"/>
      <c r="D62" s="780"/>
      <c r="E62" s="699"/>
      <c r="F62" s="781"/>
      <c r="G62" s="699"/>
      <c r="H62" s="782"/>
      <c r="I62" s="783"/>
      <c r="J62" s="784"/>
      <c r="K62" s="602"/>
      <c r="L62" s="785"/>
      <c r="M62" s="784"/>
      <c r="N62" s="786"/>
      <c r="O62" s="784"/>
      <c r="P62" s="787"/>
      <c r="Q62" s="787"/>
      <c r="R62" s="787"/>
      <c r="S62" s="787"/>
      <c r="T62" s="787"/>
      <c r="U62" s="787"/>
      <c r="V62" s="787"/>
      <c r="W62" s="787"/>
      <c r="X62" s="787"/>
      <c r="Y62" s="787"/>
      <c r="Z62" s="787"/>
      <c r="AA62" s="787"/>
      <c r="AB62" s="805"/>
      <c r="AH62" s="780"/>
    </row>
    <row r="63" spans="1:34" s="620" customFormat="1" ht="19.5" customHeight="1" x14ac:dyDescent="0.25">
      <c r="A63" s="666"/>
      <c r="B63" s="778"/>
      <c r="C63" s="779"/>
      <c r="D63" s="780"/>
      <c r="E63" s="699"/>
      <c r="F63" s="781"/>
      <c r="G63" s="699"/>
      <c r="H63" s="782"/>
      <c r="I63" s="783"/>
      <c r="J63" s="784"/>
      <c r="K63" s="602"/>
      <c r="L63" s="785"/>
      <c r="M63" s="784"/>
      <c r="N63" s="786"/>
      <c r="O63" s="784"/>
      <c r="P63" s="787"/>
      <c r="Q63" s="787"/>
      <c r="R63" s="787"/>
      <c r="S63" s="787"/>
      <c r="T63" s="787"/>
      <c r="U63" s="787"/>
      <c r="V63" s="787"/>
      <c r="W63" s="787"/>
      <c r="X63" s="787"/>
      <c r="Y63" s="787"/>
      <c r="Z63" s="787"/>
      <c r="AA63" s="787"/>
      <c r="AB63" s="805"/>
      <c r="AH63" s="780"/>
    </row>
    <row r="64" spans="1:34" s="620" customFormat="1" ht="19.5" customHeight="1" x14ac:dyDescent="0.25">
      <c r="A64" s="666"/>
      <c r="B64" s="725" t="s">
        <v>6752</v>
      </c>
      <c r="C64" s="726"/>
      <c r="D64" s="724"/>
      <c r="E64" s="724"/>
      <c r="F64" s="724"/>
      <c r="G64" s="724"/>
      <c r="H64" s="725" t="s">
        <v>6116</v>
      </c>
      <c r="I64" s="725"/>
      <c r="K64" s="602"/>
      <c r="L64" s="785"/>
      <c r="M64" s="784"/>
      <c r="N64" s="786"/>
      <c r="O64" s="784"/>
      <c r="P64" s="727" t="s">
        <v>5836</v>
      </c>
      <c r="Q64" s="787"/>
      <c r="R64" s="787"/>
      <c r="S64" s="787"/>
      <c r="T64" s="787"/>
      <c r="U64" s="787"/>
      <c r="V64" s="787"/>
      <c r="W64" s="787"/>
      <c r="X64" s="787"/>
      <c r="Y64" s="715" t="s">
        <v>5847</v>
      </c>
      <c r="Z64" s="715"/>
      <c r="AA64" s="715"/>
      <c r="AB64" s="805"/>
      <c r="AH64" s="724"/>
    </row>
    <row r="65" spans="1:34" s="620" customFormat="1" ht="19.5" customHeight="1" x14ac:dyDescent="0.25">
      <c r="A65" s="666"/>
      <c r="B65" s="725" t="s">
        <v>6753</v>
      </c>
      <c r="C65" s="726"/>
      <c r="D65" s="724"/>
      <c r="E65" s="724"/>
      <c r="F65" s="724"/>
      <c r="G65" s="724"/>
      <c r="H65" s="725" t="s">
        <v>6117</v>
      </c>
      <c r="I65" s="725"/>
      <c r="K65" s="602"/>
      <c r="L65" s="785"/>
      <c r="M65" s="784"/>
      <c r="N65" s="786"/>
      <c r="O65" s="784"/>
      <c r="P65" s="727" t="s">
        <v>5838</v>
      </c>
      <c r="Q65" s="787"/>
      <c r="R65" s="787"/>
      <c r="S65" s="787"/>
      <c r="T65" s="787"/>
      <c r="U65" s="787"/>
      <c r="V65" s="787"/>
      <c r="W65" s="787"/>
      <c r="X65" s="787"/>
      <c r="Y65" s="725" t="s">
        <v>5839</v>
      </c>
      <c r="Z65" s="725"/>
      <c r="AA65" s="725"/>
      <c r="AB65" s="805"/>
      <c r="AH65" s="724"/>
    </row>
    <row r="66" spans="1:34" s="620" customFormat="1" ht="19.5" customHeight="1" thickBot="1" x14ac:dyDescent="0.3">
      <c r="A66" s="666"/>
      <c r="B66" s="725" t="s">
        <v>5240</v>
      </c>
      <c r="C66" s="726"/>
      <c r="D66" s="724"/>
      <c r="E66" s="724"/>
      <c r="F66" s="724"/>
      <c r="G66" s="724"/>
      <c r="H66" s="725" t="s">
        <v>5261</v>
      </c>
      <c r="I66" s="725"/>
      <c r="K66" s="602"/>
      <c r="L66" s="785"/>
      <c r="M66" s="784"/>
      <c r="N66" s="786"/>
      <c r="O66" s="784"/>
      <c r="P66" s="727" t="s">
        <v>5840</v>
      </c>
      <c r="Q66" s="787"/>
      <c r="R66" s="787"/>
      <c r="S66" s="787"/>
      <c r="T66" s="787"/>
      <c r="U66" s="787"/>
      <c r="V66" s="787"/>
      <c r="W66" s="787"/>
      <c r="X66" s="787"/>
      <c r="Y66" s="715" t="s">
        <v>5841</v>
      </c>
      <c r="Z66" s="715"/>
      <c r="AA66" s="715"/>
      <c r="AB66" s="805"/>
      <c r="AH66" s="724"/>
    </row>
    <row r="67" spans="1:34" s="683" customFormat="1" ht="25.5" customHeight="1" thickBot="1" x14ac:dyDescent="0.3">
      <c r="A67" s="674" t="s">
        <v>4561</v>
      </c>
      <c r="B67" s="656" t="str">
        <f>+"EMPLEADOS FIJOS_NOMINA_4TO PAGO AGUINALDOS"</f>
        <v>EMPLEADOS FIJOS_NOMINA_4TO PAGO AGUINALDOS</v>
      </c>
      <c r="C67" s="675"/>
      <c r="D67" s="676"/>
      <c r="E67" s="675"/>
      <c r="F67" s="676"/>
      <c r="G67" s="677"/>
      <c r="H67" s="678"/>
      <c r="I67" s="679"/>
      <c r="J67" s="679"/>
      <c r="K67" s="679"/>
      <c r="L67" s="679"/>
      <c r="M67" s="679"/>
      <c r="N67" s="806"/>
      <c r="O67" s="679"/>
      <c r="P67" s="679"/>
      <c r="Q67" s="679"/>
      <c r="R67" s="680"/>
      <c r="S67" s="680"/>
      <c r="T67" s="680"/>
      <c r="U67" s="680"/>
      <c r="V67" s="680"/>
      <c r="W67" s="807"/>
      <c r="X67" s="807"/>
      <c r="Y67" s="807"/>
      <c r="Z67" s="812"/>
      <c r="AA67" s="812"/>
      <c r="AB67" s="682"/>
      <c r="AH67" s="676"/>
    </row>
    <row r="68" spans="1:34" s="620" customFormat="1" ht="20.100000000000001" customHeight="1" thickBot="1" x14ac:dyDescent="0.25">
      <c r="A68" s="758" t="s">
        <v>2846</v>
      </c>
      <c r="B68" s="759">
        <v>1</v>
      </c>
      <c r="C68" s="1102">
        <f>NOMINA!C44</f>
        <v>4324055</v>
      </c>
      <c r="D68" s="1103" t="str">
        <f>NOMINA!D44</f>
        <v>Mejia Linares Alexis de Jesus</v>
      </c>
      <c r="E68" s="1461" t="s">
        <v>4622</v>
      </c>
      <c r="F68" s="1110">
        <v>32351</v>
      </c>
      <c r="G68" s="1461" t="s">
        <v>4620</v>
      </c>
      <c r="H68" s="1442">
        <f>NOMINA!H44</f>
        <v>44470</v>
      </c>
      <c r="I68" s="1105">
        <f>NOMINA!I45</f>
        <v>17</v>
      </c>
      <c r="J68" s="1106">
        <f>NOMINA!J45</f>
        <v>0</v>
      </c>
      <c r="K68" s="1105">
        <f t="shared" ref="K68" si="5">I68+J68</f>
        <v>17</v>
      </c>
      <c r="L68" s="1106" t="s">
        <v>4932</v>
      </c>
      <c r="M68" s="1106"/>
      <c r="N68" s="1443" t="str">
        <f>NOMINA!O44</f>
        <v>Abogado II</v>
      </c>
      <c r="O68" s="1106">
        <v>1.02087691000006E+18</v>
      </c>
      <c r="P68" s="1107">
        <f>ROUND(+NOMINA!T44,2)</f>
        <v>277</v>
      </c>
      <c r="Q68" s="1108">
        <v>0</v>
      </c>
      <c r="R68" s="1108">
        <f>ROUND(+NOMINA!AA44,2)</f>
        <v>8.31</v>
      </c>
      <c r="S68" s="1108">
        <f>ROUND(+NOMINA!AB44,2)</f>
        <v>130</v>
      </c>
      <c r="T68" s="1108">
        <f>ROUND(+NOMINA!AC44,2)</f>
        <v>0</v>
      </c>
      <c r="U68" s="1108">
        <f>ROUND(+NOMINA!AD44,2)</f>
        <v>103.83</v>
      </c>
      <c r="V68" s="1108">
        <f>ROUND(NOMINA!AQ44,2)</f>
        <v>0</v>
      </c>
      <c r="W68" s="1108">
        <f>+NOMINA!AS44</f>
        <v>0</v>
      </c>
      <c r="X68" s="1108">
        <f>+NOMINA!AT44</f>
        <v>0</v>
      </c>
      <c r="Y68" s="1108">
        <f>+NOMINA!AU44</f>
        <v>519.14</v>
      </c>
      <c r="Z68" s="1108">
        <f>+NOMINA!BX44</f>
        <v>973.39</v>
      </c>
      <c r="AA68" s="1108">
        <f>+NOMINA!BY44</f>
        <v>0</v>
      </c>
      <c r="AB68" s="1108">
        <f t="shared" ref="AB68" si="6">+Z68+AA68</f>
        <v>973.39</v>
      </c>
      <c r="AD68" s="625"/>
      <c r="AH68" s="1467" t="str">
        <f>NOMINA!P44</f>
        <v>01020494120000043575</v>
      </c>
    </row>
    <row r="69" spans="1:34" s="620" customFormat="1" ht="20.100000000000001" customHeight="1" thickBot="1" x14ac:dyDescent="0.25">
      <c r="A69" s="758" t="s">
        <v>2846</v>
      </c>
      <c r="B69" s="759">
        <f>+B68+1</f>
        <v>2</v>
      </c>
      <c r="C69" s="1102">
        <f>NOMINA!C45</f>
        <v>4657974</v>
      </c>
      <c r="D69" s="1103" t="str">
        <f>NOMINA!D45</f>
        <v>Balestrini Nuñez Ulises Ramon</v>
      </c>
      <c r="E69" s="1468" t="s">
        <v>4622</v>
      </c>
      <c r="F69" s="1110">
        <v>32351</v>
      </c>
      <c r="G69" s="1468" t="s">
        <v>4620</v>
      </c>
      <c r="H69" s="1442">
        <f>NOMINA!H45</f>
        <v>39463</v>
      </c>
      <c r="I69" s="1105">
        <f>NOMINA!I46</f>
        <v>22</v>
      </c>
      <c r="J69" s="1106">
        <f>NOMINA!J46</f>
        <v>4</v>
      </c>
      <c r="K69" s="1105">
        <f t="shared" ref="K69:K132" si="7">I69+J69</f>
        <v>26</v>
      </c>
      <c r="L69" s="1106" t="s">
        <v>4932</v>
      </c>
      <c r="M69" s="1106"/>
      <c r="N69" s="1443" t="str">
        <f>NOMINA!O45</f>
        <v>Promotor Cultural I</v>
      </c>
      <c r="O69" s="1106">
        <v>1.02087691000006E+18</v>
      </c>
      <c r="P69" s="1107">
        <f>ROUND(+NOMINA!T45,2)</f>
        <v>176</v>
      </c>
      <c r="Q69" s="1108">
        <v>0</v>
      </c>
      <c r="R69" s="1108">
        <f>ROUND(+NOMINA!AA45,2)</f>
        <v>37.31</v>
      </c>
      <c r="S69" s="1108">
        <f>ROUND(+NOMINA!AB45,2)</f>
        <v>130</v>
      </c>
      <c r="T69" s="1108">
        <f>ROUND(+NOMINA!AC45,2)</f>
        <v>0</v>
      </c>
      <c r="U69" s="1108">
        <f>ROUND(+NOMINA!AD45,2)</f>
        <v>0</v>
      </c>
      <c r="V69" s="1108">
        <f>ROUND(NOMINA!AQ45,2)</f>
        <v>0</v>
      </c>
      <c r="W69" s="1108">
        <f>+NOMINA!AS45</f>
        <v>0</v>
      </c>
      <c r="X69" s="1108">
        <f>+NOMINA!AT45</f>
        <v>0</v>
      </c>
      <c r="Y69" s="1108">
        <f>+NOMINA!AU45</f>
        <v>343.31</v>
      </c>
      <c r="Z69" s="1108">
        <f>+NOMINA!BX45</f>
        <v>643.71</v>
      </c>
      <c r="AA69" s="1108">
        <f>+NOMINA!BY45</f>
        <v>0</v>
      </c>
      <c r="AB69" s="1108">
        <f t="shared" ref="AB69:AB132" si="8">+Z69+AA69</f>
        <v>643.71</v>
      </c>
      <c r="AD69" s="625"/>
      <c r="AH69" s="1467" t="str">
        <f>NOMINA!P45</f>
        <v>01020373290000399740</v>
      </c>
    </row>
    <row r="70" spans="1:34" s="620" customFormat="1" ht="20.100000000000001" customHeight="1" thickBot="1" x14ac:dyDescent="0.25">
      <c r="A70" s="758" t="s">
        <v>2846</v>
      </c>
      <c r="B70" s="759">
        <f t="shared" ref="B70:B133" si="9">+B69+1</f>
        <v>3</v>
      </c>
      <c r="C70" s="1102">
        <f>NOMINA!C46</f>
        <v>5762861</v>
      </c>
      <c r="D70" s="1103" t="str">
        <f>NOMINA!D46</f>
        <v>Aldana Duran Delia Mercedes</v>
      </c>
      <c r="E70" s="1468" t="s">
        <v>4622</v>
      </c>
      <c r="F70" s="1110">
        <v>32351</v>
      </c>
      <c r="G70" s="1468" t="s">
        <v>4620</v>
      </c>
      <c r="H70" s="1442">
        <f>NOMINA!H46</f>
        <v>37851</v>
      </c>
      <c r="I70" s="1105">
        <f>NOMINA!I47</f>
        <v>17</v>
      </c>
      <c r="J70" s="1106">
        <f>NOMINA!J47</f>
        <v>0</v>
      </c>
      <c r="K70" s="1105">
        <f t="shared" si="7"/>
        <v>17</v>
      </c>
      <c r="L70" s="1106" t="s">
        <v>4932</v>
      </c>
      <c r="M70" s="1106"/>
      <c r="N70" s="1443" t="str">
        <f>NOMINA!O46</f>
        <v>Jefe de Centro</v>
      </c>
      <c r="O70" s="1106">
        <v>1.02087691000006E+18</v>
      </c>
      <c r="P70" s="1107">
        <f>ROUND(+NOMINA!T46,2)</f>
        <v>287</v>
      </c>
      <c r="Q70" s="1108">
        <v>0</v>
      </c>
      <c r="R70" s="1108">
        <f>ROUND(+NOMINA!AA46,2)</f>
        <v>86.1</v>
      </c>
      <c r="S70" s="1108">
        <f>ROUND(+NOMINA!AB46,2)</f>
        <v>130</v>
      </c>
      <c r="T70" s="1108">
        <f>ROUND(+NOMINA!AC46,2)</f>
        <v>0</v>
      </c>
      <c r="U70" s="1108">
        <f>ROUND(+NOMINA!AD46,2)</f>
        <v>125.78</v>
      </c>
      <c r="V70" s="1108">
        <f>ROUND(NOMINA!AQ46,2)</f>
        <v>0</v>
      </c>
      <c r="W70" s="1108">
        <f>+NOMINA!AS46</f>
        <v>0</v>
      </c>
      <c r="X70" s="1108">
        <f>+NOMINA!AT46</f>
        <v>0</v>
      </c>
      <c r="Y70" s="1108">
        <f>+NOMINA!AU46</f>
        <v>628.88</v>
      </c>
      <c r="Z70" s="1108">
        <f>+NOMINA!BX46</f>
        <v>1179.1500000000001</v>
      </c>
      <c r="AA70" s="1108">
        <f>+NOMINA!BY46</f>
        <v>0</v>
      </c>
      <c r="AB70" s="1108">
        <f t="shared" si="8"/>
        <v>1179.1500000000001</v>
      </c>
      <c r="AD70" s="625"/>
      <c r="AH70" s="1467" t="str">
        <f>NOMINA!P46</f>
        <v>01020373250000439642</v>
      </c>
    </row>
    <row r="71" spans="1:34" s="620" customFormat="1" ht="20.100000000000001" customHeight="1" thickBot="1" x14ac:dyDescent="0.25">
      <c r="A71" s="758" t="s">
        <v>2846</v>
      </c>
      <c r="B71" s="759">
        <f t="shared" si="9"/>
        <v>4</v>
      </c>
      <c r="C71" s="1102">
        <f>NOMINA!C47</f>
        <v>5782060</v>
      </c>
      <c r="D71" s="1103" t="str">
        <f>NOMINA!D47</f>
        <v>Linares Araujo Adolfo Jose</v>
      </c>
      <c r="E71" s="1468" t="s">
        <v>4622</v>
      </c>
      <c r="F71" s="1110">
        <v>32351</v>
      </c>
      <c r="G71" s="1468" t="s">
        <v>4620</v>
      </c>
      <c r="H71" s="1442">
        <f>NOMINA!H47</f>
        <v>39539</v>
      </c>
      <c r="I71" s="1105">
        <f>NOMINA!I48</f>
        <v>17</v>
      </c>
      <c r="J71" s="1106">
        <f>NOMINA!J48</f>
        <v>3</v>
      </c>
      <c r="K71" s="1105">
        <f t="shared" si="7"/>
        <v>20</v>
      </c>
      <c r="L71" s="1106" t="s">
        <v>4932</v>
      </c>
      <c r="M71" s="1106"/>
      <c r="N71" s="1443" t="str">
        <f>NOMINA!O47</f>
        <v>Asistente Administrativo III</v>
      </c>
      <c r="O71" s="1106">
        <v>1.02087691000006E+18</v>
      </c>
      <c r="P71" s="1107">
        <f>ROUND(+NOMINA!T47,2)</f>
        <v>226</v>
      </c>
      <c r="Q71" s="1108">
        <v>0</v>
      </c>
      <c r="R71" s="1108">
        <f>ROUND(+NOMINA!AA47,2)</f>
        <v>47.91</v>
      </c>
      <c r="S71" s="1108">
        <f>ROUND(+NOMINA!AB47,2)</f>
        <v>130</v>
      </c>
      <c r="T71" s="1108">
        <f>ROUND(+NOMINA!AC47,2)</f>
        <v>0</v>
      </c>
      <c r="U71" s="1108">
        <f>ROUND(+NOMINA!AD47,2)</f>
        <v>80.78</v>
      </c>
      <c r="V71" s="1108">
        <f>ROUND(NOMINA!AQ47,2)</f>
        <v>0</v>
      </c>
      <c r="W71" s="1108">
        <f>+NOMINA!AS47</f>
        <v>0</v>
      </c>
      <c r="X71" s="1108">
        <f>+NOMINA!AT47</f>
        <v>0</v>
      </c>
      <c r="Y71" s="1108">
        <f>+NOMINA!AU47</f>
        <v>484.69</v>
      </c>
      <c r="Z71" s="1108">
        <f>+NOMINA!BX47</f>
        <v>908.8</v>
      </c>
      <c r="AA71" s="1108">
        <f>+NOMINA!BY47</f>
        <v>0</v>
      </c>
      <c r="AB71" s="1108">
        <f t="shared" si="8"/>
        <v>908.8</v>
      </c>
      <c r="AD71" s="625"/>
      <c r="AH71" s="1467" t="str">
        <f>NOMINA!P47</f>
        <v>01020373210000439684</v>
      </c>
    </row>
    <row r="72" spans="1:34" s="620" customFormat="1" ht="20.100000000000001" customHeight="1" thickBot="1" x14ac:dyDescent="0.25">
      <c r="A72" s="758" t="s">
        <v>2846</v>
      </c>
      <c r="B72" s="759">
        <f t="shared" si="9"/>
        <v>5</v>
      </c>
      <c r="C72" s="1102">
        <f>NOMINA!C48</f>
        <v>5790501</v>
      </c>
      <c r="D72" s="1103" t="str">
        <f>NOMINA!D48</f>
        <v>Castellanos de Araujo Maria Eustoquia</v>
      </c>
      <c r="E72" s="1468" t="s">
        <v>4622</v>
      </c>
      <c r="F72" s="1110">
        <v>32351</v>
      </c>
      <c r="G72" s="1468" t="s">
        <v>4620</v>
      </c>
      <c r="H72" s="1442">
        <f>NOMINA!H48</f>
        <v>39707</v>
      </c>
      <c r="I72" s="1105">
        <f>NOMINA!I49</f>
        <v>3</v>
      </c>
      <c r="J72" s="1106">
        <f>NOMINA!J49</f>
        <v>0</v>
      </c>
      <c r="K72" s="1105">
        <f t="shared" si="7"/>
        <v>3</v>
      </c>
      <c r="L72" s="1106" t="s">
        <v>4932</v>
      </c>
      <c r="M72" s="1106"/>
      <c r="N72" s="1443" t="str">
        <f>NOMINA!O48</f>
        <v>Asistente de Analista III</v>
      </c>
      <c r="O72" s="1106">
        <v>1.02087691000006E+18</v>
      </c>
      <c r="P72" s="1107">
        <f>ROUND(+NOMINA!T48,2)</f>
        <v>228</v>
      </c>
      <c r="Q72" s="1108">
        <v>0</v>
      </c>
      <c r="R72" s="1108">
        <f>ROUND(+NOMINA!AA48,2)</f>
        <v>59.28</v>
      </c>
      <c r="S72" s="1108">
        <f>ROUND(+NOMINA!AB48,2)</f>
        <v>130</v>
      </c>
      <c r="T72" s="1108">
        <f>ROUND(+NOMINA!AC48,2)</f>
        <v>0</v>
      </c>
      <c r="U72" s="1108">
        <f>ROUND(+NOMINA!AD48,2)</f>
        <v>104.32</v>
      </c>
      <c r="V72" s="1108">
        <f>ROUND(NOMINA!AQ48,2)</f>
        <v>0</v>
      </c>
      <c r="W72" s="1108">
        <f>+NOMINA!AS48</f>
        <v>0</v>
      </c>
      <c r="X72" s="1108">
        <f>+NOMINA!AT48</f>
        <v>0</v>
      </c>
      <c r="Y72" s="1108">
        <f>+NOMINA!AU48</f>
        <v>521.6</v>
      </c>
      <c r="Z72" s="1108">
        <f>+NOMINA!BX48</f>
        <v>978</v>
      </c>
      <c r="AA72" s="1108">
        <f>+NOMINA!BY48</f>
        <v>0</v>
      </c>
      <c r="AB72" s="1108">
        <f t="shared" si="8"/>
        <v>978</v>
      </c>
      <c r="AD72" s="625"/>
      <c r="AH72" s="1467" t="str">
        <f>NOMINA!P48</f>
        <v>01020373250000439723</v>
      </c>
    </row>
    <row r="73" spans="1:34" s="620" customFormat="1" ht="20.100000000000001" customHeight="1" thickBot="1" x14ac:dyDescent="0.25">
      <c r="A73" s="758" t="s">
        <v>2846</v>
      </c>
      <c r="B73" s="759">
        <f t="shared" si="9"/>
        <v>6</v>
      </c>
      <c r="C73" s="1102">
        <f>NOMINA!C49</f>
        <v>7744688</v>
      </c>
      <c r="D73" s="1103" t="str">
        <f>NOMINA!D49</f>
        <v>Aguilera Carroz Gerardo Raul</v>
      </c>
      <c r="E73" s="1468" t="s">
        <v>4622</v>
      </c>
      <c r="F73" s="1110">
        <v>32351</v>
      </c>
      <c r="G73" s="1468" t="s">
        <v>4620</v>
      </c>
      <c r="H73" s="1442">
        <f>NOMINA!H49</f>
        <v>44713</v>
      </c>
      <c r="I73" s="1105">
        <f>NOMINA!I50</f>
        <v>19</v>
      </c>
      <c r="J73" s="1106">
        <f>NOMINA!J50</f>
        <v>5</v>
      </c>
      <c r="K73" s="1105">
        <f t="shared" si="7"/>
        <v>24</v>
      </c>
      <c r="L73" s="1106" t="s">
        <v>4932</v>
      </c>
      <c r="M73" s="1106"/>
      <c r="N73" s="1443" t="str">
        <f>NOMINA!O49</f>
        <v>Asistente Administrativo III</v>
      </c>
      <c r="O73" s="1106">
        <v>1.02087691000006E+18</v>
      </c>
      <c r="P73" s="1107">
        <f>ROUND(+NOMINA!T49,2)</f>
        <v>219</v>
      </c>
      <c r="Q73" s="1108">
        <v>0</v>
      </c>
      <c r="R73" s="1108">
        <f>ROUND(+NOMINA!AA49,2)</f>
        <v>6.57</v>
      </c>
      <c r="S73" s="1108">
        <f>ROUND(+NOMINA!AB49,2)</f>
        <v>130</v>
      </c>
      <c r="T73" s="1108">
        <f>ROUND(+NOMINA!AC49,2)</f>
        <v>0</v>
      </c>
      <c r="U73" s="1108">
        <f>ROUND(+NOMINA!AD49,2)</f>
        <v>71.11</v>
      </c>
      <c r="V73" s="1108">
        <f>ROUND(NOMINA!AQ49,2)</f>
        <v>0</v>
      </c>
      <c r="W73" s="1108">
        <f>+NOMINA!AS49</f>
        <v>0</v>
      </c>
      <c r="X73" s="1108">
        <f>+NOMINA!AT49</f>
        <v>0</v>
      </c>
      <c r="Y73" s="1108">
        <f>+NOMINA!AU49</f>
        <v>426.68</v>
      </c>
      <c r="Z73" s="1108">
        <f>+NOMINA!BX49</f>
        <v>800.03</v>
      </c>
      <c r="AA73" s="1108">
        <f>+NOMINA!BY49</f>
        <v>0</v>
      </c>
      <c r="AB73" s="1108">
        <f t="shared" si="8"/>
        <v>800.03</v>
      </c>
      <c r="AD73" s="625"/>
      <c r="AH73" s="1467" t="str">
        <f>NOMINA!P49</f>
        <v>01020427590000460213</v>
      </c>
    </row>
    <row r="74" spans="1:34" s="620" customFormat="1" ht="20.100000000000001" customHeight="1" thickBot="1" x14ac:dyDescent="0.25">
      <c r="A74" s="758" t="s">
        <v>2846</v>
      </c>
      <c r="B74" s="759">
        <f t="shared" si="9"/>
        <v>7</v>
      </c>
      <c r="C74" s="1102">
        <f>NOMINA!C50</f>
        <v>7890070</v>
      </c>
      <c r="D74" s="1103" t="str">
        <f>NOMINA!D50</f>
        <v>Pacheco Bermudez Bebsabeth Coromoto</v>
      </c>
      <c r="E74" s="1468" t="s">
        <v>4622</v>
      </c>
      <c r="F74" s="1110">
        <v>32351</v>
      </c>
      <c r="G74" s="1468" t="s">
        <v>4620</v>
      </c>
      <c r="H74" s="1442">
        <f>NOMINA!H50</f>
        <v>38930</v>
      </c>
      <c r="I74" s="1105">
        <f>NOMINA!I51</f>
        <v>16</v>
      </c>
      <c r="J74" s="1106">
        <f>NOMINA!J51</f>
        <v>4</v>
      </c>
      <c r="K74" s="1105">
        <f t="shared" si="7"/>
        <v>20</v>
      </c>
      <c r="L74" s="1106" t="s">
        <v>4932</v>
      </c>
      <c r="M74" s="1106"/>
      <c r="N74" s="1443" t="str">
        <f>NOMINA!O50</f>
        <v>Guia de Centro II</v>
      </c>
      <c r="O74" s="1106">
        <v>1.02087691000006E+18</v>
      </c>
      <c r="P74" s="1107">
        <f>ROUND(+NOMINA!T50,2)</f>
        <v>177</v>
      </c>
      <c r="Q74" s="1108">
        <v>0</v>
      </c>
      <c r="R74" s="1108">
        <f>ROUND(+NOMINA!AA50,2)</f>
        <v>53.1</v>
      </c>
      <c r="S74" s="1108">
        <f>ROUND(+NOMINA!AB50,2)</f>
        <v>130</v>
      </c>
      <c r="T74" s="1108">
        <f>ROUND(+NOMINA!AC50,2)</f>
        <v>0</v>
      </c>
      <c r="U74" s="1108">
        <f>ROUND(+NOMINA!AD50,2)</f>
        <v>0</v>
      </c>
      <c r="V74" s="1108">
        <f>ROUND(NOMINA!AQ50,2)</f>
        <v>0</v>
      </c>
      <c r="W74" s="1108">
        <f>+NOMINA!AS50</f>
        <v>0</v>
      </c>
      <c r="X74" s="1108">
        <f>+NOMINA!AT50</f>
        <v>0</v>
      </c>
      <c r="Y74" s="1108">
        <f>+NOMINA!AU50</f>
        <v>360.1</v>
      </c>
      <c r="Z74" s="1108">
        <f>+NOMINA!BX50</f>
        <v>675.19</v>
      </c>
      <c r="AA74" s="1108">
        <f>+NOMINA!BY50</f>
        <v>0</v>
      </c>
      <c r="AB74" s="1108">
        <f t="shared" si="8"/>
        <v>675.19</v>
      </c>
      <c r="AD74" s="625"/>
      <c r="AH74" s="1467" t="str">
        <f>NOMINA!P50</f>
        <v>01020373290000438973</v>
      </c>
    </row>
    <row r="75" spans="1:34" s="620" customFormat="1" ht="20.100000000000001" customHeight="1" thickBot="1" x14ac:dyDescent="0.25">
      <c r="A75" s="758" t="s">
        <v>2846</v>
      </c>
      <c r="B75" s="759">
        <f t="shared" si="9"/>
        <v>8</v>
      </c>
      <c r="C75" s="1102">
        <f>NOMINA!C51</f>
        <v>8719807</v>
      </c>
      <c r="D75" s="1103" t="str">
        <f>NOMINA!D51</f>
        <v>Perez Saavedra Isabel Teresa</v>
      </c>
      <c r="E75" s="1468" t="s">
        <v>4622</v>
      </c>
      <c r="F75" s="1110">
        <v>32351</v>
      </c>
      <c r="G75" s="1468" t="s">
        <v>4620</v>
      </c>
      <c r="H75" s="1442">
        <f>NOMINA!H51</f>
        <v>39874</v>
      </c>
      <c r="I75" s="1105">
        <f>NOMINA!I52</f>
        <v>1</v>
      </c>
      <c r="J75" s="1106">
        <f>NOMINA!J52</f>
        <v>5</v>
      </c>
      <c r="K75" s="1105">
        <f t="shared" si="7"/>
        <v>6</v>
      </c>
      <c r="L75" s="1106" t="s">
        <v>4932</v>
      </c>
      <c r="M75" s="1106"/>
      <c r="N75" s="1443" t="str">
        <f>NOMINA!O51</f>
        <v>Abogado Jefe</v>
      </c>
      <c r="O75" s="1106">
        <v>1.02087691000006E+18</v>
      </c>
      <c r="P75" s="1107">
        <f>ROUND(+NOMINA!T51,2)</f>
        <v>0</v>
      </c>
      <c r="Q75" s="1108">
        <v>0</v>
      </c>
      <c r="R75" s="1108">
        <f>ROUND(+NOMINA!AA51,2)</f>
        <v>0</v>
      </c>
      <c r="S75" s="1108">
        <f>ROUND(+NOMINA!AB51,2)</f>
        <v>0</v>
      </c>
      <c r="T75" s="1108">
        <f>ROUND(+NOMINA!AC51,2)</f>
        <v>0</v>
      </c>
      <c r="U75" s="1108">
        <f>ROUND(+NOMINA!AD51,2)</f>
        <v>0</v>
      </c>
      <c r="V75" s="1108">
        <f>ROUND(NOMINA!AQ51,2)</f>
        <v>0</v>
      </c>
      <c r="W75" s="1108">
        <f>+NOMINA!AS51</f>
        <v>0</v>
      </c>
      <c r="X75" s="1108">
        <f>+NOMINA!AT51</f>
        <v>0</v>
      </c>
      <c r="Y75" s="1108">
        <f>+NOMINA!AU51</f>
        <v>0</v>
      </c>
      <c r="Z75" s="1108">
        <f>+NOMINA!BX51</f>
        <v>0</v>
      </c>
      <c r="AA75" s="1108">
        <f>+NOMINA!BY51</f>
        <v>0</v>
      </c>
      <c r="AB75" s="1108">
        <f t="shared" si="8"/>
        <v>0</v>
      </c>
      <c r="AD75" s="625"/>
      <c r="AH75" s="1467" t="str">
        <f>NOMINA!P51</f>
        <v>01020373220000438999</v>
      </c>
    </row>
    <row r="76" spans="1:34" s="620" customFormat="1" ht="20.100000000000001" customHeight="1" thickBot="1" x14ac:dyDescent="0.25">
      <c r="A76" s="758" t="s">
        <v>2846</v>
      </c>
      <c r="B76" s="759">
        <f t="shared" si="9"/>
        <v>9</v>
      </c>
      <c r="C76" s="1102">
        <f>NOMINA!C52</f>
        <v>8266170</v>
      </c>
      <c r="D76" s="1103" t="str">
        <f>NOMINA!D52</f>
        <v>Aguana Sanchez Yraida Josefina</v>
      </c>
      <c r="E76" s="1468" t="s">
        <v>4622</v>
      </c>
      <c r="F76" s="1110">
        <v>32351</v>
      </c>
      <c r="G76" s="1468" t="s">
        <v>4620</v>
      </c>
      <c r="H76" s="1442">
        <f>NOMINA!H52</f>
        <v>45323</v>
      </c>
      <c r="I76" s="1105">
        <f>NOMINA!I53</f>
        <v>17</v>
      </c>
      <c r="J76" s="1106">
        <f>NOMINA!J53</f>
        <v>4</v>
      </c>
      <c r="K76" s="1105">
        <f t="shared" si="7"/>
        <v>21</v>
      </c>
      <c r="L76" s="1106" t="s">
        <v>4932</v>
      </c>
      <c r="M76" s="1106"/>
      <c r="N76" s="1443" t="str">
        <f>NOMINA!O52</f>
        <v>Guia de Centro I</v>
      </c>
      <c r="O76" s="1106">
        <v>1.02087691000006E+18</v>
      </c>
      <c r="P76" s="1107">
        <f>ROUND(+NOMINA!T52,2)</f>
        <v>221</v>
      </c>
      <c r="Q76" s="1108">
        <v>0</v>
      </c>
      <c r="R76" s="1108">
        <f>ROUND(+NOMINA!AA52,2)</f>
        <v>13.7</v>
      </c>
      <c r="S76" s="1108">
        <f>ROUND(+NOMINA!AB52,2)</f>
        <v>130</v>
      </c>
      <c r="T76" s="1108">
        <f>ROUND(+NOMINA!AC52,2)</f>
        <v>12.5</v>
      </c>
      <c r="U76" s="1108">
        <f>ROUND(+NOMINA!AD52,2)</f>
        <v>94.3</v>
      </c>
      <c r="V76" s="1108">
        <f>ROUND(NOMINA!AQ52,2)</f>
        <v>0</v>
      </c>
      <c r="W76" s="1108">
        <f>+NOMINA!AS52</f>
        <v>0</v>
      </c>
      <c r="X76" s="1108">
        <f>+NOMINA!AT52</f>
        <v>0</v>
      </c>
      <c r="Y76" s="1108">
        <f>+NOMINA!AU52</f>
        <v>612.95000000000005</v>
      </c>
      <c r="Z76" s="1108">
        <f>+NOMINA!BX52</f>
        <v>1024.24</v>
      </c>
      <c r="AA76" s="1108">
        <f>+NOMINA!BY52</f>
        <v>0</v>
      </c>
      <c r="AB76" s="1108">
        <f t="shared" si="8"/>
        <v>1024.24</v>
      </c>
      <c r="AD76" s="625"/>
      <c r="AH76" s="1467" t="str">
        <f>NOMINA!P52</f>
        <v>01020373250000457705</v>
      </c>
    </row>
    <row r="77" spans="1:34" s="620" customFormat="1" ht="20.100000000000001" customHeight="1" thickBot="1" x14ac:dyDescent="0.25">
      <c r="A77" s="758" t="s">
        <v>2846</v>
      </c>
      <c r="B77" s="759">
        <f t="shared" si="9"/>
        <v>10</v>
      </c>
      <c r="C77" s="1102">
        <f>NOMINA!C53</f>
        <v>9162178</v>
      </c>
      <c r="D77" s="1103" t="str">
        <f>NOMINA!D53</f>
        <v>Duarte de Bastidas Gladys Margarita</v>
      </c>
      <c r="E77" s="1468" t="s">
        <v>4622</v>
      </c>
      <c r="F77" s="1110">
        <v>32351</v>
      </c>
      <c r="G77" s="1468" t="s">
        <v>4620</v>
      </c>
      <c r="H77" s="1442">
        <f>NOMINA!H53</f>
        <v>39566</v>
      </c>
      <c r="I77" s="1105">
        <f>NOMINA!I54</f>
        <v>28</v>
      </c>
      <c r="J77" s="1106">
        <f>NOMINA!J54</f>
        <v>0</v>
      </c>
      <c r="K77" s="1105">
        <f t="shared" si="7"/>
        <v>28</v>
      </c>
      <c r="L77" s="1106" t="s">
        <v>4932</v>
      </c>
      <c r="M77" s="1106"/>
      <c r="N77" s="1443" t="str">
        <f>NOMINA!O53</f>
        <v>Guia de Centro II</v>
      </c>
      <c r="O77" s="1106">
        <v>1.02087691000006E+18</v>
      </c>
      <c r="P77" s="1107">
        <f>ROUND(+NOMINA!T53,2)</f>
        <v>177</v>
      </c>
      <c r="Q77" s="1108">
        <v>0</v>
      </c>
      <c r="R77" s="1108">
        <f>ROUND(+NOMINA!AA53,2)</f>
        <v>49.21</v>
      </c>
      <c r="S77" s="1108">
        <f>ROUND(+NOMINA!AB53,2)</f>
        <v>130</v>
      </c>
      <c r="T77" s="1108">
        <f>ROUND(+NOMINA!AC53,2)</f>
        <v>0</v>
      </c>
      <c r="U77" s="1108">
        <f>ROUND(+NOMINA!AD53,2)</f>
        <v>0</v>
      </c>
      <c r="V77" s="1108">
        <f>ROUND(NOMINA!AQ53,2)</f>
        <v>0</v>
      </c>
      <c r="W77" s="1108">
        <f>+NOMINA!AS53</f>
        <v>0</v>
      </c>
      <c r="X77" s="1108">
        <f>+NOMINA!AT53</f>
        <v>0</v>
      </c>
      <c r="Y77" s="1108">
        <f>+NOMINA!AU53</f>
        <v>463.07000000000005</v>
      </c>
      <c r="Z77" s="1108">
        <f>+NOMINA!BX53</f>
        <v>868.26</v>
      </c>
      <c r="AA77" s="1108">
        <f>+NOMINA!BY53</f>
        <v>0</v>
      </c>
      <c r="AB77" s="1108">
        <f t="shared" si="8"/>
        <v>868.26</v>
      </c>
      <c r="AD77" s="625"/>
      <c r="AH77" s="1467" t="str">
        <f>NOMINA!P53</f>
        <v>01020373210000441287</v>
      </c>
    </row>
    <row r="78" spans="1:34" s="620" customFormat="1" ht="18.95" customHeight="1" thickBot="1" x14ac:dyDescent="0.25">
      <c r="A78" s="758" t="s">
        <v>2846</v>
      </c>
      <c r="B78" s="759">
        <f t="shared" si="9"/>
        <v>11</v>
      </c>
      <c r="C78" s="1102">
        <f>NOMINA!C54</f>
        <v>9162243</v>
      </c>
      <c r="D78" s="1103" t="str">
        <f>NOMINA!D54</f>
        <v>Valera Borrero Marcos Tulio</v>
      </c>
      <c r="E78" s="1468" t="s">
        <v>4622</v>
      </c>
      <c r="F78" s="1110">
        <v>32351</v>
      </c>
      <c r="G78" s="1468" t="s">
        <v>4620</v>
      </c>
      <c r="H78" s="1442">
        <f>NOMINA!H54</f>
        <v>35535</v>
      </c>
      <c r="I78" s="1105">
        <f>NOMINA!I55</f>
        <v>18</v>
      </c>
      <c r="J78" s="1106">
        <f>NOMINA!J55</f>
        <v>0</v>
      </c>
      <c r="K78" s="1105">
        <f t="shared" si="7"/>
        <v>18</v>
      </c>
      <c r="L78" s="1106" t="s">
        <v>4932</v>
      </c>
      <c r="M78" s="1106"/>
      <c r="N78" s="1443" t="str">
        <f>NOMINA!O54</f>
        <v>Guia de Centro II</v>
      </c>
      <c r="O78" s="1106">
        <v>1.02087691000006E+18</v>
      </c>
      <c r="P78" s="1107">
        <f>ROUND(+NOMINA!T54,2)</f>
        <v>177</v>
      </c>
      <c r="Q78" s="1108">
        <v>0</v>
      </c>
      <c r="R78" s="1108">
        <f>ROUND(+NOMINA!AA54,2)</f>
        <v>53.1</v>
      </c>
      <c r="S78" s="1108">
        <f>ROUND(+NOMINA!AB54,2)</f>
        <v>130</v>
      </c>
      <c r="T78" s="1108">
        <f>ROUND(+NOMINA!AC54,2)</f>
        <v>0</v>
      </c>
      <c r="U78" s="1108">
        <f>ROUND(+NOMINA!AD54,2)</f>
        <v>0</v>
      </c>
      <c r="V78" s="1108">
        <f>ROUND(NOMINA!AQ54,2)</f>
        <v>0</v>
      </c>
      <c r="W78" s="1108">
        <f>+NOMINA!AS54</f>
        <v>0</v>
      </c>
      <c r="X78" s="1108">
        <f>+NOMINA!AT54</f>
        <v>0</v>
      </c>
      <c r="Y78" s="1108">
        <f>+NOMINA!AU54</f>
        <v>360.1</v>
      </c>
      <c r="Z78" s="1108">
        <f>+NOMINA!BX54</f>
        <v>675.19</v>
      </c>
      <c r="AA78" s="1108">
        <f>+NOMINA!BY54</f>
        <v>0</v>
      </c>
      <c r="AB78" s="1108">
        <f t="shared" si="8"/>
        <v>675.19</v>
      </c>
      <c r="AD78" s="625"/>
      <c r="AH78" s="1467" t="str">
        <f>NOMINA!P54</f>
        <v>01020373210000441290</v>
      </c>
    </row>
    <row r="79" spans="1:34" s="620" customFormat="1" ht="18.95" customHeight="1" thickBot="1" x14ac:dyDescent="0.25">
      <c r="A79" s="758" t="s">
        <v>2846</v>
      </c>
      <c r="B79" s="759">
        <f t="shared" si="9"/>
        <v>12</v>
      </c>
      <c r="C79" s="1102">
        <f>NOMINA!C55</f>
        <v>9170647</v>
      </c>
      <c r="D79" s="1103" t="str">
        <f>NOMINA!D55</f>
        <v>Torres Gonzalez Meris del Carmen</v>
      </c>
      <c r="E79" s="1468" t="s">
        <v>4622</v>
      </c>
      <c r="F79" s="1110">
        <v>32351</v>
      </c>
      <c r="G79" s="1468" t="s">
        <v>4620</v>
      </c>
      <c r="H79" s="1442">
        <f>NOMINA!H55</f>
        <v>39238</v>
      </c>
      <c r="I79" s="1105">
        <f>NOMINA!I56</f>
        <v>22</v>
      </c>
      <c r="J79" s="1106">
        <f>NOMINA!J56</f>
        <v>0</v>
      </c>
      <c r="K79" s="1105">
        <f t="shared" si="7"/>
        <v>22</v>
      </c>
      <c r="L79" s="1106" t="s">
        <v>4932</v>
      </c>
      <c r="M79" s="1106"/>
      <c r="N79" s="1443" t="str">
        <f>NOMINA!O55</f>
        <v>Guia de Centro II</v>
      </c>
      <c r="O79" s="1106">
        <v>1.02087691000006E+18</v>
      </c>
      <c r="P79" s="1107">
        <f>ROUND(+NOMINA!T55,2)</f>
        <v>228</v>
      </c>
      <c r="Q79" s="1108">
        <v>0</v>
      </c>
      <c r="R79" s="1108">
        <f>ROUND(+NOMINA!AA55,2)</f>
        <v>51.98</v>
      </c>
      <c r="S79" s="1108">
        <f>ROUND(+NOMINA!AB55,2)</f>
        <v>130</v>
      </c>
      <c r="T79" s="1108">
        <f>ROUND(+NOMINA!AC55,2)</f>
        <v>0</v>
      </c>
      <c r="U79" s="1108">
        <f>ROUND(+NOMINA!AD55,2)</f>
        <v>82</v>
      </c>
      <c r="V79" s="1108">
        <f>ROUND(NOMINA!AQ55,2)</f>
        <v>0</v>
      </c>
      <c r="W79" s="1108">
        <f>+NOMINA!AS55</f>
        <v>0</v>
      </c>
      <c r="X79" s="1108">
        <f>+NOMINA!AT55</f>
        <v>0</v>
      </c>
      <c r="Y79" s="1108">
        <f>+NOMINA!AU55</f>
        <v>639.57000000000005</v>
      </c>
      <c r="Z79" s="1108">
        <f>+NOMINA!BX55</f>
        <v>1199.2</v>
      </c>
      <c r="AA79" s="1108">
        <f>+NOMINA!BY55</f>
        <v>0</v>
      </c>
      <c r="AB79" s="1108">
        <f t="shared" si="8"/>
        <v>1199.2</v>
      </c>
      <c r="AD79" s="625"/>
      <c r="AH79" s="1467" t="str">
        <f>NOMINA!P55</f>
        <v>01020373270000441342</v>
      </c>
    </row>
    <row r="80" spans="1:34" s="620" customFormat="1" ht="18.95" customHeight="1" thickBot="1" x14ac:dyDescent="0.25">
      <c r="A80" s="758" t="s">
        <v>2846</v>
      </c>
      <c r="B80" s="759">
        <f t="shared" si="9"/>
        <v>13</v>
      </c>
      <c r="C80" s="1102">
        <f>NOMINA!C56</f>
        <v>9177323</v>
      </c>
      <c r="D80" s="1103" t="str">
        <f>NOMINA!D56</f>
        <v>Simancas de Mendoza Alix Josefina</v>
      </c>
      <c r="E80" s="1468" t="s">
        <v>4622</v>
      </c>
      <c r="F80" s="1110">
        <v>32351</v>
      </c>
      <c r="G80" s="1468" t="s">
        <v>4620</v>
      </c>
      <c r="H80" s="1442">
        <f>NOMINA!H56</f>
        <v>37879</v>
      </c>
      <c r="I80" s="1105">
        <f>NOMINA!I57</f>
        <v>22</v>
      </c>
      <c r="J80" s="1106">
        <f>NOMINA!J57</f>
        <v>0</v>
      </c>
      <c r="K80" s="1105">
        <f t="shared" si="7"/>
        <v>22</v>
      </c>
      <c r="L80" s="1106" t="s">
        <v>4932</v>
      </c>
      <c r="M80" s="1106"/>
      <c r="N80" s="1443" t="str">
        <f>NOMINA!O56</f>
        <v>Asistente Administrativo III</v>
      </c>
      <c r="O80" s="1106">
        <v>1.02087691000006E+18</v>
      </c>
      <c r="P80" s="1107">
        <f>ROUND(+NOMINA!T56,2)</f>
        <v>177</v>
      </c>
      <c r="Q80" s="1108">
        <v>0</v>
      </c>
      <c r="R80" s="1108">
        <f>ROUND(+NOMINA!AA56,2)</f>
        <v>52.39</v>
      </c>
      <c r="S80" s="1108">
        <f>ROUND(+NOMINA!AB56,2)</f>
        <v>130</v>
      </c>
      <c r="T80" s="1108">
        <f>ROUND(+NOMINA!AC56,2)</f>
        <v>0</v>
      </c>
      <c r="U80" s="1108">
        <f>ROUND(+NOMINA!AD56,2)</f>
        <v>0</v>
      </c>
      <c r="V80" s="1108">
        <f>ROUND(NOMINA!AQ56,2)</f>
        <v>0</v>
      </c>
      <c r="W80" s="1108">
        <f>+NOMINA!AS56</f>
        <v>0</v>
      </c>
      <c r="X80" s="1108">
        <f>+NOMINA!AT56</f>
        <v>0</v>
      </c>
      <c r="Y80" s="1108">
        <f>+NOMINA!AU56</f>
        <v>359.39</v>
      </c>
      <c r="Z80" s="1108">
        <f>+NOMINA!BX56</f>
        <v>673.86</v>
      </c>
      <c r="AA80" s="1108">
        <f>+NOMINA!BY56</f>
        <v>0</v>
      </c>
      <c r="AB80" s="1108">
        <f t="shared" si="8"/>
        <v>673.86</v>
      </c>
      <c r="AD80" s="625"/>
      <c r="AH80" s="1467" t="str">
        <f>NOMINA!P56</f>
        <v>01020373210000441449</v>
      </c>
    </row>
    <row r="81" spans="1:34" s="620" customFormat="1" ht="18.95" customHeight="1" thickBot="1" x14ac:dyDescent="0.25">
      <c r="A81" s="758" t="s">
        <v>2846</v>
      </c>
      <c r="B81" s="759">
        <f t="shared" si="9"/>
        <v>14</v>
      </c>
      <c r="C81" s="1102">
        <f>NOMINA!C57</f>
        <v>9178087</v>
      </c>
      <c r="D81" s="1103" t="str">
        <f>NOMINA!D57</f>
        <v>Saavedra Juan Jose</v>
      </c>
      <c r="E81" s="1468" t="s">
        <v>4622</v>
      </c>
      <c r="F81" s="1110">
        <v>32351</v>
      </c>
      <c r="G81" s="1468" t="s">
        <v>4620</v>
      </c>
      <c r="H81" s="1442">
        <f>NOMINA!H57</f>
        <v>37622</v>
      </c>
      <c r="I81" s="1105">
        <f>NOMINA!I58</f>
        <v>0</v>
      </c>
      <c r="J81" s="1106">
        <f>NOMINA!J58</f>
        <v>18</v>
      </c>
      <c r="K81" s="1105">
        <f t="shared" si="7"/>
        <v>18</v>
      </c>
      <c r="L81" s="1106" t="s">
        <v>4932</v>
      </c>
      <c r="M81" s="1106"/>
      <c r="N81" s="1443" t="str">
        <f>NOMINA!O57</f>
        <v>Asistente Administrativo III</v>
      </c>
      <c r="O81" s="1106">
        <v>1.02087691000006E+18</v>
      </c>
      <c r="P81" s="1107">
        <f>ROUND(+NOMINA!T57,2)</f>
        <v>177</v>
      </c>
      <c r="Q81" s="1108">
        <v>0</v>
      </c>
      <c r="R81" s="1108">
        <f>ROUND(+NOMINA!AA57,2)</f>
        <v>52.39</v>
      </c>
      <c r="S81" s="1108">
        <f>ROUND(+NOMINA!AB57,2)</f>
        <v>130</v>
      </c>
      <c r="T81" s="1108">
        <f>ROUND(+NOMINA!AC57,2)</f>
        <v>0</v>
      </c>
      <c r="U81" s="1108">
        <f>ROUND(+NOMINA!AD57,2)</f>
        <v>0</v>
      </c>
      <c r="V81" s="1108">
        <f>ROUND(NOMINA!AQ57,2)</f>
        <v>0</v>
      </c>
      <c r="W81" s="1108">
        <f>+NOMINA!AS57</f>
        <v>0</v>
      </c>
      <c r="X81" s="1108">
        <f>+NOMINA!AT57</f>
        <v>0</v>
      </c>
      <c r="Y81" s="1108">
        <f>+NOMINA!AU57</f>
        <v>359.39</v>
      </c>
      <c r="Z81" s="1108">
        <f>+NOMINA!BX57</f>
        <v>673.86</v>
      </c>
      <c r="AA81" s="1108">
        <f>+NOMINA!BY57</f>
        <v>0</v>
      </c>
      <c r="AB81" s="1108">
        <f t="shared" si="8"/>
        <v>673.86</v>
      </c>
      <c r="AD81" s="625"/>
      <c r="AH81" s="1467" t="str">
        <f>NOMINA!P57</f>
        <v>01020373210000441452</v>
      </c>
    </row>
    <row r="82" spans="1:34" s="620" customFormat="1" ht="18.95" customHeight="1" thickBot="1" x14ac:dyDescent="0.25">
      <c r="A82" s="758" t="s">
        <v>2846</v>
      </c>
      <c r="B82" s="759">
        <f t="shared" si="9"/>
        <v>15</v>
      </c>
      <c r="C82" s="1102">
        <f>NOMINA!C58</f>
        <v>9179981</v>
      </c>
      <c r="D82" s="1103" t="str">
        <f>NOMINA!D58</f>
        <v>Manzanilla Molina Alfredo Jose</v>
      </c>
      <c r="E82" s="1468" t="s">
        <v>4622</v>
      </c>
      <c r="F82" s="1110">
        <v>32351</v>
      </c>
      <c r="G82" s="1468" t="s">
        <v>4620</v>
      </c>
      <c r="H82" s="1442">
        <f>NOMINA!H58</f>
        <v>45597</v>
      </c>
      <c r="I82" s="1105">
        <f>NOMINA!I59</f>
        <v>22</v>
      </c>
      <c r="J82" s="1106">
        <f>NOMINA!J59</f>
        <v>0</v>
      </c>
      <c r="K82" s="1105">
        <f t="shared" si="7"/>
        <v>22</v>
      </c>
      <c r="L82" s="1106" t="s">
        <v>4932</v>
      </c>
      <c r="M82" s="1106"/>
      <c r="N82" s="1443" t="str">
        <f>NOMINA!O58</f>
        <v>Instructor Agropecuario III</v>
      </c>
      <c r="O82" s="1106">
        <v>1.02087691000006E+18</v>
      </c>
      <c r="P82" s="1107">
        <f>ROUND(+NOMINA!T58,2)</f>
        <v>177</v>
      </c>
      <c r="Q82" s="1108">
        <v>0</v>
      </c>
      <c r="R82" s="1108">
        <f>ROUND(+NOMINA!AA58,2)</f>
        <v>40.36</v>
      </c>
      <c r="S82" s="1108">
        <f>ROUND(+NOMINA!AB58,2)</f>
        <v>130</v>
      </c>
      <c r="T82" s="1108">
        <f>ROUND(+NOMINA!AC58,2)</f>
        <v>0</v>
      </c>
      <c r="U82" s="1108">
        <f>ROUND(+NOMINA!AD58,2)</f>
        <v>86.84</v>
      </c>
      <c r="V82" s="1108">
        <f>ROUND(NOMINA!AQ58,2)</f>
        <v>0</v>
      </c>
      <c r="W82" s="1108">
        <f>+NOMINA!AS58</f>
        <v>0</v>
      </c>
      <c r="X82" s="1108">
        <f>+NOMINA!AT58</f>
        <v>0</v>
      </c>
      <c r="Y82" s="1108">
        <f>+NOMINA!AU58</f>
        <v>434.20000000000005</v>
      </c>
      <c r="Z82" s="1108">
        <f>+NOMINA!BX58</f>
        <v>130.66</v>
      </c>
      <c r="AA82" s="1108">
        <f>+NOMINA!BY58</f>
        <v>0</v>
      </c>
      <c r="AB82" s="1108">
        <f t="shared" si="8"/>
        <v>130.66</v>
      </c>
      <c r="AD82" s="625"/>
      <c r="AH82" s="1467" t="str">
        <f>NOMINA!P58</f>
        <v>01020373290000068592</v>
      </c>
    </row>
    <row r="83" spans="1:34" s="620" customFormat="1" ht="20.100000000000001" customHeight="1" thickBot="1" x14ac:dyDescent="0.25">
      <c r="A83" s="758" t="s">
        <v>2846</v>
      </c>
      <c r="B83" s="759">
        <f t="shared" si="9"/>
        <v>16</v>
      </c>
      <c r="C83" s="1102">
        <f>NOMINA!C59</f>
        <v>9311822</v>
      </c>
      <c r="D83" s="1103" t="str">
        <f>NOMINA!D59</f>
        <v>Rojo Sanchez Alexis Omar</v>
      </c>
      <c r="E83" s="1468" t="s">
        <v>4622</v>
      </c>
      <c r="F83" s="1110">
        <v>32351</v>
      </c>
      <c r="G83" s="1468" t="s">
        <v>4620</v>
      </c>
      <c r="H83" s="1442">
        <f>NOMINA!H59</f>
        <v>37662</v>
      </c>
      <c r="I83" s="1105">
        <f>NOMINA!I60</f>
        <v>20</v>
      </c>
      <c r="J83" s="1106">
        <f>NOMINA!J60</f>
        <v>0</v>
      </c>
      <c r="K83" s="1105">
        <f t="shared" si="7"/>
        <v>20</v>
      </c>
      <c r="L83" s="1106" t="s">
        <v>4932</v>
      </c>
      <c r="M83" s="1106"/>
      <c r="N83" s="1443" t="str">
        <f>NOMINA!O59</f>
        <v>Asistente Administrativo III</v>
      </c>
      <c r="O83" s="1106">
        <v>1.02087691000006E+18</v>
      </c>
      <c r="P83" s="1107">
        <f>ROUND(+NOMINA!T59,2)</f>
        <v>0</v>
      </c>
      <c r="Q83" s="1108">
        <v>0</v>
      </c>
      <c r="R83" s="1108">
        <f>ROUND(+NOMINA!AA59,2)</f>
        <v>0</v>
      </c>
      <c r="S83" s="1108">
        <f>ROUND(+NOMINA!AB59,2)</f>
        <v>0</v>
      </c>
      <c r="T83" s="1108">
        <f>ROUND(+NOMINA!AC59,2)</f>
        <v>0</v>
      </c>
      <c r="U83" s="1108">
        <f>ROUND(+NOMINA!AD59,2)</f>
        <v>0</v>
      </c>
      <c r="V83" s="1108">
        <f>ROUND(NOMINA!AQ59,2)</f>
        <v>0</v>
      </c>
      <c r="W83" s="1108">
        <f>+NOMINA!AS59</f>
        <v>0</v>
      </c>
      <c r="X83" s="1108">
        <f>+NOMINA!AT59</f>
        <v>0</v>
      </c>
      <c r="Y83" s="1108">
        <f>+NOMINA!AU59</f>
        <v>0</v>
      </c>
      <c r="Z83" s="1108">
        <f>+NOMINA!BX59</f>
        <v>0</v>
      </c>
      <c r="AA83" s="1108">
        <f>+NOMINA!BY59</f>
        <v>0</v>
      </c>
      <c r="AB83" s="1108">
        <f t="shared" si="8"/>
        <v>0</v>
      </c>
      <c r="AD83" s="625"/>
      <c r="AH83" s="1467" t="str">
        <f>NOMINA!P59</f>
        <v>01020373290000440657</v>
      </c>
    </row>
    <row r="84" spans="1:34" s="620" customFormat="1" ht="20.100000000000001" customHeight="1" thickBot="1" x14ac:dyDescent="0.25">
      <c r="A84" s="758" t="s">
        <v>2846</v>
      </c>
      <c r="B84" s="759">
        <f t="shared" si="9"/>
        <v>17</v>
      </c>
      <c r="C84" s="1102">
        <f>NOMINA!C60</f>
        <v>9315117</v>
      </c>
      <c r="D84" s="1103" t="str">
        <f>NOMINA!D60</f>
        <v>Palma de Briceño Sonia Josefina</v>
      </c>
      <c r="E84" s="1468" t="s">
        <v>4622</v>
      </c>
      <c r="F84" s="1110">
        <v>32351</v>
      </c>
      <c r="G84" s="1468" t="s">
        <v>4620</v>
      </c>
      <c r="H84" s="1442">
        <f>NOMINA!H60</f>
        <v>38412</v>
      </c>
      <c r="I84" s="1105">
        <f>NOMINA!I61</f>
        <v>17</v>
      </c>
      <c r="J84" s="1106">
        <f>NOMINA!J61</f>
        <v>2</v>
      </c>
      <c r="K84" s="1105">
        <f t="shared" si="7"/>
        <v>19</v>
      </c>
      <c r="L84" s="1106" t="s">
        <v>4932</v>
      </c>
      <c r="M84" s="1106"/>
      <c r="N84" s="1443" t="str">
        <f>NOMINA!O60</f>
        <v>Analista de Personal V</v>
      </c>
      <c r="O84" s="1106">
        <v>1.02087691000006E+18</v>
      </c>
      <c r="P84" s="1107">
        <f>ROUND(+NOMINA!T60,2)</f>
        <v>287</v>
      </c>
      <c r="Q84" s="1108">
        <v>0</v>
      </c>
      <c r="R84" s="1108">
        <f>ROUND(+NOMINA!AA60,2)</f>
        <v>74.62</v>
      </c>
      <c r="S84" s="1108">
        <f>ROUND(+NOMINA!AB60,2)</f>
        <v>130</v>
      </c>
      <c r="T84" s="1108">
        <f>ROUND(+NOMINA!AC60,2)</f>
        <v>0</v>
      </c>
      <c r="U84" s="1108">
        <f>ROUND(+NOMINA!AD60,2)</f>
        <v>122.91</v>
      </c>
      <c r="V84" s="1108">
        <f>ROUND(NOMINA!AQ60,2)</f>
        <v>0</v>
      </c>
      <c r="W84" s="1108">
        <f>+NOMINA!AS60</f>
        <v>0</v>
      </c>
      <c r="X84" s="1108">
        <f>+NOMINA!AT60</f>
        <v>0</v>
      </c>
      <c r="Y84" s="1108">
        <f>+NOMINA!AU60</f>
        <v>614.53</v>
      </c>
      <c r="Z84" s="1108">
        <f>+NOMINA!BX60</f>
        <v>1152.25</v>
      </c>
      <c r="AA84" s="1108">
        <f>+NOMINA!BY60</f>
        <v>0</v>
      </c>
      <c r="AB84" s="1108">
        <f t="shared" si="8"/>
        <v>1152.25</v>
      </c>
      <c r="AD84" s="625"/>
      <c r="AH84" s="1467" t="str">
        <f>NOMINA!P60</f>
        <v>01020373240000440699</v>
      </c>
    </row>
    <row r="85" spans="1:34" s="620" customFormat="1" ht="20.100000000000001" customHeight="1" thickBot="1" x14ac:dyDescent="0.25">
      <c r="A85" s="758" t="s">
        <v>2846</v>
      </c>
      <c r="B85" s="759">
        <f t="shared" si="9"/>
        <v>18</v>
      </c>
      <c r="C85" s="1102">
        <f>NOMINA!C61</f>
        <v>9315325</v>
      </c>
      <c r="D85" s="1103" t="str">
        <f>NOMINA!D61</f>
        <v>Gonzalez Hernandez Marianela</v>
      </c>
      <c r="E85" s="1468" t="s">
        <v>4622</v>
      </c>
      <c r="F85" s="1110">
        <v>32351</v>
      </c>
      <c r="G85" s="1468" t="s">
        <v>4620</v>
      </c>
      <c r="H85" s="1442">
        <f>NOMINA!H61</f>
        <v>39678</v>
      </c>
      <c r="I85" s="1105">
        <f>NOMINA!I62</f>
        <v>4</v>
      </c>
      <c r="J85" s="1106">
        <f>NOMINA!J62</f>
        <v>0</v>
      </c>
      <c r="K85" s="1105">
        <f t="shared" si="7"/>
        <v>4</v>
      </c>
      <c r="L85" s="1106" t="s">
        <v>4932</v>
      </c>
      <c r="M85" s="1106"/>
      <c r="N85" s="1443" t="str">
        <f>NOMINA!O61</f>
        <v>Asistente Administrativo IV</v>
      </c>
      <c r="O85" s="1106">
        <v>1.02087691000006E+18</v>
      </c>
      <c r="P85" s="1107">
        <f>ROUND(+NOMINA!T61,2)</f>
        <v>228</v>
      </c>
      <c r="Q85" s="1108">
        <v>0</v>
      </c>
      <c r="R85" s="1108">
        <f>ROUND(+NOMINA!AA61,2)</f>
        <v>55.63</v>
      </c>
      <c r="S85" s="1108">
        <f>ROUND(+NOMINA!AB61,2)</f>
        <v>130</v>
      </c>
      <c r="T85" s="1108">
        <f>ROUND(+NOMINA!AC61,2)</f>
        <v>0</v>
      </c>
      <c r="U85" s="1108">
        <f>ROUND(+NOMINA!AD61,2)</f>
        <v>82.73</v>
      </c>
      <c r="V85" s="1108">
        <f>ROUND(NOMINA!AQ61,2)</f>
        <v>0</v>
      </c>
      <c r="W85" s="1108">
        <f>+NOMINA!AS61</f>
        <v>0</v>
      </c>
      <c r="X85" s="1108">
        <f>+NOMINA!AT61</f>
        <v>0</v>
      </c>
      <c r="Y85" s="1108">
        <f>+NOMINA!AU61</f>
        <v>496.36</v>
      </c>
      <c r="Z85" s="1108">
        <f>+NOMINA!BX61</f>
        <v>930.68</v>
      </c>
      <c r="AA85" s="1108">
        <f>+NOMINA!BY61</f>
        <v>0</v>
      </c>
      <c r="AB85" s="1108">
        <f t="shared" si="8"/>
        <v>930.68</v>
      </c>
      <c r="AD85" s="625"/>
      <c r="AH85" s="1467" t="str">
        <f>NOMINA!P61</f>
        <v>01020373250000440709</v>
      </c>
    </row>
    <row r="86" spans="1:34" s="620" customFormat="1" ht="20.100000000000001" customHeight="1" thickBot="1" x14ac:dyDescent="0.25">
      <c r="A86" s="758" t="s">
        <v>2846</v>
      </c>
      <c r="B86" s="759">
        <f t="shared" si="9"/>
        <v>19</v>
      </c>
      <c r="C86" s="1102">
        <f>NOMINA!C62</f>
        <v>9316224</v>
      </c>
      <c r="D86" s="1103" t="str">
        <f>NOMINA!D62</f>
        <v>Sanchez Barrios Magalis del Carmen</v>
      </c>
      <c r="E86" s="1468" t="s">
        <v>4622</v>
      </c>
      <c r="F86" s="1110">
        <v>32351</v>
      </c>
      <c r="G86" s="1468" t="s">
        <v>4620</v>
      </c>
      <c r="H86" s="1442">
        <f>NOMINA!H62</f>
        <v>44317</v>
      </c>
      <c r="I86" s="1105">
        <f>NOMINA!I63</f>
        <v>27</v>
      </c>
      <c r="J86" s="1106">
        <f>NOMINA!J63</f>
        <v>0</v>
      </c>
      <c r="K86" s="1105">
        <f t="shared" si="7"/>
        <v>27</v>
      </c>
      <c r="L86" s="1106" t="s">
        <v>4932</v>
      </c>
      <c r="M86" s="1106"/>
      <c r="N86" s="1443" t="str">
        <f>NOMINA!O62</f>
        <v>Tecnico Superior en Trabajo Social II</v>
      </c>
      <c r="O86" s="1106">
        <v>1.02087691000006E+18</v>
      </c>
      <c r="P86" s="1107">
        <f>ROUND(+NOMINA!T62,2)</f>
        <v>219</v>
      </c>
      <c r="Q86" s="1108">
        <v>0</v>
      </c>
      <c r="R86" s="1108">
        <f>ROUND(+NOMINA!AA62,2)</f>
        <v>8.76</v>
      </c>
      <c r="S86" s="1108">
        <f>ROUND(+NOMINA!AB62,2)</f>
        <v>130</v>
      </c>
      <c r="T86" s="1108">
        <f>ROUND(+NOMINA!AC62,2)</f>
        <v>0</v>
      </c>
      <c r="U86" s="1108">
        <f>ROUND(+NOMINA!AD62,2)</f>
        <v>71.55</v>
      </c>
      <c r="V86" s="1108">
        <f>ROUND(NOMINA!AQ62,2)</f>
        <v>0</v>
      </c>
      <c r="W86" s="1108">
        <f>+NOMINA!AS62</f>
        <v>0</v>
      </c>
      <c r="X86" s="1108">
        <f>+NOMINA!AT62</f>
        <v>0</v>
      </c>
      <c r="Y86" s="1108">
        <f>+NOMINA!AU62</f>
        <v>429.31</v>
      </c>
      <c r="Z86" s="1108">
        <f>+NOMINA!BX62</f>
        <v>804.96</v>
      </c>
      <c r="AA86" s="1108">
        <f>+NOMINA!BY62</f>
        <v>0</v>
      </c>
      <c r="AB86" s="1108">
        <f t="shared" si="8"/>
        <v>804.96</v>
      </c>
      <c r="AD86" s="625"/>
      <c r="AH86" s="1467" t="str">
        <f>NOMINA!P62</f>
        <v>01020369460000055631</v>
      </c>
    </row>
    <row r="87" spans="1:34" s="620" customFormat="1" ht="20.100000000000001" customHeight="1" thickBot="1" x14ac:dyDescent="0.25">
      <c r="A87" s="758" t="s">
        <v>2846</v>
      </c>
      <c r="B87" s="759">
        <f t="shared" si="9"/>
        <v>20</v>
      </c>
      <c r="C87" s="1102">
        <f>NOMINA!C63</f>
        <v>9323927</v>
      </c>
      <c r="D87" s="1103" t="str">
        <f>NOMINA!D63</f>
        <v>Cardozo Garcia Jorge Antonio</v>
      </c>
      <c r="E87" s="1468" t="s">
        <v>4622</v>
      </c>
      <c r="F87" s="1110">
        <v>32351</v>
      </c>
      <c r="G87" s="1468" t="s">
        <v>4620</v>
      </c>
      <c r="H87" s="1442">
        <f>NOMINA!H63</f>
        <v>35704</v>
      </c>
      <c r="I87" s="1105">
        <f>NOMINA!I64</f>
        <v>19</v>
      </c>
      <c r="J87" s="1106">
        <f>NOMINA!J64</f>
        <v>0</v>
      </c>
      <c r="K87" s="1105">
        <f t="shared" si="7"/>
        <v>19</v>
      </c>
      <c r="L87" s="1106" t="s">
        <v>4932</v>
      </c>
      <c r="M87" s="1106"/>
      <c r="N87" s="1443" t="str">
        <f>NOMINA!O63</f>
        <v>Guia de Centro II</v>
      </c>
      <c r="O87" s="1106">
        <v>1.02087691000006E+18</v>
      </c>
      <c r="P87" s="1107">
        <f>ROUND(+NOMINA!T63,2)</f>
        <v>177</v>
      </c>
      <c r="Q87" s="1108">
        <v>0</v>
      </c>
      <c r="R87" s="1108">
        <f>ROUND(+NOMINA!AA63,2)</f>
        <v>53.1</v>
      </c>
      <c r="S87" s="1108">
        <f>ROUND(+NOMINA!AB63,2)</f>
        <v>130</v>
      </c>
      <c r="T87" s="1108">
        <f>ROUND(+NOMINA!AC63,2)</f>
        <v>0</v>
      </c>
      <c r="U87" s="1108">
        <f>ROUND(+NOMINA!AD63,2)</f>
        <v>0</v>
      </c>
      <c r="V87" s="1108">
        <f>ROUND(NOMINA!AQ63,2)</f>
        <v>0</v>
      </c>
      <c r="W87" s="1108">
        <f>+NOMINA!AS63</f>
        <v>0</v>
      </c>
      <c r="X87" s="1108">
        <f>+NOMINA!AT63</f>
        <v>0</v>
      </c>
      <c r="Y87" s="1108">
        <f>+NOMINA!AU63</f>
        <v>360.1</v>
      </c>
      <c r="Z87" s="1108">
        <f>+NOMINA!BX63</f>
        <v>675.19</v>
      </c>
      <c r="AA87" s="1108">
        <f>+NOMINA!BY63</f>
        <v>0</v>
      </c>
      <c r="AB87" s="1108">
        <f t="shared" si="8"/>
        <v>675.19</v>
      </c>
      <c r="AD87" s="625"/>
      <c r="AH87" s="1467" t="str">
        <f>NOMINA!P63</f>
        <v>01020373220000439134</v>
      </c>
    </row>
    <row r="88" spans="1:34" s="620" customFormat="1" ht="20.100000000000001" customHeight="1" thickBot="1" x14ac:dyDescent="0.25">
      <c r="A88" s="758" t="s">
        <v>2846</v>
      </c>
      <c r="B88" s="759">
        <f t="shared" si="9"/>
        <v>21</v>
      </c>
      <c r="C88" s="1102">
        <f>NOMINA!C64</f>
        <v>9327253</v>
      </c>
      <c r="D88" s="1103" t="str">
        <f>NOMINA!D64</f>
        <v>Garcia Araujo Jose Domingo</v>
      </c>
      <c r="E88" s="1468" t="s">
        <v>4622</v>
      </c>
      <c r="F88" s="1110">
        <v>32351</v>
      </c>
      <c r="G88" s="1468" t="s">
        <v>4620</v>
      </c>
      <c r="H88" s="1442">
        <f>NOMINA!H64</f>
        <v>38930</v>
      </c>
      <c r="I88" s="1105">
        <f>NOMINA!I65</f>
        <v>13</v>
      </c>
      <c r="J88" s="1106">
        <f>NOMINA!J65</f>
        <v>0</v>
      </c>
      <c r="K88" s="1105">
        <f t="shared" si="7"/>
        <v>13</v>
      </c>
      <c r="L88" s="1106" t="s">
        <v>4932</v>
      </c>
      <c r="M88" s="1106"/>
      <c r="N88" s="1443" t="str">
        <f>NOMINA!O64</f>
        <v>Analista de Presupuesto III</v>
      </c>
      <c r="O88" s="1106">
        <v>1.02087691000006E+18</v>
      </c>
      <c r="P88" s="1107">
        <f>ROUND(+NOMINA!T64,2)</f>
        <v>287</v>
      </c>
      <c r="Q88" s="1108">
        <v>0</v>
      </c>
      <c r="R88" s="1108">
        <f>ROUND(+NOMINA!AA64,2)</f>
        <v>70.03</v>
      </c>
      <c r="S88" s="1108">
        <f>ROUND(+NOMINA!AB64,2)</f>
        <v>130</v>
      </c>
      <c r="T88" s="1108">
        <f>ROUND(+NOMINA!AC64,2)</f>
        <v>0</v>
      </c>
      <c r="U88" s="1108">
        <f>ROUND(+NOMINA!AD64,2)</f>
        <v>0</v>
      </c>
      <c r="V88" s="1108">
        <f>ROUND(NOMINA!AQ64,2)</f>
        <v>0</v>
      </c>
      <c r="W88" s="1108">
        <f>+NOMINA!AS64</f>
        <v>0</v>
      </c>
      <c r="X88" s="1108">
        <f>+NOMINA!AT64</f>
        <v>0</v>
      </c>
      <c r="Y88" s="1108">
        <f>+NOMINA!AU64</f>
        <v>487.03</v>
      </c>
      <c r="Z88" s="1108">
        <f>+NOMINA!BX64</f>
        <v>913.18</v>
      </c>
      <c r="AA88" s="1108">
        <f>+NOMINA!BY64</f>
        <v>0</v>
      </c>
      <c r="AB88" s="1108">
        <f t="shared" si="8"/>
        <v>913.18</v>
      </c>
      <c r="AD88" s="625"/>
      <c r="AH88" s="1467" t="str">
        <f>NOMINA!P64</f>
        <v>01020373200000439192</v>
      </c>
    </row>
    <row r="89" spans="1:34" s="620" customFormat="1" ht="20.100000000000001" customHeight="1" thickBot="1" x14ac:dyDescent="0.25">
      <c r="A89" s="758" t="s">
        <v>2846</v>
      </c>
      <c r="B89" s="759">
        <f t="shared" si="9"/>
        <v>22</v>
      </c>
      <c r="C89" s="1102">
        <f>NOMINA!C65</f>
        <v>9328157</v>
      </c>
      <c r="D89" s="1103" t="str">
        <f>NOMINA!D65</f>
        <v>Perez Salas Olga Margarita</v>
      </c>
      <c r="E89" s="1468" t="s">
        <v>4622</v>
      </c>
      <c r="F89" s="1110">
        <v>32351</v>
      </c>
      <c r="G89" s="1468" t="s">
        <v>4620</v>
      </c>
      <c r="H89" s="1442">
        <f>NOMINA!H65</f>
        <v>41153</v>
      </c>
      <c r="I89" s="1105">
        <f>NOMINA!I66</f>
        <v>17</v>
      </c>
      <c r="J89" s="1106">
        <f>NOMINA!J66</f>
        <v>2</v>
      </c>
      <c r="K89" s="1105">
        <f t="shared" si="7"/>
        <v>19</v>
      </c>
      <c r="L89" s="1106" t="s">
        <v>4932</v>
      </c>
      <c r="M89" s="1106"/>
      <c r="N89" s="1443" t="str">
        <f>NOMINA!O65</f>
        <v>Guia de Centro II</v>
      </c>
      <c r="O89" s="1106">
        <v>1.02087691000006E+18</v>
      </c>
      <c r="P89" s="1107">
        <f>ROUND(+NOMINA!T65,2)</f>
        <v>174</v>
      </c>
      <c r="Q89" s="1108">
        <v>0</v>
      </c>
      <c r="R89" s="1108">
        <f>ROUND(+NOMINA!AA65,2)</f>
        <v>26.45</v>
      </c>
      <c r="S89" s="1108">
        <f>ROUND(+NOMINA!AB65,2)</f>
        <v>130</v>
      </c>
      <c r="T89" s="1108">
        <f>ROUND(+NOMINA!AC65,2)</f>
        <v>0</v>
      </c>
      <c r="U89" s="1108">
        <f>ROUND(+NOMINA!AD65,2)</f>
        <v>0</v>
      </c>
      <c r="V89" s="1108">
        <f>ROUND(NOMINA!AQ65,2)</f>
        <v>0</v>
      </c>
      <c r="W89" s="1108">
        <f>+NOMINA!AS65</f>
        <v>0</v>
      </c>
      <c r="X89" s="1108">
        <f>+NOMINA!AT65</f>
        <v>0</v>
      </c>
      <c r="Y89" s="1108">
        <f>+NOMINA!AU65</f>
        <v>330.45</v>
      </c>
      <c r="Z89" s="1108">
        <f>+NOMINA!BX65</f>
        <v>619.6</v>
      </c>
      <c r="AA89" s="1108">
        <f>+NOMINA!BY65</f>
        <v>0</v>
      </c>
      <c r="AB89" s="1108">
        <f t="shared" si="8"/>
        <v>619.6</v>
      </c>
      <c r="AD89" s="625"/>
      <c r="AH89" s="1467" t="str">
        <f>NOMINA!P65</f>
        <v>01020373220000439215</v>
      </c>
    </row>
    <row r="90" spans="1:34" s="620" customFormat="1" ht="20.100000000000001" customHeight="1" thickBot="1" x14ac:dyDescent="0.25">
      <c r="A90" s="758" t="s">
        <v>2846</v>
      </c>
      <c r="B90" s="759">
        <f t="shared" si="9"/>
        <v>23</v>
      </c>
      <c r="C90" s="1102">
        <f>NOMINA!C66</f>
        <v>9328224</v>
      </c>
      <c r="D90" s="1103" t="str">
        <f>NOMINA!D66</f>
        <v>Abreu Araujo Omar Antonio</v>
      </c>
      <c r="E90" s="1468" t="s">
        <v>4622</v>
      </c>
      <c r="F90" s="1110">
        <v>32351</v>
      </c>
      <c r="G90" s="1468" t="s">
        <v>4620</v>
      </c>
      <c r="H90" s="1442">
        <f>NOMINA!H66</f>
        <v>39356</v>
      </c>
      <c r="I90" s="1105">
        <f>NOMINA!I67</f>
        <v>17</v>
      </c>
      <c r="J90" s="1106">
        <f>NOMINA!J67</f>
        <v>0</v>
      </c>
      <c r="K90" s="1105">
        <f t="shared" si="7"/>
        <v>17</v>
      </c>
      <c r="L90" s="1106" t="s">
        <v>4932</v>
      </c>
      <c r="M90" s="1106"/>
      <c r="N90" s="1443" t="str">
        <f>NOMINA!O66</f>
        <v>Tecnico Agropecuario III</v>
      </c>
      <c r="O90" s="1106">
        <v>1.02087691000006E+18</v>
      </c>
      <c r="P90" s="1107">
        <f>ROUND(+NOMINA!T66,2)</f>
        <v>228</v>
      </c>
      <c r="Q90" s="1108">
        <v>0</v>
      </c>
      <c r="R90" s="1108">
        <f>ROUND(+NOMINA!AA66,2)</f>
        <v>55.63</v>
      </c>
      <c r="S90" s="1108">
        <f>ROUND(+NOMINA!AB66,2)</f>
        <v>130</v>
      </c>
      <c r="T90" s="1108">
        <f>ROUND(+NOMINA!AC66,2)</f>
        <v>0</v>
      </c>
      <c r="U90" s="1108">
        <f>ROUND(+NOMINA!AD66,2)</f>
        <v>0</v>
      </c>
      <c r="V90" s="1108">
        <f>ROUND(NOMINA!AQ66,2)</f>
        <v>0</v>
      </c>
      <c r="W90" s="1108">
        <f>+NOMINA!AS66</f>
        <v>0</v>
      </c>
      <c r="X90" s="1108">
        <f>+NOMINA!AT66</f>
        <v>0</v>
      </c>
      <c r="Y90" s="1108">
        <f>+NOMINA!AU66</f>
        <v>413.63</v>
      </c>
      <c r="Z90" s="1108">
        <f>+NOMINA!BX66</f>
        <v>775.56</v>
      </c>
      <c r="AA90" s="1108">
        <f>+NOMINA!BY66</f>
        <v>0</v>
      </c>
      <c r="AB90" s="1108">
        <f t="shared" si="8"/>
        <v>775.56</v>
      </c>
      <c r="AD90" s="625"/>
      <c r="AH90" s="1467" t="str">
        <f>NOMINA!P66</f>
        <v>01020373240000439228</v>
      </c>
    </row>
    <row r="91" spans="1:34" s="620" customFormat="1" ht="20.100000000000001" customHeight="1" thickBot="1" x14ac:dyDescent="0.25">
      <c r="A91" s="758" t="s">
        <v>2846</v>
      </c>
      <c r="B91" s="759">
        <f t="shared" si="9"/>
        <v>24</v>
      </c>
      <c r="C91" s="1102">
        <f>NOMINA!C67</f>
        <v>9495661</v>
      </c>
      <c r="D91" s="1103" t="str">
        <f>NOMINA!D67</f>
        <v>Aguial Carrillo Gregoria Coromoto</v>
      </c>
      <c r="E91" s="1468" t="s">
        <v>4622</v>
      </c>
      <c r="F91" s="1110">
        <v>32351</v>
      </c>
      <c r="G91" s="1468" t="s">
        <v>4620</v>
      </c>
      <c r="H91" s="1442">
        <f>NOMINA!H67</f>
        <v>39692</v>
      </c>
      <c r="I91" s="1105">
        <f>NOMINA!I68</f>
        <v>5</v>
      </c>
      <c r="J91" s="1106">
        <f>NOMINA!J68</f>
        <v>12</v>
      </c>
      <c r="K91" s="1105">
        <f t="shared" si="7"/>
        <v>17</v>
      </c>
      <c r="L91" s="1106" t="s">
        <v>4932</v>
      </c>
      <c r="M91" s="1106"/>
      <c r="N91" s="1443" t="str">
        <f>NOMINA!O67</f>
        <v>Jefe de Centro</v>
      </c>
      <c r="O91" s="1106">
        <v>1.02087691000006E+18</v>
      </c>
      <c r="P91" s="1107">
        <f>ROUND(+NOMINA!T67,2)</f>
        <v>0</v>
      </c>
      <c r="Q91" s="1108">
        <v>0</v>
      </c>
      <c r="R91" s="1108">
        <f>ROUND(+NOMINA!AA67,2)</f>
        <v>0</v>
      </c>
      <c r="S91" s="1108">
        <f>ROUND(+NOMINA!AB67,2)</f>
        <v>0</v>
      </c>
      <c r="T91" s="1108">
        <f>ROUND(+NOMINA!AC67,2)</f>
        <v>0</v>
      </c>
      <c r="U91" s="1108">
        <f>ROUND(+NOMINA!AD67,2)</f>
        <v>0</v>
      </c>
      <c r="V91" s="1108">
        <f>ROUND(NOMINA!AQ67,2)</f>
        <v>0</v>
      </c>
      <c r="W91" s="1108">
        <f>+NOMINA!AS67</f>
        <v>0</v>
      </c>
      <c r="X91" s="1108">
        <f>+NOMINA!AT67</f>
        <v>0</v>
      </c>
      <c r="Y91" s="1108">
        <f>+NOMINA!AU67</f>
        <v>0</v>
      </c>
      <c r="Z91" s="1108">
        <f>+NOMINA!BX67</f>
        <v>0</v>
      </c>
      <c r="AA91" s="1108">
        <f>+NOMINA!BY67</f>
        <v>0</v>
      </c>
      <c r="AB91" s="1108">
        <f t="shared" si="8"/>
        <v>0</v>
      </c>
      <c r="AD91" s="625"/>
      <c r="AH91" s="1467" t="str">
        <f>NOMINA!P67</f>
        <v>01020373260000439244</v>
      </c>
    </row>
    <row r="92" spans="1:34" s="620" customFormat="1" ht="20.100000000000001" customHeight="1" thickBot="1" x14ac:dyDescent="0.25">
      <c r="A92" s="758" t="s">
        <v>2846</v>
      </c>
      <c r="B92" s="759">
        <f t="shared" si="9"/>
        <v>25</v>
      </c>
      <c r="C92" s="1102">
        <f>NOMINA!C68</f>
        <v>9496860</v>
      </c>
      <c r="D92" s="1103" t="str">
        <f>NOMINA!D68</f>
        <v>Hernandez Valero Jose Alfredo</v>
      </c>
      <c r="E92" s="1468" t="s">
        <v>4622</v>
      </c>
      <c r="F92" s="1110">
        <v>32351</v>
      </c>
      <c r="G92" s="1468" t="s">
        <v>4620</v>
      </c>
      <c r="H92" s="1442">
        <f>NOMINA!H68</f>
        <v>43877</v>
      </c>
      <c r="I92" s="1105">
        <f>NOMINA!I69</f>
        <v>25</v>
      </c>
      <c r="J92" s="1106">
        <f>NOMINA!J69</f>
        <v>0</v>
      </c>
      <c r="K92" s="1105">
        <f t="shared" si="7"/>
        <v>25</v>
      </c>
      <c r="L92" s="1106" t="s">
        <v>4932</v>
      </c>
      <c r="M92" s="1106"/>
      <c r="N92" s="1443" t="str">
        <f>NOMINA!O68</f>
        <v>AUDITOR III</v>
      </c>
      <c r="O92" s="1106">
        <v>1.02087691000006E+18</v>
      </c>
      <c r="P92" s="1107">
        <f>ROUND(+NOMINA!T68,2)</f>
        <v>285</v>
      </c>
      <c r="Q92" s="1108">
        <v>0</v>
      </c>
      <c r="R92" s="1108">
        <f>ROUND(+NOMINA!AA68,2)</f>
        <v>60.42</v>
      </c>
      <c r="S92" s="1108">
        <f>ROUND(+NOMINA!AB68,2)</f>
        <v>130</v>
      </c>
      <c r="T92" s="1108">
        <f>ROUND(+NOMINA!AC68,2)</f>
        <v>0</v>
      </c>
      <c r="U92" s="1108">
        <f>ROUND(+NOMINA!AD68,2)</f>
        <v>118.86</v>
      </c>
      <c r="V92" s="1108">
        <f>ROUND(NOMINA!AQ68,2)</f>
        <v>0</v>
      </c>
      <c r="W92" s="1108">
        <f>+NOMINA!AS68</f>
        <v>0</v>
      </c>
      <c r="X92" s="1108">
        <f>+NOMINA!AT68</f>
        <v>0</v>
      </c>
      <c r="Y92" s="1108">
        <f>+NOMINA!AU68</f>
        <v>594.28</v>
      </c>
      <c r="Z92" s="1108">
        <f>+NOMINA!BX68</f>
        <v>1114.28</v>
      </c>
      <c r="AA92" s="1108">
        <f>+NOMINA!BY68</f>
        <v>0</v>
      </c>
      <c r="AB92" s="1108">
        <f t="shared" si="8"/>
        <v>1114.28</v>
      </c>
      <c r="AD92" s="625"/>
      <c r="AH92" s="1467" t="str">
        <f>NOMINA!P68</f>
        <v>01020373250000676955</v>
      </c>
    </row>
    <row r="93" spans="1:34" s="620" customFormat="1" ht="20.100000000000001" customHeight="1" thickBot="1" x14ac:dyDescent="0.25">
      <c r="A93" s="758" t="s">
        <v>2846</v>
      </c>
      <c r="B93" s="759">
        <f t="shared" si="9"/>
        <v>26</v>
      </c>
      <c r="C93" s="1102">
        <f>NOMINA!C69</f>
        <v>9497151</v>
      </c>
      <c r="D93" s="1103" t="str">
        <f>NOMINA!D69</f>
        <v>Mendoza Vieras Pedro Luis</v>
      </c>
      <c r="E93" s="1468" t="s">
        <v>4622</v>
      </c>
      <c r="F93" s="1110">
        <v>32351</v>
      </c>
      <c r="G93" s="1468" t="s">
        <v>4620</v>
      </c>
      <c r="H93" s="1442">
        <f>NOMINA!H69</f>
        <v>36770</v>
      </c>
      <c r="I93" s="1105">
        <f>NOMINA!I71</f>
        <v>7</v>
      </c>
      <c r="J93" s="1106">
        <f>NOMINA!J71</f>
        <v>0</v>
      </c>
      <c r="K93" s="1105">
        <f t="shared" si="7"/>
        <v>7</v>
      </c>
      <c r="L93" s="1106" t="s">
        <v>4932</v>
      </c>
      <c r="M93" s="1106"/>
      <c r="N93" s="1443" t="str">
        <f>NOMINA!O69</f>
        <v>Ingeniero Industrial II</v>
      </c>
      <c r="O93" s="1106">
        <v>1.02087691000006E+18</v>
      </c>
      <c r="P93" s="1107">
        <f>ROUND(+NOMINA!T69,2)</f>
        <v>287</v>
      </c>
      <c r="Q93" s="1108">
        <v>0</v>
      </c>
      <c r="R93" s="1108">
        <f>ROUND(+NOMINA!AA69,2)</f>
        <v>86.1</v>
      </c>
      <c r="S93" s="1108">
        <f>ROUND(+NOMINA!AB69,2)</f>
        <v>130</v>
      </c>
      <c r="T93" s="1108">
        <f>ROUND(+NOMINA!AC69,2)</f>
        <v>0</v>
      </c>
      <c r="U93" s="1108">
        <f>ROUND(+NOMINA!AD69,2)</f>
        <v>125.78</v>
      </c>
      <c r="V93" s="1108">
        <f>ROUND(NOMINA!AQ69,2)</f>
        <v>0</v>
      </c>
      <c r="W93" s="1108">
        <f>+NOMINA!AS69</f>
        <v>0</v>
      </c>
      <c r="X93" s="1108">
        <f>+NOMINA!AT69</f>
        <v>0</v>
      </c>
      <c r="Y93" s="1108">
        <f>+NOMINA!AU69</f>
        <v>628.88</v>
      </c>
      <c r="Z93" s="1108">
        <f>+NOMINA!BX69</f>
        <v>1179.1500000000001</v>
      </c>
      <c r="AA93" s="1108">
        <f>+NOMINA!BY69</f>
        <v>0</v>
      </c>
      <c r="AB93" s="1108">
        <f t="shared" si="8"/>
        <v>1179.1500000000001</v>
      </c>
      <c r="AD93" s="625"/>
      <c r="AH93" s="1467" t="str">
        <f>NOMINA!P69</f>
        <v>01020373280000439260</v>
      </c>
    </row>
    <row r="94" spans="1:34" s="620" customFormat="1" ht="20.100000000000001" customHeight="1" thickBot="1" x14ac:dyDescent="0.25">
      <c r="A94" s="758" t="s">
        <v>2846</v>
      </c>
      <c r="B94" s="759">
        <f t="shared" si="9"/>
        <v>27</v>
      </c>
      <c r="C94" s="1102">
        <f>NOMINA!C71</f>
        <v>10033119</v>
      </c>
      <c r="D94" s="1103" t="str">
        <f>NOMINA!D71</f>
        <v>Artigas de Hernandez Ana Maria</v>
      </c>
      <c r="E94" s="1468" t="s">
        <v>4622</v>
      </c>
      <c r="F94" s="1110">
        <v>32351</v>
      </c>
      <c r="G94" s="1468" t="s">
        <v>4620</v>
      </c>
      <c r="H94" s="1442">
        <f>NOMINA!H71</f>
        <v>43359</v>
      </c>
      <c r="I94" s="1105">
        <f>NOMINA!I72</f>
        <v>7</v>
      </c>
      <c r="J94" s="1106">
        <f>NOMINA!J72</f>
        <v>0</v>
      </c>
      <c r="K94" s="1105">
        <f t="shared" si="7"/>
        <v>7</v>
      </c>
      <c r="L94" s="1106" t="s">
        <v>4932</v>
      </c>
      <c r="M94" s="1106"/>
      <c r="N94" s="1443" t="str">
        <f>NOMINA!O71</f>
        <v>Tutor Facilitador III</v>
      </c>
      <c r="O94" s="1106">
        <v>1.02087691000006E+18</v>
      </c>
      <c r="P94" s="1107">
        <f>ROUND(+NOMINA!T71,2)</f>
        <v>279</v>
      </c>
      <c r="Q94" s="1108">
        <v>0</v>
      </c>
      <c r="R94" s="1108">
        <f>ROUND(+NOMINA!AA71,2)</f>
        <v>20.65</v>
      </c>
      <c r="S94" s="1108">
        <f>ROUND(+NOMINA!AB71,2)</f>
        <v>130</v>
      </c>
      <c r="T94" s="1108">
        <f>ROUND(+NOMINA!AC71,2)</f>
        <v>0</v>
      </c>
      <c r="U94" s="1108">
        <f>ROUND(+NOMINA!AD71,2)</f>
        <v>107.41</v>
      </c>
      <c r="V94" s="1108">
        <f>ROUND(NOMINA!AQ71,2)</f>
        <v>0</v>
      </c>
      <c r="W94" s="1108">
        <f>+NOMINA!AS71</f>
        <v>0</v>
      </c>
      <c r="X94" s="1108">
        <f>+NOMINA!AT71</f>
        <v>0</v>
      </c>
      <c r="Y94" s="1108">
        <f>+NOMINA!AU71</f>
        <v>537.05999999999995</v>
      </c>
      <c r="Z94" s="1108">
        <f>+NOMINA!BX71</f>
        <v>1006.99</v>
      </c>
      <c r="AA94" s="1108">
        <f>+NOMINA!BY71</f>
        <v>0</v>
      </c>
      <c r="AB94" s="1108">
        <f t="shared" si="8"/>
        <v>1006.99</v>
      </c>
      <c r="AD94" s="625"/>
      <c r="AH94" s="1467" t="str">
        <f>NOMINA!P71</f>
        <v>01020373290000479961</v>
      </c>
    </row>
    <row r="95" spans="1:34" s="620" customFormat="1" ht="20.100000000000001" customHeight="1" thickBot="1" x14ac:dyDescent="0.25">
      <c r="A95" s="758" t="s">
        <v>2846</v>
      </c>
      <c r="B95" s="759">
        <f t="shared" si="9"/>
        <v>28</v>
      </c>
      <c r="C95" s="1102">
        <f>NOMINA!C72</f>
        <v>10035540</v>
      </c>
      <c r="D95" s="1103" t="str">
        <f>NOMINA!D72</f>
        <v>Linares Linares Emma Teresa</v>
      </c>
      <c r="E95" s="1468" t="s">
        <v>4622</v>
      </c>
      <c r="F95" s="1110">
        <v>32351</v>
      </c>
      <c r="G95" s="1468" t="s">
        <v>4620</v>
      </c>
      <c r="H95" s="1442">
        <f>NOMINA!H72</f>
        <v>43236</v>
      </c>
      <c r="I95" s="1105">
        <f>NOMINA!I73</f>
        <v>16</v>
      </c>
      <c r="J95" s="1106">
        <f>NOMINA!J73</f>
        <v>0</v>
      </c>
      <c r="K95" s="1105">
        <f t="shared" si="7"/>
        <v>16</v>
      </c>
      <c r="L95" s="1106" t="s">
        <v>4932</v>
      </c>
      <c r="M95" s="1106"/>
      <c r="N95" s="1443" t="str">
        <f>NOMINA!O72</f>
        <v>Tecnico Superior en Trabajo Social II</v>
      </c>
      <c r="O95" s="1106">
        <v>1.02087691000006E+18</v>
      </c>
      <c r="P95" s="1107">
        <f>ROUND(+NOMINA!T72,2)</f>
        <v>221</v>
      </c>
      <c r="Q95" s="1108">
        <v>0</v>
      </c>
      <c r="R95" s="1108">
        <f>ROUND(+NOMINA!AA72,2)</f>
        <v>16.350000000000001</v>
      </c>
      <c r="S95" s="1108">
        <f>ROUND(+NOMINA!AB72,2)</f>
        <v>130</v>
      </c>
      <c r="T95" s="1108">
        <f>ROUND(+NOMINA!AC72,2)</f>
        <v>0</v>
      </c>
      <c r="U95" s="1108">
        <f>ROUND(+NOMINA!AD72,2)</f>
        <v>91.84</v>
      </c>
      <c r="V95" s="1108">
        <f>ROUND(NOMINA!AQ72,2)</f>
        <v>12.5</v>
      </c>
      <c r="W95" s="1108">
        <f>+NOMINA!AS72</f>
        <v>0</v>
      </c>
      <c r="X95" s="1108">
        <f>+NOMINA!AT72</f>
        <v>12.5</v>
      </c>
      <c r="Y95" s="1108">
        <f>+NOMINA!AU72</f>
        <v>459.19</v>
      </c>
      <c r="Z95" s="1108">
        <f>+NOMINA!BX72</f>
        <v>860.98</v>
      </c>
      <c r="AA95" s="1108">
        <f>+NOMINA!BY72</f>
        <v>0</v>
      </c>
      <c r="AB95" s="1108">
        <f t="shared" si="8"/>
        <v>860.98</v>
      </c>
      <c r="AD95" s="625"/>
      <c r="AH95" s="1467" t="str">
        <f>NOMINA!P72</f>
        <v>01020373290000539432</v>
      </c>
    </row>
    <row r="96" spans="1:34" s="620" customFormat="1" ht="20.100000000000001" customHeight="1" thickBot="1" x14ac:dyDescent="0.25">
      <c r="A96" s="758" t="s">
        <v>2846</v>
      </c>
      <c r="B96" s="759">
        <f t="shared" si="9"/>
        <v>29</v>
      </c>
      <c r="C96" s="1102">
        <f>NOMINA!C73</f>
        <v>10037054</v>
      </c>
      <c r="D96" s="1103" t="str">
        <f>NOMINA!D73</f>
        <v>Aguial Carrillo Deris Margarita</v>
      </c>
      <c r="E96" s="1468" t="s">
        <v>4622</v>
      </c>
      <c r="F96" s="1110">
        <v>32351</v>
      </c>
      <c r="G96" s="1468" t="s">
        <v>4620</v>
      </c>
      <c r="H96" s="1442">
        <f>NOMINA!H73</f>
        <v>39820</v>
      </c>
      <c r="I96" s="1105">
        <f>NOMINA!I74</f>
        <v>4</v>
      </c>
      <c r="J96" s="1106">
        <f>NOMINA!J74</f>
        <v>0</v>
      </c>
      <c r="K96" s="1105">
        <f t="shared" si="7"/>
        <v>4</v>
      </c>
      <c r="L96" s="1106" t="s">
        <v>4932</v>
      </c>
      <c r="M96" s="1106"/>
      <c r="N96" s="1443" t="str">
        <f>NOMINA!O73</f>
        <v>Guia de Centro II</v>
      </c>
      <c r="O96" s="1106">
        <v>1.02087691000006E+18</v>
      </c>
      <c r="P96" s="1107">
        <f>ROUND(+NOMINA!T73,2)</f>
        <v>176</v>
      </c>
      <c r="Q96" s="1108">
        <v>0</v>
      </c>
      <c r="R96" s="1108">
        <f>ROUND(+NOMINA!AA73,2)</f>
        <v>34.5</v>
      </c>
      <c r="S96" s="1108">
        <f>ROUND(+NOMINA!AB73,2)</f>
        <v>130</v>
      </c>
      <c r="T96" s="1108">
        <f>ROUND(+NOMINA!AC73,2)</f>
        <v>0</v>
      </c>
      <c r="U96" s="1108">
        <f>ROUND(+NOMINA!AD73,2)</f>
        <v>0</v>
      </c>
      <c r="V96" s="1108">
        <f>ROUND(NOMINA!AQ73,2)</f>
        <v>0</v>
      </c>
      <c r="W96" s="1108">
        <f>+NOMINA!AS73</f>
        <v>0</v>
      </c>
      <c r="X96" s="1108">
        <f>+NOMINA!AT73</f>
        <v>0</v>
      </c>
      <c r="Y96" s="1108">
        <f>+NOMINA!AU73</f>
        <v>442.65</v>
      </c>
      <c r="Z96" s="1108">
        <f>+NOMINA!BX73</f>
        <v>829.97</v>
      </c>
      <c r="AA96" s="1108">
        <f>+NOMINA!BY73</f>
        <v>0</v>
      </c>
      <c r="AB96" s="1108">
        <f t="shared" si="8"/>
        <v>829.97</v>
      </c>
      <c r="AD96" s="625"/>
      <c r="AH96" s="1467" t="str">
        <f>NOMINA!P73</f>
        <v>01020373200000438656</v>
      </c>
    </row>
    <row r="97" spans="1:34" s="620" customFormat="1" ht="20.100000000000001" customHeight="1" thickBot="1" x14ac:dyDescent="0.25">
      <c r="A97" s="758" t="s">
        <v>2846</v>
      </c>
      <c r="B97" s="759">
        <f t="shared" si="9"/>
        <v>30</v>
      </c>
      <c r="C97" s="1102">
        <f>NOMINA!C74</f>
        <v>10175616</v>
      </c>
      <c r="D97" s="1103" t="str">
        <f>NOMINA!D74</f>
        <v>Carrillo Prato Blanca Isabel</v>
      </c>
      <c r="E97" s="1468" t="s">
        <v>4622</v>
      </c>
      <c r="F97" s="1110">
        <v>32351</v>
      </c>
      <c r="G97" s="1468" t="s">
        <v>4620</v>
      </c>
      <c r="H97" s="1442">
        <f>NOMINA!H74</f>
        <v>44228</v>
      </c>
      <c r="I97" s="1105">
        <f>NOMINA!I75</f>
        <v>27</v>
      </c>
      <c r="J97" s="1106">
        <f>NOMINA!J75</f>
        <v>0</v>
      </c>
      <c r="K97" s="1105">
        <f t="shared" si="7"/>
        <v>27</v>
      </c>
      <c r="L97" s="1106" t="s">
        <v>4932</v>
      </c>
      <c r="M97" s="1106"/>
      <c r="N97" s="1443" t="str">
        <f>NOMINA!O74</f>
        <v>Medico jefe I</v>
      </c>
      <c r="O97" s="1106">
        <v>1.02087691000006E+18</v>
      </c>
      <c r="P97" s="1107">
        <f>ROUND(+NOMINA!T74,2)</f>
        <v>307</v>
      </c>
      <c r="Q97" s="1108">
        <v>0</v>
      </c>
      <c r="R97" s="1108">
        <f>ROUND(+NOMINA!AA74,2)</f>
        <v>12.28</v>
      </c>
      <c r="S97" s="1108">
        <f>ROUND(+NOMINA!AB74,2)</f>
        <v>130</v>
      </c>
      <c r="T97" s="1108">
        <f>ROUND(+NOMINA!AC74,2)</f>
        <v>0</v>
      </c>
      <c r="U97" s="1108">
        <f>ROUND(+NOMINA!AD74,2)</f>
        <v>134.78</v>
      </c>
      <c r="V97" s="1108">
        <f>ROUND(NOMINA!AQ74,2)</f>
        <v>0</v>
      </c>
      <c r="W97" s="1108">
        <f>+NOMINA!AS74</f>
        <v>0</v>
      </c>
      <c r="X97" s="1108">
        <f>+NOMINA!AT74</f>
        <v>0</v>
      </c>
      <c r="Y97" s="1108">
        <f>+NOMINA!AU74</f>
        <v>584.05999999999995</v>
      </c>
      <c r="Z97" s="1108">
        <f>+NOMINA!BX74</f>
        <v>1095.1099999999999</v>
      </c>
      <c r="AA97" s="1108">
        <f>+NOMINA!BY74</f>
        <v>0</v>
      </c>
      <c r="AB97" s="1108">
        <f t="shared" si="8"/>
        <v>1095.1099999999999</v>
      </c>
      <c r="AD97" s="625"/>
      <c r="AH97" s="1467" t="str">
        <f>NOMINA!P74</f>
        <v>01020501840006794750</v>
      </c>
    </row>
    <row r="98" spans="1:34" s="620" customFormat="1" ht="20.100000000000001" customHeight="1" thickBot="1" x14ac:dyDescent="0.25">
      <c r="A98" s="758" t="s">
        <v>2846</v>
      </c>
      <c r="B98" s="759">
        <f t="shared" si="9"/>
        <v>31</v>
      </c>
      <c r="C98" s="1102">
        <f>NOMINA!C75</f>
        <v>10257016</v>
      </c>
      <c r="D98" s="1103" t="str">
        <f>NOMINA!D75</f>
        <v>Torres Dulma Ramona</v>
      </c>
      <c r="E98" s="1468" t="s">
        <v>4622</v>
      </c>
      <c r="F98" s="1110">
        <v>32351</v>
      </c>
      <c r="G98" s="1468" t="s">
        <v>4620</v>
      </c>
      <c r="H98" s="1442">
        <f>NOMINA!H75</f>
        <v>35947</v>
      </c>
      <c r="I98" s="1105">
        <f>NOMINA!I76</f>
        <v>28</v>
      </c>
      <c r="J98" s="1106">
        <f>NOMINA!J76</f>
        <v>0</v>
      </c>
      <c r="K98" s="1105">
        <f t="shared" si="7"/>
        <v>28</v>
      </c>
      <c r="L98" s="1106" t="s">
        <v>4932</v>
      </c>
      <c r="M98" s="1106"/>
      <c r="N98" s="1443" t="str">
        <f>NOMINA!O75</f>
        <v>Tutor Facilitador III</v>
      </c>
      <c r="O98" s="1106">
        <v>1.02087691000006E+18</v>
      </c>
      <c r="P98" s="1107">
        <f>ROUND(+NOMINA!T75,2)</f>
        <v>287</v>
      </c>
      <c r="Q98" s="1108">
        <v>0</v>
      </c>
      <c r="R98" s="1108">
        <f>ROUND(+NOMINA!AA75,2)</f>
        <v>86.1</v>
      </c>
      <c r="S98" s="1108">
        <f>ROUND(+NOMINA!AB75,2)</f>
        <v>130</v>
      </c>
      <c r="T98" s="1108">
        <f>ROUND(+NOMINA!AC75,2)</f>
        <v>0</v>
      </c>
      <c r="U98" s="1108">
        <f>ROUND(+NOMINA!AD75,2)</f>
        <v>125.78</v>
      </c>
      <c r="V98" s="1108">
        <f>ROUND(NOMINA!AQ75,2)</f>
        <v>0</v>
      </c>
      <c r="W98" s="1108">
        <f>+NOMINA!AS75</f>
        <v>0</v>
      </c>
      <c r="X98" s="1108">
        <f>+NOMINA!AT75</f>
        <v>0</v>
      </c>
      <c r="Y98" s="1108">
        <f>+NOMINA!AU75</f>
        <v>628.88</v>
      </c>
      <c r="Z98" s="1108">
        <f>+NOMINA!BX75</f>
        <v>1179.1500000000001</v>
      </c>
      <c r="AA98" s="1108">
        <f>+NOMINA!BY75</f>
        <v>0</v>
      </c>
      <c r="AB98" s="1108">
        <f t="shared" si="8"/>
        <v>1179.1500000000001</v>
      </c>
      <c r="AD98" s="625"/>
      <c r="AH98" s="1467" t="str">
        <f>NOMINA!P75</f>
        <v>01020373210000438672</v>
      </c>
    </row>
    <row r="99" spans="1:34" s="620" customFormat="1" ht="20.100000000000001" customHeight="1" thickBot="1" x14ac:dyDescent="0.25">
      <c r="A99" s="758" t="s">
        <v>2846</v>
      </c>
      <c r="B99" s="759">
        <f t="shared" si="9"/>
        <v>32</v>
      </c>
      <c r="C99" s="1102">
        <f>NOMINA!C76</f>
        <v>10315803</v>
      </c>
      <c r="D99" s="1103" t="str">
        <f>NOMINA!D76</f>
        <v>Frias Jacson Daniel</v>
      </c>
      <c r="E99" s="1468" t="s">
        <v>4622</v>
      </c>
      <c r="F99" s="1110">
        <v>32351</v>
      </c>
      <c r="G99" s="1468" t="s">
        <v>4620</v>
      </c>
      <c r="H99" s="1442">
        <f>NOMINA!H76</f>
        <v>35415</v>
      </c>
      <c r="I99" s="1105">
        <f>NOMINA!I77</f>
        <v>19</v>
      </c>
      <c r="J99" s="1106">
        <f>NOMINA!J77</f>
        <v>0</v>
      </c>
      <c r="K99" s="1105">
        <f t="shared" si="7"/>
        <v>19</v>
      </c>
      <c r="L99" s="1106" t="s">
        <v>4932</v>
      </c>
      <c r="M99" s="1106"/>
      <c r="N99" s="1443" t="str">
        <f>NOMINA!O76</f>
        <v>Guia de Centro II</v>
      </c>
      <c r="O99" s="1106">
        <v>1.02087691000006E+18</v>
      </c>
      <c r="P99" s="1107">
        <f>ROUND(+NOMINA!T76,2)</f>
        <v>177</v>
      </c>
      <c r="Q99" s="1108">
        <v>0</v>
      </c>
      <c r="R99" s="1108">
        <f>ROUND(+NOMINA!AA76,2)</f>
        <v>53.1</v>
      </c>
      <c r="S99" s="1108">
        <f>ROUND(+NOMINA!AB76,2)</f>
        <v>130</v>
      </c>
      <c r="T99" s="1108">
        <f>ROUND(+NOMINA!AC76,2)</f>
        <v>0</v>
      </c>
      <c r="U99" s="1108">
        <f>ROUND(+NOMINA!AD76,2)</f>
        <v>0</v>
      </c>
      <c r="V99" s="1108">
        <f>ROUND(NOMINA!AQ76,2)</f>
        <v>0</v>
      </c>
      <c r="W99" s="1108">
        <f>+NOMINA!AS76</f>
        <v>0</v>
      </c>
      <c r="X99" s="1108">
        <f>+NOMINA!AT76</f>
        <v>0</v>
      </c>
      <c r="Y99" s="1108">
        <f>+NOMINA!AU76</f>
        <v>468.13</v>
      </c>
      <c r="Z99" s="1108">
        <f>+NOMINA!BX76</f>
        <v>877.75</v>
      </c>
      <c r="AA99" s="1108">
        <f>+NOMINA!BY76</f>
        <v>0</v>
      </c>
      <c r="AB99" s="1108">
        <f t="shared" si="8"/>
        <v>877.75</v>
      </c>
      <c r="AD99" s="625"/>
      <c r="AH99" s="1467" t="str">
        <f>NOMINA!P76</f>
        <v>01020373250000438698</v>
      </c>
    </row>
    <row r="100" spans="1:34" s="620" customFormat="1" ht="20.100000000000001" customHeight="1" thickBot="1" x14ac:dyDescent="0.25">
      <c r="A100" s="758" t="s">
        <v>2846</v>
      </c>
      <c r="B100" s="759">
        <f t="shared" si="9"/>
        <v>33</v>
      </c>
      <c r="C100" s="1102">
        <f>NOMINA!C77</f>
        <v>10319457</v>
      </c>
      <c r="D100" s="1103" t="str">
        <f>NOMINA!D77</f>
        <v>Marquez Marquez Maribel del Valle</v>
      </c>
      <c r="E100" s="1468" t="s">
        <v>4622</v>
      </c>
      <c r="F100" s="1110">
        <v>32351</v>
      </c>
      <c r="G100" s="1468" t="s">
        <v>4620</v>
      </c>
      <c r="H100" s="1442">
        <f>NOMINA!H77</f>
        <v>38831</v>
      </c>
      <c r="I100" s="1105">
        <f>NOMINA!I78</f>
        <v>3</v>
      </c>
      <c r="J100" s="1106">
        <f>NOMINA!J78</f>
        <v>0</v>
      </c>
      <c r="K100" s="1105">
        <f t="shared" si="7"/>
        <v>3</v>
      </c>
      <c r="L100" s="1106" t="s">
        <v>4932</v>
      </c>
      <c r="M100" s="1106"/>
      <c r="N100" s="1443" t="str">
        <f>NOMINA!O77</f>
        <v>Secretario Ejecutivo III</v>
      </c>
      <c r="O100" s="1106">
        <v>1.02087691000006E+18</v>
      </c>
      <c r="P100" s="1107">
        <f>ROUND(+NOMINA!T77,2)</f>
        <v>177</v>
      </c>
      <c r="Q100" s="1108">
        <v>0</v>
      </c>
      <c r="R100" s="1108">
        <f>ROUND(+NOMINA!AA77,2)</f>
        <v>43.19</v>
      </c>
      <c r="S100" s="1108">
        <f>ROUND(+NOMINA!AB77,2)</f>
        <v>130</v>
      </c>
      <c r="T100" s="1108">
        <f>ROUND(+NOMINA!AC77,2)</f>
        <v>12.5</v>
      </c>
      <c r="U100" s="1108">
        <f>ROUND(+NOMINA!AD77,2)</f>
        <v>0</v>
      </c>
      <c r="V100" s="1108">
        <f>ROUND(NOMINA!AQ77,2)</f>
        <v>0</v>
      </c>
      <c r="W100" s="1108">
        <f>+NOMINA!AS77</f>
        <v>0</v>
      </c>
      <c r="X100" s="1108">
        <f>+NOMINA!AT77</f>
        <v>0</v>
      </c>
      <c r="Y100" s="1108">
        <f>+NOMINA!AU77</f>
        <v>362.69</v>
      </c>
      <c r="Z100" s="1108">
        <f>+NOMINA!BX77</f>
        <v>680.05</v>
      </c>
      <c r="AA100" s="1108">
        <f>+NOMINA!BY77</f>
        <v>0</v>
      </c>
      <c r="AB100" s="1108">
        <f t="shared" si="8"/>
        <v>680.05</v>
      </c>
      <c r="AD100" s="625"/>
      <c r="AH100" s="1467" t="str">
        <f>NOMINA!P77</f>
        <v>01020373260000438711</v>
      </c>
    </row>
    <row r="101" spans="1:34" s="620" customFormat="1" ht="20.100000000000001" customHeight="1" thickBot="1" x14ac:dyDescent="0.25">
      <c r="A101" s="758" t="s">
        <v>2846</v>
      </c>
      <c r="B101" s="759">
        <f t="shared" si="9"/>
        <v>34</v>
      </c>
      <c r="C101" s="1102">
        <f>NOMINA!C78</f>
        <v>10396379</v>
      </c>
      <c r="D101" s="1103" t="str">
        <f>NOMINA!D78</f>
        <v>Ruiz Luis Alfonzo</v>
      </c>
      <c r="E101" s="1468" t="s">
        <v>4622</v>
      </c>
      <c r="F101" s="1110">
        <v>32351</v>
      </c>
      <c r="G101" s="1468" t="s">
        <v>4620</v>
      </c>
      <c r="H101" s="1442">
        <f>NOMINA!H78</f>
        <v>44743</v>
      </c>
      <c r="I101" s="1105">
        <f>NOMINA!I79</f>
        <v>3</v>
      </c>
      <c r="J101" s="1106">
        <f>NOMINA!J79</f>
        <v>23</v>
      </c>
      <c r="K101" s="1105">
        <f t="shared" si="7"/>
        <v>26</v>
      </c>
      <c r="L101" s="1106" t="s">
        <v>4932</v>
      </c>
      <c r="M101" s="1106"/>
      <c r="N101" s="1443" t="str">
        <f>NOMINA!O78</f>
        <v>ENTRENADOR DEPORTIVO II</v>
      </c>
      <c r="O101" s="1106">
        <v>1.02087691000006E+18</v>
      </c>
      <c r="P101" s="1107">
        <f>ROUND(+NOMINA!T78,2)</f>
        <v>150</v>
      </c>
      <c r="Q101" s="1108">
        <v>0</v>
      </c>
      <c r="R101" s="1108">
        <f>ROUND(+NOMINA!AA78,2)</f>
        <v>4.5</v>
      </c>
      <c r="S101" s="1108">
        <f>ROUND(+NOMINA!AB78,2)</f>
        <v>130</v>
      </c>
      <c r="T101" s="1108">
        <f>ROUND(+NOMINA!AC78,2)</f>
        <v>0</v>
      </c>
      <c r="U101" s="1108">
        <f>ROUND(+NOMINA!AD78,2)</f>
        <v>0</v>
      </c>
      <c r="V101" s="1108">
        <f>ROUND(NOMINA!AQ78,2)</f>
        <v>0</v>
      </c>
      <c r="W101" s="1108">
        <f>+NOMINA!AS78</f>
        <v>0</v>
      </c>
      <c r="X101" s="1108">
        <f>+NOMINA!AT78</f>
        <v>0</v>
      </c>
      <c r="Y101" s="1108">
        <f>+NOMINA!AU78</f>
        <v>284.5</v>
      </c>
      <c r="Z101" s="1108">
        <f>+NOMINA!BX78</f>
        <v>533.44000000000005</v>
      </c>
      <c r="AA101" s="1108">
        <f>+NOMINA!BY78</f>
        <v>0</v>
      </c>
      <c r="AB101" s="1108">
        <f t="shared" si="8"/>
        <v>533.44000000000005</v>
      </c>
      <c r="AD101" s="625"/>
      <c r="AH101" s="1467" t="str">
        <f>NOMINA!P78</f>
        <v>01020373280000908380</v>
      </c>
    </row>
    <row r="102" spans="1:34" s="620" customFormat="1" ht="20.100000000000001" customHeight="1" thickBot="1" x14ac:dyDescent="0.25">
      <c r="A102" s="758" t="s">
        <v>2846</v>
      </c>
      <c r="B102" s="759">
        <f t="shared" si="9"/>
        <v>35</v>
      </c>
      <c r="C102" s="1102">
        <f>NOMINA!C79</f>
        <v>10398694</v>
      </c>
      <c r="D102" s="1103" t="str">
        <f>NOMINA!D79</f>
        <v>Santana Briceño Jose Gregorio</v>
      </c>
      <c r="E102" s="1468" t="s">
        <v>4622</v>
      </c>
      <c r="F102" s="1110">
        <v>32351</v>
      </c>
      <c r="G102" s="1468" t="s">
        <v>4620</v>
      </c>
      <c r="H102" s="1442">
        <f>NOMINA!H79</f>
        <v>44743</v>
      </c>
      <c r="I102" s="1105">
        <f>NOMINA!I80</f>
        <v>18</v>
      </c>
      <c r="J102" s="1106">
        <f>NOMINA!J80</f>
        <v>0</v>
      </c>
      <c r="K102" s="1105">
        <f t="shared" si="7"/>
        <v>18</v>
      </c>
      <c r="L102" s="1106" t="s">
        <v>4932</v>
      </c>
      <c r="M102" s="1106"/>
      <c r="N102" s="1443" t="str">
        <f>NOMINA!O79</f>
        <v>Guia de Centro I</v>
      </c>
      <c r="O102" s="1106">
        <v>1.02087691000006E+18</v>
      </c>
      <c r="P102" s="1107">
        <f>ROUND(+NOMINA!T79,2)</f>
        <v>228</v>
      </c>
      <c r="Q102" s="1108">
        <v>0</v>
      </c>
      <c r="R102" s="1108">
        <f>ROUND(+NOMINA!AA79,2)</f>
        <v>68.400000000000006</v>
      </c>
      <c r="S102" s="1108">
        <f>ROUND(+NOMINA!AB79,2)</f>
        <v>130</v>
      </c>
      <c r="T102" s="1108">
        <f>ROUND(+NOMINA!AC79,2)</f>
        <v>0</v>
      </c>
      <c r="U102" s="1108">
        <f>ROUND(+NOMINA!AD79,2)</f>
        <v>85.28</v>
      </c>
      <c r="V102" s="1108">
        <f>ROUND(NOMINA!AQ79,2)</f>
        <v>0</v>
      </c>
      <c r="W102" s="1108">
        <f>+NOMINA!AS79</f>
        <v>0</v>
      </c>
      <c r="X102" s="1108">
        <f>+NOMINA!AT79</f>
        <v>0</v>
      </c>
      <c r="Y102" s="1108">
        <f>+NOMINA!AU79</f>
        <v>665.18000000000006</v>
      </c>
      <c r="Z102" s="1108">
        <f>+NOMINA!BX79</f>
        <v>1247.21</v>
      </c>
      <c r="AA102" s="1108">
        <f>+NOMINA!BY79</f>
        <v>0</v>
      </c>
      <c r="AB102" s="1108">
        <f t="shared" si="8"/>
        <v>1247.21</v>
      </c>
      <c r="AD102" s="625"/>
      <c r="AH102" s="1467" t="str">
        <f>NOMINA!P79</f>
        <v>01020373290000241267</v>
      </c>
    </row>
    <row r="103" spans="1:34" s="620" customFormat="1" ht="20.100000000000001" customHeight="1" thickBot="1" x14ac:dyDescent="0.25">
      <c r="A103" s="758" t="s">
        <v>2846</v>
      </c>
      <c r="B103" s="759">
        <f t="shared" si="9"/>
        <v>36</v>
      </c>
      <c r="C103" s="1102">
        <f>NOMINA!C80</f>
        <v>10399064</v>
      </c>
      <c r="D103" s="1103" t="str">
        <f>NOMINA!D80</f>
        <v>Perdomo Perdomo Angela Aurora</v>
      </c>
      <c r="E103" s="1468" t="s">
        <v>4622</v>
      </c>
      <c r="F103" s="1110">
        <v>32351</v>
      </c>
      <c r="G103" s="1468" t="s">
        <v>4620</v>
      </c>
      <c r="H103" s="1442">
        <f>NOMINA!H80</f>
        <v>39328</v>
      </c>
      <c r="I103" s="1105">
        <f>NOMINA!I81</f>
        <v>13</v>
      </c>
      <c r="J103" s="1106">
        <f>NOMINA!J81</f>
        <v>0</v>
      </c>
      <c r="K103" s="1105">
        <f t="shared" si="7"/>
        <v>13</v>
      </c>
      <c r="L103" s="1106" t="s">
        <v>4932</v>
      </c>
      <c r="M103" s="1106"/>
      <c r="N103" s="1443" t="str">
        <f>NOMINA!O80</f>
        <v>Guia de Centro II</v>
      </c>
      <c r="O103" s="1106">
        <v>1.02087691000006E+18</v>
      </c>
      <c r="P103" s="1107">
        <f>ROUND(+NOMINA!T80,2)</f>
        <v>228</v>
      </c>
      <c r="Q103" s="1108">
        <v>0</v>
      </c>
      <c r="R103" s="1108">
        <f>ROUND(+NOMINA!AA80,2)</f>
        <v>51.98</v>
      </c>
      <c r="S103" s="1108">
        <f>ROUND(+NOMINA!AB80,2)</f>
        <v>130</v>
      </c>
      <c r="T103" s="1108">
        <f>ROUND(+NOMINA!AC80,2)</f>
        <v>0</v>
      </c>
      <c r="U103" s="1108">
        <f>ROUND(+NOMINA!AD80,2)</f>
        <v>82</v>
      </c>
      <c r="V103" s="1108">
        <f>ROUND(NOMINA!AQ80,2)</f>
        <v>0</v>
      </c>
      <c r="W103" s="1108">
        <f>+NOMINA!AS80</f>
        <v>0</v>
      </c>
      <c r="X103" s="1108">
        <f>+NOMINA!AT80</f>
        <v>0</v>
      </c>
      <c r="Y103" s="1108">
        <f>+NOMINA!AU80</f>
        <v>639.57000000000005</v>
      </c>
      <c r="Z103" s="1108">
        <f>+NOMINA!BX80</f>
        <v>1199.2</v>
      </c>
      <c r="AA103" s="1108">
        <f>+NOMINA!BY80</f>
        <v>0</v>
      </c>
      <c r="AB103" s="1108">
        <f t="shared" si="8"/>
        <v>1199.2</v>
      </c>
      <c r="AD103" s="625"/>
      <c r="AH103" s="1467" t="str">
        <f>NOMINA!P80</f>
        <v>01020373270000442040</v>
      </c>
    </row>
    <row r="104" spans="1:34" s="620" customFormat="1" ht="20.100000000000001" customHeight="1" thickBot="1" x14ac:dyDescent="0.25">
      <c r="A104" s="758" t="s">
        <v>2846</v>
      </c>
      <c r="B104" s="759">
        <f t="shared" si="9"/>
        <v>37</v>
      </c>
      <c r="C104" s="1102">
        <f>NOMINA!C81</f>
        <v>10400214</v>
      </c>
      <c r="D104" s="1103" t="str">
        <f>NOMINA!D81</f>
        <v>Bastidas Yanitza del Valle</v>
      </c>
      <c r="E104" s="1468" t="s">
        <v>4622</v>
      </c>
      <c r="F104" s="1110">
        <v>32351</v>
      </c>
      <c r="G104" s="1468" t="s">
        <v>4620</v>
      </c>
      <c r="H104" s="1442">
        <f>NOMINA!H81</f>
        <v>41153</v>
      </c>
      <c r="I104" s="1105">
        <f>NOMINA!I82</f>
        <v>18</v>
      </c>
      <c r="J104" s="1106">
        <f>NOMINA!J82</f>
        <v>0</v>
      </c>
      <c r="K104" s="1105">
        <f t="shared" si="7"/>
        <v>18</v>
      </c>
      <c r="L104" s="1106" t="s">
        <v>4932</v>
      </c>
      <c r="M104" s="1106"/>
      <c r="N104" s="1443" t="str">
        <f>NOMINA!O81</f>
        <v>Guia de Centro II</v>
      </c>
      <c r="O104" s="1106">
        <v>1.02087691000006E+18</v>
      </c>
      <c r="P104" s="1107">
        <f>ROUND(+NOMINA!T81,2)</f>
        <v>225</v>
      </c>
      <c r="Q104" s="1108">
        <v>0</v>
      </c>
      <c r="R104" s="1108">
        <f>ROUND(+NOMINA!AA81,2)</f>
        <v>34.200000000000003</v>
      </c>
      <c r="S104" s="1108">
        <f>ROUND(+NOMINA!AB81,2)</f>
        <v>130</v>
      </c>
      <c r="T104" s="1108">
        <f>ROUND(+NOMINA!AC81,2)</f>
        <v>0</v>
      </c>
      <c r="U104" s="1108">
        <f>ROUND(+NOMINA!AD81,2)</f>
        <v>77.84</v>
      </c>
      <c r="V104" s="1108">
        <f>ROUND(NOMINA!AQ81,2)</f>
        <v>0</v>
      </c>
      <c r="W104" s="1108">
        <f>+NOMINA!AS81</f>
        <v>0</v>
      </c>
      <c r="X104" s="1108">
        <f>+NOMINA!AT81</f>
        <v>0</v>
      </c>
      <c r="Y104" s="1108">
        <f>+NOMINA!AU81</f>
        <v>607.15</v>
      </c>
      <c r="Z104" s="1108">
        <f>+NOMINA!BX81</f>
        <v>1138.4100000000001</v>
      </c>
      <c r="AA104" s="1108">
        <f>+NOMINA!BY81</f>
        <v>0</v>
      </c>
      <c r="AB104" s="1108">
        <f t="shared" si="8"/>
        <v>1138.4100000000001</v>
      </c>
      <c r="AD104" s="625"/>
      <c r="AH104" s="1467" t="str">
        <f>NOMINA!P81</f>
        <v>01020373220000442079</v>
      </c>
    </row>
    <row r="105" spans="1:34" s="620" customFormat="1" ht="20.100000000000001" customHeight="1" thickBot="1" x14ac:dyDescent="0.25">
      <c r="A105" s="758" t="s">
        <v>2846</v>
      </c>
      <c r="B105" s="759">
        <f t="shared" si="9"/>
        <v>38</v>
      </c>
      <c r="C105" s="1102">
        <f>NOMINA!C82</f>
        <v>10400365</v>
      </c>
      <c r="D105" s="1103" t="str">
        <f>NOMINA!D82</f>
        <v>Briceño Ruiz Sara Josefina</v>
      </c>
      <c r="E105" s="1468" t="s">
        <v>4622</v>
      </c>
      <c r="F105" s="1110">
        <v>32351</v>
      </c>
      <c r="G105" s="1468" t="s">
        <v>4620</v>
      </c>
      <c r="H105" s="1442">
        <f>NOMINA!H82</f>
        <v>39328</v>
      </c>
      <c r="I105" s="1105">
        <f>NOMINA!I83</f>
        <v>6</v>
      </c>
      <c r="J105" s="1106">
        <f>NOMINA!J83</f>
        <v>10</v>
      </c>
      <c r="K105" s="1105">
        <f t="shared" si="7"/>
        <v>16</v>
      </c>
      <c r="L105" s="1106" t="s">
        <v>4932</v>
      </c>
      <c r="M105" s="1106"/>
      <c r="N105" s="1443" t="str">
        <f>NOMINA!O82</f>
        <v>Supervisor de Servicios Generales IV</v>
      </c>
      <c r="O105" s="1106">
        <v>1.02087691000006E+18</v>
      </c>
      <c r="P105" s="1107">
        <f>ROUND(+NOMINA!T82,2)</f>
        <v>228</v>
      </c>
      <c r="Q105" s="1108">
        <v>0</v>
      </c>
      <c r="R105" s="1108">
        <f>ROUND(+NOMINA!AA82,2)</f>
        <v>51.98</v>
      </c>
      <c r="S105" s="1108">
        <f>ROUND(+NOMINA!AB82,2)</f>
        <v>130</v>
      </c>
      <c r="T105" s="1108">
        <f>ROUND(+NOMINA!AC82,2)</f>
        <v>0</v>
      </c>
      <c r="U105" s="1108">
        <f>ROUND(+NOMINA!AD82,2)</f>
        <v>82</v>
      </c>
      <c r="V105" s="1108">
        <f>ROUND(NOMINA!AQ82,2)</f>
        <v>0</v>
      </c>
      <c r="W105" s="1108">
        <f>+NOMINA!AS82</f>
        <v>0</v>
      </c>
      <c r="X105" s="1108">
        <f>+NOMINA!AT82</f>
        <v>0</v>
      </c>
      <c r="Y105" s="1108">
        <f>+NOMINA!AU82</f>
        <v>491.98</v>
      </c>
      <c r="Z105" s="1108">
        <f>+NOMINA!BX82</f>
        <v>922.46</v>
      </c>
      <c r="AA105" s="1108">
        <f>+NOMINA!BY82</f>
        <v>0</v>
      </c>
      <c r="AB105" s="1108">
        <f t="shared" si="8"/>
        <v>922.46</v>
      </c>
      <c r="AD105" s="625"/>
      <c r="AH105" s="1467" t="str">
        <f>NOMINA!P82</f>
        <v>01020373220000442082</v>
      </c>
    </row>
    <row r="106" spans="1:34" s="620" customFormat="1" ht="20.100000000000001" customHeight="1" thickBot="1" x14ac:dyDescent="0.25">
      <c r="A106" s="758" t="s">
        <v>2846</v>
      </c>
      <c r="B106" s="759">
        <f t="shared" si="9"/>
        <v>39</v>
      </c>
      <c r="C106" s="1102">
        <f>NOMINA!C83</f>
        <v>10400876</v>
      </c>
      <c r="D106" s="1103" t="str">
        <f>NOMINA!D83</f>
        <v>Ramirez Vergara Graciela de Jesus</v>
      </c>
      <c r="E106" s="1468" t="s">
        <v>4622</v>
      </c>
      <c r="F106" s="1110">
        <v>32351</v>
      </c>
      <c r="G106" s="1468" t="s">
        <v>4620</v>
      </c>
      <c r="H106" s="1442">
        <f>NOMINA!H83</f>
        <v>43556</v>
      </c>
      <c r="I106" s="1105">
        <f>NOMINA!I84</f>
        <v>22</v>
      </c>
      <c r="J106" s="1106">
        <f>NOMINA!J84</f>
        <v>0</v>
      </c>
      <c r="K106" s="1105">
        <f t="shared" si="7"/>
        <v>22</v>
      </c>
      <c r="L106" s="1106" t="s">
        <v>4932</v>
      </c>
      <c r="M106" s="1106"/>
      <c r="N106" s="1443" t="str">
        <f>NOMINA!O83</f>
        <v>Analista de Procesamiento de Datos I</v>
      </c>
      <c r="O106" s="1106">
        <v>1.02087691000006E+18</v>
      </c>
      <c r="P106" s="1107">
        <f>ROUND(+NOMINA!T83,2)</f>
        <v>226</v>
      </c>
      <c r="Q106" s="1108">
        <v>0</v>
      </c>
      <c r="R106" s="1108">
        <f>ROUND(+NOMINA!AA83,2)</f>
        <v>44.3</v>
      </c>
      <c r="S106" s="1108">
        <f>ROUND(+NOMINA!AB83,2)</f>
        <v>130</v>
      </c>
      <c r="T106" s="1108">
        <f>ROUND(+NOMINA!AC83,2)</f>
        <v>0</v>
      </c>
      <c r="U106" s="1108">
        <f>ROUND(+NOMINA!AD83,2)</f>
        <v>80.06</v>
      </c>
      <c r="V106" s="1108">
        <f>ROUND(NOMINA!AQ83,2)</f>
        <v>0</v>
      </c>
      <c r="W106" s="1108">
        <f>+NOMINA!AS83</f>
        <v>0</v>
      </c>
      <c r="X106" s="1108">
        <f>+NOMINA!AT83</f>
        <v>0</v>
      </c>
      <c r="Y106" s="1108">
        <f>+NOMINA!AU83</f>
        <v>480.36</v>
      </c>
      <c r="Z106" s="1108">
        <f>+NOMINA!BX83</f>
        <v>900.68</v>
      </c>
      <c r="AA106" s="1108">
        <f>+NOMINA!BY83</f>
        <v>0</v>
      </c>
      <c r="AB106" s="1108">
        <f t="shared" si="8"/>
        <v>900.68</v>
      </c>
      <c r="AD106" s="625"/>
      <c r="AH106" s="1467" t="str">
        <f>NOMINA!P83</f>
        <v>01020373240000442095</v>
      </c>
    </row>
    <row r="107" spans="1:34" s="620" customFormat="1" ht="20.100000000000001" customHeight="1" thickBot="1" x14ac:dyDescent="0.25">
      <c r="A107" s="758" t="s">
        <v>2846</v>
      </c>
      <c r="B107" s="759">
        <f t="shared" si="9"/>
        <v>40</v>
      </c>
      <c r="C107" s="1102">
        <f>NOMINA!C84</f>
        <v>10404528</v>
      </c>
      <c r="D107" s="1103" t="str">
        <f>NOMINA!D84</f>
        <v>Perez Castellano Javier Horacio</v>
      </c>
      <c r="E107" s="1468" t="s">
        <v>4622</v>
      </c>
      <c r="F107" s="1110">
        <v>32351</v>
      </c>
      <c r="G107" s="1468" t="s">
        <v>4620</v>
      </c>
      <c r="H107" s="1442">
        <f>NOMINA!H84</f>
        <v>37622</v>
      </c>
      <c r="I107" s="1105">
        <f>NOMINA!I85</f>
        <v>1</v>
      </c>
      <c r="J107" s="1106">
        <f>NOMINA!J85</f>
        <v>0</v>
      </c>
      <c r="K107" s="1105">
        <f t="shared" si="7"/>
        <v>1</v>
      </c>
      <c r="L107" s="1106" t="s">
        <v>4932</v>
      </c>
      <c r="M107" s="1106"/>
      <c r="N107" s="1443" t="str">
        <f>NOMINA!O84</f>
        <v>Administrador IV</v>
      </c>
      <c r="O107" s="1106">
        <v>1.02087691000006E+18</v>
      </c>
      <c r="P107" s="1107">
        <f>ROUND(+NOMINA!T84,2)</f>
        <v>0</v>
      </c>
      <c r="Q107" s="1108">
        <v>0</v>
      </c>
      <c r="R107" s="1108">
        <f>ROUND(+NOMINA!AA84,2)</f>
        <v>0</v>
      </c>
      <c r="S107" s="1108">
        <f>ROUND(+NOMINA!AB84,2)</f>
        <v>0</v>
      </c>
      <c r="T107" s="1108">
        <f>ROUND(+NOMINA!AC84,2)</f>
        <v>0</v>
      </c>
      <c r="U107" s="1108">
        <f>ROUND(+NOMINA!AD84,2)</f>
        <v>0</v>
      </c>
      <c r="V107" s="1108">
        <f>ROUND(NOMINA!AQ84,2)</f>
        <v>0</v>
      </c>
      <c r="W107" s="1108">
        <f>+NOMINA!AS84</f>
        <v>0</v>
      </c>
      <c r="X107" s="1108">
        <f>+NOMINA!AT84</f>
        <v>0</v>
      </c>
      <c r="Y107" s="1108">
        <f>+NOMINA!AU84</f>
        <v>0</v>
      </c>
      <c r="Z107" s="1108">
        <f>+NOMINA!BX84</f>
        <v>0</v>
      </c>
      <c r="AA107" s="1108">
        <f>+NOMINA!BY84</f>
        <v>0</v>
      </c>
      <c r="AB107" s="1108">
        <f t="shared" si="8"/>
        <v>0</v>
      </c>
      <c r="AD107" s="625"/>
      <c r="AH107" s="1467" t="str">
        <f>NOMINA!P84</f>
        <v>01020373260000442189</v>
      </c>
    </row>
    <row r="108" spans="1:34" s="620" customFormat="1" ht="20.100000000000001" customHeight="1" thickBot="1" x14ac:dyDescent="0.25">
      <c r="A108" s="758" t="s">
        <v>2846</v>
      </c>
      <c r="B108" s="759">
        <f t="shared" si="9"/>
        <v>41</v>
      </c>
      <c r="C108" s="1102">
        <f>NOMINA!C85</f>
        <v>10906110</v>
      </c>
      <c r="D108" s="1103" t="str">
        <f>NOMINA!D85</f>
        <v>Linares Prato Yraima Gregoria</v>
      </c>
      <c r="E108" s="1468" t="s">
        <v>4622</v>
      </c>
      <c r="F108" s="1110">
        <v>32351</v>
      </c>
      <c r="G108" s="1468" t="s">
        <v>4620</v>
      </c>
      <c r="H108" s="1442">
        <f>NOMINA!H85</f>
        <v>45292</v>
      </c>
      <c r="I108" s="1105">
        <f>NOMINA!I86</f>
        <v>3</v>
      </c>
      <c r="J108" s="1106">
        <f>NOMINA!J86</f>
        <v>0</v>
      </c>
      <c r="K108" s="1105">
        <f t="shared" si="7"/>
        <v>3</v>
      </c>
      <c r="L108" s="1106" t="s">
        <v>4932</v>
      </c>
      <c r="M108" s="1106"/>
      <c r="N108" s="1443" t="str">
        <f>NOMINA!O85</f>
        <v>Guia de Centro I</v>
      </c>
      <c r="O108" s="1106">
        <v>1.02087691000006E+18</v>
      </c>
      <c r="P108" s="1107">
        <f>ROUND(+NOMINA!T85,2)</f>
        <v>130</v>
      </c>
      <c r="Q108" s="1108">
        <v>0</v>
      </c>
      <c r="R108" s="1108">
        <f>ROUND(+NOMINA!AA85,2)</f>
        <v>1.3</v>
      </c>
      <c r="S108" s="1108">
        <f>ROUND(+NOMINA!AB85,2)</f>
        <v>130</v>
      </c>
      <c r="T108" s="1108">
        <f>ROUND(+NOMINA!AC85,2)</f>
        <v>0</v>
      </c>
      <c r="U108" s="1108">
        <f>ROUND(+NOMINA!AD85,2)</f>
        <v>0</v>
      </c>
      <c r="V108" s="1108">
        <f>ROUND(NOMINA!AQ85,2)</f>
        <v>0</v>
      </c>
      <c r="W108" s="1108">
        <f>+NOMINA!AS85</f>
        <v>0</v>
      </c>
      <c r="X108" s="1108">
        <f>+NOMINA!AT85</f>
        <v>0</v>
      </c>
      <c r="Y108" s="1108">
        <f>+NOMINA!AU85</f>
        <v>339.69</v>
      </c>
      <c r="Z108" s="1108">
        <f>+NOMINA!BX85</f>
        <v>636.91999999999996</v>
      </c>
      <c r="AA108" s="1108">
        <f>+NOMINA!BY85</f>
        <v>0</v>
      </c>
      <c r="AB108" s="1108">
        <f t="shared" si="8"/>
        <v>636.91999999999996</v>
      </c>
      <c r="AD108" s="625"/>
      <c r="AH108" s="1467" t="str">
        <f>NOMINA!P85</f>
        <v>01020494190100024136</v>
      </c>
    </row>
    <row r="109" spans="1:34" s="620" customFormat="1" ht="20.100000000000001" customHeight="1" thickBot="1" x14ac:dyDescent="0.25">
      <c r="A109" s="758" t="s">
        <v>2846</v>
      </c>
      <c r="B109" s="759">
        <f t="shared" si="9"/>
        <v>42</v>
      </c>
      <c r="C109" s="1102">
        <f>NOMINA!C86</f>
        <v>10906923</v>
      </c>
      <c r="D109" s="1103" t="str">
        <f>NOMINA!D86</f>
        <v>Cruz de Rodriguez Yanet Coromoto</v>
      </c>
      <c r="E109" s="1468" t="s">
        <v>4622</v>
      </c>
      <c r="F109" s="1110">
        <v>32351</v>
      </c>
      <c r="G109" s="1468" t="s">
        <v>4620</v>
      </c>
      <c r="H109" s="1442">
        <f>NOMINA!H86</f>
        <v>44636</v>
      </c>
      <c r="I109" s="1105">
        <f>NOMINA!I87</f>
        <v>16</v>
      </c>
      <c r="J109" s="1106">
        <f>NOMINA!J87</f>
        <v>6</v>
      </c>
      <c r="K109" s="1105">
        <f t="shared" si="7"/>
        <v>22</v>
      </c>
      <c r="L109" s="1106" t="s">
        <v>4932</v>
      </c>
      <c r="M109" s="1106"/>
      <c r="N109" s="1443" t="str">
        <f>NOMINA!O86</f>
        <v>Guia de Centro I</v>
      </c>
      <c r="O109" s="1106">
        <v>1.02087691000006E+18</v>
      </c>
      <c r="P109" s="1107">
        <f>ROUND(+NOMINA!T86,2)</f>
        <v>219</v>
      </c>
      <c r="Q109" s="1108">
        <v>0</v>
      </c>
      <c r="R109" s="1108">
        <f>ROUND(+NOMINA!AA86,2)</f>
        <v>6.57</v>
      </c>
      <c r="S109" s="1108">
        <f>ROUND(+NOMINA!AB86,2)</f>
        <v>130</v>
      </c>
      <c r="T109" s="1108">
        <f>ROUND(+NOMINA!AC86,2)</f>
        <v>12.5</v>
      </c>
      <c r="U109" s="1108">
        <f>ROUND(+NOMINA!AD86,2)</f>
        <v>73.61</v>
      </c>
      <c r="V109" s="1108">
        <f>ROUND(NOMINA!AQ86,2)</f>
        <v>0</v>
      </c>
      <c r="W109" s="1108">
        <f>+NOMINA!AS86</f>
        <v>0</v>
      </c>
      <c r="X109" s="1108">
        <f>+NOMINA!AT86</f>
        <v>12.5</v>
      </c>
      <c r="Y109" s="1108">
        <f>+NOMINA!AU86</f>
        <v>441.68</v>
      </c>
      <c r="Z109" s="1108">
        <f>+NOMINA!BX86</f>
        <v>828.15</v>
      </c>
      <c r="AA109" s="1108">
        <f>+NOMINA!BY86</f>
        <v>0</v>
      </c>
      <c r="AB109" s="1108">
        <f t="shared" si="8"/>
        <v>828.15</v>
      </c>
      <c r="AD109" s="625"/>
      <c r="AH109" s="1467" t="str">
        <f>NOMINA!P86</f>
        <v>01020373230000232797</v>
      </c>
    </row>
    <row r="110" spans="1:34" s="620" customFormat="1" ht="20.100000000000001" customHeight="1" thickBot="1" x14ac:dyDescent="0.25">
      <c r="A110" s="758" t="s">
        <v>2846</v>
      </c>
      <c r="B110" s="759">
        <f t="shared" si="9"/>
        <v>43</v>
      </c>
      <c r="C110" s="1102">
        <f>NOMINA!C87</f>
        <v>10908510</v>
      </c>
      <c r="D110" s="1103" t="str">
        <f>NOMINA!D87</f>
        <v>Castro de Vielma Yanira Rosa</v>
      </c>
      <c r="E110" s="1468" t="s">
        <v>4622</v>
      </c>
      <c r="F110" s="1110">
        <v>32351</v>
      </c>
      <c r="G110" s="1468" t="s">
        <v>4620</v>
      </c>
      <c r="H110" s="1442">
        <f>NOMINA!H87</f>
        <v>39874</v>
      </c>
      <c r="I110" s="1105">
        <f>NOMINA!I88</f>
        <v>27</v>
      </c>
      <c r="J110" s="1106">
        <f>NOMINA!J88</f>
        <v>0</v>
      </c>
      <c r="K110" s="1105">
        <f t="shared" si="7"/>
        <v>27</v>
      </c>
      <c r="L110" s="1106" t="s">
        <v>4932</v>
      </c>
      <c r="M110" s="1106"/>
      <c r="N110" s="1443" t="str">
        <f>NOMINA!O87</f>
        <v>Jefe de Centro</v>
      </c>
      <c r="O110" s="1106">
        <v>1.02087691000006E+18</v>
      </c>
      <c r="P110" s="1107">
        <f>ROUND(+NOMINA!T87,2)</f>
        <v>287</v>
      </c>
      <c r="Q110" s="1108">
        <v>0</v>
      </c>
      <c r="R110" s="1108">
        <f>ROUND(+NOMINA!AA87,2)</f>
        <v>84.95</v>
      </c>
      <c r="S110" s="1108">
        <f>ROUND(+NOMINA!AB87,2)</f>
        <v>130</v>
      </c>
      <c r="T110" s="1108">
        <f>ROUND(+NOMINA!AC87,2)</f>
        <v>0</v>
      </c>
      <c r="U110" s="1108">
        <f>ROUND(+NOMINA!AD87,2)</f>
        <v>125.49</v>
      </c>
      <c r="V110" s="1108">
        <f>ROUND(NOMINA!AQ87,2)</f>
        <v>0</v>
      </c>
      <c r="W110" s="1108">
        <f>+NOMINA!AS87</f>
        <v>0</v>
      </c>
      <c r="X110" s="1108">
        <f>+NOMINA!AT87</f>
        <v>0</v>
      </c>
      <c r="Y110" s="1108">
        <f>+NOMINA!AU87</f>
        <v>627.44000000000005</v>
      </c>
      <c r="Z110" s="1108">
        <f>+NOMINA!BX87</f>
        <v>1176.45</v>
      </c>
      <c r="AA110" s="1108">
        <f>+NOMINA!BY87</f>
        <v>0</v>
      </c>
      <c r="AB110" s="1108">
        <f t="shared" si="8"/>
        <v>1176.45</v>
      </c>
      <c r="AD110" s="625"/>
      <c r="AH110" s="1467" t="str">
        <f>NOMINA!P87</f>
        <v>01020373220000442244</v>
      </c>
    </row>
    <row r="111" spans="1:34" s="620" customFormat="1" ht="20.100000000000001" customHeight="1" thickBot="1" x14ac:dyDescent="0.25">
      <c r="A111" s="758" t="s">
        <v>2846</v>
      </c>
      <c r="B111" s="759">
        <f t="shared" si="9"/>
        <v>44</v>
      </c>
      <c r="C111" s="1102">
        <f>NOMINA!C88</f>
        <v>10909245</v>
      </c>
      <c r="D111" s="1103" t="str">
        <f>NOMINA!D88</f>
        <v>Delduca Moreno Luisa</v>
      </c>
      <c r="E111" s="1468" t="s">
        <v>4622</v>
      </c>
      <c r="F111" s="1110">
        <v>32351</v>
      </c>
      <c r="G111" s="1468" t="s">
        <v>4620</v>
      </c>
      <c r="H111" s="1442">
        <f>NOMINA!H88</f>
        <v>36054</v>
      </c>
      <c r="I111" s="1105">
        <f>NOMINA!I89</f>
        <v>5</v>
      </c>
      <c r="J111" s="1106">
        <f>NOMINA!J89</f>
        <v>0</v>
      </c>
      <c r="K111" s="1105">
        <f t="shared" si="7"/>
        <v>5</v>
      </c>
      <c r="L111" s="1106" t="s">
        <v>4932</v>
      </c>
      <c r="M111" s="1106"/>
      <c r="N111" s="1443" t="str">
        <f>NOMINA!O88</f>
        <v>Guia de Centro II</v>
      </c>
      <c r="O111" s="1106">
        <v>1.02087691000006E+18</v>
      </c>
      <c r="P111" s="1107">
        <f>ROUND(+NOMINA!T88,2)</f>
        <v>228</v>
      </c>
      <c r="Q111" s="1108">
        <v>0</v>
      </c>
      <c r="R111" s="1108">
        <f>ROUND(+NOMINA!AA88,2)</f>
        <v>68.400000000000006</v>
      </c>
      <c r="S111" s="1108">
        <f>ROUND(+NOMINA!AB88,2)</f>
        <v>130</v>
      </c>
      <c r="T111" s="1108">
        <f>ROUND(+NOMINA!AC88,2)</f>
        <v>0</v>
      </c>
      <c r="U111" s="1108">
        <f>ROUND(+NOMINA!AD88,2)</f>
        <v>85.28</v>
      </c>
      <c r="V111" s="1108">
        <f>ROUND(NOMINA!AQ88,2)</f>
        <v>0</v>
      </c>
      <c r="W111" s="1108">
        <f>+NOMINA!AS88</f>
        <v>0</v>
      </c>
      <c r="X111" s="1108">
        <f>+NOMINA!AT88</f>
        <v>0</v>
      </c>
      <c r="Y111" s="1108">
        <f>+NOMINA!AU88</f>
        <v>665.18000000000006</v>
      </c>
      <c r="Z111" s="1108">
        <f>+NOMINA!BX88</f>
        <v>1247.21</v>
      </c>
      <c r="AA111" s="1108">
        <f>+NOMINA!BY88</f>
        <v>0</v>
      </c>
      <c r="AB111" s="1108">
        <f t="shared" si="8"/>
        <v>1247.21</v>
      </c>
      <c r="AD111" s="625"/>
      <c r="AH111" s="1467" t="str">
        <f>NOMINA!P88</f>
        <v>01020373240000442260</v>
      </c>
    </row>
    <row r="112" spans="1:34" s="620" customFormat="1" ht="20.100000000000001" customHeight="1" thickBot="1" x14ac:dyDescent="0.25">
      <c r="A112" s="758" t="s">
        <v>2846</v>
      </c>
      <c r="B112" s="759">
        <f t="shared" si="9"/>
        <v>45</v>
      </c>
      <c r="C112" s="1102">
        <f>NOMINA!C89</f>
        <v>10910698</v>
      </c>
      <c r="D112" s="1103" t="str">
        <f>NOMINA!D89</f>
        <v>Rangel Briceño Marcial Segundo</v>
      </c>
      <c r="E112" s="1468" t="s">
        <v>4622</v>
      </c>
      <c r="F112" s="1110">
        <v>32351</v>
      </c>
      <c r="G112" s="1468" t="s">
        <v>4620</v>
      </c>
      <c r="H112" s="1442">
        <f>NOMINA!H89</f>
        <v>43891</v>
      </c>
      <c r="I112" s="1105">
        <f>NOMINA!I90</f>
        <v>27</v>
      </c>
      <c r="J112" s="1106">
        <f>NOMINA!J90</f>
        <v>0</v>
      </c>
      <c r="K112" s="1105">
        <f t="shared" si="7"/>
        <v>27</v>
      </c>
      <c r="L112" s="1106" t="s">
        <v>4932</v>
      </c>
      <c r="M112" s="1106"/>
      <c r="N112" s="1443" t="str">
        <f>NOMINA!O89</f>
        <v>Asistente Administrativo II</v>
      </c>
      <c r="O112" s="1106">
        <v>1.02087691000006E+18</v>
      </c>
      <c r="P112" s="1107">
        <f>ROUND(+NOMINA!T89,2)</f>
        <v>150</v>
      </c>
      <c r="Q112" s="1108">
        <v>0</v>
      </c>
      <c r="R112" s="1108">
        <f>ROUND(+NOMINA!AA89,2)</f>
        <v>7.5</v>
      </c>
      <c r="S112" s="1108">
        <f>ROUND(+NOMINA!AB89,2)</f>
        <v>130</v>
      </c>
      <c r="T112" s="1108">
        <f>ROUND(+NOMINA!AC89,2)</f>
        <v>0</v>
      </c>
      <c r="U112" s="1108">
        <f>ROUND(+NOMINA!AD89,2)</f>
        <v>0</v>
      </c>
      <c r="V112" s="1108">
        <f>ROUND(NOMINA!AQ89,2)</f>
        <v>0</v>
      </c>
      <c r="W112" s="1108">
        <f>+NOMINA!AS89</f>
        <v>0</v>
      </c>
      <c r="X112" s="1108">
        <f>+NOMINA!AT89</f>
        <v>0</v>
      </c>
      <c r="Y112" s="1108">
        <f>+NOMINA!AU89</f>
        <v>287.5</v>
      </c>
      <c r="Z112" s="1108">
        <f>+NOMINA!BX89</f>
        <v>539.05999999999995</v>
      </c>
      <c r="AA112" s="1108">
        <f>+NOMINA!BY89</f>
        <v>0</v>
      </c>
      <c r="AB112" s="1108">
        <f t="shared" si="8"/>
        <v>539.05999999999995</v>
      </c>
      <c r="AD112" s="625"/>
      <c r="AH112" s="1467" t="str">
        <f>NOMINA!P89</f>
        <v>01020346550106621985</v>
      </c>
    </row>
    <row r="113" spans="1:34" s="620" customFormat="1" ht="20.100000000000001" customHeight="1" thickBot="1" x14ac:dyDescent="0.25">
      <c r="A113" s="758" t="s">
        <v>2846</v>
      </c>
      <c r="B113" s="759">
        <f t="shared" si="9"/>
        <v>46</v>
      </c>
      <c r="C113" s="1102">
        <f>NOMINA!C90</f>
        <v>10912595</v>
      </c>
      <c r="D113" s="1103" t="str">
        <f>NOMINA!D90</f>
        <v>Delfin Bustos Jose Hercilio</v>
      </c>
      <c r="E113" s="1468" t="s">
        <v>4622</v>
      </c>
      <c r="F113" s="1110">
        <v>32351</v>
      </c>
      <c r="G113" s="1468" t="s">
        <v>4620</v>
      </c>
      <c r="H113" s="1442">
        <f>NOMINA!H90</f>
        <v>36039</v>
      </c>
      <c r="I113" s="1105">
        <f>NOMINA!I91</f>
        <v>3</v>
      </c>
      <c r="J113" s="1106">
        <f>NOMINA!J91</f>
        <v>9</v>
      </c>
      <c r="K113" s="1105">
        <f t="shared" si="7"/>
        <v>12</v>
      </c>
      <c r="L113" s="1106" t="s">
        <v>4932</v>
      </c>
      <c r="M113" s="1106"/>
      <c r="N113" s="1443" t="str">
        <f>NOMINA!O90</f>
        <v>Guia de Centro II</v>
      </c>
      <c r="O113" s="1106">
        <v>1.02087691000006E+18</v>
      </c>
      <c r="P113" s="1107">
        <f>ROUND(+NOMINA!T90,2)</f>
        <v>0</v>
      </c>
      <c r="Q113" s="1108">
        <v>0</v>
      </c>
      <c r="R113" s="1108">
        <f>ROUND(+NOMINA!AA90,2)</f>
        <v>0</v>
      </c>
      <c r="S113" s="1108">
        <f>ROUND(+NOMINA!AB90,2)</f>
        <v>0</v>
      </c>
      <c r="T113" s="1108">
        <f>ROUND(+NOMINA!AC90,2)</f>
        <v>0</v>
      </c>
      <c r="U113" s="1108">
        <f>ROUND(+NOMINA!AD90,2)</f>
        <v>0</v>
      </c>
      <c r="V113" s="1108">
        <f>ROUND(NOMINA!AQ90,2)</f>
        <v>0</v>
      </c>
      <c r="W113" s="1108">
        <f>+NOMINA!AS90</f>
        <v>0</v>
      </c>
      <c r="X113" s="1108">
        <f>+NOMINA!AT90</f>
        <v>0</v>
      </c>
      <c r="Y113" s="1108">
        <f>+NOMINA!AU90</f>
        <v>0</v>
      </c>
      <c r="Z113" s="1108">
        <f>+NOMINA!BX90</f>
        <v>0</v>
      </c>
      <c r="AA113" s="1108">
        <f>+NOMINA!BY90</f>
        <v>0</v>
      </c>
      <c r="AB113" s="1108">
        <f t="shared" si="8"/>
        <v>0</v>
      </c>
      <c r="AD113" s="625"/>
      <c r="AH113" s="1467" t="str">
        <f>NOMINA!P90</f>
        <v>01020373200000442299</v>
      </c>
    </row>
    <row r="114" spans="1:34" s="620" customFormat="1" ht="20.100000000000001" customHeight="1" thickBot="1" x14ac:dyDescent="0.25">
      <c r="A114" s="758" t="s">
        <v>2846</v>
      </c>
      <c r="B114" s="759">
        <f t="shared" si="9"/>
        <v>47</v>
      </c>
      <c r="C114" s="1102">
        <f>NOMINA!C91</f>
        <v>10913178</v>
      </c>
      <c r="D114" s="1103" t="str">
        <f>NOMINA!D91</f>
        <v>Garcia Moreno Iris Josefina</v>
      </c>
      <c r="E114" s="1468" t="s">
        <v>4622</v>
      </c>
      <c r="F114" s="1110">
        <v>32351</v>
      </c>
      <c r="G114" s="1468" t="s">
        <v>4620</v>
      </c>
      <c r="H114" s="1442">
        <f>NOMINA!H91</f>
        <v>44805</v>
      </c>
      <c r="I114" s="1105">
        <f>NOMINA!I92</f>
        <v>14</v>
      </c>
      <c r="J114" s="1106">
        <f>NOMINA!J92</f>
        <v>0</v>
      </c>
      <c r="K114" s="1105">
        <f t="shared" si="7"/>
        <v>14</v>
      </c>
      <c r="L114" s="1106" t="s">
        <v>4932</v>
      </c>
      <c r="M114" s="1106"/>
      <c r="N114" s="1443" t="str">
        <f>NOMINA!O91</f>
        <v>Asistente de Servicio Social</v>
      </c>
      <c r="O114" s="1106">
        <v>1.02087691000006E+18</v>
      </c>
      <c r="P114" s="1107">
        <f>ROUND(+NOMINA!T91,2)</f>
        <v>174</v>
      </c>
      <c r="Q114" s="1108">
        <v>0</v>
      </c>
      <c r="R114" s="1108">
        <f>ROUND(+NOMINA!AA91,2)</f>
        <v>24.01</v>
      </c>
      <c r="S114" s="1108">
        <f>ROUND(+NOMINA!AB91,2)</f>
        <v>130</v>
      </c>
      <c r="T114" s="1108">
        <f>ROUND(+NOMINA!AC91,2)</f>
        <v>0</v>
      </c>
      <c r="U114" s="1108">
        <f>ROUND(+NOMINA!AD91,2)</f>
        <v>0</v>
      </c>
      <c r="V114" s="1108">
        <f>ROUND(NOMINA!AQ91,2)</f>
        <v>0</v>
      </c>
      <c r="W114" s="1108">
        <f>+NOMINA!AS91</f>
        <v>0</v>
      </c>
      <c r="X114" s="1108">
        <f>+NOMINA!AT91</f>
        <v>0</v>
      </c>
      <c r="Y114" s="1108">
        <f>+NOMINA!AU91</f>
        <v>328.01</v>
      </c>
      <c r="Z114" s="1108">
        <f>+NOMINA!BX91</f>
        <v>615.02</v>
      </c>
      <c r="AA114" s="1108">
        <f>+NOMINA!BY91</f>
        <v>0</v>
      </c>
      <c r="AB114" s="1108">
        <f t="shared" si="8"/>
        <v>615.02</v>
      </c>
      <c r="AD114" s="625"/>
      <c r="AH114" s="1467" t="str">
        <f>NOMINA!P91</f>
        <v>01020373210000442309</v>
      </c>
    </row>
    <row r="115" spans="1:34" s="620" customFormat="1" ht="20.100000000000001" customHeight="1" thickBot="1" x14ac:dyDescent="0.25">
      <c r="A115" s="758" t="s">
        <v>2846</v>
      </c>
      <c r="B115" s="759">
        <f t="shared" si="9"/>
        <v>48</v>
      </c>
      <c r="C115" s="1102">
        <f>NOMINA!C92</f>
        <v>10913637</v>
      </c>
      <c r="D115" s="1103" t="str">
        <f>NOMINA!D92</f>
        <v>Angarita Hernandez Ana del Carmen</v>
      </c>
      <c r="E115" s="1468" t="s">
        <v>4622</v>
      </c>
      <c r="F115" s="1110">
        <v>32351</v>
      </c>
      <c r="G115" s="1468" t="s">
        <v>4620</v>
      </c>
      <c r="H115" s="1442">
        <f>NOMINA!H92</f>
        <v>40664</v>
      </c>
      <c r="I115" s="1105">
        <f>NOMINA!I93</f>
        <v>28</v>
      </c>
      <c r="J115" s="1106">
        <f>NOMINA!J93</f>
        <v>0</v>
      </c>
      <c r="K115" s="1105">
        <f t="shared" si="7"/>
        <v>28</v>
      </c>
      <c r="L115" s="1106" t="s">
        <v>4932</v>
      </c>
      <c r="M115" s="1106"/>
      <c r="N115" s="1443" t="str">
        <f>NOMINA!O92</f>
        <v>Guia de Centro II</v>
      </c>
      <c r="O115" s="1106">
        <v>1.02087691000006E+18</v>
      </c>
      <c r="P115" s="1107">
        <f>ROUND(+NOMINA!T92,2)</f>
        <v>283</v>
      </c>
      <c r="Q115" s="1108">
        <v>0</v>
      </c>
      <c r="R115" s="1108">
        <f>ROUND(+NOMINA!AA92,2)</f>
        <v>46.98</v>
      </c>
      <c r="S115" s="1108">
        <f>ROUND(+NOMINA!AB92,2)</f>
        <v>130</v>
      </c>
      <c r="T115" s="1108">
        <f>ROUND(+NOMINA!AC92,2)</f>
        <v>0</v>
      </c>
      <c r="U115" s="1108">
        <f>ROUND(+NOMINA!AD92,2)</f>
        <v>115</v>
      </c>
      <c r="V115" s="1108">
        <f>ROUND(NOMINA!AQ92,2)</f>
        <v>0</v>
      </c>
      <c r="W115" s="1108">
        <f>+NOMINA!AS92</f>
        <v>0</v>
      </c>
      <c r="X115" s="1108">
        <f>+NOMINA!AT92</f>
        <v>0</v>
      </c>
      <c r="Y115" s="1108">
        <f>+NOMINA!AU92</f>
        <v>747.47</v>
      </c>
      <c r="Z115" s="1108">
        <f>+NOMINA!BX92</f>
        <v>1401.51</v>
      </c>
      <c r="AA115" s="1108">
        <f>+NOMINA!BY92</f>
        <v>0</v>
      </c>
      <c r="AB115" s="1108">
        <f t="shared" si="8"/>
        <v>1401.51</v>
      </c>
      <c r="AD115" s="625"/>
      <c r="AH115" s="1467" t="str">
        <f>NOMINA!P92</f>
        <v>01020373210000442312</v>
      </c>
    </row>
    <row r="116" spans="1:34" s="620" customFormat="1" ht="20.100000000000001" customHeight="1" thickBot="1" x14ac:dyDescent="0.25">
      <c r="A116" s="758" t="s">
        <v>2846</v>
      </c>
      <c r="B116" s="759">
        <f t="shared" si="9"/>
        <v>49</v>
      </c>
      <c r="C116" s="1102">
        <f>NOMINA!C93</f>
        <v>10915223</v>
      </c>
      <c r="D116" s="1103" t="str">
        <f>NOMINA!D93</f>
        <v>Contreras Rojo Gerardo Alexander</v>
      </c>
      <c r="E116" s="1468" t="s">
        <v>4622</v>
      </c>
      <c r="F116" s="1110">
        <v>32351</v>
      </c>
      <c r="G116" s="1468" t="s">
        <v>4620</v>
      </c>
      <c r="H116" s="1442">
        <f>NOMINA!H93</f>
        <v>35339</v>
      </c>
      <c r="I116" s="1105">
        <f>NOMINA!I94</f>
        <v>7</v>
      </c>
      <c r="J116" s="1106">
        <f>NOMINA!J94</f>
        <v>0</v>
      </c>
      <c r="K116" s="1105">
        <f t="shared" si="7"/>
        <v>7</v>
      </c>
      <c r="L116" s="1106" t="s">
        <v>4932</v>
      </c>
      <c r="M116" s="1106"/>
      <c r="N116" s="1443" t="str">
        <f>NOMINA!O93</f>
        <v>Tutor Facilitador III</v>
      </c>
      <c r="O116" s="1106">
        <v>1.02087691000006E+18</v>
      </c>
      <c r="P116" s="1107">
        <f>ROUND(+NOMINA!T93,2)</f>
        <v>316</v>
      </c>
      <c r="Q116" s="1108">
        <v>0</v>
      </c>
      <c r="R116" s="1108">
        <f>ROUND(+NOMINA!AA93,2)</f>
        <v>94.8</v>
      </c>
      <c r="S116" s="1108">
        <f>ROUND(+NOMINA!AB93,2)</f>
        <v>130</v>
      </c>
      <c r="T116" s="1108">
        <f>ROUND(+NOMINA!AC93,2)</f>
        <v>0</v>
      </c>
      <c r="U116" s="1108">
        <f>ROUND(+NOMINA!AD93,2)</f>
        <v>189.28</v>
      </c>
      <c r="V116" s="1108">
        <f>ROUND(NOMINA!AQ93,2)</f>
        <v>0</v>
      </c>
      <c r="W116" s="1108">
        <f>+NOMINA!AS93</f>
        <v>0</v>
      </c>
      <c r="X116" s="1108">
        <f>+NOMINA!AT93</f>
        <v>0</v>
      </c>
      <c r="Y116" s="1108">
        <f>+NOMINA!AU93</f>
        <v>730.08</v>
      </c>
      <c r="Z116" s="1108">
        <f>+NOMINA!BX93</f>
        <v>1368.9</v>
      </c>
      <c r="AA116" s="1108">
        <f>+NOMINA!BY93</f>
        <v>0</v>
      </c>
      <c r="AB116" s="1108">
        <f t="shared" si="8"/>
        <v>1368.9</v>
      </c>
      <c r="AD116" s="625"/>
      <c r="AH116" s="1467" t="str">
        <f>NOMINA!P93</f>
        <v>01020373220000442325</v>
      </c>
    </row>
    <row r="117" spans="1:34" s="620" customFormat="1" ht="20.100000000000001" customHeight="1" thickBot="1" x14ac:dyDescent="0.25">
      <c r="A117" s="758" t="s">
        <v>2846</v>
      </c>
      <c r="B117" s="759">
        <f t="shared" si="9"/>
        <v>50</v>
      </c>
      <c r="C117" s="1102">
        <f>NOMINA!C94</f>
        <v>10915384</v>
      </c>
      <c r="D117" s="1103" t="str">
        <f>NOMINA!D94</f>
        <v>Rojas Hernandez Morela del Carmen</v>
      </c>
      <c r="E117" s="1468" t="s">
        <v>4622</v>
      </c>
      <c r="F117" s="1110">
        <v>32351</v>
      </c>
      <c r="G117" s="1468" t="s">
        <v>4620</v>
      </c>
      <c r="H117" s="1442">
        <f>NOMINA!H94</f>
        <v>43147</v>
      </c>
      <c r="I117" s="1105">
        <f>NOMINA!I95</f>
        <v>3</v>
      </c>
      <c r="J117" s="1106">
        <f>NOMINA!J95</f>
        <v>0</v>
      </c>
      <c r="K117" s="1105">
        <f t="shared" si="7"/>
        <v>3</v>
      </c>
      <c r="L117" s="1106" t="s">
        <v>4932</v>
      </c>
      <c r="M117" s="1106"/>
      <c r="N117" s="1443" t="str">
        <f>NOMINA!O94</f>
        <v>Guia de Centro II</v>
      </c>
      <c r="O117" s="1106">
        <v>1.02087691000006E+18</v>
      </c>
      <c r="P117" s="1107">
        <f>ROUND(+NOMINA!T94,2)</f>
        <v>221</v>
      </c>
      <c r="Q117" s="1108">
        <v>0</v>
      </c>
      <c r="R117" s="1108">
        <f>ROUND(+NOMINA!AA94,2)</f>
        <v>16.350000000000001</v>
      </c>
      <c r="S117" s="1108">
        <f>ROUND(+NOMINA!AB94,2)</f>
        <v>130</v>
      </c>
      <c r="T117" s="1108">
        <f>ROUND(+NOMINA!AC94,2)</f>
        <v>0</v>
      </c>
      <c r="U117" s="1108">
        <f>ROUND(+NOMINA!AD94,2)</f>
        <v>73.47</v>
      </c>
      <c r="V117" s="1108">
        <f>ROUND(NOMINA!AQ94,2)</f>
        <v>0</v>
      </c>
      <c r="W117" s="1108">
        <f>+NOMINA!AS94</f>
        <v>0</v>
      </c>
      <c r="X117" s="1108">
        <f>+NOMINA!AT94</f>
        <v>0</v>
      </c>
      <c r="Y117" s="1108">
        <f>+NOMINA!AU94</f>
        <v>573.06999999999994</v>
      </c>
      <c r="Z117" s="1108">
        <f>+NOMINA!BX94</f>
        <v>1074.51</v>
      </c>
      <c r="AA117" s="1108">
        <f>+NOMINA!BY94</f>
        <v>0</v>
      </c>
      <c r="AB117" s="1108">
        <f t="shared" si="8"/>
        <v>1074.51</v>
      </c>
      <c r="AD117" s="625"/>
      <c r="AH117" s="1467" t="str">
        <f>NOMINA!P94</f>
        <v>01020373280000536121</v>
      </c>
    </row>
    <row r="118" spans="1:34" s="620" customFormat="1" ht="20.100000000000001" customHeight="1" thickBot="1" x14ac:dyDescent="0.25">
      <c r="A118" s="758" t="s">
        <v>2846</v>
      </c>
      <c r="B118" s="759">
        <f t="shared" si="9"/>
        <v>51</v>
      </c>
      <c r="C118" s="1102">
        <f>NOMINA!C95</f>
        <v>10915597</v>
      </c>
      <c r="D118" s="1103" t="str">
        <f>NOMINA!D95</f>
        <v>Carrillo Altuve Maria Mercedes</v>
      </c>
      <c r="E118" s="1468" t="s">
        <v>4622</v>
      </c>
      <c r="F118" s="1110">
        <v>32351</v>
      </c>
      <c r="G118" s="1468" t="s">
        <v>4620</v>
      </c>
      <c r="H118" s="1442">
        <f>NOMINA!H95</f>
        <v>44501</v>
      </c>
      <c r="I118" s="1105">
        <f>NOMINA!I96</f>
        <v>2</v>
      </c>
      <c r="J118" s="1106">
        <f>NOMINA!J96</f>
        <v>23</v>
      </c>
      <c r="K118" s="1105">
        <f t="shared" si="7"/>
        <v>25</v>
      </c>
      <c r="L118" s="1106" t="s">
        <v>4932</v>
      </c>
      <c r="M118" s="1106"/>
      <c r="N118" s="1443" t="str">
        <f>NOMINA!O95</f>
        <v>Guia de Centro I</v>
      </c>
      <c r="O118" s="1106">
        <v>1.02087691000006E+18</v>
      </c>
      <c r="P118" s="1107">
        <f>ROUND(+NOMINA!T95,2)</f>
        <v>219</v>
      </c>
      <c r="Q118" s="1108">
        <v>0</v>
      </c>
      <c r="R118" s="1108">
        <f>ROUND(+NOMINA!AA95,2)</f>
        <v>6.57</v>
      </c>
      <c r="S118" s="1108">
        <f>ROUND(+NOMINA!AB95,2)</f>
        <v>130</v>
      </c>
      <c r="T118" s="1108">
        <f>ROUND(+NOMINA!AC95,2)</f>
        <v>0</v>
      </c>
      <c r="U118" s="1108">
        <f>ROUND(+NOMINA!AD95,2)</f>
        <v>142.22999999999999</v>
      </c>
      <c r="V118" s="1108">
        <f>ROUND(NOMINA!AQ95,2)</f>
        <v>0</v>
      </c>
      <c r="W118" s="1108">
        <f>+NOMINA!AS95</f>
        <v>0</v>
      </c>
      <c r="X118" s="1108">
        <f>+NOMINA!AT95</f>
        <v>0</v>
      </c>
      <c r="Y118" s="1108">
        <f>+NOMINA!AU95</f>
        <v>647.14</v>
      </c>
      <c r="Z118" s="1108">
        <f>+NOMINA!BX95</f>
        <v>1213.3900000000001</v>
      </c>
      <c r="AA118" s="1108">
        <f>+NOMINA!BY95</f>
        <v>0</v>
      </c>
      <c r="AB118" s="1108">
        <f t="shared" si="8"/>
        <v>1213.3900000000001</v>
      </c>
      <c r="AD118" s="625"/>
      <c r="AH118" s="1467" t="str">
        <f>NOMINA!P95</f>
        <v>01020373240000678911</v>
      </c>
    </row>
    <row r="119" spans="1:34" s="620" customFormat="1" ht="20.100000000000001" customHeight="1" thickBot="1" x14ac:dyDescent="0.25">
      <c r="A119" s="758" t="s">
        <v>2846</v>
      </c>
      <c r="B119" s="759">
        <f t="shared" si="9"/>
        <v>52</v>
      </c>
      <c r="C119" s="1102">
        <f>NOMINA!C96</f>
        <v>11128954</v>
      </c>
      <c r="D119" s="1103" t="str">
        <f>NOMINA!D96</f>
        <v>Soto Lopez Rafael Maria</v>
      </c>
      <c r="E119" s="1468" t="s">
        <v>4622</v>
      </c>
      <c r="F119" s="1110">
        <v>32351</v>
      </c>
      <c r="G119" s="1468" t="s">
        <v>4620</v>
      </c>
      <c r="H119" s="1442">
        <f>NOMINA!H96</f>
        <v>45170</v>
      </c>
      <c r="I119" s="1105">
        <f>NOMINA!I97</f>
        <v>2</v>
      </c>
      <c r="J119" s="1106">
        <f>NOMINA!J97</f>
        <v>0</v>
      </c>
      <c r="K119" s="1105">
        <f t="shared" si="7"/>
        <v>2</v>
      </c>
      <c r="L119" s="1106" t="s">
        <v>4932</v>
      </c>
      <c r="M119" s="1106"/>
      <c r="N119" s="1443" t="str">
        <f>NOMINA!O96</f>
        <v>Guia de Centro I</v>
      </c>
      <c r="O119" s="1106">
        <v>1.02087691000006E+18</v>
      </c>
      <c r="P119" s="1107">
        <f>ROUND(+NOMINA!T96,2)</f>
        <v>228</v>
      </c>
      <c r="Q119" s="1108">
        <v>0</v>
      </c>
      <c r="R119" s="1108">
        <f>ROUND(+NOMINA!AA96,2)</f>
        <v>68.400000000000006</v>
      </c>
      <c r="S119" s="1108">
        <f>ROUND(+NOMINA!AB96,2)</f>
        <v>130</v>
      </c>
      <c r="T119" s="1108">
        <f>ROUND(+NOMINA!AC96,2)</f>
        <v>12.5</v>
      </c>
      <c r="U119" s="1108">
        <f>ROUND(+NOMINA!AD96,2)</f>
        <v>87.78</v>
      </c>
      <c r="V119" s="1108">
        <f>ROUND(NOMINA!AQ96,2)</f>
        <v>0</v>
      </c>
      <c r="W119" s="1108">
        <f>+NOMINA!AS96</f>
        <v>0</v>
      </c>
      <c r="X119" s="1108">
        <f>+NOMINA!AT96</f>
        <v>12.5</v>
      </c>
      <c r="Y119" s="1108">
        <f>+NOMINA!AU96</f>
        <v>684.68000000000006</v>
      </c>
      <c r="Z119" s="1108">
        <f>+NOMINA!BX96</f>
        <v>1283.78</v>
      </c>
      <c r="AA119" s="1108">
        <f>+NOMINA!BY96</f>
        <v>0</v>
      </c>
      <c r="AB119" s="1108">
        <f t="shared" si="8"/>
        <v>1283.78</v>
      </c>
      <c r="AD119" s="625"/>
      <c r="AH119" s="1467" t="str">
        <f>NOMINA!P96</f>
        <v>01020369420000056300</v>
      </c>
    </row>
    <row r="120" spans="1:34" s="620" customFormat="1" ht="20.100000000000001" customHeight="1" thickBot="1" x14ac:dyDescent="0.25">
      <c r="A120" s="758" t="s">
        <v>2846</v>
      </c>
      <c r="B120" s="759">
        <f t="shared" si="9"/>
        <v>53</v>
      </c>
      <c r="C120" s="1102">
        <f>NOMINA!C97</f>
        <v>11132900</v>
      </c>
      <c r="D120" s="1103" t="str">
        <f>NOMINA!D97</f>
        <v>Morillo Valero Ender Ramon</v>
      </c>
      <c r="E120" s="1468" t="s">
        <v>4622</v>
      </c>
      <c r="F120" s="1110">
        <v>32351</v>
      </c>
      <c r="G120" s="1468" t="s">
        <v>4620</v>
      </c>
      <c r="H120" s="1442">
        <f>NOMINA!H97</f>
        <v>44866</v>
      </c>
      <c r="I120" s="1105">
        <f>NOMINA!I98</f>
        <v>16</v>
      </c>
      <c r="J120" s="1106">
        <f>NOMINA!J98</f>
        <v>0</v>
      </c>
      <c r="K120" s="1105">
        <f t="shared" si="7"/>
        <v>16</v>
      </c>
      <c r="L120" s="1106" t="s">
        <v>4932</v>
      </c>
      <c r="M120" s="1106"/>
      <c r="N120" s="1443" t="str">
        <f>NOMINA!O97</f>
        <v>Guia de Centro I</v>
      </c>
      <c r="O120" s="1106">
        <v>1.02087691000006E+18</v>
      </c>
      <c r="P120" s="1107">
        <f>ROUND(+NOMINA!T97,2)</f>
        <v>192</v>
      </c>
      <c r="Q120" s="1108">
        <v>0</v>
      </c>
      <c r="R120" s="1108">
        <f>ROUND(+NOMINA!AA97,2)</f>
        <v>3.84</v>
      </c>
      <c r="S120" s="1108">
        <f>ROUND(+NOMINA!AB97,2)</f>
        <v>130</v>
      </c>
      <c r="T120" s="1108">
        <f>ROUND(+NOMINA!AC97,2)</f>
        <v>0</v>
      </c>
      <c r="U120" s="1108">
        <f>ROUND(+NOMINA!AD97,2)</f>
        <v>65.17</v>
      </c>
      <c r="V120" s="1108">
        <f>ROUND(NOMINA!AQ97,2)</f>
        <v>0</v>
      </c>
      <c r="W120" s="1108">
        <f>+NOMINA!AS97</f>
        <v>0</v>
      </c>
      <c r="X120" s="1108">
        <f>+NOMINA!AT97</f>
        <v>0</v>
      </c>
      <c r="Y120" s="1108">
        <f>+NOMINA!AU97</f>
        <v>508.31</v>
      </c>
      <c r="Z120" s="1108">
        <f>+NOMINA!BX97</f>
        <v>953.08</v>
      </c>
      <c r="AA120" s="1108">
        <f>+NOMINA!BY97</f>
        <v>0</v>
      </c>
      <c r="AB120" s="1108">
        <f t="shared" si="8"/>
        <v>953.08</v>
      </c>
      <c r="AD120" s="625"/>
      <c r="AH120" s="1467" t="str">
        <f>NOMINA!P97</f>
        <v>01020747930000123398</v>
      </c>
    </row>
    <row r="121" spans="1:34" s="620" customFormat="1" ht="20.100000000000001" customHeight="1" thickBot="1" x14ac:dyDescent="0.25">
      <c r="A121" s="758" t="s">
        <v>2846</v>
      </c>
      <c r="B121" s="759">
        <f t="shared" si="9"/>
        <v>54</v>
      </c>
      <c r="C121" s="1102">
        <f>NOMINA!C98</f>
        <v>11132943</v>
      </c>
      <c r="D121" s="1103" t="str">
        <f>NOMINA!D98</f>
        <v>Materano Delgado Yoleida Josefina</v>
      </c>
      <c r="E121" s="1468" t="s">
        <v>4622</v>
      </c>
      <c r="F121" s="1110">
        <v>32351</v>
      </c>
      <c r="G121" s="1468" t="s">
        <v>4620</v>
      </c>
      <c r="H121" s="1442">
        <f>NOMINA!H98</f>
        <v>39738</v>
      </c>
      <c r="I121" s="1105">
        <f>NOMINA!I99</f>
        <v>4</v>
      </c>
      <c r="J121" s="1106">
        <f>NOMINA!J99</f>
        <v>12</v>
      </c>
      <c r="K121" s="1105">
        <f t="shared" si="7"/>
        <v>16</v>
      </c>
      <c r="L121" s="1106" t="s">
        <v>4932</v>
      </c>
      <c r="M121" s="1106"/>
      <c r="N121" s="1443" t="str">
        <f>NOMINA!O98</f>
        <v>Guia de Centro II</v>
      </c>
      <c r="O121" s="1106">
        <v>1.02087691000006E+18</v>
      </c>
      <c r="P121" s="1107">
        <f>ROUND(+NOMINA!T98,2)</f>
        <v>176</v>
      </c>
      <c r="Q121" s="1108">
        <v>0</v>
      </c>
      <c r="R121" s="1108">
        <f>ROUND(+NOMINA!AA98,2)</f>
        <v>34.5</v>
      </c>
      <c r="S121" s="1108">
        <f>ROUND(+NOMINA!AB98,2)</f>
        <v>130</v>
      </c>
      <c r="T121" s="1108">
        <f>ROUND(+NOMINA!AC98,2)</f>
        <v>0</v>
      </c>
      <c r="U121" s="1108">
        <f>ROUND(+NOMINA!AD98,2)</f>
        <v>0</v>
      </c>
      <c r="V121" s="1108">
        <f>ROUND(NOMINA!AQ98,2)</f>
        <v>0</v>
      </c>
      <c r="W121" s="1108">
        <f>+NOMINA!AS98</f>
        <v>0</v>
      </c>
      <c r="X121" s="1108">
        <f>+NOMINA!AT98</f>
        <v>0</v>
      </c>
      <c r="Y121" s="1108">
        <f>+NOMINA!AU98</f>
        <v>340.5</v>
      </c>
      <c r="Z121" s="1108">
        <f>+NOMINA!BX98</f>
        <v>638.44000000000005</v>
      </c>
      <c r="AA121" s="1108">
        <f>+NOMINA!BY98</f>
        <v>0</v>
      </c>
      <c r="AB121" s="1108">
        <f t="shared" si="8"/>
        <v>638.44000000000005</v>
      </c>
      <c r="AD121" s="625"/>
      <c r="AH121" s="1467" t="str">
        <f>NOMINA!P98</f>
        <v>01020373270000441504</v>
      </c>
    </row>
    <row r="122" spans="1:34" s="620" customFormat="1" ht="20.100000000000001" customHeight="1" thickBot="1" x14ac:dyDescent="0.25">
      <c r="A122" s="758" t="s">
        <v>2846</v>
      </c>
      <c r="B122" s="759">
        <f t="shared" si="9"/>
        <v>55</v>
      </c>
      <c r="C122" s="1102">
        <f>NOMINA!C99</f>
        <v>11132979</v>
      </c>
      <c r="D122" s="1103" t="str">
        <f>NOMINA!D99</f>
        <v>Olivar Santana Maria Valbina</v>
      </c>
      <c r="E122" s="1468" t="s">
        <v>4622</v>
      </c>
      <c r="F122" s="1110">
        <v>32351</v>
      </c>
      <c r="G122" s="1468" t="s">
        <v>4620</v>
      </c>
      <c r="H122" s="1442">
        <f>NOMINA!H99</f>
        <v>44348</v>
      </c>
      <c r="I122" s="1105">
        <f>NOMINA!I100</f>
        <v>9</v>
      </c>
      <c r="J122" s="1106">
        <f>NOMINA!J100</f>
        <v>0</v>
      </c>
      <c r="K122" s="1105">
        <f t="shared" si="7"/>
        <v>9</v>
      </c>
      <c r="L122" s="1106" t="s">
        <v>4932</v>
      </c>
      <c r="M122" s="1106"/>
      <c r="N122" s="1443" t="str">
        <f>NOMINA!O99</f>
        <v>Guia de Centro II</v>
      </c>
      <c r="O122" s="1106">
        <v>1.02087691000006E+18</v>
      </c>
      <c r="P122" s="1107">
        <f>ROUND(+NOMINA!T99,2)</f>
        <v>285</v>
      </c>
      <c r="Q122" s="1108">
        <v>0</v>
      </c>
      <c r="R122" s="1108">
        <f>ROUND(+NOMINA!AA99,2)</f>
        <v>55.86</v>
      </c>
      <c r="S122" s="1108">
        <f>ROUND(+NOMINA!AB99,2)</f>
        <v>130</v>
      </c>
      <c r="T122" s="1108">
        <f>ROUND(+NOMINA!AC99,2)</f>
        <v>12.5</v>
      </c>
      <c r="U122" s="1108">
        <f>ROUND(+NOMINA!AD99,2)</f>
        <v>120.84</v>
      </c>
      <c r="V122" s="1108">
        <f>ROUND(NOMINA!AQ99,2)</f>
        <v>0</v>
      </c>
      <c r="W122" s="1108">
        <f>+NOMINA!AS99</f>
        <v>0</v>
      </c>
      <c r="X122" s="1108">
        <f>+NOMINA!AT99</f>
        <v>12.5</v>
      </c>
      <c r="Y122" s="1108">
        <f>+NOMINA!AU99</f>
        <v>785.46</v>
      </c>
      <c r="Z122" s="1108">
        <f>+NOMINA!BX99</f>
        <v>1472.74</v>
      </c>
      <c r="AA122" s="1108">
        <f>+NOMINA!BY99</f>
        <v>0</v>
      </c>
      <c r="AB122" s="1108">
        <f t="shared" si="8"/>
        <v>1472.74</v>
      </c>
      <c r="AD122" s="625"/>
      <c r="AH122" s="1467" t="str">
        <f>NOMINA!P99</f>
        <v>01020373290000441517</v>
      </c>
    </row>
    <row r="123" spans="1:34" s="620" customFormat="1" ht="20.100000000000001" customHeight="1" thickBot="1" x14ac:dyDescent="0.25">
      <c r="A123" s="758" t="s">
        <v>2846</v>
      </c>
      <c r="B123" s="759">
        <f t="shared" si="9"/>
        <v>56</v>
      </c>
      <c r="C123" s="1102">
        <f>NOMINA!C100</f>
        <v>11257247</v>
      </c>
      <c r="D123" s="1103" t="str">
        <f>NOMINA!D100</f>
        <v>Chacin Sanchez Eduard Fabian</v>
      </c>
      <c r="E123" s="1468" t="s">
        <v>4622</v>
      </c>
      <c r="F123" s="1110">
        <v>32351</v>
      </c>
      <c r="G123" s="1468" t="s">
        <v>4620</v>
      </c>
      <c r="H123" s="1442">
        <f>NOMINA!H100</f>
        <v>42492</v>
      </c>
      <c r="I123" s="1105">
        <f>NOMINA!I101</f>
        <v>5</v>
      </c>
      <c r="J123" s="1106">
        <f>NOMINA!J101</f>
        <v>0</v>
      </c>
      <c r="K123" s="1105">
        <f t="shared" si="7"/>
        <v>5</v>
      </c>
      <c r="L123" s="1106" t="s">
        <v>4932</v>
      </c>
      <c r="M123" s="1106"/>
      <c r="N123" s="1443" t="str">
        <f>NOMINA!O100</f>
        <v>DELEGADO PRUEBA III</v>
      </c>
      <c r="O123" s="1106">
        <v>1.02087691000006E+18</v>
      </c>
      <c r="P123" s="1107">
        <f>ROUND(+NOMINA!T100,2)</f>
        <v>281</v>
      </c>
      <c r="Q123" s="1108">
        <v>0</v>
      </c>
      <c r="R123" s="1108">
        <f>ROUND(+NOMINA!AA100,2)</f>
        <v>27.54</v>
      </c>
      <c r="S123" s="1108">
        <f>ROUND(+NOMINA!AB100,2)</f>
        <v>130</v>
      </c>
      <c r="T123" s="1108">
        <f>ROUND(+NOMINA!AC100,2)</f>
        <v>12.5</v>
      </c>
      <c r="U123" s="1108">
        <f>ROUND(+NOMINA!AD100,2)</f>
        <v>112.76</v>
      </c>
      <c r="V123" s="1108">
        <f>ROUND(NOMINA!AQ100,2)</f>
        <v>0</v>
      </c>
      <c r="W123" s="1108">
        <f>+NOMINA!AS100</f>
        <v>0</v>
      </c>
      <c r="X123" s="1108">
        <f>+NOMINA!AT100</f>
        <v>0</v>
      </c>
      <c r="Y123" s="1108">
        <f>+NOMINA!AU100</f>
        <v>563.79999999999995</v>
      </c>
      <c r="Z123" s="1108">
        <f>+NOMINA!BX100</f>
        <v>1057.1300000000001</v>
      </c>
      <c r="AA123" s="1108">
        <f>+NOMINA!BY100</f>
        <v>0</v>
      </c>
      <c r="AB123" s="1108">
        <f t="shared" si="8"/>
        <v>1057.1300000000001</v>
      </c>
      <c r="AD123" s="625"/>
      <c r="AH123" s="1467" t="str">
        <f>NOMINA!P100</f>
        <v>01020373290000441520</v>
      </c>
    </row>
    <row r="124" spans="1:34" s="620" customFormat="1" ht="20.100000000000001" customHeight="1" thickBot="1" x14ac:dyDescent="0.25">
      <c r="A124" s="758" t="s">
        <v>2846</v>
      </c>
      <c r="B124" s="759">
        <f t="shared" si="9"/>
        <v>57</v>
      </c>
      <c r="C124" s="1102">
        <f>NOMINA!C101</f>
        <v>11318142</v>
      </c>
      <c r="D124" s="1103" t="str">
        <f>NOMINA!D101</f>
        <v>Perdomo Rosales Modesto Ramon</v>
      </c>
      <c r="E124" s="1468" t="s">
        <v>4622</v>
      </c>
      <c r="F124" s="1110">
        <v>32351</v>
      </c>
      <c r="G124" s="1468" t="s">
        <v>4620</v>
      </c>
      <c r="H124" s="1442">
        <f>NOMINA!H101</f>
        <v>43983</v>
      </c>
      <c r="I124" s="1105">
        <f>NOMINA!I102</f>
        <v>17</v>
      </c>
      <c r="J124" s="1106">
        <f>NOMINA!J102</f>
        <v>0</v>
      </c>
      <c r="K124" s="1105">
        <f t="shared" si="7"/>
        <v>17</v>
      </c>
      <c r="L124" s="1106" t="s">
        <v>4932</v>
      </c>
      <c r="M124" s="1106"/>
      <c r="N124" s="1443" t="str">
        <f>NOMINA!O101</f>
        <v>Almacenista II</v>
      </c>
      <c r="O124" s="1106">
        <v>1.02087691000006E+18</v>
      </c>
      <c r="P124" s="1107">
        <f>ROUND(+NOMINA!T101,2)</f>
        <v>150</v>
      </c>
      <c r="Q124" s="1108">
        <v>0</v>
      </c>
      <c r="R124" s="1108">
        <f>ROUND(+NOMINA!AA101,2)</f>
        <v>7.5</v>
      </c>
      <c r="S124" s="1108">
        <f>ROUND(+NOMINA!AB101,2)</f>
        <v>130</v>
      </c>
      <c r="T124" s="1108">
        <f>ROUND(+NOMINA!AC101,2)</f>
        <v>0</v>
      </c>
      <c r="U124" s="1108">
        <f>ROUND(+NOMINA!AD101,2)</f>
        <v>0</v>
      </c>
      <c r="V124" s="1108">
        <f>ROUND(NOMINA!AQ101,2)</f>
        <v>0</v>
      </c>
      <c r="W124" s="1108">
        <f>+NOMINA!AS101</f>
        <v>0</v>
      </c>
      <c r="X124" s="1108">
        <f>+NOMINA!AT101</f>
        <v>0</v>
      </c>
      <c r="Y124" s="1108">
        <f>+NOMINA!AU101</f>
        <v>287.5</v>
      </c>
      <c r="Z124" s="1108">
        <f>+NOMINA!BX101</f>
        <v>539.05999999999995</v>
      </c>
      <c r="AA124" s="1108">
        <f>+NOMINA!BY101</f>
        <v>0</v>
      </c>
      <c r="AB124" s="1108">
        <f t="shared" si="8"/>
        <v>539.05999999999995</v>
      </c>
      <c r="AD124" s="625"/>
      <c r="AH124" s="1467" t="str">
        <f>NOMINA!P101</f>
        <v>01020373270000678607</v>
      </c>
    </row>
    <row r="125" spans="1:34" s="620" customFormat="1" ht="20.100000000000001" customHeight="1" thickBot="1" x14ac:dyDescent="0.25">
      <c r="A125" s="758" t="s">
        <v>2846</v>
      </c>
      <c r="B125" s="759">
        <f t="shared" si="9"/>
        <v>58</v>
      </c>
      <c r="C125" s="1102">
        <f>NOMINA!C102</f>
        <v>11318697</v>
      </c>
      <c r="D125" s="1103" t="str">
        <f>NOMINA!D102</f>
        <v>Sardi Hernandez Gladis Josefina</v>
      </c>
      <c r="E125" s="1468" t="s">
        <v>4622</v>
      </c>
      <c r="F125" s="1110">
        <v>32351</v>
      </c>
      <c r="G125" s="1468" t="s">
        <v>4620</v>
      </c>
      <c r="H125" s="1442">
        <f>NOMINA!H102</f>
        <v>39539</v>
      </c>
      <c r="I125" s="1105">
        <f>NOMINA!I103</f>
        <v>31</v>
      </c>
      <c r="J125" s="1106">
        <f>NOMINA!J103</f>
        <v>0</v>
      </c>
      <c r="K125" s="1105">
        <f t="shared" si="7"/>
        <v>31</v>
      </c>
      <c r="L125" s="1106" t="s">
        <v>4932</v>
      </c>
      <c r="M125" s="1106"/>
      <c r="N125" s="1443" t="str">
        <f>NOMINA!O102</f>
        <v>Asistente Administrativo III</v>
      </c>
      <c r="O125" s="1106">
        <v>1.02087691000006E+18</v>
      </c>
      <c r="P125" s="1107">
        <f>ROUND(+NOMINA!T102,2)</f>
        <v>176</v>
      </c>
      <c r="Q125" s="1108">
        <v>0</v>
      </c>
      <c r="R125" s="1108">
        <f>ROUND(+NOMINA!AA102,2)</f>
        <v>37.31</v>
      </c>
      <c r="S125" s="1108">
        <f>ROUND(+NOMINA!AB102,2)</f>
        <v>130</v>
      </c>
      <c r="T125" s="1108">
        <f>ROUND(+NOMINA!AC102,2)</f>
        <v>0</v>
      </c>
      <c r="U125" s="1108">
        <f>ROUND(+NOMINA!AD102,2)</f>
        <v>0</v>
      </c>
      <c r="V125" s="1108">
        <f>ROUND(NOMINA!AQ102,2)</f>
        <v>0</v>
      </c>
      <c r="W125" s="1108">
        <f>+NOMINA!AS102</f>
        <v>0</v>
      </c>
      <c r="X125" s="1108">
        <f>+NOMINA!AT102</f>
        <v>0</v>
      </c>
      <c r="Y125" s="1108">
        <f>+NOMINA!AU102</f>
        <v>343.31</v>
      </c>
      <c r="Z125" s="1108">
        <f>+NOMINA!BX102</f>
        <v>643.71</v>
      </c>
      <c r="AA125" s="1108">
        <f>+NOMINA!BY102</f>
        <v>0</v>
      </c>
      <c r="AB125" s="1108">
        <f t="shared" si="8"/>
        <v>643.71</v>
      </c>
      <c r="AD125" s="625"/>
      <c r="AH125" s="1467" t="str">
        <f>NOMINA!P102</f>
        <v>01020373240000441562</v>
      </c>
    </row>
    <row r="126" spans="1:34" s="620" customFormat="1" ht="20.100000000000001" customHeight="1" thickBot="1" x14ac:dyDescent="0.25">
      <c r="A126" s="758" t="s">
        <v>2846</v>
      </c>
      <c r="B126" s="759">
        <f t="shared" si="9"/>
        <v>59</v>
      </c>
      <c r="C126" s="1102">
        <f>NOMINA!C103</f>
        <v>11319154</v>
      </c>
      <c r="D126" s="1103" t="str">
        <f>NOMINA!D103</f>
        <v>Peña Villegas Lisette Carolina</v>
      </c>
      <c r="E126" s="1468" t="s">
        <v>4622</v>
      </c>
      <c r="F126" s="1110">
        <v>32351</v>
      </c>
      <c r="G126" s="1468" t="s">
        <v>4620</v>
      </c>
      <c r="H126" s="1442">
        <f>NOMINA!H103</f>
        <v>34428</v>
      </c>
      <c r="I126" s="1105">
        <f>NOMINA!I104</f>
        <v>22</v>
      </c>
      <c r="J126" s="1106">
        <f>NOMINA!J104</f>
        <v>0</v>
      </c>
      <c r="K126" s="1105">
        <f t="shared" si="7"/>
        <v>22</v>
      </c>
      <c r="L126" s="1106" t="s">
        <v>4932</v>
      </c>
      <c r="M126" s="1106"/>
      <c r="N126" s="1443" t="str">
        <f>NOMINA!O103</f>
        <v>Guia de Centro II</v>
      </c>
      <c r="O126" s="1106">
        <v>1.02087691000006E+18</v>
      </c>
      <c r="P126" s="1107">
        <f>ROUND(+NOMINA!T103,2)</f>
        <v>316</v>
      </c>
      <c r="Q126" s="1108">
        <v>0</v>
      </c>
      <c r="R126" s="1108">
        <f>ROUND(+NOMINA!AA103,2)</f>
        <v>94.8</v>
      </c>
      <c r="S126" s="1108">
        <f>ROUND(+NOMINA!AB103,2)</f>
        <v>130</v>
      </c>
      <c r="T126" s="1108">
        <f>ROUND(+NOMINA!AC103,2)</f>
        <v>0</v>
      </c>
      <c r="U126" s="1108">
        <f>ROUND(+NOMINA!AD103,2)</f>
        <v>189.28</v>
      </c>
      <c r="V126" s="1108">
        <f>ROUND(NOMINA!AQ103,2)</f>
        <v>0</v>
      </c>
      <c r="W126" s="1108">
        <f>+NOMINA!AS103</f>
        <v>0</v>
      </c>
      <c r="X126" s="1108">
        <f>+NOMINA!AT103</f>
        <v>0</v>
      </c>
      <c r="Y126" s="1108">
        <f>+NOMINA!AU103</f>
        <v>730.08</v>
      </c>
      <c r="Z126" s="1108">
        <f>+NOMINA!BX103</f>
        <v>1368.9</v>
      </c>
      <c r="AA126" s="1108">
        <f>+NOMINA!BY103</f>
        <v>0</v>
      </c>
      <c r="AB126" s="1108">
        <f t="shared" si="8"/>
        <v>1368.9</v>
      </c>
      <c r="AD126" s="625"/>
      <c r="AH126" s="1467" t="str">
        <f>NOMINA!P103</f>
        <v>01020373260000441575</v>
      </c>
    </row>
    <row r="127" spans="1:34" s="620" customFormat="1" ht="20.100000000000001" customHeight="1" thickBot="1" x14ac:dyDescent="0.25">
      <c r="A127" s="758" t="s">
        <v>2846</v>
      </c>
      <c r="B127" s="759">
        <f t="shared" si="9"/>
        <v>60</v>
      </c>
      <c r="C127" s="1102">
        <f>NOMINA!C104</f>
        <v>11320533</v>
      </c>
      <c r="D127" s="1103" t="str">
        <f>NOMINA!D104</f>
        <v>Suarez Chiquin Yaritza Josefina</v>
      </c>
      <c r="E127" s="1468" t="s">
        <v>4622</v>
      </c>
      <c r="F127" s="1110">
        <v>32351</v>
      </c>
      <c r="G127" s="1468" t="s">
        <v>4620</v>
      </c>
      <c r="H127" s="1442">
        <f>NOMINA!H104</f>
        <v>37629</v>
      </c>
      <c r="I127" s="1105">
        <f>NOMINA!I105</f>
        <v>19</v>
      </c>
      <c r="J127" s="1106">
        <f>NOMINA!J105</f>
        <v>0</v>
      </c>
      <c r="K127" s="1105">
        <f t="shared" si="7"/>
        <v>19</v>
      </c>
      <c r="L127" s="1106" t="s">
        <v>4932</v>
      </c>
      <c r="M127" s="1106"/>
      <c r="N127" s="1443" t="str">
        <f>NOMINA!O104</f>
        <v>Administrador IV</v>
      </c>
      <c r="O127" s="1106">
        <v>1.02087691000006E+18</v>
      </c>
      <c r="P127" s="1107">
        <f>ROUND(+NOMINA!T104,2)</f>
        <v>0</v>
      </c>
      <c r="Q127" s="1108">
        <v>0</v>
      </c>
      <c r="R127" s="1108">
        <f>ROUND(+NOMINA!AA104,2)</f>
        <v>0</v>
      </c>
      <c r="S127" s="1108">
        <f>ROUND(+NOMINA!AB104,2)</f>
        <v>0</v>
      </c>
      <c r="T127" s="1108">
        <f>ROUND(+NOMINA!AC104,2)</f>
        <v>0</v>
      </c>
      <c r="U127" s="1108">
        <f>ROUND(+NOMINA!AD104,2)</f>
        <v>0</v>
      </c>
      <c r="V127" s="1108">
        <f>ROUND(NOMINA!AQ104,2)</f>
        <v>0</v>
      </c>
      <c r="W127" s="1108">
        <f>+NOMINA!AS104</f>
        <v>0</v>
      </c>
      <c r="X127" s="1108">
        <f>+NOMINA!AT104</f>
        <v>0</v>
      </c>
      <c r="Y127" s="1108">
        <f>+NOMINA!AU104</f>
        <v>0</v>
      </c>
      <c r="Z127" s="1108">
        <f>+NOMINA!BX104</f>
        <v>0</v>
      </c>
      <c r="AA127" s="1108">
        <f>+NOMINA!BY104</f>
        <v>0</v>
      </c>
      <c r="AB127" s="1108">
        <f t="shared" si="8"/>
        <v>0</v>
      </c>
      <c r="AD127" s="625"/>
      <c r="AH127" s="1467" t="str">
        <f>NOMINA!P104</f>
        <v>01020373290000439914</v>
      </c>
    </row>
    <row r="128" spans="1:34" s="620" customFormat="1" ht="20.100000000000001" customHeight="1" thickBot="1" x14ac:dyDescent="0.25">
      <c r="A128" s="758" t="s">
        <v>2846</v>
      </c>
      <c r="B128" s="759">
        <f t="shared" si="9"/>
        <v>61</v>
      </c>
      <c r="C128" s="1102">
        <f>NOMINA!C105</f>
        <v>11322871</v>
      </c>
      <c r="D128" s="1103" t="str">
        <f>NOMINA!D105</f>
        <v>Rivas Albarran Martin Antonio</v>
      </c>
      <c r="E128" s="1468" t="s">
        <v>4622</v>
      </c>
      <c r="F128" s="1110">
        <v>32351</v>
      </c>
      <c r="G128" s="1468" t="s">
        <v>4620</v>
      </c>
      <c r="H128" s="1442">
        <f>NOMINA!H105</f>
        <v>38718</v>
      </c>
      <c r="I128" s="1105">
        <f>NOMINA!I106</f>
        <v>29</v>
      </c>
      <c r="J128" s="1106">
        <f>NOMINA!J106</f>
        <v>0</v>
      </c>
      <c r="K128" s="1105">
        <f t="shared" si="7"/>
        <v>29</v>
      </c>
      <c r="L128" s="1106" t="s">
        <v>4932</v>
      </c>
      <c r="M128" s="1106"/>
      <c r="N128" s="1443" t="str">
        <f>NOMINA!O105</f>
        <v>Tutor Facilitador III</v>
      </c>
      <c r="O128" s="1106">
        <v>1.02087691000006E+18</v>
      </c>
      <c r="P128" s="1107">
        <f>ROUND(+NOMINA!T105,2)</f>
        <v>287</v>
      </c>
      <c r="Q128" s="1108">
        <v>0</v>
      </c>
      <c r="R128" s="1108">
        <f>ROUND(+NOMINA!AA105,2)</f>
        <v>70.03</v>
      </c>
      <c r="S128" s="1108">
        <f>ROUND(+NOMINA!AB105,2)</f>
        <v>130</v>
      </c>
      <c r="T128" s="1108">
        <f>ROUND(+NOMINA!AC105,2)</f>
        <v>0</v>
      </c>
      <c r="U128" s="1108">
        <f>ROUND(+NOMINA!AD105,2)</f>
        <v>121.76</v>
      </c>
      <c r="V128" s="1108">
        <f>ROUND(NOMINA!AQ105,2)</f>
        <v>0</v>
      </c>
      <c r="W128" s="1108">
        <f>+NOMINA!AS105</f>
        <v>0</v>
      </c>
      <c r="X128" s="1108">
        <f>+NOMINA!AT105</f>
        <v>0</v>
      </c>
      <c r="Y128" s="1108">
        <f>+NOMINA!AU105</f>
        <v>608.79</v>
      </c>
      <c r="Z128" s="1108">
        <f>+NOMINA!BX105</f>
        <v>1141.48</v>
      </c>
      <c r="AA128" s="1108">
        <f>+NOMINA!BY105</f>
        <v>0</v>
      </c>
      <c r="AB128" s="1108">
        <f t="shared" si="8"/>
        <v>1141.48</v>
      </c>
      <c r="AD128" s="625"/>
      <c r="AH128" s="1467" t="str">
        <f>NOMINA!P105</f>
        <v>01020373220000439943</v>
      </c>
    </row>
    <row r="129" spans="1:34" s="620" customFormat="1" ht="20.100000000000001" customHeight="1" thickBot="1" x14ac:dyDescent="0.25">
      <c r="A129" s="758" t="s">
        <v>2846</v>
      </c>
      <c r="B129" s="759">
        <f t="shared" si="9"/>
        <v>62</v>
      </c>
      <c r="C129" s="1102">
        <f>NOMINA!C106</f>
        <v>11616673</v>
      </c>
      <c r="D129" s="1103" t="str">
        <f>NOMINA!D106</f>
        <v>Perdomo Orlando Jose</v>
      </c>
      <c r="E129" s="1468" t="s">
        <v>4622</v>
      </c>
      <c r="F129" s="1110">
        <v>32351</v>
      </c>
      <c r="G129" s="1468" t="s">
        <v>4620</v>
      </c>
      <c r="H129" s="1442">
        <f>NOMINA!H106</f>
        <v>35066</v>
      </c>
      <c r="I129" s="1105">
        <f>NOMINA!I107</f>
        <v>7</v>
      </c>
      <c r="J129" s="1106">
        <f>NOMINA!J107</f>
        <v>0</v>
      </c>
      <c r="K129" s="1105">
        <f t="shared" si="7"/>
        <v>7</v>
      </c>
      <c r="L129" s="1106" t="s">
        <v>4932</v>
      </c>
      <c r="M129" s="1106"/>
      <c r="N129" s="1443" t="str">
        <f>NOMINA!O106</f>
        <v>Tutor Facilitador III</v>
      </c>
      <c r="O129" s="1106">
        <v>1.02087691000006E+18</v>
      </c>
      <c r="P129" s="1107">
        <f>ROUND(+NOMINA!T106,2)</f>
        <v>287</v>
      </c>
      <c r="Q129" s="1108">
        <v>0</v>
      </c>
      <c r="R129" s="1108">
        <f>ROUND(+NOMINA!AA106,2)</f>
        <v>86.1</v>
      </c>
      <c r="S129" s="1108">
        <f>ROUND(+NOMINA!AB106,2)</f>
        <v>130</v>
      </c>
      <c r="T129" s="1108">
        <f>ROUND(+NOMINA!AC106,2)</f>
        <v>0</v>
      </c>
      <c r="U129" s="1108">
        <f>ROUND(+NOMINA!AD106,2)</f>
        <v>125.78</v>
      </c>
      <c r="V129" s="1108">
        <f>ROUND(NOMINA!AQ106,2)</f>
        <v>0</v>
      </c>
      <c r="W129" s="1108">
        <f>+NOMINA!AS106</f>
        <v>0</v>
      </c>
      <c r="X129" s="1108">
        <f>+NOMINA!AT106</f>
        <v>0</v>
      </c>
      <c r="Y129" s="1108">
        <f>+NOMINA!AU106</f>
        <v>628.88</v>
      </c>
      <c r="Z129" s="1108">
        <f>+NOMINA!BX106</f>
        <v>1179.1500000000001</v>
      </c>
      <c r="AA129" s="1108">
        <f>+NOMINA!BY106</f>
        <v>0</v>
      </c>
      <c r="AB129" s="1108">
        <f t="shared" si="8"/>
        <v>1179.1500000000001</v>
      </c>
      <c r="AD129" s="625"/>
      <c r="AH129" s="1467" t="str">
        <f>NOMINA!P106</f>
        <v>01020373280000439985</v>
      </c>
    </row>
    <row r="130" spans="1:34" s="620" customFormat="1" ht="20.100000000000001" customHeight="1" thickBot="1" x14ac:dyDescent="0.25">
      <c r="A130" s="758" t="s">
        <v>2846</v>
      </c>
      <c r="B130" s="759">
        <f t="shared" si="9"/>
        <v>63</v>
      </c>
      <c r="C130" s="1102">
        <f>NOMINA!C107</f>
        <v>11734553</v>
      </c>
      <c r="D130" s="1103" t="str">
        <f>NOMINA!D107</f>
        <v>Teran Torres Olga del Carmen</v>
      </c>
      <c r="E130" s="1468" t="s">
        <v>4622</v>
      </c>
      <c r="F130" s="1110">
        <v>32351</v>
      </c>
      <c r="G130" s="1468" t="s">
        <v>4620</v>
      </c>
      <c r="H130" s="1442">
        <f>NOMINA!H107</f>
        <v>43206</v>
      </c>
      <c r="I130" s="1105">
        <f>NOMINA!I108</f>
        <v>13</v>
      </c>
      <c r="J130" s="1106">
        <f>NOMINA!J108</f>
        <v>13</v>
      </c>
      <c r="K130" s="1105">
        <f t="shared" si="7"/>
        <v>26</v>
      </c>
      <c r="L130" s="1106" t="s">
        <v>4932</v>
      </c>
      <c r="M130" s="1106"/>
      <c r="N130" s="1443" t="str">
        <f>NOMINA!O107</f>
        <v>Tutor Facilitador III</v>
      </c>
      <c r="O130" s="1106">
        <v>1.02087691000006E+18</v>
      </c>
      <c r="P130" s="1107">
        <f>ROUND(+NOMINA!T107,2)</f>
        <v>308</v>
      </c>
      <c r="Q130" s="1108">
        <v>0</v>
      </c>
      <c r="R130" s="1108">
        <f>ROUND(+NOMINA!AA107,2)</f>
        <v>22.79</v>
      </c>
      <c r="S130" s="1108">
        <f>ROUND(+NOMINA!AB107,2)</f>
        <v>130</v>
      </c>
      <c r="T130" s="1108">
        <f>ROUND(+NOMINA!AC107,2)</f>
        <v>0</v>
      </c>
      <c r="U130" s="1108">
        <f>ROUND(+NOMINA!AD107,2)</f>
        <v>161.28</v>
      </c>
      <c r="V130" s="1108">
        <f>ROUND(NOMINA!AQ107,2)</f>
        <v>0</v>
      </c>
      <c r="W130" s="1108">
        <f>+NOMINA!AS107</f>
        <v>0</v>
      </c>
      <c r="X130" s="1108">
        <f>+NOMINA!AT107</f>
        <v>0</v>
      </c>
      <c r="Y130" s="1108">
        <f>+NOMINA!AU107</f>
        <v>622.06999999999994</v>
      </c>
      <c r="Z130" s="1108">
        <f>+NOMINA!BX107</f>
        <v>1166.3800000000001</v>
      </c>
      <c r="AA130" s="1108">
        <f>+NOMINA!BY107</f>
        <v>0</v>
      </c>
      <c r="AB130" s="1108">
        <f t="shared" si="8"/>
        <v>1166.3800000000001</v>
      </c>
      <c r="AD130" s="625"/>
      <c r="AH130" s="1467" t="str">
        <f>NOMINA!P107</f>
        <v>01020373290000553900</v>
      </c>
    </row>
    <row r="131" spans="1:34" s="620" customFormat="1" ht="20.100000000000001" customHeight="1" thickBot="1" x14ac:dyDescent="0.25">
      <c r="A131" s="758" t="s">
        <v>2846</v>
      </c>
      <c r="B131" s="759">
        <f t="shared" si="9"/>
        <v>64</v>
      </c>
      <c r="C131" s="1102">
        <f>NOMINA!C108</f>
        <v>11894534</v>
      </c>
      <c r="D131" s="1103" t="str">
        <f>NOMINA!D108</f>
        <v>Olmos Rodriguez Eberto de Jesus</v>
      </c>
      <c r="E131" s="1468" t="s">
        <v>4622</v>
      </c>
      <c r="F131" s="1110">
        <v>32351</v>
      </c>
      <c r="G131" s="1468" t="s">
        <v>4620</v>
      </c>
      <c r="H131" s="1442">
        <f>NOMINA!H108</f>
        <v>40909</v>
      </c>
      <c r="I131" s="1105">
        <f>NOMINA!I109</f>
        <v>3</v>
      </c>
      <c r="J131" s="1106">
        <f>NOMINA!J109</f>
        <v>0</v>
      </c>
      <c r="K131" s="1105">
        <f t="shared" si="7"/>
        <v>3</v>
      </c>
      <c r="L131" s="1106" t="s">
        <v>4932</v>
      </c>
      <c r="M131" s="1106"/>
      <c r="N131" s="1443" t="str">
        <f>NOMINA!O108</f>
        <v>Administrador Jefe</v>
      </c>
      <c r="O131" s="1106">
        <v>1.02087691000006E+18</v>
      </c>
      <c r="P131" s="1107">
        <f>ROUND(+NOMINA!T108,2)</f>
        <v>0</v>
      </c>
      <c r="Q131" s="1108">
        <v>0</v>
      </c>
      <c r="R131" s="1108">
        <f>ROUND(+NOMINA!AA108,2)</f>
        <v>0</v>
      </c>
      <c r="S131" s="1108">
        <f>ROUND(+NOMINA!AB108,2)</f>
        <v>0</v>
      </c>
      <c r="T131" s="1108">
        <f>ROUND(+NOMINA!AC108,2)</f>
        <v>0</v>
      </c>
      <c r="U131" s="1108">
        <f>ROUND(+NOMINA!AD108,2)</f>
        <v>0</v>
      </c>
      <c r="V131" s="1108">
        <f>ROUND(NOMINA!AQ108,2)</f>
        <v>0</v>
      </c>
      <c r="W131" s="1108">
        <f>+NOMINA!AS108</f>
        <v>0</v>
      </c>
      <c r="X131" s="1108">
        <f>+NOMINA!AT108</f>
        <v>0</v>
      </c>
      <c r="Y131" s="1108">
        <f>+NOMINA!AU108</f>
        <v>0</v>
      </c>
      <c r="Z131" s="1108">
        <f>+NOMINA!BX108</f>
        <v>0</v>
      </c>
      <c r="AA131" s="1108">
        <f>+NOMINA!BY108</f>
        <v>0</v>
      </c>
      <c r="AB131" s="1108">
        <f t="shared" si="8"/>
        <v>0</v>
      </c>
      <c r="AD131" s="625"/>
      <c r="AH131" s="1467" t="str">
        <f>NOMINA!P108</f>
        <v>01020373290000440013</v>
      </c>
    </row>
    <row r="132" spans="1:34" s="620" customFormat="1" ht="20.100000000000001" customHeight="1" thickBot="1" x14ac:dyDescent="0.25">
      <c r="A132" s="758" t="s">
        <v>2846</v>
      </c>
      <c r="B132" s="759">
        <f t="shared" si="9"/>
        <v>65</v>
      </c>
      <c r="C132" s="1102">
        <f>NOMINA!C109</f>
        <v>11895772</v>
      </c>
      <c r="D132" s="1103" t="str">
        <f>NOMINA!D109</f>
        <v>Rangel Rivas Ildemaro</v>
      </c>
      <c r="E132" s="1468" t="s">
        <v>4622</v>
      </c>
      <c r="F132" s="1110">
        <v>32351</v>
      </c>
      <c r="G132" s="1468" t="s">
        <v>4620</v>
      </c>
      <c r="H132" s="1442">
        <f>NOMINA!H109</f>
        <v>44743</v>
      </c>
      <c r="I132" s="1105" t="e">
        <f>NOMINA!#REF!</f>
        <v>#REF!</v>
      </c>
      <c r="J132" s="1106" t="e">
        <f>NOMINA!#REF!</f>
        <v>#REF!</v>
      </c>
      <c r="K132" s="1105" t="e">
        <f t="shared" si="7"/>
        <v>#REF!</v>
      </c>
      <c r="L132" s="1106" t="s">
        <v>4932</v>
      </c>
      <c r="M132" s="1106"/>
      <c r="N132" s="1443" t="str">
        <f>NOMINA!O109</f>
        <v>Entrenador Deportivo II</v>
      </c>
      <c r="O132" s="1106">
        <v>1.02087691000006E+18</v>
      </c>
      <c r="P132" s="1107">
        <f>ROUND(+NOMINA!T109,2)</f>
        <v>0</v>
      </c>
      <c r="Q132" s="1108">
        <v>0</v>
      </c>
      <c r="R132" s="1108">
        <f>ROUND(+NOMINA!AA109,2)</f>
        <v>0</v>
      </c>
      <c r="S132" s="1108">
        <f>ROUND(+NOMINA!AB109,2)</f>
        <v>0</v>
      </c>
      <c r="T132" s="1108">
        <f>ROUND(+NOMINA!AC109,2)</f>
        <v>0</v>
      </c>
      <c r="U132" s="1108">
        <f>ROUND(+NOMINA!AD109,2)</f>
        <v>0</v>
      </c>
      <c r="V132" s="1108">
        <f>ROUND(NOMINA!AQ109,2)</f>
        <v>0</v>
      </c>
      <c r="W132" s="1108">
        <f>+NOMINA!AS109</f>
        <v>0</v>
      </c>
      <c r="X132" s="1108">
        <f>+NOMINA!AT109</f>
        <v>0</v>
      </c>
      <c r="Y132" s="1108">
        <f>+NOMINA!AU109</f>
        <v>0</v>
      </c>
      <c r="Z132" s="1108">
        <f>+NOMINA!BX109</f>
        <v>0</v>
      </c>
      <c r="AA132" s="1108">
        <f>+NOMINA!BY109</f>
        <v>0</v>
      </c>
      <c r="AB132" s="1108">
        <f t="shared" si="8"/>
        <v>0</v>
      </c>
      <c r="AD132" s="625"/>
      <c r="AH132" s="1467" t="str">
        <f>NOMINA!P109</f>
        <v>01020494110000059129</v>
      </c>
    </row>
    <row r="133" spans="1:34" s="620" customFormat="1" ht="20.100000000000001" customHeight="1" thickBot="1" x14ac:dyDescent="0.25">
      <c r="A133" s="758" t="s">
        <v>2846</v>
      </c>
      <c r="B133" s="759">
        <f t="shared" si="9"/>
        <v>66</v>
      </c>
      <c r="C133" s="1102" t="e">
        <f>NOMINA!#REF!</f>
        <v>#REF!</v>
      </c>
      <c r="D133" s="1103" t="e">
        <f>NOMINA!#REF!</f>
        <v>#REF!</v>
      </c>
      <c r="E133" s="1468" t="s">
        <v>4622</v>
      </c>
      <c r="F133" s="1110">
        <v>32351</v>
      </c>
      <c r="G133" s="1468" t="s">
        <v>4620</v>
      </c>
      <c r="H133" s="1442" t="e">
        <f>NOMINA!#REF!</f>
        <v>#REF!</v>
      </c>
      <c r="I133" s="1105">
        <f>NOMINA!I110</f>
        <v>16</v>
      </c>
      <c r="J133" s="1106">
        <f>NOMINA!J110</f>
        <v>0</v>
      </c>
      <c r="K133" s="1105">
        <f t="shared" ref="K133:K196" si="10">I133+J133</f>
        <v>16</v>
      </c>
      <c r="L133" s="1106" t="s">
        <v>4932</v>
      </c>
      <c r="M133" s="1106"/>
      <c r="N133" s="1443" t="e">
        <f>NOMINA!#REF!</f>
        <v>#REF!</v>
      </c>
      <c r="O133" s="1106">
        <v>1.02087691000006E+18</v>
      </c>
      <c r="P133" s="1107" t="e">
        <f>ROUND(+NOMINA!#REF!,2)</f>
        <v>#REF!</v>
      </c>
      <c r="Q133" s="1108">
        <v>0</v>
      </c>
      <c r="R133" s="1108" t="e">
        <f>ROUND(+NOMINA!#REF!,2)</f>
        <v>#REF!</v>
      </c>
      <c r="S133" s="1108" t="e">
        <f>ROUND(+NOMINA!#REF!,2)</f>
        <v>#REF!</v>
      </c>
      <c r="T133" s="1108" t="e">
        <f>ROUND(+NOMINA!#REF!,2)</f>
        <v>#REF!</v>
      </c>
      <c r="U133" s="1108" t="e">
        <f>ROUND(+NOMINA!#REF!,2)</f>
        <v>#REF!</v>
      </c>
      <c r="V133" s="1108" t="e">
        <f>ROUND(NOMINA!#REF!,2)</f>
        <v>#REF!</v>
      </c>
      <c r="W133" s="1108" t="e">
        <f>+NOMINA!#REF!</f>
        <v>#REF!</v>
      </c>
      <c r="X133" s="1108" t="e">
        <f>+NOMINA!#REF!</f>
        <v>#REF!</v>
      </c>
      <c r="Y133" s="1108" t="e">
        <f>+NOMINA!#REF!</f>
        <v>#REF!</v>
      </c>
      <c r="Z133" s="1108" t="e">
        <f>+NOMINA!#REF!</f>
        <v>#REF!</v>
      </c>
      <c r="AA133" s="1108" t="e">
        <f>+NOMINA!#REF!</f>
        <v>#REF!</v>
      </c>
      <c r="AB133" s="1108" t="e">
        <f t="shared" ref="AB133:AB196" si="11">+Z133+AA133</f>
        <v>#REF!</v>
      </c>
      <c r="AD133" s="625"/>
      <c r="AH133" s="1467" t="e">
        <f>NOMINA!#REF!</f>
        <v>#REF!</v>
      </c>
    </row>
    <row r="134" spans="1:34" s="620" customFormat="1" ht="20.100000000000001" customHeight="1" thickBot="1" x14ac:dyDescent="0.25">
      <c r="A134" s="758" t="s">
        <v>2846</v>
      </c>
      <c r="B134" s="759">
        <f t="shared" ref="B134:B197" si="12">+B133+1</f>
        <v>67</v>
      </c>
      <c r="C134" s="1102">
        <f>NOMINA!C110</f>
        <v>11898486</v>
      </c>
      <c r="D134" s="1103" t="str">
        <f>NOMINA!D110</f>
        <v>Linares Hernandez Thaiz Yoconda</v>
      </c>
      <c r="E134" s="1468" t="s">
        <v>4622</v>
      </c>
      <c r="F134" s="1110">
        <v>32351</v>
      </c>
      <c r="G134" s="1468" t="s">
        <v>4620</v>
      </c>
      <c r="H134" s="1442">
        <f>NOMINA!H110</f>
        <v>40065</v>
      </c>
      <c r="I134" s="1105">
        <f>NOMINA!I111</f>
        <v>7</v>
      </c>
      <c r="J134" s="1106">
        <f>NOMINA!J111</f>
        <v>0</v>
      </c>
      <c r="K134" s="1105">
        <f t="shared" si="10"/>
        <v>7</v>
      </c>
      <c r="L134" s="1106" t="s">
        <v>4932</v>
      </c>
      <c r="M134" s="1106"/>
      <c r="N134" s="1443" t="str">
        <f>NOMINA!O110</f>
        <v>Asistente Administrativo III</v>
      </c>
      <c r="O134" s="1106">
        <v>1.02087691000006E+18</v>
      </c>
      <c r="P134" s="1107">
        <f>ROUND(+NOMINA!T110,2)</f>
        <v>226</v>
      </c>
      <c r="Q134" s="1108">
        <v>0</v>
      </c>
      <c r="R134" s="1108">
        <f>ROUND(+NOMINA!AA110,2)</f>
        <v>44.3</v>
      </c>
      <c r="S134" s="1108">
        <f>ROUND(+NOMINA!AB110,2)</f>
        <v>130</v>
      </c>
      <c r="T134" s="1108">
        <f>ROUND(+NOMINA!AC110,2)</f>
        <v>0</v>
      </c>
      <c r="U134" s="1108">
        <f>ROUND(+NOMINA!AD110,2)</f>
        <v>80.06</v>
      </c>
      <c r="V134" s="1108">
        <f>ROUND(NOMINA!AQ110,2)</f>
        <v>0</v>
      </c>
      <c r="W134" s="1108">
        <f>+NOMINA!AS110</f>
        <v>0</v>
      </c>
      <c r="X134" s="1108">
        <f>+NOMINA!AT110</f>
        <v>0</v>
      </c>
      <c r="Y134" s="1108">
        <f>+NOMINA!AU110</f>
        <v>480.36</v>
      </c>
      <c r="Z134" s="1108">
        <f>+NOMINA!BX110</f>
        <v>900.68</v>
      </c>
      <c r="AA134" s="1108">
        <f>+NOMINA!BY110</f>
        <v>0</v>
      </c>
      <c r="AB134" s="1108">
        <f t="shared" si="11"/>
        <v>900.68</v>
      </c>
      <c r="AD134" s="625"/>
      <c r="AH134" s="1467" t="str">
        <f>NOMINA!P110</f>
        <v>01020373220000440042</v>
      </c>
    </row>
    <row r="135" spans="1:34" s="620" customFormat="1" ht="20.100000000000001" customHeight="1" thickBot="1" x14ac:dyDescent="0.25">
      <c r="A135" s="758" t="s">
        <v>2846</v>
      </c>
      <c r="B135" s="759">
        <f t="shared" si="12"/>
        <v>68</v>
      </c>
      <c r="C135" s="1102">
        <f>NOMINA!C111</f>
        <v>12040792</v>
      </c>
      <c r="D135" s="1103" t="str">
        <f>NOMINA!D111</f>
        <v>Sulbaran Campos Jesus Alberto</v>
      </c>
      <c r="E135" s="1468" t="s">
        <v>4622</v>
      </c>
      <c r="F135" s="1110">
        <v>32351</v>
      </c>
      <c r="G135" s="1468" t="s">
        <v>4620</v>
      </c>
      <c r="H135" s="1442">
        <f>NOMINA!H111</f>
        <v>43236</v>
      </c>
      <c r="I135" s="1105">
        <f>NOMINA!I112</f>
        <v>5</v>
      </c>
      <c r="J135" s="1106">
        <f>NOMINA!J112</f>
        <v>0</v>
      </c>
      <c r="K135" s="1105">
        <f t="shared" si="10"/>
        <v>5</v>
      </c>
      <c r="L135" s="1106" t="s">
        <v>4932</v>
      </c>
      <c r="M135" s="1106"/>
      <c r="N135" s="1443" t="str">
        <f>NOMINA!O111</f>
        <v>Supervisor de Servicios Generales III</v>
      </c>
      <c r="O135" s="1106">
        <v>1.02087691000006E+18</v>
      </c>
      <c r="P135" s="1107">
        <f>ROUND(+NOMINA!T111,2)</f>
        <v>221</v>
      </c>
      <c r="Q135" s="1108">
        <v>0</v>
      </c>
      <c r="R135" s="1108">
        <f>ROUND(+NOMINA!AA111,2)</f>
        <v>16.350000000000001</v>
      </c>
      <c r="S135" s="1108">
        <f>ROUND(+NOMINA!AB111,2)</f>
        <v>130</v>
      </c>
      <c r="T135" s="1108">
        <f>ROUND(+NOMINA!AC111,2)</f>
        <v>12.5</v>
      </c>
      <c r="U135" s="1108">
        <f>ROUND(+NOMINA!AD111,2)</f>
        <v>0</v>
      </c>
      <c r="V135" s="1108">
        <f>ROUND(NOMINA!AQ111,2)</f>
        <v>0</v>
      </c>
      <c r="W135" s="1108">
        <f>+NOMINA!AS111</f>
        <v>0</v>
      </c>
      <c r="X135" s="1108">
        <f>+NOMINA!AT111</f>
        <v>0</v>
      </c>
      <c r="Y135" s="1108">
        <f>+NOMINA!AU111</f>
        <v>379.85</v>
      </c>
      <c r="Z135" s="1108">
        <f>+NOMINA!BX111</f>
        <v>712.22</v>
      </c>
      <c r="AA135" s="1108">
        <f>+NOMINA!BY111</f>
        <v>0</v>
      </c>
      <c r="AB135" s="1108">
        <f t="shared" si="11"/>
        <v>712.22</v>
      </c>
      <c r="AD135" s="625"/>
      <c r="AH135" s="1467" t="e">
        <f>NOMINA!#REF!</f>
        <v>#REF!</v>
      </c>
    </row>
    <row r="136" spans="1:34" s="620" customFormat="1" ht="20.100000000000001" customHeight="1" thickBot="1" x14ac:dyDescent="0.25">
      <c r="A136" s="758" t="s">
        <v>2846</v>
      </c>
      <c r="B136" s="759">
        <f t="shared" si="12"/>
        <v>69</v>
      </c>
      <c r="C136" s="1102">
        <f>NOMINA!C112</f>
        <v>12042855</v>
      </c>
      <c r="D136" s="1103" t="str">
        <f>NOMINA!D112</f>
        <v>Alburguez  Manzanilla Neira Josefina</v>
      </c>
      <c r="E136" s="1468" t="s">
        <v>4622</v>
      </c>
      <c r="F136" s="1110">
        <v>32351</v>
      </c>
      <c r="G136" s="1468" t="s">
        <v>4620</v>
      </c>
      <c r="H136" s="1442">
        <f>NOMINA!H112</f>
        <v>44028</v>
      </c>
      <c r="I136" s="1105">
        <f>NOMINA!I113</f>
        <v>1</v>
      </c>
      <c r="J136" s="1106">
        <f>NOMINA!J113</f>
        <v>0</v>
      </c>
      <c r="K136" s="1105">
        <f t="shared" si="10"/>
        <v>1</v>
      </c>
      <c r="L136" s="1106" t="s">
        <v>4932</v>
      </c>
      <c r="M136" s="1106"/>
      <c r="N136" s="1443" t="str">
        <f>NOMINA!O112</f>
        <v>Enfermera Jefe I</v>
      </c>
      <c r="O136" s="1106">
        <v>1.02087691000006E+18</v>
      </c>
      <c r="P136" s="1107">
        <f>ROUND(+NOMINA!T112,2)</f>
        <v>219</v>
      </c>
      <c r="Q136" s="1108">
        <v>0</v>
      </c>
      <c r="R136" s="1108">
        <f>ROUND(+NOMINA!AA112,2)</f>
        <v>10.95</v>
      </c>
      <c r="S136" s="1108">
        <f>ROUND(+NOMINA!AB112,2)</f>
        <v>130</v>
      </c>
      <c r="T136" s="1108">
        <f>ROUND(+NOMINA!AC112,2)</f>
        <v>0</v>
      </c>
      <c r="U136" s="1108">
        <f>ROUND(+NOMINA!AD112,2)</f>
        <v>89.99</v>
      </c>
      <c r="V136" s="1108">
        <f>ROUND(NOMINA!AQ112,2)</f>
        <v>0</v>
      </c>
      <c r="W136" s="1108">
        <f>+NOMINA!AS112</f>
        <v>0</v>
      </c>
      <c r="X136" s="1108">
        <f>+NOMINA!AT112</f>
        <v>0</v>
      </c>
      <c r="Y136" s="1108">
        <f>+NOMINA!AU112</f>
        <v>449.94</v>
      </c>
      <c r="Z136" s="1108">
        <f>+NOMINA!BX112</f>
        <v>843.64</v>
      </c>
      <c r="AA136" s="1108">
        <f>+NOMINA!BY112</f>
        <v>0</v>
      </c>
      <c r="AB136" s="1108">
        <f t="shared" si="11"/>
        <v>843.64</v>
      </c>
      <c r="AD136" s="625"/>
      <c r="AH136" s="1467" t="str">
        <f>NOMINA!P111</f>
        <v>01020494190100020863</v>
      </c>
    </row>
    <row r="137" spans="1:34" s="620" customFormat="1" ht="20.100000000000001" customHeight="1" thickBot="1" x14ac:dyDescent="0.25">
      <c r="A137" s="758" t="s">
        <v>2846</v>
      </c>
      <c r="B137" s="759">
        <f t="shared" si="12"/>
        <v>70</v>
      </c>
      <c r="C137" s="1102">
        <f>NOMINA!C113</f>
        <v>12045335</v>
      </c>
      <c r="D137" s="1103" t="str">
        <f>NOMINA!D113</f>
        <v>Gonzalez De Briceño Yasmin Coromoto</v>
      </c>
      <c r="E137" s="1468" t="s">
        <v>4622</v>
      </c>
      <c r="F137" s="1110">
        <v>32351</v>
      </c>
      <c r="G137" s="1468" t="s">
        <v>4620</v>
      </c>
      <c r="H137" s="1442">
        <f>NOMINA!H113</f>
        <v>45505</v>
      </c>
      <c r="I137" s="1105">
        <f>NOMINA!I114</f>
        <v>18</v>
      </c>
      <c r="J137" s="1106">
        <f>NOMINA!J114</f>
        <v>0</v>
      </c>
      <c r="K137" s="1105">
        <f t="shared" si="10"/>
        <v>18</v>
      </c>
      <c r="L137" s="1106" t="s">
        <v>4932</v>
      </c>
      <c r="M137" s="1106"/>
      <c r="N137" s="1443" t="str">
        <f>NOMINA!O113</f>
        <v>Guia de Centro I</v>
      </c>
      <c r="O137" s="1106">
        <v>1.02087691000006E+18</v>
      </c>
      <c r="P137" s="1107">
        <f>ROUND(+NOMINA!T113,2)</f>
        <v>246</v>
      </c>
      <c r="Q137" s="1108">
        <v>0</v>
      </c>
      <c r="R137" s="1108">
        <f>ROUND(+NOMINA!AA113,2)</f>
        <v>2.46</v>
      </c>
      <c r="S137" s="1108">
        <f>ROUND(+NOMINA!AB113,2)</f>
        <v>130</v>
      </c>
      <c r="T137" s="1108">
        <f>ROUND(+NOMINA!AC113,2)</f>
        <v>0</v>
      </c>
      <c r="U137" s="1108">
        <f>ROUND(+NOMINA!AD113,2)</f>
        <v>94.62</v>
      </c>
      <c r="V137" s="1108">
        <f>ROUND(NOMINA!AQ113,2)</f>
        <v>0</v>
      </c>
      <c r="W137" s="1108">
        <f>+NOMINA!AS113</f>
        <v>0</v>
      </c>
      <c r="X137" s="1108">
        <f>+NOMINA!AT113</f>
        <v>0</v>
      </c>
      <c r="Y137" s="1108">
        <f>+NOMINA!AU113</f>
        <v>615</v>
      </c>
      <c r="Z137" s="1108">
        <f>+NOMINA!BX113</f>
        <v>387.05</v>
      </c>
      <c r="AA137" s="1108">
        <f>+NOMINA!BY113</f>
        <v>0</v>
      </c>
      <c r="AB137" s="1108">
        <f t="shared" si="11"/>
        <v>387.05</v>
      </c>
      <c r="AD137" s="625"/>
      <c r="AH137" s="1467" t="str">
        <f>NOMINA!P112</f>
        <v>01020494110100027091</v>
      </c>
    </row>
    <row r="138" spans="1:34" s="620" customFormat="1" ht="20.100000000000001" customHeight="1" thickBot="1" x14ac:dyDescent="0.25">
      <c r="A138" s="758" t="s">
        <v>2846</v>
      </c>
      <c r="B138" s="759">
        <f t="shared" si="12"/>
        <v>71</v>
      </c>
      <c r="C138" s="1102">
        <f>NOMINA!C114</f>
        <v>12045360</v>
      </c>
      <c r="D138" s="1103" t="str">
        <f>NOMINA!D114</f>
        <v>Montilla Lamus Ana Cristina</v>
      </c>
      <c r="E138" s="1468" t="s">
        <v>4622</v>
      </c>
      <c r="F138" s="1110">
        <v>32351</v>
      </c>
      <c r="G138" s="1468" t="s">
        <v>4620</v>
      </c>
      <c r="H138" s="1442">
        <f>NOMINA!H114</f>
        <v>39238</v>
      </c>
      <c r="I138" s="1105">
        <f>NOMINA!I115</f>
        <v>5</v>
      </c>
      <c r="J138" s="1106">
        <f>NOMINA!J115</f>
        <v>0</v>
      </c>
      <c r="K138" s="1105">
        <f t="shared" si="10"/>
        <v>5</v>
      </c>
      <c r="L138" s="1106" t="s">
        <v>4932</v>
      </c>
      <c r="M138" s="1106"/>
      <c r="N138" s="1443" t="str">
        <f>NOMINA!O114</f>
        <v>Guia de Centro I</v>
      </c>
      <c r="O138" s="1106">
        <v>1.02087691000006E+18</v>
      </c>
      <c r="P138" s="1107">
        <f>ROUND(+NOMINA!T114,2)</f>
        <v>177</v>
      </c>
      <c r="Q138" s="1108">
        <v>0</v>
      </c>
      <c r="R138" s="1108">
        <f>ROUND(+NOMINA!AA114,2)</f>
        <v>40.36</v>
      </c>
      <c r="S138" s="1108">
        <f>ROUND(+NOMINA!AB114,2)</f>
        <v>130</v>
      </c>
      <c r="T138" s="1108">
        <f>ROUND(+NOMINA!AC114,2)</f>
        <v>12.5</v>
      </c>
      <c r="U138" s="1108">
        <f>ROUND(+NOMINA!AD114,2)</f>
        <v>0</v>
      </c>
      <c r="V138" s="1108">
        <f>ROUND(NOMINA!AQ114,2)</f>
        <v>0</v>
      </c>
      <c r="W138" s="1108">
        <f>+NOMINA!AS114</f>
        <v>0</v>
      </c>
      <c r="X138" s="1108">
        <f>+NOMINA!AT114</f>
        <v>0</v>
      </c>
      <c r="Y138" s="1108">
        <f>+NOMINA!AU114</f>
        <v>359.86</v>
      </c>
      <c r="Z138" s="1108">
        <f>+NOMINA!BX114</f>
        <v>674.74</v>
      </c>
      <c r="AA138" s="1108">
        <f>+NOMINA!BY114</f>
        <v>0</v>
      </c>
      <c r="AB138" s="1108">
        <f t="shared" si="11"/>
        <v>674.74</v>
      </c>
      <c r="AD138" s="625"/>
      <c r="AH138" s="1467" t="str">
        <f>NOMINA!P113</f>
        <v>01020747960000378350</v>
      </c>
    </row>
    <row r="139" spans="1:34" s="620" customFormat="1" ht="20.100000000000001" customHeight="1" thickBot="1" x14ac:dyDescent="0.25">
      <c r="A139" s="758" t="s">
        <v>2846</v>
      </c>
      <c r="B139" s="759">
        <f t="shared" si="12"/>
        <v>72</v>
      </c>
      <c r="C139" s="1102">
        <f>NOMINA!C115</f>
        <v>12045504</v>
      </c>
      <c r="D139" s="1103" t="str">
        <f>NOMINA!D115</f>
        <v>Sanchez Olivar Denis Josefina</v>
      </c>
      <c r="E139" s="1468" t="s">
        <v>4622</v>
      </c>
      <c r="F139" s="1110">
        <v>32351</v>
      </c>
      <c r="G139" s="1468" t="s">
        <v>4620</v>
      </c>
      <c r="H139" s="1442">
        <f>NOMINA!H115</f>
        <v>43862</v>
      </c>
      <c r="I139" s="1105">
        <f>NOMINA!I116</f>
        <v>26</v>
      </c>
      <c r="J139" s="1106">
        <f>NOMINA!J116</f>
        <v>1</v>
      </c>
      <c r="K139" s="1105">
        <f t="shared" si="10"/>
        <v>27</v>
      </c>
      <c r="L139" s="1106" t="s">
        <v>4932</v>
      </c>
      <c r="M139" s="1106"/>
      <c r="N139" s="1443" t="str">
        <f>NOMINA!O115</f>
        <v>Asistente Administrativo II</v>
      </c>
      <c r="O139" s="1106">
        <v>1.02087691000006E+18</v>
      </c>
      <c r="P139" s="1107">
        <f>ROUND(+NOMINA!T115,2)</f>
        <v>150</v>
      </c>
      <c r="Q139" s="1108">
        <v>0</v>
      </c>
      <c r="R139" s="1108">
        <f>ROUND(+NOMINA!AA115,2)</f>
        <v>7.5</v>
      </c>
      <c r="S139" s="1108">
        <f>ROUND(+NOMINA!AB115,2)</f>
        <v>130</v>
      </c>
      <c r="T139" s="1108">
        <f>ROUND(+NOMINA!AC115,2)</f>
        <v>25</v>
      </c>
      <c r="U139" s="1108">
        <f>ROUND(+NOMINA!AD115,2)</f>
        <v>0</v>
      </c>
      <c r="V139" s="1108">
        <f>ROUND(NOMINA!AQ115,2)</f>
        <v>0</v>
      </c>
      <c r="W139" s="1108">
        <f>+NOMINA!AS115</f>
        <v>0</v>
      </c>
      <c r="X139" s="1108">
        <f>+NOMINA!AT115</f>
        <v>25</v>
      </c>
      <c r="Y139" s="1108">
        <f>+NOMINA!AU115</f>
        <v>312.5</v>
      </c>
      <c r="Z139" s="1108">
        <f>+NOMINA!BX115</f>
        <v>585.94000000000005</v>
      </c>
      <c r="AA139" s="1108">
        <f>+NOMINA!BY115</f>
        <v>0</v>
      </c>
      <c r="AB139" s="1108">
        <f t="shared" si="11"/>
        <v>585.94000000000005</v>
      </c>
      <c r="AD139" s="625"/>
      <c r="AH139" s="1467" t="str">
        <f>NOMINA!P114</f>
        <v>01020373260000440149</v>
      </c>
    </row>
    <row r="140" spans="1:34" s="620" customFormat="1" ht="20.100000000000001" customHeight="1" thickBot="1" x14ac:dyDescent="0.25">
      <c r="A140" s="758" t="s">
        <v>2846</v>
      </c>
      <c r="B140" s="759">
        <f t="shared" si="12"/>
        <v>73</v>
      </c>
      <c r="C140" s="1102">
        <f>NOMINA!C116</f>
        <v>12045934</v>
      </c>
      <c r="D140" s="1103" t="str">
        <f>NOMINA!D116</f>
        <v>Mendez Olmos Tulio Enrique</v>
      </c>
      <c r="E140" s="1468" t="s">
        <v>4622</v>
      </c>
      <c r="F140" s="1110">
        <v>32351</v>
      </c>
      <c r="G140" s="1468" t="s">
        <v>4620</v>
      </c>
      <c r="H140" s="1442">
        <f>NOMINA!H116</f>
        <v>36342</v>
      </c>
      <c r="I140" s="1105">
        <f>NOMINA!I117</f>
        <v>4</v>
      </c>
      <c r="J140" s="1106">
        <f>NOMINA!J117</f>
        <v>4</v>
      </c>
      <c r="K140" s="1105">
        <f t="shared" si="10"/>
        <v>8</v>
      </c>
      <c r="L140" s="1106" t="s">
        <v>4932</v>
      </c>
      <c r="M140" s="1106"/>
      <c r="N140" s="1443" t="str">
        <f>NOMINA!O116</f>
        <v>Especialista en Informatica I</v>
      </c>
      <c r="O140" s="1106">
        <v>1.02087691000006E+18</v>
      </c>
      <c r="P140" s="1107">
        <f>ROUND(+NOMINA!T116,2)</f>
        <v>287</v>
      </c>
      <c r="Q140" s="1108">
        <v>0</v>
      </c>
      <c r="R140" s="1108">
        <f>ROUND(+NOMINA!AA116,2)</f>
        <v>86.1</v>
      </c>
      <c r="S140" s="1108">
        <f>ROUND(+NOMINA!AB116,2)</f>
        <v>130</v>
      </c>
      <c r="T140" s="1108">
        <f>ROUND(+NOMINA!AC116,2)</f>
        <v>0</v>
      </c>
      <c r="U140" s="1108">
        <f>ROUND(+NOMINA!AD116,2)</f>
        <v>125.78</v>
      </c>
      <c r="V140" s="1108">
        <f>ROUND(NOMINA!AQ116,2)</f>
        <v>0</v>
      </c>
      <c r="W140" s="1108">
        <f>+NOMINA!AS116</f>
        <v>0</v>
      </c>
      <c r="X140" s="1108">
        <f>+NOMINA!AT116</f>
        <v>0</v>
      </c>
      <c r="Y140" s="1108">
        <f>+NOMINA!AU116</f>
        <v>628.88</v>
      </c>
      <c r="Z140" s="1108">
        <f>+NOMINA!BX116</f>
        <v>1179.1500000000001</v>
      </c>
      <c r="AA140" s="1108">
        <f>+NOMINA!BY116</f>
        <v>0</v>
      </c>
      <c r="AB140" s="1108">
        <f t="shared" si="11"/>
        <v>1179.1500000000001</v>
      </c>
      <c r="AD140" s="625"/>
      <c r="AH140" s="1467" t="str">
        <f>NOMINA!P115</f>
        <v>01020373210100087140</v>
      </c>
    </row>
    <row r="141" spans="1:34" s="620" customFormat="1" ht="20.100000000000001" customHeight="1" thickBot="1" x14ac:dyDescent="0.25">
      <c r="A141" s="758" t="s">
        <v>2846</v>
      </c>
      <c r="B141" s="759">
        <f t="shared" si="12"/>
        <v>74</v>
      </c>
      <c r="C141" s="1102">
        <f>NOMINA!C117</f>
        <v>12457981</v>
      </c>
      <c r="D141" s="1103" t="str">
        <f>NOMINA!D117</f>
        <v>Escalona Ruiz Luis Alberto</v>
      </c>
      <c r="E141" s="1468" t="s">
        <v>4622</v>
      </c>
      <c r="F141" s="1110">
        <v>32351</v>
      </c>
      <c r="G141" s="1468" t="s">
        <v>4620</v>
      </c>
      <c r="H141" s="1442">
        <f>NOMINA!H117</f>
        <v>44348</v>
      </c>
      <c r="I141" s="1105">
        <f>NOMINA!I118</f>
        <v>17</v>
      </c>
      <c r="J141" s="1106">
        <f>NOMINA!J118</f>
        <v>7</v>
      </c>
      <c r="K141" s="1105">
        <f t="shared" si="10"/>
        <v>24</v>
      </c>
      <c r="L141" s="1106" t="s">
        <v>4932</v>
      </c>
      <c r="M141" s="1106"/>
      <c r="N141" s="1443" t="str">
        <f>NOMINA!O117</f>
        <v>Medico Especialista II</v>
      </c>
      <c r="O141" s="1106">
        <v>1.02087691000006E+18</v>
      </c>
      <c r="P141" s="1107">
        <f>ROUND(+NOMINA!T117,2)</f>
        <v>279</v>
      </c>
      <c r="Q141" s="1108">
        <v>0</v>
      </c>
      <c r="R141" s="1108">
        <f>ROUND(+NOMINA!AA117,2)</f>
        <v>23.99</v>
      </c>
      <c r="S141" s="1108">
        <f>ROUND(+NOMINA!AB117,2)</f>
        <v>130</v>
      </c>
      <c r="T141" s="1108">
        <f>ROUND(+NOMINA!AC117,2)</f>
        <v>12.5</v>
      </c>
      <c r="U141" s="1108">
        <f>ROUND(+NOMINA!AD117,2)</f>
        <v>0</v>
      </c>
      <c r="V141" s="1108">
        <f>ROUND(NOMINA!AQ117,2)</f>
        <v>0</v>
      </c>
      <c r="W141" s="1108">
        <f>+NOMINA!AS117</f>
        <v>0</v>
      </c>
      <c r="X141" s="1108">
        <f>+NOMINA!AT117</f>
        <v>0</v>
      </c>
      <c r="Y141" s="1108">
        <f>+NOMINA!AU117</f>
        <v>445.49</v>
      </c>
      <c r="Z141" s="1108">
        <f>+NOMINA!BX117</f>
        <v>835.3</v>
      </c>
      <c r="AA141" s="1108">
        <f>+NOMINA!BY117</f>
        <v>0</v>
      </c>
      <c r="AB141" s="1108">
        <f t="shared" si="11"/>
        <v>835.3</v>
      </c>
      <c r="AD141" s="625"/>
      <c r="AH141" s="1467" t="str">
        <f>NOMINA!P116</f>
        <v>01020373260000440152</v>
      </c>
    </row>
    <row r="142" spans="1:34" s="620" customFormat="1" ht="20.100000000000001" customHeight="1" thickBot="1" x14ac:dyDescent="0.25">
      <c r="A142" s="758" t="s">
        <v>2846</v>
      </c>
      <c r="B142" s="759">
        <f t="shared" si="12"/>
        <v>75</v>
      </c>
      <c r="C142" s="1102">
        <f>NOMINA!C118</f>
        <v>12458811</v>
      </c>
      <c r="D142" s="1103" t="str">
        <f>NOMINA!D118</f>
        <v>Segovia Rondon Milagros del Valle</v>
      </c>
      <c r="E142" s="1468" t="s">
        <v>4622</v>
      </c>
      <c r="F142" s="1110">
        <v>32351</v>
      </c>
      <c r="G142" s="1468" t="s">
        <v>4620</v>
      </c>
      <c r="H142" s="1442">
        <f>NOMINA!H118</f>
        <v>39514</v>
      </c>
      <c r="I142" s="1105">
        <f>NOMINA!I119</f>
        <v>4</v>
      </c>
      <c r="J142" s="1106">
        <f>NOMINA!J119</f>
        <v>19</v>
      </c>
      <c r="K142" s="1105">
        <f t="shared" si="10"/>
        <v>23</v>
      </c>
      <c r="L142" s="1106" t="s">
        <v>4932</v>
      </c>
      <c r="M142" s="1106"/>
      <c r="N142" s="1443" t="str">
        <f>NOMINA!O118</f>
        <v>Analista de Presupuesto Jefe</v>
      </c>
      <c r="O142" s="1106">
        <v>1.02087691000006E+18</v>
      </c>
      <c r="P142" s="1107">
        <f>ROUND(+NOMINA!T118,2)</f>
        <v>316</v>
      </c>
      <c r="Q142" s="1108">
        <v>0</v>
      </c>
      <c r="R142" s="1108">
        <f>ROUND(+NOMINA!AA118,2)</f>
        <v>94.8</v>
      </c>
      <c r="S142" s="1108">
        <f>ROUND(+NOMINA!AB118,2)</f>
        <v>130</v>
      </c>
      <c r="T142" s="1108">
        <f>ROUND(+NOMINA!AC118,2)</f>
        <v>12.5</v>
      </c>
      <c r="U142" s="1108">
        <f>ROUND(+NOMINA!AD118,2)</f>
        <v>165.99</v>
      </c>
      <c r="V142" s="1108">
        <f>ROUND(NOMINA!AQ118,2)</f>
        <v>0</v>
      </c>
      <c r="W142" s="1108">
        <f>+NOMINA!AS118</f>
        <v>0</v>
      </c>
      <c r="X142" s="1108">
        <f>+NOMINA!AT118</f>
        <v>12.5</v>
      </c>
      <c r="Y142" s="1108">
        <f>+NOMINA!AU118</f>
        <v>719.29</v>
      </c>
      <c r="Z142" s="1108">
        <f>+NOMINA!BX118</f>
        <v>1348.67</v>
      </c>
      <c r="AA142" s="1108">
        <f>+NOMINA!BY118</f>
        <v>0</v>
      </c>
      <c r="AB142" s="1108">
        <f t="shared" si="11"/>
        <v>1348.67</v>
      </c>
      <c r="AD142" s="625"/>
      <c r="AH142" s="1467" t="str">
        <f>NOMINA!P117</f>
        <v>01020373240000102199</v>
      </c>
    </row>
    <row r="143" spans="1:34" s="620" customFormat="1" ht="20.100000000000001" customHeight="1" thickBot="1" x14ac:dyDescent="0.25">
      <c r="A143" s="758" t="s">
        <v>2846</v>
      </c>
      <c r="B143" s="759">
        <f t="shared" si="12"/>
        <v>76</v>
      </c>
      <c r="C143" s="1102">
        <f>NOMINA!C119</f>
        <v>12458942</v>
      </c>
      <c r="D143" s="1103" t="str">
        <f>NOMINA!D119</f>
        <v>Mendoza Mendoza Mirian Del Milagro</v>
      </c>
      <c r="E143" s="1468" t="s">
        <v>4622</v>
      </c>
      <c r="F143" s="1110">
        <v>32351</v>
      </c>
      <c r="G143" s="1468" t="s">
        <v>4620</v>
      </c>
      <c r="H143" s="1442">
        <f>NOMINA!H119</f>
        <v>44424</v>
      </c>
      <c r="I143" s="1105">
        <f>NOMINA!I120</f>
        <v>0</v>
      </c>
      <c r="J143" s="1106">
        <f>NOMINA!J120</f>
        <v>0</v>
      </c>
      <c r="K143" s="1105">
        <f t="shared" si="10"/>
        <v>0</v>
      </c>
      <c r="L143" s="1106" t="s">
        <v>4932</v>
      </c>
      <c r="M143" s="1106"/>
      <c r="N143" s="1443" t="str">
        <f>NOMINA!O119</f>
        <v>Administrador Jefe</v>
      </c>
      <c r="O143" s="1106">
        <v>1.02087691000006E+18</v>
      </c>
      <c r="P143" s="1107">
        <f>ROUND(+NOMINA!T119,2)</f>
        <v>0</v>
      </c>
      <c r="Q143" s="1108">
        <v>0</v>
      </c>
      <c r="R143" s="1108">
        <f>ROUND(+NOMINA!AA119,2)</f>
        <v>0</v>
      </c>
      <c r="S143" s="1108">
        <f>ROUND(+NOMINA!AB119,2)</f>
        <v>0</v>
      </c>
      <c r="T143" s="1108">
        <f>ROUND(+NOMINA!AC119,2)</f>
        <v>0</v>
      </c>
      <c r="U143" s="1108">
        <f>ROUND(+NOMINA!AD119,2)</f>
        <v>0</v>
      </c>
      <c r="V143" s="1108">
        <f>ROUND(NOMINA!AQ119,2)</f>
        <v>0</v>
      </c>
      <c r="W143" s="1108">
        <f>+NOMINA!AS119</f>
        <v>0</v>
      </c>
      <c r="X143" s="1108">
        <f>+NOMINA!AT119</f>
        <v>0</v>
      </c>
      <c r="Y143" s="1108">
        <f>+NOMINA!AU119</f>
        <v>0</v>
      </c>
      <c r="Z143" s="1108">
        <f>+NOMINA!BX119</f>
        <v>0</v>
      </c>
      <c r="AA143" s="1108">
        <f>+NOMINA!BY119</f>
        <v>0</v>
      </c>
      <c r="AB143" s="1108">
        <f t="shared" si="11"/>
        <v>0</v>
      </c>
      <c r="AD143" s="625"/>
      <c r="AH143" s="1467" t="str">
        <f>NOMINA!P118</f>
        <v>01020373260000439406</v>
      </c>
    </row>
    <row r="144" spans="1:34" s="620" customFormat="1" ht="20.100000000000001" customHeight="1" thickBot="1" x14ac:dyDescent="0.25">
      <c r="A144" s="758" t="s">
        <v>2846</v>
      </c>
      <c r="B144" s="759">
        <f t="shared" si="12"/>
        <v>77</v>
      </c>
      <c r="C144" s="1102">
        <f>NOMINA!C120</f>
        <v>12541044</v>
      </c>
      <c r="D144" s="1103" t="str">
        <f>NOMINA!D120</f>
        <v>Rojas Telles Lisbeth Josefina</v>
      </c>
      <c r="E144" s="1468" t="s">
        <v>4622</v>
      </c>
      <c r="F144" s="1110">
        <v>32351</v>
      </c>
      <c r="G144" s="1468" t="s">
        <v>4620</v>
      </c>
      <c r="H144" s="1442">
        <f>NOMINA!H120</f>
        <v>45597</v>
      </c>
      <c r="I144" s="1105">
        <f>NOMINA!I121</f>
        <v>25</v>
      </c>
      <c r="J144" s="1106">
        <f>NOMINA!J121</f>
        <v>0</v>
      </c>
      <c r="K144" s="1105">
        <f t="shared" si="10"/>
        <v>25</v>
      </c>
      <c r="L144" s="1106" t="s">
        <v>4932</v>
      </c>
      <c r="M144" s="1106"/>
      <c r="N144" s="1443" t="str">
        <f>NOMINA!O120</f>
        <v>Tutor Facilitador I</v>
      </c>
      <c r="O144" s="1106">
        <v>1.02087691000006E+18</v>
      </c>
      <c r="P144" s="1107">
        <f>ROUND(+NOMINA!T120,2)</f>
        <v>246</v>
      </c>
      <c r="Q144" s="1108">
        <v>0</v>
      </c>
      <c r="R144" s="1108">
        <f>ROUND(+NOMINA!AA120,2)</f>
        <v>0</v>
      </c>
      <c r="S144" s="1108">
        <f>ROUND(+NOMINA!AB120,2)</f>
        <v>130</v>
      </c>
      <c r="T144" s="1108">
        <f>ROUND(+NOMINA!AC120,2)</f>
        <v>12.5</v>
      </c>
      <c r="U144" s="1108">
        <f>ROUND(+NOMINA!AD120,2)</f>
        <v>97.13</v>
      </c>
      <c r="V144" s="1108">
        <f>ROUND(NOMINA!AQ120,2)</f>
        <v>0</v>
      </c>
      <c r="W144" s="1108">
        <f>+NOMINA!AS120</f>
        <v>0</v>
      </c>
      <c r="X144" s="1108">
        <f>+NOMINA!AT120</f>
        <v>12.5</v>
      </c>
      <c r="Y144" s="1108">
        <f>+NOMINA!AU120</f>
        <v>485.63</v>
      </c>
      <c r="Z144" s="1108">
        <f>+NOMINA!BX120</f>
        <v>146.13999999999999</v>
      </c>
      <c r="AA144" s="1108">
        <f>+NOMINA!BY120</f>
        <v>0</v>
      </c>
      <c r="AB144" s="1108">
        <f t="shared" si="11"/>
        <v>146.13999999999999</v>
      </c>
      <c r="AD144" s="625"/>
      <c r="AH144" s="1467" t="str">
        <f>NOMINA!P119</f>
        <v>01020373280000439419</v>
      </c>
    </row>
    <row r="145" spans="1:34" s="620" customFormat="1" ht="20.100000000000001" customHeight="1" thickBot="1" x14ac:dyDescent="0.25">
      <c r="A145" s="758" t="s">
        <v>2846</v>
      </c>
      <c r="B145" s="759">
        <f t="shared" si="12"/>
        <v>78</v>
      </c>
      <c r="C145" s="1102">
        <f>NOMINA!C121</f>
        <v>12542413</v>
      </c>
      <c r="D145" s="1103" t="str">
        <f>NOMINA!D121</f>
        <v>Aponte Matheus Richard Alexander</v>
      </c>
      <c r="E145" s="1468" t="s">
        <v>4622</v>
      </c>
      <c r="F145" s="1110">
        <v>32351</v>
      </c>
      <c r="G145" s="1468" t="s">
        <v>4620</v>
      </c>
      <c r="H145" s="1442">
        <f>NOMINA!H121</f>
        <v>36434</v>
      </c>
      <c r="I145" s="1105">
        <f>NOMINA!I122</f>
        <v>28</v>
      </c>
      <c r="J145" s="1106">
        <f>NOMINA!J122</f>
        <v>0</v>
      </c>
      <c r="K145" s="1105">
        <f t="shared" si="10"/>
        <v>28</v>
      </c>
      <c r="L145" s="1106" t="s">
        <v>4932</v>
      </c>
      <c r="M145" s="1106"/>
      <c r="N145" s="1443" t="str">
        <f>NOMINA!O121</f>
        <v>Guia de Centro II</v>
      </c>
      <c r="O145" s="1106">
        <v>1.02087691000006E+18</v>
      </c>
      <c r="P145" s="1107">
        <f>ROUND(+NOMINA!T121,2)</f>
        <v>0</v>
      </c>
      <c r="Q145" s="1108">
        <v>0</v>
      </c>
      <c r="R145" s="1108">
        <f>ROUND(+NOMINA!AA121,2)</f>
        <v>0</v>
      </c>
      <c r="S145" s="1108">
        <f>ROUND(+NOMINA!AB121,2)</f>
        <v>0</v>
      </c>
      <c r="T145" s="1108">
        <f>ROUND(+NOMINA!AC121,2)</f>
        <v>0</v>
      </c>
      <c r="U145" s="1108">
        <f>ROUND(+NOMINA!AD121,2)</f>
        <v>0</v>
      </c>
      <c r="V145" s="1108">
        <f>ROUND(NOMINA!AQ121,2)</f>
        <v>0</v>
      </c>
      <c r="W145" s="1108">
        <f>+NOMINA!AS121</f>
        <v>0</v>
      </c>
      <c r="X145" s="1108">
        <f>+NOMINA!AT121</f>
        <v>0</v>
      </c>
      <c r="Y145" s="1108">
        <f>+NOMINA!AU121</f>
        <v>0</v>
      </c>
      <c r="Z145" s="1108">
        <f>+NOMINA!BX121</f>
        <v>0</v>
      </c>
      <c r="AA145" s="1108">
        <f>+NOMINA!BY121</f>
        <v>0</v>
      </c>
      <c r="AB145" s="1108">
        <f t="shared" si="11"/>
        <v>0</v>
      </c>
      <c r="AD145" s="625"/>
      <c r="AH145" s="1467" t="str">
        <f>NOMINA!P120</f>
        <v>01020392960103938564</v>
      </c>
    </row>
    <row r="146" spans="1:34" s="620" customFormat="1" ht="20.100000000000001" customHeight="1" thickBot="1" x14ac:dyDescent="0.25">
      <c r="A146" s="758" t="s">
        <v>2846</v>
      </c>
      <c r="B146" s="759">
        <f t="shared" si="12"/>
        <v>79</v>
      </c>
      <c r="C146" s="1102">
        <f>NOMINA!C122</f>
        <v>12798604</v>
      </c>
      <c r="D146" s="1103" t="str">
        <f>NOMINA!D122</f>
        <v>Camacho Gomez Trina Margarita</v>
      </c>
      <c r="E146" s="1468" t="s">
        <v>4622</v>
      </c>
      <c r="F146" s="1110">
        <v>32351</v>
      </c>
      <c r="G146" s="1468" t="s">
        <v>4620</v>
      </c>
      <c r="H146" s="1442">
        <f>NOMINA!H122</f>
        <v>35384</v>
      </c>
      <c r="I146" s="1105">
        <f>NOMINA!I123</f>
        <v>17</v>
      </c>
      <c r="J146" s="1106">
        <f>NOMINA!J123</f>
        <v>7</v>
      </c>
      <c r="K146" s="1105">
        <f t="shared" si="10"/>
        <v>24</v>
      </c>
      <c r="L146" s="1106" t="s">
        <v>4932</v>
      </c>
      <c r="M146" s="1106"/>
      <c r="N146" s="1443" t="str">
        <f>NOMINA!O122</f>
        <v>Guia de Centro II</v>
      </c>
      <c r="O146" s="1106">
        <v>1.02087691000006E+18</v>
      </c>
      <c r="P146" s="1107">
        <f>ROUND(+NOMINA!T122,2)</f>
        <v>177</v>
      </c>
      <c r="Q146" s="1108">
        <v>0</v>
      </c>
      <c r="R146" s="1108">
        <f>ROUND(+NOMINA!AA122,2)</f>
        <v>53.1</v>
      </c>
      <c r="S146" s="1108">
        <f>ROUND(+NOMINA!AB122,2)</f>
        <v>130</v>
      </c>
      <c r="T146" s="1108">
        <f>ROUND(+NOMINA!AC122,2)</f>
        <v>12.5</v>
      </c>
      <c r="U146" s="1108">
        <f>ROUND(+NOMINA!AD122,2)</f>
        <v>0</v>
      </c>
      <c r="V146" s="1108">
        <f>ROUND(NOMINA!AQ122,2)</f>
        <v>0</v>
      </c>
      <c r="W146" s="1108">
        <f>+NOMINA!AS122</f>
        <v>0</v>
      </c>
      <c r="X146" s="1108">
        <f>+NOMINA!AT122</f>
        <v>12.5</v>
      </c>
      <c r="Y146" s="1108">
        <f>+NOMINA!AU122</f>
        <v>372.6</v>
      </c>
      <c r="Z146" s="1108">
        <f>+NOMINA!BX122</f>
        <v>698.63</v>
      </c>
      <c r="AA146" s="1108">
        <f>+NOMINA!BY122</f>
        <v>0</v>
      </c>
      <c r="AB146" s="1108">
        <f t="shared" si="11"/>
        <v>698.63</v>
      </c>
      <c r="AD146" s="625"/>
      <c r="AH146" s="1467" t="str">
        <f>NOMINA!P121</f>
        <v>01020373200000439435</v>
      </c>
    </row>
    <row r="147" spans="1:34" s="620" customFormat="1" ht="20.100000000000001" customHeight="1" thickBot="1" x14ac:dyDescent="0.25">
      <c r="A147" s="758" t="s">
        <v>2846</v>
      </c>
      <c r="B147" s="759">
        <f t="shared" si="12"/>
        <v>80</v>
      </c>
      <c r="C147" s="1102">
        <f>NOMINA!C123</f>
        <v>12798736</v>
      </c>
      <c r="D147" s="1103" t="str">
        <f>NOMINA!D123</f>
        <v>Gonzalez Pabon Marianela</v>
      </c>
      <c r="E147" s="1468" t="s">
        <v>4622</v>
      </c>
      <c r="F147" s="1110">
        <v>32351</v>
      </c>
      <c r="G147" s="1468" t="s">
        <v>4620</v>
      </c>
      <c r="H147" s="1442">
        <f>NOMINA!H123</f>
        <v>39479</v>
      </c>
      <c r="I147" s="1105">
        <f>NOMINA!I124</f>
        <v>8</v>
      </c>
      <c r="J147" s="1106">
        <f>NOMINA!J124</f>
        <v>0</v>
      </c>
      <c r="K147" s="1105">
        <f t="shared" si="10"/>
        <v>8</v>
      </c>
      <c r="L147" s="1106" t="s">
        <v>4932</v>
      </c>
      <c r="M147" s="1106"/>
      <c r="N147" s="1443" t="str">
        <f>NOMINA!O123</f>
        <v>Analista de Personal VI</v>
      </c>
      <c r="O147" s="1106">
        <v>1.02087691000006E+18</v>
      </c>
      <c r="P147" s="1107">
        <f>ROUND(+NOMINA!T123,2)</f>
        <v>316</v>
      </c>
      <c r="Q147" s="1108">
        <v>0</v>
      </c>
      <c r="R147" s="1108">
        <f>ROUND(+NOMINA!AA123,2)</f>
        <v>94.8</v>
      </c>
      <c r="S147" s="1108">
        <f>ROUND(+NOMINA!AB123,2)</f>
        <v>130</v>
      </c>
      <c r="T147" s="1108">
        <f>ROUND(+NOMINA!AC123,2)</f>
        <v>12.5</v>
      </c>
      <c r="U147" s="1108">
        <f>ROUND(+NOMINA!AD123,2)</f>
        <v>138.33000000000001</v>
      </c>
      <c r="V147" s="1108">
        <f>ROUND(NOMINA!AQ123,2)</f>
        <v>0</v>
      </c>
      <c r="W147" s="1108">
        <f>+NOMINA!AS123</f>
        <v>0</v>
      </c>
      <c r="X147" s="1108">
        <f>+NOMINA!AT123</f>
        <v>0</v>
      </c>
      <c r="Y147" s="1108">
        <f>+NOMINA!AU123</f>
        <v>691.63</v>
      </c>
      <c r="Z147" s="1108">
        <f>+NOMINA!BX123</f>
        <v>1296.81</v>
      </c>
      <c r="AA147" s="1108">
        <f>+NOMINA!BY123</f>
        <v>0</v>
      </c>
      <c r="AB147" s="1108">
        <f t="shared" si="11"/>
        <v>1296.81</v>
      </c>
      <c r="AD147" s="625"/>
      <c r="AH147" s="1467" t="str">
        <f>NOMINA!P122</f>
        <v>01020373210000439448</v>
      </c>
    </row>
    <row r="148" spans="1:34" s="620" customFormat="1" ht="20.100000000000001" customHeight="1" thickBot="1" x14ac:dyDescent="0.25">
      <c r="A148" s="758" t="s">
        <v>2846</v>
      </c>
      <c r="B148" s="759">
        <f t="shared" si="12"/>
        <v>81</v>
      </c>
      <c r="C148" s="1102">
        <f>NOMINA!C124</f>
        <v>12939010</v>
      </c>
      <c r="D148" s="1103" t="str">
        <f>NOMINA!D124</f>
        <v>Mendez de Viloria Yelitza del Valle</v>
      </c>
      <c r="E148" s="1468" t="s">
        <v>4622</v>
      </c>
      <c r="F148" s="1110">
        <v>32351</v>
      </c>
      <c r="G148" s="1468" t="s">
        <v>4620</v>
      </c>
      <c r="H148" s="1442">
        <f>NOMINA!H124</f>
        <v>42948</v>
      </c>
      <c r="I148" s="1105">
        <f>NOMINA!I125</f>
        <v>8</v>
      </c>
      <c r="J148" s="1106">
        <f>NOMINA!J125</f>
        <v>0</v>
      </c>
      <c r="K148" s="1105">
        <f t="shared" si="10"/>
        <v>8</v>
      </c>
      <c r="L148" s="1106" t="s">
        <v>4932</v>
      </c>
      <c r="M148" s="1106"/>
      <c r="N148" s="1443" t="str">
        <f>NOMINA!O124</f>
        <v>Asistente Administrativo III</v>
      </c>
      <c r="O148" s="1106">
        <v>1.02087691000006E+18</v>
      </c>
      <c r="P148" s="1107">
        <f>ROUND(+NOMINA!T124,2)</f>
        <v>221</v>
      </c>
      <c r="Q148" s="1108">
        <v>0</v>
      </c>
      <c r="R148" s="1108">
        <f>ROUND(+NOMINA!AA124,2)</f>
        <v>19.010000000000002</v>
      </c>
      <c r="S148" s="1108">
        <f>ROUND(+NOMINA!AB124,2)</f>
        <v>130</v>
      </c>
      <c r="T148" s="1108">
        <f>ROUND(+NOMINA!AC124,2)</f>
        <v>0</v>
      </c>
      <c r="U148" s="1108">
        <f>ROUND(+NOMINA!AD124,2)</f>
        <v>92.5</v>
      </c>
      <c r="V148" s="1108">
        <f>ROUND(NOMINA!AQ124,2)</f>
        <v>0</v>
      </c>
      <c r="W148" s="1108">
        <f>+NOMINA!AS124</f>
        <v>0</v>
      </c>
      <c r="X148" s="1108">
        <f>+NOMINA!AT124</f>
        <v>0</v>
      </c>
      <c r="Y148" s="1108">
        <f>+NOMINA!AU124</f>
        <v>462.51</v>
      </c>
      <c r="Z148" s="1108">
        <f>+NOMINA!BX124</f>
        <v>867.21</v>
      </c>
      <c r="AA148" s="1108">
        <f>+NOMINA!BY124</f>
        <v>0</v>
      </c>
      <c r="AB148" s="1108">
        <f t="shared" si="11"/>
        <v>867.21</v>
      </c>
      <c r="AD148" s="625"/>
      <c r="AH148" s="1467" t="str">
        <f>NOMINA!P123</f>
        <v>01020373210000439451</v>
      </c>
    </row>
    <row r="149" spans="1:34" s="620" customFormat="1" ht="20.100000000000001" customHeight="1" thickBot="1" x14ac:dyDescent="0.25">
      <c r="A149" s="758" t="s">
        <v>2846</v>
      </c>
      <c r="B149" s="759">
        <f t="shared" si="12"/>
        <v>82</v>
      </c>
      <c r="C149" s="1102">
        <f>NOMINA!C125</f>
        <v>12941385</v>
      </c>
      <c r="D149" s="1103" t="str">
        <f>NOMINA!D125</f>
        <v>Torres de Gonzalez Milangela Maria</v>
      </c>
      <c r="E149" s="1468" t="s">
        <v>4622</v>
      </c>
      <c r="F149" s="1110">
        <v>32351</v>
      </c>
      <c r="G149" s="1468" t="s">
        <v>4620</v>
      </c>
      <c r="H149" s="1442">
        <f>NOMINA!H125</f>
        <v>42948</v>
      </c>
      <c r="I149" s="1105">
        <f>NOMINA!I126</f>
        <v>6</v>
      </c>
      <c r="J149" s="1106">
        <f>NOMINA!J126</f>
        <v>0</v>
      </c>
      <c r="K149" s="1105">
        <f t="shared" si="10"/>
        <v>6</v>
      </c>
      <c r="L149" s="1106" t="s">
        <v>4932</v>
      </c>
      <c r="M149" s="1106"/>
      <c r="N149" s="1443" t="str">
        <f>NOMINA!O125</f>
        <v>Tutor Facilitador III</v>
      </c>
      <c r="O149" s="1106">
        <v>1.02087691000006E+18</v>
      </c>
      <c r="P149" s="1107">
        <f>ROUND(+NOMINA!T125,2)</f>
        <v>279</v>
      </c>
      <c r="Q149" s="1108">
        <v>0</v>
      </c>
      <c r="R149" s="1108">
        <f>ROUND(+NOMINA!AA125,2)</f>
        <v>23.99</v>
      </c>
      <c r="S149" s="1108">
        <f>ROUND(+NOMINA!AB125,2)</f>
        <v>130</v>
      </c>
      <c r="T149" s="1108">
        <f>ROUND(+NOMINA!AC125,2)</f>
        <v>0</v>
      </c>
      <c r="U149" s="1108">
        <f>ROUND(+NOMINA!AD125,2)</f>
        <v>108.25</v>
      </c>
      <c r="V149" s="1108">
        <f>ROUND(NOMINA!AQ125,2)</f>
        <v>0</v>
      </c>
      <c r="W149" s="1108">
        <f>+NOMINA!AS125</f>
        <v>0</v>
      </c>
      <c r="X149" s="1108">
        <f>+NOMINA!AT125</f>
        <v>0</v>
      </c>
      <c r="Y149" s="1108">
        <f>+NOMINA!AU125</f>
        <v>541.24</v>
      </c>
      <c r="Z149" s="1108">
        <f>+NOMINA!BX125</f>
        <v>1014.83</v>
      </c>
      <c r="AA149" s="1108">
        <f>+NOMINA!BY125</f>
        <v>0</v>
      </c>
      <c r="AB149" s="1108">
        <f t="shared" si="11"/>
        <v>1014.83</v>
      </c>
      <c r="AD149" s="625"/>
      <c r="AH149" s="1467" t="str">
        <f>NOMINA!P124</f>
        <v>01020369420000374529</v>
      </c>
    </row>
    <row r="150" spans="1:34" s="620" customFormat="1" ht="20.100000000000001" customHeight="1" thickBot="1" x14ac:dyDescent="0.25">
      <c r="A150" s="758" t="s">
        <v>2846</v>
      </c>
      <c r="B150" s="759">
        <f t="shared" si="12"/>
        <v>83</v>
      </c>
      <c r="C150" s="1102">
        <f>NOMINA!C126</f>
        <v>13117904</v>
      </c>
      <c r="D150" s="1103" t="str">
        <f>NOMINA!D126</f>
        <v>Villegas Jaime Antonio</v>
      </c>
      <c r="E150" s="1468" t="s">
        <v>4622</v>
      </c>
      <c r="F150" s="1110">
        <v>32351</v>
      </c>
      <c r="G150" s="1468" t="s">
        <v>4620</v>
      </c>
      <c r="H150" s="1442">
        <f>NOMINA!H126</f>
        <v>43693</v>
      </c>
      <c r="I150" s="1105">
        <f>NOMINA!I127</f>
        <v>3</v>
      </c>
      <c r="J150" s="1106">
        <f>NOMINA!J127</f>
        <v>0</v>
      </c>
      <c r="K150" s="1105">
        <f t="shared" si="10"/>
        <v>3</v>
      </c>
      <c r="L150" s="1106" t="s">
        <v>4932</v>
      </c>
      <c r="M150" s="1106"/>
      <c r="N150" s="1443" t="str">
        <f>NOMINA!O126</f>
        <v>Guia de Centro I</v>
      </c>
      <c r="O150" s="1106">
        <v>1.02087691000006E+18</v>
      </c>
      <c r="P150" s="1107">
        <f>ROUND(+NOMINA!T126,2)</f>
        <v>170</v>
      </c>
      <c r="Q150" s="1108">
        <v>0</v>
      </c>
      <c r="R150" s="1108">
        <f>ROUND(+NOMINA!AA126,2)</f>
        <v>10.54</v>
      </c>
      <c r="S150" s="1108">
        <f>ROUND(+NOMINA!AB126,2)</f>
        <v>130</v>
      </c>
      <c r="T150" s="1108">
        <f>ROUND(+NOMINA!AC126,2)</f>
        <v>12.5</v>
      </c>
      <c r="U150" s="1108">
        <f>ROUND(+NOMINA!AD126,2)</f>
        <v>0</v>
      </c>
      <c r="V150" s="1108">
        <f>ROUND(NOMINA!AQ126,2)</f>
        <v>0</v>
      </c>
      <c r="W150" s="1108">
        <f>+NOMINA!AS126</f>
        <v>0</v>
      </c>
      <c r="X150" s="1108">
        <f>+NOMINA!AT126</f>
        <v>12.5</v>
      </c>
      <c r="Y150" s="1108">
        <f>+NOMINA!AU126</f>
        <v>419.94999999999993</v>
      </c>
      <c r="Z150" s="1108">
        <f>+NOMINA!BX126</f>
        <v>787.41</v>
      </c>
      <c r="AA150" s="1108">
        <f>+NOMINA!BY126</f>
        <v>0</v>
      </c>
      <c r="AB150" s="1108">
        <f t="shared" si="11"/>
        <v>787.41</v>
      </c>
      <c r="AD150" s="625"/>
      <c r="AH150" s="1467" t="str">
        <f>NOMINA!P125</f>
        <v>01020369410100085388</v>
      </c>
    </row>
    <row r="151" spans="1:34" s="620" customFormat="1" ht="20.100000000000001" customHeight="1" thickBot="1" x14ac:dyDescent="0.25">
      <c r="A151" s="758" t="s">
        <v>2846</v>
      </c>
      <c r="B151" s="759">
        <f t="shared" si="12"/>
        <v>84</v>
      </c>
      <c r="C151" s="1102">
        <f>NOMINA!C127</f>
        <v>13206767</v>
      </c>
      <c r="D151" s="1103" t="str">
        <f>NOMINA!D127</f>
        <v>Bastidas Guerra Soralis del Valle</v>
      </c>
      <c r="E151" s="1468" t="s">
        <v>4622</v>
      </c>
      <c r="F151" s="1110">
        <v>32351</v>
      </c>
      <c r="G151" s="1468" t="s">
        <v>4620</v>
      </c>
      <c r="H151" s="1442">
        <f>NOMINA!H127</f>
        <v>44713</v>
      </c>
      <c r="I151" s="1105">
        <f>NOMINA!I128</f>
        <v>20</v>
      </c>
      <c r="J151" s="1106">
        <f>NOMINA!J128</f>
        <v>0</v>
      </c>
      <c r="K151" s="1105">
        <f t="shared" si="10"/>
        <v>20</v>
      </c>
      <c r="L151" s="1106" t="s">
        <v>4932</v>
      </c>
      <c r="M151" s="1106"/>
      <c r="N151" s="1443" t="str">
        <f>NOMINA!O127</f>
        <v>Abogado I</v>
      </c>
      <c r="O151" s="1106">
        <v>1.02087691000006E+18</v>
      </c>
      <c r="P151" s="1107">
        <f>ROUND(+NOMINA!T127,2)</f>
        <v>0</v>
      </c>
      <c r="Q151" s="1108">
        <v>0</v>
      </c>
      <c r="R151" s="1108">
        <f>ROUND(+NOMINA!AA127,2)</f>
        <v>0</v>
      </c>
      <c r="S151" s="1108">
        <f>ROUND(+NOMINA!AB127,2)</f>
        <v>0</v>
      </c>
      <c r="T151" s="1108">
        <f>ROUND(+NOMINA!AC127,2)</f>
        <v>0</v>
      </c>
      <c r="U151" s="1108">
        <f>ROUND(+NOMINA!AD127,2)</f>
        <v>0</v>
      </c>
      <c r="V151" s="1108">
        <f>ROUND(NOMINA!AQ127,2)</f>
        <v>0</v>
      </c>
      <c r="W151" s="1108">
        <f>+NOMINA!AS127</f>
        <v>0</v>
      </c>
      <c r="X151" s="1108">
        <f>+NOMINA!AT127</f>
        <v>0</v>
      </c>
      <c r="Y151" s="1108">
        <f>+NOMINA!AU127</f>
        <v>0</v>
      </c>
      <c r="Z151" s="1108">
        <f>+NOMINA!BX127</f>
        <v>0</v>
      </c>
      <c r="AA151" s="1108">
        <f>+NOMINA!BY127</f>
        <v>0</v>
      </c>
      <c r="AB151" s="1108">
        <f t="shared" si="11"/>
        <v>0</v>
      </c>
      <c r="AD151" s="625"/>
      <c r="AH151" s="1467" t="str">
        <f>NOMINA!P126</f>
        <v>01020373290100099144</v>
      </c>
    </row>
    <row r="152" spans="1:34" s="620" customFormat="1" ht="20.100000000000001" customHeight="1" thickBot="1" x14ac:dyDescent="0.25">
      <c r="A152" s="758" t="s">
        <v>2846</v>
      </c>
      <c r="B152" s="759">
        <f t="shared" si="12"/>
        <v>85</v>
      </c>
      <c r="C152" s="1102">
        <f>NOMINA!C128</f>
        <v>13207692</v>
      </c>
      <c r="D152" s="1103" t="str">
        <f>NOMINA!D128</f>
        <v>Macias Briceño Alejandra Coromoto</v>
      </c>
      <c r="E152" s="1468" t="s">
        <v>4622</v>
      </c>
      <c r="F152" s="1110">
        <v>32351</v>
      </c>
      <c r="G152" s="1468" t="s">
        <v>4620</v>
      </c>
      <c r="H152" s="1442">
        <f>NOMINA!H128</f>
        <v>38504</v>
      </c>
      <c r="I152" s="1105">
        <f>NOMINA!I129</f>
        <v>1</v>
      </c>
      <c r="J152" s="1106">
        <f>NOMINA!J129</f>
        <v>12</v>
      </c>
      <c r="K152" s="1105">
        <f t="shared" si="10"/>
        <v>13</v>
      </c>
      <c r="L152" s="1106" t="s">
        <v>4932</v>
      </c>
      <c r="M152" s="1106"/>
      <c r="N152" s="1443" t="str">
        <f>NOMINA!O128</f>
        <v>Administrador III</v>
      </c>
      <c r="O152" s="1106">
        <v>1.02087691000006E+18</v>
      </c>
      <c r="P152" s="1107">
        <f>ROUND(+NOMINA!T128,2)</f>
        <v>287</v>
      </c>
      <c r="Q152" s="1108">
        <v>0</v>
      </c>
      <c r="R152" s="1108">
        <f>ROUND(+NOMINA!AA128,2)</f>
        <v>74.62</v>
      </c>
      <c r="S152" s="1108">
        <f>ROUND(+NOMINA!AB128,2)</f>
        <v>130</v>
      </c>
      <c r="T152" s="1108">
        <f>ROUND(+NOMINA!AC128,2)</f>
        <v>25</v>
      </c>
      <c r="U152" s="1108">
        <f>ROUND(+NOMINA!AD128,2)</f>
        <v>129.16</v>
      </c>
      <c r="V152" s="1108">
        <f>ROUND(NOMINA!AQ128,2)</f>
        <v>0</v>
      </c>
      <c r="W152" s="1108">
        <f>+NOMINA!AS128</f>
        <v>0</v>
      </c>
      <c r="X152" s="1108">
        <f>+NOMINA!AT128</f>
        <v>25</v>
      </c>
      <c r="Y152" s="1108">
        <f>+NOMINA!AU128</f>
        <v>645.78</v>
      </c>
      <c r="Z152" s="1108">
        <f>+NOMINA!BX128</f>
        <v>1210.8399999999999</v>
      </c>
      <c r="AA152" s="1108">
        <f>+NOMINA!BY128</f>
        <v>0</v>
      </c>
      <c r="AB152" s="1108">
        <f t="shared" si="11"/>
        <v>1210.8399999999999</v>
      </c>
      <c r="AD152" s="625"/>
      <c r="AH152" s="1467" t="str">
        <f>NOMINA!P127</f>
        <v>01020345720000067289</v>
      </c>
    </row>
    <row r="153" spans="1:34" s="620" customFormat="1" ht="20.100000000000001" customHeight="1" thickBot="1" x14ac:dyDescent="0.25">
      <c r="A153" s="758" t="s">
        <v>2846</v>
      </c>
      <c r="B153" s="759">
        <f t="shared" si="12"/>
        <v>86</v>
      </c>
      <c r="C153" s="1102">
        <f>NOMINA!C129</f>
        <v>13260050</v>
      </c>
      <c r="D153" s="1103" t="str">
        <f>NOMINA!D129</f>
        <v>Mendoza Vieras Maria Elena</v>
      </c>
      <c r="E153" s="1468" t="s">
        <v>4622</v>
      </c>
      <c r="F153" s="1110">
        <v>32351</v>
      </c>
      <c r="G153" s="1468" t="s">
        <v>4620</v>
      </c>
      <c r="H153" s="1442">
        <f>NOMINA!H129</f>
        <v>45444</v>
      </c>
      <c r="I153" s="1105" t="e">
        <f>NOMINA!#REF!</f>
        <v>#REF!</v>
      </c>
      <c r="J153" s="1106" t="e">
        <f>NOMINA!#REF!</f>
        <v>#REF!</v>
      </c>
      <c r="K153" s="1105" t="e">
        <f t="shared" si="10"/>
        <v>#REF!</v>
      </c>
      <c r="L153" s="1106" t="s">
        <v>4932</v>
      </c>
      <c r="M153" s="1106"/>
      <c r="N153" s="1443" t="str">
        <f>NOMINA!O129</f>
        <v>ADMINISTRADOR III</v>
      </c>
      <c r="O153" s="1106">
        <v>1.02087691000006E+18</v>
      </c>
      <c r="P153" s="1107">
        <f>ROUND(+NOMINA!T129,2)</f>
        <v>283</v>
      </c>
      <c r="Q153" s="1108">
        <v>0</v>
      </c>
      <c r="R153" s="1108">
        <f>ROUND(+NOMINA!AA129,2)</f>
        <v>43.02</v>
      </c>
      <c r="S153" s="1108">
        <f>ROUND(+NOMINA!AB129,2)</f>
        <v>130</v>
      </c>
      <c r="T153" s="1108">
        <f>ROUND(+NOMINA!AC129,2)</f>
        <v>0</v>
      </c>
      <c r="U153" s="1108">
        <f>ROUND(+NOMINA!AD129,2)</f>
        <v>114.01</v>
      </c>
      <c r="V153" s="1108">
        <f>ROUND(NOMINA!AQ129,2)</f>
        <v>0</v>
      </c>
      <c r="W153" s="1108">
        <f>+NOMINA!AS129</f>
        <v>0</v>
      </c>
      <c r="X153" s="1108">
        <f>+NOMINA!AT129</f>
        <v>0</v>
      </c>
      <c r="Y153" s="1108">
        <f>+NOMINA!AU129</f>
        <v>570.03</v>
      </c>
      <c r="Z153" s="1108">
        <f>+NOMINA!BX129</f>
        <v>536.88</v>
      </c>
      <c r="AA153" s="1108">
        <f>+NOMINA!BY129</f>
        <v>0</v>
      </c>
      <c r="AB153" s="1108">
        <f t="shared" si="11"/>
        <v>536.88</v>
      </c>
      <c r="AD153" s="625"/>
      <c r="AH153" s="1467" t="str">
        <f>NOMINA!P128</f>
        <v>01020373280000440408</v>
      </c>
    </row>
    <row r="154" spans="1:34" s="620" customFormat="1" ht="20.100000000000001" customHeight="1" thickBot="1" x14ac:dyDescent="0.25">
      <c r="A154" s="758" t="s">
        <v>2846</v>
      </c>
      <c r="B154" s="759">
        <f t="shared" si="12"/>
        <v>87</v>
      </c>
      <c r="C154" s="1102" t="e">
        <f>NOMINA!#REF!</f>
        <v>#REF!</v>
      </c>
      <c r="D154" s="1103" t="e">
        <f>NOMINA!#REF!</f>
        <v>#REF!</v>
      </c>
      <c r="E154" s="1468" t="s">
        <v>4622</v>
      </c>
      <c r="F154" s="1110">
        <v>32351</v>
      </c>
      <c r="G154" s="1468" t="s">
        <v>4620</v>
      </c>
      <c r="H154" s="1442" t="e">
        <f>NOMINA!#REF!</f>
        <v>#REF!</v>
      </c>
      <c r="I154" s="1105">
        <f>NOMINA!I130</f>
        <v>5</v>
      </c>
      <c r="J154" s="1106">
        <f>NOMINA!J130</f>
        <v>0</v>
      </c>
      <c r="K154" s="1105">
        <f t="shared" si="10"/>
        <v>5</v>
      </c>
      <c r="L154" s="1106" t="s">
        <v>4932</v>
      </c>
      <c r="M154" s="1106"/>
      <c r="N154" s="1443" t="e">
        <f>NOMINA!#REF!</f>
        <v>#REF!</v>
      </c>
      <c r="O154" s="1106">
        <v>1.02087691000006E+18</v>
      </c>
      <c r="P154" s="1107" t="e">
        <f>ROUND(+NOMINA!#REF!,2)</f>
        <v>#REF!</v>
      </c>
      <c r="Q154" s="1108">
        <v>0</v>
      </c>
      <c r="R154" s="1108" t="e">
        <f>ROUND(+NOMINA!#REF!,2)</f>
        <v>#REF!</v>
      </c>
      <c r="S154" s="1108" t="e">
        <f>ROUND(+NOMINA!#REF!,2)</f>
        <v>#REF!</v>
      </c>
      <c r="T154" s="1108" t="e">
        <f>ROUND(+NOMINA!#REF!,2)</f>
        <v>#REF!</v>
      </c>
      <c r="U154" s="1108" t="e">
        <f>ROUND(+NOMINA!#REF!,2)</f>
        <v>#REF!</v>
      </c>
      <c r="V154" s="1108" t="e">
        <f>ROUND(NOMINA!#REF!,2)</f>
        <v>#REF!</v>
      </c>
      <c r="W154" s="1108" t="e">
        <f>+NOMINA!#REF!</f>
        <v>#REF!</v>
      </c>
      <c r="X154" s="1108" t="e">
        <f>+NOMINA!#REF!</f>
        <v>#REF!</v>
      </c>
      <c r="Y154" s="1108" t="e">
        <f>+NOMINA!#REF!</f>
        <v>#REF!</v>
      </c>
      <c r="Z154" s="1108" t="e">
        <f>+NOMINA!#REF!</f>
        <v>#REF!</v>
      </c>
      <c r="AA154" s="1108" t="e">
        <f>+NOMINA!#REF!</f>
        <v>#REF!</v>
      </c>
      <c r="AB154" s="1108" t="e">
        <f t="shared" si="11"/>
        <v>#REF!</v>
      </c>
      <c r="AD154" s="625"/>
      <c r="AH154" s="1467" t="str">
        <f>NOMINA!P129</f>
        <v>01020373280000440411</v>
      </c>
    </row>
    <row r="155" spans="1:34" s="620" customFormat="1" ht="20.100000000000001" customHeight="1" thickBot="1" x14ac:dyDescent="0.25">
      <c r="A155" s="758" t="s">
        <v>2846</v>
      </c>
      <c r="B155" s="759">
        <f t="shared" si="12"/>
        <v>88</v>
      </c>
      <c r="C155" s="1102">
        <f>NOMINA!C130</f>
        <v>13261035</v>
      </c>
      <c r="D155" s="1103" t="str">
        <f>NOMINA!D130</f>
        <v>Henry Peña Yokary Nakary</v>
      </c>
      <c r="E155" s="1468" t="s">
        <v>4622</v>
      </c>
      <c r="F155" s="1110">
        <v>32351</v>
      </c>
      <c r="G155" s="1468" t="s">
        <v>4620</v>
      </c>
      <c r="H155" s="1442">
        <f>NOMINA!H130</f>
        <v>43770</v>
      </c>
      <c r="I155" s="1105">
        <f>NOMINA!I131</f>
        <v>8</v>
      </c>
      <c r="J155" s="1106">
        <f>NOMINA!J131</f>
        <v>0</v>
      </c>
      <c r="K155" s="1105">
        <f t="shared" si="10"/>
        <v>8</v>
      </c>
      <c r="L155" s="1106" t="s">
        <v>4932</v>
      </c>
      <c r="M155" s="1106"/>
      <c r="N155" s="1443" t="str">
        <f>NOMINA!O130</f>
        <v>Entrenador Deportivo V</v>
      </c>
      <c r="O155" s="1106">
        <v>1.02087691000006E+18</v>
      </c>
      <c r="P155" s="1107">
        <f>ROUND(+NOMINA!T130,2)</f>
        <v>277</v>
      </c>
      <c r="Q155" s="1108">
        <v>0</v>
      </c>
      <c r="R155" s="1108">
        <f>ROUND(+NOMINA!AA130,2)</f>
        <v>13.85</v>
      </c>
      <c r="S155" s="1108">
        <f>ROUND(+NOMINA!AB130,2)</f>
        <v>130</v>
      </c>
      <c r="T155" s="1108">
        <f>ROUND(+NOMINA!AC130,2)</f>
        <v>0</v>
      </c>
      <c r="U155" s="1108">
        <f>ROUND(+NOMINA!AD130,2)</f>
        <v>105.21</v>
      </c>
      <c r="V155" s="1108">
        <f>ROUND(NOMINA!AQ130,2)</f>
        <v>0</v>
      </c>
      <c r="W155" s="1108">
        <f>+NOMINA!AS130</f>
        <v>0</v>
      </c>
      <c r="X155" s="1108">
        <f>+NOMINA!AT130</f>
        <v>0</v>
      </c>
      <c r="Y155" s="1108">
        <f>+NOMINA!AU130</f>
        <v>526.05999999999995</v>
      </c>
      <c r="Z155" s="1108">
        <f>+NOMINA!BX130</f>
        <v>986.36</v>
      </c>
      <c r="AA155" s="1108">
        <f>+NOMINA!BY130</f>
        <v>0</v>
      </c>
      <c r="AB155" s="1108">
        <f t="shared" si="11"/>
        <v>986.36</v>
      </c>
      <c r="AD155" s="625"/>
      <c r="AH155" s="1467" t="e">
        <f>NOMINA!#REF!</f>
        <v>#REF!</v>
      </c>
    </row>
    <row r="156" spans="1:34" s="620" customFormat="1" ht="20.100000000000001" customHeight="1" thickBot="1" x14ac:dyDescent="0.25">
      <c r="A156" s="758" t="s">
        <v>2846</v>
      </c>
      <c r="B156" s="759">
        <f t="shared" si="12"/>
        <v>89</v>
      </c>
      <c r="C156" s="1102">
        <f>NOMINA!C131</f>
        <v>13261229</v>
      </c>
      <c r="D156" s="1103" t="str">
        <f>NOMINA!D131</f>
        <v>Abreu Rodriguez Eva del Carmen</v>
      </c>
      <c r="E156" s="1468" t="s">
        <v>4622</v>
      </c>
      <c r="F156" s="1110">
        <v>32351</v>
      </c>
      <c r="G156" s="1468" t="s">
        <v>4620</v>
      </c>
      <c r="H156" s="1442">
        <f>NOMINA!H131</f>
        <v>42644</v>
      </c>
      <c r="I156" s="1105" t="e">
        <f>NOMINA!#REF!</f>
        <v>#REF!</v>
      </c>
      <c r="J156" s="1106" t="e">
        <f>NOMINA!#REF!</f>
        <v>#REF!</v>
      </c>
      <c r="K156" s="1105" t="e">
        <f t="shared" si="10"/>
        <v>#REF!</v>
      </c>
      <c r="L156" s="1106" t="s">
        <v>4932</v>
      </c>
      <c r="M156" s="1106"/>
      <c r="N156" s="1443" t="str">
        <f>NOMINA!O131</f>
        <v>Asistente Administrativo III</v>
      </c>
      <c r="O156" s="1106">
        <v>1.02087691000006E+18</v>
      </c>
      <c r="P156" s="1107">
        <f>ROUND(+NOMINA!T131,2)</f>
        <v>221</v>
      </c>
      <c r="Q156" s="1108">
        <v>0</v>
      </c>
      <c r="R156" s="1108">
        <f>ROUND(+NOMINA!AA131,2)</f>
        <v>19.010000000000002</v>
      </c>
      <c r="S156" s="1108">
        <f>ROUND(+NOMINA!AB131,2)</f>
        <v>130</v>
      </c>
      <c r="T156" s="1108">
        <f>ROUND(+NOMINA!AC131,2)</f>
        <v>12.5</v>
      </c>
      <c r="U156" s="1108">
        <f>ROUND(+NOMINA!AD131,2)</f>
        <v>76.5</v>
      </c>
      <c r="V156" s="1108">
        <f>ROUND(NOMINA!AQ131,2)</f>
        <v>0</v>
      </c>
      <c r="W156" s="1108">
        <f>+NOMINA!AS131</f>
        <v>0</v>
      </c>
      <c r="X156" s="1108">
        <f>+NOMINA!AT131</f>
        <v>12.5</v>
      </c>
      <c r="Y156" s="1108">
        <f>+NOMINA!AU131</f>
        <v>459.01</v>
      </c>
      <c r="Z156" s="1108">
        <f>+NOMINA!BX131</f>
        <v>860.65</v>
      </c>
      <c r="AA156" s="1108">
        <f>+NOMINA!BY131</f>
        <v>0</v>
      </c>
      <c r="AB156" s="1108">
        <f t="shared" si="11"/>
        <v>860.65</v>
      </c>
      <c r="AD156" s="625"/>
      <c r="AH156" s="1467" t="str">
        <f>NOMINA!P130</f>
        <v>01020373250100082685</v>
      </c>
    </row>
    <row r="157" spans="1:34" s="620" customFormat="1" ht="20.100000000000001" customHeight="1" thickBot="1" x14ac:dyDescent="0.25">
      <c r="A157" s="758" t="s">
        <v>2846</v>
      </c>
      <c r="B157" s="759">
        <f t="shared" si="12"/>
        <v>90</v>
      </c>
      <c r="C157" s="1102" t="e">
        <f>NOMINA!#REF!</f>
        <v>#REF!</v>
      </c>
      <c r="D157" s="1103" t="e">
        <f>NOMINA!#REF!</f>
        <v>#REF!</v>
      </c>
      <c r="E157" s="1468" t="s">
        <v>4622</v>
      </c>
      <c r="F157" s="1110">
        <v>32351</v>
      </c>
      <c r="G157" s="1468" t="s">
        <v>4620</v>
      </c>
      <c r="H157" s="1442" t="e">
        <f>NOMINA!#REF!</f>
        <v>#REF!</v>
      </c>
      <c r="I157" s="1105">
        <f>NOMINA!I132</f>
        <v>7</v>
      </c>
      <c r="J157" s="1106">
        <f>NOMINA!J132</f>
        <v>0</v>
      </c>
      <c r="K157" s="1105">
        <f t="shared" si="10"/>
        <v>7</v>
      </c>
      <c r="L157" s="1106" t="s">
        <v>4932</v>
      </c>
      <c r="M157" s="1106"/>
      <c r="N157" s="1443" t="e">
        <f>NOMINA!#REF!</f>
        <v>#REF!</v>
      </c>
      <c r="O157" s="1106">
        <v>1.02087691000006E+18</v>
      </c>
      <c r="P157" s="1107" t="e">
        <f>ROUND(+NOMINA!#REF!,2)</f>
        <v>#REF!</v>
      </c>
      <c r="Q157" s="1108">
        <v>0</v>
      </c>
      <c r="R157" s="1108" t="e">
        <f>ROUND(+NOMINA!#REF!,2)</f>
        <v>#REF!</v>
      </c>
      <c r="S157" s="1108" t="e">
        <f>ROUND(+NOMINA!#REF!,2)</f>
        <v>#REF!</v>
      </c>
      <c r="T157" s="1108" t="e">
        <f>ROUND(+NOMINA!#REF!,2)</f>
        <v>#REF!</v>
      </c>
      <c r="U157" s="1108" t="e">
        <f>ROUND(+NOMINA!#REF!,2)</f>
        <v>#REF!</v>
      </c>
      <c r="V157" s="1108" t="e">
        <f>ROUND(NOMINA!#REF!,2)</f>
        <v>#REF!</v>
      </c>
      <c r="W157" s="1108" t="e">
        <f>+NOMINA!#REF!</f>
        <v>#REF!</v>
      </c>
      <c r="X157" s="1108" t="e">
        <f>+NOMINA!#REF!</f>
        <v>#REF!</v>
      </c>
      <c r="Y157" s="1108" t="e">
        <f>+NOMINA!#REF!</f>
        <v>#REF!</v>
      </c>
      <c r="Z157" s="1108" t="e">
        <f>+NOMINA!#REF!</f>
        <v>#REF!</v>
      </c>
      <c r="AA157" s="1108" t="e">
        <f>+NOMINA!#REF!</f>
        <v>#REF!</v>
      </c>
      <c r="AB157" s="1108" t="e">
        <f t="shared" si="11"/>
        <v>#REF!</v>
      </c>
      <c r="AD157" s="625"/>
      <c r="AH157" s="1467" t="str">
        <f>NOMINA!P131</f>
        <v>01020373230000440453</v>
      </c>
    </row>
    <row r="158" spans="1:34" s="620" customFormat="1" ht="20.100000000000001" customHeight="1" thickBot="1" x14ac:dyDescent="0.25">
      <c r="A158" s="758" t="s">
        <v>2846</v>
      </c>
      <c r="B158" s="759">
        <f t="shared" si="12"/>
        <v>91</v>
      </c>
      <c r="C158" s="1102">
        <f>NOMINA!C132</f>
        <v>13461934</v>
      </c>
      <c r="D158" s="1103" t="str">
        <f>NOMINA!D132</f>
        <v>Ramirez Ayala Jenny Marisela</v>
      </c>
      <c r="E158" s="1468" t="s">
        <v>4622</v>
      </c>
      <c r="F158" s="1110">
        <v>32351</v>
      </c>
      <c r="G158" s="1468" t="s">
        <v>4620</v>
      </c>
      <c r="H158" s="1442">
        <f>NOMINA!H132</f>
        <v>43252</v>
      </c>
      <c r="I158" s="1105">
        <f>NOMINA!I133</f>
        <v>17</v>
      </c>
      <c r="J158" s="1106">
        <f>NOMINA!J133</f>
        <v>6</v>
      </c>
      <c r="K158" s="1105">
        <f t="shared" si="10"/>
        <v>23</v>
      </c>
      <c r="L158" s="1106" t="s">
        <v>4932</v>
      </c>
      <c r="M158" s="1106"/>
      <c r="N158" s="1443" t="str">
        <f>NOMINA!O132</f>
        <v>Guia de Centro II</v>
      </c>
      <c r="O158" s="1106">
        <v>1.02087691000006E+18</v>
      </c>
      <c r="P158" s="1107">
        <f>ROUND(+NOMINA!T132,2)</f>
        <v>170</v>
      </c>
      <c r="Q158" s="1108">
        <v>0</v>
      </c>
      <c r="R158" s="1108">
        <f>ROUND(+NOMINA!AA132,2)</f>
        <v>12.58</v>
      </c>
      <c r="S158" s="1108">
        <f>ROUND(+NOMINA!AB132,2)</f>
        <v>130</v>
      </c>
      <c r="T158" s="1108">
        <f>ROUND(+NOMINA!AC132,2)</f>
        <v>0</v>
      </c>
      <c r="U158" s="1108">
        <f>ROUND(+NOMINA!AD132,2)</f>
        <v>0</v>
      </c>
      <c r="V158" s="1108">
        <f>ROUND(NOMINA!AQ132,2)</f>
        <v>0</v>
      </c>
      <c r="W158" s="1108">
        <f>+NOMINA!AS132</f>
        <v>0</v>
      </c>
      <c r="X158" s="1108">
        <f>+NOMINA!AT132</f>
        <v>0</v>
      </c>
      <c r="Y158" s="1108">
        <f>+NOMINA!AU132</f>
        <v>406.35</v>
      </c>
      <c r="Z158" s="1108">
        <f>+NOMINA!BX132</f>
        <v>761.91</v>
      </c>
      <c r="AA158" s="1108">
        <f>+NOMINA!BY132</f>
        <v>0</v>
      </c>
      <c r="AB158" s="1108">
        <f t="shared" si="11"/>
        <v>761.91</v>
      </c>
      <c r="AD158" s="625"/>
      <c r="AH158" s="1467" t="e">
        <f>NOMINA!#REF!</f>
        <v>#REF!</v>
      </c>
    </row>
    <row r="159" spans="1:34" s="620" customFormat="1" ht="20.100000000000001" customHeight="1" thickBot="1" x14ac:dyDescent="0.25">
      <c r="A159" s="758" t="s">
        <v>2846</v>
      </c>
      <c r="B159" s="759">
        <f t="shared" si="12"/>
        <v>92</v>
      </c>
      <c r="C159" s="1102">
        <f>NOMINA!C133</f>
        <v>13462933</v>
      </c>
      <c r="D159" s="1103" t="str">
        <f>NOMINA!D133</f>
        <v>Frias Aldana Maria Yaritza</v>
      </c>
      <c r="E159" s="1468" t="s">
        <v>4622</v>
      </c>
      <c r="F159" s="1110">
        <v>32351</v>
      </c>
      <c r="G159" s="1468" t="s">
        <v>4620</v>
      </c>
      <c r="H159" s="1442">
        <f>NOMINA!H133</f>
        <v>39454</v>
      </c>
      <c r="I159" s="1105">
        <f>NOMINA!I134</f>
        <v>6</v>
      </c>
      <c r="J159" s="1106">
        <f>NOMINA!J134</f>
        <v>8</v>
      </c>
      <c r="K159" s="1105">
        <f t="shared" si="10"/>
        <v>14</v>
      </c>
      <c r="L159" s="1106" t="s">
        <v>4932</v>
      </c>
      <c r="M159" s="1106"/>
      <c r="N159" s="1443" t="str">
        <f>NOMINA!O133</f>
        <v>Administrador Jefe</v>
      </c>
      <c r="O159" s="1106">
        <v>1.02087691000006E+18</v>
      </c>
      <c r="P159" s="1107">
        <f>ROUND(+NOMINA!T133,2)</f>
        <v>0</v>
      </c>
      <c r="Q159" s="1108">
        <v>0</v>
      </c>
      <c r="R159" s="1108">
        <f>ROUND(+NOMINA!AA133,2)</f>
        <v>0</v>
      </c>
      <c r="S159" s="1108">
        <f>ROUND(+NOMINA!AB133,2)</f>
        <v>0</v>
      </c>
      <c r="T159" s="1108">
        <f>ROUND(+NOMINA!AC133,2)</f>
        <v>0</v>
      </c>
      <c r="U159" s="1108">
        <f>ROUND(+NOMINA!AD133,2)</f>
        <v>0</v>
      </c>
      <c r="V159" s="1108">
        <f>ROUND(NOMINA!AQ133,2)</f>
        <v>0</v>
      </c>
      <c r="W159" s="1108">
        <f>+NOMINA!AS133</f>
        <v>0</v>
      </c>
      <c r="X159" s="1108">
        <f>+NOMINA!AT133</f>
        <v>0</v>
      </c>
      <c r="Y159" s="1108">
        <f>+NOMINA!AU133</f>
        <v>0</v>
      </c>
      <c r="Z159" s="1108">
        <f>+NOMINA!BX133</f>
        <v>0</v>
      </c>
      <c r="AA159" s="1108">
        <f>+NOMINA!BY133</f>
        <v>0</v>
      </c>
      <c r="AB159" s="1108">
        <f t="shared" si="11"/>
        <v>0</v>
      </c>
      <c r="AD159" s="625"/>
      <c r="AH159" s="1467" t="str">
        <f>NOMINA!P132</f>
        <v>01020373200000573362</v>
      </c>
    </row>
    <row r="160" spans="1:34" s="620" customFormat="1" ht="20.100000000000001" customHeight="1" thickBot="1" x14ac:dyDescent="0.25">
      <c r="A160" s="758" t="s">
        <v>2846</v>
      </c>
      <c r="B160" s="759">
        <f t="shared" si="12"/>
        <v>93</v>
      </c>
      <c r="C160" s="1102">
        <f>NOMINA!C134</f>
        <v>13462511</v>
      </c>
      <c r="D160" s="1103" t="str">
        <f>NOMINA!D134</f>
        <v>Vielma Jenifer</v>
      </c>
      <c r="E160" s="1468" t="s">
        <v>4622</v>
      </c>
      <c r="F160" s="1110">
        <v>32351</v>
      </c>
      <c r="G160" s="1468" t="s">
        <v>4620</v>
      </c>
      <c r="H160" s="1442">
        <f>NOMINA!H134</f>
        <v>43738</v>
      </c>
      <c r="I160" s="1105">
        <f>NOMINA!I135</f>
        <v>5</v>
      </c>
      <c r="J160" s="1106">
        <f>NOMINA!J135</f>
        <v>0</v>
      </c>
      <c r="K160" s="1105">
        <f t="shared" si="10"/>
        <v>5</v>
      </c>
      <c r="L160" s="1106" t="s">
        <v>4932</v>
      </c>
      <c r="M160" s="1106"/>
      <c r="N160" s="1443" t="str">
        <f>NOMINA!O134</f>
        <v>Criminologo</v>
      </c>
      <c r="O160" s="1106">
        <v>1.02087691000006E+18</v>
      </c>
      <c r="P160" s="1107">
        <f>ROUND(+NOMINA!T134,2)</f>
        <v>312</v>
      </c>
      <c r="Q160" s="1108">
        <v>0</v>
      </c>
      <c r="R160" s="1108">
        <f>ROUND(+NOMINA!AA134,2)</f>
        <v>51.79</v>
      </c>
      <c r="S160" s="1108">
        <f>ROUND(+NOMINA!AB134,2)</f>
        <v>130</v>
      </c>
      <c r="T160" s="1108">
        <f>ROUND(+NOMINA!AC134,2)</f>
        <v>12.5</v>
      </c>
      <c r="U160" s="1108">
        <f>ROUND(+NOMINA!AD134,2)</f>
        <v>177.2</v>
      </c>
      <c r="V160" s="1108">
        <f>ROUND(NOMINA!AQ134,2)</f>
        <v>0</v>
      </c>
      <c r="W160" s="1108">
        <f>+NOMINA!AS134</f>
        <v>0</v>
      </c>
      <c r="X160" s="1108">
        <f>+NOMINA!AT134</f>
        <v>0</v>
      </c>
      <c r="Y160" s="1108">
        <f>+NOMINA!AU134</f>
        <v>683.49</v>
      </c>
      <c r="Z160" s="1108">
        <f>+NOMINA!BX134</f>
        <v>1281.55</v>
      </c>
      <c r="AA160" s="1108">
        <f>+NOMINA!BY134</f>
        <v>0</v>
      </c>
      <c r="AB160" s="1108">
        <f t="shared" si="11"/>
        <v>1281.55</v>
      </c>
      <c r="AD160" s="625"/>
      <c r="AH160" s="1467" t="str">
        <f>NOMINA!P133</f>
        <v>01020373210000440521</v>
      </c>
    </row>
    <row r="161" spans="1:34" s="620" customFormat="1" ht="20.100000000000001" customHeight="1" thickBot="1" x14ac:dyDescent="0.25">
      <c r="A161" s="758" t="s">
        <v>2846</v>
      </c>
      <c r="B161" s="759">
        <f t="shared" si="12"/>
        <v>94</v>
      </c>
      <c r="C161" s="1102">
        <f>NOMINA!C135</f>
        <v>13522518</v>
      </c>
      <c r="D161" s="1103" t="str">
        <f>NOMINA!D135</f>
        <v>Altuve Diaz Jose Antonio</v>
      </c>
      <c r="E161" s="1468" t="s">
        <v>4622</v>
      </c>
      <c r="F161" s="1110">
        <v>32351</v>
      </c>
      <c r="G161" s="1468" t="s">
        <v>4620</v>
      </c>
      <c r="H161" s="1442">
        <f>NOMINA!H135</f>
        <v>43739</v>
      </c>
      <c r="I161" s="1105">
        <f>NOMINA!I136</f>
        <v>22</v>
      </c>
      <c r="J161" s="1106">
        <f>NOMINA!J136</f>
        <v>0</v>
      </c>
      <c r="K161" s="1105">
        <f t="shared" si="10"/>
        <v>22</v>
      </c>
      <c r="L161" s="1106" t="s">
        <v>4932</v>
      </c>
      <c r="M161" s="1106"/>
      <c r="N161" s="1443" t="str">
        <f>NOMINA!O135</f>
        <v>Almacenista II</v>
      </c>
      <c r="O161" s="1106">
        <v>1.02087691000006E+18</v>
      </c>
      <c r="P161" s="1107">
        <f>ROUND(+NOMINA!T135,2)</f>
        <v>150</v>
      </c>
      <c r="Q161" s="1108">
        <v>0</v>
      </c>
      <c r="R161" s="1108">
        <f>ROUND(+NOMINA!AA135,2)</f>
        <v>7.5</v>
      </c>
      <c r="S161" s="1108">
        <f>ROUND(+NOMINA!AB135,2)</f>
        <v>130</v>
      </c>
      <c r="T161" s="1108">
        <f>ROUND(+NOMINA!AC135,2)</f>
        <v>12.5</v>
      </c>
      <c r="U161" s="1108">
        <f>ROUND(+NOMINA!AD135,2)</f>
        <v>0</v>
      </c>
      <c r="V161" s="1108">
        <f>ROUND(NOMINA!AQ135,2)</f>
        <v>0</v>
      </c>
      <c r="W161" s="1108">
        <f>+NOMINA!AS135</f>
        <v>0</v>
      </c>
      <c r="X161" s="1108">
        <f>+NOMINA!AT135</f>
        <v>12.5</v>
      </c>
      <c r="Y161" s="1108">
        <f>+NOMINA!AU135</f>
        <v>300</v>
      </c>
      <c r="Z161" s="1108">
        <f>+NOMINA!BX135</f>
        <v>562.5</v>
      </c>
      <c r="AA161" s="1108">
        <f>+NOMINA!BY135</f>
        <v>0</v>
      </c>
      <c r="AB161" s="1108">
        <f t="shared" si="11"/>
        <v>562.5</v>
      </c>
      <c r="AD161" s="625"/>
      <c r="AH161" s="1467" t="str">
        <f>NOMINA!P134</f>
        <v>01020369440000056960</v>
      </c>
    </row>
    <row r="162" spans="1:34" s="620" customFormat="1" ht="20.100000000000001" customHeight="1" thickBot="1" x14ac:dyDescent="0.25">
      <c r="A162" s="758" t="s">
        <v>2846</v>
      </c>
      <c r="B162" s="759">
        <f t="shared" si="12"/>
        <v>95</v>
      </c>
      <c r="C162" s="1102">
        <f>NOMINA!C136</f>
        <v>13523075</v>
      </c>
      <c r="D162" s="1103" t="str">
        <f>NOMINA!D136</f>
        <v>Zambrano Castellanos Maria Alejandra</v>
      </c>
      <c r="E162" s="1468" t="s">
        <v>4622</v>
      </c>
      <c r="F162" s="1110">
        <v>32351</v>
      </c>
      <c r="G162" s="1468" t="s">
        <v>4620</v>
      </c>
      <c r="H162" s="1442">
        <f>NOMINA!H136</f>
        <v>37718</v>
      </c>
      <c r="I162" s="1105" t="e">
        <f>NOMINA!#REF!</f>
        <v>#REF!</v>
      </c>
      <c r="J162" s="1106" t="e">
        <f>NOMINA!#REF!</f>
        <v>#REF!</v>
      </c>
      <c r="K162" s="1105" t="e">
        <f t="shared" si="10"/>
        <v>#REF!</v>
      </c>
      <c r="L162" s="1106" t="s">
        <v>4932</v>
      </c>
      <c r="M162" s="1106"/>
      <c r="N162" s="1443" t="str">
        <f>NOMINA!O136</f>
        <v>Planificador V</v>
      </c>
      <c r="O162" s="1106">
        <v>1.02087691000006E+18</v>
      </c>
      <c r="P162" s="1107">
        <f>ROUND(+NOMINA!T136,2)</f>
        <v>228</v>
      </c>
      <c r="Q162" s="1108">
        <v>0</v>
      </c>
      <c r="R162" s="1108">
        <f>ROUND(+NOMINA!AA136,2)</f>
        <v>67.489999999999995</v>
      </c>
      <c r="S162" s="1108">
        <f>ROUND(+NOMINA!AB136,2)</f>
        <v>130</v>
      </c>
      <c r="T162" s="1108">
        <f>ROUND(+NOMINA!AC136,2)</f>
        <v>25</v>
      </c>
      <c r="U162" s="1108">
        <f>ROUND(+NOMINA!AD136,2)</f>
        <v>90.1</v>
      </c>
      <c r="V162" s="1108">
        <f>ROUND(NOMINA!AQ136,2)</f>
        <v>0</v>
      </c>
      <c r="W162" s="1108">
        <f>+NOMINA!AS136</f>
        <v>0</v>
      </c>
      <c r="X162" s="1108">
        <f>+NOMINA!AT136</f>
        <v>25</v>
      </c>
      <c r="Y162" s="1108">
        <f>+NOMINA!AU136</f>
        <v>540.59</v>
      </c>
      <c r="Z162" s="1108">
        <f>+NOMINA!BX136</f>
        <v>1013.61</v>
      </c>
      <c r="AA162" s="1108">
        <f>+NOMINA!BY136</f>
        <v>0</v>
      </c>
      <c r="AB162" s="1108">
        <f t="shared" si="11"/>
        <v>1013.61</v>
      </c>
      <c r="AD162" s="625"/>
      <c r="AH162" s="1467" t="str">
        <f>NOMINA!P135</f>
        <v>01020747950100000700</v>
      </c>
    </row>
    <row r="163" spans="1:34" s="620" customFormat="1" ht="20.100000000000001" customHeight="1" thickBot="1" x14ac:dyDescent="0.25">
      <c r="A163" s="758" t="s">
        <v>2846</v>
      </c>
      <c r="B163" s="759">
        <f t="shared" si="12"/>
        <v>96</v>
      </c>
      <c r="C163" s="1102" t="e">
        <f>NOMINA!#REF!</f>
        <v>#REF!</v>
      </c>
      <c r="D163" s="1103" t="e">
        <f>NOMINA!#REF!</f>
        <v>#REF!</v>
      </c>
      <c r="E163" s="1468" t="s">
        <v>4622</v>
      </c>
      <c r="F163" s="1110">
        <v>32351</v>
      </c>
      <c r="G163" s="1468" t="s">
        <v>4620</v>
      </c>
      <c r="H163" s="1442" t="e">
        <f>NOMINA!#REF!</f>
        <v>#REF!</v>
      </c>
      <c r="I163" s="1105">
        <f>NOMINA!I137</f>
        <v>4</v>
      </c>
      <c r="J163" s="1106">
        <f>NOMINA!J137</f>
        <v>7</v>
      </c>
      <c r="K163" s="1105">
        <f t="shared" si="10"/>
        <v>11</v>
      </c>
      <c r="L163" s="1106" t="s">
        <v>4932</v>
      </c>
      <c r="M163" s="1106"/>
      <c r="N163" s="1443" t="e">
        <f>NOMINA!#REF!</f>
        <v>#REF!</v>
      </c>
      <c r="O163" s="1106">
        <v>1.02087691000006E+18</v>
      </c>
      <c r="P163" s="1107" t="e">
        <f>ROUND(+NOMINA!#REF!,2)</f>
        <v>#REF!</v>
      </c>
      <c r="Q163" s="1108">
        <v>0</v>
      </c>
      <c r="R163" s="1108" t="e">
        <f>ROUND(+NOMINA!#REF!,2)</f>
        <v>#REF!</v>
      </c>
      <c r="S163" s="1108" t="e">
        <f>ROUND(+NOMINA!#REF!,2)</f>
        <v>#REF!</v>
      </c>
      <c r="T163" s="1108" t="e">
        <f>ROUND(+NOMINA!#REF!,2)</f>
        <v>#REF!</v>
      </c>
      <c r="U163" s="1108" t="e">
        <f>ROUND(+NOMINA!#REF!,2)</f>
        <v>#REF!</v>
      </c>
      <c r="V163" s="1108" t="e">
        <f>ROUND(NOMINA!#REF!,2)</f>
        <v>#REF!</v>
      </c>
      <c r="W163" s="1108" t="e">
        <f>+NOMINA!#REF!</f>
        <v>#REF!</v>
      </c>
      <c r="X163" s="1108" t="e">
        <f>+NOMINA!#REF!</f>
        <v>#REF!</v>
      </c>
      <c r="Y163" s="1108" t="e">
        <f>+NOMINA!#REF!</f>
        <v>#REF!</v>
      </c>
      <c r="Z163" s="1108" t="e">
        <f>+NOMINA!#REF!</f>
        <v>#REF!</v>
      </c>
      <c r="AA163" s="1108" t="e">
        <f>+NOMINA!#REF!</f>
        <v>#REF!</v>
      </c>
      <c r="AB163" s="1108" t="e">
        <f t="shared" si="11"/>
        <v>#REF!</v>
      </c>
      <c r="AD163" s="625"/>
      <c r="AH163" s="1467" t="str">
        <f>NOMINA!P136</f>
        <v>01020373230000440534</v>
      </c>
    </row>
    <row r="164" spans="1:34" s="620" customFormat="1" ht="20.100000000000001" customHeight="1" thickBot="1" x14ac:dyDescent="0.25">
      <c r="A164" s="758" t="s">
        <v>2846</v>
      </c>
      <c r="B164" s="759">
        <f t="shared" si="12"/>
        <v>97</v>
      </c>
      <c r="C164" s="1102">
        <f>NOMINA!C137</f>
        <v>13765028</v>
      </c>
      <c r="D164" s="1103" t="str">
        <f>NOMINA!D137</f>
        <v>Diaz Ramirez Mileyda del Valle</v>
      </c>
      <c r="E164" s="1468" t="s">
        <v>4622</v>
      </c>
      <c r="F164" s="1110">
        <v>32351</v>
      </c>
      <c r="G164" s="1468" t="s">
        <v>4620</v>
      </c>
      <c r="H164" s="1442">
        <f>NOMINA!H137</f>
        <v>44348</v>
      </c>
      <c r="I164" s="1105">
        <f>NOMINA!I138</f>
        <v>12</v>
      </c>
      <c r="J164" s="1106">
        <f>NOMINA!J138</f>
        <v>0</v>
      </c>
      <c r="K164" s="1105">
        <f t="shared" si="10"/>
        <v>12</v>
      </c>
      <c r="L164" s="1106" t="s">
        <v>4932</v>
      </c>
      <c r="M164" s="1106"/>
      <c r="N164" s="1443" t="str">
        <f>NOMINA!O137</f>
        <v>Guia de Centro II</v>
      </c>
      <c r="O164" s="1106">
        <v>1.02087691000006E+18</v>
      </c>
      <c r="P164" s="1107">
        <f>ROUND(+NOMINA!T137,2)</f>
        <v>223</v>
      </c>
      <c r="Q164" s="1108">
        <v>0</v>
      </c>
      <c r="R164" s="1108">
        <f>ROUND(+NOMINA!AA137,2)</f>
        <v>27.65</v>
      </c>
      <c r="S164" s="1108">
        <f>ROUND(+NOMINA!AB137,2)</f>
        <v>130</v>
      </c>
      <c r="T164" s="1108">
        <f>ROUND(+NOMINA!AC137,2)</f>
        <v>0</v>
      </c>
      <c r="U164" s="1108">
        <f>ROUND(+NOMINA!AD137,2)</f>
        <v>76.13</v>
      </c>
      <c r="V164" s="1108">
        <f>ROUND(NOMINA!AQ137,2)</f>
        <v>0</v>
      </c>
      <c r="W164" s="1108">
        <f>+NOMINA!AS137</f>
        <v>0</v>
      </c>
      <c r="X164" s="1108">
        <f>+NOMINA!AT137</f>
        <v>0</v>
      </c>
      <c r="Y164" s="1108">
        <f>+NOMINA!AU137</f>
        <v>593.80999999999995</v>
      </c>
      <c r="Z164" s="1108">
        <f>+NOMINA!BX137</f>
        <v>1113.4000000000001</v>
      </c>
      <c r="AA164" s="1108">
        <f>+NOMINA!BY137</f>
        <v>0</v>
      </c>
      <c r="AB164" s="1108">
        <f t="shared" si="11"/>
        <v>1113.4000000000001</v>
      </c>
      <c r="AD164" s="625"/>
      <c r="AH164" s="1467" t="e">
        <f>NOMINA!#REF!</f>
        <v>#REF!</v>
      </c>
    </row>
    <row r="165" spans="1:34" s="620" customFormat="1" ht="20.100000000000001" customHeight="1" thickBot="1" x14ac:dyDescent="0.25">
      <c r="A165" s="758" t="s">
        <v>2846</v>
      </c>
      <c r="B165" s="759">
        <f t="shared" si="12"/>
        <v>98</v>
      </c>
      <c r="C165" s="1102">
        <f>NOMINA!C138</f>
        <v>13896147</v>
      </c>
      <c r="D165" s="1103" t="str">
        <f>NOMINA!D138</f>
        <v>Carrizo Blanco Belquis Cecilia</v>
      </c>
      <c r="E165" s="1468" t="s">
        <v>4622</v>
      </c>
      <c r="F165" s="1110">
        <v>32351</v>
      </c>
      <c r="G165" s="1468" t="s">
        <v>4620</v>
      </c>
      <c r="H165" s="1442">
        <f>NOMINA!H138</f>
        <v>41334</v>
      </c>
      <c r="I165" s="1105">
        <f>NOMINA!I139</f>
        <v>9</v>
      </c>
      <c r="J165" s="1106">
        <f>NOMINA!J139</f>
        <v>0</v>
      </c>
      <c r="K165" s="1105">
        <f t="shared" si="10"/>
        <v>9</v>
      </c>
      <c r="L165" s="1106" t="s">
        <v>4932</v>
      </c>
      <c r="M165" s="1106"/>
      <c r="N165" s="1443" t="str">
        <f>NOMINA!O138</f>
        <v>Administrador III</v>
      </c>
      <c r="O165" s="1106">
        <v>1.02087691000006E+18</v>
      </c>
      <c r="P165" s="1107">
        <f>ROUND(+NOMINA!T138,2)</f>
        <v>283</v>
      </c>
      <c r="Q165" s="1108">
        <v>0</v>
      </c>
      <c r="R165" s="1108">
        <f>ROUND(+NOMINA!AA138,2)</f>
        <v>39.049999999999997</v>
      </c>
      <c r="S165" s="1108">
        <f>ROUND(+NOMINA!AB138,2)</f>
        <v>130</v>
      </c>
      <c r="T165" s="1108">
        <f>ROUND(+NOMINA!AC138,2)</f>
        <v>0</v>
      </c>
      <c r="U165" s="1108">
        <f>ROUND(+NOMINA!AD138,2)</f>
        <v>113.01</v>
      </c>
      <c r="V165" s="1108">
        <f>ROUND(NOMINA!AQ138,2)</f>
        <v>0</v>
      </c>
      <c r="W165" s="1108">
        <f>+NOMINA!AS138</f>
        <v>0</v>
      </c>
      <c r="X165" s="1108">
        <f>+NOMINA!AT138</f>
        <v>0</v>
      </c>
      <c r="Y165" s="1108">
        <f>+NOMINA!AU138</f>
        <v>565.05999999999995</v>
      </c>
      <c r="Z165" s="1108">
        <f>+NOMINA!BX138</f>
        <v>1059.49</v>
      </c>
      <c r="AA165" s="1108">
        <f>+NOMINA!BY138</f>
        <v>0</v>
      </c>
      <c r="AB165" s="1108">
        <f t="shared" si="11"/>
        <v>1059.49</v>
      </c>
      <c r="AD165" s="625"/>
      <c r="AH165" s="1467" t="str">
        <f>NOMINA!P137</f>
        <v>01020373210000440602</v>
      </c>
    </row>
    <row r="166" spans="1:34" s="620" customFormat="1" ht="20.100000000000001" customHeight="1" thickBot="1" x14ac:dyDescent="0.25">
      <c r="A166" s="758" t="s">
        <v>2846</v>
      </c>
      <c r="B166" s="759">
        <f t="shared" si="12"/>
        <v>99</v>
      </c>
      <c r="C166" s="1102">
        <f>NOMINA!C139</f>
        <v>13896239</v>
      </c>
      <c r="D166" s="1103" t="str">
        <f>NOMINA!D139</f>
        <v>Sulbaran Campos Yusneida Ayarith</v>
      </c>
      <c r="E166" s="1468" t="s">
        <v>4622</v>
      </c>
      <c r="F166" s="1110">
        <v>32351</v>
      </c>
      <c r="G166" s="1468" t="s">
        <v>4620</v>
      </c>
      <c r="H166" s="1442">
        <f>NOMINA!H139</f>
        <v>42416</v>
      </c>
      <c r="I166" s="1105">
        <f>NOMINA!I140</f>
        <v>9</v>
      </c>
      <c r="J166" s="1106">
        <f>NOMINA!J140</f>
        <v>0</v>
      </c>
      <c r="K166" s="1105">
        <f t="shared" si="10"/>
        <v>9</v>
      </c>
      <c r="L166" s="1106" t="s">
        <v>4932</v>
      </c>
      <c r="M166" s="1106"/>
      <c r="N166" s="1443" t="str">
        <f>NOMINA!O139</f>
        <v>Analista de Presupuesto IV</v>
      </c>
      <c r="O166" s="1106">
        <v>1.02087691000006E+18</v>
      </c>
      <c r="P166" s="1107">
        <f>ROUND(+NOMINA!T139,2)</f>
        <v>172</v>
      </c>
      <c r="Q166" s="1108">
        <v>0</v>
      </c>
      <c r="R166" s="1108">
        <f>ROUND(+NOMINA!AA139,2)</f>
        <v>16.86</v>
      </c>
      <c r="S166" s="1108">
        <f>ROUND(+NOMINA!AB139,2)</f>
        <v>130</v>
      </c>
      <c r="T166" s="1108">
        <f>ROUND(+NOMINA!AC139,2)</f>
        <v>12.5</v>
      </c>
      <c r="U166" s="1108">
        <f>ROUND(+NOMINA!AD139,2)</f>
        <v>0</v>
      </c>
      <c r="V166" s="1108">
        <f>ROUND(NOMINA!AQ139,2)</f>
        <v>0</v>
      </c>
      <c r="W166" s="1108">
        <f>+NOMINA!AS139</f>
        <v>0</v>
      </c>
      <c r="X166" s="1108">
        <f>+NOMINA!AT139</f>
        <v>12.5</v>
      </c>
      <c r="Y166" s="1108">
        <f>+NOMINA!AU139</f>
        <v>331.36</v>
      </c>
      <c r="Z166" s="1108">
        <f>+NOMINA!BX139</f>
        <v>621.29999999999995</v>
      </c>
      <c r="AA166" s="1108">
        <f>+NOMINA!BY139</f>
        <v>0</v>
      </c>
      <c r="AB166" s="1108">
        <f t="shared" si="11"/>
        <v>621.29999999999995</v>
      </c>
      <c r="AD166" s="625"/>
      <c r="AH166" s="1467" t="str">
        <f>NOMINA!P138</f>
        <v>01020494100000117605</v>
      </c>
    </row>
    <row r="167" spans="1:34" s="620" customFormat="1" ht="20.100000000000001" customHeight="1" thickBot="1" x14ac:dyDescent="0.25">
      <c r="A167" s="758" t="s">
        <v>2846</v>
      </c>
      <c r="B167" s="759">
        <f t="shared" si="12"/>
        <v>100</v>
      </c>
      <c r="C167" s="1102">
        <f>NOMINA!C140</f>
        <v>13897046</v>
      </c>
      <c r="D167" s="1103" t="str">
        <f>NOMINA!D140</f>
        <v>Artigas Sanchez Mireya Carolina</v>
      </c>
      <c r="E167" s="1468" t="s">
        <v>4622</v>
      </c>
      <c r="F167" s="1110">
        <v>32351</v>
      </c>
      <c r="G167" s="1468" t="s">
        <v>4620</v>
      </c>
      <c r="H167" s="1442">
        <f>NOMINA!H140</f>
        <v>42384</v>
      </c>
      <c r="I167" s="1105">
        <f>NOMINA!I141</f>
        <v>17</v>
      </c>
      <c r="J167" s="1106">
        <f>NOMINA!J141</f>
        <v>3</v>
      </c>
      <c r="K167" s="1105">
        <f t="shared" si="10"/>
        <v>20</v>
      </c>
      <c r="L167" s="1106" t="s">
        <v>4932</v>
      </c>
      <c r="M167" s="1106"/>
      <c r="N167" s="1443" t="str">
        <f>NOMINA!O140</f>
        <v>Tecnico Superior en Trabajo Social II</v>
      </c>
      <c r="O167" s="1106">
        <v>1.02087691000006E+18</v>
      </c>
      <c r="P167" s="1107">
        <f>ROUND(+NOMINA!T140,2)</f>
        <v>223</v>
      </c>
      <c r="Q167" s="1108">
        <v>0</v>
      </c>
      <c r="R167" s="1108">
        <f>ROUND(+NOMINA!AA140,2)</f>
        <v>21.85</v>
      </c>
      <c r="S167" s="1108">
        <f>ROUND(+NOMINA!AB140,2)</f>
        <v>130</v>
      </c>
      <c r="T167" s="1108">
        <f>ROUND(+NOMINA!AC140,2)</f>
        <v>25</v>
      </c>
      <c r="U167" s="1108">
        <f>ROUND(+NOMINA!AD140,2)</f>
        <v>79.97</v>
      </c>
      <c r="V167" s="1108">
        <f>ROUND(NOMINA!AQ140,2)</f>
        <v>0</v>
      </c>
      <c r="W167" s="1108">
        <f>+NOMINA!AS140</f>
        <v>0</v>
      </c>
      <c r="X167" s="1108">
        <f>+NOMINA!AT140</f>
        <v>25</v>
      </c>
      <c r="Y167" s="1108">
        <f>+NOMINA!AU140</f>
        <v>479.82</v>
      </c>
      <c r="Z167" s="1108">
        <f>+NOMINA!BX140</f>
        <v>899.66</v>
      </c>
      <c r="AA167" s="1108">
        <f>+NOMINA!BY140</f>
        <v>0</v>
      </c>
      <c r="AB167" s="1108">
        <f t="shared" si="11"/>
        <v>899.66</v>
      </c>
      <c r="AD167" s="625"/>
      <c r="AH167" s="1467" t="str">
        <f>NOMINA!P139</f>
        <v>01020373220000439781</v>
      </c>
    </row>
    <row r="168" spans="1:34" s="620" customFormat="1" ht="20.100000000000001" customHeight="1" thickBot="1" x14ac:dyDescent="0.25">
      <c r="A168" s="758" t="s">
        <v>2846</v>
      </c>
      <c r="B168" s="759">
        <f t="shared" si="12"/>
        <v>101</v>
      </c>
      <c r="C168" s="1102">
        <f>NOMINA!C141</f>
        <v>13897695</v>
      </c>
      <c r="D168" s="1103" t="str">
        <f>NOMINA!D141</f>
        <v>Araujo Matheus Alba Mariela</v>
      </c>
      <c r="E168" s="1468" t="s">
        <v>4622</v>
      </c>
      <c r="F168" s="1110">
        <v>32351</v>
      </c>
      <c r="G168" s="1468" t="s">
        <v>4620</v>
      </c>
      <c r="H168" s="1442">
        <f>NOMINA!H141</f>
        <v>39496</v>
      </c>
      <c r="I168" s="1105">
        <f>NOMINA!I142</f>
        <v>16</v>
      </c>
      <c r="J168" s="1106">
        <f>NOMINA!J142</f>
        <v>0</v>
      </c>
      <c r="K168" s="1105">
        <f t="shared" si="10"/>
        <v>16</v>
      </c>
      <c r="L168" s="1106" t="s">
        <v>4932</v>
      </c>
      <c r="M168" s="1106"/>
      <c r="N168" s="1443" t="str">
        <f>NOMINA!O141</f>
        <v>Analista de Presupuesto Jefe</v>
      </c>
      <c r="O168" s="1106">
        <v>1.02087691000006E+18</v>
      </c>
      <c r="P168" s="1107">
        <f>ROUND(+NOMINA!T141,2)</f>
        <v>287</v>
      </c>
      <c r="Q168" s="1108">
        <v>0</v>
      </c>
      <c r="R168" s="1108">
        <f>ROUND(+NOMINA!AA141,2)</f>
        <v>74.62</v>
      </c>
      <c r="S168" s="1108">
        <f>ROUND(+NOMINA!AB141,2)</f>
        <v>130</v>
      </c>
      <c r="T168" s="1108">
        <f>ROUND(+NOMINA!AC141,2)</f>
        <v>25</v>
      </c>
      <c r="U168" s="1108">
        <f>ROUND(+NOMINA!AD141,2)</f>
        <v>129.16</v>
      </c>
      <c r="V168" s="1108">
        <f>ROUND(NOMINA!AQ141,2)</f>
        <v>0</v>
      </c>
      <c r="W168" s="1108">
        <f>+NOMINA!AS141</f>
        <v>0</v>
      </c>
      <c r="X168" s="1108">
        <f>+NOMINA!AT141</f>
        <v>25</v>
      </c>
      <c r="Y168" s="1108">
        <f>+NOMINA!AU141</f>
        <v>645.78</v>
      </c>
      <c r="Z168" s="1108">
        <f>+NOMINA!BX141</f>
        <v>1210.8399999999999</v>
      </c>
      <c r="AA168" s="1108">
        <f>+NOMINA!BY141</f>
        <v>0</v>
      </c>
      <c r="AB168" s="1108">
        <f t="shared" si="11"/>
        <v>1210.8399999999999</v>
      </c>
      <c r="AD168" s="625"/>
      <c r="AH168" s="1467" t="str">
        <f>NOMINA!P140</f>
        <v>01020373240000439794</v>
      </c>
    </row>
    <row r="169" spans="1:34" s="620" customFormat="1" ht="20.100000000000001" customHeight="1" thickBot="1" x14ac:dyDescent="0.25">
      <c r="A169" s="758" t="s">
        <v>2846</v>
      </c>
      <c r="B169" s="759">
        <f t="shared" si="12"/>
        <v>102</v>
      </c>
      <c r="C169" s="1102">
        <f>NOMINA!C142</f>
        <v>13996024</v>
      </c>
      <c r="D169" s="1103" t="str">
        <f>NOMINA!D142</f>
        <v>Perez Barrios Helenmar</v>
      </c>
      <c r="E169" s="1468" t="s">
        <v>4622</v>
      </c>
      <c r="F169" s="1110">
        <v>32351</v>
      </c>
      <c r="G169" s="1468" t="s">
        <v>4620</v>
      </c>
      <c r="H169" s="1442">
        <f>NOMINA!H142</f>
        <v>40028</v>
      </c>
      <c r="I169" s="1105">
        <f>NOMINA!I144</f>
        <v>14</v>
      </c>
      <c r="J169" s="1106">
        <f>NOMINA!J144</f>
        <v>6</v>
      </c>
      <c r="K169" s="1105">
        <f t="shared" si="10"/>
        <v>20</v>
      </c>
      <c r="L169" s="1106" t="s">
        <v>4932</v>
      </c>
      <c r="M169" s="1106"/>
      <c r="N169" s="1443" t="str">
        <f>NOMINA!O142</f>
        <v>Contador III</v>
      </c>
      <c r="O169" s="1106">
        <v>1.02087691000006E+18</v>
      </c>
      <c r="P169" s="1107">
        <f>ROUND(+NOMINA!T142,2)</f>
        <v>285</v>
      </c>
      <c r="Q169" s="1108">
        <v>0</v>
      </c>
      <c r="R169" s="1108">
        <f>ROUND(+NOMINA!AA142,2)</f>
        <v>55.86</v>
      </c>
      <c r="S169" s="1108">
        <f>ROUND(+NOMINA!AB142,2)</f>
        <v>130</v>
      </c>
      <c r="T169" s="1108">
        <f>ROUND(+NOMINA!AC142,2)</f>
        <v>12.5</v>
      </c>
      <c r="U169" s="1108">
        <f>ROUND(+NOMINA!AD142,2)</f>
        <v>120.84</v>
      </c>
      <c r="V169" s="1108">
        <f>ROUND(NOMINA!AQ142,2)</f>
        <v>0</v>
      </c>
      <c r="W169" s="1108">
        <f>+NOMINA!AS142</f>
        <v>0</v>
      </c>
      <c r="X169" s="1108">
        <f>+NOMINA!AT142</f>
        <v>12.5</v>
      </c>
      <c r="Y169" s="1108">
        <f>+NOMINA!AU142</f>
        <v>604.20000000000005</v>
      </c>
      <c r="Z169" s="1108">
        <f>+NOMINA!BX142</f>
        <v>1132.8800000000001</v>
      </c>
      <c r="AA169" s="1108">
        <f>+NOMINA!BY142</f>
        <v>0</v>
      </c>
      <c r="AB169" s="1108">
        <f t="shared" si="11"/>
        <v>1132.8800000000001</v>
      </c>
      <c r="AD169" s="625"/>
      <c r="AH169" s="1467" t="str">
        <f>NOMINA!P141</f>
        <v>01020373250000439804</v>
      </c>
    </row>
    <row r="170" spans="1:34" s="620" customFormat="1" ht="20.100000000000001" customHeight="1" thickBot="1" x14ac:dyDescent="0.25">
      <c r="A170" s="758" t="s">
        <v>2846</v>
      </c>
      <c r="B170" s="759">
        <f t="shared" si="12"/>
        <v>103</v>
      </c>
      <c r="C170" s="1102">
        <f>NOMINA!C144</f>
        <v>14106648</v>
      </c>
      <c r="D170" s="1103" t="str">
        <f>NOMINA!D144</f>
        <v>Aguilar Flores Heidy Coromoto</v>
      </c>
      <c r="E170" s="1468" t="s">
        <v>4622</v>
      </c>
      <c r="F170" s="1110">
        <v>32351</v>
      </c>
      <c r="G170" s="1468" t="s">
        <v>4620</v>
      </c>
      <c r="H170" s="1442">
        <f>NOMINA!H144</f>
        <v>40787</v>
      </c>
      <c r="I170" s="1105">
        <f>NOMINA!I145</f>
        <v>3</v>
      </c>
      <c r="J170" s="1106">
        <f>NOMINA!J145</f>
        <v>0</v>
      </c>
      <c r="K170" s="1105">
        <f t="shared" si="10"/>
        <v>3</v>
      </c>
      <c r="L170" s="1106" t="s">
        <v>4932</v>
      </c>
      <c r="M170" s="1106"/>
      <c r="N170" s="1443" t="str">
        <f>NOMINA!O144</f>
        <v>Asistente Administrativo IV</v>
      </c>
      <c r="O170" s="1106">
        <v>1.02087691000006E+18</v>
      </c>
      <c r="P170" s="1107">
        <f>ROUND(+NOMINA!T144,2)</f>
        <v>228</v>
      </c>
      <c r="Q170" s="1108">
        <v>0</v>
      </c>
      <c r="R170" s="1108">
        <f>ROUND(+NOMINA!AA144,2)</f>
        <v>59.28</v>
      </c>
      <c r="S170" s="1108">
        <f>ROUND(+NOMINA!AB144,2)</f>
        <v>130</v>
      </c>
      <c r="T170" s="1108">
        <f>ROUND(+NOMINA!AC144,2)</f>
        <v>12.5</v>
      </c>
      <c r="U170" s="1108">
        <f>ROUND(+NOMINA!AD144,2)</f>
        <v>85.96</v>
      </c>
      <c r="V170" s="1108">
        <f>ROUND(NOMINA!AQ144,2)</f>
        <v>0</v>
      </c>
      <c r="W170" s="1108">
        <f>+NOMINA!AS144</f>
        <v>0</v>
      </c>
      <c r="X170" s="1108">
        <f>+NOMINA!AT144</f>
        <v>0</v>
      </c>
      <c r="Y170" s="1108">
        <f>+NOMINA!AU144</f>
        <v>515.74</v>
      </c>
      <c r="Z170" s="1108">
        <f>+NOMINA!BX144</f>
        <v>967.01</v>
      </c>
      <c r="AA170" s="1108">
        <f>+NOMINA!BY144</f>
        <v>0</v>
      </c>
      <c r="AB170" s="1108">
        <f t="shared" si="11"/>
        <v>967.01</v>
      </c>
      <c r="AD170" s="625"/>
      <c r="AH170" s="1467" t="str">
        <f>NOMINA!P142</f>
        <v>01020373270000439817</v>
      </c>
    </row>
    <row r="171" spans="1:34" s="620" customFormat="1" ht="20.100000000000001" customHeight="1" thickBot="1" x14ac:dyDescent="0.25">
      <c r="A171" s="758" t="s">
        <v>2846</v>
      </c>
      <c r="B171" s="759">
        <f t="shared" si="12"/>
        <v>104</v>
      </c>
      <c r="C171" s="1102">
        <f>NOMINA!C145</f>
        <v>14329448</v>
      </c>
      <c r="D171" s="1103" t="str">
        <f>NOMINA!D145</f>
        <v>Leal Mejia Jociany Trinny</v>
      </c>
      <c r="E171" s="1468" t="s">
        <v>4622</v>
      </c>
      <c r="F171" s="1110">
        <v>32351</v>
      </c>
      <c r="G171" s="1468" t="s">
        <v>4620</v>
      </c>
      <c r="H171" s="1442">
        <f>NOMINA!H145</f>
        <v>44743</v>
      </c>
      <c r="I171" s="1105">
        <f>NOMINA!I146</f>
        <v>5</v>
      </c>
      <c r="J171" s="1106">
        <f>NOMINA!J146</f>
        <v>11</v>
      </c>
      <c r="K171" s="1105">
        <f t="shared" si="10"/>
        <v>16</v>
      </c>
      <c r="L171" s="1106" t="s">
        <v>4932</v>
      </c>
      <c r="M171" s="1106"/>
      <c r="N171" s="1443" t="str">
        <f>NOMINA!O145</f>
        <v>Tutor Facilitador I</v>
      </c>
      <c r="O171" s="1106">
        <v>1.02087691000006E+18</v>
      </c>
      <c r="P171" s="1107">
        <f>ROUND(+NOMINA!T145,2)</f>
        <v>277</v>
      </c>
      <c r="Q171" s="1108">
        <v>0</v>
      </c>
      <c r="R171" s="1108">
        <f>ROUND(+NOMINA!AA145,2)</f>
        <v>8.31</v>
      </c>
      <c r="S171" s="1108">
        <f>ROUND(+NOMINA!AB145,2)</f>
        <v>130</v>
      </c>
      <c r="T171" s="1108">
        <f>ROUND(+NOMINA!AC145,2)</f>
        <v>12.5</v>
      </c>
      <c r="U171" s="1108">
        <f>ROUND(+NOMINA!AD145,2)</f>
        <v>106.95</v>
      </c>
      <c r="V171" s="1108">
        <f>ROUND(NOMINA!AQ145,2)</f>
        <v>0</v>
      </c>
      <c r="W171" s="1108">
        <f>+NOMINA!AS145</f>
        <v>0</v>
      </c>
      <c r="X171" s="1108">
        <f>+NOMINA!AT145</f>
        <v>0</v>
      </c>
      <c r="Y171" s="1108">
        <f>+NOMINA!AU145</f>
        <v>534.76</v>
      </c>
      <c r="Z171" s="1108">
        <f>+NOMINA!BX145</f>
        <v>1002.68</v>
      </c>
      <c r="AA171" s="1108">
        <f>+NOMINA!BY145</f>
        <v>0</v>
      </c>
      <c r="AB171" s="1108">
        <f t="shared" si="11"/>
        <v>1002.68</v>
      </c>
      <c r="AD171" s="625"/>
      <c r="AH171" s="1467" t="str">
        <f>NOMINA!P144</f>
        <v>01020373210000439846</v>
      </c>
    </row>
    <row r="172" spans="1:34" s="620" customFormat="1" ht="20.100000000000001" customHeight="1" thickBot="1" x14ac:dyDescent="0.25">
      <c r="A172" s="758" t="s">
        <v>2846</v>
      </c>
      <c r="B172" s="759">
        <f t="shared" si="12"/>
        <v>105</v>
      </c>
      <c r="C172" s="1102">
        <f>NOMINA!C146</f>
        <v>14406240</v>
      </c>
      <c r="D172" s="1103" t="str">
        <f>NOMINA!D146</f>
        <v>Sarmiento Suarez Karem Yanira</v>
      </c>
      <c r="E172" s="1468" t="s">
        <v>4622</v>
      </c>
      <c r="F172" s="1110">
        <v>32351</v>
      </c>
      <c r="G172" s="1468" t="s">
        <v>4620</v>
      </c>
      <c r="H172" s="1442">
        <f>NOMINA!H146</f>
        <v>43785</v>
      </c>
      <c r="I172" s="1105">
        <f>NOMINA!I147</f>
        <v>7</v>
      </c>
      <c r="J172" s="1106">
        <f>NOMINA!J147</f>
        <v>0</v>
      </c>
      <c r="K172" s="1105">
        <f t="shared" si="10"/>
        <v>7</v>
      </c>
      <c r="L172" s="1106" t="s">
        <v>4932</v>
      </c>
      <c r="M172" s="1106"/>
      <c r="N172" s="1443" t="str">
        <f>NOMINA!O146</f>
        <v>Tecnico Superior en Trabajo Social II</v>
      </c>
      <c r="O172" s="1106">
        <v>1.02087691000006E+18</v>
      </c>
      <c r="P172" s="1107">
        <f>ROUND(+NOMINA!T146,2)</f>
        <v>226</v>
      </c>
      <c r="Q172" s="1108">
        <v>0</v>
      </c>
      <c r="R172" s="1108">
        <f>ROUND(+NOMINA!AA146,2)</f>
        <v>44.3</v>
      </c>
      <c r="S172" s="1108">
        <f>ROUND(+NOMINA!AB146,2)</f>
        <v>130</v>
      </c>
      <c r="T172" s="1108">
        <f>ROUND(+NOMINA!AC146,2)</f>
        <v>0</v>
      </c>
      <c r="U172" s="1108">
        <f>ROUND(+NOMINA!AD146,2)</f>
        <v>100.08</v>
      </c>
      <c r="V172" s="1108">
        <f>ROUND(NOMINA!AQ146,2)</f>
        <v>0</v>
      </c>
      <c r="W172" s="1108">
        <f>+NOMINA!AS146</f>
        <v>0</v>
      </c>
      <c r="X172" s="1108">
        <f>+NOMINA!AT146</f>
        <v>0</v>
      </c>
      <c r="Y172" s="1108">
        <f>+NOMINA!AU146</f>
        <v>500.38</v>
      </c>
      <c r="Z172" s="1108">
        <f>+NOMINA!BX146</f>
        <v>938.21</v>
      </c>
      <c r="AA172" s="1108">
        <f>+NOMINA!BY146</f>
        <v>0</v>
      </c>
      <c r="AB172" s="1108">
        <f t="shared" si="11"/>
        <v>938.21</v>
      </c>
      <c r="AD172" s="625"/>
      <c r="AH172" s="1467" t="str">
        <f>NOMINA!P145</f>
        <v>01020494110000176662</v>
      </c>
    </row>
    <row r="173" spans="1:34" s="620" customFormat="1" ht="20.100000000000001" customHeight="1" thickBot="1" x14ac:dyDescent="0.25">
      <c r="A173" s="758" t="s">
        <v>2846</v>
      </c>
      <c r="B173" s="759">
        <f t="shared" si="12"/>
        <v>106</v>
      </c>
      <c r="C173" s="1102">
        <f>NOMINA!C147</f>
        <v>14459607</v>
      </c>
      <c r="D173" s="1103" t="str">
        <f>NOMINA!D147</f>
        <v>Martinez Leal Deyanira Yusissan</v>
      </c>
      <c r="E173" s="1468" t="s">
        <v>4622</v>
      </c>
      <c r="F173" s="1110">
        <v>32351</v>
      </c>
      <c r="G173" s="1468" t="s">
        <v>4620</v>
      </c>
      <c r="H173" s="1442">
        <f>NOMINA!H147</f>
        <v>43116</v>
      </c>
      <c r="I173" s="1105">
        <f>NOMINA!I148</f>
        <v>6</v>
      </c>
      <c r="J173" s="1106">
        <f>NOMINA!J148</f>
        <v>0</v>
      </c>
      <c r="K173" s="1105">
        <f t="shared" si="10"/>
        <v>6</v>
      </c>
      <c r="L173" s="1106" t="s">
        <v>4932</v>
      </c>
      <c r="M173" s="1106"/>
      <c r="N173" s="1443" t="str">
        <f>NOMINA!O147</f>
        <v>Tecnico Superior en Trabajo Social II</v>
      </c>
      <c r="O173" s="1106">
        <v>1.02087691000006E+18</v>
      </c>
      <c r="P173" s="1107">
        <f>ROUND(+NOMINA!T147,2)</f>
        <v>221</v>
      </c>
      <c r="Q173" s="1108">
        <v>0</v>
      </c>
      <c r="R173" s="1108">
        <f>ROUND(+NOMINA!AA147,2)</f>
        <v>16.350000000000001</v>
      </c>
      <c r="S173" s="1108">
        <f>ROUND(+NOMINA!AB147,2)</f>
        <v>130</v>
      </c>
      <c r="T173" s="1108">
        <f>ROUND(+NOMINA!AC147,2)</f>
        <v>25</v>
      </c>
      <c r="U173" s="1108">
        <f>ROUND(+NOMINA!AD147,2)</f>
        <v>78.47</v>
      </c>
      <c r="V173" s="1108">
        <f>ROUND(NOMINA!AQ147,2)</f>
        <v>0</v>
      </c>
      <c r="W173" s="1108">
        <f>+NOMINA!AS147</f>
        <v>0</v>
      </c>
      <c r="X173" s="1108">
        <f>+NOMINA!AT147</f>
        <v>25</v>
      </c>
      <c r="Y173" s="1108">
        <f>+NOMINA!AU147</f>
        <v>470.82</v>
      </c>
      <c r="Z173" s="1108">
        <f>+NOMINA!BX147</f>
        <v>882.79</v>
      </c>
      <c r="AA173" s="1108">
        <f>+NOMINA!BY147</f>
        <v>0</v>
      </c>
      <c r="AB173" s="1108">
        <f t="shared" si="11"/>
        <v>882.79</v>
      </c>
      <c r="AD173" s="625"/>
      <c r="AH173" s="1467" t="str">
        <f>NOMINA!P146</f>
        <v>01020369400000057134</v>
      </c>
    </row>
    <row r="174" spans="1:34" s="620" customFormat="1" ht="20.100000000000001" customHeight="1" thickBot="1" x14ac:dyDescent="0.25">
      <c r="A174" s="758" t="s">
        <v>2846</v>
      </c>
      <c r="B174" s="759">
        <f t="shared" si="12"/>
        <v>107</v>
      </c>
      <c r="C174" s="1102">
        <f>NOMINA!C148</f>
        <v>14598170</v>
      </c>
      <c r="D174" s="1103" t="str">
        <f>NOMINA!D148</f>
        <v>Rendon Utrilla Gerson Paul</v>
      </c>
      <c r="E174" s="1468" t="s">
        <v>4622</v>
      </c>
      <c r="F174" s="1110">
        <v>32351</v>
      </c>
      <c r="G174" s="1468" t="s">
        <v>4620</v>
      </c>
      <c r="H174" s="1442">
        <f>NOMINA!H148</f>
        <v>43435</v>
      </c>
      <c r="I174" s="1105">
        <f>NOMINA!I149</f>
        <v>4</v>
      </c>
      <c r="J174" s="1106">
        <f>NOMINA!J149</f>
        <v>0</v>
      </c>
      <c r="K174" s="1105">
        <f t="shared" si="10"/>
        <v>4</v>
      </c>
      <c r="L174" s="1106" t="s">
        <v>4932</v>
      </c>
      <c r="M174" s="1106"/>
      <c r="N174" s="1443" t="str">
        <f>NOMINA!O148</f>
        <v>Tutor Facilitador III</v>
      </c>
      <c r="O174" s="1106">
        <v>1.02087691000006E+18</v>
      </c>
      <c r="P174" s="1107">
        <f>ROUND(+NOMINA!T148,2)</f>
        <v>279</v>
      </c>
      <c r="Q174" s="1108">
        <v>0</v>
      </c>
      <c r="R174" s="1108">
        <f>ROUND(+NOMINA!AA148,2)</f>
        <v>17.3</v>
      </c>
      <c r="S174" s="1108">
        <f>ROUND(+NOMINA!AB148,2)</f>
        <v>130</v>
      </c>
      <c r="T174" s="1108">
        <f>ROUND(+NOMINA!AC148,2)</f>
        <v>12.5</v>
      </c>
      <c r="U174" s="1108">
        <f>ROUND(+NOMINA!AD148,2)</f>
        <v>109.7</v>
      </c>
      <c r="V174" s="1108">
        <f>ROUND(NOMINA!AQ148,2)</f>
        <v>0</v>
      </c>
      <c r="W174" s="1108">
        <f>+NOMINA!AS148</f>
        <v>0</v>
      </c>
      <c r="X174" s="1108">
        <f>+NOMINA!AT148</f>
        <v>0</v>
      </c>
      <c r="Y174" s="1108">
        <f>+NOMINA!AU148</f>
        <v>548.5</v>
      </c>
      <c r="Z174" s="1108">
        <f>+NOMINA!BX148</f>
        <v>1028.44</v>
      </c>
      <c r="AA174" s="1108">
        <f>+NOMINA!BY148</f>
        <v>0</v>
      </c>
      <c r="AB174" s="1108">
        <f t="shared" si="11"/>
        <v>1028.44</v>
      </c>
      <c r="AD174" s="625"/>
      <c r="AH174" s="1467" t="str">
        <f>NOMINA!P147</f>
        <v>01020494160100019464</v>
      </c>
    </row>
    <row r="175" spans="1:34" s="620" customFormat="1" ht="20.100000000000001" customHeight="1" thickBot="1" x14ac:dyDescent="0.25">
      <c r="A175" s="758" t="s">
        <v>2846</v>
      </c>
      <c r="B175" s="759">
        <f t="shared" si="12"/>
        <v>108</v>
      </c>
      <c r="C175" s="1102">
        <f>NOMINA!C149</f>
        <v>14598687</v>
      </c>
      <c r="D175" s="1103" t="str">
        <f>NOMINA!D149</f>
        <v>Godoy Bracamonte Juan Carlos</v>
      </c>
      <c r="E175" s="1468" t="s">
        <v>4622</v>
      </c>
      <c r="F175" s="1110">
        <v>32351</v>
      </c>
      <c r="G175" s="1468" t="s">
        <v>4620</v>
      </c>
      <c r="H175" s="1442">
        <f>NOMINA!H149</f>
        <v>44332</v>
      </c>
      <c r="I175" s="1105" t="e">
        <f>NOMINA!#REF!</f>
        <v>#REF!</v>
      </c>
      <c r="J175" s="1106" t="e">
        <f>NOMINA!#REF!</f>
        <v>#REF!</v>
      </c>
      <c r="K175" s="1105" t="e">
        <f t="shared" si="10"/>
        <v>#REF!</v>
      </c>
      <c r="L175" s="1106" t="s">
        <v>4932</v>
      </c>
      <c r="M175" s="1106"/>
      <c r="N175" s="1443" t="str">
        <f>NOMINA!O149</f>
        <v>Entrenador Deportivo IV</v>
      </c>
      <c r="O175" s="1106">
        <v>1.02087691000006E+18</v>
      </c>
      <c r="P175" s="1107">
        <f>ROUND(+NOMINA!T149,2)</f>
        <v>307</v>
      </c>
      <c r="Q175" s="1108">
        <v>0</v>
      </c>
      <c r="R175" s="1108">
        <f>ROUND(+NOMINA!AA149,2)</f>
        <v>12.28</v>
      </c>
      <c r="S175" s="1108">
        <f>ROUND(+NOMINA!AB149,2)</f>
        <v>130</v>
      </c>
      <c r="T175" s="1108">
        <f>ROUND(+NOMINA!AC149,2)</f>
        <v>12.5</v>
      </c>
      <c r="U175" s="1108">
        <f>ROUND(+NOMINA!AD149,2)</f>
        <v>161.62</v>
      </c>
      <c r="V175" s="1108">
        <f>ROUND(NOMINA!AQ149,2)</f>
        <v>0</v>
      </c>
      <c r="W175" s="1108">
        <f>+NOMINA!AS149</f>
        <v>0</v>
      </c>
      <c r="X175" s="1108">
        <f>+NOMINA!AT149</f>
        <v>0</v>
      </c>
      <c r="Y175" s="1108">
        <f>+NOMINA!AU149</f>
        <v>623.4</v>
      </c>
      <c r="Z175" s="1108">
        <f>+NOMINA!BX149</f>
        <v>1168.8800000000001</v>
      </c>
      <c r="AA175" s="1108">
        <f>+NOMINA!BY149</f>
        <v>0</v>
      </c>
      <c r="AB175" s="1108">
        <f t="shared" si="11"/>
        <v>1168.8800000000001</v>
      </c>
      <c r="AD175" s="625"/>
      <c r="AH175" s="1467" t="str">
        <f>NOMINA!P148</f>
        <v>01020373260000608033</v>
      </c>
    </row>
    <row r="176" spans="1:34" s="620" customFormat="1" ht="20.100000000000001" customHeight="1" thickBot="1" x14ac:dyDescent="0.25">
      <c r="A176" s="758" t="s">
        <v>2846</v>
      </c>
      <c r="B176" s="759">
        <f t="shared" si="12"/>
        <v>109</v>
      </c>
      <c r="C176" s="1102" t="e">
        <f>NOMINA!#REF!</f>
        <v>#REF!</v>
      </c>
      <c r="D176" s="1103" t="e">
        <f>NOMINA!#REF!</f>
        <v>#REF!</v>
      </c>
      <c r="E176" s="1468" t="s">
        <v>4622</v>
      </c>
      <c r="F176" s="1110">
        <v>32351</v>
      </c>
      <c r="G176" s="1468" t="s">
        <v>4620</v>
      </c>
      <c r="H176" s="1442" t="e">
        <f>NOMINA!#REF!</f>
        <v>#REF!</v>
      </c>
      <c r="I176" s="1105">
        <f>NOMINA!I150</f>
        <v>2</v>
      </c>
      <c r="J176" s="1106">
        <f>NOMINA!J150</f>
        <v>0</v>
      </c>
      <c r="K176" s="1105">
        <f t="shared" si="10"/>
        <v>2</v>
      </c>
      <c r="L176" s="1106" t="s">
        <v>4932</v>
      </c>
      <c r="M176" s="1106"/>
      <c r="N176" s="1443" t="e">
        <f>NOMINA!#REF!</f>
        <v>#REF!</v>
      </c>
      <c r="O176" s="1106">
        <v>1.02087691000006E+18</v>
      </c>
      <c r="P176" s="1107" t="e">
        <f>ROUND(+NOMINA!#REF!,2)</f>
        <v>#REF!</v>
      </c>
      <c r="Q176" s="1108">
        <v>0</v>
      </c>
      <c r="R176" s="1108" t="e">
        <f>ROUND(+NOMINA!#REF!,2)</f>
        <v>#REF!</v>
      </c>
      <c r="S176" s="1108" t="e">
        <f>ROUND(+NOMINA!#REF!,2)</f>
        <v>#REF!</v>
      </c>
      <c r="T176" s="1108" t="e">
        <f>ROUND(+NOMINA!#REF!,2)</f>
        <v>#REF!</v>
      </c>
      <c r="U176" s="1108" t="e">
        <f>ROUND(+NOMINA!#REF!,2)</f>
        <v>#REF!</v>
      </c>
      <c r="V176" s="1108" t="e">
        <f>ROUND(NOMINA!#REF!,2)</f>
        <v>#REF!</v>
      </c>
      <c r="W176" s="1108" t="e">
        <f>+NOMINA!#REF!</f>
        <v>#REF!</v>
      </c>
      <c r="X176" s="1108" t="e">
        <f>+NOMINA!#REF!</f>
        <v>#REF!</v>
      </c>
      <c r="Y176" s="1108" t="e">
        <f>+NOMINA!#REF!</f>
        <v>#REF!</v>
      </c>
      <c r="Z176" s="1108" t="e">
        <f>+NOMINA!#REF!</f>
        <v>#REF!</v>
      </c>
      <c r="AA176" s="1108" t="e">
        <f>+NOMINA!#REF!</f>
        <v>#REF!</v>
      </c>
      <c r="AB176" s="1108" t="e">
        <f t="shared" si="11"/>
        <v>#REF!</v>
      </c>
      <c r="AD176" s="625"/>
      <c r="AH176" s="1467" t="str">
        <f>NOMINA!P149</f>
        <v>01020373290000030960</v>
      </c>
    </row>
    <row r="177" spans="1:34" s="620" customFormat="1" ht="20.100000000000001" customHeight="1" thickBot="1" x14ac:dyDescent="0.25">
      <c r="A177" s="758" t="s">
        <v>2846</v>
      </c>
      <c r="B177" s="759">
        <f t="shared" si="12"/>
        <v>110</v>
      </c>
      <c r="C177" s="1102">
        <f>NOMINA!C150</f>
        <v>14719639</v>
      </c>
      <c r="D177" s="1103" t="str">
        <f>NOMINA!D150</f>
        <v>Coy de Dorante Sandra Liliana</v>
      </c>
      <c r="E177" s="1468" t="s">
        <v>4622</v>
      </c>
      <c r="F177" s="1110">
        <v>32351</v>
      </c>
      <c r="G177" s="1468" t="s">
        <v>4620</v>
      </c>
      <c r="H177" s="1442">
        <f>NOMINA!H150</f>
        <v>44896</v>
      </c>
      <c r="I177" s="1105">
        <f>NOMINA!I151</f>
        <v>19</v>
      </c>
      <c r="J177" s="1106">
        <f>NOMINA!J151</f>
        <v>0</v>
      </c>
      <c r="K177" s="1105">
        <f t="shared" si="10"/>
        <v>19</v>
      </c>
      <c r="L177" s="1106" t="s">
        <v>4932</v>
      </c>
      <c r="M177" s="1106"/>
      <c r="N177" s="1443" t="str">
        <f>NOMINA!O150</f>
        <v>Guia de Centro I</v>
      </c>
      <c r="O177" s="1106">
        <v>1.02087691000006E+18</v>
      </c>
      <c r="P177" s="1107">
        <f>ROUND(+NOMINA!T150,2)</f>
        <v>130</v>
      </c>
      <c r="Q177" s="1108">
        <v>0</v>
      </c>
      <c r="R177" s="1108">
        <f>ROUND(+NOMINA!AA150,2)</f>
        <v>2.6</v>
      </c>
      <c r="S177" s="1108">
        <f>ROUND(+NOMINA!AB150,2)</f>
        <v>130</v>
      </c>
      <c r="T177" s="1108">
        <f>ROUND(+NOMINA!AC150,2)</f>
        <v>25</v>
      </c>
      <c r="U177" s="1108">
        <f>ROUND(+NOMINA!AD150,2)</f>
        <v>0</v>
      </c>
      <c r="V177" s="1108">
        <f>ROUND(NOMINA!AQ150,2)</f>
        <v>0</v>
      </c>
      <c r="W177" s="1108">
        <f>+NOMINA!AS150</f>
        <v>0</v>
      </c>
      <c r="X177" s="1108">
        <f>+NOMINA!AT150</f>
        <v>0</v>
      </c>
      <c r="Y177" s="1108">
        <f>+NOMINA!AU150</f>
        <v>373.88</v>
      </c>
      <c r="Z177" s="1108">
        <f>+NOMINA!BX150</f>
        <v>701.03</v>
      </c>
      <c r="AA177" s="1108">
        <f>+NOMINA!BY150</f>
        <v>0</v>
      </c>
      <c r="AB177" s="1108">
        <f t="shared" si="11"/>
        <v>701.03</v>
      </c>
      <c r="AD177" s="625"/>
      <c r="AH177" s="1467" t="e">
        <f>NOMINA!#REF!</f>
        <v>#REF!</v>
      </c>
    </row>
    <row r="178" spans="1:34" s="620" customFormat="1" ht="20.100000000000001" customHeight="1" thickBot="1" x14ac:dyDescent="0.25">
      <c r="A178" s="758" t="s">
        <v>2846</v>
      </c>
      <c r="B178" s="759">
        <f t="shared" si="12"/>
        <v>111</v>
      </c>
      <c r="C178" s="1102">
        <f>NOMINA!C151</f>
        <v>14739168</v>
      </c>
      <c r="D178" s="1103" t="str">
        <f>NOMINA!D151</f>
        <v>Briceño Hernandez Yeny del Carmen</v>
      </c>
      <c r="E178" s="1468" t="s">
        <v>4622</v>
      </c>
      <c r="F178" s="1110">
        <v>32351</v>
      </c>
      <c r="G178" s="1468" t="s">
        <v>4620</v>
      </c>
      <c r="H178" s="1442">
        <f>NOMINA!H151</f>
        <v>38841</v>
      </c>
      <c r="I178" s="1105">
        <f>NOMINA!I152</f>
        <v>4</v>
      </c>
      <c r="J178" s="1106">
        <f>NOMINA!J152</f>
        <v>11</v>
      </c>
      <c r="K178" s="1105">
        <f t="shared" si="10"/>
        <v>15</v>
      </c>
      <c r="L178" s="1106" t="s">
        <v>4932</v>
      </c>
      <c r="M178" s="1106"/>
      <c r="N178" s="1443" t="str">
        <f>NOMINA!O151</f>
        <v>Trabajador Social III</v>
      </c>
      <c r="O178" s="1106">
        <v>1.02087691000006E+18</v>
      </c>
      <c r="P178" s="1107">
        <f>ROUND(+NOMINA!T151,2)</f>
        <v>228</v>
      </c>
      <c r="Q178" s="1108">
        <v>0</v>
      </c>
      <c r="R178" s="1108">
        <f>ROUND(+NOMINA!AA151,2)</f>
        <v>55.63</v>
      </c>
      <c r="S178" s="1108">
        <f>ROUND(+NOMINA!AB151,2)</f>
        <v>130</v>
      </c>
      <c r="T178" s="1108">
        <f>ROUND(+NOMINA!AC151,2)</f>
        <v>12.5</v>
      </c>
      <c r="U178" s="1108">
        <f>ROUND(+NOMINA!AD151,2)</f>
        <v>85.23</v>
      </c>
      <c r="V178" s="1108">
        <f>ROUND(NOMINA!AQ151,2)</f>
        <v>0</v>
      </c>
      <c r="W178" s="1108">
        <f>+NOMINA!AS151</f>
        <v>0</v>
      </c>
      <c r="X178" s="1108">
        <f>+NOMINA!AT151</f>
        <v>12.5</v>
      </c>
      <c r="Y178" s="1108">
        <f>+NOMINA!AU151</f>
        <v>511.36</v>
      </c>
      <c r="Z178" s="1108">
        <f>+NOMINA!BX151</f>
        <v>958.8</v>
      </c>
      <c r="AA178" s="1108">
        <f>+NOMINA!BY151</f>
        <v>0</v>
      </c>
      <c r="AB178" s="1108">
        <f t="shared" si="11"/>
        <v>958.8</v>
      </c>
      <c r="AD178" s="625"/>
      <c r="AH178" s="1467" t="str">
        <f>NOMINA!P150</f>
        <v>01020747990100002783</v>
      </c>
    </row>
    <row r="179" spans="1:34" s="620" customFormat="1" ht="20.100000000000001" customHeight="1" thickBot="1" x14ac:dyDescent="0.25">
      <c r="A179" s="758" t="s">
        <v>2846</v>
      </c>
      <c r="B179" s="759">
        <f t="shared" si="12"/>
        <v>112</v>
      </c>
      <c r="C179" s="1102">
        <f>NOMINA!C152</f>
        <v>14928034</v>
      </c>
      <c r="D179" s="1103" t="str">
        <f>NOMINA!D152</f>
        <v>Ramirez Palomares Mariana Teresa</v>
      </c>
      <c r="E179" s="1468" t="s">
        <v>4622</v>
      </c>
      <c r="F179" s="1110">
        <v>32351</v>
      </c>
      <c r="G179" s="1468" t="s">
        <v>4620</v>
      </c>
      <c r="H179" s="1442">
        <f>NOMINA!H152</f>
        <v>44302</v>
      </c>
      <c r="I179" s="1105">
        <f>NOMINA!I153</f>
        <v>18</v>
      </c>
      <c r="J179" s="1106">
        <f>NOMINA!J153</f>
        <v>0</v>
      </c>
      <c r="K179" s="1105">
        <f t="shared" si="10"/>
        <v>18</v>
      </c>
      <c r="L179" s="1106" t="s">
        <v>4932</v>
      </c>
      <c r="M179" s="1106"/>
      <c r="N179" s="1443" t="str">
        <f>NOMINA!O152</f>
        <v>Promotor Cultural I</v>
      </c>
      <c r="O179" s="1106">
        <v>1.02087691000006E+18</v>
      </c>
      <c r="P179" s="1107">
        <f>ROUND(+NOMINA!T152,2)</f>
        <v>176</v>
      </c>
      <c r="Q179" s="1108">
        <v>0</v>
      </c>
      <c r="R179" s="1108">
        <f>ROUND(+NOMINA!AA152,2)</f>
        <v>31.68</v>
      </c>
      <c r="S179" s="1108">
        <f>ROUND(+NOMINA!AB152,2)</f>
        <v>130</v>
      </c>
      <c r="T179" s="1108">
        <f>ROUND(+NOMINA!AC152,2)</f>
        <v>0</v>
      </c>
      <c r="U179" s="1108">
        <f>ROUND(+NOMINA!AD152,2)</f>
        <v>0</v>
      </c>
      <c r="V179" s="1108">
        <f>ROUND(NOMINA!AQ152,2)</f>
        <v>0</v>
      </c>
      <c r="W179" s="1108">
        <f>+NOMINA!AS152</f>
        <v>0</v>
      </c>
      <c r="X179" s="1108">
        <f>+NOMINA!AT152</f>
        <v>0</v>
      </c>
      <c r="Y179" s="1108">
        <f>+NOMINA!AU152</f>
        <v>337.68</v>
      </c>
      <c r="Z179" s="1108">
        <f>+NOMINA!BX152</f>
        <v>633.15</v>
      </c>
      <c r="AA179" s="1108">
        <f>+NOMINA!BY152</f>
        <v>0</v>
      </c>
      <c r="AB179" s="1108">
        <f t="shared" si="11"/>
        <v>633.15</v>
      </c>
      <c r="AD179" s="625"/>
      <c r="AH179" s="1467" t="str">
        <f>NOMINA!P151</f>
        <v>01020373290000440822</v>
      </c>
    </row>
    <row r="180" spans="1:34" s="620" customFormat="1" ht="20.100000000000001" customHeight="1" thickBot="1" x14ac:dyDescent="0.25">
      <c r="A180" s="758" t="s">
        <v>2846</v>
      </c>
      <c r="B180" s="759">
        <f t="shared" si="12"/>
        <v>113</v>
      </c>
      <c r="C180" s="1102">
        <f>NOMINA!C153</f>
        <v>14928260</v>
      </c>
      <c r="D180" s="1103" t="str">
        <f>NOMINA!D153</f>
        <v>Rivas Ana Lucila</v>
      </c>
      <c r="E180" s="1468" t="s">
        <v>4622</v>
      </c>
      <c r="F180" s="1110">
        <v>32351</v>
      </c>
      <c r="G180" s="1468" t="s">
        <v>4620</v>
      </c>
      <c r="H180" s="1442">
        <f>NOMINA!H153</f>
        <v>39104</v>
      </c>
      <c r="I180" s="1105">
        <f>NOMINA!I154</f>
        <v>6</v>
      </c>
      <c r="J180" s="1106">
        <f>NOMINA!J154</f>
        <v>0</v>
      </c>
      <c r="K180" s="1105">
        <f t="shared" si="10"/>
        <v>6</v>
      </c>
      <c r="L180" s="1106" t="s">
        <v>4932</v>
      </c>
      <c r="M180" s="1106"/>
      <c r="N180" s="1443" t="str">
        <f>NOMINA!O153</f>
        <v>Tutor Facilitador I</v>
      </c>
      <c r="O180" s="1106">
        <v>1.02087691000006E+18</v>
      </c>
      <c r="P180" s="1107">
        <f>ROUND(+NOMINA!T153,2)</f>
        <v>228</v>
      </c>
      <c r="Q180" s="1108">
        <v>0</v>
      </c>
      <c r="R180" s="1108">
        <f>ROUND(+NOMINA!AA153,2)</f>
        <v>51.98</v>
      </c>
      <c r="S180" s="1108">
        <f>ROUND(+NOMINA!AB153,2)</f>
        <v>130</v>
      </c>
      <c r="T180" s="1108">
        <f>ROUND(+NOMINA!AC153,2)</f>
        <v>12.5</v>
      </c>
      <c r="U180" s="1108">
        <f>ROUND(+NOMINA!AD153,2)</f>
        <v>84.5</v>
      </c>
      <c r="V180" s="1108">
        <f>ROUND(NOMINA!AQ153,2)</f>
        <v>0</v>
      </c>
      <c r="W180" s="1108">
        <f>+NOMINA!AS153</f>
        <v>0</v>
      </c>
      <c r="X180" s="1108">
        <f>+NOMINA!AT153</f>
        <v>0</v>
      </c>
      <c r="Y180" s="1108">
        <f>+NOMINA!AU153</f>
        <v>506.98</v>
      </c>
      <c r="Z180" s="1108">
        <f>+NOMINA!BX153</f>
        <v>950.59</v>
      </c>
      <c r="AA180" s="1108">
        <f>+NOMINA!BY153</f>
        <v>0</v>
      </c>
      <c r="AB180" s="1108">
        <f t="shared" si="11"/>
        <v>950.59</v>
      </c>
      <c r="AD180" s="625"/>
      <c r="AH180" s="1467" t="str">
        <f>NOMINA!P152</f>
        <v>01020373240000440864</v>
      </c>
    </row>
    <row r="181" spans="1:34" s="620" customFormat="1" ht="20.100000000000001" customHeight="1" thickBot="1" x14ac:dyDescent="0.25">
      <c r="A181" s="758" t="s">
        <v>2846</v>
      </c>
      <c r="B181" s="759">
        <f t="shared" si="12"/>
        <v>114</v>
      </c>
      <c r="C181" s="1102">
        <f>NOMINA!C154</f>
        <v>14929642</v>
      </c>
      <c r="D181" s="1103" t="str">
        <f>NOMINA!D154</f>
        <v>Alvarran Arjona Ismenia del Carmen</v>
      </c>
      <c r="E181" s="1468" t="s">
        <v>4622</v>
      </c>
      <c r="F181" s="1110">
        <v>32351</v>
      </c>
      <c r="G181" s="1468" t="s">
        <v>4620</v>
      </c>
      <c r="H181" s="1442">
        <f>NOMINA!H154</f>
        <v>43419</v>
      </c>
      <c r="I181" s="1105">
        <f>NOMINA!I155</f>
        <v>3</v>
      </c>
      <c r="J181" s="1106">
        <f>NOMINA!J155</f>
        <v>0</v>
      </c>
      <c r="K181" s="1105">
        <f t="shared" si="10"/>
        <v>3</v>
      </c>
      <c r="L181" s="1106" t="s">
        <v>4932</v>
      </c>
      <c r="M181" s="1106"/>
      <c r="N181" s="1443" t="str">
        <f>NOMINA!O154</f>
        <v>GUIA DE CENTRO II</v>
      </c>
      <c r="O181" s="1106">
        <v>1.02087691000006E+18</v>
      </c>
      <c r="P181" s="1107">
        <f>ROUND(+NOMINA!T154,2)</f>
        <v>221</v>
      </c>
      <c r="Q181" s="1108">
        <v>0</v>
      </c>
      <c r="R181" s="1108">
        <f>ROUND(+NOMINA!AA154,2)</f>
        <v>13.7</v>
      </c>
      <c r="S181" s="1108">
        <f>ROUND(+NOMINA!AB154,2)</f>
        <v>130</v>
      </c>
      <c r="T181" s="1108">
        <f>ROUND(+NOMINA!AC154,2)</f>
        <v>12.5</v>
      </c>
      <c r="U181" s="1108">
        <f>ROUND(+NOMINA!AD154,2)</f>
        <v>75.44</v>
      </c>
      <c r="V181" s="1108">
        <f>ROUND(NOMINA!AQ154,2)</f>
        <v>0</v>
      </c>
      <c r="W181" s="1108">
        <f>+NOMINA!AS154</f>
        <v>0</v>
      </c>
      <c r="X181" s="1108">
        <f>+NOMINA!AT154</f>
        <v>12.5</v>
      </c>
      <c r="Y181" s="1108">
        <f>+NOMINA!AU154</f>
        <v>588.42999999999995</v>
      </c>
      <c r="Z181" s="1108">
        <f>+NOMINA!BX154</f>
        <v>1103.31</v>
      </c>
      <c r="AA181" s="1108">
        <f>+NOMINA!BY154</f>
        <v>0</v>
      </c>
      <c r="AB181" s="1108">
        <f t="shared" si="11"/>
        <v>1103.31</v>
      </c>
      <c r="AD181" s="625"/>
      <c r="AH181" s="1467" t="str">
        <f>NOMINA!P153</f>
        <v>01020373260000440877</v>
      </c>
    </row>
    <row r="182" spans="1:34" s="620" customFormat="1" ht="20.100000000000001" customHeight="1" thickBot="1" x14ac:dyDescent="0.25">
      <c r="A182" s="758" t="s">
        <v>2846</v>
      </c>
      <c r="B182" s="759">
        <f t="shared" si="12"/>
        <v>115</v>
      </c>
      <c r="C182" s="1102">
        <f>NOMINA!C155</f>
        <v>14986675</v>
      </c>
      <c r="D182" s="1103" t="str">
        <f>NOMINA!D155</f>
        <v>Mecias Nuñez Shirly Ygnacia</v>
      </c>
      <c r="E182" s="1468" t="s">
        <v>4622</v>
      </c>
      <c r="F182" s="1110">
        <v>32351</v>
      </c>
      <c r="G182" s="1468" t="s">
        <v>4620</v>
      </c>
      <c r="H182" s="1442">
        <f>NOMINA!H155</f>
        <v>44805</v>
      </c>
      <c r="I182" s="1105">
        <f>NOMINA!I156</f>
        <v>4</v>
      </c>
      <c r="J182" s="1106">
        <f>NOMINA!J156</f>
        <v>0</v>
      </c>
      <c r="K182" s="1105">
        <f t="shared" si="10"/>
        <v>4</v>
      </c>
      <c r="L182" s="1106" t="s">
        <v>4932</v>
      </c>
      <c r="M182" s="1106"/>
      <c r="N182" s="1443" t="str">
        <f>NOMINA!O155</f>
        <v>Tutor Facilitador I</v>
      </c>
      <c r="O182" s="1106">
        <v>1.02087691000006E+18</v>
      </c>
      <c r="P182" s="1107">
        <f>ROUND(+NOMINA!T155,2)</f>
        <v>277</v>
      </c>
      <c r="Q182" s="1108">
        <v>0</v>
      </c>
      <c r="R182" s="1108">
        <f>ROUND(+NOMINA!AA155,2)</f>
        <v>8.31</v>
      </c>
      <c r="S182" s="1108">
        <f>ROUND(+NOMINA!AB155,2)</f>
        <v>130</v>
      </c>
      <c r="T182" s="1108">
        <f>ROUND(+NOMINA!AC155,2)</f>
        <v>12.5</v>
      </c>
      <c r="U182" s="1108">
        <f>ROUND(+NOMINA!AD155,2)</f>
        <v>106.95</v>
      </c>
      <c r="V182" s="1108">
        <f>ROUND(NOMINA!AQ155,2)</f>
        <v>0</v>
      </c>
      <c r="W182" s="1108">
        <f>+NOMINA!AS155</f>
        <v>0</v>
      </c>
      <c r="X182" s="1108">
        <f>+NOMINA!AT155</f>
        <v>0</v>
      </c>
      <c r="Y182" s="1108">
        <f>+NOMINA!AU155</f>
        <v>534.76</v>
      </c>
      <c r="Z182" s="1108">
        <f>+NOMINA!BX155</f>
        <v>1002.68</v>
      </c>
      <c r="AA182" s="1108">
        <f>+NOMINA!BY155</f>
        <v>0</v>
      </c>
      <c r="AB182" s="1108">
        <f t="shared" si="11"/>
        <v>1002.68</v>
      </c>
      <c r="AD182" s="625"/>
      <c r="AH182" s="1467" t="str">
        <f>NOMINA!P154</f>
        <v>01020373290100097099</v>
      </c>
    </row>
    <row r="183" spans="1:34" s="620" customFormat="1" ht="20.100000000000001" customHeight="1" thickBot="1" x14ac:dyDescent="0.25">
      <c r="A183" s="758" t="s">
        <v>2846</v>
      </c>
      <c r="B183" s="759">
        <f t="shared" si="12"/>
        <v>116</v>
      </c>
      <c r="C183" s="1102">
        <f>NOMINA!C156</f>
        <v>15188927</v>
      </c>
      <c r="D183" s="1103" t="str">
        <f>NOMINA!D156</f>
        <v>Linares Villarreal Rosmely del Carmen</v>
      </c>
      <c r="E183" s="1468" t="s">
        <v>4622</v>
      </c>
      <c r="F183" s="1110">
        <v>32351</v>
      </c>
      <c r="G183" s="1468" t="s">
        <v>4620</v>
      </c>
      <c r="H183" s="1442">
        <f>NOMINA!H156</f>
        <v>44409</v>
      </c>
      <c r="I183" s="1105">
        <f>NOMINA!I157</f>
        <v>1</v>
      </c>
      <c r="J183" s="1106">
        <f>NOMINA!J157</f>
        <v>0</v>
      </c>
      <c r="K183" s="1105">
        <f t="shared" si="10"/>
        <v>1</v>
      </c>
      <c r="L183" s="1106" t="s">
        <v>4932</v>
      </c>
      <c r="M183" s="1106"/>
      <c r="N183" s="1443" t="str">
        <f>NOMINA!O156</f>
        <v>Guia de Centro II</v>
      </c>
      <c r="O183" s="1106">
        <v>1.02087691000006E+18</v>
      </c>
      <c r="P183" s="1107">
        <f>ROUND(+NOMINA!T156,2)</f>
        <v>150</v>
      </c>
      <c r="Q183" s="1108">
        <v>0</v>
      </c>
      <c r="R183" s="1108">
        <f>ROUND(+NOMINA!AA156,2)</f>
        <v>6</v>
      </c>
      <c r="S183" s="1108">
        <f>ROUND(+NOMINA!AB156,2)</f>
        <v>130</v>
      </c>
      <c r="T183" s="1108">
        <f>ROUND(+NOMINA!AC156,2)</f>
        <v>25</v>
      </c>
      <c r="U183" s="1108">
        <f>ROUND(+NOMINA!AD156,2)</f>
        <v>0</v>
      </c>
      <c r="V183" s="1108">
        <f>ROUND(NOMINA!AQ156,2)</f>
        <v>0</v>
      </c>
      <c r="W183" s="1108">
        <f>+NOMINA!AS156</f>
        <v>0</v>
      </c>
      <c r="X183" s="1108">
        <f>+NOMINA!AT156</f>
        <v>0</v>
      </c>
      <c r="Y183" s="1108">
        <f>+NOMINA!AU156</f>
        <v>404.3</v>
      </c>
      <c r="Z183" s="1108">
        <f>+NOMINA!BX156</f>
        <v>758.06</v>
      </c>
      <c r="AA183" s="1108">
        <f>+NOMINA!BY156</f>
        <v>0</v>
      </c>
      <c r="AB183" s="1108">
        <f t="shared" si="11"/>
        <v>758.06</v>
      </c>
      <c r="AD183" s="625"/>
      <c r="AH183" s="1467" t="e">
        <f>NOMINA!#REF!</f>
        <v>#REF!</v>
      </c>
    </row>
    <row r="184" spans="1:34" s="620" customFormat="1" ht="20.100000000000001" customHeight="1" thickBot="1" x14ac:dyDescent="0.25">
      <c r="A184" s="758" t="s">
        <v>2846</v>
      </c>
      <c r="B184" s="759">
        <f t="shared" si="12"/>
        <v>117</v>
      </c>
      <c r="C184" s="1102">
        <f>NOMINA!C157</f>
        <v>15560762</v>
      </c>
      <c r="D184" s="1103" t="str">
        <f>NOMINA!D157</f>
        <v>Villalobos Javier Jose</v>
      </c>
      <c r="E184" s="1468" t="s">
        <v>4622</v>
      </c>
      <c r="F184" s="1110">
        <v>32351</v>
      </c>
      <c r="G184" s="1468" t="s">
        <v>4620</v>
      </c>
      <c r="H184" s="1442">
        <f>NOMINA!H157</f>
        <v>45474</v>
      </c>
      <c r="I184" s="1105">
        <f>NOMINA!I158</f>
        <v>6</v>
      </c>
      <c r="J184" s="1106">
        <f>NOMINA!J158</f>
        <v>0</v>
      </c>
      <c r="K184" s="1105">
        <f t="shared" si="10"/>
        <v>6</v>
      </c>
      <c r="L184" s="1106" t="s">
        <v>4932</v>
      </c>
      <c r="M184" s="1106"/>
      <c r="N184" s="1443" t="str">
        <f>NOMINA!O157</f>
        <v>Entrenador Deportivo IV</v>
      </c>
      <c r="O184" s="1106">
        <v>1.02087691000006E+18</v>
      </c>
      <c r="P184" s="1107">
        <f>ROUND(+NOMINA!T157,2)</f>
        <v>246</v>
      </c>
      <c r="Q184" s="1108">
        <v>0</v>
      </c>
      <c r="R184" s="1108">
        <f>ROUND(+NOMINA!AA157,2)</f>
        <v>2.46</v>
      </c>
      <c r="S184" s="1108">
        <f>ROUND(+NOMINA!AB157,2)</f>
        <v>130</v>
      </c>
      <c r="T184" s="1108">
        <f>ROUND(+NOMINA!AC157,2)</f>
        <v>12.5</v>
      </c>
      <c r="U184" s="1108">
        <f>ROUND(+NOMINA!AD157,2)</f>
        <v>97.74</v>
      </c>
      <c r="V184" s="1108">
        <f>ROUND(NOMINA!AQ157,2)</f>
        <v>0</v>
      </c>
      <c r="W184" s="1108">
        <f>+NOMINA!AS157</f>
        <v>0</v>
      </c>
      <c r="X184" s="1108">
        <f>+NOMINA!AT157</f>
        <v>12.5</v>
      </c>
      <c r="Y184" s="1108">
        <f>+NOMINA!AU157</f>
        <v>488.7</v>
      </c>
      <c r="Z184" s="1108">
        <f>+NOMINA!BX157</f>
        <v>381.8</v>
      </c>
      <c r="AA184" s="1108">
        <f>+NOMINA!BY157</f>
        <v>0</v>
      </c>
      <c r="AB184" s="1108">
        <f t="shared" si="11"/>
        <v>381.8</v>
      </c>
      <c r="AD184" s="625"/>
      <c r="AH184" s="1467" t="str">
        <f>NOMINA!P155</f>
        <v>01020373200000925677</v>
      </c>
    </row>
    <row r="185" spans="1:34" s="620" customFormat="1" ht="20.100000000000001" customHeight="1" thickBot="1" x14ac:dyDescent="0.25">
      <c r="A185" s="758" t="s">
        <v>2846</v>
      </c>
      <c r="B185" s="759">
        <f t="shared" si="12"/>
        <v>118</v>
      </c>
      <c r="C185" s="1102">
        <f>NOMINA!C158</f>
        <v>15583745</v>
      </c>
      <c r="D185" s="1103" t="str">
        <f>NOMINA!D158</f>
        <v>Briceño Araujo Alexander Javier</v>
      </c>
      <c r="E185" s="1468" t="s">
        <v>4622</v>
      </c>
      <c r="F185" s="1110">
        <v>32351</v>
      </c>
      <c r="G185" s="1468" t="s">
        <v>4620</v>
      </c>
      <c r="H185" s="1442">
        <f>NOMINA!H158</f>
        <v>43481</v>
      </c>
      <c r="I185" s="1105">
        <f>NOMINA!I159</f>
        <v>18</v>
      </c>
      <c r="J185" s="1106">
        <f>NOMINA!J159</f>
        <v>0</v>
      </c>
      <c r="K185" s="1105">
        <f t="shared" si="10"/>
        <v>18</v>
      </c>
      <c r="L185" s="1106" t="s">
        <v>4932</v>
      </c>
      <c r="M185" s="1106"/>
      <c r="N185" s="1443" t="str">
        <f>NOMINA!O158</f>
        <v>Administrador II</v>
      </c>
      <c r="O185" s="1106">
        <v>1.02087691000006E+18</v>
      </c>
      <c r="P185" s="1107">
        <f>ROUND(+NOMINA!T158,2)</f>
        <v>279</v>
      </c>
      <c r="Q185" s="1108">
        <v>0</v>
      </c>
      <c r="R185" s="1108">
        <f>ROUND(+NOMINA!AA158,2)</f>
        <v>17.3</v>
      </c>
      <c r="S185" s="1108">
        <f>ROUND(+NOMINA!AB158,2)</f>
        <v>130</v>
      </c>
      <c r="T185" s="1108">
        <f>ROUND(+NOMINA!AC158,2)</f>
        <v>0</v>
      </c>
      <c r="U185" s="1108">
        <f>ROUND(+NOMINA!AD158,2)</f>
        <v>106.58</v>
      </c>
      <c r="V185" s="1108">
        <f>ROUND(NOMINA!AQ158,2)</f>
        <v>0</v>
      </c>
      <c r="W185" s="1108">
        <f>+NOMINA!AS158</f>
        <v>0</v>
      </c>
      <c r="X185" s="1108">
        <f>+NOMINA!AT158</f>
        <v>0</v>
      </c>
      <c r="Y185" s="1108">
        <f>+NOMINA!AU158</f>
        <v>532.88</v>
      </c>
      <c r="Z185" s="1108">
        <f>+NOMINA!BX158</f>
        <v>999.15</v>
      </c>
      <c r="AA185" s="1108">
        <f>+NOMINA!BY158</f>
        <v>0</v>
      </c>
      <c r="AB185" s="1108">
        <f t="shared" si="11"/>
        <v>999.15</v>
      </c>
      <c r="AD185" s="625"/>
      <c r="AH185" s="1467" t="str">
        <f>NOMINA!P156</f>
        <v>01020373260000435811</v>
      </c>
    </row>
    <row r="186" spans="1:34" s="620" customFormat="1" ht="20.100000000000001" customHeight="1" thickBot="1" x14ac:dyDescent="0.25">
      <c r="A186" s="758" t="s">
        <v>2846</v>
      </c>
      <c r="B186" s="759">
        <f t="shared" si="12"/>
        <v>119</v>
      </c>
      <c r="C186" s="1102">
        <f>NOMINA!C159</f>
        <v>15588470</v>
      </c>
      <c r="D186" s="1103" t="str">
        <f>NOMINA!D159</f>
        <v>Briceño Lozada Maraiby Coromoto</v>
      </c>
      <c r="E186" s="1468" t="s">
        <v>4622</v>
      </c>
      <c r="F186" s="1110">
        <v>32351</v>
      </c>
      <c r="G186" s="1468" t="s">
        <v>4620</v>
      </c>
      <c r="H186" s="1442">
        <f>NOMINA!H159</f>
        <v>39098</v>
      </c>
      <c r="I186" s="1105">
        <f>NOMINA!I160</f>
        <v>17</v>
      </c>
      <c r="J186" s="1106">
        <f>NOMINA!J160</f>
        <v>0</v>
      </c>
      <c r="K186" s="1105">
        <f t="shared" si="10"/>
        <v>17</v>
      </c>
      <c r="L186" s="1106" t="s">
        <v>4932</v>
      </c>
      <c r="M186" s="1106"/>
      <c r="N186" s="1443" t="str">
        <f>NOMINA!O159</f>
        <v>Trabajador Social II</v>
      </c>
      <c r="O186" s="1106">
        <v>1.02087691000006E+18</v>
      </c>
      <c r="P186" s="1107">
        <f>ROUND(+NOMINA!T159,2)</f>
        <v>228</v>
      </c>
      <c r="Q186" s="1108">
        <v>0</v>
      </c>
      <c r="R186" s="1108">
        <f>ROUND(+NOMINA!AA159,2)</f>
        <v>51.98</v>
      </c>
      <c r="S186" s="1108">
        <f>ROUND(+NOMINA!AB159,2)</f>
        <v>130</v>
      </c>
      <c r="T186" s="1108">
        <f>ROUND(+NOMINA!AC159,2)</f>
        <v>12.5</v>
      </c>
      <c r="U186" s="1108">
        <f>ROUND(+NOMINA!AD159,2)</f>
        <v>84.5</v>
      </c>
      <c r="V186" s="1108">
        <f>ROUND(NOMINA!AQ159,2)</f>
        <v>0</v>
      </c>
      <c r="W186" s="1108">
        <f>+NOMINA!AS159</f>
        <v>0</v>
      </c>
      <c r="X186" s="1108">
        <f>+NOMINA!AT159</f>
        <v>12.5</v>
      </c>
      <c r="Y186" s="1108">
        <f>+NOMINA!AU159</f>
        <v>506.98</v>
      </c>
      <c r="Z186" s="1108">
        <f>+NOMINA!BX159</f>
        <v>950.59</v>
      </c>
      <c r="AA186" s="1108">
        <f>+NOMINA!BY159</f>
        <v>0</v>
      </c>
      <c r="AB186" s="1108">
        <f t="shared" si="11"/>
        <v>950.59</v>
      </c>
      <c r="AD186" s="625"/>
      <c r="AH186" s="1467" t="str">
        <f>NOMINA!P157</f>
        <v>01020747940000128267</v>
      </c>
    </row>
    <row r="187" spans="1:34" s="620" customFormat="1" ht="20.100000000000001" customHeight="1" thickBot="1" x14ac:dyDescent="0.25">
      <c r="A187" s="758" t="s">
        <v>2846</v>
      </c>
      <c r="B187" s="759">
        <f t="shared" si="12"/>
        <v>120</v>
      </c>
      <c r="C187" s="1102">
        <f>NOMINA!C160</f>
        <v>15752048</v>
      </c>
      <c r="D187" s="1103" t="str">
        <f>NOMINA!D160</f>
        <v>Briceño Rangel Sudney Dayan</v>
      </c>
      <c r="E187" s="1468" t="s">
        <v>4622</v>
      </c>
      <c r="F187" s="1110">
        <v>32351</v>
      </c>
      <c r="G187" s="1468" t="s">
        <v>4620</v>
      </c>
      <c r="H187" s="1442">
        <f>NOMINA!H160</f>
        <v>39679</v>
      </c>
      <c r="I187" s="1105">
        <f>NOMINA!I161</f>
        <v>19</v>
      </c>
      <c r="J187" s="1106">
        <f>NOMINA!J161</f>
        <v>0</v>
      </c>
      <c r="K187" s="1105">
        <f t="shared" si="10"/>
        <v>19</v>
      </c>
      <c r="L187" s="1106" t="s">
        <v>4932</v>
      </c>
      <c r="M187" s="1106"/>
      <c r="N187" s="1443" t="str">
        <f>NOMINA!O160</f>
        <v>Guia de Centro II</v>
      </c>
      <c r="O187" s="1106">
        <v>1.02087691000006E+18</v>
      </c>
      <c r="P187" s="1107">
        <f>ROUND(+NOMINA!T160,2)</f>
        <v>314</v>
      </c>
      <c r="Q187" s="1108">
        <v>0</v>
      </c>
      <c r="R187" s="1108">
        <f>ROUND(+NOMINA!AA160,2)</f>
        <v>66.569999999999993</v>
      </c>
      <c r="S187" s="1108">
        <f>ROUND(+NOMINA!AB160,2)</f>
        <v>130</v>
      </c>
      <c r="T187" s="1108">
        <f>ROUND(+NOMINA!AC160,2)</f>
        <v>0</v>
      </c>
      <c r="U187" s="1108">
        <f>ROUND(+NOMINA!AD160,2)</f>
        <v>178.7</v>
      </c>
      <c r="V187" s="1108">
        <f>ROUND(NOMINA!AQ160,2)</f>
        <v>0</v>
      </c>
      <c r="W187" s="1108">
        <f>+NOMINA!AS160</f>
        <v>0</v>
      </c>
      <c r="X187" s="1108">
        <f>+NOMINA!AT160</f>
        <v>0</v>
      </c>
      <c r="Y187" s="1108">
        <f>+NOMINA!AU160</f>
        <v>689.27</v>
      </c>
      <c r="Z187" s="1108">
        <f>+NOMINA!BX160</f>
        <v>1292.3800000000001</v>
      </c>
      <c r="AA187" s="1108">
        <f>+NOMINA!BY160</f>
        <v>0</v>
      </c>
      <c r="AB187" s="1108">
        <f t="shared" si="11"/>
        <v>1292.3800000000001</v>
      </c>
      <c r="AD187" s="625"/>
      <c r="AH187" s="1467" t="str">
        <f>NOMINA!P158</f>
        <v>01020373240000483892</v>
      </c>
    </row>
    <row r="188" spans="1:34" s="620" customFormat="1" ht="20.100000000000001" customHeight="1" thickBot="1" x14ac:dyDescent="0.25">
      <c r="A188" s="758" t="s">
        <v>2846</v>
      </c>
      <c r="B188" s="759">
        <f t="shared" si="12"/>
        <v>121</v>
      </c>
      <c r="C188" s="1102">
        <f>NOMINA!C161</f>
        <v>15752183</v>
      </c>
      <c r="D188" s="1103" t="str">
        <f>NOMINA!D161</f>
        <v>Delduca Adriana del Valle</v>
      </c>
      <c r="E188" s="1468" t="s">
        <v>4622</v>
      </c>
      <c r="F188" s="1110">
        <v>32351</v>
      </c>
      <c r="G188" s="1468" t="s">
        <v>4620</v>
      </c>
      <c r="H188" s="1442">
        <f>NOMINA!H161</f>
        <v>38930</v>
      </c>
      <c r="I188" s="1105">
        <f>NOMINA!I162</f>
        <v>19</v>
      </c>
      <c r="J188" s="1106">
        <f>NOMINA!J162</f>
        <v>0</v>
      </c>
      <c r="K188" s="1105">
        <f t="shared" si="10"/>
        <v>19</v>
      </c>
      <c r="L188" s="1106" t="s">
        <v>4932</v>
      </c>
      <c r="M188" s="1106"/>
      <c r="N188" s="1443" t="str">
        <f>NOMINA!O161</f>
        <v>Analista de Presupuesto IV</v>
      </c>
      <c r="O188" s="1106">
        <v>1.02087691000006E+18</v>
      </c>
      <c r="P188" s="1107">
        <f>ROUND(+NOMINA!T161,2)</f>
        <v>0</v>
      </c>
      <c r="Q188" s="1108">
        <v>0</v>
      </c>
      <c r="R188" s="1108">
        <f>ROUND(+NOMINA!AA161,2)</f>
        <v>0</v>
      </c>
      <c r="S188" s="1108">
        <f>ROUND(+NOMINA!AB161,2)</f>
        <v>0</v>
      </c>
      <c r="T188" s="1108">
        <f>ROUND(+NOMINA!AC161,2)</f>
        <v>0</v>
      </c>
      <c r="U188" s="1108">
        <f>ROUND(+NOMINA!AD161,2)</f>
        <v>0</v>
      </c>
      <c r="V188" s="1108">
        <f>ROUND(NOMINA!AQ161,2)</f>
        <v>0</v>
      </c>
      <c r="W188" s="1108">
        <f>+NOMINA!AS161</f>
        <v>0</v>
      </c>
      <c r="X188" s="1108">
        <f>+NOMINA!AT161</f>
        <v>0</v>
      </c>
      <c r="Y188" s="1108">
        <f>+NOMINA!AU161</f>
        <v>0</v>
      </c>
      <c r="Z188" s="1108">
        <f>+NOMINA!BX161</f>
        <v>0</v>
      </c>
      <c r="AA188" s="1108">
        <f>+NOMINA!BY161</f>
        <v>0</v>
      </c>
      <c r="AB188" s="1108">
        <f t="shared" si="11"/>
        <v>0</v>
      </c>
      <c r="AD188" s="625"/>
      <c r="AH188" s="1467" t="str">
        <f>NOMINA!P159</f>
        <v>01020373240000440945</v>
      </c>
    </row>
    <row r="189" spans="1:34" s="620" customFormat="1" ht="20.100000000000001" customHeight="1" thickBot="1" x14ac:dyDescent="0.25">
      <c r="A189" s="758" t="s">
        <v>2846</v>
      </c>
      <c r="B189" s="759">
        <f t="shared" si="12"/>
        <v>122</v>
      </c>
      <c r="C189" s="1102">
        <f>NOMINA!C162</f>
        <v>15752386</v>
      </c>
      <c r="D189" s="1103" t="str">
        <f>NOMINA!D162</f>
        <v>Villegas Gonzalez Mileide Karine</v>
      </c>
      <c r="E189" s="1468" t="s">
        <v>4622</v>
      </c>
      <c r="F189" s="1110">
        <v>32351</v>
      </c>
      <c r="G189" s="1468" t="s">
        <v>4620</v>
      </c>
      <c r="H189" s="1442">
        <f>NOMINA!H162</f>
        <v>38930</v>
      </c>
      <c r="I189" s="1105">
        <f>NOMINA!I163</f>
        <v>19</v>
      </c>
      <c r="J189" s="1106">
        <f>NOMINA!J163</f>
        <v>0</v>
      </c>
      <c r="K189" s="1105">
        <f t="shared" si="10"/>
        <v>19</v>
      </c>
      <c r="L189" s="1106" t="s">
        <v>4932</v>
      </c>
      <c r="M189" s="1106"/>
      <c r="N189" s="1443" t="str">
        <f>NOMINA!O162</f>
        <v>Guia de Centro II</v>
      </c>
      <c r="O189" s="1106">
        <v>1.02087691000006E+18</v>
      </c>
      <c r="P189" s="1107">
        <f>ROUND(+NOMINA!T162,2)</f>
        <v>228</v>
      </c>
      <c r="Q189" s="1108">
        <v>0</v>
      </c>
      <c r="R189" s="1108">
        <f>ROUND(+NOMINA!AA162,2)</f>
        <v>55.63</v>
      </c>
      <c r="S189" s="1108">
        <f>ROUND(+NOMINA!AB162,2)</f>
        <v>130</v>
      </c>
      <c r="T189" s="1108">
        <f>ROUND(+NOMINA!AC162,2)</f>
        <v>25</v>
      </c>
      <c r="U189" s="1108">
        <f>ROUND(+NOMINA!AD162,2)</f>
        <v>87.73</v>
      </c>
      <c r="V189" s="1108">
        <f>ROUND(NOMINA!AQ162,2)</f>
        <v>0</v>
      </c>
      <c r="W189" s="1108">
        <f>+NOMINA!AS162</f>
        <v>0</v>
      </c>
      <c r="X189" s="1108">
        <f>+NOMINA!AT162</f>
        <v>0</v>
      </c>
      <c r="Y189" s="1108">
        <f>+NOMINA!AU162</f>
        <v>684.27</v>
      </c>
      <c r="Z189" s="1108">
        <f>+NOMINA!BX162</f>
        <v>1283.01</v>
      </c>
      <c r="AA189" s="1108">
        <f>+NOMINA!BY162</f>
        <v>0</v>
      </c>
      <c r="AB189" s="1108">
        <f t="shared" si="11"/>
        <v>1283.01</v>
      </c>
      <c r="AD189" s="625"/>
      <c r="AH189" s="1467" t="str">
        <f>NOMINA!P160</f>
        <v>01020373200000440990</v>
      </c>
    </row>
    <row r="190" spans="1:34" s="620" customFormat="1" ht="20.100000000000001" customHeight="1" thickBot="1" x14ac:dyDescent="0.25">
      <c r="A190" s="758" t="s">
        <v>2846</v>
      </c>
      <c r="B190" s="759">
        <f t="shared" si="12"/>
        <v>123</v>
      </c>
      <c r="C190" s="1102">
        <f>NOMINA!C163</f>
        <v>15752435</v>
      </c>
      <c r="D190" s="1103" t="str">
        <f>NOMINA!D163</f>
        <v>Gonzalez de Sayago Damarys Coromoto</v>
      </c>
      <c r="E190" s="1468" t="s">
        <v>4622</v>
      </c>
      <c r="F190" s="1110">
        <v>32351</v>
      </c>
      <c r="G190" s="1468" t="s">
        <v>4620</v>
      </c>
      <c r="H190" s="1442">
        <f>NOMINA!H163</f>
        <v>38930</v>
      </c>
      <c r="I190" s="1105">
        <f>NOMINA!I164</f>
        <v>4</v>
      </c>
      <c r="J190" s="1106">
        <f>NOMINA!J164</f>
        <v>0</v>
      </c>
      <c r="K190" s="1105">
        <f t="shared" si="10"/>
        <v>4</v>
      </c>
      <c r="L190" s="1106" t="s">
        <v>4932</v>
      </c>
      <c r="M190" s="1106"/>
      <c r="N190" s="1443" t="str">
        <f>NOMINA!O163</f>
        <v>Trabajador Social II</v>
      </c>
      <c r="O190" s="1106">
        <v>1.02087691000006E+18</v>
      </c>
      <c r="P190" s="1107">
        <f>ROUND(+NOMINA!T163,2)</f>
        <v>228</v>
      </c>
      <c r="Q190" s="1108">
        <v>0</v>
      </c>
      <c r="R190" s="1108">
        <f>ROUND(+NOMINA!AA163,2)</f>
        <v>55.63</v>
      </c>
      <c r="S190" s="1108">
        <f>ROUND(+NOMINA!AB163,2)</f>
        <v>130</v>
      </c>
      <c r="T190" s="1108">
        <f>ROUND(+NOMINA!AC163,2)</f>
        <v>25</v>
      </c>
      <c r="U190" s="1108">
        <f>ROUND(+NOMINA!AD163,2)</f>
        <v>87.73</v>
      </c>
      <c r="V190" s="1108">
        <f>ROUND(NOMINA!AQ163,2)</f>
        <v>0</v>
      </c>
      <c r="W190" s="1108">
        <f>+NOMINA!AS163</f>
        <v>0</v>
      </c>
      <c r="X190" s="1108">
        <f>+NOMINA!AT163</f>
        <v>0</v>
      </c>
      <c r="Y190" s="1108">
        <f>+NOMINA!AU163</f>
        <v>526.36</v>
      </c>
      <c r="Z190" s="1108">
        <f>+NOMINA!BX163</f>
        <v>986.93</v>
      </c>
      <c r="AA190" s="1108">
        <f>+NOMINA!BY163</f>
        <v>0</v>
      </c>
      <c r="AB190" s="1108">
        <f t="shared" si="11"/>
        <v>986.93</v>
      </c>
      <c r="AD190" s="625"/>
      <c r="AH190" s="1467" t="str">
        <f>NOMINA!P161</f>
        <v>01020373260000441009</v>
      </c>
    </row>
    <row r="191" spans="1:34" s="620" customFormat="1" ht="20.100000000000001" customHeight="1" thickBot="1" x14ac:dyDescent="0.25">
      <c r="A191" s="758" t="s">
        <v>2846</v>
      </c>
      <c r="B191" s="759">
        <f t="shared" si="12"/>
        <v>124</v>
      </c>
      <c r="C191" s="1102">
        <f>NOMINA!C164</f>
        <v>15780354</v>
      </c>
      <c r="D191" s="1103" t="str">
        <f>NOMINA!D164</f>
        <v>Yndriago Blanco Lismiley Andreina</v>
      </c>
      <c r="E191" s="1468" t="s">
        <v>4622</v>
      </c>
      <c r="F191" s="1110">
        <v>32351</v>
      </c>
      <c r="G191" s="1468" t="s">
        <v>4620</v>
      </c>
      <c r="H191" s="1442">
        <f>NOMINA!H164</f>
        <v>44409</v>
      </c>
      <c r="I191" s="1105">
        <f>NOMINA!I165</f>
        <v>4</v>
      </c>
      <c r="J191" s="1106">
        <f>NOMINA!J165</f>
        <v>0</v>
      </c>
      <c r="K191" s="1105">
        <f t="shared" si="10"/>
        <v>4</v>
      </c>
      <c r="L191" s="1106" t="s">
        <v>4932</v>
      </c>
      <c r="M191" s="1106"/>
      <c r="N191" s="1443" t="str">
        <f>NOMINA!O164</f>
        <v>Guia de Centro I</v>
      </c>
      <c r="O191" s="1106">
        <v>1.02087691000006E+18</v>
      </c>
      <c r="P191" s="1107">
        <f>ROUND(+NOMINA!T164,2)</f>
        <v>219</v>
      </c>
      <c r="Q191" s="1108">
        <v>0</v>
      </c>
      <c r="R191" s="1108">
        <f>ROUND(+NOMINA!AA164,2)</f>
        <v>8.76</v>
      </c>
      <c r="S191" s="1108">
        <f>ROUND(+NOMINA!AB164,2)</f>
        <v>130</v>
      </c>
      <c r="T191" s="1108">
        <f>ROUND(+NOMINA!AC164,2)</f>
        <v>0</v>
      </c>
      <c r="U191" s="1108">
        <f>ROUND(+NOMINA!AD164,2)</f>
        <v>89.44</v>
      </c>
      <c r="V191" s="1108">
        <f>ROUND(NOMINA!AQ164,2)</f>
        <v>0</v>
      </c>
      <c r="W191" s="1108">
        <f>+NOMINA!AS164</f>
        <v>0</v>
      </c>
      <c r="X191" s="1108">
        <f>+NOMINA!AT164</f>
        <v>0</v>
      </c>
      <c r="Y191" s="1108">
        <f>+NOMINA!AU164</f>
        <v>581.36</v>
      </c>
      <c r="Z191" s="1108">
        <f>+NOMINA!BX164</f>
        <v>1090.05</v>
      </c>
      <c r="AA191" s="1108">
        <f>+NOMINA!BY164</f>
        <v>0</v>
      </c>
      <c r="AB191" s="1108">
        <f t="shared" si="11"/>
        <v>1090.05</v>
      </c>
      <c r="AD191" s="625"/>
      <c r="AH191" s="1467" t="str">
        <f>NOMINA!P162</f>
        <v>01020373260000441012</v>
      </c>
    </row>
    <row r="192" spans="1:34" s="620" customFormat="1" ht="20.100000000000001" customHeight="1" thickBot="1" x14ac:dyDescent="0.25">
      <c r="A192" s="758" t="s">
        <v>2846</v>
      </c>
      <c r="B192" s="759">
        <f t="shared" si="12"/>
        <v>125</v>
      </c>
      <c r="C192" s="1102">
        <f>NOMINA!C165</f>
        <v>15824548</v>
      </c>
      <c r="D192" s="1103" t="str">
        <f>NOMINA!D165</f>
        <v>Moreno Maria Angelica</v>
      </c>
      <c r="E192" s="1468" t="s">
        <v>4622</v>
      </c>
      <c r="F192" s="1110">
        <v>32351</v>
      </c>
      <c r="G192" s="1468" t="s">
        <v>4620</v>
      </c>
      <c r="H192" s="1442">
        <f>NOMINA!H165</f>
        <v>44317</v>
      </c>
      <c r="I192" s="1105">
        <f>NOMINA!I166</f>
        <v>16</v>
      </c>
      <c r="J192" s="1106">
        <f>NOMINA!J166</f>
        <v>0</v>
      </c>
      <c r="K192" s="1105">
        <f t="shared" si="10"/>
        <v>16</v>
      </c>
      <c r="L192" s="1106" t="s">
        <v>4932</v>
      </c>
      <c r="M192" s="1106"/>
      <c r="N192" s="1443" t="str">
        <f>NOMINA!O165</f>
        <v>Tecnico Superior en Trabajo Social II</v>
      </c>
      <c r="O192" s="1106">
        <v>1.02087691000006E+18</v>
      </c>
      <c r="P192" s="1107">
        <f>ROUND(+NOMINA!T165,2)</f>
        <v>219</v>
      </c>
      <c r="Q192" s="1108">
        <v>0</v>
      </c>
      <c r="R192" s="1108">
        <f>ROUND(+NOMINA!AA165,2)</f>
        <v>8.76</v>
      </c>
      <c r="S192" s="1108">
        <f>ROUND(+NOMINA!AB165,2)</f>
        <v>130</v>
      </c>
      <c r="T192" s="1108">
        <f>ROUND(+NOMINA!AC165,2)</f>
        <v>12.5</v>
      </c>
      <c r="U192" s="1108">
        <f>ROUND(+NOMINA!AD165,2)</f>
        <v>74.05</v>
      </c>
      <c r="V192" s="1108">
        <f>ROUND(NOMINA!AQ165,2)</f>
        <v>0</v>
      </c>
      <c r="W192" s="1108">
        <f>+NOMINA!AS165</f>
        <v>0</v>
      </c>
      <c r="X192" s="1108">
        <f>+NOMINA!AT165</f>
        <v>12.5</v>
      </c>
      <c r="Y192" s="1108">
        <f>+NOMINA!AU165</f>
        <v>444.31</v>
      </c>
      <c r="Z192" s="1108">
        <f>+NOMINA!BX165</f>
        <v>833.08</v>
      </c>
      <c r="AA192" s="1108">
        <f>+NOMINA!BY165</f>
        <v>0</v>
      </c>
      <c r="AB192" s="1108">
        <f t="shared" si="11"/>
        <v>833.08</v>
      </c>
      <c r="AD192" s="625"/>
      <c r="AH192" s="1467" t="str">
        <f>NOMINA!P163</f>
        <v>01020373280000441025</v>
      </c>
    </row>
    <row r="193" spans="1:34" s="620" customFormat="1" ht="20.100000000000001" customHeight="1" thickBot="1" x14ac:dyDescent="0.25">
      <c r="A193" s="758" t="s">
        <v>2846</v>
      </c>
      <c r="B193" s="759">
        <f t="shared" si="12"/>
        <v>126</v>
      </c>
      <c r="C193" s="1102">
        <f>NOMINA!C166</f>
        <v>15904692</v>
      </c>
      <c r="D193" s="1103" t="str">
        <f>NOMINA!D166</f>
        <v>Sifontes Sosa Mayulis Dayana</v>
      </c>
      <c r="E193" s="1468" t="s">
        <v>4622</v>
      </c>
      <c r="F193" s="1110">
        <v>32351</v>
      </c>
      <c r="G193" s="1468" t="s">
        <v>4620</v>
      </c>
      <c r="H193" s="1442">
        <f>NOMINA!H166</f>
        <v>39756</v>
      </c>
      <c r="I193" s="1105">
        <f>NOMINA!I167</f>
        <v>8</v>
      </c>
      <c r="J193" s="1106">
        <f>NOMINA!J167</f>
        <v>0</v>
      </c>
      <c r="K193" s="1105">
        <f t="shared" si="10"/>
        <v>8</v>
      </c>
      <c r="L193" s="1106" t="s">
        <v>4932</v>
      </c>
      <c r="M193" s="1106"/>
      <c r="N193" s="1443" t="str">
        <f>NOMINA!O166</f>
        <v>Guia de Centro II</v>
      </c>
      <c r="O193" s="1106">
        <v>1.02087691000006E+18</v>
      </c>
      <c r="P193" s="1107">
        <f>ROUND(+NOMINA!T166,2)</f>
        <v>226</v>
      </c>
      <c r="Q193" s="1108">
        <v>0</v>
      </c>
      <c r="R193" s="1108">
        <f>ROUND(+NOMINA!AA166,2)</f>
        <v>44.3</v>
      </c>
      <c r="S193" s="1108">
        <f>ROUND(+NOMINA!AB166,2)</f>
        <v>130</v>
      </c>
      <c r="T193" s="1108">
        <f>ROUND(+NOMINA!AC166,2)</f>
        <v>25</v>
      </c>
      <c r="U193" s="1108">
        <f>ROUND(+NOMINA!AD166,2)</f>
        <v>85.06</v>
      </c>
      <c r="V193" s="1108">
        <f>ROUND(NOMINA!AQ166,2)</f>
        <v>0</v>
      </c>
      <c r="W193" s="1108">
        <f>+NOMINA!AS166</f>
        <v>0</v>
      </c>
      <c r="X193" s="1108">
        <f>+NOMINA!AT166</f>
        <v>25</v>
      </c>
      <c r="Y193" s="1108">
        <f>+NOMINA!AU166</f>
        <v>663.47</v>
      </c>
      <c r="Z193" s="1108">
        <f>+NOMINA!BX166</f>
        <v>1244.01</v>
      </c>
      <c r="AA193" s="1108">
        <f>+NOMINA!BY166</f>
        <v>0</v>
      </c>
      <c r="AB193" s="1108">
        <f t="shared" si="11"/>
        <v>1244.01</v>
      </c>
      <c r="AD193" s="625"/>
      <c r="AH193" s="1467" t="str">
        <f>NOMINA!P164</f>
        <v>01020493370100014857</v>
      </c>
    </row>
    <row r="194" spans="1:34" s="620" customFormat="1" ht="20.100000000000001" customHeight="1" thickBot="1" x14ac:dyDescent="0.25">
      <c r="A194" s="758" t="s">
        <v>2846</v>
      </c>
      <c r="B194" s="759">
        <f t="shared" si="12"/>
        <v>127</v>
      </c>
      <c r="C194" s="1102">
        <f>NOMINA!C167</f>
        <v>16015833</v>
      </c>
      <c r="D194" s="1103" t="str">
        <f>NOMINA!D167</f>
        <v>Briceño Doris Elena</v>
      </c>
      <c r="E194" s="1468" t="s">
        <v>4622</v>
      </c>
      <c r="F194" s="1110">
        <v>32351</v>
      </c>
      <c r="G194" s="1468" t="s">
        <v>4620</v>
      </c>
      <c r="H194" s="1442">
        <f>NOMINA!H167</f>
        <v>42948</v>
      </c>
      <c r="I194" s="1105">
        <f>NOMINA!I168</f>
        <v>4</v>
      </c>
      <c r="J194" s="1106">
        <f>NOMINA!J168</f>
        <v>0</v>
      </c>
      <c r="K194" s="1105">
        <f t="shared" si="10"/>
        <v>4</v>
      </c>
      <c r="L194" s="1106" t="s">
        <v>4932</v>
      </c>
      <c r="M194" s="1106"/>
      <c r="N194" s="1443" t="str">
        <f>NOMINA!O167</f>
        <v>Guia de Centro II</v>
      </c>
      <c r="O194" s="1106">
        <v>1.02087691000006E+18</v>
      </c>
      <c r="P194" s="1107">
        <f>ROUND(+NOMINA!T167,2)</f>
        <v>279</v>
      </c>
      <c r="Q194" s="1108">
        <v>0</v>
      </c>
      <c r="R194" s="1108">
        <f>ROUND(+NOMINA!AA167,2)</f>
        <v>23.99</v>
      </c>
      <c r="S194" s="1108">
        <f>ROUND(+NOMINA!AB167,2)</f>
        <v>130</v>
      </c>
      <c r="T194" s="1108">
        <f>ROUND(+NOMINA!AC167,2)</f>
        <v>12.5</v>
      </c>
      <c r="U194" s="1108">
        <f>ROUND(+NOMINA!AD167,2)</f>
        <v>111.37</v>
      </c>
      <c r="V194" s="1108">
        <f>ROUND(NOMINA!AQ167,2)</f>
        <v>0</v>
      </c>
      <c r="W194" s="1108">
        <f>+NOMINA!AS167</f>
        <v>0</v>
      </c>
      <c r="X194" s="1108">
        <f>+NOMINA!AT167</f>
        <v>12.5</v>
      </c>
      <c r="Y194" s="1108">
        <f>+NOMINA!AU167</f>
        <v>723.92000000000007</v>
      </c>
      <c r="Z194" s="1108">
        <f>+NOMINA!BX167</f>
        <v>1357.35</v>
      </c>
      <c r="AA194" s="1108">
        <f>+NOMINA!BY167</f>
        <v>0</v>
      </c>
      <c r="AB194" s="1108">
        <f t="shared" si="11"/>
        <v>1357.35</v>
      </c>
      <c r="AD194" s="625"/>
      <c r="AH194" s="1467" t="str">
        <f>NOMINA!P165</f>
        <v>01020373210000234339</v>
      </c>
    </row>
    <row r="195" spans="1:34" s="620" customFormat="1" ht="20.100000000000001" customHeight="1" thickBot="1" x14ac:dyDescent="0.25">
      <c r="A195" s="758" t="s">
        <v>2846</v>
      </c>
      <c r="B195" s="759">
        <f t="shared" si="12"/>
        <v>128</v>
      </c>
      <c r="C195" s="1102">
        <f>NOMINA!C168</f>
        <v>16065580</v>
      </c>
      <c r="D195" s="1103" t="str">
        <f>NOMINA!D168</f>
        <v>Paredes de Rendon Zuly Josefina</v>
      </c>
      <c r="E195" s="1468" t="s">
        <v>4622</v>
      </c>
      <c r="F195" s="1110">
        <v>32351</v>
      </c>
      <c r="G195" s="1468" t="s">
        <v>4620</v>
      </c>
      <c r="H195" s="1442">
        <f>NOMINA!H168</f>
        <v>44363</v>
      </c>
      <c r="I195" s="1105">
        <f>NOMINA!I169</f>
        <v>5</v>
      </c>
      <c r="J195" s="1106">
        <f>NOMINA!J169</f>
        <v>13</v>
      </c>
      <c r="K195" s="1105">
        <f t="shared" si="10"/>
        <v>18</v>
      </c>
      <c r="L195" s="1106" t="s">
        <v>4932</v>
      </c>
      <c r="M195" s="1106"/>
      <c r="N195" s="1443" t="str">
        <f>NOMINA!O168</f>
        <v>Tutor Facilitador II</v>
      </c>
      <c r="O195" s="1106">
        <v>1.02087691000006E+18</v>
      </c>
      <c r="P195" s="1107">
        <f>ROUND(+NOMINA!T168,2)</f>
        <v>277</v>
      </c>
      <c r="Q195" s="1108">
        <v>0</v>
      </c>
      <c r="R195" s="1108">
        <f>ROUND(+NOMINA!AA168,2)</f>
        <v>11.08</v>
      </c>
      <c r="S195" s="1108">
        <f>ROUND(+NOMINA!AB168,2)</f>
        <v>130</v>
      </c>
      <c r="T195" s="1108">
        <f>ROUND(+NOMINA!AC168,2)</f>
        <v>12.5</v>
      </c>
      <c r="U195" s="1108">
        <f>ROUND(+NOMINA!AD168,2)</f>
        <v>107.65</v>
      </c>
      <c r="V195" s="1108">
        <f>ROUND(NOMINA!AQ168,2)</f>
        <v>0</v>
      </c>
      <c r="W195" s="1108">
        <f>+NOMINA!AS168</f>
        <v>0</v>
      </c>
      <c r="X195" s="1108">
        <f>+NOMINA!AT168</f>
        <v>0</v>
      </c>
      <c r="Y195" s="1108">
        <f>+NOMINA!AU168</f>
        <v>538.23</v>
      </c>
      <c r="Z195" s="1108">
        <f>+NOMINA!BX168</f>
        <v>1009.18</v>
      </c>
      <c r="AA195" s="1108">
        <f>+NOMINA!BY168</f>
        <v>0</v>
      </c>
      <c r="AB195" s="1108">
        <f t="shared" si="11"/>
        <v>1009.18</v>
      </c>
      <c r="AD195" s="625"/>
      <c r="AH195" s="1467" t="str">
        <f>NOMINA!P166</f>
        <v>01020373210000440194</v>
      </c>
    </row>
    <row r="196" spans="1:34" s="620" customFormat="1" ht="20.100000000000001" customHeight="1" thickBot="1" x14ac:dyDescent="0.25">
      <c r="A196" s="758" t="s">
        <v>2846</v>
      </c>
      <c r="B196" s="759">
        <f t="shared" si="12"/>
        <v>129</v>
      </c>
      <c r="C196" s="1102">
        <f>NOMINA!C169</f>
        <v>16065861</v>
      </c>
      <c r="D196" s="1103" t="str">
        <f>NOMINA!D169</f>
        <v>Gonzalez Pineda Eduardo Manuel</v>
      </c>
      <c r="E196" s="1468" t="s">
        <v>4622</v>
      </c>
      <c r="F196" s="1110">
        <v>32351</v>
      </c>
      <c r="G196" s="1468" t="s">
        <v>4620</v>
      </c>
      <c r="H196" s="1442">
        <f>NOMINA!H169</f>
        <v>43906</v>
      </c>
      <c r="I196" s="1105">
        <f>NOMINA!I170</f>
        <v>12</v>
      </c>
      <c r="J196" s="1106">
        <f>NOMINA!J170</f>
        <v>0</v>
      </c>
      <c r="K196" s="1105">
        <f t="shared" si="10"/>
        <v>12</v>
      </c>
      <c r="L196" s="1106" t="s">
        <v>4932</v>
      </c>
      <c r="M196" s="1106"/>
      <c r="N196" s="1443" t="str">
        <f>NOMINA!O169</f>
        <v>Entrenador Deportivo VI</v>
      </c>
      <c r="O196" s="1106">
        <v>1.02087691000006E+18</v>
      </c>
      <c r="P196" s="1107">
        <f>ROUND(+NOMINA!T169,2)</f>
        <v>287</v>
      </c>
      <c r="Q196" s="1108">
        <v>0</v>
      </c>
      <c r="R196" s="1108">
        <f>ROUND(+NOMINA!AA169,2)</f>
        <v>65.44</v>
      </c>
      <c r="S196" s="1108">
        <f>ROUND(+NOMINA!AB169,2)</f>
        <v>130</v>
      </c>
      <c r="T196" s="1108">
        <f>ROUND(+NOMINA!AC169,2)</f>
        <v>0</v>
      </c>
      <c r="U196" s="1108">
        <f>ROUND(+NOMINA!AD169,2)</f>
        <v>120.61</v>
      </c>
      <c r="V196" s="1108">
        <f>ROUND(NOMINA!AQ169,2)</f>
        <v>0</v>
      </c>
      <c r="W196" s="1108">
        <f>+NOMINA!AS169</f>
        <v>0</v>
      </c>
      <c r="X196" s="1108">
        <f>+NOMINA!AT169</f>
        <v>0</v>
      </c>
      <c r="Y196" s="1108">
        <f>+NOMINA!AU169</f>
        <v>603.04999999999995</v>
      </c>
      <c r="Z196" s="1108">
        <f>+NOMINA!BX169</f>
        <v>1130.72</v>
      </c>
      <c r="AA196" s="1108">
        <f>+NOMINA!BY169</f>
        <v>0</v>
      </c>
      <c r="AB196" s="1108">
        <f t="shared" si="11"/>
        <v>1130.72</v>
      </c>
      <c r="AD196" s="625"/>
      <c r="AH196" s="1467" t="str">
        <f>NOMINA!P167</f>
        <v>01020373220000457763</v>
      </c>
    </row>
    <row r="197" spans="1:34" s="620" customFormat="1" ht="20.100000000000001" customHeight="1" thickBot="1" x14ac:dyDescent="0.25">
      <c r="A197" s="758" t="s">
        <v>2846</v>
      </c>
      <c r="B197" s="759">
        <f t="shared" si="12"/>
        <v>130</v>
      </c>
      <c r="C197" s="1102">
        <f>NOMINA!C170</f>
        <v>16066524</v>
      </c>
      <c r="D197" s="1103" t="str">
        <f>NOMINA!D170</f>
        <v>Carmona Peñaloza Yaneth Coromoto</v>
      </c>
      <c r="E197" s="1468" t="s">
        <v>4622</v>
      </c>
      <c r="F197" s="1110">
        <v>32351</v>
      </c>
      <c r="G197" s="1468" t="s">
        <v>4620</v>
      </c>
      <c r="H197" s="1442">
        <f>NOMINA!H170</f>
        <v>41456</v>
      </c>
      <c r="I197" s="1105">
        <f>NOMINA!I171</f>
        <v>19</v>
      </c>
      <c r="J197" s="1106">
        <f>NOMINA!J171</f>
        <v>0</v>
      </c>
      <c r="K197" s="1105">
        <f t="shared" ref="K197:K260" si="13">I197+J197</f>
        <v>19</v>
      </c>
      <c r="L197" s="1106" t="s">
        <v>4932</v>
      </c>
      <c r="M197" s="1106"/>
      <c r="N197" s="1443" t="str">
        <f>NOMINA!O170</f>
        <v>Asistente Administrativo III</v>
      </c>
      <c r="O197" s="1106">
        <v>1.02087691000006E+18</v>
      </c>
      <c r="P197" s="1107">
        <f>ROUND(+NOMINA!T170,2)</f>
        <v>0</v>
      </c>
      <c r="Q197" s="1108">
        <v>0</v>
      </c>
      <c r="R197" s="1108">
        <f>ROUND(+NOMINA!AA170,2)</f>
        <v>0</v>
      </c>
      <c r="S197" s="1108">
        <f>ROUND(+NOMINA!AB170,2)</f>
        <v>0</v>
      </c>
      <c r="T197" s="1108">
        <f>ROUND(+NOMINA!AC170,2)</f>
        <v>0</v>
      </c>
      <c r="U197" s="1108">
        <f>ROUND(+NOMINA!AD170,2)</f>
        <v>0</v>
      </c>
      <c r="V197" s="1108">
        <f>ROUND(NOMINA!AQ170,2)</f>
        <v>0</v>
      </c>
      <c r="W197" s="1108">
        <f>+NOMINA!AS170</f>
        <v>0</v>
      </c>
      <c r="X197" s="1108">
        <f>+NOMINA!AT170</f>
        <v>0</v>
      </c>
      <c r="Y197" s="1108">
        <f>+NOMINA!AU170</f>
        <v>0</v>
      </c>
      <c r="Z197" s="1108">
        <f>+NOMINA!BX170</f>
        <v>0</v>
      </c>
      <c r="AA197" s="1108">
        <f>+NOMINA!BY170</f>
        <v>0</v>
      </c>
      <c r="AB197" s="1108">
        <f t="shared" ref="AB197:AB260" si="14">+Z197+AA197</f>
        <v>0</v>
      </c>
      <c r="AD197" s="625"/>
      <c r="AH197" s="1467" t="str">
        <f>NOMINA!P168</f>
        <v>01020494180000329969</v>
      </c>
    </row>
    <row r="198" spans="1:34" s="620" customFormat="1" ht="20.100000000000001" customHeight="1" thickBot="1" x14ac:dyDescent="0.25">
      <c r="A198" s="758" t="s">
        <v>2846</v>
      </c>
      <c r="B198" s="759">
        <f t="shared" ref="B198:B261" si="15">+B197+1</f>
        <v>131</v>
      </c>
      <c r="C198" s="1102">
        <f>NOMINA!C171</f>
        <v>16066554</v>
      </c>
      <c r="D198" s="1103" t="str">
        <f>NOMINA!D171</f>
        <v>Gonzalez Huerta Maria Josefina</v>
      </c>
      <c r="E198" s="1468" t="s">
        <v>4622</v>
      </c>
      <c r="F198" s="1110">
        <v>32351</v>
      </c>
      <c r="G198" s="1468" t="s">
        <v>4620</v>
      </c>
      <c r="H198" s="1442">
        <f>NOMINA!H171</f>
        <v>38797</v>
      </c>
      <c r="I198" s="1105">
        <f>NOMINA!I172</f>
        <v>3</v>
      </c>
      <c r="J198" s="1106">
        <f>NOMINA!J172</f>
        <v>0</v>
      </c>
      <c r="K198" s="1105">
        <f t="shared" si="13"/>
        <v>3</v>
      </c>
      <c r="L198" s="1106" t="s">
        <v>4932</v>
      </c>
      <c r="M198" s="1106"/>
      <c r="N198" s="1443" t="str">
        <f>NOMINA!O171</f>
        <v>Auditor IV</v>
      </c>
      <c r="O198" s="1106">
        <v>1.02087691000006E+18</v>
      </c>
      <c r="P198" s="1107">
        <f>ROUND(+NOMINA!T171,2)</f>
        <v>287</v>
      </c>
      <c r="Q198" s="1108">
        <v>0</v>
      </c>
      <c r="R198" s="1108">
        <f>ROUND(+NOMINA!AA171,2)</f>
        <v>70.03</v>
      </c>
      <c r="S198" s="1108">
        <f>ROUND(+NOMINA!AB171,2)</f>
        <v>130</v>
      </c>
      <c r="T198" s="1108">
        <f>ROUND(+NOMINA!AC171,2)</f>
        <v>25</v>
      </c>
      <c r="U198" s="1108">
        <f>ROUND(+NOMINA!AD171,2)</f>
        <v>128.01</v>
      </c>
      <c r="V198" s="1108">
        <f>ROUND(NOMINA!AQ171,2)</f>
        <v>0</v>
      </c>
      <c r="W198" s="1108">
        <f>+NOMINA!AS171</f>
        <v>0</v>
      </c>
      <c r="X198" s="1108">
        <f>+NOMINA!AT171</f>
        <v>0</v>
      </c>
      <c r="Y198" s="1108">
        <f>+NOMINA!AU171</f>
        <v>640.04</v>
      </c>
      <c r="Z198" s="1108">
        <f>+NOMINA!BX171</f>
        <v>1200.08</v>
      </c>
      <c r="AA198" s="1108">
        <f>+NOMINA!BY171</f>
        <v>0</v>
      </c>
      <c r="AB198" s="1108">
        <f t="shared" si="14"/>
        <v>1200.08</v>
      </c>
      <c r="AD198" s="625"/>
      <c r="AH198" s="1467" t="str">
        <f>NOMINA!P169</f>
        <v>01020373200000438575</v>
      </c>
    </row>
    <row r="199" spans="1:34" s="620" customFormat="1" ht="20.100000000000001" customHeight="1" thickBot="1" x14ac:dyDescent="0.25">
      <c r="A199" s="758" t="s">
        <v>2846</v>
      </c>
      <c r="B199" s="759">
        <f t="shared" si="15"/>
        <v>132</v>
      </c>
      <c r="C199" s="1102">
        <f>NOMINA!C172</f>
        <v>16266033</v>
      </c>
      <c r="D199" s="1103" t="str">
        <f>NOMINA!D172</f>
        <v>Montilla de Davila Nileidy del Valle</v>
      </c>
      <c r="E199" s="1468" t="s">
        <v>4622</v>
      </c>
      <c r="F199" s="1110">
        <v>32351</v>
      </c>
      <c r="G199" s="1468" t="s">
        <v>4620</v>
      </c>
      <c r="H199" s="1442">
        <f>NOMINA!H172</f>
        <v>44713</v>
      </c>
      <c r="I199" s="1105">
        <f>NOMINA!I173</f>
        <v>7</v>
      </c>
      <c r="J199" s="1106">
        <f>NOMINA!J173</f>
        <v>0</v>
      </c>
      <c r="K199" s="1105">
        <f t="shared" si="13"/>
        <v>7</v>
      </c>
      <c r="L199" s="1106" t="s">
        <v>4932</v>
      </c>
      <c r="M199" s="1106"/>
      <c r="N199" s="1443" t="str">
        <f>NOMINA!O172</f>
        <v>Guia de Centro I</v>
      </c>
      <c r="O199" s="1106">
        <v>1.02087691000006E+18</v>
      </c>
      <c r="P199" s="1107">
        <f>ROUND(+NOMINA!T172,2)</f>
        <v>219</v>
      </c>
      <c r="Q199" s="1108">
        <v>0</v>
      </c>
      <c r="R199" s="1108">
        <f>ROUND(+NOMINA!AA172,2)</f>
        <v>6.57</v>
      </c>
      <c r="S199" s="1108">
        <f>ROUND(+NOMINA!AB172,2)</f>
        <v>130</v>
      </c>
      <c r="T199" s="1108">
        <f>ROUND(+NOMINA!AC172,2)</f>
        <v>25</v>
      </c>
      <c r="U199" s="1108">
        <f>ROUND(+NOMINA!AD172,2)</f>
        <v>95.14</v>
      </c>
      <c r="V199" s="1108">
        <f>ROUND(NOMINA!AQ172,2)</f>
        <v>0</v>
      </c>
      <c r="W199" s="1108">
        <f>+NOMINA!AS172</f>
        <v>0</v>
      </c>
      <c r="X199" s="1108">
        <f>+NOMINA!AT172</f>
        <v>25</v>
      </c>
      <c r="Y199" s="1108">
        <f>+NOMINA!AU172</f>
        <v>618.41999999999996</v>
      </c>
      <c r="Z199" s="1108">
        <f>+NOMINA!BX172</f>
        <v>1159.54</v>
      </c>
      <c r="AA199" s="1108">
        <f>+NOMINA!BY172</f>
        <v>0</v>
      </c>
      <c r="AB199" s="1108">
        <f t="shared" si="14"/>
        <v>1159.54</v>
      </c>
      <c r="AD199" s="625"/>
      <c r="AH199" s="1467" t="str">
        <f>NOMINA!P170</f>
        <v>01020373260000439325</v>
      </c>
    </row>
    <row r="200" spans="1:34" s="620" customFormat="1" ht="20.100000000000001" customHeight="1" thickBot="1" x14ac:dyDescent="0.25">
      <c r="A200" s="758" t="s">
        <v>2846</v>
      </c>
      <c r="B200" s="759">
        <f t="shared" si="15"/>
        <v>133</v>
      </c>
      <c r="C200" s="1102">
        <f>NOMINA!C173</f>
        <v>16266989</v>
      </c>
      <c r="D200" s="1103" t="str">
        <f>NOMINA!D173</f>
        <v>Rincon Quevedo Angela Adriana</v>
      </c>
      <c r="E200" s="1468" t="s">
        <v>4622</v>
      </c>
      <c r="F200" s="1110">
        <v>32351</v>
      </c>
      <c r="G200" s="1468" t="s">
        <v>4620</v>
      </c>
      <c r="H200" s="1442">
        <f>NOMINA!H173</f>
        <v>43040</v>
      </c>
      <c r="I200" s="1105">
        <f>NOMINA!I174</f>
        <v>3</v>
      </c>
      <c r="J200" s="1106">
        <f>NOMINA!J174</f>
        <v>0</v>
      </c>
      <c r="K200" s="1105">
        <f t="shared" si="13"/>
        <v>3</v>
      </c>
      <c r="L200" s="1106" t="s">
        <v>4932</v>
      </c>
      <c r="M200" s="1106"/>
      <c r="N200" s="1443" t="str">
        <f>NOMINA!O173</f>
        <v>Guia de Centro II</v>
      </c>
      <c r="O200" s="1106">
        <v>1.02087691000006E+18</v>
      </c>
      <c r="P200" s="1107">
        <f>ROUND(+NOMINA!T173,2)</f>
        <v>279</v>
      </c>
      <c r="Q200" s="1108">
        <v>0</v>
      </c>
      <c r="R200" s="1108">
        <f>ROUND(+NOMINA!AA173,2)</f>
        <v>20.65</v>
      </c>
      <c r="S200" s="1108">
        <f>ROUND(+NOMINA!AB173,2)</f>
        <v>130</v>
      </c>
      <c r="T200" s="1108">
        <f>ROUND(+NOMINA!AC173,2)</f>
        <v>25</v>
      </c>
      <c r="U200" s="1108">
        <f>ROUND(+NOMINA!AD173,2)</f>
        <v>113.66</v>
      </c>
      <c r="V200" s="1108">
        <f>ROUND(NOMINA!AQ173,2)</f>
        <v>0</v>
      </c>
      <c r="W200" s="1108">
        <f>+NOMINA!AS173</f>
        <v>0</v>
      </c>
      <c r="X200" s="1108">
        <f>+NOMINA!AT173</f>
        <v>0</v>
      </c>
      <c r="Y200" s="1108">
        <f>+NOMINA!AU173</f>
        <v>738.8</v>
      </c>
      <c r="Z200" s="1108">
        <f>+NOMINA!BX173</f>
        <v>1385.25</v>
      </c>
      <c r="AA200" s="1108">
        <f>+NOMINA!BY173</f>
        <v>0</v>
      </c>
      <c r="AB200" s="1108">
        <f t="shared" si="14"/>
        <v>1385.25</v>
      </c>
      <c r="AD200" s="625"/>
      <c r="AH200" s="1467" t="str">
        <f>NOMINA!P171</f>
        <v>01020373290000439752</v>
      </c>
    </row>
    <row r="201" spans="1:34" s="620" customFormat="1" ht="20.100000000000001" customHeight="1" thickBot="1" x14ac:dyDescent="0.25">
      <c r="A201" s="758" t="s">
        <v>2846</v>
      </c>
      <c r="B201" s="759">
        <f t="shared" si="15"/>
        <v>134</v>
      </c>
      <c r="C201" s="1102">
        <f>NOMINA!C174</f>
        <v>16267940</v>
      </c>
      <c r="D201" s="1103" t="str">
        <f>NOMINA!D174</f>
        <v>Araujo Moreno Elisaelith</v>
      </c>
      <c r="E201" s="1468" t="s">
        <v>4622</v>
      </c>
      <c r="F201" s="1110">
        <v>32351</v>
      </c>
      <c r="G201" s="1468" t="s">
        <v>4620</v>
      </c>
      <c r="H201" s="1442">
        <f>NOMINA!H174</f>
        <v>44600</v>
      </c>
      <c r="I201" s="1105">
        <f>NOMINA!I175</f>
        <v>5</v>
      </c>
      <c r="J201" s="1106">
        <f>NOMINA!J175</f>
        <v>0</v>
      </c>
      <c r="K201" s="1105">
        <f t="shared" si="13"/>
        <v>5</v>
      </c>
      <c r="L201" s="1106" t="s">
        <v>4932</v>
      </c>
      <c r="M201" s="1106"/>
      <c r="N201" s="1443" t="str">
        <f>NOMINA!O174</f>
        <v>Tecnico Superior en Trabajo Social II</v>
      </c>
      <c r="O201" s="1106">
        <v>1.02087691000006E+18</v>
      </c>
      <c r="P201" s="1107">
        <f>ROUND(+NOMINA!T174,2)</f>
        <v>219</v>
      </c>
      <c r="Q201" s="1108">
        <v>0</v>
      </c>
      <c r="R201" s="1108">
        <f>ROUND(+NOMINA!AA174,2)</f>
        <v>6.57</v>
      </c>
      <c r="S201" s="1108">
        <f>ROUND(+NOMINA!AB174,2)</f>
        <v>130</v>
      </c>
      <c r="T201" s="1108">
        <f>ROUND(+NOMINA!AC174,2)</f>
        <v>12.5</v>
      </c>
      <c r="U201" s="1108">
        <f>ROUND(+NOMINA!AD174,2)</f>
        <v>73.61</v>
      </c>
      <c r="V201" s="1108">
        <f>ROUND(NOMINA!AQ174,2)</f>
        <v>0</v>
      </c>
      <c r="W201" s="1108">
        <f>+NOMINA!AS174</f>
        <v>0</v>
      </c>
      <c r="X201" s="1108">
        <f>+NOMINA!AT174</f>
        <v>0</v>
      </c>
      <c r="Y201" s="1108">
        <f>+NOMINA!AU174</f>
        <v>441.68</v>
      </c>
      <c r="Z201" s="1108">
        <f>+NOMINA!BX174</f>
        <v>828.15</v>
      </c>
      <c r="AA201" s="1108">
        <f>+NOMINA!BY174</f>
        <v>0</v>
      </c>
      <c r="AB201" s="1108">
        <f t="shared" si="14"/>
        <v>828.15</v>
      </c>
      <c r="AD201" s="625"/>
      <c r="AH201" s="1467" t="str">
        <f>NOMINA!P172</f>
        <v>01020747920100003199</v>
      </c>
    </row>
    <row r="202" spans="1:34" s="620" customFormat="1" ht="20.100000000000001" customHeight="1" thickBot="1" x14ac:dyDescent="0.25">
      <c r="A202" s="758" t="s">
        <v>2846</v>
      </c>
      <c r="B202" s="759">
        <f t="shared" si="15"/>
        <v>135</v>
      </c>
      <c r="C202" s="1102">
        <f>NOMINA!C175</f>
        <v>16376534</v>
      </c>
      <c r="D202" s="1103" t="str">
        <f>NOMINA!D175</f>
        <v>Lugo Moreno Yenny Katiuska</v>
      </c>
      <c r="E202" s="1468" t="s">
        <v>4622</v>
      </c>
      <c r="F202" s="1110">
        <v>32351</v>
      </c>
      <c r="G202" s="1468" t="s">
        <v>4620</v>
      </c>
      <c r="H202" s="1442">
        <f>NOMINA!H175</f>
        <v>43754</v>
      </c>
      <c r="I202" s="1105">
        <f>NOMINA!I176</f>
        <v>13</v>
      </c>
      <c r="J202" s="1106">
        <f>NOMINA!J176</f>
        <v>0</v>
      </c>
      <c r="K202" s="1105">
        <f t="shared" si="13"/>
        <v>13</v>
      </c>
      <c r="L202" s="1106" t="s">
        <v>4932</v>
      </c>
      <c r="M202" s="1106"/>
      <c r="N202" s="1443" t="str">
        <f>NOMINA!O175</f>
        <v>Guia de Centro II</v>
      </c>
      <c r="O202" s="1106">
        <v>1.02087691000006E+18</v>
      </c>
      <c r="P202" s="1107">
        <f>ROUND(+NOMINA!T175,2)</f>
        <v>277</v>
      </c>
      <c r="Q202" s="1108">
        <v>0</v>
      </c>
      <c r="R202" s="1108">
        <f>ROUND(+NOMINA!AA175,2)</f>
        <v>13.85</v>
      </c>
      <c r="S202" s="1108">
        <f>ROUND(+NOMINA!AB175,2)</f>
        <v>130</v>
      </c>
      <c r="T202" s="1108">
        <f>ROUND(+NOMINA!AC175,2)</f>
        <v>12.5</v>
      </c>
      <c r="U202" s="1108">
        <f>ROUND(+NOMINA!AD175,2)</f>
        <v>108.34</v>
      </c>
      <c r="V202" s="1108">
        <f>ROUND(NOMINA!AQ175,2)</f>
        <v>0</v>
      </c>
      <c r="W202" s="1108">
        <f>+NOMINA!AS175</f>
        <v>0</v>
      </c>
      <c r="X202" s="1108">
        <f>+NOMINA!AT175</f>
        <v>0</v>
      </c>
      <c r="Y202" s="1108">
        <f>+NOMINA!AU175</f>
        <v>704.2</v>
      </c>
      <c r="Z202" s="1108">
        <f>+NOMINA!BX175</f>
        <v>1320.38</v>
      </c>
      <c r="AA202" s="1108">
        <f>+NOMINA!BY175</f>
        <v>0</v>
      </c>
      <c r="AB202" s="1108">
        <f t="shared" si="14"/>
        <v>1320.38</v>
      </c>
      <c r="AD202" s="625"/>
      <c r="AH202" s="1467" t="str">
        <f>NOMINA!P173</f>
        <v>01020373210100092331</v>
      </c>
    </row>
    <row r="203" spans="1:34" s="620" customFormat="1" ht="20.100000000000001" customHeight="1" thickBot="1" x14ac:dyDescent="0.25">
      <c r="A203" s="758" t="s">
        <v>2846</v>
      </c>
      <c r="B203" s="759">
        <f t="shared" si="15"/>
        <v>136</v>
      </c>
      <c r="C203" s="1102">
        <f>NOMINA!C176</f>
        <v>16376698</v>
      </c>
      <c r="D203" s="1103" t="str">
        <f>NOMINA!D176</f>
        <v>Barreto Maldonado Jose Luis</v>
      </c>
      <c r="E203" s="1468" t="s">
        <v>4622</v>
      </c>
      <c r="F203" s="1110">
        <v>32351</v>
      </c>
      <c r="G203" s="1468" t="s">
        <v>4620</v>
      </c>
      <c r="H203" s="1442">
        <f>NOMINA!H176</f>
        <v>40909</v>
      </c>
      <c r="I203" s="1105" t="e">
        <f>NOMINA!#REF!</f>
        <v>#REF!</v>
      </c>
      <c r="J203" s="1106" t="e">
        <f>NOMINA!#REF!</f>
        <v>#REF!</v>
      </c>
      <c r="K203" s="1105" t="e">
        <f t="shared" si="13"/>
        <v>#REF!</v>
      </c>
      <c r="L203" s="1106" t="s">
        <v>4932</v>
      </c>
      <c r="M203" s="1106"/>
      <c r="N203" s="1443" t="str">
        <f>NOMINA!O176</f>
        <v>Supervisor de Servicios Generales IV</v>
      </c>
      <c r="O203" s="1106">
        <v>1.02087691000006E+18</v>
      </c>
      <c r="P203" s="1107">
        <f>ROUND(+NOMINA!T176,2)</f>
        <v>174</v>
      </c>
      <c r="Q203" s="1108">
        <v>0</v>
      </c>
      <c r="R203" s="1108">
        <f>ROUND(+NOMINA!AA176,2)</f>
        <v>26.45</v>
      </c>
      <c r="S203" s="1108">
        <f>ROUND(+NOMINA!AB176,2)</f>
        <v>130</v>
      </c>
      <c r="T203" s="1108">
        <f>ROUND(+NOMINA!AC176,2)</f>
        <v>25</v>
      </c>
      <c r="U203" s="1108">
        <f>ROUND(+NOMINA!AD176,2)</f>
        <v>0</v>
      </c>
      <c r="V203" s="1108">
        <f>ROUND(NOMINA!AQ176,2)</f>
        <v>0</v>
      </c>
      <c r="W203" s="1108">
        <f>+NOMINA!AS176</f>
        <v>0</v>
      </c>
      <c r="X203" s="1108">
        <f>+NOMINA!AT176</f>
        <v>0</v>
      </c>
      <c r="Y203" s="1108">
        <f>+NOMINA!AU176</f>
        <v>355.45</v>
      </c>
      <c r="Z203" s="1108">
        <f>+NOMINA!BX176</f>
        <v>666.47</v>
      </c>
      <c r="AA203" s="1108">
        <f>+NOMINA!BY176</f>
        <v>0</v>
      </c>
      <c r="AB203" s="1108">
        <f t="shared" si="14"/>
        <v>666.47</v>
      </c>
      <c r="AD203" s="625"/>
      <c r="AH203" s="1467" t="str">
        <f>NOMINA!P174</f>
        <v>01020373240000634942</v>
      </c>
    </row>
    <row r="204" spans="1:34" s="620" customFormat="1" ht="20.100000000000001" customHeight="1" thickBot="1" x14ac:dyDescent="0.25">
      <c r="A204" s="758" t="s">
        <v>2846</v>
      </c>
      <c r="B204" s="759">
        <f t="shared" si="15"/>
        <v>137</v>
      </c>
      <c r="C204" s="1102" t="e">
        <f>NOMINA!#REF!</f>
        <v>#REF!</v>
      </c>
      <c r="D204" s="1103" t="e">
        <f>NOMINA!#REF!</f>
        <v>#REF!</v>
      </c>
      <c r="E204" s="1468" t="s">
        <v>4622</v>
      </c>
      <c r="F204" s="1110">
        <v>32351</v>
      </c>
      <c r="G204" s="1468" t="s">
        <v>4620</v>
      </c>
      <c r="H204" s="1442" t="e">
        <f>NOMINA!#REF!</f>
        <v>#REF!</v>
      </c>
      <c r="I204" s="1105">
        <f>NOMINA!I177</f>
        <v>3</v>
      </c>
      <c r="J204" s="1106">
        <f>NOMINA!J177</f>
        <v>0</v>
      </c>
      <c r="K204" s="1105">
        <f t="shared" si="13"/>
        <v>3</v>
      </c>
      <c r="L204" s="1106" t="s">
        <v>4932</v>
      </c>
      <c r="M204" s="1106"/>
      <c r="N204" s="1443" t="e">
        <f>NOMINA!#REF!</f>
        <v>#REF!</v>
      </c>
      <c r="O204" s="1106">
        <v>1.02087691000006E+18</v>
      </c>
      <c r="P204" s="1107" t="e">
        <f>ROUND(+NOMINA!#REF!,2)</f>
        <v>#REF!</v>
      </c>
      <c r="Q204" s="1108">
        <v>0</v>
      </c>
      <c r="R204" s="1108" t="e">
        <f>ROUND(+NOMINA!#REF!,2)</f>
        <v>#REF!</v>
      </c>
      <c r="S204" s="1108" t="e">
        <f>ROUND(+NOMINA!#REF!,2)</f>
        <v>#REF!</v>
      </c>
      <c r="T204" s="1108" t="e">
        <f>ROUND(+NOMINA!#REF!,2)</f>
        <v>#REF!</v>
      </c>
      <c r="U204" s="1108" t="e">
        <f>ROUND(+NOMINA!#REF!,2)</f>
        <v>#REF!</v>
      </c>
      <c r="V204" s="1108" t="e">
        <f>ROUND(NOMINA!#REF!,2)</f>
        <v>#REF!</v>
      </c>
      <c r="W204" s="1108" t="e">
        <f>+NOMINA!#REF!</f>
        <v>#REF!</v>
      </c>
      <c r="X204" s="1108" t="e">
        <f>+NOMINA!#REF!</f>
        <v>#REF!</v>
      </c>
      <c r="Y204" s="1108" t="e">
        <f>+NOMINA!#REF!</f>
        <v>#REF!</v>
      </c>
      <c r="Z204" s="1108" t="e">
        <f>+NOMINA!#REF!</f>
        <v>#REF!</v>
      </c>
      <c r="AA204" s="1108" t="e">
        <f>+NOMINA!#REF!</f>
        <v>#REF!</v>
      </c>
      <c r="AB204" s="1108" t="e">
        <f t="shared" si="14"/>
        <v>#REF!</v>
      </c>
      <c r="AD204" s="625"/>
      <c r="AH204" s="1467" t="str">
        <f>NOMINA!P175</f>
        <v>01020494170000072627</v>
      </c>
    </row>
    <row r="205" spans="1:34" s="620" customFormat="1" ht="20.100000000000001" customHeight="1" thickBot="1" x14ac:dyDescent="0.25">
      <c r="A205" s="758" t="s">
        <v>2846</v>
      </c>
      <c r="B205" s="759">
        <f t="shared" si="15"/>
        <v>138</v>
      </c>
      <c r="C205" s="1102">
        <f>NOMINA!C177</f>
        <v>16377159</v>
      </c>
      <c r="D205" s="1103" t="str">
        <f>NOMINA!D177</f>
        <v>Carrillo Uzcategui Tahiyuani Carolina</v>
      </c>
      <c r="E205" s="1468" t="s">
        <v>4622</v>
      </c>
      <c r="F205" s="1110">
        <v>32351</v>
      </c>
      <c r="G205" s="1468" t="s">
        <v>4620</v>
      </c>
      <c r="H205" s="1442">
        <f>NOMINA!H177</f>
        <v>44743</v>
      </c>
      <c r="I205" s="1105">
        <f>NOMINA!I178</f>
        <v>5</v>
      </c>
      <c r="J205" s="1106">
        <f>NOMINA!J178</f>
        <v>0</v>
      </c>
      <c r="K205" s="1105">
        <f t="shared" si="13"/>
        <v>5</v>
      </c>
      <c r="L205" s="1106" t="s">
        <v>4932</v>
      </c>
      <c r="M205" s="1106"/>
      <c r="N205" s="1443" t="str">
        <f>NOMINA!O177</f>
        <v>Guia de Centro I</v>
      </c>
      <c r="O205" s="1106">
        <v>1.02087691000006E+18</v>
      </c>
      <c r="P205" s="1107">
        <f>ROUND(+NOMINA!T177,2)</f>
        <v>219</v>
      </c>
      <c r="Q205" s="1108">
        <v>0</v>
      </c>
      <c r="R205" s="1108">
        <f>ROUND(+NOMINA!AA177,2)</f>
        <v>6.57</v>
      </c>
      <c r="S205" s="1108">
        <f>ROUND(+NOMINA!AB177,2)</f>
        <v>130</v>
      </c>
      <c r="T205" s="1108">
        <f>ROUND(+NOMINA!AC177,2)</f>
        <v>25</v>
      </c>
      <c r="U205" s="1108">
        <f>ROUND(+NOMINA!AD177,2)</f>
        <v>76.11</v>
      </c>
      <c r="V205" s="1108">
        <f>ROUND(NOMINA!AQ177,2)</f>
        <v>0</v>
      </c>
      <c r="W205" s="1108">
        <f>+NOMINA!AS177</f>
        <v>0</v>
      </c>
      <c r="X205" s="1108">
        <f>+NOMINA!AT177</f>
        <v>0</v>
      </c>
      <c r="Y205" s="1108">
        <f>+NOMINA!AU177</f>
        <v>593.68000000000006</v>
      </c>
      <c r="Z205" s="1108">
        <f>+NOMINA!BX177</f>
        <v>1113.1500000000001</v>
      </c>
      <c r="AA205" s="1108">
        <f>+NOMINA!BY177</f>
        <v>0</v>
      </c>
      <c r="AB205" s="1108">
        <f t="shared" si="14"/>
        <v>1113.1500000000001</v>
      </c>
      <c r="AD205" s="625"/>
      <c r="AH205" s="1467" t="str">
        <f>NOMINA!P176</f>
        <v>01020373240000442338</v>
      </c>
    </row>
    <row r="206" spans="1:34" s="620" customFormat="1" ht="20.100000000000001" customHeight="1" thickBot="1" x14ac:dyDescent="0.25">
      <c r="A206" s="758" t="s">
        <v>2846</v>
      </c>
      <c r="B206" s="759">
        <f t="shared" si="15"/>
        <v>139</v>
      </c>
      <c r="C206" s="1102">
        <f>NOMINA!C178</f>
        <v>16377588</v>
      </c>
      <c r="D206" s="1103" t="str">
        <f>NOMINA!D178</f>
        <v>Perdomo Linares Alejandra Carolina</v>
      </c>
      <c r="E206" s="1468" t="s">
        <v>4622</v>
      </c>
      <c r="F206" s="1110">
        <v>32351</v>
      </c>
      <c r="G206" s="1468" t="s">
        <v>4620</v>
      </c>
      <c r="H206" s="1442">
        <f>NOMINA!H178</f>
        <v>44059</v>
      </c>
      <c r="I206" s="1105">
        <f>NOMINA!I179</f>
        <v>3</v>
      </c>
      <c r="J206" s="1106">
        <f>NOMINA!J179</f>
        <v>9</v>
      </c>
      <c r="K206" s="1105">
        <f t="shared" si="13"/>
        <v>12</v>
      </c>
      <c r="L206" s="1106" t="s">
        <v>4932</v>
      </c>
      <c r="M206" s="1106"/>
      <c r="N206" s="1443" t="str">
        <f>NOMINA!O178</f>
        <v>Tutor Facilitador II</v>
      </c>
      <c r="O206" s="1106">
        <v>1.02087691000006E+18</v>
      </c>
      <c r="P206" s="1107">
        <f>ROUND(+NOMINA!T178,2)</f>
        <v>277</v>
      </c>
      <c r="Q206" s="1108">
        <v>0</v>
      </c>
      <c r="R206" s="1108">
        <f>ROUND(+NOMINA!AA178,2)</f>
        <v>13.85</v>
      </c>
      <c r="S206" s="1108">
        <f>ROUND(+NOMINA!AB178,2)</f>
        <v>130</v>
      </c>
      <c r="T206" s="1108">
        <f>ROUND(+NOMINA!AC178,2)</f>
        <v>12.5</v>
      </c>
      <c r="U206" s="1108">
        <f>ROUND(+NOMINA!AD178,2)</f>
        <v>108.34</v>
      </c>
      <c r="V206" s="1108">
        <f>ROUND(NOMINA!AQ178,2)</f>
        <v>0</v>
      </c>
      <c r="W206" s="1108">
        <f>+NOMINA!AS178</f>
        <v>0</v>
      </c>
      <c r="X206" s="1108">
        <f>+NOMINA!AT178</f>
        <v>0</v>
      </c>
      <c r="Y206" s="1108">
        <f>+NOMINA!AU178</f>
        <v>541.69000000000005</v>
      </c>
      <c r="Z206" s="1108">
        <f>+NOMINA!BX178</f>
        <v>1015.67</v>
      </c>
      <c r="AA206" s="1108">
        <f>+NOMINA!BY178</f>
        <v>0</v>
      </c>
      <c r="AB206" s="1108">
        <f t="shared" si="14"/>
        <v>1015.67</v>
      </c>
      <c r="AD206" s="625"/>
      <c r="AH206" s="1467" t="e">
        <f>NOMINA!#REF!</f>
        <v>#REF!</v>
      </c>
    </row>
    <row r="207" spans="1:34" s="620" customFormat="1" ht="20.100000000000001" customHeight="1" thickBot="1" x14ac:dyDescent="0.25">
      <c r="A207" s="758" t="s">
        <v>2846</v>
      </c>
      <c r="B207" s="759">
        <f t="shared" si="15"/>
        <v>140</v>
      </c>
      <c r="C207" s="1102">
        <f>NOMINA!C179</f>
        <v>16377628</v>
      </c>
      <c r="D207" s="1103" t="str">
        <f>NOMINA!D179</f>
        <v>Peña Nava Maria Gabriela</v>
      </c>
      <c r="E207" s="1468" t="s">
        <v>4622</v>
      </c>
      <c r="F207" s="1110">
        <v>32351</v>
      </c>
      <c r="G207" s="1468" t="s">
        <v>4620</v>
      </c>
      <c r="H207" s="1442">
        <f>NOMINA!H179</f>
        <v>44743</v>
      </c>
      <c r="I207" s="1105">
        <f>NOMINA!I180</f>
        <v>3</v>
      </c>
      <c r="J207" s="1106">
        <f>NOMINA!J180</f>
        <v>0</v>
      </c>
      <c r="K207" s="1105">
        <f t="shared" si="13"/>
        <v>3</v>
      </c>
      <c r="L207" s="1106" t="s">
        <v>4932</v>
      </c>
      <c r="M207" s="1106"/>
      <c r="N207" s="1443" t="str">
        <f>NOMINA!O179</f>
        <v>Guia de Centro II</v>
      </c>
      <c r="O207" s="1106">
        <v>1.02087691000006E+18</v>
      </c>
      <c r="P207" s="1107">
        <f>ROUND(+NOMINA!T179,2)</f>
        <v>283</v>
      </c>
      <c r="Q207" s="1108">
        <v>0</v>
      </c>
      <c r="R207" s="1108">
        <f>ROUND(+NOMINA!AA179,2)</f>
        <v>39.049999999999997</v>
      </c>
      <c r="S207" s="1108">
        <f>ROUND(+NOMINA!AB179,2)</f>
        <v>130</v>
      </c>
      <c r="T207" s="1108">
        <f>ROUND(+NOMINA!AC179,2)</f>
        <v>12.5</v>
      </c>
      <c r="U207" s="1108">
        <f>ROUND(+NOMINA!AD179,2)</f>
        <v>116.14</v>
      </c>
      <c r="V207" s="1108">
        <f>ROUND(NOMINA!AQ179,2)</f>
        <v>0</v>
      </c>
      <c r="W207" s="1108">
        <f>+NOMINA!AS179</f>
        <v>0</v>
      </c>
      <c r="X207" s="1108">
        <f>+NOMINA!AT179</f>
        <v>0</v>
      </c>
      <c r="Y207" s="1108">
        <f>+NOMINA!AU179</f>
        <v>754.90000000000009</v>
      </c>
      <c r="Z207" s="1108">
        <f>+NOMINA!BX179</f>
        <v>1415.44</v>
      </c>
      <c r="AA207" s="1108">
        <f>+NOMINA!BY179</f>
        <v>0</v>
      </c>
      <c r="AB207" s="1108">
        <f t="shared" si="14"/>
        <v>1415.44</v>
      </c>
      <c r="AD207" s="625"/>
      <c r="AH207" s="1467" t="str">
        <f>NOMINA!P177</f>
        <v>01020494100000133948</v>
      </c>
    </row>
    <row r="208" spans="1:34" s="620" customFormat="1" ht="20.100000000000001" customHeight="1" thickBot="1" x14ac:dyDescent="0.25">
      <c r="A208" s="758" t="s">
        <v>2846</v>
      </c>
      <c r="B208" s="759">
        <f t="shared" si="15"/>
        <v>141</v>
      </c>
      <c r="C208" s="1102">
        <f>NOMINA!C180</f>
        <v>16533566</v>
      </c>
      <c r="D208" s="1103" t="str">
        <f>NOMINA!D180</f>
        <v>Materan Gallardo Vivian Katiana</v>
      </c>
      <c r="E208" s="1468" t="s">
        <v>4622</v>
      </c>
      <c r="F208" s="1110">
        <v>32351</v>
      </c>
      <c r="G208" s="1468" t="s">
        <v>4620</v>
      </c>
      <c r="H208" s="1442">
        <f>NOMINA!H180</f>
        <v>44683</v>
      </c>
      <c r="I208" s="1105">
        <f>NOMINA!I181</f>
        <v>1</v>
      </c>
      <c r="J208" s="1106">
        <f>NOMINA!J181</f>
        <v>0</v>
      </c>
      <c r="K208" s="1105">
        <f t="shared" si="13"/>
        <v>1</v>
      </c>
      <c r="L208" s="1106" t="s">
        <v>4932</v>
      </c>
      <c r="M208" s="1106"/>
      <c r="N208" s="1443" t="str">
        <f>NOMINA!O180</f>
        <v>Guia de Centro I</v>
      </c>
      <c r="O208" s="1106">
        <v>1.02087691000006E+18</v>
      </c>
      <c r="P208" s="1107">
        <f>ROUND(+NOMINA!T180,2)</f>
        <v>150</v>
      </c>
      <c r="Q208" s="1108">
        <v>0</v>
      </c>
      <c r="R208" s="1108">
        <f>ROUND(+NOMINA!AA180,2)</f>
        <v>4.5</v>
      </c>
      <c r="S208" s="1108">
        <f>ROUND(+NOMINA!AB180,2)</f>
        <v>130</v>
      </c>
      <c r="T208" s="1108">
        <f>ROUND(+NOMINA!AC180,2)</f>
        <v>25</v>
      </c>
      <c r="U208" s="1108">
        <f>ROUND(+NOMINA!AD180,2)</f>
        <v>0</v>
      </c>
      <c r="V208" s="1108">
        <f>ROUND(NOMINA!AQ180,2)</f>
        <v>0</v>
      </c>
      <c r="W208" s="1108">
        <f>+NOMINA!AS180</f>
        <v>0</v>
      </c>
      <c r="X208" s="1108">
        <f>+NOMINA!AT180</f>
        <v>0</v>
      </c>
      <c r="Y208" s="1108">
        <f>+NOMINA!AU180</f>
        <v>402.35</v>
      </c>
      <c r="Z208" s="1108">
        <f>+NOMINA!BX180</f>
        <v>754.41</v>
      </c>
      <c r="AA208" s="1108">
        <f>+NOMINA!BY180</f>
        <v>0</v>
      </c>
      <c r="AB208" s="1108">
        <f t="shared" si="14"/>
        <v>754.41</v>
      </c>
      <c r="AD208" s="625"/>
      <c r="AH208" s="1467" t="str">
        <f>NOMINA!P178</f>
        <v>01020373220000686055</v>
      </c>
    </row>
    <row r="209" spans="1:34" s="620" customFormat="1" ht="20.100000000000001" customHeight="1" thickBot="1" x14ac:dyDescent="0.25">
      <c r="A209" s="758" t="s">
        <v>2846</v>
      </c>
      <c r="B209" s="759">
        <f t="shared" si="15"/>
        <v>142</v>
      </c>
      <c r="C209" s="1102">
        <f>NOMINA!C181</f>
        <v>16533615</v>
      </c>
      <c r="D209" s="1103" t="str">
        <f>NOMINA!D181</f>
        <v>Valero Sulbaran Urquia Del Mar</v>
      </c>
      <c r="E209" s="1468" t="s">
        <v>4622</v>
      </c>
      <c r="F209" s="1110">
        <v>32351</v>
      </c>
      <c r="G209" s="1468" t="s">
        <v>4620</v>
      </c>
      <c r="H209" s="1442">
        <f>NOMINA!H181</f>
        <v>45474</v>
      </c>
      <c r="I209" s="1105">
        <f>NOMINA!I182</f>
        <v>8</v>
      </c>
      <c r="J209" s="1106">
        <f>NOMINA!J182</f>
        <v>0</v>
      </c>
      <c r="K209" s="1105">
        <f t="shared" si="13"/>
        <v>8</v>
      </c>
      <c r="L209" s="1106" t="s">
        <v>4932</v>
      </c>
      <c r="M209" s="1106"/>
      <c r="N209" s="1443" t="str">
        <f>NOMINA!O181</f>
        <v>Guia de Centro I</v>
      </c>
      <c r="O209" s="1106">
        <v>1.02087691000006E+18</v>
      </c>
      <c r="P209" s="1107">
        <f>ROUND(+NOMINA!T181,2)</f>
        <v>246</v>
      </c>
      <c r="Q209" s="1108">
        <v>0</v>
      </c>
      <c r="R209" s="1108">
        <f>ROUND(+NOMINA!AA181,2)</f>
        <v>2.46</v>
      </c>
      <c r="S209" s="1108">
        <f>ROUND(+NOMINA!AB181,2)</f>
        <v>130</v>
      </c>
      <c r="T209" s="1108">
        <f>ROUND(+NOMINA!AC181,2)</f>
        <v>12.5</v>
      </c>
      <c r="U209" s="1108">
        <f>ROUND(+NOMINA!AD181,2)</f>
        <v>97.74</v>
      </c>
      <c r="V209" s="1108">
        <f>ROUND(NOMINA!AQ181,2)</f>
        <v>0</v>
      </c>
      <c r="W209" s="1108">
        <f>+NOMINA!AS181</f>
        <v>0</v>
      </c>
      <c r="X209" s="1108">
        <f>+NOMINA!AT181</f>
        <v>12.5</v>
      </c>
      <c r="Y209" s="1108">
        <f>+NOMINA!AU181</f>
        <v>635.30999999999995</v>
      </c>
      <c r="Z209" s="1108">
        <f>+NOMINA!BX181</f>
        <v>496.34</v>
      </c>
      <c r="AA209" s="1108">
        <f>+NOMINA!BY181</f>
        <v>0</v>
      </c>
      <c r="AB209" s="1108">
        <f t="shared" si="14"/>
        <v>496.34</v>
      </c>
      <c r="AD209" s="625"/>
      <c r="AH209" s="1467" t="str">
        <f>NOMINA!P179</f>
        <v>01020373280000442370</v>
      </c>
    </row>
    <row r="210" spans="1:34" s="620" customFormat="1" ht="20.100000000000001" customHeight="1" thickBot="1" x14ac:dyDescent="0.25">
      <c r="A210" s="758" t="s">
        <v>2846</v>
      </c>
      <c r="B210" s="759">
        <f t="shared" si="15"/>
        <v>143</v>
      </c>
      <c r="C210" s="1102">
        <f>NOMINA!C182</f>
        <v>16533986</v>
      </c>
      <c r="D210" s="1103" t="str">
        <f>NOMINA!D182</f>
        <v>Serrada Bustos Gladys Magaly</v>
      </c>
      <c r="E210" s="1468" t="s">
        <v>4622</v>
      </c>
      <c r="F210" s="1110">
        <v>32351</v>
      </c>
      <c r="G210" s="1468" t="s">
        <v>4620</v>
      </c>
      <c r="H210" s="1442">
        <f>NOMINA!H182</f>
        <v>42948</v>
      </c>
      <c r="I210" s="1105">
        <f>NOMINA!I183</f>
        <v>8</v>
      </c>
      <c r="J210" s="1106">
        <f>NOMINA!J183</f>
        <v>0</v>
      </c>
      <c r="K210" s="1105">
        <f t="shared" si="13"/>
        <v>8</v>
      </c>
      <c r="L210" s="1106" t="s">
        <v>4932</v>
      </c>
      <c r="M210" s="1106"/>
      <c r="N210" s="1443" t="str">
        <f>NOMINA!O182</f>
        <v>INGENIERO ELECTRICISTA JEFE</v>
      </c>
      <c r="O210" s="1106">
        <v>1.02087691000006E+18</v>
      </c>
      <c r="P210" s="1107">
        <f>ROUND(+NOMINA!T182,2)</f>
        <v>279</v>
      </c>
      <c r="Q210" s="1108">
        <v>0</v>
      </c>
      <c r="R210" s="1108">
        <f>ROUND(+NOMINA!AA182,2)</f>
        <v>23.99</v>
      </c>
      <c r="S210" s="1108">
        <f>ROUND(+NOMINA!AB182,2)</f>
        <v>130</v>
      </c>
      <c r="T210" s="1108">
        <f>ROUND(+NOMINA!AC182,2)</f>
        <v>12.5</v>
      </c>
      <c r="U210" s="1108">
        <f>ROUND(+NOMINA!AD182,2)</f>
        <v>111.37</v>
      </c>
      <c r="V210" s="1108">
        <f>ROUND(NOMINA!AQ182,2)</f>
        <v>0</v>
      </c>
      <c r="W210" s="1108">
        <f>+NOMINA!AS182</f>
        <v>0</v>
      </c>
      <c r="X210" s="1108">
        <f>+NOMINA!AT182</f>
        <v>0</v>
      </c>
      <c r="Y210" s="1108">
        <f>+NOMINA!AU182</f>
        <v>556.86</v>
      </c>
      <c r="Z210" s="1108">
        <f>+NOMINA!BX182</f>
        <v>1044.1099999999999</v>
      </c>
      <c r="AA210" s="1108">
        <f>+NOMINA!BY182</f>
        <v>0</v>
      </c>
      <c r="AB210" s="1108">
        <f t="shared" si="14"/>
        <v>1044.1099999999999</v>
      </c>
      <c r="AD210" s="625"/>
      <c r="AH210" s="1467" t="str">
        <f>NOMINA!P180</f>
        <v>01020494150000238694</v>
      </c>
    </row>
    <row r="211" spans="1:34" s="620" customFormat="1" ht="20.100000000000001" customHeight="1" thickBot="1" x14ac:dyDescent="0.25">
      <c r="A211" s="758" t="s">
        <v>2846</v>
      </c>
      <c r="B211" s="759">
        <f t="shared" si="15"/>
        <v>144</v>
      </c>
      <c r="C211" s="1102">
        <f>NOMINA!C183</f>
        <v>16739081</v>
      </c>
      <c r="D211" s="1103" t="str">
        <f>NOMINA!D183</f>
        <v>Albarran Araujo Yely Coromoto</v>
      </c>
      <c r="E211" s="1468" t="s">
        <v>4622</v>
      </c>
      <c r="F211" s="1110">
        <v>32351</v>
      </c>
      <c r="G211" s="1468" t="s">
        <v>4620</v>
      </c>
      <c r="H211" s="1442">
        <f>NOMINA!H183</f>
        <v>42948</v>
      </c>
      <c r="I211" s="1105">
        <f>NOMINA!I184</f>
        <v>1</v>
      </c>
      <c r="J211" s="1106">
        <f>NOMINA!J184</f>
        <v>0</v>
      </c>
      <c r="K211" s="1105">
        <f t="shared" si="13"/>
        <v>1</v>
      </c>
      <c r="L211" s="1106" t="s">
        <v>4932</v>
      </c>
      <c r="M211" s="1106"/>
      <c r="N211" s="1443" t="str">
        <f>NOMINA!O183</f>
        <v>Asistente Administrativo III</v>
      </c>
      <c r="O211" s="1106">
        <v>1.02087691000006E+18</v>
      </c>
      <c r="P211" s="1107">
        <f>ROUND(+NOMINA!T183,2)</f>
        <v>0</v>
      </c>
      <c r="Q211" s="1108">
        <v>0</v>
      </c>
      <c r="R211" s="1108">
        <f>ROUND(+NOMINA!AA183,2)</f>
        <v>0</v>
      </c>
      <c r="S211" s="1108">
        <f>ROUND(+NOMINA!AB183,2)</f>
        <v>0</v>
      </c>
      <c r="T211" s="1108">
        <f>ROUND(+NOMINA!AC183,2)</f>
        <v>0</v>
      </c>
      <c r="U211" s="1108">
        <f>ROUND(+NOMINA!AD183,2)</f>
        <v>0</v>
      </c>
      <c r="V211" s="1108">
        <f>ROUND(NOMINA!AQ183,2)</f>
        <v>0</v>
      </c>
      <c r="W211" s="1108">
        <f>+NOMINA!AS183</f>
        <v>0</v>
      </c>
      <c r="X211" s="1108">
        <f>+NOMINA!AT183</f>
        <v>0</v>
      </c>
      <c r="Y211" s="1108">
        <f>+NOMINA!AU183</f>
        <v>0</v>
      </c>
      <c r="Z211" s="1108">
        <f>+NOMINA!BX183</f>
        <v>0</v>
      </c>
      <c r="AA211" s="1108">
        <f>+NOMINA!BY183</f>
        <v>0</v>
      </c>
      <c r="AB211" s="1108">
        <f t="shared" si="14"/>
        <v>0</v>
      </c>
      <c r="AD211" s="625"/>
      <c r="AH211" s="1467" t="str">
        <f>NOMINA!P181</f>
        <v>01020373210001331040</v>
      </c>
    </row>
    <row r="212" spans="1:34" s="620" customFormat="1" ht="20.100000000000001" customHeight="1" thickBot="1" x14ac:dyDescent="0.25">
      <c r="A212" s="758" t="s">
        <v>2846</v>
      </c>
      <c r="B212" s="759">
        <f t="shared" si="15"/>
        <v>145</v>
      </c>
      <c r="C212" s="1102">
        <f>NOMINA!C184</f>
        <v>16740261</v>
      </c>
      <c r="D212" s="1103" t="str">
        <f>NOMINA!D184</f>
        <v>Rivas Briceño Nathaly Del Carmen</v>
      </c>
      <c r="E212" s="1468" t="s">
        <v>4622</v>
      </c>
      <c r="F212" s="1110">
        <v>32351</v>
      </c>
      <c r="G212" s="1468" t="s">
        <v>4620</v>
      </c>
      <c r="H212" s="1442">
        <f>NOMINA!H184</f>
        <v>45505</v>
      </c>
      <c r="I212" s="1105">
        <f>NOMINA!I185</f>
        <v>5</v>
      </c>
      <c r="J212" s="1106">
        <f>NOMINA!J185</f>
        <v>9</v>
      </c>
      <c r="K212" s="1105">
        <f t="shared" si="13"/>
        <v>14</v>
      </c>
      <c r="L212" s="1106" t="s">
        <v>4932</v>
      </c>
      <c r="M212" s="1106"/>
      <c r="N212" s="1443" t="str">
        <f>NOMINA!O184</f>
        <v>Tecnico Superior en Trabajo Social I</v>
      </c>
      <c r="O212" s="1106">
        <v>1.02087691000006E+18</v>
      </c>
      <c r="P212" s="1107">
        <f>ROUND(+NOMINA!T184,2)</f>
        <v>192</v>
      </c>
      <c r="Q212" s="1108">
        <v>0</v>
      </c>
      <c r="R212" s="1108">
        <f>ROUND(+NOMINA!AA184,2)</f>
        <v>1.92</v>
      </c>
      <c r="S212" s="1108">
        <f>ROUND(+NOMINA!AB184,2)</f>
        <v>130</v>
      </c>
      <c r="T212" s="1108">
        <f>ROUND(+NOMINA!AC184,2)</f>
        <v>12.5</v>
      </c>
      <c r="U212" s="1108">
        <f>ROUND(+NOMINA!AD184,2)</f>
        <v>67.28</v>
      </c>
      <c r="V212" s="1108">
        <f>ROUND(NOMINA!AQ184,2)</f>
        <v>0</v>
      </c>
      <c r="W212" s="1108">
        <f>+NOMINA!AS184</f>
        <v>0</v>
      </c>
      <c r="X212" s="1108">
        <f>+NOMINA!AT184</f>
        <v>0</v>
      </c>
      <c r="Y212" s="1108">
        <f>+NOMINA!AU184</f>
        <v>403.7</v>
      </c>
      <c r="Z212" s="1108">
        <f>+NOMINA!BX184</f>
        <v>254.07</v>
      </c>
      <c r="AA212" s="1108">
        <f>+NOMINA!BY184</f>
        <v>0</v>
      </c>
      <c r="AB212" s="1108">
        <f t="shared" si="14"/>
        <v>254.07</v>
      </c>
      <c r="AD212" s="625"/>
      <c r="AH212" s="1467" t="str">
        <f>NOMINA!P182</f>
        <v>01020747920000010236</v>
      </c>
    </row>
    <row r="213" spans="1:34" s="620" customFormat="1" ht="20.100000000000001" customHeight="1" thickBot="1" x14ac:dyDescent="0.25">
      <c r="A213" s="758" t="s">
        <v>2846</v>
      </c>
      <c r="B213" s="759">
        <f t="shared" si="15"/>
        <v>146</v>
      </c>
      <c r="C213" s="1102">
        <f>NOMINA!C185</f>
        <v>16881384</v>
      </c>
      <c r="D213" s="1103" t="str">
        <f>NOMINA!D185</f>
        <v>Perez Ramirez Yonathan Jesus</v>
      </c>
      <c r="E213" s="1468" t="s">
        <v>4622</v>
      </c>
      <c r="F213" s="1110">
        <v>32351</v>
      </c>
      <c r="G213" s="1468" t="s">
        <v>4620</v>
      </c>
      <c r="H213" s="1442">
        <f>NOMINA!H185</f>
        <v>43906</v>
      </c>
      <c r="I213" s="1105">
        <f>NOMINA!I186</f>
        <v>8</v>
      </c>
      <c r="J213" s="1106">
        <f>NOMINA!J186</f>
        <v>7</v>
      </c>
      <c r="K213" s="1105">
        <f t="shared" si="13"/>
        <v>15</v>
      </c>
      <c r="L213" s="1106" t="s">
        <v>4932</v>
      </c>
      <c r="M213" s="1106"/>
      <c r="N213" s="1443" t="str">
        <f>NOMINA!O185</f>
        <v>Guia de Centro II</v>
      </c>
      <c r="O213" s="1106">
        <v>1.02087691000006E+18</v>
      </c>
      <c r="P213" s="1107">
        <f>ROUND(+NOMINA!T185,2)</f>
        <v>225</v>
      </c>
      <c r="Q213" s="1108">
        <v>0</v>
      </c>
      <c r="R213" s="1108">
        <f>ROUND(+NOMINA!AA185,2)</f>
        <v>37.35</v>
      </c>
      <c r="S213" s="1108">
        <f>ROUND(+NOMINA!AB185,2)</f>
        <v>130</v>
      </c>
      <c r="T213" s="1108">
        <f>ROUND(+NOMINA!AC185,2)</f>
        <v>0</v>
      </c>
      <c r="U213" s="1108">
        <f>ROUND(+NOMINA!AD185,2)</f>
        <v>78.47</v>
      </c>
      <c r="V213" s="1108">
        <f>ROUND(NOMINA!AQ185,2)</f>
        <v>0</v>
      </c>
      <c r="W213" s="1108">
        <f>+NOMINA!AS185</f>
        <v>0</v>
      </c>
      <c r="X213" s="1108">
        <f>+NOMINA!AT185</f>
        <v>0</v>
      </c>
      <c r="Y213" s="1108">
        <f>+NOMINA!AU185</f>
        <v>612.06999999999994</v>
      </c>
      <c r="Z213" s="1108">
        <f>+NOMINA!BX185</f>
        <v>1147.6300000000001</v>
      </c>
      <c r="AA213" s="1108">
        <f>+NOMINA!BY185</f>
        <v>0</v>
      </c>
      <c r="AB213" s="1108">
        <f t="shared" si="14"/>
        <v>1147.6300000000001</v>
      </c>
      <c r="AD213" s="625"/>
      <c r="AH213" s="1467" t="str">
        <f>NOMINA!P183</f>
        <v>01020373230000462839</v>
      </c>
    </row>
    <row r="214" spans="1:34" s="620" customFormat="1" ht="20.100000000000001" customHeight="1" thickBot="1" x14ac:dyDescent="0.25">
      <c r="A214" s="758" t="s">
        <v>2846</v>
      </c>
      <c r="B214" s="759">
        <f t="shared" si="15"/>
        <v>147</v>
      </c>
      <c r="C214" s="1102">
        <f>NOMINA!C186</f>
        <v>16882467</v>
      </c>
      <c r="D214" s="1103" t="str">
        <f>NOMINA!D186</f>
        <v>Mejia Araujo Sandra Coromoto</v>
      </c>
      <c r="E214" s="1468" t="s">
        <v>4622</v>
      </c>
      <c r="F214" s="1110">
        <v>32351</v>
      </c>
      <c r="G214" s="1468" t="s">
        <v>4620</v>
      </c>
      <c r="H214" s="1442">
        <f>NOMINA!H186</f>
        <v>42948</v>
      </c>
      <c r="I214" s="1105">
        <f>NOMINA!I187</f>
        <v>19</v>
      </c>
      <c r="J214" s="1106">
        <f>NOMINA!J187</f>
        <v>0</v>
      </c>
      <c r="K214" s="1105">
        <f t="shared" si="13"/>
        <v>19</v>
      </c>
      <c r="L214" s="1106" t="s">
        <v>4932</v>
      </c>
      <c r="M214" s="1106"/>
      <c r="N214" s="1443" t="str">
        <f>NOMINA!O186</f>
        <v>Analista de Personal IV</v>
      </c>
      <c r="O214" s="1106">
        <v>1.02087691000006E+18</v>
      </c>
      <c r="P214" s="1107">
        <f>ROUND(+NOMINA!T186,2)</f>
        <v>285</v>
      </c>
      <c r="Q214" s="1108">
        <v>0</v>
      </c>
      <c r="R214" s="1108">
        <f>ROUND(+NOMINA!AA186,2)</f>
        <v>51.3</v>
      </c>
      <c r="S214" s="1108">
        <f>ROUND(+NOMINA!AB186,2)</f>
        <v>130</v>
      </c>
      <c r="T214" s="1108">
        <f>ROUND(+NOMINA!AC186,2)</f>
        <v>0</v>
      </c>
      <c r="U214" s="1108">
        <f>ROUND(+NOMINA!AD186,2)</f>
        <v>116.58</v>
      </c>
      <c r="V214" s="1108">
        <f>ROUND(NOMINA!AQ186,2)</f>
        <v>0</v>
      </c>
      <c r="W214" s="1108">
        <f>+NOMINA!AS186</f>
        <v>0</v>
      </c>
      <c r="X214" s="1108">
        <f>+NOMINA!AT186</f>
        <v>12.5</v>
      </c>
      <c r="Y214" s="1108">
        <f>+NOMINA!AU186</f>
        <v>582.88</v>
      </c>
      <c r="Z214" s="1108">
        <f>+NOMINA!BX186</f>
        <v>1092.9000000000001</v>
      </c>
      <c r="AA214" s="1108">
        <f>+NOMINA!BY186</f>
        <v>0</v>
      </c>
      <c r="AB214" s="1108">
        <f t="shared" si="14"/>
        <v>1092.9000000000001</v>
      </c>
      <c r="AD214" s="625"/>
      <c r="AH214" s="1467" t="str">
        <f>NOMINA!P184</f>
        <v>01020747910000305006</v>
      </c>
    </row>
    <row r="215" spans="1:34" s="620" customFormat="1" ht="20.100000000000001" customHeight="1" thickBot="1" x14ac:dyDescent="0.25">
      <c r="A215" s="758" t="s">
        <v>2846</v>
      </c>
      <c r="B215" s="759">
        <f t="shared" si="15"/>
        <v>148</v>
      </c>
      <c r="C215" s="1102">
        <f>NOMINA!C187</f>
        <v>16883267</v>
      </c>
      <c r="D215" s="1103" t="str">
        <f>NOMINA!D187</f>
        <v>Matheus Rondon Aida</v>
      </c>
      <c r="E215" s="1468" t="s">
        <v>4622</v>
      </c>
      <c r="F215" s="1110">
        <v>32351</v>
      </c>
      <c r="G215" s="1468" t="s">
        <v>4620</v>
      </c>
      <c r="H215" s="1442">
        <f>NOMINA!H187</f>
        <v>38930</v>
      </c>
      <c r="I215" s="1105">
        <f>NOMINA!I188</f>
        <v>15</v>
      </c>
      <c r="J215" s="1106">
        <f>NOMINA!J188</f>
        <v>0</v>
      </c>
      <c r="K215" s="1105">
        <f t="shared" si="13"/>
        <v>15</v>
      </c>
      <c r="L215" s="1106" t="s">
        <v>4932</v>
      </c>
      <c r="M215" s="1106"/>
      <c r="N215" s="1443" t="str">
        <f>NOMINA!O187</f>
        <v>Guia de Centro II</v>
      </c>
      <c r="O215" s="1106">
        <v>1.02087691000006E+18</v>
      </c>
      <c r="P215" s="1107">
        <f>ROUND(+NOMINA!T187,2)</f>
        <v>228</v>
      </c>
      <c r="Q215" s="1108">
        <v>0</v>
      </c>
      <c r="R215" s="1108">
        <f>ROUND(+NOMINA!AA187,2)</f>
        <v>55.63</v>
      </c>
      <c r="S215" s="1108">
        <f>ROUND(+NOMINA!AB187,2)</f>
        <v>130</v>
      </c>
      <c r="T215" s="1108">
        <f>ROUND(+NOMINA!AC187,2)</f>
        <v>0</v>
      </c>
      <c r="U215" s="1108">
        <f>ROUND(+NOMINA!AD187,2)</f>
        <v>82.73</v>
      </c>
      <c r="V215" s="1108">
        <f>ROUND(NOMINA!AQ187,2)</f>
        <v>0</v>
      </c>
      <c r="W215" s="1108">
        <f>+NOMINA!AS187</f>
        <v>0</v>
      </c>
      <c r="X215" s="1108">
        <f>+NOMINA!AT187</f>
        <v>0</v>
      </c>
      <c r="Y215" s="1108">
        <f>+NOMINA!AU187</f>
        <v>496.36</v>
      </c>
      <c r="Z215" s="1108">
        <f>+NOMINA!BX187</f>
        <v>930.68</v>
      </c>
      <c r="AA215" s="1108">
        <f>+NOMINA!BY187</f>
        <v>0</v>
      </c>
      <c r="AB215" s="1108">
        <f t="shared" si="14"/>
        <v>930.68</v>
      </c>
      <c r="AD215" s="625"/>
      <c r="AH215" s="1467" t="str">
        <f>NOMINA!P185</f>
        <v>01020369470000056821</v>
      </c>
    </row>
    <row r="216" spans="1:34" s="620" customFormat="1" ht="20.100000000000001" customHeight="1" thickBot="1" x14ac:dyDescent="0.25">
      <c r="A216" s="758" t="s">
        <v>2846</v>
      </c>
      <c r="B216" s="759">
        <f t="shared" si="15"/>
        <v>149</v>
      </c>
      <c r="C216" s="1102">
        <f>NOMINA!C188</f>
        <v>17037244</v>
      </c>
      <c r="D216" s="1103" t="str">
        <f>NOMINA!D188</f>
        <v>Bastidas Yelitza del Carmen</v>
      </c>
      <c r="E216" s="1468" t="s">
        <v>4622</v>
      </c>
      <c r="F216" s="1110">
        <v>32351</v>
      </c>
      <c r="G216" s="1468" t="s">
        <v>4620</v>
      </c>
      <c r="H216" s="1442">
        <f>NOMINA!H188</f>
        <v>40087</v>
      </c>
      <c r="I216" s="1105">
        <f>NOMINA!I190</f>
        <v>4</v>
      </c>
      <c r="J216" s="1106">
        <f>NOMINA!J190</f>
        <v>0</v>
      </c>
      <c r="K216" s="1105">
        <f t="shared" si="13"/>
        <v>4</v>
      </c>
      <c r="L216" s="1106" t="s">
        <v>4932</v>
      </c>
      <c r="M216" s="1106"/>
      <c r="N216" s="1443" t="str">
        <f>NOMINA!O188</f>
        <v>Guia de Centro II</v>
      </c>
      <c r="O216" s="1106">
        <v>1.02087691000006E+18</v>
      </c>
      <c r="P216" s="1107">
        <f>ROUND(+NOMINA!T188,2)</f>
        <v>226</v>
      </c>
      <c r="Q216" s="1108">
        <v>0</v>
      </c>
      <c r="R216" s="1108">
        <f>ROUND(+NOMINA!AA188,2)</f>
        <v>40.68</v>
      </c>
      <c r="S216" s="1108">
        <f>ROUND(+NOMINA!AB188,2)</f>
        <v>130</v>
      </c>
      <c r="T216" s="1108">
        <f>ROUND(+NOMINA!AC188,2)</f>
        <v>25</v>
      </c>
      <c r="U216" s="1108">
        <f>ROUND(+NOMINA!AD188,2)</f>
        <v>84.34</v>
      </c>
      <c r="V216" s="1108">
        <f>ROUND(NOMINA!AQ188,2)</f>
        <v>0</v>
      </c>
      <c r="W216" s="1108">
        <f>+NOMINA!AS188</f>
        <v>0</v>
      </c>
      <c r="X216" s="1108">
        <f>+NOMINA!AT188</f>
        <v>0</v>
      </c>
      <c r="Y216" s="1108">
        <f>+NOMINA!AU188</f>
        <v>657.82999999999993</v>
      </c>
      <c r="Z216" s="1108">
        <f>+NOMINA!BX188</f>
        <v>1233.43</v>
      </c>
      <c r="AA216" s="1108">
        <f>+NOMINA!BY188</f>
        <v>0</v>
      </c>
      <c r="AB216" s="1108">
        <f t="shared" si="14"/>
        <v>1233.43</v>
      </c>
      <c r="AD216" s="625"/>
      <c r="AH216" s="1467" t="str">
        <f>NOMINA!P186</f>
        <v>01020369460000427243</v>
      </c>
    </row>
    <row r="217" spans="1:34" s="620" customFormat="1" ht="20.100000000000001" customHeight="1" thickBot="1" x14ac:dyDescent="0.25">
      <c r="A217" s="758" t="s">
        <v>2846</v>
      </c>
      <c r="B217" s="759">
        <f t="shared" si="15"/>
        <v>150</v>
      </c>
      <c r="C217" s="1102">
        <f>NOMINA!C190</f>
        <v>17094419</v>
      </c>
      <c r="D217" s="1103" t="str">
        <f>NOMINA!D190</f>
        <v>Aponte Rivera Lenismar del Valle</v>
      </c>
      <c r="E217" s="1468" t="s">
        <v>4622</v>
      </c>
      <c r="F217" s="1110">
        <v>32351</v>
      </c>
      <c r="G217" s="1468" t="s">
        <v>4620</v>
      </c>
      <c r="H217" s="1442">
        <f>NOMINA!H190</f>
        <v>44409</v>
      </c>
      <c r="I217" s="1105">
        <f>NOMINA!I191</f>
        <v>7</v>
      </c>
      <c r="J217" s="1106">
        <f>NOMINA!J191</f>
        <v>0</v>
      </c>
      <c r="K217" s="1105">
        <f t="shared" si="13"/>
        <v>7</v>
      </c>
      <c r="L217" s="1106" t="s">
        <v>4932</v>
      </c>
      <c r="M217" s="1106"/>
      <c r="N217" s="1443" t="str">
        <f>NOMINA!O190</f>
        <v>Guia de Centro I</v>
      </c>
      <c r="O217" s="1106">
        <v>1.02087691000006E+18</v>
      </c>
      <c r="P217" s="1107">
        <f>ROUND(+NOMINA!T190,2)</f>
        <v>150</v>
      </c>
      <c r="Q217" s="1108">
        <v>0</v>
      </c>
      <c r="R217" s="1108">
        <f>ROUND(+NOMINA!AA190,2)</f>
        <v>6</v>
      </c>
      <c r="S217" s="1108">
        <f>ROUND(+NOMINA!AB190,2)</f>
        <v>130</v>
      </c>
      <c r="T217" s="1108">
        <f>ROUND(+NOMINA!AC190,2)</f>
        <v>12.5</v>
      </c>
      <c r="U217" s="1108">
        <f>ROUND(+NOMINA!AD190,2)</f>
        <v>0</v>
      </c>
      <c r="V217" s="1108">
        <f>ROUND(NOMINA!AQ190,2)</f>
        <v>0</v>
      </c>
      <c r="W217" s="1108">
        <f>+NOMINA!AS190</f>
        <v>0</v>
      </c>
      <c r="X217" s="1108">
        <f>+NOMINA!AT190</f>
        <v>0</v>
      </c>
      <c r="Y217" s="1108">
        <f>+NOMINA!AU190</f>
        <v>388.05</v>
      </c>
      <c r="Z217" s="1108">
        <f>+NOMINA!BX190</f>
        <v>727.6</v>
      </c>
      <c r="AA217" s="1108">
        <f>+NOMINA!BY190</f>
        <v>0</v>
      </c>
      <c r="AB217" s="1108">
        <f t="shared" si="14"/>
        <v>727.6</v>
      </c>
      <c r="AD217" s="625"/>
      <c r="AH217" s="1467" t="str">
        <f>NOMINA!P187</f>
        <v>01020373280000442451</v>
      </c>
    </row>
    <row r="218" spans="1:34" s="620" customFormat="1" ht="20.100000000000001" customHeight="1" thickBot="1" x14ac:dyDescent="0.25">
      <c r="A218" s="758" t="s">
        <v>2846</v>
      </c>
      <c r="B218" s="759">
        <f t="shared" si="15"/>
        <v>151</v>
      </c>
      <c r="C218" s="1102">
        <f>NOMINA!C191</f>
        <v>17094426</v>
      </c>
      <c r="D218" s="1103" t="str">
        <f>NOMINA!D191</f>
        <v>Manzanilla Araujo Richard Jose</v>
      </c>
      <c r="E218" s="1468" t="s">
        <v>4622</v>
      </c>
      <c r="F218" s="1110">
        <v>32351</v>
      </c>
      <c r="G218" s="1468" t="s">
        <v>4620</v>
      </c>
      <c r="H218" s="1442">
        <f>NOMINA!H191</f>
        <v>43344</v>
      </c>
      <c r="I218" s="1105">
        <f>NOMINA!I192</f>
        <v>17</v>
      </c>
      <c r="J218" s="1106">
        <f>NOMINA!J192</f>
        <v>0</v>
      </c>
      <c r="K218" s="1105">
        <f t="shared" si="13"/>
        <v>17</v>
      </c>
      <c r="L218" s="1106" t="s">
        <v>4932</v>
      </c>
      <c r="M218" s="1106"/>
      <c r="N218" s="1443" t="str">
        <f>NOMINA!O191</f>
        <v>Guia de Centro II</v>
      </c>
      <c r="O218" s="1106">
        <v>1.02087691000006E+18</v>
      </c>
      <c r="P218" s="1107">
        <f>ROUND(+NOMINA!T191,2)</f>
        <v>279</v>
      </c>
      <c r="Q218" s="1108">
        <v>0</v>
      </c>
      <c r="R218" s="1108">
        <f>ROUND(+NOMINA!AA191,2)</f>
        <v>20.65</v>
      </c>
      <c r="S218" s="1108">
        <f>ROUND(+NOMINA!AB191,2)</f>
        <v>130</v>
      </c>
      <c r="T218" s="1108">
        <f>ROUND(+NOMINA!AC191,2)</f>
        <v>12.5</v>
      </c>
      <c r="U218" s="1108">
        <f>ROUND(+NOMINA!AD191,2)</f>
        <v>110.54</v>
      </c>
      <c r="V218" s="1108">
        <f>ROUND(NOMINA!AQ191,2)</f>
        <v>0</v>
      </c>
      <c r="W218" s="1108">
        <f>+NOMINA!AS191</f>
        <v>0</v>
      </c>
      <c r="X218" s="1108">
        <f>+NOMINA!AT191</f>
        <v>0</v>
      </c>
      <c r="Y218" s="1108">
        <f>+NOMINA!AU191</f>
        <v>718.5</v>
      </c>
      <c r="Z218" s="1108">
        <f>+NOMINA!BX191</f>
        <v>1347.19</v>
      </c>
      <c r="AA218" s="1108">
        <f>+NOMINA!BY191</f>
        <v>0</v>
      </c>
      <c r="AB218" s="1108">
        <f t="shared" si="14"/>
        <v>1347.19</v>
      </c>
      <c r="AD218" s="625"/>
      <c r="AH218" s="1467" t="str">
        <f>NOMINA!P188</f>
        <v>01020373200000442464</v>
      </c>
    </row>
    <row r="219" spans="1:34" s="620" customFormat="1" ht="20.100000000000001" customHeight="1" thickBot="1" x14ac:dyDescent="0.25">
      <c r="A219" s="758" t="s">
        <v>2846</v>
      </c>
      <c r="B219" s="759">
        <f t="shared" si="15"/>
        <v>152</v>
      </c>
      <c r="C219" s="1102">
        <f>NOMINA!C192</f>
        <v>17130893</v>
      </c>
      <c r="D219" s="1103" t="str">
        <f>NOMINA!D192</f>
        <v>Leon Valero Ceila Maria</v>
      </c>
      <c r="E219" s="1468" t="s">
        <v>4622</v>
      </c>
      <c r="F219" s="1110">
        <v>32351</v>
      </c>
      <c r="G219" s="1468" t="s">
        <v>4620</v>
      </c>
      <c r="H219" s="1442">
        <f>NOMINA!H192</f>
        <v>39602</v>
      </c>
      <c r="I219" s="1105" t="e">
        <f>NOMINA!#REF!</f>
        <v>#REF!</v>
      </c>
      <c r="J219" s="1106" t="e">
        <f>NOMINA!#REF!</f>
        <v>#REF!</v>
      </c>
      <c r="K219" s="1105" t="e">
        <f t="shared" si="13"/>
        <v>#REF!</v>
      </c>
      <c r="L219" s="1106" t="s">
        <v>4932</v>
      </c>
      <c r="M219" s="1106"/>
      <c r="N219" s="1443" t="str">
        <f>NOMINA!O192</f>
        <v>Tutor Facilitador III</v>
      </c>
      <c r="O219" s="1106">
        <v>1.02087691000006E+18</v>
      </c>
      <c r="P219" s="1107">
        <f>ROUND(+NOMINA!T192,2)</f>
        <v>285</v>
      </c>
      <c r="Q219" s="1108">
        <v>0</v>
      </c>
      <c r="R219" s="1108">
        <f>ROUND(+NOMINA!AA192,2)</f>
        <v>60.42</v>
      </c>
      <c r="S219" s="1108">
        <f>ROUND(+NOMINA!AB192,2)</f>
        <v>130</v>
      </c>
      <c r="T219" s="1108">
        <f>ROUND(+NOMINA!AC192,2)</f>
        <v>25</v>
      </c>
      <c r="U219" s="1108">
        <f>ROUND(+NOMINA!AD192,2)</f>
        <v>125.11</v>
      </c>
      <c r="V219" s="1108">
        <f>ROUND(NOMINA!AQ192,2)</f>
        <v>0</v>
      </c>
      <c r="W219" s="1108">
        <f>+NOMINA!AS192</f>
        <v>0</v>
      </c>
      <c r="X219" s="1108">
        <f>+NOMINA!AT192</f>
        <v>25</v>
      </c>
      <c r="Y219" s="1108">
        <f>+NOMINA!AU192</f>
        <v>625.53</v>
      </c>
      <c r="Z219" s="1108">
        <f>+NOMINA!BX192</f>
        <v>1172.8699999999999</v>
      </c>
      <c r="AA219" s="1108">
        <f>+NOMINA!BY192</f>
        <v>0</v>
      </c>
      <c r="AB219" s="1108">
        <f t="shared" si="14"/>
        <v>1172.8699999999999</v>
      </c>
      <c r="AD219" s="625"/>
      <c r="AH219" s="1467" t="str">
        <f>NOMINA!P190</f>
        <v>01020373290000806987</v>
      </c>
    </row>
    <row r="220" spans="1:34" s="620" customFormat="1" ht="20.100000000000001" customHeight="1" thickBot="1" x14ac:dyDescent="0.25">
      <c r="A220" s="758" t="s">
        <v>2846</v>
      </c>
      <c r="B220" s="759">
        <f t="shared" si="15"/>
        <v>153</v>
      </c>
      <c r="C220" s="1102" t="e">
        <f>NOMINA!#REF!</f>
        <v>#REF!</v>
      </c>
      <c r="D220" s="1103" t="e">
        <f>NOMINA!#REF!</f>
        <v>#REF!</v>
      </c>
      <c r="E220" s="1468" t="s">
        <v>4622</v>
      </c>
      <c r="F220" s="1110">
        <v>32351</v>
      </c>
      <c r="G220" s="1468" t="s">
        <v>4620</v>
      </c>
      <c r="H220" s="1442" t="e">
        <f>NOMINA!#REF!</f>
        <v>#REF!</v>
      </c>
      <c r="I220" s="1105">
        <f>NOMINA!I193</f>
        <v>2</v>
      </c>
      <c r="J220" s="1106">
        <f>NOMINA!J193</f>
        <v>2</v>
      </c>
      <c r="K220" s="1105">
        <f t="shared" si="13"/>
        <v>4</v>
      </c>
      <c r="L220" s="1106" t="s">
        <v>4932</v>
      </c>
      <c r="M220" s="1106"/>
      <c r="N220" s="1443" t="e">
        <f>NOMINA!#REF!</f>
        <v>#REF!</v>
      </c>
      <c r="O220" s="1106">
        <v>1.02087691000006E+18</v>
      </c>
      <c r="P220" s="1107" t="e">
        <f>ROUND(+NOMINA!#REF!,2)</f>
        <v>#REF!</v>
      </c>
      <c r="Q220" s="1108">
        <v>0</v>
      </c>
      <c r="R220" s="1108" t="e">
        <f>ROUND(+NOMINA!#REF!,2)</f>
        <v>#REF!</v>
      </c>
      <c r="S220" s="1108" t="e">
        <f>ROUND(+NOMINA!#REF!,2)</f>
        <v>#REF!</v>
      </c>
      <c r="T220" s="1108" t="e">
        <f>ROUND(+NOMINA!#REF!,2)</f>
        <v>#REF!</v>
      </c>
      <c r="U220" s="1108" t="e">
        <f>ROUND(+NOMINA!#REF!,2)</f>
        <v>#REF!</v>
      </c>
      <c r="V220" s="1108" t="e">
        <f>ROUND(NOMINA!#REF!,2)</f>
        <v>#REF!</v>
      </c>
      <c r="W220" s="1108" t="e">
        <f>+NOMINA!#REF!</f>
        <v>#REF!</v>
      </c>
      <c r="X220" s="1108" t="e">
        <f>+NOMINA!#REF!</f>
        <v>#REF!</v>
      </c>
      <c r="Y220" s="1108" t="e">
        <f>+NOMINA!#REF!</f>
        <v>#REF!</v>
      </c>
      <c r="Z220" s="1108" t="e">
        <f>+NOMINA!#REF!</f>
        <v>#REF!</v>
      </c>
      <c r="AA220" s="1108" t="e">
        <f>+NOMINA!#REF!</f>
        <v>#REF!</v>
      </c>
      <c r="AB220" s="1108" t="e">
        <f t="shared" si="14"/>
        <v>#REF!</v>
      </c>
      <c r="AD220" s="625"/>
      <c r="AH220" s="1467" t="str">
        <f>NOMINA!P191</f>
        <v>01020373240000541323</v>
      </c>
    </row>
    <row r="221" spans="1:34" s="620" customFormat="1" ht="20.100000000000001" customHeight="1" thickBot="1" x14ac:dyDescent="0.25">
      <c r="A221" s="758" t="s">
        <v>2846</v>
      </c>
      <c r="B221" s="759">
        <f t="shared" si="15"/>
        <v>154</v>
      </c>
      <c r="C221" s="1102">
        <f>NOMINA!C193</f>
        <v>17265578</v>
      </c>
      <c r="D221" s="1103" t="str">
        <f>NOMINA!D193</f>
        <v>Briceño Aguilar Rebeca Andreina</v>
      </c>
      <c r="E221" s="1468" t="s">
        <v>4622</v>
      </c>
      <c r="F221" s="1110">
        <v>32351</v>
      </c>
      <c r="G221" s="1468" t="s">
        <v>4620</v>
      </c>
      <c r="H221" s="1442">
        <f>NOMINA!H193</f>
        <v>45047</v>
      </c>
      <c r="I221" s="1105">
        <f>NOMINA!I194</f>
        <v>6</v>
      </c>
      <c r="J221" s="1106">
        <f>NOMINA!J194</f>
        <v>0</v>
      </c>
      <c r="K221" s="1105">
        <f t="shared" si="13"/>
        <v>6</v>
      </c>
      <c r="L221" s="1106" t="s">
        <v>4932</v>
      </c>
      <c r="M221" s="1106"/>
      <c r="N221" s="1443" t="str">
        <f>NOMINA!O193</f>
        <v>Tecnico Superior en Trabajo Social II</v>
      </c>
      <c r="O221" s="1106">
        <v>1.02087691000006E+18</v>
      </c>
      <c r="P221" s="1107">
        <f>ROUND(+NOMINA!T193,2)</f>
        <v>219</v>
      </c>
      <c r="Q221" s="1108">
        <v>0</v>
      </c>
      <c r="R221" s="1108">
        <f>ROUND(+NOMINA!AA193,2)</f>
        <v>8.76</v>
      </c>
      <c r="S221" s="1108">
        <f>ROUND(+NOMINA!AB193,2)</f>
        <v>130</v>
      </c>
      <c r="T221" s="1108">
        <f>ROUND(+NOMINA!AC193,2)</f>
        <v>12.5</v>
      </c>
      <c r="U221" s="1108">
        <f>ROUND(+NOMINA!AD193,2)</f>
        <v>74.05</v>
      </c>
      <c r="V221" s="1108">
        <f>ROUND(NOMINA!AQ193,2)</f>
        <v>0</v>
      </c>
      <c r="W221" s="1108">
        <f>+NOMINA!AS193</f>
        <v>0</v>
      </c>
      <c r="X221" s="1108">
        <f>+NOMINA!AT193</f>
        <v>0</v>
      </c>
      <c r="Y221" s="1108">
        <f>+NOMINA!AU193</f>
        <v>444.31</v>
      </c>
      <c r="Z221" s="1108">
        <f>+NOMINA!BX193</f>
        <v>833.08</v>
      </c>
      <c r="AA221" s="1108">
        <f>+NOMINA!BY193</f>
        <v>0</v>
      </c>
      <c r="AB221" s="1108">
        <f t="shared" si="14"/>
        <v>833.08</v>
      </c>
      <c r="AD221" s="625"/>
      <c r="AH221" s="1467" t="str">
        <f>NOMINA!P192</f>
        <v>01020373230000442493</v>
      </c>
    </row>
    <row r="222" spans="1:34" s="620" customFormat="1" ht="20.100000000000001" customHeight="1" thickBot="1" x14ac:dyDescent="0.25">
      <c r="A222" s="758" t="s">
        <v>2846</v>
      </c>
      <c r="B222" s="759">
        <f t="shared" si="15"/>
        <v>155</v>
      </c>
      <c r="C222" s="1102">
        <f>NOMINA!C194</f>
        <v>17265648</v>
      </c>
      <c r="D222" s="1103" t="str">
        <f>NOMINA!D194</f>
        <v>Carrizo Mary Alejandra</v>
      </c>
      <c r="E222" s="1468" t="s">
        <v>4622</v>
      </c>
      <c r="F222" s="1110">
        <v>32351</v>
      </c>
      <c r="G222" s="1468" t="s">
        <v>4620</v>
      </c>
      <c r="H222" s="1442">
        <f>NOMINA!H194</f>
        <v>43709</v>
      </c>
      <c r="I222" s="1105">
        <f>NOMINA!I195</f>
        <v>5</v>
      </c>
      <c r="J222" s="1106">
        <f>NOMINA!J195</f>
        <v>0</v>
      </c>
      <c r="K222" s="1105">
        <f t="shared" si="13"/>
        <v>5</v>
      </c>
      <c r="L222" s="1106" t="s">
        <v>4932</v>
      </c>
      <c r="M222" s="1106"/>
      <c r="N222" s="1443" t="str">
        <f>NOMINA!O194</f>
        <v>Guia de Centro II</v>
      </c>
      <c r="O222" s="1106">
        <v>1.02087691000006E+18</v>
      </c>
      <c r="P222" s="1107">
        <f>ROUND(+NOMINA!T194,2)</f>
        <v>170</v>
      </c>
      <c r="Q222" s="1108">
        <v>0</v>
      </c>
      <c r="R222" s="1108">
        <f>ROUND(+NOMINA!AA194,2)</f>
        <v>10.54</v>
      </c>
      <c r="S222" s="1108">
        <f>ROUND(+NOMINA!AB194,2)</f>
        <v>130</v>
      </c>
      <c r="T222" s="1108">
        <f>ROUND(+NOMINA!AC194,2)</f>
        <v>25</v>
      </c>
      <c r="U222" s="1108">
        <f>ROUND(+NOMINA!AD194,2)</f>
        <v>0</v>
      </c>
      <c r="V222" s="1108">
        <f>ROUND(NOMINA!AQ194,2)</f>
        <v>0</v>
      </c>
      <c r="W222" s="1108">
        <f>+NOMINA!AS194</f>
        <v>0</v>
      </c>
      <c r="X222" s="1108">
        <f>+NOMINA!AT194</f>
        <v>0</v>
      </c>
      <c r="Y222" s="1108">
        <f>+NOMINA!AU194</f>
        <v>436.19999999999993</v>
      </c>
      <c r="Z222" s="1108">
        <f>+NOMINA!BX194</f>
        <v>817.88</v>
      </c>
      <c r="AA222" s="1108">
        <f>+NOMINA!BY194</f>
        <v>0</v>
      </c>
      <c r="AB222" s="1108">
        <f t="shared" si="14"/>
        <v>817.88</v>
      </c>
      <c r="AD222" s="625"/>
      <c r="AH222" s="1467" t="e">
        <f>NOMINA!#REF!</f>
        <v>#REF!</v>
      </c>
    </row>
    <row r="223" spans="1:34" s="620" customFormat="1" ht="20.100000000000001" customHeight="1" thickBot="1" x14ac:dyDescent="0.25">
      <c r="A223" s="758" t="s">
        <v>2846</v>
      </c>
      <c r="B223" s="759">
        <f t="shared" si="15"/>
        <v>156</v>
      </c>
      <c r="C223" s="1102">
        <f>NOMINA!C195</f>
        <v>17267324</v>
      </c>
      <c r="D223" s="1103" t="str">
        <f>NOMINA!D195</f>
        <v>Urdaneta Soto Katherine Esther</v>
      </c>
      <c r="E223" s="1468" t="s">
        <v>4622</v>
      </c>
      <c r="F223" s="1110">
        <v>32351</v>
      </c>
      <c r="G223" s="1468" t="s">
        <v>4620</v>
      </c>
      <c r="H223" s="1442">
        <f>NOMINA!H195</f>
        <v>43785</v>
      </c>
      <c r="I223" s="1105">
        <f>NOMINA!I196</f>
        <v>3</v>
      </c>
      <c r="J223" s="1106">
        <f>NOMINA!J196</f>
        <v>0</v>
      </c>
      <c r="K223" s="1105">
        <f t="shared" si="13"/>
        <v>3</v>
      </c>
      <c r="L223" s="1106" t="s">
        <v>4932</v>
      </c>
      <c r="M223" s="1106"/>
      <c r="N223" s="1443" t="str">
        <f>NOMINA!O195</f>
        <v>Guia de Centro II</v>
      </c>
      <c r="O223" s="1106">
        <v>1.02087691000006E+18</v>
      </c>
      <c r="P223" s="1107">
        <f>ROUND(+NOMINA!T195,2)</f>
        <v>150</v>
      </c>
      <c r="Q223" s="1108">
        <v>0</v>
      </c>
      <c r="R223" s="1108">
        <f>ROUND(+NOMINA!AA195,2)</f>
        <v>7.5</v>
      </c>
      <c r="S223" s="1108">
        <f>ROUND(+NOMINA!AB195,2)</f>
        <v>130</v>
      </c>
      <c r="T223" s="1108">
        <f>ROUND(+NOMINA!AC195,2)</f>
        <v>12.5</v>
      </c>
      <c r="U223" s="1108">
        <f>ROUND(+NOMINA!AD195,2)</f>
        <v>0</v>
      </c>
      <c r="V223" s="1108">
        <f>ROUND(NOMINA!AQ195,2)</f>
        <v>0</v>
      </c>
      <c r="W223" s="1108">
        <f>+NOMINA!AS195</f>
        <v>0</v>
      </c>
      <c r="X223" s="1108">
        <f>+NOMINA!AT195</f>
        <v>0</v>
      </c>
      <c r="Y223" s="1108">
        <f>+NOMINA!AU195</f>
        <v>390</v>
      </c>
      <c r="Z223" s="1108">
        <f>+NOMINA!BX195</f>
        <v>731.25</v>
      </c>
      <c r="AA223" s="1108">
        <f>+NOMINA!BY195</f>
        <v>0</v>
      </c>
      <c r="AB223" s="1108">
        <f t="shared" si="14"/>
        <v>731.25</v>
      </c>
      <c r="AD223" s="625"/>
      <c r="AH223" s="1467" t="str">
        <f>NOMINA!P193</f>
        <v>01020747990000341921</v>
      </c>
    </row>
    <row r="224" spans="1:34" s="620" customFormat="1" ht="20.100000000000001" customHeight="1" thickBot="1" x14ac:dyDescent="0.25">
      <c r="A224" s="758" t="s">
        <v>2846</v>
      </c>
      <c r="B224" s="759">
        <f t="shared" si="15"/>
        <v>157</v>
      </c>
      <c r="C224" s="1102">
        <f>NOMINA!C196</f>
        <v>17391316</v>
      </c>
      <c r="D224" s="1103" t="str">
        <f>NOMINA!D196</f>
        <v>Torres Aranguren Lilibeth del Valle</v>
      </c>
      <c r="E224" s="1468" t="s">
        <v>4622</v>
      </c>
      <c r="F224" s="1110">
        <v>32351</v>
      </c>
      <c r="G224" s="1468" t="s">
        <v>4620</v>
      </c>
      <c r="H224" s="1442">
        <f>NOMINA!H196</f>
        <v>44713</v>
      </c>
      <c r="I224" s="1105">
        <f>NOMINA!I197</f>
        <v>1</v>
      </c>
      <c r="J224" s="1106">
        <f>NOMINA!J197</f>
        <v>2</v>
      </c>
      <c r="K224" s="1105">
        <f t="shared" si="13"/>
        <v>3</v>
      </c>
      <c r="L224" s="1106" t="s">
        <v>4932</v>
      </c>
      <c r="M224" s="1106"/>
      <c r="N224" s="1443" t="str">
        <f>NOMINA!O196</f>
        <v>Guia de Centro I</v>
      </c>
      <c r="O224" s="1106">
        <v>1.02087691000006E+18</v>
      </c>
      <c r="P224" s="1107">
        <f>ROUND(+NOMINA!T196,2)</f>
        <v>219</v>
      </c>
      <c r="Q224" s="1108">
        <v>0</v>
      </c>
      <c r="R224" s="1108">
        <f>ROUND(+NOMINA!AA196,2)</f>
        <v>6.57</v>
      </c>
      <c r="S224" s="1108">
        <f>ROUND(+NOMINA!AB196,2)</f>
        <v>130</v>
      </c>
      <c r="T224" s="1108">
        <f>ROUND(+NOMINA!AC196,2)</f>
        <v>12.5</v>
      </c>
      <c r="U224" s="1108">
        <f>ROUND(+NOMINA!AD196,2)</f>
        <v>73.61</v>
      </c>
      <c r="V224" s="1108">
        <f>ROUND(NOMINA!AQ196,2)</f>
        <v>0</v>
      </c>
      <c r="W224" s="1108">
        <f>+NOMINA!AS196</f>
        <v>0</v>
      </c>
      <c r="X224" s="1108">
        <f>+NOMINA!AT196</f>
        <v>0</v>
      </c>
      <c r="Y224" s="1108">
        <f>+NOMINA!AU196</f>
        <v>574.18000000000006</v>
      </c>
      <c r="Z224" s="1108">
        <f>+NOMINA!BX196</f>
        <v>1076.5899999999999</v>
      </c>
      <c r="AA224" s="1108">
        <f>+NOMINA!BY196</f>
        <v>0</v>
      </c>
      <c r="AB224" s="1108">
        <f t="shared" si="14"/>
        <v>1076.5899999999999</v>
      </c>
      <c r="AD224" s="625"/>
      <c r="AH224" s="1467" t="str">
        <f>NOMINA!P194</f>
        <v>01020373280000635912</v>
      </c>
    </row>
    <row r="225" spans="1:34" s="620" customFormat="1" ht="20.100000000000001" customHeight="1" thickBot="1" x14ac:dyDescent="0.25">
      <c r="A225" s="758" t="s">
        <v>2846</v>
      </c>
      <c r="B225" s="759">
        <f t="shared" si="15"/>
        <v>158</v>
      </c>
      <c r="C225" s="1102">
        <f>NOMINA!C197</f>
        <v>17391892</v>
      </c>
      <c r="D225" s="1103" t="str">
        <f>NOMINA!D197</f>
        <v>Godoy Padilla Darcy Yaneth</v>
      </c>
      <c r="E225" s="1468" t="s">
        <v>4622</v>
      </c>
      <c r="F225" s="1110">
        <v>32351</v>
      </c>
      <c r="G225" s="1468" t="s">
        <v>4620</v>
      </c>
      <c r="H225" s="1442">
        <f>NOMINA!H197</f>
        <v>45323</v>
      </c>
      <c r="I225" s="1105">
        <f>NOMINA!I198</f>
        <v>7</v>
      </c>
      <c r="J225" s="1106">
        <f>NOMINA!J198</f>
        <v>0</v>
      </c>
      <c r="K225" s="1105">
        <f t="shared" si="13"/>
        <v>7</v>
      </c>
      <c r="L225" s="1106" t="s">
        <v>4932</v>
      </c>
      <c r="M225" s="1106"/>
      <c r="N225" s="1443" t="str">
        <f>NOMINA!O197</f>
        <v>Analista de Personal I</v>
      </c>
      <c r="O225" s="1106">
        <v>1.02087691000006E+18</v>
      </c>
      <c r="P225" s="1107">
        <f>ROUND(+NOMINA!T197,2)</f>
        <v>277</v>
      </c>
      <c r="Q225" s="1108">
        <v>0</v>
      </c>
      <c r="R225" s="1108">
        <f>ROUND(+NOMINA!AA197,2)</f>
        <v>8.31</v>
      </c>
      <c r="S225" s="1108">
        <f>ROUND(+NOMINA!AB197,2)</f>
        <v>130</v>
      </c>
      <c r="T225" s="1108">
        <f>ROUND(+NOMINA!AC197,2)</f>
        <v>25</v>
      </c>
      <c r="U225" s="1108">
        <f>ROUND(+NOMINA!AD197,2)</f>
        <v>110.08</v>
      </c>
      <c r="V225" s="1108">
        <f>ROUND(NOMINA!AQ197,2)</f>
        <v>0</v>
      </c>
      <c r="W225" s="1108">
        <f>+NOMINA!AS197</f>
        <v>0</v>
      </c>
      <c r="X225" s="1108">
        <f>+NOMINA!AT197</f>
        <v>25</v>
      </c>
      <c r="Y225" s="1108">
        <f>+NOMINA!AU197</f>
        <v>550.39</v>
      </c>
      <c r="Z225" s="1108">
        <f>+NOMINA!BX197</f>
        <v>919.71</v>
      </c>
      <c r="AA225" s="1108">
        <f>+NOMINA!BY197</f>
        <v>0</v>
      </c>
      <c r="AB225" s="1108">
        <f t="shared" si="14"/>
        <v>919.71</v>
      </c>
      <c r="AD225" s="625"/>
      <c r="AH225" s="1467" t="str">
        <f>NOMINA!P195</f>
        <v>01020373210000665649</v>
      </c>
    </row>
    <row r="226" spans="1:34" s="620" customFormat="1" ht="20.100000000000001" customHeight="1" thickBot="1" x14ac:dyDescent="0.25">
      <c r="A226" s="758" t="s">
        <v>2846</v>
      </c>
      <c r="B226" s="759">
        <f t="shared" si="15"/>
        <v>159</v>
      </c>
      <c r="C226" s="1102">
        <f>NOMINA!C198</f>
        <v>17392309</v>
      </c>
      <c r="D226" s="1103" t="str">
        <f>NOMINA!D198</f>
        <v>Torres Briceño Yarelis del Carmen</v>
      </c>
      <c r="E226" s="1468" t="s">
        <v>4622</v>
      </c>
      <c r="F226" s="1110">
        <v>32351</v>
      </c>
      <c r="G226" s="1468" t="s">
        <v>4620</v>
      </c>
      <c r="H226" s="1442">
        <f>NOMINA!H198</f>
        <v>43116</v>
      </c>
      <c r="I226" s="1105">
        <f>NOMINA!I199</f>
        <v>3</v>
      </c>
      <c r="J226" s="1106">
        <f>NOMINA!J199</f>
        <v>0</v>
      </c>
      <c r="K226" s="1105">
        <f t="shared" si="13"/>
        <v>3</v>
      </c>
      <c r="L226" s="1106" t="s">
        <v>4932</v>
      </c>
      <c r="M226" s="1106"/>
      <c r="N226" s="1443" t="str">
        <f>NOMINA!O198</f>
        <v>Administrador II</v>
      </c>
      <c r="O226" s="1106">
        <v>1.02087691000006E+18</v>
      </c>
      <c r="P226" s="1107">
        <f>ROUND(+NOMINA!T198,2)</f>
        <v>279</v>
      </c>
      <c r="Q226" s="1108">
        <v>0</v>
      </c>
      <c r="R226" s="1108">
        <f>ROUND(+NOMINA!AA198,2)</f>
        <v>20.65</v>
      </c>
      <c r="S226" s="1108">
        <f>ROUND(+NOMINA!AB198,2)</f>
        <v>130</v>
      </c>
      <c r="T226" s="1108">
        <f>ROUND(+NOMINA!AC198,2)</f>
        <v>12.5</v>
      </c>
      <c r="U226" s="1108">
        <f>ROUND(+NOMINA!AD198,2)</f>
        <v>110.54</v>
      </c>
      <c r="V226" s="1108">
        <f>ROUND(NOMINA!AQ198,2)</f>
        <v>0</v>
      </c>
      <c r="W226" s="1108">
        <f>+NOMINA!AS198</f>
        <v>0</v>
      </c>
      <c r="X226" s="1108">
        <f>+NOMINA!AT198</f>
        <v>12.5</v>
      </c>
      <c r="Y226" s="1108">
        <f>+NOMINA!AU198</f>
        <v>552.69000000000005</v>
      </c>
      <c r="Z226" s="1108">
        <f>+NOMINA!BX198</f>
        <v>1036.3</v>
      </c>
      <c r="AA226" s="1108">
        <f>+NOMINA!BY198</f>
        <v>0</v>
      </c>
      <c r="AB226" s="1108">
        <f t="shared" si="14"/>
        <v>1036.3</v>
      </c>
      <c r="AD226" s="625"/>
      <c r="AH226" s="1467" t="str">
        <f>NOMINA!P196</f>
        <v>01020373240000968498</v>
      </c>
    </row>
    <row r="227" spans="1:34" s="620" customFormat="1" ht="20.100000000000001" customHeight="1" thickBot="1" x14ac:dyDescent="0.25">
      <c r="A227" s="758" t="s">
        <v>2846</v>
      </c>
      <c r="B227" s="759">
        <f t="shared" si="15"/>
        <v>160</v>
      </c>
      <c r="C227" s="1102">
        <f>NOMINA!C199</f>
        <v>17393693</v>
      </c>
      <c r="D227" s="1103" t="str">
        <f>NOMINA!D199</f>
        <v>Nuñez Maria Gusmara</v>
      </c>
      <c r="E227" s="1468" t="s">
        <v>4622</v>
      </c>
      <c r="F227" s="1110">
        <v>32351</v>
      </c>
      <c r="G227" s="1468" t="s">
        <v>4620</v>
      </c>
      <c r="H227" s="1442">
        <f>NOMINA!H199</f>
        <v>44516</v>
      </c>
      <c r="I227" s="1105">
        <f>NOMINA!I200</f>
        <v>1</v>
      </c>
      <c r="J227" s="1106">
        <f>NOMINA!J200</f>
        <v>0</v>
      </c>
      <c r="K227" s="1105">
        <f t="shared" si="13"/>
        <v>1</v>
      </c>
      <c r="L227" s="1106" t="s">
        <v>4932</v>
      </c>
      <c r="M227" s="1106"/>
      <c r="N227" s="1443" t="str">
        <f>NOMINA!O199</f>
        <v>Asistente Administrativo II</v>
      </c>
      <c r="O227" s="1106">
        <v>1.02087691000006E+18</v>
      </c>
      <c r="P227" s="1107">
        <f>ROUND(+NOMINA!T199,2)</f>
        <v>150</v>
      </c>
      <c r="Q227" s="1108">
        <v>0</v>
      </c>
      <c r="R227" s="1108">
        <f>ROUND(+NOMINA!AA199,2)</f>
        <v>4.5</v>
      </c>
      <c r="S227" s="1108">
        <f>ROUND(+NOMINA!AB199,2)</f>
        <v>130</v>
      </c>
      <c r="T227" s="1108">
        <f>ROUND(+NOMINA!AC199,2)</f>
        <v>25</v>
      </c>
      <c r="U227" s="1108">
        <f>ROUND(+NOMINA!AD199,2)</f>
        <v>0</v>
      </c>
      <c r="V227" s="1108">
        <f>ROUND(NOMINA!AQ199,2)</f>
        <v>0</v>
      </c>
      <c r="W227" s="1108">
        <f>+NOMINA!AS199</f>
        <v>0</v>
      </c>
      <c r="X227" s="1108">
        <f>+NOMINA!AT199</f>
        <v>0</v>
      </c>
      <c r="Y227" s="1108">
        <f>+NOMINA!AU199</f>
        <v>309.5</v>
      </c>
      <c r="Z227" s="1108">
        <f>+NOMINA!BX199</f>
        <v>580.30999999999995</v>
      </c>
      <c r="AA227" s="1108">
        <f>+NOMINA!BY199</f>
        <v>0</v>
      </c>
      <c r="AB227" s="1108">
        <f t="shared" si="14"/>
        <v>580.30999999999995</v>
      </c>
      <c r="AD227" s="625"/>
      <c r="AH227" s="1467" t="str">
        <f>NOMINA!P197</f>
        <v>01020494110100024997</v>
      </c>
    </row>
    <row r="228" spans="1:34" s="620" customFormat="1" ht="20.100000000000001" customHeight="1" thickBot="1" x14ac:dyDescent="0.25">
      <c r="A228" s="758" t="s">
        <v>2846</v>
      </c>
      <c r="B228" s="759">
        <f t="shared" si="15"/>
        <v>161</v>
      </c>
      <c r="C228" s="1102">
        <f>NOMINA!C200</f>
        <v>17596844</v>
      </c>
      <c r="D228" s="1103" t="str">
        <f>NOMINA!D200</f>
        <v>Colmenares Jorge Luis</v>
      </c>
      <c r="E228" s="1468" t="s">
        <v>4622</v>
      </c>
      <c r="F228" s="1110">
        <v>32351</v>
      </c>
      <c r="G228" s="1468" t="s">
        <v>4620</v>
      </c>
      <c r="H228" s="1442">
        <f>NOMINA!H200</f>
        <v>45474</v>
      </c>
      <c r="I228" s="1105">
        <f>NOMINA!I201</f>
        <v>1</v>
      </c>
      <c r="J228" s="1106">
        <f>NOMINA!J201</f>
        <v>0</v>
      </c>
      <c r="K228" s="1105">
        <f t="shared" si="13"/>
        <v>1</v>
      </c>
      <c r="L228" s="1106" t="s">
        <v>4932</v>
      </c>
      <c r="M228" s="1106"/>
      <c r="N228" s="1443" t="str">
        <f>NOMINA!O200</f>
        <v>Guia de Centro I</v>
      </c>
      <c r="O228" s="1106">
        <v>1.02087691000006E+18</v>
      </c>
      <c r="P228" s="1107">
        <f>ROUND(+NOMINA!T200,2)</f>
        <v>192</v>
      </c>
      <c r="Q228" s="1108">
        <v>0</v>
      </c>
      <c r="R228" s="1108">
        <f>ROUND(+NOMINA!AA200,2)</f>
        <v>1.92</v>
      </c>
      <c r="S228" s="1108">
        <f>ROUND(+NOMINA!AB200,2)</f>
        <v>130</v>
      </c>
      <c r="T228" s="1108">
        <f>ROUND(+NOMINA!AC200,2)</f>
        <v>25</v>
      </c>
      <c r="U228" s="1108">
        <f>ROUND(+NOMINA!AD200,2)</f>
        <v>69.78</v>
      </c>
      <c r="V228" s="1108">
        <f>ROUND(NOMINA!AQ200,2)</f>
        <v>0</v>
      </c>
      <c r="W228" s="1108">
        <f>+NOMINA!AS200</f>
        <v>0</v>
      </c>
      <c r="X228" s="1108">
        <f>+NOMINA!AT200</f>
        <v>0</v>
      </c>
      <c r="Y228" s="1108">
        <f>+NOMINA!AU200</f>
        <v>544.30999999999995</v>
      </c>
      <c r="Z228" s="1108">
        <f>+NOMINA!BX200</f>
        <v>425.24</v>
      </c>
      <c r="AA228" s="1108">
        <f>+NOMINA!BY200</f>
        <v>0</v>
      </c>
      <c r="AB228" s="1108">
        <f t="shared" si="14"/>
        <v>425.24</v>
      </c>
      <c r="AD228" s="625"/>
      <c r="AH228" s="1467" t="str">
        <f>NOMINA!P198</f>
        <v>01020373260000525718</v>
      </c>
    </row>
    <row r="229" spans="1:34" s="620" customFormat="1" ht="20.100000000000001" customHeight="1" thickBot="1" x14ac:dyDescent="0.25">
      <c r="A229" s="758" t="s">
        <v>2846</v>
      </c>
      <c r="B229" s="759">
        <f t="shared" si="15"/>
        <v>162</v>
      </c>
      <c r="C229" s="1102">
        <f>NOMINA!C201</f>
        <v>17597257</v>
      </c>
      <c r="D229" s="1103" t="str">
        <f>NOMINA!D201</f>
        <v>Linares Barreto Jorge Luis</v>
      </c>
      <c r="E229" s="1468" t="s">
        <v>4622</v>
      </c>
      <c r="F229" s="1110">
        <v>32351</v>
      </c>
      <c r="G229" s="1468" t="s">
        <v>4620</v>
      </c>
      <c r="H229" s="1442">
        <f>NOMINA!H201</f>
        <v>45536</v>
      </c>
      <c r="I229" s="1105">
        <f>NOMINA!I202</f>
        <v>8</v>
      </c>
      <c r="J229" s="1106">
        <f>NOMINA!J202</f>
        <v>0</v>
      </c>
      <c r="K229" s="1105">
        <f t="shared" si="13"/>
        <v>8</v>
      </c>
      <c r="L229" s="1106" t="s">
        <v>4932</v>
      </c>
      <c r="M229" s="1106"/>
      <c r="N229" s="1443" t="str">
        <f>NOMINA!O201</f>
        <v>GUIA DE CENTRO I</v>
      </c>
      <c r="O229" s="1106">
        <v>1.02087691000006E+18</v>
      </c>
      <c r="P229" s="1107">
        <f>ROUND(+NOMINA!T201,2)</f>
        <v>192</v>
      </c>
      <c r="Q229" s="1108">
        <v>0</v>
      </c>
      <c r="R229" s="1108">
        <f>ROUND(+NOMINA!AA201,2)</f>
        <v>1.92</v>
      </c>
      <c r="S229" s="1108">
        <f>ROUND(+NOMINA!AB201,2)</f>
        <v>130</v>
      </c>
      <c r="T229" s="1108">
        <f>ROUND(+NOMINA!AC201,2)</f>
        <v>12.5</v>
      </c>
      <c r="U229" s="1108">
        <f>ROUND(+NOMINA!AD201,2)</f>
        <v>67.28</v>
      </c>
      <c r="V229" s="1108">
        <f>ROUND(NOMINA!AQ201,2)</f>
        <v>0</v>
      </c>
      <c r="W229" s="1108">
        <f>+NOMINA!AS201</f>
        <v>0</v>
      </c>
      <c r="X229" s="1108">
        <f>+NOMINA!AT201</f>
        <v>0</v>
      </c>
      <c r="Y229" s="1108">
        <f>+NOMINA!AU201</f>
        <v>524.80999999999995</v>
      </c>
      <c r="Z229" s="1108">
        <f>+NOMINA!BX201</f>
        <v>255.12</v>
      </c>
      <c r="AA229" s="1108">
        <f>+NOMINA!BY201</f>
        <v>0</v>
      </c>
      <c r="AB229" s="1108">
        <f t="shared" si="14"/>
        <v>255.12</v>
      </c>
      <c r="AD229" s="625"/>
      <c r="AH229" s="1467" t="str">
        <f>NOMINA!P199</f>
        <v>01020373270002187743</v>
      </c>
    </row>
    <row r="230" spans="1:34" s="620" customFormat="1" ht="20.100000000000001" customHeight="1" thickBot="1" x14ac:dyDescent="0.25">
      <c r="A230" s="758" t="s">
        <v>2846</v>
      </c>
      <c r="B230" s="759">
        <f t="shared" si="15"/>
        <v>163</v>
      </c>
      <c r="C230" s="1102">
        <f>NOMINA!C202</f>
        <v>17597285</v>
      </c>
      <c r="D230" s="1103" t="str">
        <f>NOMINA!D202</f>
        <v>Duarte Portillo Dani Vicente</v>
      </c>
      <c r="E230" s="1468" t="s">
        <v>4622</v>
      </c>
      <c r="F230" s="1110">
        <v>32351</v>
      </c>
      <c r="G230" s="1468" t="s">
        <v>4620</v>
      </c>
      <c r="H230" s="1442">
        <f>NOMINA!H202</f>
        <v>42782</v>
      </c>
      <c r="I230" s="1105">
        <f>NOMINA!I203</f>
        <v>5</v>
      </c>
      <c r="J230" s="1106">
        <f>NOMINA!J203</f>
        <v>0</v>
      </c>
      <c r="K230" s="1105">
        <f t="shared" si="13"/>
        <v>5</v>
      </c>
      <c r="L230" s="1106" t="s">
        <v>4932</v>
      </c>
      <c r="M230" s="1106"/>
      <c r="N230" s="1443" t="str">
        <f>NOMINA!O202</f>
        <v>Tecnico Superior en Trabajo Social II</v>
      </c>
      <c r="O230" s="1106">
        <v>1.02087691000006E+18</v>
      </c>
      <c r="P230" s="1107">
        <f>ROUND(+NOMINA!T202,2)</f>
        <v>221</v>
      </c>
      <c r="Q230" s="1108">
        <v>0</v>
      </c>
      <c r="R230" s="1108">
        <f>ROUND(+NOMINA!AA202,2)</f>
        <v>19.010000000000002</v>
      </c>
      <c r="S230" s="1108">
        <f>ROUND(+NOMINA!AB202,2)</f>
        <v>130</v>
      </c>
      <c r="T230" s="1108">
        <f>ROUND(+NOMINA!AC202,2)</f>
        <v>0</v>
      </c>
      <c r="U230" s="1108">
        <f>ROUND(+NOMINA!AD202,2)</f>
        <v>74</v>
      </c>
      <c r="V230" s="1108">
        <f>ROUND(NOMINA!AQ202,2)</f>
        <v>0</v>
      </c>
      <c r="W230" s="1108">
        <f>+NOMINA!AS202</f>
        <v>0</v>
      </c>
      <c r="X230" s="1108">
        <f>+NOMINA!AT202</f>
        <v>0</v>
      </c>
      <c r="Y230" s="1108">
        <f>+NOMINA!AU202</f>
        <v>444.01</v>
      </c>
      <c r="Z230" s="1108">
        <f>+NOMINA!BX202</f>
        <v>832.52</v>
      </c>
      <c r="AA230" s="1108">
        <f>+NOMINA!BY202</f>
        <v>0</v>
      </c>
      <c r="AB230" s="1108">
        <f t="shared" si="14"/>
        <v>832.52</v>
      </c>
      <c r="AD230" s="625"/>
      <c r="AH230" s="1467" t="str">
        <f>NOMINA!P200</f>
        <v>01020369440100086019</v>
      </c>
    </row>
    <row r="231" spans="1:34" s="620" customFormat="1" ht="20.100000000000001" customHeight="1" thickBot="1" x14ac:dyDescent="0.25">
      <c r="A231" s="758" t="s">
        <v>2846</v>
      </c>
      <c r="B231" s="759">
        <f t="shared" si="15"/>
        <v>164</v>
      </c>
      <c r="C231" s="1102">
        <f>NOMINA!C203</f>
        <v>17604568</v>
      </c>
      <c r="D231" s="1103" t="str">
        <f>NOMINA!D203</f>
        <v>Rivera Gil Christian Rafael</v>
      </c>
      <c r="E231" s="1468" t="s">
        <v>4622</v>
      </c>
      <c r="F231" s="1110">
        <v>32351</v>
      </c>
      <c r="G231" s="1468" t="s">
        <v>4620</v>
      </c>
      <c r="H231" s="1442">
        <f>NOMINA!H203</f>
        <v>43831</v>
      </c>
      <c r="I231" s="1105">
        <f>NOMINA!I204</f>
        <v>8</v>
      </c>
      <c r="J231" s="1106">
        <f>NOMINA!J204</f>
        <v>0</v>
      </c>
      <c r="K231" s="1105">
        <f t="shared" si="13"/>
        <v>8</v>
      </c>
      <c r="L231" s="1106" t="s">
        <v>4932</v>
      </c>
      <c r="M231" s="1106"/>
      <c r="N231" s="1443" t="str">
        <f>NOMINA!O203</f>
        <v>Tecnico en Reparacion y Mantenimiento I</v>
      </c>
      <c r="O231" s="1106">
        <v>1.02087691000006E+18</v>
      </c>
      <c r="P231" s="1107">
        <f>ROUND(+NOMINA!T203,2)</f>
        <v>219</v>
      </c>
      <c r="Q231" s="1108">
        <v>0</v>
      </c>
      <c r="R231" s="1108">
        <f>ROUND(+NOMINA!AA203,2)</f>
        <v>10.95</v>
      </c>
      <c r="S231" s="1108">
        <f>ROUND(+NOMINA!AB203,2)</f>
        <v>130</v>
      </c>
      <c r="T231" s="1108">
        <f>ROUND(+NOMINA!AC203,2)</f>
        <v>25</v>
      </c>
      <c r="U231" s="1108">
        <f>ROUND(+NOMINA!AD203,2)</f>
        <v>76.989999999999995</v>
      </c>
      <c r="V231" s="1108">
        <f>ROUND(NOMINA!AQ203,2)</f>
        <v>0</v>
      </c>
      <c r="W231" s="1108">
        <f>+NOMINA!AS203</f>
        <v>0</v>
      </c>
      <c r="X231" s="1108">
        <f>+NOMINA!AT203</f>
        <v>25</v>
      </c>
      <c r="Y231" s="1108">
        <f>+NOMINA!AU203</f>
        <v>461.94</v>
      </c>
      <c r="Z231" s="1108">
        <f>+NOMINA!BX203</f>
        <v>866.14</v>
      </c>
      <c r="AA231" s="1108">
        <f>+NOMINA!BY203</f>
        <v>0</v>
      </c>
      <c r="AB231" s="1108">
        <f t="shared" si="14"/>
        <v>866.14</v>
      </c>
      <c r="AD231" s="625"/>
      <c r="AH231" s="1467" t="str">
        <f>NOMINA!P201</f>
        <v>01020369430000174855</v>
      </c>
    </row>
    <row r="232" spans="1:34" s="620" customFormat="1" ht="20.100000000000001" customHeight="1" thickBot="1" x14ac:dyDescent="0.25">
      <c r="A232" s="758" t="s">
        <v>2846</v>
      </c>
      <c r="B232" s="759">
        <f t="shared" si="15"/>
        <v>165</v>
      </c>
      <c r="C232" s="1102">
        <f>NOMINA!C204</f>
        <v>17605222</v>
      </c>
      <c r="D232" s="1103" t="str">
        <f>NOMINA!D204</f>
        <v>Aguial Dayana Carolina</v>
      </c>
      <c r="E232" s="1468" t="s">
        <v>4622</v>
      </c>
      <c r="F232" s="1110">
        <v>32351</v>
      </c>
      <c r="G232" s="1468" t="s">
        <v>4620</v>
      </c>
      <c r="H232" s="1442">
        <f>NOMINA!H204</f>
        <v>42737</v>
      </c>
      <c r="I232" s="1105">
        <f>NOMINA!I205</f>
        <v>5</v>
      </c>
      <c r="J232" s="1106">
        <f>NOMINA!J205</f>
        <v>0</v>
      </c>
      <c r="K232" s="1105">
        <f t="shared" si="13"/>
        <v>5</v>
      </c>
      <c r="L232" s="1106" t="s">
        <v>4932</v>
      </c>
      <c r="M232" s="1106"/>
      <c r="N232" s="1443" t="str">
        <f>NOMINA!O204</f>
        <v>Guia de Centro II</v>
      </c>
      <c r="O232" s="1106">
        <v>1.02087691000006E+18</v>
      </c>
      <c r="P232" s="1107">
        <f>ROUND(+NOMINA!T204,2)</f>
        <v>221</v>
      </c>
      <c r="Q232" s="1108">
        <v>0</v>
      </c>
      <c r="R232" s="1108">
        <f>ROUND(+NOMINA!AA204,2)</f>
        <v>19.010000000000002</v>
      </c>
      <c r="S232" s="1108">
        <f>ROUND(+NOMINA!AB204,2)</f>
        <v>130</v>
      </c>
      <c r="T232" s="1108">
        <f>ROUND(+NOMINA!AC204,2)</f>
        <v>0</v>
      </c>
      <c r="U232" s="1108">
        <f>ROUND(+NOMINA!AD204,2)</f>
        <v>92.5</v>
      </c>
      <c r="V232" s="1108">
        <f>ROUND(NOMINA!AQ204,2)</f>
        <v>0</v>
      </c>
      <c r="W232" s="1108">
        <f>+NOMINA!AS204</f>
        <v>0</v>
      </c>
      <c r="X232" s="1108">
        <f>+NOMINA!AT204</f>
        <v>0</v>
      </c>
      <c r="Y232" s="1108">
        <f>+NOMINA!AU204</f>
        <v>601.26</v>
      </c>
      <c r="Z232" s="1108">
        <f>+NOMINA!BX204</f>
        <v>1127.3599999999999</v>
      </c>
      <c r="AA232" s="1108">
        <f>+NOMINA!BY204</f>
        <v>0</v>
      </c>
      <c r="AB232" s="1108">
        <f t="shared" si="14"/>
        <v>1127.3599999999999</v>
      </c>
      <c r="AD232" s="625"/>
      <c r="AH232" s="1467" t="str">
        <f>NOMINA!P202</f>
        <v>01020373200000442545</v>
      </c>
    </row>
    <row r="233" spans="1:34" s="620" customFormat="1" ht="20.100000000000001" customHeight="1" thickBot="1" x14ac:dyDescent="0.25">
      <c r="A233" s="758" t="s">
        <v>2846</v>
      </c>
      <c r="B233" s="759">
        <f t="shared" si="15"/>
        <v>166</v>
      </c>
      <c r="C233" s="1102">
        <f>NOMINA!C205</f>
        <v>17605492</v>
      </c>
      <c r="D233" s="1103" t="str">
        <f>NOMINA!D205</f>
        <v>Briceño Briceño Naibely Carolina</v>
      </c>
      <c r="E233" s="1468" t="s">
        <v>4622</v>
      </c>
      <c r="F233" s="1110">
        <v>32351</v>
      </c>
      <c r="G233" s="1468" t="s">
        <v>4620</v>
      </c>
      <c r="H233" s="1442">
        <f>NOMINA!H205</f>
        <v>43967</v>
      </c>
      <c r="I233" s="1105">
        <f>NOMINA!I206</f>
        <v>13</v>
      </c>
      <c r="J233" s="1106">
        <f>NOMINA!J206</f>
        <v>0</v>
      </c>
      <c r="K233" s="1105">
        <f t="shared" si="13"/>
        <v>13</v>
      </c>
      <c r="L233" s="1106" t="s">
        <v>4932</v>
      </c>
      <c r="M233" s="1106"/>
      <c r="N233" s="1443" t="str">
        <f>NOMINA!O205</f>
        <v>Asistente Administrativo V</v>
      </c>
      <c r="O233" s="1106">
        <v>1.02087691000006E+18</v>
      </c>
      <c r="P233" s="1107">
        <f>ROUND(+NOMINA!T205,2)</f>
        <v>277</v>
      </c>
      <c r="Q233" s="1108">
        <v>0</v>
      </c>
      <c r="R233" s="1108">
        <f>ROUND(+NOMINA!AA205,2)</f>
        <v>13.85</v>
      </c>
      <c r="S233" s="1108">
        <f>ROUND(+NOMINA!AB205,2)</f>
        <v>130</v>
      </c>
      <c r="T233" s="1108">
        <f>ROUND(+NOMINA!AC205,2)</f>
        <v>0</v>
      </c>
      <c r="U233" s="1108">
        <f>ROUND(+NOMINA!AD205,2)</f>
        <v>105.21</v>
      </c>
      <c r="V233" s="1108">
        <f>ROUND(NOMINA!AQ205,2)</f>
        <v>0</v>
      </c>
      <c r="W233" s="1108">
        <f>+NOMINA!AS205</f>
        <v>0</v>
      </c>
      <c r="X233" s="1108">
        <f>+NOMINA!AT205</f>
        <v>0</v>
      </c>
      <c r="Y233" s="1108">
        <f>+NOMINA!AU205</f>
        <v>526.05999999999995</v>
      </c>
      <c r="Z233" s="1108">
        <f>+NOMINA!BX205</f>
        <v>986.36</v>
      </c>
      <c r="AA233" s="1108">
        <f>+NOMINA!BY205</f>
        <v>0</v>
      </c>
      <c r="AB233" s="1108">
        <f t="shared" si="14"/>
        <v>986.36</v>
      </c>
      <c r="AD233" s="625"/>
      <c r="AH233" s="1467" t="str">
        <f>NOMINA!P203</f>
        <v>01020373260000670919</v>
      </c>
    </row>
    <row r="234" spans="1:34" s="620" customFormat="1" ht="20.100000000000001" customHeight="1" thickBot="1" x14ac:dyDescent="0.25">
      <c r="A234" s="758" t="s">
        <v>2846</v>
      </c>
      <c r="B234" s="759">
        <f t="shared" si="15"/>
        <v>167</v>
      </c>
      <c r="C234" s="1102">
        <f>NOMINA!C206</f>
        <v>17606237</v>
      </c>
      <c r="D234" s="1103" t="str">
        <f>NOMINA!D206</f>
        <v>Castellano Rivera Maria Antonina</v>
      </c>
      <c r="E234" s="1468" t="s">
        <v>4622</v>
      </c>
      <c r="F234" s="1110">
        <v>32351</v>
      </c>
      <c r="G234" s="1468" t="s">
        <v>4620</v>
      </c>
      <c r="H234" s="1442">
        <f>NOMINA!H206</f>
        <v>40909</v>
      </c>
      <c r="I234" s="1105">
        <f>NOMINA!I207</f>
        <v>3</v>
      </c>
      <c r="J234" s="1106">
        <f>NOMINA!J207</f>
        <v>0</v>
      </c>
      <c r="K234" s="1105">
        <f t="shared" si="13"/>
        <v>3</v>
      </c>
      <c r="L234" s="1106" t="s">
        <v>4932</v>
      </c>
      <c r="M234" s="1106"/>
      <c r="N234" s="1443" t="str">
        <f>NOMINA!O206</f>
        <v>Asistente Administrativo III</v>
      </c>
      <c r="O234" s="1106">
        <v>1.02087691000006E+18</v>
      </c>
      <c r="P234" s="1107">
        <f>ROUND(+NOMINA!T206,2)</f>
        <v>174</v>
      </c>
      <c r="Q234" s="1108">
        <v>0</v>
      </c>
      <c r="R234" s="1108">
        <f>ROUND(+NOMINA!AA206,2)</f>
        <v>26.45</v>
      </c>
      <c r="S234" s="1108">
        <f>ROUND(+NOMINA!AB206,2)</f>
        <v>130</v>
      </c>
      <c r="T234" s="1108">
        <f>ROUND(+NOMINA!AC206,2)</f>
        <v>12.5</v>
      </c>
      <c r="U234" s="1108">
        <f>ROUND(+NOMINA!AD206,2)</f>
        <v>68.59</v>
      </c>
      <c r="V234" s="1108">
        <f>ROUND(NOMINA!AQ206,2)</f>
        <v>0</v>
      </c>
      <c r="W234" s="1108">
        <f>+NOMINA!AS206</f>
        <v>0</v>
      </c>
      <c r="X234" s="1108">
        <f>+NOMINA!AT206</f>
        <v>0</v>
      </c>
      <c r="Y234" s="1108">
        <f>+NOMINA!AU206</f>
        <v>411.53999999999996</v>
      </c>
      <c r="Z234" s="1108">
        <f>+NOMINA!BX206</f>
        <v>771.64</v>
      </c>
      <c r="AA234" s="1108">
        <f>+NOMINA!BY206</f>
        <v>0</v>
      </c>
      <c r="AB234" s="1108">
        <f t="shared" si="14"/>
        <v>771.64</v>
      </c>
      <c r="AD234" s="625"/>
      <c r="AH234" s="1467" t="str">
        <f>NOMINA!P204</f>
        <v>01020373210000442561</v>
      </c>
    </row>
    <row r="235" spans="1:34" s="620" customFormat="1" ht="20.100000000000001" customHeight="1" thickBot="1" x14ac:dyDescent="0.25">
      <c r="A235" s="758" t="s">
        <v>2846</v>
      </c>
      <c r="B235" s="759">
        <f t="shared" si="15"/>
        <v>168</v>
      </c>
      <c r="C235" s="1102">
        <f>NOMINA!C207</f>
        <v>17830972</v>
      </c>
      <c r="D235" s="1103" t="str">
        <f>NOMINA!D207</f>
        <v>Bastidas Franco Dianellys Sarain</v>
      </c>
      <c r="E235" s="1468" t="s">
        <v>4622</v>
      </c>
      <c r="F235" s="1110">
        <v>32351</v>
      </c>
      <c r="G235" s="1468" t="s">
        <v>4620</v>
      </c>
      <c r="H235" s="1442">
        <f>NOMINA!H207</f>
        <v>44713</v>
      </c>
      <c r="I235" s="1105">
        <f>NOMINA!I208</f>
        <v>1</v>
      </c>
      <c r="J235" s="1106">
        <f>NOMINA!J208</f>
        <v>5</v>
      </c>
      <c r="K235" s="1105">
        <f t="shared" si="13"/>
        <v>6</v>
      </c>
      <c r="L235" s="1106" t="s">
        <v>4932</v>
      </c>
      <c r="M235" s="1106"/>
      <c r="N235" s="1443" t="str">
        <f>NOMINA!O207</f>
        <v>Entrenador Deportivo IV</v>
      </c>
      <c r="O235" s="1106">
        <v>1.02087691000006E+18</v>
      </c>
      <c r="P235" s="1107">
        <f>ROUND(+NOMINA!T207,2)</f>
        <v>277</v>
      </c>
      <c r="Q235" s="1108">
        <v>0</v>
      </c>
      <c r="R235" s="1108">
        <f>ROUND(+NOMINA!AA207,2)</f>
        <v>8.31</v>
      </c>
      <c r="S235" s="1108">
        <f>ROUND(+NOMINA!AB207,2)</f>
        <v>130</v>
      </c>
      <c r="T235" s="1108">
        <f>ROUND(+NOMINA!AC207,2)</f>
        <v>0</v>
      </c>
      <c r="U235" s="1108">
        <f>ROUND(+NOMINA!AD207,2)</f>
        <v>103.83</v>
      </c>
      <c r="V235" s="1108">
        <f>ROUND(NOMINA!AQ207,2)</f>
        <v>0</v>
      </c>
      <c r="W235" s="1108">
        <f>+NOMINA!AS207</f>
        <v>0</v>
      </c>
      <c r="X235" s="1108">
        <f>+NOMINA!AT207</f>
        <v>0</v>
      </c>
      <c r="Y235" s="1108">
        <f>+NOMINA!AU207</f>
        <v>519.14</v>
      </c>
      <c r="Z235" s="1108">
        <f>+NOMINA!BX207</f>
        <v>973.39</v>
      </c>
      <c r="AA235" s="1108">
        <f>+NOMINA!BY207</f>
        <v>0</v>
      </c>
      <c r="AB235" s="1108">
        <f t="shared" si="14"/>
        <v>973.39</v>
      </c>
      <c r="AD235" s="625"/>
      <c r="AH235" s="1467" t="str">
        <f>NOMINA!P205</f>
        <v>01020369400000075679</v>
      </c>
    </row>
    <row r="236" spans="1:34" s="620" customFormat="1" ht="20.100000000000001" customHeight="1" thickBot="1" x14ac:dyDescent="0.25">
      <c r="A236" s="758" t="s">
        <v>2846</v>
      </c>
      <c r="B236" s="759">
        <f t="shared" si="15"/>
        <v>169</v>
      </c>
      <c r="C236" s="1102">
        <f>NOMINA!C208</f>
        <v>17831012</v>
      </c>
      <c r="D236" s="1103" t="str">
        <f>NOMINA!D208</f>
        <v>Valera Briceño Jesus Enrique</v>
      </c>
      <c r="E236" s="1468" t="s">
        <v>4622</v>
      </c>
      <c r="F236" s="1110">
        <v>32351</v>
      </c>
      <c r="G236" s="1468" t="s">
        <v>4620</v>
      </c>
      <c r="H236" s="1442">
        <f>NOMINA!H208</f>
        <v>45474</v>
      </c>
      <c r="I236" s="1105" t="e">
        <f>NOMINA!#REF!</f>
        <v>#REF!</v>
      </c>
      <c r="J236" s="1106" t="e">
        <f>NOMINA!#REF!</f>
        <v>#REF!</v>
      </c>
      <c r="K236" s="1105" t="e">
        <f t="shared" si="13"/>
        <v>#REF!</v>
      </c>
      <c r="L236" s="1106" t="s">
        <v>4932</v>
      </c>
      <c r="M236" s="1106"/>
      <c r="N236" s="1443" t="str">
        <f>NOMINA!O208</f>
        <v>Guia de Centro I</v>
      </c>
      <c r="O236" s="1106">
        <v>1.02087691000006E+18</v>
      </c>
      <c r="P236" s="1107">
        <f>ROUND(+NOMINA!T208,2)</f>
        <v>170</v>
      </c>
      <c r="Q236" s="1108">
        <v>0</v>
      </c>
      <c r="R236" s="1108">
        <f>ROUND(+NOMINA!AA208,2)</f>
        <v>10.54</v>
      </c>
      <c r="S236" s="1108">
        <f>ROUND(+NOMINA!AB208,2)</f>
        <v>130</v>
      </c>
      <c r="T236" s="1108">
        <f>ROUND(+NOMINA!AC208,2)</f>
        <v>12.5</v>
      </c>
      <c r="U236" s="1108">
        <f>ROUND(+NOMINA!AD208,2)</f>
        <v>0</v>
      </c>
      <c r="V236" s="1108">
        <f>ROUND(NOMINA!AQ208,2)</f>
        <v>0</v>
      </c>
      <c r="W236" s="1108">
        <f>+NOMINA!AS208</f>
        <v>0</v>
      </c>
      <c r="X236" s="1108">
        <f>+NOMINA!AT208</f>
        <v>12.5</v>
      </c>
      <c r="Y236" s="1108">
        <f>+NOMINA!AU208</f>
        <v>419.94999999999993</v>
      </c>
      <c r="Z236" s="1108">
        <f>+NOMINA!BX208</f>
        <v>328.09</v>
      </c>
      <c r="AA236" s="1108">
        <f>+NOMINA!BY208</f>
        <v>0</v>
      </c>
      <c r="AB236" s="1108">
        <f t="shared" si="14"/>
        <v>328.09</v>
      </c>
      <c r="AD236" s="625"/>
      <c r="AH236" s="1467" t="str">
        <f>NOMINA!P206</f>
        <v>01020373290000101381</v>
      </c>
    </row>
    <row r="237" spans="1:34" s="620" customFormat="1" ht="20.100000000000001" customHeight="1" thickBot="1" x14ac:dyDescent="0.25">
      <c r="A237" s="758" t="s">
        <v>2846</v>
      </c>
      <c r="B237" s="759">
        <f t="shared" si="15"/>
        <v>170</v>
      </c>
      <c r="C237" s="1102" t="e">
        <f>NOMINA!#REF!</f>
        <v>#REF!</v>
      </c>
      <c r="D237" s="1103" t="e">
        <f>NOMINA!#REF!</f>
        <v>#REF!</v>
      </c>
      <c r="E237" s="1468" t="s">
        <v>4622</v>
      </c>
      <c r="F237" s="1110">
        <v>32351</v>
      </c>
      <c r="G237" s="1468" t="s">
        <v>4620</v>
      </c>
      <c r="H237" s="1442" t="e">
        <f>NOMINA!#REF!</f>
        <v>#REF!</v>
      </c>
      <c r="I237" s="1105" t="e">
        <f>NOMINA!#REF!</f>
        <v>#REF!</v>
      </c>
      <c r="J237" s="1106" t="e">
        <f>NOMINA!#REF!</f>
        <v>#REF!</v>
      </c>
      <c r="K237" s="1105" t="e">
        <f t="shared" si="13"/>
        <v>#REF!</v>
      </c>
      <c r="L237" s="1106" t="s">
        <v>4932</v>
      </c>
      <c r="M237" s="1106"/>
      <c r="N237" s="1443" t="e">
        <f>NOMINA!#REF!</f>
        <v>#REF!</v>
      </c>
      <c r="O237" s="1106">
        <v>1.02087691000006E+18</v>
      </c>
      <c r="P237" s="1107" t="e">
        <f>ROUND(+NOMINA!#REF!,2)</f>
        <v>#REF!</v>
      </c>
      <c r="Q237" s="1108">
        <v>0</v>
      </c>
      <c r="R237" s="1108" t="e">
        <f>ROUND(+NOMINA!#REF!,2)</f>
        <v>#REF!</v>
      </c>
      <c r="S237" s="1108" t="e">
        <f>ROUND(+NOMINA!#REF!,2)</f>
        <v>#REF!</v>
      </c>
      <c r="T237" s="1108" t="e">
        <f>ROUND(+NOMINA!#REF!,2)</f>
        <v>#REF!</v>
      </c>
      <c r="U237" s="1108" t="e">
        <f>ROUND(+NOMINA!#REF!,2)</f>
        <v>#REF!</v>
      </c>
      <c r="V237" s="1108" t="e">
        <f>ROUND(NOMINA!#REF!,2)</f>
        <v>#REF!</v>
      </c>
      <c r="W237" s="1108" t="e">
        <f>+NOMINA!#REF!</f>
        <v>#REF!</v>
      </c>
      <c r="X237" s="1108" t="e">
        <f>+NOMINA!#REF!</f>
        <v>#REF!</v>
      </c>
      <c r="Y237" s="1108" t="e">
        <f>+NOMINA!#REF!</f>
        <v>#REF!</v>
      </c>
      <c r="Z237" s="1108" t="e">
        <f>+NOMINA!#REF!</f>
        <v>#REF!</v>
      </c>
      <c r="AA237" s="1108" t="e">
        <f>+NOMINA!#REF!</f>
        <v>#REF!</v>
      </c>
      <c r="AB237" s="1108" t="e">
        <f t="shared" si="14"/>
        <v>#REF!</v>
      </c>
      <c r="AD237" s="625"/>
      <c r="AH237" s="1467" t="str">
        <f>NOMINA!P207</f>
        <v>01020373220100097990</v>
      </c>
    </row>
    <row r="238" spans="1:34" s="620" customFormat="1" ht="20.100000000000001" customHeight="1" thickBot="1" x14ac:dyDescent="0.25">
      <c r="A238" s="758" t="s">
        <v>2846</v>
      </c>
      <c r="B238" s="759">
        <f t="shared" si="15"/>
        <v>171</v>
      </c>
      <c r="C238" s="1102" t="e">
        <f>NOMINA!#REF!</f>
        <v>#REF!</v>
      </c>
      <c r="D238" s="1103" t="e">
        <f>NOMINA!#REF!</f>
        <v>#REF!</v>
      </c>
      <c r="E238" s="1468" t="s">
        <v>4622</v>
      </c>
      <c r="F238" s="1110">
        <v>32351</v>
      </c>
      <c r="G238" s="1468" t="s">
        <v>4620</v>
      </c>
      <c r="H238" s="1442" t="e">
        <f>NOMINA!#REF!</f>
        <v>#REF!</v>
      </c>
      <c r="I238" s="1105">
        <f>NOMINA!I209</f>
        <v>7</v>
      </c>
      <c r="J238" s="1106">
        <f>NOMINA!J209</f>
        <v>0</v>
      </c>
      <c r="K238" s="1105">
        <f t="shared" si="13"/>
        <v>7</v>
      </c>
      <c r="L238" s="1106" t="s">
        <v>4932</v>
      </c>
      <c r="M238" s="1106"/>
      <c r="N238" s="1443" t="e">
        <f>NOMINA!#REF!</f>
        <v>#REF!</v>
      </c>
      <c r="O238" s="1106">
        <v>1.02087691000006E+18</v>
      </c>
      <c r="P238" s="1107" t="e">
        <f>ROUND(+NOMINA!#REF!,2)</f>
        <v>#REF!</v>
      </c>
      <c r="Q238" s="1108">
        <v>0</v>
      </c>
      <c r="R238" s="1108" t="e">
        <f>ROUND(+NOMINA!#REF!,2)</f>
        <v>#REF!</v>
      </c>
      <c r="S238" s="1108" t="e">
        <f>ROUND(+NOMINA!#REF!,2)</f>
        <v>#REF!</v>
      </c>
      <c r="T238" s="1108" t="e">
        <f>ROUND(+NOMINA!#REF!,2)</f>
        <v>#REF!</v>
      </c>
      <c r="U238" s="1108" t="e">
        <f>ROUND(+NOMINA!#REF!,2)</f>
        <v>#REF!</v>
      </c>
      <c r="V238" s="1108" t="e">
        <f>ROUND(NOMINA!#REF!,2)</f>
        <v>#REF!</v>
      </c>
      <c r="W238" s="1108" t="e">
        <f>+NOMINA!#REF!</f>
        <v>#REF!</v>
      </c>
      <c r="X238" s="1108" t="e">
        <f>+NOMINA!#REF!</f>
        <v>#REF!</v>
      </c>
      <c r="Y238" s="1108" t="e">
        <f>+NOMINA!#REF!</f>
        <v>#REF!</v>
      </c>
      <c r="Z238" s="1108" t="e">
        <f>+NOMINA!#REF!</f>
        <v>#REF!</v>
      </c>
      <c r="AA238" s="1108" t="e">
        <f>+NOMINA!#REF!</f>
        <v>#REF!</v>
      </c>
      <c r="AB238" s="1108" t="e">
        <f t="shared" si="14"/>
        <v>#REF!</v>
      </c>
      <c r="AD238" s="625"/>
      <c r="AH238" s="1467" t="str">
        <f>NOMINA!P208</f>
        <v>01020373200001290961</v>
      </c>
    </row>
    <row r="239" spans="1:34" s="620" customFormat="1" ht="20.100000000000001" customHeight="1" thickBot="1" x14ac:dyDescent="0.25">
      <c r="A239" s="758" t="s">
        <v>2846</v>
      </c>
      <c r="B239" s="759">
        <f t="shared" si="15"/>
        <v>172</v>
      </c>
      <c r="C239" s="1102">
        <f>NOMINA!C209</f>
        <v>17832396</v>
      </c>
      <c r="D239" s="1103" t="str">
        <f>NOMINA!D209</f>
        <v>Pulido Sanchez Joalina Vanessa</v>
      </c>
      <c r="E239" s="1468" t="s">
        <v>4622</v>
      </c>
      <c r="F239" s="1110">
        <v>32351</v>
      </c>
      <c r="G239" s="1468" t="s">
        <v>4620</v>
      </c>
      <c r="H239" s="1442">
        <f>NOMINA!H209</f>
        <v>43191</v>
      </c>
      <c r="I239" s="1105">
        <f>NOMINA!I210</f>
        <v>5</v>
      </c>
      <c r="J239" s="1106">
        <f>NOMINA!J210</f>
        <v>0</v>
      </c>
      <c r="K239" s="1105">
        <f t="shared" si="13"/>
        <v>5</v>
      </c>
      <c r="L239" s="1106" t="s">
        <v>4932</v>
      </c>
      <c r="M239" s="1106"/>
      <c r="N239" s="1443" t="str">
        <f>NOMINA!O209</f>
        <v>Enfermera Jefe I</v>
      </c>
      <c r="O239" s="1106">
        <v>1.02087691000006E+18</v>
      </c>
      <c r="P239" s="1107">
        <f>ROUND(+NOMINA!T209,2)</f>
        <v>221</v>
      </c>
      <c r="Q239" s="1108">
        <v>0</v>
      </c>
      <c r="R239" s="1108">
        <f>ROUND(+NOMINA!AA209,2)</f>
        <v>16.350000000000001</v>
      </c>
      <c r="S239" s="1108">
        <f>ROUND(+NOMINA!AB209,2)</f>
        <v>130</v>
      </c>
      <c r="T239" s="1108">
        <f>ROUND(+NOMINA!AC209,2)</f>
        <v>25</v>
      </c>
      <c r="U239" s="1108">
        <f>ROUND(+NOMINA!AD209,2)</f>
        <v>78.47</v>
      </c>
      <c r="V239" s="1108">
        <f>ROUND(NOMINA!AQ209,2)</f>
        <v>0</v>
      </c>
      <c r="W239" s="1108">
        <f>+NOMINA!AS209</f>
        <v>0</v>
      </c>
      <c r="X239" s="1108">
        <f>+NOMINA!AT209</f>
        <v>0</v>
      </c>
      <c r="Y239" s="1108">
        <f>+NOMINA!AU209</f>
        <v>470.82</v>
      </c>
      <c r="Z239" s="1108">
        <f>+NOMINA!BX209</f>
        <v>882.79</v>
      </c>
      <c r="AA239" s="1108">
        <f>+NOMINA!BY209</f>
        <v>0</v>
      </c>
      <c r="AB239" s="1108">
        <f t="shared" si="14"/>
        <v>882.79</v>
      </c>
      <c r="AD239" s="625"/>
      <c r="AH239" s="1467" t="e">
        <f>NOMINA!#REF!</f>
        <v>#REF!</v>
      </c>
    </row>
    <row r="240" spans="1:34" s="620" customFormat="1" ht="20.100000000000001" customHeight="1" thickBot="1" x14ac:dyDescent="0.25">
      <c r="A240" s="758" t="s">
        <v>2846</v>
      </c>
      <c r="B240" s="759">
        <f t="shared" si="15"/>
        <v>173</v>
      </c>
      <c r="C240" s="1102">
        <f>NOMINA!C210</f>
        <v>17865154</v>
      </c>
      <c r="D240" s="1103" t="str">
        <f>NOMINA!D210</f>
        <v>Serrano Ingrid Maria</v>
      </c>
      <c r="E240" s="1468" t="s">
        <v>4622</v>
      </c>
      <c r="F240" s="1110">
        <v>32351</v>
      </c>
      <c r="G240" s="1468" t="s">
        <v>4620</v>
      </c>
      <c r="H240" s="1442">
        <f>NOMINA!H210</f>
        <v>43846</v>
      </c>
      <c r="I240" s="1105">
        <f>NOMINA!I211</f>
        <v>1</v>
      </c>
      <c r="J240" s="1106">
        <f>NOMINA!J211</f>
        <v>0</v>
      </c>
      <c r="K240" s="1105">
        <f t="shared" si="13"/>
        <v>1</v>
      </c>
      <c r="L240" s="1106" t="s">
        <v>4932</v>
      </c>
      <c r="M240" s="1106"/>
      <c r="N240" s="1443" t="str">
        <f>NOMINA!O210</f>
        <v>Guia de Centro I</v>
      </c>
      <c r="O240" s="1106">
        <v>1.02087691000006E+18</v>
      </c>
      <c r="P240" s="1107">
        <f>ROUND(+NOMINA!T210,2)</f>
        <v>150</v>
      </c>
      <c r="Q240" s="1108">
        <v>0</v>
      </c>
      <c r="R240" s="1108">
        <f>ROUND(+NOMINA!AA210,2)</f>
        <v>7.5</v>
      </c>
      <c r="S240" s="1108">
        <f>ROUND(+NOMINA!AB210,2)</f>
        <v>130</v>
      </c>
      <c r="T240" s="1108">
        <f>ROUND(+NOMINA!AC210,2)</f>
        <v>0</v>
      </c>
      <c r="U240" s="1108">
        <f>ROUND(+NOMINA!AD210,2)</f>
        <v>0</v>
      </c>
      <c r="V240" s="1108">
        <f>ROUND(NOMINA!AQ210,2)</f>
        <v>0</v>
      </c>
      <c r="W240" s="1108">
        <f>+NOMINA!AS210</f>
        <v>0</v>
      </c>
      <c r="X240" s="1108">
        <f>+NOMINA!AT210</f>
        <v>0</v>
      </c>
      <c r="Y240" s="1108">
        <f>+NOMINA!AU210</f>
        <v>373.75</v>
      </c>
      <c r="Z240" s="1108">
        <f>+NOMINA!BX210</f>
        <v>700.78</v>
      </c>
      <c r="AA240" s="1108">
        <f>+NOMINA!BY210</f>
        <v>0</v>
      </c>
      <c r="AB240" s="1108">
        <f t="shared" si="14"/>
        <v>700.78</v>
      </c>
      <c r="AD240" s="625"/>
      <c r="AH240" s="1467" t="e">
        <f>NOMINA!#REF!</f>
        <v>#REF!</v>
      </c>
    </row>
    <row r="241" spans="1:34" s="620" customFormat="1" ht="20.100000000000001" customHeight="1" thickBot="1" x14ac:dyDescent="0.25">
      <c r="A241" s="758" t="s">
        <v>2846</v>
      </c>
      <c r="B241" s="759">
        <f t="shared" si="15"/>
        <v>174</v>
      </c>
      <c r="C241" s="1102">
        <f>NOMINA!C211</f>
        <v>18036203</v>
      </c>
      <c r="D241" s="1103" t="str">
        <f>NOMINA!D211</f>
        <v>Yepes Caceres Mervis Javier</v>
      </c>
      <c r="E241" s="1468" t="s">
        <v>4622</v>
      </c>
      <c r="F241" s="1110">
        <v>32351</v>
      </c>
      <c r="G241" s="1468" t="s">
        <v>4620</v>
      </c>
      <c r="H241" s="1442">
        <f>NOMINA!H211</f>
        <v>45505</v>
      </c>
      <c r="I241" s="1105">
        <f>NOMINA!I212</f>
        <v>0</v>
      </c>
      <c r="J241" s="1106">
        <f>NOMINA!J212</f>
        <v>0</v>
      </c>
      <c r="K241" s="1105">
        <f t="shared" si="13"/>
        <v>0</v>
      </c>
      <c r="L241" s="1106" t="s">
        <v>4932</v>
      </c>
      <c r="M241" s="1106"/>
      <c r="N241" s="1443" t="str">
        <f>NOMINA!O211</f>
        <v>Guia de Centro I</v>
      </c>
      <c r="O241" s="1106">
        <v>1.02087691000006E+18</v>
      </c>
      <c r="P241" s="1107">
        <f>ROUND(+NOMINA!T211,2)</f>
        <v>130</v>
      </c>
      <c r="Q241" s="1108">
        <v>0</v>
      </c>
      <c r="R241" s="1108">
        <f>ROUND(+NOMINA!AA211,2)</f>
        <v>1.3</v>
      </c>
      <c r="S241" s="1108">
        <f>ROUND(+NOMINA!AB211,2)</f>
        <v>130</v>
      </c>
      <c r="T241" s="1108">
        <f>ROUND(+NOMINA!AC211,2)</f>
        <v>25</v>
      </c>
      <c r="U241" s="1108">
        <f>ROUND(+NOMINA!AD211,2)</f>
        <v>0</v>
      </c>
      <c r="V241" s="1108">
        <f>ROUND(NOMINA!AQ211,2)</f>
        <v>0</v>
      </c>
      <c r="W241" s="1108">
        <f>+NOMINA!AS211</f>
        <v>0</v>
      </c>
      <c r="X241" s="1108">
        <f>+NOMINA!AT211</f>
        <v>12.5</v>
      </c>
      <c r="Y241" s="1108">
        <f>+NOMINA!AU211</f>
        <v>372.19</v>
      </c>
      <c r="Z241" s="1108">
        <f>+NOMINA!BX211</f>
        <v>234.24</v>
      </c>
      <c r="AA241" s="1108">
        <f>+NOMINA!BY211</f>
        <v>0</v>
      </c>
      <c r="AB241" s="1108">
        <f t="shared" si="14"/>
        <v>234.24</v>
      </c>
      <c r="AD241" s="625"/>
      <c r="AH241" s="1467" t="str">
        <f>NOMINA!P209</f>
        <v>01020373220000553926</v>
      </c>
    </row>
    <row r="242" spans="1:34" s="620" customFormat="1" ht="20.100000000000001" customHeight="1" thickBot="1" x14ac:dyDescent="0.25">
      <c r="A242" s="758" t="s">
        <v>2846</v>
      </c>
      <c r="B242" s="759">
        <f t="shared" si="15"/>
        <v>175</v>
      </c>
      <c r="C242" s="1102">
        <f>NOMINA!C212</f>
        <v>18036156</v>
      </c>
      <c r="D242" s="1103" t="str">
        <f>NOMINA!D212</f>
        <v>Ruiz Vasquez Endri Ramon</v>
      </c>
      <c r="E242" s="1468" t="s">
        <v>4622</v>
      </c>
      <c r="F242" s="1110">
        <v>32351</v>
      </c>
      <c r="G242" s="1468" t="s">
        <v>4620</v>
      </c>
      <c r="H242" s="1442">
        <f>NOMINA!H212</f>
        <v>45597</v>
      </c>
      <c r="I242" s="1105">
        <f>NOMINA!I213</f>
        <v>8</v>
      </c>
      <c r="J242" s="1106">
        <f>NOMINA!J213</f>
        <v>0</v>
      </c>
      <c r="K242" s="1105">
        <f t="shared" si="13"/>
        <v>8</v>
      </c>
      <c r="L242" s="1106" t="s">
        <v>4932</v>
      </c>
      <c r="M242" s="1106"/>
      <c r="N242" s="1443" t="str">
        <f>NOMINA!O212</f>
        <v>Guia de Centro I</v>
      </c>
      <c r="O242" s="1106">
        <v>1.02087691000006E+18</v>
      </c>
      <c r="P242" s="1107">
        <f>ROUND(+NOMINA!T212,2)</f>
        <v>130</v>
      </c>
      <c r="Q242" s="1108">
        <v>0</v>
      </c>
      <c r="R242" s="1108">
        <f>ROUND(+NOMINA!AA212,2)</f>
        <v>0</v>
      </c>
      <c r="S242" s="1108">
        <f>ROUND(+NOMINA!AB212,2)</f>
        <v>130</v>
      </c>
      <c r="T242" s="1108">
        <f>ROUND(+NOMINA!AC212,2)</f>
        <v>0</v>
      </c>
      <c r="U242" s="1108">
        <f>ROUND(+NOMINA!AD212,2)</f>
        <v>0</v>
      </c>
      <c r="V242" s="1108">
        <f>ROUND(NOMINA!AQ212,2)</f>
        <v>0</v>
      </c>
      <c r="W242" s="1108">
        <f>+NOMINA!AS212</f>
        <v>0</v>
      </c>
      <c r="X242" s="1108">
        <f>+NOMINA!AT212</f>
        <v>0</v>
      </c>
      <c r="Y242" s="1108">
        <f>+NOMINA!AU212</f>
        <v>338</v>
      </c>
      <c r="Z242" s="1108">
        <f>+NOMINA!BX212</f>
        <v>101.71</v>
      </c>
      <c r="AA242" s="1108">
        <f>+NOMINA!BY212</f>
        <v>0</v>
      </c>
      <c r="AB242" s="1108">
        <f t="shared" si="14"/>
        <v>101.71</v>
      </c>
      <c r="AD242" s="625"/>
      <c r="AH242" s="1467" t="str">
        <f>NOMINA!P210</f>
        <v>01020373250000671853</v>
      </c>
    </row>
    <row r="243" spans="1:34" s="620" customFormat="1" ht="20.100000000000001" customHeight="1" thickBot="1" x14ac:dyDescent="0.25">
      <c r="A243" s="758" t="s">
        <v>2846</v>
      </c>
      <c r="B243" s="759">
        <f t="shared" si="15"/>
        <v>176</v>
      </c>
      <c r="C243" s="1102">
        <f>NOMINA!C213</f>
        <v>18095603</v>
      </c>
      <c r="D243" s="1103" t="str">
        <f>NOMINA!D213</f>
        <v>Lozada Bencomo Daniela Carolina</v>
      </c>
      <c r="E243" s="1468" t="s">
        <v>4622</v>
      </c>
      <c r="F243" s="1110">
        <v>32351</v>
      </c>
      <c r="G243" s="1468" t="s">
        <v>4620</v>
      </c>
      <c r="H243" s="1442">
        <f>NOMINA!H213</f>
        <v>42963</v>
      </c>
      <c r="I243" s="1105">
        <f>NOMINA!I214</f>
        <v>3</v>
      </c>
      <c r="J243" s="1106">
        <f>NOMINA!J214</f>
        <v>0</v>
      </c>
      <c r="K243" s="1105">
        <f t="shared" si="13"/>
        <v>3</v>
      </c>
      <c r="L243" s="1106" t="s">
        <v>4932</v>
      </c>
      <c r="M243" s="1106"/>
      <c r="N243" s="1443" t="str">
        <f>NOMINA!O213</f>
        <v>Tecnico Superior en Trabajo Social II</v>
      </c>
      <c r="O243" s="1106">
        <v>1.02087691000006E+18</v>
      </c>
      <c r="P243" s="1107">
        <f>ROUND(+NOMINA!T213,2)</f>
        <v>221</v>
      </c>
      <c r="Q243" s="1108">
        <v>0</v>
      </c>
      <c r="R243" s="1108">
        <f>ROUND(+NOMINA!AA213,2)</f>
        <v>19.010000000000002</v>
      </c>
      <c r="S243" s="1108">
        <f>ROUND(+NOMINA!AB213,2)</f>
        <v>130</v>
      </c>
      <c r="T243" s="1108">
        <f>ROUND(+NOMINA!AC213,2)</f>
        <v>12.5</v>
      </c>
      <c r="U243" s="1108">
        <f>ROUND(+NOMINA!AD213,2)</f>
        <v>95.63</v>
      </c>
      <c r="V243" s="1108">
        <f>ROUND(NOMINA!AQ213,2)</f>
        <v>0</v>
      </c>
      <c r="W243" s="1108">
        <f>+NOMINA!AS213</f>
        <v>0</v>
      </c>
      <c r="X243" s="1108">
        <f>+NOMINA!AT213</f>
        <v>0</v>
      </c>
      <c r="Y243" s="1108">
        <f>+NOMINA!AU213</f>
        <v>478.14</v>
      </c>
      <c r="Z243" s="1108">
        <f>+NOMINA!BX213</f>
        <v>896.51</v>
      </c>
      <c r="AA243" s="1108">
        <f>+NOMINA!BY213</f>
        <v>0</v>
      </c>
      <c r="AB243" s="1108">
        <f t="shared" si="14"/>
        <v>896.51</v>
      </c>
      <c r="AD243" s="625"/>
      <c r="AH243" s="1467" t="str">
        <f>NOMINA!P211</f>
        <v>01020334140000261823</v>
      </c>
    </row>
    <row r="244" spans="1:34" s="620" customFormat="1" ht="20.100000000000001" customHeight="1" thickBot="1" x14ac:dyDescent="0.25">
      <c r="A244" s="758" t="s">
        <v>2846</v>
      </c>
      <c r="B244" s="759">
        <f t="shared" si="15"/>
        <v>177</v>
      </c>
      <c r="C244" s="1102">
        <f>NOMINA!C214</f>
        <v>18096996</v>
      </c>
      <c r="D244" s="1103" t="str">
        <f>NOMINA!D214</f>
        <v>Diaz Maldonado Anny Jackeline</v>
      </c>
      <c r="E244" s="1468" t="s">
        <v>4622</v>
      </c>
      <c r="F244" s="1110">
        <v>32351</v>
      </c>
      <c r="G244" s="1468" t="s">
        <v>4620</v>
      </c>
      <c r="H244" s="1442">
        <f>NOMINA!H214</f>
        <v>44743</v>
      </c>
      <c r="I244" s="1105">
        <f>NOMINA!I215</f>
        <v>1</v>
      </c>
      <c r="J244" s="1106">
        <f>NOMINA!J215</f>
        <v>0</v>
      </c>
      <c r="K244" s="1105">
        <f t="shared" si="13"/>
        <v>1</v>
      </c>
      <c r="L244" s="1106" t="s">
        <v>4932</v>
      </c>
      <c r="M244" s="1106"/>
      <c r="N244" s="1443" t="str">
        <f>NOMINA!O214</f>
        <v>CONTABILISTA III</v>
      </c>
      <c r="O244" s="1106">
        <v>1.02087691000006E+18</v>
      </c>
      <c r="P244" s="1107">
        <f>ROUND(+NOMINA!T214,2)</f>
        <v>219</v>
      </c>
      <c r="Q244" s="1108">
        <v>0</v>
      </c>
      <c r="R244" s="1108">
        <f>ROUND(+NOMINA!AA214,2)</f>
        <v>6.57</v>
      </c>
      <c r="S244" s="1108">
        <f>ROUND(+NOMINA!AB214,2)</f>
        <v>130</v>
      </c>
      <c r="T244" s="1108">
        <f>ROUND(+NOMINA!AC214,2)</f>
        <v>12.5</v>
      </c>
      <c r="U244" s="1108">
        <f>ROUND(+NOMINA!AD214,2)</f>
        <v>73.61</v>
      </c>
      <c r="V244" s="1108">
        <f>ROUND(NOMINA!AQ214,2)</f>
        <v>0</v>
      </c>
      <c r="W244" s="1108">
        <f>+NOMINA!AS214</f>
        <v>0</v>
      </c>
      <c r="X244" s="1108">
        <f>+NOMINA!AT214</f>
        <v>12.5</v>
      </c>
      <c r="Y244" s="1108">
        <f>+NOMINA!AU214</f>
        <v>441.68</v>
      </c>
      <c r="Z244" s="1108">
        <f>+NOMINA!BX214</f>
        <v>828.15</v>
      </c>
      <c r="AA244" s="1108">
        <f>+NOMINA!BY214</f>
        <v>0</v>
      </c>
      <c r="AB244" s="1108">
        <f t="shared" si="14"/>
        <v>828.15</v>
      </c>
      <c r="AD244" s="625"/>
      <c r="AH244" s="1467" t="str">
        <f>NOMINA!P212</f>
        <v>01020373260000240310</v>
      </c>
    </row>
    <row r="245" spans="1:34" s="620" customFormat="1" ht="20.100000000000001" customHeight="1" thickBot="1" x14ac:dyDescent="0.25">
      <c r="A245" s="758" t="s">
        <v>2846</v>
      </c>
      <c r="B245" s="759">
        <f t="shared" si="15"/>
        <v>178</v>
      </c>
      <c r="C245" s="1102">
        <f>NOMINA!C215</f>
        <v>18097528</v>
      </c>
      <c r="D245" s="1103" t="str">
        <f>NOMINA!D215</f>
        <v>Godoy Suarez Nelson Jose</v>
      </c>
      <c r="E245" s="1468" t="s">
        <v>4622</v>
      </c>
      <c r="F245" s="1110">
        <v>32351</v>
      </c>
      <c r="G245" s="1468" t="s">
        <v>4620</v>
      </c>
      <c r="H245" s="1442">
        <f>NOMINA!H215</f>
        <v>45536</v>
      </c>
      <c r="I245" s="1105">
        <f>NOMINA!I216</f>
        <v>3</v>
      </c>
      <c r="J245" s="1106">
        <f>NOMINA!J216</f>
        <v>0</v>
      </c>
      <c r="K245" s="1105">
        <f t="shared" si="13"/>
        <v>3</v>
      </c>
      <c r="L245" s="1106" t="s">
        <v>4932</v>
      </c>
      <c r="M245" s="1106"/>
      <c r="N245" s="1443" t="str">
        <f>NOMINA!O215</f>
        <v>Guia de Centro I</v>
      </c>
      <c r="O245" s="1106">
        <v>1.02087691000006E+18</v>
      </c>
      <c r="P245" s="1107">
        <f>ROUND(+NOMINA!T215,2)</f>
        <v>130</v>
      </c>
      <c r="Q245" s="1108">
        <v>0</v>
      </c>
      <c r="R245" s="1108">
        <f>ROUND(+NOMINA!AA215,2)</f>
        <v>1.3</v>
      </c>
      <c r="S245" s="1108">
        <f>ROUND(+NOMINA!AB215,2)</f>
        <v>130</v>
      </c>
      <c r="T245" s="1108">
        <f>ROUND(+NOMINA!AC215,2)</f>
        <v>25</v>
      </c>
      <c r="U245" s="1108">
        <f>ROUND(+NOMINA!AD215,2)</f>
        <v>0</v>
      </c>
      <c r="V245" s="1108">
        <f>ROUND(NOMINA!AQ215,2)</f>
        <v>0</v>
      </c>
      <c r="W245" s="1108">
        <f>+NOMINA!AS215</f>
        <v>0</v>
      </c>
      <c r="X245" s="1108">
        <f>+NOMINA!AT215</f>
        <v>0</v>
      </c>
      <c r="Y245" s="1108">
        <f>+NOMINA!AU215</f>
        <v>372.19</v>
      </c>
      <c r="Z245" s="1108">
        <f>+NOMINA!BX215</f>
        <v>180.93</v>
      </c>
      <c r="AA245" s="1108">
        <f>+NOMINA!BY215</f>
        <v>0</v>
      </c>
      <c r="AB245" s="1108">
        <f t="shared" si="14"/>
        <v>180.93</v>
      </c>
      <c r="AD245" s="625"/>
      <c r="AH245" s="1467" t="str">
        <f>NOMINA!P213</f>
        <v>01020494100100024354</v>
      </c>
    </row>
    <row r="246" spans="1:34" s="620" customFormat="1" ht="20.100000000000001" customHeight="1" thickBot="1" x14ac:dyDescent="0.25">
      <c r="A246" s="758" t="s">
        <v>2846</v>
      </c>
      <c r="B246" s="759">
        <f t="shared" si="15"/>
        <v>179</v>
      </c>
      <c r="C246" s="1102">
        <f>NOMINA!C216</f>
        <v>18097873</v>
      </c>
      <c r="D246" s="1103" t="str">
        <f>NOMINA!D216</f>
        <v>Villarreal Prada Yoriangela Nataly</v>
      </c>
      <c r="E246" s="1468" t="s">
        <v>4622</v>
      </c>
      <c r="F246" s="1110">
        <v>32351</v>
      </c>
      <c r="G246" s="1468" t="s">
        <v>4620</v>
      </c>
      <c r="H246" s="1442">
        <f>NOMINA!H216</f>
        <v>44531</v>
      </c>
      <c r="I246" s="1105">
        <f>NOMINA!I217</f>
        <v>7</v>
      </c>
      <c r="J246" s="1106">
        <f>NOMINA!J217</f>
        <v>0</v>
      </c>
      <c r="K246" s="1105">
        <f t="shared" si="13"/>
        <v>7</v>
      </c>
      <c r="L246" s="1106" t="s">
        <v>4932</v>
      </c>
      <c r="M246" s="1106"/>
      <c r="N246" s="1443" t="str">
        <f>NOMINA!O216</f>
        <v>Guia de Centro I</v>
      </c>
      <c r="O246" s="1106">
        <v>1.02087691000006E+18</v>
      </c>
      <c r="P246" s="1107">
        <f>ROUND(+NOMINA!T216,2)</f>
        <v>150</v>
      </c>
      <c r="Q246" s="1108">
        <v>0</v>
      </c>
      <c r="R246" s="1108">
        <f>ROUND(+NOMINA!AA216,2)</f>
        <v>4.5</v>
      </c>
      <c r="S246" s="1108">
        <f>ROUND(+NOMINA!AB216,2)</f>
        <v>130</v>
      </c>
      <c r="T246" s="1108">
        <f>ROUND(+NOMINA!AC216,2)</f>
        <v>25</v>
      </c>
      <c r="U246" s="1108">
        <f>ROUND(+NOMINA!AD216,2)</f>
        <v>0</v>
      </c>
      <c r="V246" s="1108">
        <f>ROUND(NOMINA!AQ216,2)</f>
        <v>0</v>
      </c>
      <c r="W246" s="1108">
        <f>+NOMINA!AS216</f>
        <v>0</v>
      </c>
      <c r="X246" s="1108">
        <f>+NOMINA!AT216</f>
        <v>25</v>
      </c>
      <c r="Y246" s="1108">
        <f>+NOMINA!AU216</f>
        <v>402.35</v>
      </c>
      <c r="Z246" s="1108">
        <f>+NOMINA!BX216</f>
        <v>754.41</v>
      </c>
      <c r="AA246" s="1108">
        <f>+NOMINA!BY216</f>
        <v>0</v>
      </c>
      <c r="AB246" s="1108">
        <f t="shared" si="14"/>
        <v>754.41</v>
      </c>
      <c r="AD246" s="625"/>
      <c r="AH246" s="1467" t="str">
        <f>NOMINA!P214</f>
        <v>01020373240100092027</v>
      </c>
    </row>
    <row r="247" spans="1:34" s="620" customFormat="1" ht="20.100000000000001" customHeight="1" thickBot="1" x14ac:dyDescent="0.25">
      <c r="A247" s="758" t="s">
        <v>2846</v>
      </c>
      <c r="B247" s="759">
        <f t="shared" si="15"/>
        <v>180</v>
      </c>
      <c r="C247" s="1102">
        <f>NOMINA!C217</f>
        <v>18348317</v>
      </c>
      <c r="D247" s="1103" t="str">
        <f>NOMINA!D217</f>
        <v>Abreu Araujo Gilmer Francisco</v>
      </c>
      <c r="E247" s="1468" t="s">
        <v>4622</v>
      </c>
      <c r="F247" s="1110">
        <v>32351</v>
      </c>
      <c r="G247" s="1468" t="s">
        <v>4620</v>
      </c>
      <c r="H247" s="1442">
        <f>NOMINA!H217</f>
        <v>43160</v>
      </c>
      <c r="I247" s="1105">
        <f>NOMINA!I218</f>
        <v>8</v>
      </c>
      <c r="J247" s="1106">
        <f>NOMINA!J218</f>
        <v>0</v>
      </c>
      <c r="K247" s="1105">
        <f t="shared" si="13"/>
        <v>8</v>
      </c>
      <c r="L247" s="1106" t="s">
        <v>4932</v>
      </c>
      <c r="M247" s="1106"/>
      <c r="N247" s="1443" t="str">
        <f>NOMINA!O217</f>
        <v>Tutor Facilitador III</v>
      </c>
      <c r="O247" s="1106">
        <v>1.02087691000006E+18</v>
      </c>
      <c r="P247" s="1107">
        <f>ROUND(+NOMINA!T217,2)</f>
        <v>279</v>
      </c>
      <c r="Q247" s="1108">
        <v>0</v>
      </c>
      <c r="R247" s="1108">
        <f>ROUND(+NOMINA!AA217,2)</f>
        <v>20.65</v>
      </c>
      <c r="S247" s="1108">
        <f>ROUND(+NOMINA!AB217,2)</f>
        <v>130</v>
      </c>
      <c r="T247" s="1108">
        <f>ROUND(+NOMINA!AC217,2)</f>
        <v>12.5</v>
      </c>
      <c r="U247" s="1108">
        <f>ROUND(+NOMINA!AD217,2)</f>
        <v>132.65</v>
      </c>
      <c r="V247" s="1108">
        <f>ROUND(NOMINA!AQ217,2)</f>
        <v>0</v>
      </c>
      <c r="W247" s="1108">
        <f>+NOMINA!AS217</f>
        <v>0</v>
      </c>
      <c r="X247" s="1108">
        <f>+NOMINA!AT217</f>
        <v>12.5</v>
      </c>
      <c r="Y247" s="1108">
        <f>+NOMINA!AU217</f>
        <v>574.79999999999995</v>
      </c>
      <c r="Z247" s="1108">
        <f>+NOMINA!BX217</f>
        <v>1077.75</v>
      </c>
      <c r="AA247" s="1108">
        <f>+NOMINA!BY217</f>
        <v>0</v>
      </c>
      <c r="AB247" s="1108">
        <f t="shared" si="14"/>
        <v>1077.75</v>
      </c>
      <c r="AD247" s="625"/>
      <c r="AH247" s="1467" t="str">
        <f>NOMINA!P215</f>
        <v>01020457770000172721</v>
      </c>
    </row>
    <row r="248" spans="1:34" s="620" customFormat="1" ht="20.100000000000001" customHeight="1" thickBot="1" x14ac:dyDescent="0.25">
      <c r="A248" s="758" t="s">
        <v>2846</v>
      </c>
      <c r="B248" s="759">
        <f t="shared" si="15"/>
        <v>181</v>
      </c>
      <c r="C248" s="1102">
        <f>NOMINA!C218</f>
        <v>18348721</v>
      </c>
      <c r="D248" s="1103" t="str">
        <f>NOMINA!D218</f>
        <v>Villarreal Lusana Carolina</v>
      </c>
      <c r="E248" s="1468" t="s">
        <v>4622</v>
      </c>
      <c r="F248" s="1110">
        <v>32351</v>
      </c>
      <c r="G248" s="1468" t="s">
        <v>4620</v>
      </c>
      <c r="H248" s="1442">
        <f>NOMINA!H218</f>
        <v>42948</v>
      </c>
      <c r="I248" s="1105">
        <f>NOMINA!I219</f>
        <v>3</v>
      </c>
      <c r="J248" s="1106">
        <f>NOMINA!J219</f>
        <v>0</v>
      </c>
      <c r="K248" s="1105">
        <f t="shared" si="13"/>
        <v>3</v>
      </c>
      <c r="L248" s="1106" t="s">
        <v>4932</v>
      </c>
      <c r="M248" s="1106"/>
      <c r="N248" s="1443" t="str">
        <f>NOMINA!O218</f>
        <v>Tecnico Superior en Trabajo Social II</v>
      </c>
      <c r="O248" s="1106">
        <v>1.02087691000006E+18</v>
      </c>
      <c r="P248" s="1107">
        <f>ROUND(+NOMINA!T218,2)</f>
        <v>221</v>
      </c>
      <c r="Q248" s="1108">
        <v>0</v>
      </c>
      <c r="R248" s="1108">
        <f>ROUND(+NOMINA!AA218,2)</f>
        <v>19.010000000000002</v>
      </c>
      <c r="S248" s="1108">
        <f>ROUND(+NOMINA!AB218,2)</f>
        <v>130</v>
      </c>
      <c r="T248" s="1108">
        <f>ROUND(+NOMINA!AC218,2)</f>
        <v>25</v>
      </c>
      <c r="U248" s="1108">
        <f>ROUND(+NOMINA!AD218,2)</f>
        <v>79</v>
      </c>
      <c r="V248" s="1108">
        <f>ROUND(NOMINA!AQ218,2)</f>
        <v>0</v>
      </c>
      <c r="W248" s="1108">
        <f>+NOMINA!AS218</f>
        <v>0</v>
      </c>
      <c r="X248" s="1108">
        <f>+NOMINA!AT218</f>
        <v>25</v>
      </c>
      <c r="Y248" s="1108">
        <f>+NOMINA!AU218</f>
        <v>474.01</v>
      </c>
      <c r="Z248" s="1108">
        <f>+NOMINA!BX218</f>
        <v>888.77</v>
      </c>
      <c r="AA248" s="1108">
        <f>+NOMINA!BY218</f>
        <v>0</v>
      </c>
      <c r="AB248" s="1108">
        <f t="shared" si="14"/>
        <v>888.77</v>
      </c>
      <c r="AD248" s="625"/>
      <c r="AH248" s="1467" t="str">
        <f>NOMINA!P216</f>
        <v>01020373220000849559</v>
      </c>
    </row>
    <row r="249" spans="1:34" s="620" customFormat="1" ht="20.100000000000001" customHeight="1" thickBot="1" x14ac:dyDescent="0.25">
      <c r="A249" s="758" t="s">
        <v>2846</v>
      </c>
      <c r="B249" s="759">
        <f t="shared" si="15"/>
        <v>182</v>
      </c>
      <c r="C249" s="1102">
        <f>NOMINA!C219</f>
        <v>18349021</v>
      </c>
      <c r="D249" s="1103" t="str">
        <f>NOMINA!D219</f>
        <v>Godoy Linares Amenaida del Valle</v>
      </c>
      <c r="E249" s="1468" t="s">
        <v>4622</v>
      </c>
      <c r="F249" s="1110">
        <v>32351</v>
      </c>
      <c r="G249" s="1468" t="s">
        <v>4620</v>
      </c>
      <c r="H249" s="1442">
        <f>NOMINA!H219</f>
        <v>44683</v>
      </c>
      <c r="I249" s="1105" t="e">
        <f>NOMINA!#REF!</f>
        <v>#REF!</v>
      </c>
      <c r="J249" s="1106" t="e">
        <f>NOMINA!#REF!</f>
        <v>#REF!</v>
      </c>
      <c r="K249" s="1105" t="e">
        <f t="shared" si="13"/>
        <v>#REF!</v>
      </c>
      <c r="L249" s="1106" t="s">
        <v>4932</v>
      </c>
      <c r="M249" s="1106"/>
      <c r="N249" s="1443" t="str">
        <f>NOMINA!O219</f>
        <v>Guia de Centro I</v>
      </c>
      <c r="O249" s="1106">
        <v>1.02087691000006E+18</v>
      </c>
      <c r="P249" s="1107">
        <f>ROUND(+NOMINA!T219,2)</f>
        <v>219</v>
      </c>
      <c r="Q249" s="1108">
        <v>0</v>
      </c>
      <c r="R249" s="1108">
        <f>ROUND(+NOMINA!AA219,2)</f>
        <v>6.57</v>
      </c>
      <c r="S249" s="1108">
        <f>ROUND(+NOMINA!AB219,2)</f>
        <v>130</v>
      </c>
      <c r="T249" s="1108">
        <f>ROUND(+NOMINA!AC219,2)</f>
        <v>12.5</v>
      </c>
      <c r="U249" s="1108">
        <f>ROUND(+NOMINA!AD219,2)</f>
        <v>92.02</v>
      </c>
      <c r="V249" s="1108">
        <f>ROUND(NOMINA!AQ219,2)</f>
        <v>0</v>
      </c>
      <c r="W249" s="1108">
        <f>+NOMINA!AS219</f>
        <v>0</v>
      </c>
      <c r="X249" s="1108">
        <f>+NOMINA!AT219</f>
        <v>12.5</v>
      </c>
      <c r="Y249" s="1108">
        <f>+NOMINA!AU219</f>
        <v>598.12</v>
      </c>
      <c r="Z249" s="1108">
        <f>+NOMINA!BX219</f>
        <v>1121.48</v>
      </c>
      <c r="AA249" s="1108">
        <f>+NOMINA!BY219</f>
        <v>0</v>
      </c>
      <c r="AB249" s="1108">
        <f t="shared" si="14"/>
        <v>1121.48</v>
      </c>
      <c r="AD249" s="625"/>
      <c r="AH249" s="1467" t="str">
        <f>NOMINA!P217</f>
        <v>01020494190000149110</v>
      </c>
    </row>
    <row r="250" spans="1:34" s="620" customFormat="1" ht="20.100000000000001" customHeight="1" thickBot="1" x14ac:dyDescent="0.25">
      <c r="A250" s="758" t="s">
        <v>2846</v>
      </c>
      <c r="B250" s="759">
        <f t="shared" si="15"/>
        <v>183</v>
      </c>
      <c r="C250" s="1102" t="e">
        <f>NOMINA!#REF!</f>
        <v>#REF!</v>
      </c>
      <c r="D250" s="1103" t="e">
        <f>NOMINA!#REF!</f>
        <v>#REF!</v>
      </c>
      <c r="E250" s="1468" t="s">
        <v>4622</v>
      </c>
      <c r="F250" s="1110">
        <v>32351</v>
      </c>
      <c r="G250" s="1468" t="s">
        <v>4620</v>
      </c>
      <c r="H250" s="1442" t="e">
        <f>NOMINA!#REF!</f>
        <v>#REF!</v>
      </c>
      <c r="I250" s="1105">
        <f>NOMINA!I221</f>
        <v>0</v>
      </c>
      <c r="J250" s="1106">
        <f>NOMINA!J221</f>
        <v>0</v>
      </c>
      <c r="K250" s="1105">
        <f t="shared" si="13"/>
        <v>0</v>
      </c>
      <c r="L250" s="1106" t="s">
        <v>4932</v>
      </c>
      <c r="M250" s="1106"/>
      <c r="N250" s="1443" t="e">
        <f>NOMINA!#REF!</f>
        <v>#REF!</v>
      </c>
      <c r="O250" s="1106">
        <v>1.02087691000006E+18</v>
      </c>
      <c r="P250" s="1107" t="e">
        <f>ROUND(+NOMINA!#REF!,2)</f>
        <v>#REF!</v>
      </c>
      <c r="Q250" s="1108">
        <v>0</v>
      </c>
      <c r="R250" s="1108" t="e">
        <f>ROUND(+NOMINA!#REF!,2)</f>
        <v>#REF!</v>
      </c>
      <c r="S250" s="1108" t="e">
        <f>ROUND(+NOMINA!#REF!,2)</f>
        <v>#REF!</v>
      </c>
      <c r="T250" s="1108" t="e">
        <f>ROUND(+NOMINA!#REF!,2)</f>
        <v>#REF!</v>
      </c>
      <c r="U250" s="1108" t="e">
        <f>ROUND(+NOMINA!#REF!,2)</f>
        <v>#REF!</v>
      </c>
      <c r="V250" s="1108" t="e">
        <f>ROUND(NOMINA!#REF!,2)</f>
        <v>#REF!</v>
      </c>
      <c r="W250" s="1108" t="e">
        <f>+NOMINA!#REF!</f>
        <v>#REF!</v>
      </c>
      <c r="X250" s="1108" t="e">
        <f>+NOMINA!#REF!</f>
        <v>#REF!</v>
      </c>
      <c r="Y250" s="1108" t="e">
        <f>+NOMINA!#REF!</f>
        <v>#REF!</v>
      </c>
      <c r="Z250" s="1108" t="e">
        <f>+NOMINA!#REF!</f>
        <v>#REF!</v>
      </c>
      <c r="AA250" s="1108" t="e">
        <f>+NOMINA!#REF!</f>
        <v>#REF!</v>
      </c>
      <c r="AB250" s="1108" t="e">
        <f t="shared" si="14"/>
        <v>#REF!</v>
      </c>
      <c r="AD250" s="625"/>
      <c r="AH250" s="1467" t="str">
        <f>NOMINA!P218</f>
        <v>01020373280100092834</v>
      </c>
    </row>
    <row r="251" spans="1:34" s="620" customFormat="1" ht="20.100000000000001" customHeight="1" thickBot="1" x14ac:dyDescent="0.25">
      <c r="A251" s="758" t="s">
        <v>2846</v>
      </c>
      <c r="B251" s="759">
        <f t="shared" si="15"/>
        <v>184</v>
      </c>
      <c r="C251" s="1102">
        <f>NOMINA!C221</f>
        <v>18349653</v>
      </c>
      <c r="D251" s="1103" t="str">
        <f>NOMINA!D221</f>
        <v>Baptista Finol Violexy del Valle</v>
      </c>
      <c r="E251" s="1468" t="s">
        <v>4622</v>
      </c>
      <c r="F251" s="1110">
        <v>32351</v>
      </c>
      <c r="G251" s="1468" t="s">
        <v>4620</v>
      </c>
      <c r="H251" s="1442">
        <f>NOMINA!H221</f>
        <v>45627</v>
      </c>
      <c r="I251" s="1105">
        <f>NOMINA!I222</f>
        <v>1</v>
      </c>
      <c r="J251" s="1106">
        <f>NOMINA!J222</f>
        <v>0</v>
      </c>
      <c r="K251" s="1105">
        <f t="shared" si="13"/>
        <v>1</v>
      </c>
      <c r="L251" s="1106" t="s">
        <v>4932</v>
      </c>
      <c r="M251" s="1106"/>
      <c r="N251" s="1443" t="str">
        <f>NOMINA!O221</f>
        <v>Guia de Centro I</v>
      </c>
      <c r="O251" s="1106">
        <v>1.02087691000006E+18</v>
      </c>
      <c r="P251" s="1107">
        <f>ROUND(+NOMINA!T221,2)</f>
        <v>192</v>
      </c>
      <c r="Q251" s="1108">
        <v>0</v>
      </c>
      <c r="R251" s="1108">
        <f>ROUND(+NOMINA!AA221,2)</f>
        <v>0</v>
      </c>
      <c r="S251" s="1108">
        <f>ROUND(+NOMINA!AB221,2)</f>
        <v>130</v>
      </c>
      <c r="T251" s="1108">
        <f>ROUND(+NOMINA!AC221,2)</f>
        <v>25</v>
      </c>
      <c r="U251" s="1108">
        <f>ROUND(+NOMINA!AD221,2)</f>
        <v>86.75</v>
      </c>
      <c r="V251" s="1108">
        <f>ROUND(NOMINA!AQ221,2)</f>
        <v>0</v>
      </c>
      <c r="W251" s="1108">
        <f>+NOMINA!AS221</f>
        <v>0</v>
      </c>
      <c r="X251" s="1108">
        <f>+NOMINA!AT221</f>
        <v>25</v>
      </c>
      <c r="Y251" s="1108">
        <f>+NOMINA!AU221</f>
        <v>563.88</v>
      </c>
      <c r="Z251" s="1108">
        <f>+NOMINA!BX221</f>
        <v>244.74</v>
      </c>
      <c r="AA251" s="1108">
        <f>+NOMINA!BY221</f>
        <v>0</v>
      </c>
      <c r="AB251" s="1108">
        <f t="shared" si="14"/>
        <v>244.74</v>
      </c>
      <c r="AD251" s="625"/>
      <c r="AH251" s="1467" t="str">
        <f>NOMINA!P219</f>
        <v>01020747910000505657</v>
      </c>
    </row>
    <row r="252" spans="1:34" s="620" customFormat="1" ht="20.100000000000001" customHeight="1" thickBot="1" x14ac:dyDescent="0.25">
      <c r="A252" s="758" t="s">
        <v>2846</v>
      </c>
      <c r="B252" s="759">
        <f t="shared" si="15"/>
        <v>185</v>
      </c>
      <c r="C252" s="1102">
        <f>NOMINA!C222</f>
        <v>18350884</v>
      </c>
      <c r="D252" s="1103" t="str">
        <f>NOMINA!D222</f>
        <v>Araujo Mendoza Mirelis Carolina</v>
      </c>
      <c r="E252" s="1468" t="s">
        <v>4622</v>
      </c>
      <c r="F252" s="1110">
        <v>32351</v>
      </c>
      <c r="G252" s="1468" t="s">
        <v>4620</v>
      </c>
      <c r="H252" s="1442">
        <f>NOMINA!H222</f>
        <v>45474</v>
      </c>
      <c r="I252" s="1105">
        <f>NOMINA!I223</f>
        <v>7</v>
      </c>
      <c r="J252" s="1106">
        <f>NOMINA!J223</f>
        <v>0</v>
      </c>
      <c r="K252" s="1105">
        <f t="shared" si="13"/>
        <v>7</v>
      </c>
      <c r="L252" s="1106" t="s">
        <v>4932</v>
      </c>
      <c r="M252" s="1106"/>
      <c r="N252" s="1443" t="str">
        <f>NOMINA!O222</f>
        <v>Guia de Centro I</v>
      </c>
      <c r="O252" s="1106">
        <v>1.02087691000006E+18</v>
      </c>
      <c r="P252" s="1107">
        <f>ROUND(+NOMINA!T222,2)</f>
        <v>130</v>
      </c>
      <c r="Q252" s="1108">
        <v>0</v>
      </c>
      <c r="R252" s="1108">
        <f>ROUND(+NOMINA!AA222,2)</f>
        <v>1.3</v>
      </c>
      <c r="S252" s="1108">
        <f>ROUND(+NOMINA!AB222,2)</f>
        <v>130</v>
      </c>
      <c r="T252" s="1108">
        <f>ROUND(+NOMINA!AC222,2)</f>
        <v>12.5</v>
      </c>
      <c r="U252" s="1108">
        <f>ROUND(+NOMINA!AD222,2)</f>
        <v>0</v>
      </c>
      <c r="V252" s="1108">
        <f>ROUND(NOMINA!AQ222,2)</f>
        <v>0</v>
      </c>
      <c r="W252" s="1108">
        <f>+NOMINA!AS222</f>
        <v>0</v>
      </c>
      <c r="X252" s="1108">
        <f>+NOMINA!AT222</f>
        <v>12.5</v>
      </c>
      <c r="Y252" s="1108">
        <f>+NOMINA!AU222</f>
        <v>355.94</v>
      </c>
      <c r="Z252" s="1108">
        <f>+NOMINA!BX222</f>
        <v>278.08</v>
      </c>
      <c r="AA252" s="1108">
        <f>+NOMINA!BY222</f>
        <v>0</v>
      </c>
      <c r="AB252" s="1108">
        <f t="shared" si="14"/>
        <v>278.08</v>
      </c>
      <c r="AD252" s="625"/>
      <c r="AH252" s="1467" t="e">
        <f>NOMINA!#REF!</f>
        <v>#REF!</v>
      </c>
    </row>
    <row r="253" spans="1:34" s="620" customFormat="1" ht="20.100000000000001" customHeight="1" thickBot="1" x14ac:dyDescent="0.25">
      <c r="A253" s="758" t="s">
        <v>2846</v>
      </c>
      <c r="B253" s="759">
        <f t="shared" si="15"/>
        <v>186</v>
      </c>
      <c r="C253" s="1102">
        <f>NOMINA!C223</f>
        <v>18378985</v>
      </c>
      <c r="D253" s="1103" t="str">
        <f>NOMINA!D223</f>
        <v>Quintero Paradas Ilse Maria</v>
      </c>
      <c r="E253" s="1468" t="s">
        <v>4622</v>
      </c>
      <c r="F253" s="1110">
        <v>32351</v>
      </c>
      <c r="G253" s="1468" t="s">
        <v>4620</v>
      </c>
      <c r="H253" s="1442">
        <f>NOMINA!H223</f>
        <v>43147</v>
      </c>
      <c r="I253" s="1105">
        <f>NOMINA!I224</f>
        <v>3</v>
      </c>
      <c r="J253" s="1106">
        <f>NOMINA!J224</f>
        <v>0</v>
      </c>
      <c r="K253" s="1105">
        <f t="shared" si="13"/>
        <v>3</v>
      </c>
      <c r="L253" s="1106" t="s">
        <v>4932</v>
      </c>
      <c r="M253" s="1106"/>
      <c r="N253" s="1443" t="str">
        <f>NOMINA!O223</f>
        <v>Analista de Procesamiento de Datos II</v>
      </c>
      <c r="O253" s="1106">
        <v>1.02087691000006E+18</v>
      </c>
      <c r="P253" s="1107">
        <f>ROUND(+NOMINA!T223,2)</f>
        <v>279</v>
      </c>
      <c r="Q253" s="1108">
        <v>0</v>
      </c>
      <c r="R253" s="1108">
        <f>ROUND(+NOMINA!AA223,2)</f>
        <v>20.65</v>
      </c>
      <c r="S253" s="1108">
        <f>ROUND(+NOMINA!AB223,2)</f>
        <v>130</v>
      </c>
      <c r="T253" s="1108">
        <f>ROUND(+NOMINA!AC223,2)</f>
        <v>25</v>
      </c>
      <c r="U253" s="1108">
        <f>ROUND(+NOMINA!AD223,2)</f>
        <v>113.66</v>
      </c>
      <c r="V253" s="1108">
        <f>ROUND(NOMINA!AQ223,2)</f>
        <v>0</v>
      </c>
      <c r="W253" s="1108">
        <f>+NOMINA!AS223</f>
        <v>0</v>
      </c>
      <c r="X253" s="1108">
        <f>+NOMINA!AT223</f>
        <v>12.5</v>
      </c>
      <c r="Y253" s="1108">
        <f>+NOMINA!AU223</f>
        <v>568.30999999999995</v>
      </c>
      <c r="Z253" s="1108">
        <f>+NOMINA!BX223</f>
        <v>1065.58</v>
      </c>
      <c r="AA253" s="1108">
        <f>+NOMINA!BY223</f>
        <v>0</v>
      </c>
      <c r="AB253" s="1108">
        <f t="shared" si="14"/>
        <v>1065.58</v>
      </c>
      <c r="AD253" s="625"/>
      <c r="AH253" s="1467" t="str">
        <f>NOMINA!P221</f>
        <v>01020494140000237831</v>
      </c>
    </row>
    <row r="254" spans="1:34" s="620" customFormat="1" ht="20.100000000000001" customHeight="1" thickBot="1" x14ac:dyDescent="0.25">
      <c r="A254" s="758" t="s">
        <v>2846</v>
      </c>
      <c r="B254" s="759">
        <f t="shared" si="15"/>
        <v>187</v>
      </c>
      <c r="C254" s="1102">
        <f>NOMINA!C224</f>
        <v>18456345</v>
      </c>
      <c r="D254" s="1103" t="str">
        <f>NOMINA!D224</f>
        <v>Peñaloza Olmos Eduardo Jose</v>
      </c>
      <c r="E254" s="1468" t="s">
        <v>4622</v>
      </c>
      <c r="F254" s="1110">
        <v>32351</v>
      </c>
      <c r="G254" s="1468" t="s">
        <v>4620</v>
      </c>
      <c r="H254" s="1442">
        <f>NOMINA!H224</f>
        <v>44774</v>
      </c>
      <c r="I254" s="1105" t="e">
        <f>NOMINA!#REF!</f>
        <v>#REF!</v>
      </c>
      <c r="J254" s="1106" t="e">
        <f>NOMINA!#REF!</f>
        <v>#REF!</v>
      </c>
      <c r="K254" s="1105" t="e">
        <f t="shared" si="13"/>
        <v>#REF!</v>
      </c>
      <c r="L254" s="1106" t="s">
        <v>4932</v>
      </c>
      <c r="M254" s="1106"/>
      <c r="N254" s="1443" t="str">
        <f>NOMINA!O224</f>
        <v>ESPECIALISTA EN INFORMATICA I</v>
      </c>
      <c r="O254" s="1106">
        <v>1.02087691000006E+18</v>
      </c>
      <c r="P254" s="1107">
        <f>ROUND(+NOMINA!T224,2)</f>
        <v>277</v>
      </c>
      <c r="Q254" s="1108">
        <v>0</v>
      </c>
      <c r="R254" s="1108">
        <f>ROUND(+NOMINA!AA224,2)</f>
        <v>8.31</v>
      </c>
      <c r="S254" s="1108">
        <f>ROUND(+NOMINA!AB224,2)</f>
        <v>130</v>
      </c>
      <c r="T254" s="1108">
        <f>ROUND(+NOMINA!AC224,2)</f>
        <v>0</v>
      </c>
      <c r="U254" s="1108">
        <f>ROUND(+NOMINA!AD224,2)</f>
        <v>103.83</v>
      </c>
      <c r="V254" s="1108">
        <f>ROUND(NOMINA!AQ224,2)</f>
        <v>0</v>
      </c>
      <c r="W254" s="1108">
        <f>+NOMINA!AS224</f>
        <v>0</v>
      </c>
      <c r="X254" s="1108">
        <f>+NOMINA!AT224</f>
        <v>0</v>
      </c>
      <c r="Y254" s="1108">
        <f>+NOMINA!AU224</f>
        <v>519.14</v>
      </c>
      <c r="Z254" s="1108">
        <f>+NOMINA!BX224</f>
        <v>973.39</v>
      </c>
      <c r="AA254" s="1108">
        <f>+NOMINA!BY224</f>
        <v>0</v>
      </c>
      <c r="AB254" s="1108">
        <f t="shared" si="14"/>
        <v>973.39</v>
      </c>
      <c r="AD254" s="625"/>
      <c r="AH254" s="1467" t="str">
        <f>NOMINA!P222</f>
        <v>01020373200001240254</v>
      </c>
    </row>
    <row r="255" spans="1:34" s="620" customFormat="1" ht="20.100000000000001" customHeight="1" thickBot="1" x14ac:dyDescent="0.25">
      <c r="A255" s="758" t="s">
        <v>2846</v>
      </c>
      <c r="B255" s="759">
        <f t="shared" si="15"/>
        <v>188</v>
      </c>
      <c r="C255" s="1102" t="e">
        <f>NOMINA!#REF!</f>
        <v>#REF!</v>
      </c>
      <c r="D255" s="1103" t="e">
        <f>NOMINA!#REF!</f>
        <v>#REF!</v>
      </c>
      <c r="E255" s="1468" t="s">
        <v>4622</v>
      </c>
      <c r="F255" s="1110">
        <v>32351</v>
      </c>
      <c r="G255" s="1468" t="s">
        <v>4620</v>
      </c>
      <c r="H255" s="1442" t="e">
        <f>NOMINA!#REF!</f>
        <v>#REF!</v>
      </c>
      <c r="I255" s="1105">
        <f>NOMINA!I225</f>
        <v>11</v>
      </c>
      <c r="J255" s="1106">
        <f>NOMINA!J225</f>
        <v>0</v>
      </c>
      <c r="K255" s="1105">
        <f t="shared" si="13"/>
        <v>11</v>
      </c>
      <c r="L255" s="1106" t="s">
        <v>4932</v>
      </c>
      <c r="M255" s="1106"/>
      <c r="N255" s="1443" t="e">
        <f>NOMINA!#REF!</f>
        <v>#REF!</v>
      </c>
      <c r="O255" s="1106">
        <v>1.02087691000006E+18</v>
      </c>
      <c r="P255" s="1107" t="e">
        <f>ROUND(+NOMINA!#REF!,2)</f>
        <v>#REF!</v>
      </c>
      <c r="Q255" s="1108">
        <v>0</v>
      </c>
      <c r="R255" s="1108" t="e">
        <f>ROUND(+NOMINA!#REF!,2)</f>
        <v>#REF!</v>
      </c>
      <c r="S255" s="1108" t="e">
        <f>ROUND(+NOMINA!#REF!,2)</f>
        <v>#REF!</v>
      </c>
      <c r="T255" s="1108" t="e">
        <f>ROUND(+NOMINA!#REF!,2)</f>
        <v>#REF!</v>
      </c>
      <c r="U255" s="1108" t="e">
        <f>ROUND(+NOMINA!#REF!,2)</f>
        <v>#REF!</v>
      </c>
      <c r="V255" s="1108" t="e">
        <f>ROUND(NOMINA!#REF!,2)</f>
        <v>#REF!</v>
      </c>
      <c r="W255" s="1108" t="e">
        <f>+NOMINA!#REF!</f>
        <v>#REF!</v>
      </c>
      <c r="X255" s="1108" t="e">
        <f>+NOMINA!#REF!</f>
        <v>#REF!</v>
      </c>
      <c r="Y255" s="1108" t="e">
        <f>+NOMINA!#REF!</f>
        <v>#REF!</v>
      </c>
      <c r="Z255" s="1108" t="e">
        <f>+NOMINA!#REF!</f>
        <v>#REF!</v>
      </c>
      <c r="AA255" s="1108" t="e">
        <f>+NOMINA!#REF!</f>
        <v>#REF!</v>
      </c>
      <c r="AB255" s="1108" t="e">
        <f t="shared" si="14"/>
        <v>#REF!</v>
      </c>
      <c r="AD255" s="625"/>
      <c r="AH255" s="1467" t="str">
        <f>NOMINA!P223</f>
        <v>01020373230000536163</v>
      </c>
    </row>
    <row r="256" spans="1:34" s="620" customFormat="1" ht="20.100000000000001" customHeight="1" thickBot="1" x14ac:dyDescent="0.25">
      <c r="A256" s="758" t="s">
        <v>2846</v>
      </c>
      <c r="B256" s="759">
        <f t="shared" si="15"/>
        <v>189</v>
      </c>
      <c r="C256" s="1102">
        <f>NOMINA!C225</f>
        <v>18457406</v>
      </c>
      <c r="D256" s="1103" t="str">
        <f>NOMINA!D225</f>
        <v>Rivero Zambrano Herluis Jose</v>
      </c>
      <c r="E256" s="1468" t="s">
        <v>4622</v>
      </c>
      <c r="F256" s="1110">
        <v>32351</v>
      </c>
      <c r="G256" s="1468" t="s">
        <v>4620</v>
      </c>
      <c r="H256" s="1442">
        <f>NOMINA!H225</f>
        <v>41548</v>
      </c>
      <c r="I256" s="1105">
        <f>NOMINA!I226</f>
        <v>3</v>
      </c>
      <c r="J256" s="1106">
        <f>NOMINA!J226</f>
        <v>0</v>
      </c>
      <c r="K256" s="1105">
        <f t="shared" si="13"/>
        <v>3</v>
      </c>
      <c r="L256" s="1106" t="s">
        <v>4932</v>
      </c>
      <c r="M256" s="1106"/>
      <c r="N256" s="1443" t="str">
        <f>NOMINA!O225</f>
        <v>Ingeniero Agronomo IV</v>
      </c>
      <c r="O256" s="1106">
        <v>1.02087691000006E+18</v>
      </c>
      <c r="P256" s="1107">
        <f>ROUND(+NOMINA!T225,2)</f>
        <v>0</v>
      </c>
      <c r="Q256" s="1108">
        <v>0</v>
      </c>
      <c r="R256" s="1108">
        <f>ROUND(+NOMINA!AA225,2)</f>
        <v>0</v>
      </c>
      <c r="S256" s="1108">
        <f>ROUND(+NOMINA!AB225,2)</f>
        <v>0</v>
      </c>
      <c r="T256" s="1108">
        <f>ROUND(+NOMINA!AC225,2)</f>
        <v>0</v>
      </c>
      <c r="U256" s="1108">
        <f>ROUND(+NOMINA!AD225,2)</f>
        <v>0</v>
      </c>
      <c r="V256" s="1108">
        <f>ROUND(NOMINA!AQ225,2)</f>
        <v>0</v>
      </c>
      <c r="W256" s="1108">
        <f>+NOMINA!AS225</f>
        <v>0</v>
      </c>
      <c r="X256" s="1108">
        <f>+NOMINA!AT225</f>
        <v>0</v>
      </c>
      <c r="Y256" s="1108">
        <f>+NOMINA!AU225</f>
        <v>0</v>
      </c>
      <c r="Z256" s="1108">
        <f>+NOMINA!BX225</f>
        <v>0</v>
      </c>
      <c r="AA256" s="1108">
        <f>+NOMINA!BY225</f>
        <v>0</v>
      </c>
      <c r="AB256" s="1108">
        <f t="shared" si="14"/>
        <v>0</v>
      </c>
      <c r="AD256" s="625"/>
      <c r="AH256" s="1467" t="str">
        <f>NOMINA!P224</f>
        <v>01020373240100092366</v>
      </c>
    </row>
    <row r="257" spans="1:34" s="620" customFormat="1" ht="20.100000000000001" customHeight="1" thickBot="1" x14ac:dyDescent="0.25">
      <c r="A257" s="758" t="s">
        <v>2846</v>
      </c>
      <c r="B257" s="759">
        <f t="shared" si="15"/>
        <v>190</v>
      </c>
      <c r="C257" s="1102">
        <f>NOMINA!C226</f>
        <v>18458012</v>
      </c>
      <c r="D257" s="1103" t="str">
        <f>NOMINA!D226</f>
        <v>Briceño Uzcategui Maria Esperanza</v>
      </c>
      <c r="E257" s="1468" t="s">
        <v>4622</v>
      </c>
      <c r="F257" s="1110">
        <v>32351</v>
      </c>
      <c r="G257" s="1468" t="s">
        <v>4620</v>
      </c>
      <c r="H257" s="1442">
        <f>NOMINA!H226</f>
        <v>44636</v>
      </c>
      <c r="I257" s="1105" t="e">
        <f>NOMINA!#REF!</f>
        <v>#REF!</v>
      </c>
      <c r="J257" s="1106" t="e">
        <f>NOMINA!#REF!</f>
        <v>#REF!</v>
      </c>
      <c r="K257" s="1105" t="e">
        <f t="shared" si="13"/>
        <v>#REF!</v>
      </c>
      <c r="L257" s="1106" t="s">
        <v>4932</v>
      </c>
      <c r="M257" s="1106"/>
      <c r="N257" s="1443" t="str">
        <f>NOMINA!O226</f>
        <v>Asistente Administrativo III</v>
      </c>
      <c r="O257" s="1106">
        <v>1.02087691000006E+18</v>
      </c>
      <c r="P257" s="1107">
        <f>ROUND(+NOMINA!T226,2)</f>
        <v>219</v>
      </c>
      <c r="Q257" s="1108">
        <v>0</v>
      </c>
      <c r="R257" s="1108">
        <f>ROUND(+NOMINA!AA226,2)</f>
        <v>6.57</v>
      </c>
      <c r="S257" s="1108">
        <f>ROUND(+NOMINA!AB226,2)</f>
        <v>130</v>
      </c>
      <c r="T257" s="1108">
        <f>ROUND(+NOMINA!AC226,2)</f>
        <v>25</v>
      </c>
      <c r="U257" s="1108">
        <f>ROUND(+NOMINA!AD226,2)</f>
        <v>76.11</v>
      </c>
      <c r="V257" s="1108">
        <f>ROUND(NOMINA!AQ226,2)</f>
        <v>0</v>
      </c>
      <c r="W257" s="1108">
        <f>+NOMINA!AS226</f>
        <v>0</v>
      </c>
      <c r="X257" s="1108">
        <f>+NOMINA!AT226</f>
        <v>25</v>
      </c>
      <c r="Y257" s="1108">
        <f>+NOMINA!AU226</f>
        <v>456.68</v>
      </c>
      <c r="Z257" s="1108">
        <f>+NOMINA!BX226</f>
        <v>856.28</v>
      </c>
      <c r="AA257" s="1108">
        <f>+NOMINA!BY226</f>
        <v>0</v>
      </c>
      <c r="AB257" s="1108">
        <f t="shared" si="14"/>
        <v>856.28</v>
      </c>
      <c r="AD257" s="625"/>
      <c r="AH257" s="1467" t="e">
        <f>NOMINA!#REF!</f>
        <v>#REF!</v>
      </c>
    </row>
    <row r="258" spans="1:34" s="620" customFormat="1" ht="20.100000000000001" customHeight="1" thickBot="1" x14ac:dyDescent="0.25">
      <c r="A258" s="758" t="s">
        <v>2846</v>
      </c>
      <c r="B258" s="759">
        <f t="shared" si="15"/>
        <v>191</v>
      </c>
      <c r="C258" s="1102" t="e">
        <f>NOMINA!#REF!</f>
        <v>#REF!</v>
      </c>
      <c r="D258" s="1103" t="e">
        <f>NOMINA!#REF!</f>
        <v>#REF!</v>
      </c>
      <c r="E258" s="1468" t="s">
        <v>4622</v>
      </c>
      <c r="F258" s="1110">
        <v>32351</v>
      </c>
      <c r="G258" s="1468" t="s">
        <v>4620</v>
      </c>
      <c r="H258" s="1442" t="e">
        <f>NOMINA!#REF!</f>
        <v>#REF!</v>
      </c>
      <c r="I258" s="1105">
        <f>NOMINA!I227</f>
        <v>1</v>
      </c>
      <c r="J258" s="1106">
        <f>NOMINA!J227</f>
        <v>0</v>
      </c>
      <c r="K258" s="1105">
        <f t="shared" si="13"/>
        <v>1</v>
      </c>
      <c r="L258" s="1106" t="s">
        <v>4932</v>
      </c>
      <c r="M258" s="1106"/>
      <c r="N258" s="1443" t="e">
        <f>NOMINA!#REF!</f>
        <v>#REF!</v>
      </c>
      <c r="O258" s="1106">
        <v>1.02087691000006E+18</v>
      </c>
      <c r="P258" s="1107" t="e">
        <f>ROUND(+NOMINA!#REF!,2)</f>
        <v>#REF!</v>
      </c>
      <c r="Q258" s="1108">
        <v>0</v>
      </c>
      <c r="R258" s="1108" t="e">
        <f>ROUND(+NOMINA!#REF!,2)</f>
        <v>#REF!</v>
      </c>
      <c r="S258" s="1108" t="e">
        <f>ROUND(+NOMINA!#REF!,2)</f>
        <v>#REF!</v>
      </c>
      <c r="T258" s="1108" t="e">
        <f>ROUND(+NOMINA!#REF!,2)</f>
        <v>#REF!</v>
      </c>
      <c r="U258" s="1108" t="e">
        <f>ROUND(+NOMINA!#REF!,2)</f>
        <v>#REF!</v>
      </c>
      <c r="V258" s="1108" t="e">
        <f>ROUND(NOMINA!#REF!,2)</f>
        <v>#REF!</v>
      </c>
      <c r="W258" s="1108" t="e">
        <f>+NOMINA!#REF!</f>
        <v>#REF!</v>
      </c>
      <c r="X258" s="1108" t="e">
        <f>+NOMINA!#REF!</f>
        <v>#REF!</v>
      </c>
      <c r="Y258" s="1108" t="e">
        <f>+NOMINA!#REF!</f>
        <v>#REF!</v>
      </c>
      <c r="Z258" s="1108" t="e">
        <f>+NOMINA!#REF!</f>
        <v>#REF!</v>
      </c>
      <c r="AA258" s="1108" t="e">
        <f>+NOMINA!#REF!</f>
        <v>#REF!</v>
      </c>
      <c r="AB258" s="1108" t="e">
        <f t="shared" si="14"/>
        <v>#REF!</v>
      </c>
      <c r="AD258" s="625"/>
      <c r="AH258" s="1467" t="str">
        <f>NOMINA!P225</f>
        <v>01020373280000441669</v>
      </c>
    </row>
    <row r="259" spans="1:34" s="620" customFormat="1" ht="20.100000000000001" customHeight="1" thickBot="1" x14ac:dyDescent="0.25">
      <c r="A259" s="758" t="s">
        <v>2846</v>
      </c>
      <c r="B259" s="759">
        <f t="shared" si="15"/>
        <v>192</v>
      </c>
      <c r="C259" s="1102">
        <f>NOMINA!C227</f>
        <v>18733682</v>
      </c>
      <c r="D259" s="1103" t="str">
        <f>NOMINA!D227</f>
        <v>Ocanto Ramirez Maria Alejandra</v>
      </c>
      <c r="E259" s="1468" t="s">
        <v>4622</v>
      </c>
      <c r="F259" s="1110">
        <v>32351</v>
      </c>
      <c r="G259" s="1468" t="s">
        <v>4620</v>
      </c>
      <c r="H259" s="1442">
        <f>NOMINA!H227</f>
        <v>45474</v>
      </c>
      <c r="I259" s="1105">
        <f>NOMINA!I228</f>
        <v>7</v>
      </c>
      <c r="J259" s="1106">
        <f>NOMINA!J228</f>
        <v>0</v>
      </c>
      <c r="K259" s="1105">
        <f t="shared" si="13"/>
        <v>7</v>
      </c>
      <c r="L259" s="1106" t="s">
        <v>4932</v>
      </c>
      <c r="M259" s="1106"/>
      <c r="N259" s="1443" t="str">
        <f>NOMINA!O227</f>
        <v>Guia de Centro I</v>
      </c>
      <c r="O259" s="1106">
        <v>1.02087691000006E+18</v>
      </c>
      <c r="P259" s="1107">
        <f>ROUND(+NOMINA!T227,2)</f>
        <v>130</v>
      </c>
      <c r="Q259" s="1108">
        <v>0</v>
      </c>
      <c r="R259" s="1108">
        <f>ROUND(+NOMINA!AA227,2)</f>
        <v>1.3</v>
      </c>
      <c r="S259" s="1108">
        <f>ROUND(+NOMINA!AB227,2)</f>
        <v>130</v>
      </c>
      <c r="T259" s="1108">
        <f>ROUND(+NOMINA!AC227,2)</f>
        <v>12.5</v>
      </c>
      <c r="U259" s="1108">
        <f>ROUND(+NOMINA!AD227,2)</f>
        <v>0</v>
      </c>
      <c r="V259" s="1108">
        <f>ROUND(NOMINA!AQ227,2)</f>
        <v>0</v>
      </c>
      <c r="W259" s="1108">
        <f>+NOMINA!AS227</f>
        <v>0</v>
      </c>
      <c r="X259" s="1108">
        <f>+NOMINA!AT227</f>
        <v>12.5</v>
      </c>
      <c r="Y259" s="1108">
        <f>+NOMINA!AU227</f>
        <v>355.94</v>
      </c>
      <c r="Z259" s="1108">
        <f>+NOMINA!BX227</f>
        <v>278.08</v>
      </c>
      <c r="AA259" s="1108">
        <f>+NOMINA!BY227</f>
        <v>0</v>
      </c>
      <c r="AB259" s="1108">
        <f t="shared" si="14"/>
        <v>278.08</v>
      </c>
      <c r="AD259" s="625"/>
      <c r="AH259" s="1467" t="str">
        <f>NOMINA!P226</f>
        <v>01020494160000440149</v>
      </c>
    </row>
    <row r="260" spans="1:34" s="620" customFormat="1" ht="20.100000000000001" customHeight="1" thickBot="1" x14ac:dyDescent="0.25">
      <c r="A260" s="758" t="s">
        <v>2846</v>
      </c>
      <c r="B260" s="759">
        <f t="shared" si="15"/>
        <v>193</v>
      </c>
      <c r="C260" s="1102">
        <f>NOMINA!C228</f>
        <v>18801597</v>
      </c>
      <c r="D260" s="1103" t="str">
        <f>NOMINA!D228</f>
        <v>Rodriguez Salas Mary Carmen</v>
      </c>
      <c r="E260" s="1468" t="s">
        <v>4622</v>
      </c>
      <c r="F260" s="1110">
        <v>32351</v>
      </c>
      <c r="G260" s="1468" t="s">
        <v>4620</v>
      </c>
      <c r="H260" s="1442">
        <f>NOMINA!H228</f>
        <v>43359</v>
      </c>
      <c r="I260" s="1105">
        <f>NOMINA!I229</f>
        <v>4</v>
      </c>
      <c r="J260" s="1106">
        <f>NOMINA!J229</f>
        <v>0</v>
      </c>
      <c r="K260" s="1105">
        <f t="shared" si="13"/>
        <v>4</v>
      </c>
      <c r="L260" s="1106" t="s">
        <v>4932</v>
      </c>
      <c r="M260" s="1106"/>
      <c r="N260" s="1443" t="str">
        <f>NOMINA!O228</f>
        <v>Tutor Facilitador III</v>
      </c>
      <c r="O260" s="1106">
        <v>1.02087691000006E+18</v>
      </c>
      <c r="P260" s="1107">
        <f>ROUND(+NOMINA!T228,2)</f>
        <v>279</v>
      </c>
      <c r="Q260" s="1108">
        <v>0</v>
      </c>
      <c r="R260" s="1108">
        <f>ROUND(+NOMINA!AA228,2)</f>
        <v>20.65</v>
      </c>
      <c r="S260" s="1108">
        <f>ROUND(+NOMINA!AB228,2)</f>
        <v>130</v>
      </c>
      <c r="T260" s="1108">
        <f>ROUND(+NOMINA!AC228,2)</f>
        <v>25</v>
      </c>
      <c r="U260" s="1108">
        <f>ROUND(+NOMINA!AD228,2)</f>
        <v>113.66</v>
      </c>
      <c r="V260" s="1108">
        <f>ROUND(NOMINA!AQ228,2)</f>
        <v>0</v>
      </c>
      <c r="W260" s="1108">
        <f>+NOMINA!AS228</f>
        <v>0</v>
      </c>
      <c r="X260" s="1108">
        <f>+NOMINA!AT228</f>
        <v>25</v>
      </c>
      <c r="Y260" s="1108">
        <f>+NOMINA!AU228</f>
        <v>568.30999999999995</v>
      </c>
      <c r="Z260" s="1108">
        <f>+NOMINA!BX228</f>
        <v>1065.58</v>
      </c>
      <c r="AA260" s="1108">
        <f>+NOMINA!BY228</f>
        <v>0</v>
      </c>
      <c r="AB260" s="1108">
        <f t="shared" si="14"/>
        <v>1065.58</v>
      </c>
      <c r="AD260" s="625"/>
      <c r="AH260" s="1467" t="e">
        <f>NOMINA!#REF!</f>
        <v>#REF!</v>
      </c>
    </row>
    <row r="261" spans="1:34" s="620" customFormat="1" ht="20.100000000000001" customHeight="1" thickBot="1" x14ac:dyDescent="0.25">
      <c r="A261" s="758" t="s">
        <v>2846</v>
      </c>
      <c r="B261" s="759">
        <f t="shared" si="15"/>
        <v>194</v>
      </c>
      <c r="C261" s="1102">
        <f>NOMINA!C229</f>
        <v>18802405</v>
      </c>
      <c r="D261" s="1103" t="str">
        <f>NOMINA!D229</f>
        <v>Ramirez Rodriguez Rudys Arelys</v>
      </c>
      <c r="E261" s="1468" t="s">
        <v>4622</v>
      </c>
      <c r="F261" s="1110">
        <v>32351</v>
      </c>
      <c r="G261" s="1468" t="s">
        <v>4620</v>
      </c>
      <c r="H261" s="1442">
        <f>NOMINA!H229</f>
        <v>44332</v>
      </c>
      <c r="I261" s="1105">
        <f>NOMINA!I230</f>
        <v>1</v>
      </c>
      <c r="J261" s="1106">
        <f>NOMINA!J230</f>
        <v>0</v>
      </c>
      <c r="K261" s="1105">
        <f t="shared" ref="K261:K324" si="16">I261+J261</f>
        <v>1</v>
      </c>
      <c r="L261" s="1106" t="s">
        <v>4932</v>
      </c>
      <c r="M261" s="1106"/>
      <c r="N261" s="1443" t="str">
        <f>NOMINA!O229</f>
        <v>Tutor Facilitador I</v>
      </c>
      <c r="O261" s="1106">
        <v>1.02087691000006E+18</v>
      </c>
      <c r="P261" s="1107">
        <f>ROUND(+NOMINA!T229,2)</f>
        <v>277</v>
      </c>
      <c r="Q261" s="1108">
        <v>0</v>
      </c>
      <c r="R261" s="1108">
        <f>ROUND(+NOMINA!AA229,2)</f>
        <v>11.08</v>
      </c>
      <c r="S261" s="1108">
        <f>ROUND(+NOMINA!AB229,2)</f>
        <v>130</v>
      </c>
      <c r="T261" s="1108">
        <f>ROUND(+NOMINA!AC229,2)</f>
        <v>25</v>
      </c>
      <c r="U261" s="1108">
        <f>ROUND(+NOMINA!AD229,2)</f>
        <v>110.77</v>
      </c>
      <c r="V261" s="1108">
        <f>ROUND(NOMINA!AQ229,2)</f>
        <v>0</v>
      </c>
      <c r="W261" s="1108">
        <f>+NOMINA!AS229</f>
        <v>0</v>
      </c>
      <c r="X261" s="1108">
        <f>+NOMINA!AT229</f>
        <v>12.5</v>
      </c>
      <c r="Y261" s="1108">
        <f>+NOMINA!AU229</f>
        <v>553.85</v>
      </c>
      <c r="Z261" s="1108">
        <f>+NOMINA!BX229</f>
        <v>1038.47</v>
      </c>
      <c r="AA261" s="1108">
        <f>+NOMINA!BY229</f>
        <v>0</v>
      </c>
      <c r="AB261" s="1108">
        <f t="shared" ref="AB261:AB324" si="17">+Z261+AA261</f>
        <v>1038.47</v>
      </c>
      <c r="AD261" s="625"/>
      <c r="AH261" s="1467" t="str">
        <f>NOMINA!P227</f>
        <v>01020494150000449247</v>
      </c>
    </row>
    <row r="262" spans="1:34" s="620" customFormat="1" ht="20.100000000000001" customHeight="1" thickBot="1" x14ac:dyDescent="0.25">
      <c r="A262" s="758" t="s">
        <v>2846</v>
      </c>
      <c r="B262" s="759">
        <f t="shared" ref="B262:B325" si="18">+B261+1</f>
        <v>195</v>
      </c>
      <c r="C262" s="1102">
        <f>NOMINA!C230</f>
        <v>18984406</v>
      </c>
      <c r="D262" s="1103" t="str">
        <f>NOMINA!D230</f>
        <v>Torres Santiago Eduardo David</v>
      </c>
      <c r="E262" s="1468" t="s">
        <v>4622</v>
      </c>
      <c r="F262" s="1110">
        <v>32351</v>
      </c>
      <c r="G262" s="1468" t="s">
        <v>4620</v>
      </c>
      <c r="H262" s="1442">
        <f>NOMINA!H230</f>
        <v>45200</v>
      </c>
      <c r="I262" s="1105">
        <f>NOMINA!I231</f>
        <v>5</v>
      </c>
      <c r="J262" s="1106">
        <f>NOMINA!J231</f>
        <v>0</v>
      </c>
      <c r="K262" s="1105">
        <f t="shared" si="16"/>
        <v>5</v>
      </c>
      <c r="L262" s="1106" t="s">
        <v>4932</v>
      </c>
      <c r="M262" s="1106"/>
      <c r="N262" s="1443" t="str">
        <f>NOMINA!O230</f>
        <v>Guia de Centro I</v>
      </c>
      <c r="O262" s="1106">
        <v>1.02087691000006E+18</v>
      </c>
      <c r="P262" s="1107">
        <f>ROUND(+NOMINA!T230,2)</f>
        <v>130</v>
      </c>
      <c r="Q262" s="1108">
        <v>0</v>
      </c>
      <c r="R262" s="1108">
        <f>ROUND(+NOMINA!AA230,2)</f>
        <v>1.3</v>
      </c>
      <c r="S262" s="1108">
        <f>ROUND(+NOMINA!AB230,2)</f>
        <v>130</v>
      </c>
      <c r="T262" s="1108">
        <f>ROUND(+NOMINA!AC230,2)</f>
        <v>0</v>
      </c>
      <c r="U262" s="1108">
        <f>ROUND(+NOMINA!AD230,2)</f>
        <v>0</v>
      </c>
      <c r="V262" s="1108">
        <f>ROUND(NOMINA!AQ230,2)</f>
        <v>0</v>
      </c>
      <c r="W262" s="1108">
        <f>+NOMINA!AS230</f>
        <v>0</v>
      </c>
      <c r="X262" s="1108">
        <f>+NOMINA!AT230</f>
        <v>0</v>
      </c>
      <c r="Y262" s="1108">
        <f>+NOMINA!AU230</f>
        <v>339.69</v>
      </c>
      <c r="Z262" s="1108">
        <f>+NOMINA!BX230</f>
        <v>636.91999999999996</v>
      </c>
      <c r="AA262" s="1108">
        <f>+NOMINA!BY230</f>
        <v>0</v>
      </c>
      <c r="AB262" s="1108">
        <f t="shared" si="17"/>
        <v>636.91999999999996</v>
      </c>
      <c r="AD262" s="625"/>
      <c r="AH262" s="1467" t="str">
        <f>NOMINA!P228</f>
        <v>01020373210000594095</v>
      </c>
    </row>
    <row r="263" spans="1:34" s="620" customFormat="1" ht="20.100000000000001" customHeight="1" thickBot="1" x14ac:dyDescent="0.25">
      <c r="A263" s="758" t="s">
        <v>2846</v>
      </c>
      <c r="B263" s="759">
        <f t="shared" si="18"/>
        <v>196</v>
      </c>
      <c r="C263" s="1102">
        <f>NOMINA!C231</f>
        <v>19101647</v>
      </c>
      <c r="D263" s="1103" t="str">
        <f>NOMINA!D231</f>
        <v>Uzcategui Urbina Madeley Tatiana</v>
      </c>
      <c r="E263" s="1468" t="s">
        <v>4622</v>
      </c>
      <c r="F263" s="1110">
        <v>32351</v>
      </c>
      <c r="G263" s="1468" t="s">
        <v>4620</v>
      </c>
      <c r="H263" s="1442">
        <f>NOMINA!H231</f>
        <v>43845</v>
      </c>
      <c r="I263" s="1105">
        <f>NOMINA!I232</f>
        <v>1</v>
      </c>
      <c r="J263" s="1106">
        <f>NOMINA!J232</f>
        <v>0</v>
      </c>
      <c r="K263" s="1105">
        <f t="shared" si="16"/>
        <v>1</v>
      </c>
      <c r="L263" s="1106" t="s">
        <v>4932</v>
      </c>
      <c r="M263" s="1106"/>
      <c r="N263" s="1443" t="str">
        <f>NOMINA!O231</f>
        <v>Guia de Centro I</v>
      </c>
      <c r="O263" s="1106">
        <v>1.02087691000006E+18</v>
      </c>
      <c r="P263" s="1107">
        <f>ROUND(+NOMINA!T231,2)</f>
        <v>150</v>
      </c>
      <c r="Q263" s="1108">
        <v>0</v>
      </c>
      <c r="R263" s="1108">
        <f>ROUND(+NOMINA!AA231,2)</f>
        <v>7.5</v>
      </c>
      <c r="S263" s="1108">
        <f>ROUND(+NOMINA!AB231,2)</f>
        <v>130</v>
      </c>
      <c r="T263" s="1108">
        <f>ROUND(+NOMINA!AC231,2)</f>
        <v>25</v>
      </c>
      <c r="U263" s="1108">
        <f>ROUND(+NOMINA!AD231,2)</f>
        <v>0</v>
      </c>
      <c r="V263" s="1108">
        <f>ROUND(NOMINA!AQ231,2)</f>
        <v>0</v>
      </c>
      <c r="W263" s="1108">
        <f>+NOMINA!AS231</f>
        <v>0</v>
      </c>
      <c r="X263" s="1108">
        <f>+NOMINA!AT231</f>
        <v>0</v>
      </c>
      <c r="Y263" s="1108">
        <f>+NOMINA!AU231</f>
        <v>406.25</v>
      </c>
      <c r="Z263" s="1108">
        <f>+NOMINA!BX231</f>
        <v>761.72</v>
      </c>
      <c r="AA263" s="1108">
        <f>+NOMINA!BY231</f>
        <v>0</v>
      </c>
      <c r="AB263" s="1108">
        <f t="shared" si="17"/>
        <v>761.72</v>
      </c>
      <c r="AD263" s="625"/>
      <c r="AH263" s="1467" t="str">
        <f>NOMINA!P229</f>
        <v>01020373230000787488</v>
      </c>
    </row>
    <row r="264" spans="1:34" s="620" customFormat="1" ht="20.100000000000001" customHeight="1" thickBot="1" x14ac:dyDescent="0.25">
      <c r="A264" s="758" t="s">
        <v>2846</v>
      </c>
      <c r="B264" s="759">
        <f t="shared" si="18"/>
        <v>197</v>
      </c>
      <c r="C264" s="1102">
        <f>NOMINA!C232</f>
        <v>19101773</v>
      </c>
      <c r="D264" s="1103" t="str">
        <f>NOMINA!D232</f>
        <v>Gil Molina Maite Karina</v>
      </c>
      <c r="E264" s="1468" t="s">
        <v>4622</v>
      </c>
      <c r="F264" s="1110">
        <v>32351</v>
      </c>
      <c r="G264" s="1468" t="s">
        <v>4620</v>
      </c>
      <c r="H264" s="1442">
        <f>NOMINA!H232</f>
        <v>45200</v>
      </c>
      <c r="I264" s="1105">
        <f>NOMINA!I233</f>
        <v>6</v>
      </c>
      <c r="J264" s="1106">
        <f>NOMINA!J233</f>
        <v>0</v>
      </c>
      <c r="K264" s="1105">
        <f t="shared" si="16"/>
        <v>6</v>
      </c>
      <c r="L264" s="1106" t="s">
        <v>4932</v>
      </c>
      <c r="M264" s="1106"/>
      <c r="N264" s="1443" t="str">
        <f>NOMINA!O232</f>
        <v>Guia de Centro I</v>
      </c>
      <c r="O264" s="1106">
        <v>1.02087691000006E+18</v>
      </c>
      <c r="P264" s="1107">
        <f>ROUND(+NOMINA!T232,2)</f>
        <v>192</v>
      </c>
      <c r="Q264" s="1108">
        <v>0</v>
      </c>
      <c r="R264" s="1108">
        <f>ROUND(+NOMINA!AA232,2)</f>
        <v>1.92</v>
      </c>
      <c r="S264" s="1108">
        <f>ROUND(+NOMINA!AB232,2)</f>
        <v>130</v>
      </c>
      <c r="T264" s="1108">
        <f>ROUND(+NOMINA!AC232,2)</f>
        <v>0</v>
      </c>
      <c r="U264" s="1108">
        <f>ROUND(+NOMINA!AD232,2)</f>
        <v>64.78</v>
      </c>
      <c r="V264" s="1108">
        <f>ROUND(NOMINA!AQ232,2)</f>
        <v>0</v>
      </c>
      <c r="W264" s="1108">
        <f>+NOMINA!AS232</f>
        <v>0</v>
      </c>
      <c r="X264" s="1108">
        <f>+NOMINA!AT232</f>
        <v>0</v>
      </c>
      <c r="Y264" s="1108">
        <f>+NOMINA!AU232</f>
        <v>505.31</v>
      </c>
      <c r="Z264" s="1108">
        <f>+NOMINA!BX232</f>
        <v>947.46</v>
      </c>
      <c r="AA264" s="1108">
        <f>+NOMINA!BY232</f>
        <v>0</v>
      </c>
      <c r="AB264" s="1108">
        <f t="shared" si="17"/>
        <v>947.46</v>
      </c>
      <c r="AD264" s="625"/>
      <c r="AH264" s="1467" t="str">
        <f>NOMINA!P230</f>
        <v>01020494160000442435</v>
      </c>
    </row>
    <row r="265" spans="1:34" s="620" customFormat="1" ht="20.100000000000001" customHeight="1" thickBot="1" x14ac:dyDescent="0.25">
      <c r="A265" s="758" t="s">
        <v>2846</v>
      </c>
      <c r="B265" s="759">
        <f t="shared" si="18"/>
        <v>198</v>
      </c>
      <c r="C265" s="1102">
        <f>NOMINA!C233</f>
        <v>19103118</v>
      </c>
      <c r="D265" s="1103" t="str">
        <f>NOMINA!D233</f>
        <v>Plaza Quintero Orelis Maria</v>
      </c>
      <c r="E265" s="1468" t="s">
        <v>4622</v>
      </c>
      <c r="F265" s="1110">
        <v>32351</v>
      </c>
      <c r="G265" s="1468" t="s">
        <v>4620</v>
      </c>
      <c r="H265" s="1442">
        <f>NOMINA!H233</f>
        <v>43724</v>
      </c>
      <c r="I265" s="1105">
        <f>NOMINA!I234</f>
        <v>3</v>
      </c>
      <c r="J265" s="1106">
        <f>NOMINA!J234</f>
        <v>0</v>
      </c>
      <c r="K265" s="1105">
        <f t="shared" si="16"/>
        <v>3</v>
      </c>
      <c r="L265" s="1106" t="s">
        <v>4932</v>
      </c>
      <c r="M265" s="1106"/>
      <c r="N265" s="1443" t="str">
        <f>NOMINA!O233</f>
        <v>Tecnico Superior en Trabajo Social II</v>
      </c>
      <c r="O265" s="1106">
        <v>1.02087691000006E+18</v>
      </c>
      <c r="P265" s="1107">
        <f>ROUND(+NOMINA!T233,2)</f>
        <v>221</v>
      </c>
      <c r="Q265" s="1108">
        <v>0</v>
      </c>
      <c r="R265" s="1108">
        <f>ROUND(+NOMINA!AA233,2)</f>
        <v>13.7</v>
      </c>
      <c r="S265" s="1108">
        <f>ROUND(+NOMINA!AB233,2)</f>
        <v>130</v>
      </c>
      <c r="T265" s="1108">
        <f>ROUND(+NOMINA!AC233,2)</f>
        <v>12.5</v>
      </c>
      <c r="U265" s="1108">
        <f>ROUND(+NOMINA!AD233,2)</f>
        <v>75.44</v>
      </c>
      <c r="V265" s="1108">
        <f>ROUND(NOMINA!AQ233,2)</f>
        <v>0</v>
      </c>
      <c r="W265" s="1108">
        <f>+NOMINA!AS233</f>
        <v>0</v>
      </c>
      <c r="X265" s="1108">
        <f>+NOMINA!AT233</f>
        <v>0</v>
      </c>
      <c r="Y265" s="1108">
        <f>+NOMINA!AU233</f>
        <v>452.64</v>
      </c>
      <c r="Z265" s="1108">
        <f>+NOMINA!BX233</f>
        <v>848.7</v>
      </c>
      <c r="AA265" s="1108">
        <f>+NOMINA!BY233</f>
        <v>0</v>
      </c>
      <c r="AB265" s="1108">
        <f t="shared" si="17"/>
        <v>848.7</v>
      </c>
      <c r="AD265" s="625"/>
      <c r="AH265" s="1467" t="str">
        <f>NOMINA!P231</f>
        <v>01020493310000189934</v>
      </c>
    </row>
    <row r="266" spans="1:34" s="620" customFormat="1" ht="20.100000000000001" customHeight="1" thickBot="1" x14ac:dyDescent="0.25">
      <c r="A266" s="758" t="s">
        <v>2846</v>
      </c>
      <c r="B266" s="759">
        <f t="shared" si="18"/>
        <v>199</v>
      </c>
      <c r="C266" s="1102">
        <f>NOMINA!C234</f>
        <v>19103604</v>
      </c>
      <c r="D266" s="1103" t="str">
        <f>NOMINA!D234</f>
        <v>Hernandez Graterol Gleidys Coromoto</v>
      </c>
      <c r="E266" s="1468" t="s">
        <v>4622</v>
      </c>
      <c r="F266" s="1110">
        <v>32351</v>
      </c>
      <c r="G266" s="1468" t="s">
        <v>4620</v>
      </c>
      <c r="H266" s="1442">
        <f>NOMINA!H234</f>
        <v>44600</v>
      </c>
      <c r="I266" s="1105">
        <f>NOMINA!I235</f>
        <v>8</v>
      </c>
      <c r="J266" s="1106">
        <f>NOMINA!J235</f>
        <v>0</v>
      </c>
      <c r="K266" s="1105">
        <f t="shared" si="16"/>
        <v>8</v>
      </c>
      <c r="L266" s="1106" t="s">
        <v>4932</v>
      </c>
      <c r="M266" s="1106"/>
      <c r="N266" s="1443" t="str">
        <f>NOMINA!O234</f>
        <v>Asistente Administrativo III</v>
      </c>
      <c r="O266" s="1106">
        <v>1.02087691000006E+18</v>
      </c>
      <c r="P266" s="1107">
        <f>ROUND(+NOMINA!T234,2)</f>
        <v>219</v>
      </c>
      <c r="Q266" s="1108">
        <v>0</v>
      </c>
      <c r="R266" s="1108">
        <f>ROUND(+NOMINA!AA234,2)</f>
        <v>6.57</v>
      </c>
      <c r="S266" s="1108">
        <f>ROUND(+NOMINA!AB234,2)</f>
        <v>130</v>
      </c>
      <c r="T266" s="1108">
        <f>ROUND(+NOMINA!AC234,2)</f>
        <v>25</v>
      </c>
      <c r="U266" s="1108">
        <f>ROUND(+NOMINA!AD234,2)</f>
        <v>76.11</v>
      </c>
      <c r="V266" s="1108">
        <f>ROUND(NOMINA!AQ234,2)</f>
        <v>0</v>
      </c>
      <c r="W266" s="1108">
        <f>+NOMINA!AS234</f>
        <v>0</v>
      </c>
      <c r="X266" s="1108">
        <f>+NOMINA!AT234</f>
        <v>25</v>
      </c>
      <c r="Y266" s="1108">
        <f>+NOMINA!AU234</f>
        <v>456.68</v>
      </c>
      <c r="Z266" s="1108">
        <f>+NOMINA!BX234</f>
        <v>856.28</v>
      </c>
      <c r="AA266" s="1108">
        <f>+NOMINA!BY234</f>
        <v>0</v>
      </c>
      <c r="AB266" s="1108">
        <f t="shared" si="17"/>
        <v>856.28</v>
      </c>
      <c r="AD266" s="625"/>
      <c r="AH266" s="1467" t="str">
        <f>NOMINA!P232</f>
        <v>01020373240001215603</v>
      </c>
    </row>
    <row r="267" spans="1:34" s="620" customFormat="1" ht="20.100000000000001" customHeight="1" thickBot="1" x14ac:dyDescent="0.25">
      <c r="A267" s="758" t="s">
        <v>2846</v>
      </c>
      <c r="B267" s="759">
        <f t="shared" si="18"/>
        <v>200</v>
      </c>
      <c r="C267" s="1102">
        <f>NOMINA!C235</f>
        <v>19103823</v>
      </c>
      <c r="D267" s="1103" t="str">
        <f>NOMINA!D235</f>
        <v>Valero Sanchez Zulay del Valle</v>
      </c>
      <c r="E267" s="1468" t="s">
        <v>4622</v>
      </c>
      <c r="F267" s="1110">
        <v>32351</v>
      </c>
      <c r="G267" s="1468" t="s">
        <v>4620</v>
      </c>
      <c r="H267" s="1442">
        <f>NOMINA!H235</f>
        <v>42795</v>
      </c>
      <c r="I267" s="1105">
        <f>NOMINA!I236</f>
        <v>9</v>
      </c>
      <c r="J267" s="1106">
        <f>NOMINA!J236</f>
        <v>0</v>
      </c>
      <c r="K267" s="1105">
        <f t="shared" si="16"/>
        <v>9</v>
      </c>
      <c r="L267" s="1106" t="s">
        <v>4932</v>
      </c>
      <c r="M267" s="1106"/>
      <c r="N267" s="1443" t="str">
        <f>NOMINA!O235</f>
        <v>Tutor Facilitador III</v>
      </c>
      <c r="O267" s="1106">
        <v>1.02087691000006E+18</v>
      </c>
      <c r="P267" s="1107">
        <f>ROUND(+NOMINA!T235,2)</f>
        <v>308</v>
      </c>
      <c r="Q267" s="1108">
        <v>0</v>
      </c>
      <c r="R267" s="1108">
        <f>ROUND(+NOMINA!AA235,2)</f>
        <v>26.49</v>
      </c>
      <c r="S267" s="1108">
        <f>ROUND(+NOMINA!AB235,2)</f>
        <v>130</v>
      </c>
      <c r="T267" s="1108">
        <f>ROUND(+NOMINA!AC235,2)</f>
        <v>12.5</v>
      </c>
      <c r="U267" s="1108">
        <f>ROUND(+NOMINA!AD235,2)</f>
        <v>166.95</v>
      </c>
      <c r="V267" s="1108">
        <f>ROUND(NOMINA!AQ235,2)</f>
        <v>0</v>
      </c>
      <c r="W267" s="1108">
        <f>+NOMINA!AS235</f>
        <v>0</v>
      </c>
      <c r="X267" s="1108">
        <f>+NOMINA!AT235</f>
        <v>0</v>
      </c>
      <c r="Y267" s="1108">
        <f>+NOMINA!AU235</f>
        <v>643.94000000000005</v>
      </c>
      <c r="Z267" s="1108">
        <f>+NOMINA!BX235</f>
        <v>1207.3900000000001</v>
      </c>
      <c r="AA267" s="1108">
        <f>+NOMINA!BY235</f>
        <v>0</v>
      </c>
      <c r="AB267" s="1108">
        <f t="shared" si="17"/>
        <v>1207.3900000000001</v>
      </c>
      <c r="AD267" s="625"/>
      <c r="AH267" s="1467" t="str">
        <f>NOMINA!P233</f>
        <v>01020373220000660880</v>
      </c>
    </row>
    <row r="268" spans="1:34" s="620" customFormat="1" ht="20.100000000000001" customHeight="1" thickBot="1" x14ac:dyDescent="0.25">
      <c r="A268" s="758" t="s">
        <v>2846</v>
      </c>
      <c r="B268" s="759">
        <f t="shared" si="18"/>
        <v>201</v>
      </c>
      <c r="C268" s="1102">
        <f>NOMINA!C236</f>
        <v>19286780</v>
      </c>
      <c r="D268" s="1103" t="str">
        <f>NOMINA!D236</f>
        <v>Mejia Rosales Katiusca Josefina</v>
      </c>
      <c r="E268" s="1468" t="s">
        <v>4622</v>
      </c>
      <c r="F268" s="1110">
        <v>32351</v>
      </c>
      <c r="G268" s="1468" t="s">
        <v>4620</v>
      </c>
      <c r="H268" s="1442">
        <f>NOMINA!H236</f>
        <v>42492</v>
      </c>
      <c r="I268" s="1105">
        <f>NOMINA!I237</f>
        <v>3</v>
      </c>
      <c r="J268" s="1106">
        <f>NOMINA!J237</f>
        <v>0</v>
      </c>
      <c r="K268" s="1105">
        <f t="shared" si="16"/>
        <v>3</v>
      </c>
      <c r="L268" s="1106" t="s">
        <v>4932</v>
      </c>
      <c r="M268" s="1106"/>
      <c r="N268" s="1443" t="str">
        <f>NOMINA!O236</f>
        <v>Asistente Administrativo III</v>
      </c>
      <c r="O268" s="1106">
        <v>1.02087691000006E+18</v>
      </c>
      <c r="P268" s="1107">
        <f>ROUND(+NOMINA!T236,2)</f>
        <v>223</v>
      </c>
      <c r="Q268" s="1108">
        <v>0</v>
      </c>
      <c r="R268" s="1108">
        <f>ROUND(+NOMINA!AA236,2)</f>
        <v>21.85</v>
      </c>
      <c r="S268" s="1108">
        <f>ROUND(+NOMINA!AB236,2)</f>
        <v>130</v>
      </c>
      <c r="T268" s="1108">
        <f>ROUND(+NOMINA!AC236,2)</f>
        <v>25</v>
      </c>
      <c r="U268" s="1108">
        <f>ROUND(+NOMINA!AD236,2)</f>
        <v>79.97</v>
      </c>
      <c r="V268" s="1108">
        <f>ROUND(NOMINA!AQ236,2)</f>
        <v>0</v>
      </c>
      <c r="W268" s="1108">
        <f>+NOMINA!AS236</f>
        <v>0</v>
      </c>
      <c r="X268" s="1108">
        <f>+NOMINA!AT236</f>
        <v>0</v>
      </c>
      <c r="Y268" s="1108">
        <f>+NOMINA!AU236</f>
        <v>479.82</v>
      </c>
      <c r="Z268" s="1108">
        <f>+NOMINA!BX236</f>
        <v>899.66</v>
      </c>
      <c r="AA268" s="1108">
        <f>+NOMINA!BY236</f>
        <v>0</v>
      </c>
      <c r="AB268" s="1108">
        <f t="shared" si="17"/>
        <v>899.66</v>
      </c>
      <c r="AD268" s="625"/>
      <c r="AH268" s="1467" t="str">
        <f>NOMINA!P234</f>
        <v>01020373270000378596</v>
      </c>
    </row>
    <row r="269" spans="1:34" s="620" customFormat="1" ht="20.100000000000001" customHeight="1" thickBot="1" x14ac:dyDescent="0.25">
      <c r="A269" s="758" t="s">
        <v>2846</v>
      </c>
      <c r="B269" s="759">
        <f t="shared" si="18"/>
        <v>202</v>
      </c>
      <c r="C269" s="1102">
        <f>NOMINA!C237</f>
        <v>19287100</v>
      </c>
      <c r="D269" s="1103" t="str">
        <f>NOMINA!D237</f>
        <v>Leal Mejia Fraineli Yoset</v>
      </c>
      <c r="E269" s="1468" t="s">
        <v>4622</v>
      </c>
      <c r="F269" s="1110">
        <v>32351</v>
      </c>
      <c r="G269" s="1468" t="s">
        <v>4620</v>
      </c>
      <c r="H269" s="1442">
        <f>NOMINA!H237</f>
        <v>44713</v>
      </c>
      <c r="I269" s="1105" t="e">
        <f>NOMINA!#REF!</f>
        <v>#REF!</v>
      </c>
      <c r="J269" s="1106" t="e">
        <f>NOMINA!#REF!</f>
        <v>#REF!</v>
      </c>
      <c r="K269" s="1105" t="e">
        <f t="shared" si="16"/>
        <v>#REF!</v>
      </c>
      <c r="L269" s="1106" t="s">
        <v>4932</v>
      </c>
      <c r="M269" s="1106"/>
      <c r="N269" s="1443" t="str">
        <f>NOMINA!O237</f>
        <v>Tecnico Superior en Trabajo Social II</v>
      </c>
      <c r="O269" s="1106">
        <v>1.02087691000006E+18</v>
      </c>
      <c r="P269" s="1107">
        <f>ROUND(+NOMINA!T237,2)</f>
        <v>219</v>
      </c>
      <c r="Q269" s="1108">
        <v>0</v>
      </c>
      <c r="R269" s="1108">
        <f>ROUND(+NOMINA!AA237,2)</f>
        <v>6.57</v>
      </c>
      <c r="S269" s="1108">
        <f>ROUND(+NOMINA!AB237,2)</f>
        <v>130</v>
      </c>
      <c r="T269" s="1108">
        <f>ROUND(+NOMINA!AC237,2)</f>
        <v>25</v>
      </c>
      <c r="U269" s="1108">
        <f>ROUND(+NOMINA!AD237,2)</f>
        <v>76.11</v>
      </c>
      <c r="V269" s="1108">
        <f>ROUND(NOMINA!AQ237,2)</f>
        <v>0</v>
      </c>
      <c r="W269" s="1108">
        <f>+NOMINA!AS237</f>
        <v>0</v>
      </c>
      <c r="X269" s="1108">
        <f>+NOMINA!AT237</f>
        <v>25</v>
      </c>
      <c r="Y269" s="1108">
        <f>+NOMINA!AU237</f>
        <v>456.68</v>
      </c>
      <c r="Z269" s="1108">
        <f>+NOMINA!BX237</f>
        <v>856.28</v>
      </c>
      <c r="AA269" s="1108">
        <f>+NOMINA!BY237</f>
        <v>0</v>
      </c>
      <c r="AB269" s="1108">
        <f t="shared" si="17"/>
        <v>856.28</v>
      </c>
      <c r="AD269" s="625"/>
      <c r="AH269" s="1467" t="str">
        <f>NOMINA!P235</f>
        <v>01020747990000214375</v>
      </c>
    </row>
    <row r="270" spans="1:34" s="620" customFormat="1" ht="20.100000000000001" customHeight="1" thickBot="1" x14ac:dyDescent="0.25">
      <c r="A270" s="758" t="s">
        <v>2846</v>
      </c>
      <c r="B270" s="759">
        <f t="shared" si="18"/>
        <v>203</v>
      </c>
      <c r="C270" s="1102" t="e">
        <f>NOMINA!#REF!</f>
        <v>#REF!</v>
      </c>
      <c r="D270" s="1103" t="e">
        <f>NOMINA!#REF!</f>
        <v>#REF!</v>
      </c>
      <c r="E270" s="1468" t="s">
        <v>4622</v>
      </c>
      <c r="F270" s="1110">
        <v>32351</v>
      </c>
      <c r="G270" s="1468" t="s">
        <v>4620</v>
      </c>
      <c r="H270" s="1442" t="e">
        <f>NOMINA!#REF!</f>
        <v>#REF!</v>
      </c>
      <c r="I270" s="1105">
        <f>NOMINA!I238</f>
        <v>3</v>
      </c>
      <c r="J270" s="1106">
        <f>NOMINA!J238</f>
        <v>0</v>
      </c>
      <c r="K270" s="1105">
        <f t="shared" si="16"/>
        <v>3</v>
      </c>
      <c r="L270" s="1106" t="s">
        <v>4932</v>
      </c>
      <c r="M270" s="1106"/>
      <c r="N270" s="1443" t="e">
        <f>NOMINA!#REF!</f>
        <v>#REF!</v>
      </c>
      <c r="O270" s="1106">
        <v>1.02087691000006E+18</v>
      </c>
      <c r="P270" s="1107" t="e">
        <f>ROUND(+NOMINA!#REF!,2)</f>
        <v>#REF!</v>
      </c>
      <c r="Q270" s="1108">
        <v>0</v>
      </c>
      <c r="R270" s="1108" t="e">
        <f>ROUND(+NOMINA!#REF!,2)</f>
        <v>#REF!</v>
      </c>
      <c r="S270" s="1108" t="e">
        <f>ROUND(+NOMINA!#REF!,2)</f>
        <v>#REF!</v>
      </c>
      <c r="T270" s="1108" t="e">
        <f>ROUND(+NOMINA!#REF!,2)</f>
        <v>#REF!</v>
      </c>
      <c r="U270" s="1108" t="e">
        <f>ROUND(+NOMINA!#REF!,2)</f>
        <v>#REF!</v>
      </c>
      <c r="V270" s="1108" t="e">
        <f>ROUND(NOMINA!#REF!,2)</f>
        <v>#REF!</v>
      </c>
      <c r="W270" s="1108" t="e">
        <f>+NOMINA!#REF!</f>
        <v>#REF!</v>
      </c>
      <c r="X270" s="1108" t="e">
        <f>+NOMINA!#REF!</f>
        <v>#REF!</v>
      </c>
      <c r="Y270" s="1108" t="e">
        <f>+NOMINA!#REF!</f>
        <v>#REF!</v>
      </c>
      <c r="Z270" s="1108" t="e">
        <f>+NOMINA!#REF!</f>
        <v>#REF!</v>
      </c>
      <c r="AA270" s="1108" t="e">
        <f>+NOMINA!#REF!</f>
        <v>#REF!</v>
      </c>
      <c r="AB270" s="1108" t="e">
        <f t="shared" si="17"/>
        <v>#REF!</v>
      </c>
      <c r="AD270" s="625"/>
      <c r="AH270" s="1467" t="str">
        <f>NOMINA!P236</f>
        <v>01020373200000441766</v>
      </c>
    </row>
    <row r="271" spans="1:34" s="620" customFormat="1" ht="20.100000000000001" customHeight="1" thickBot="1" x14ac:dyDescent="0.25">
      <c r="A271" s="758" t="s">
        <v>2846</v>
      </c>
      <c r="B271" s="759">
        <f t="shared" si="18"/>
        <v>204</v>
      </c>
      <c r="C271" s="1102">
        <f>NOMINA!C238</f>
        <v>19610534</v>
      </c>
      <c r="D271" s="1103" t="str">
        <f>NOMINA!D238</f>
        <v>Santos Saavedra Greosmar Johan</v>
      </c>
      <c r="E271" s="1468" t="s">
        <v>4622</v>
      </c>
      <c r="F271" s="1110">
        <v>32351</v>
      </c>
      <c r="G271" s="1468" t="s">
        <v>4620</v>
      </c>
      <c r="H271" s="1442">
        <f>NOMINA!H238</f>
        <v>44713</v>
      </c>
      <c r="I271" s="1105">
        <f>NOMINA!I239</f>
        <v>3</v>
      </c>
      <c r="J271" s="1106">
        <f>NOMINA!J239</f>
        <v>0</v>
      </c>
      <c r="K271" s="1105">
        <f t="shared" si="16"/>
        <v>3</v>
      </c>
      <c r="L271" s="1106" t="s">
        <v>4932</v>
      </c>
      <c r="M271" s="1106"/>
      <c r="N271" s="1443" t="str">
        <f>NOMINA!O238</f>
        <v>Guia de Centro I</v>
      </c>
      <c r="O271" s="1106">
        <v>1.02087691000006E+18</v>
      </c>
      <c r="P271" s="1107">
        <f>ROUND(+NOMINA!T238,2)</f>
        <v>219</v>
      </c>
      <c r="Q271" s="1108">
        <v>0</v>
      </c>
      <c r="R271" s="1108">
        <f>ROUND(+NOMINA!AA238,2)</f>
        <v>6.57</v>
      </c>
      <c r="S271" s="1108">
        <f>ROUND(+NOMINA!AB238,2)</f>
        <v>130</v>
      </c>
      <c r="T271" s="1108">
        <f>ROUND(+NOMINA!AC238,2)</f>
        <v>12.5</v>
      </c>
      <c r="U271" s="1108">
        <f>ROUND(+NOMINA!AD238,2)</f>
        <v>73.61</v>
      </c>
      <c r="V271" s="1108">
        <f>ROUND(NOMINA!AQ238,2)</f>
        <v>0</v>
      </c>
      <c r="W271" s="1108">
        <f>+NOMINA!AS238</f>
        <v>0</v>
      </c>
      <c r="X271" s="1108">
        <f>+NOMINA!AT238</f>
        <v>0</v>
      </c>
      <c r="Y271" s="1108">
        <f>+NOMINA!AU238</f>
        <v>441.68</v>
      </c>
      <c r="Z271" s="1108">
        <f>+NOMINA!BX238</f>
        <v>828.15</v>
      </c>
      <c r="AA271" s="1108">
        <f>+NOMINA!BY238</f>
        <v>0</v>
      </c>
      <c r="AB271" s="1108">
        <f t="shared" si="17"/>
        <v>828.15</v>
      </c>
      <c r="AD271" s="625"/>
      <c r="AH271" s="1467" t="str">
        <f>NOMINA!P237</f>
        <v>01020494140000224190</v>
      </c>
    </row>
    <row r="272" spans="1:34" s="620" customFormat="1" ht="20.100000000000001" customHeight="1" thickBot="1" x14ac:dyDescent="0.25">
      <c r="A272" s="758" t="s">
        <v>2846</v>
      </c>
      <c r="B272" s="759">
        <f t="shared" si="18"/>
        <v>205</v>
      </c>
      <c r="C272" s="1102">
        <f>NOMINA!C239</f>
        <v>19610565</v>
      </c>
      <c r="D272" s="1103" t="str">
        <f>NOMINA!D239</f>
        <v>Uzcategui Uzcategui Saray Cristina</v>
      </c>
      <c r="E272" s="1468" t="s">
        <v>4622</v>
      </c>
      <c r="F272" s="1110">
        <v>32351</v>
      </c>
      <c r="G272" s="1468" t="s">
        <v>4620</v>
      </c>
      <c r="H272" s="1442">
        <f>NOMINA!H239</f>
        <v>44713</v>
      </c>
      <c r="I272" s="1105">
        <f>NOMINA!I240</f>
        <v>7</v>
      </c>
      <c r="J272" s="1106">
        <f>NOMINA!J240</f>
        <v>0</v>
      </c>
      <c r="K272" s="1105">
        <f t="shared" si="16"/>
        <v>7</v>
      </c>
      <c r="L272" s="1106" t="s">
        <v>4932</v>
      </c>
      <c r="M272" s="1106"/>
      <c r="N272" s="1443" t="str">
        <f>NOMINA!O239</f>
        <v>Guia de Centro I</v>
      </c>
      <c r="O272" s="1106">
        <v>1.02087691000006E+18</v>
      </c>
      <c r="P272" s="1107">
        <f>ROUND(+NOMINA!T239,2)</f>
        <v>219</v>
      </c>
      <c r="Q272" s="1108">
        <v>0</v>
      </c>
      <c r="R272" s="1108">
        <f>ROUND(+NOMINA!AA239,2)</f>
        <v>6.57</v>
      </c>
      <c r="S272" s="1108">
        <f>ROUND(+NOMINA!AB239,2)</f>
        <v>130</v>
      </c>
      <c r="T272" s="1108">
        <f>ROUND(+NOMINA!AC239,2)</f>
        <v>25</v>
      </c>
      <c r="U272" s="1108">
        <f>ROUND(+NOMINA!AD239,2)</f>
        <v>95.14</v>
      </c>
      <c r="V272" s="1108">
        <f>ROUND(NOMINA!AQ239,2)</f>
        <v>0</v>
      </c>
      <c r="W272" s="1108">
        <f>+NOMINA!AS239</f>
        <v>0</v>
      </c>
      <c r="X272" s="1108">
        <f>+NOMINA!AT239</f>
        <v>12.5</v>
      </c>
      <c r="Y272" s="1108">
        <f>+NOMINA!AU239</f>
        <v>475.71</v>
      </c>
      <c r="Z272" s="1108">
        <f>+NOMINA!BX239</f>
        <v>891.96</v>
      </c>
      <c r="AA272" s="1108">
        <f>+NOMINA!BY239</f>
        <v>0</v>
      </c>
      <c r="AB272" s="1108">
        <f t="shared" si="17"/>
        <v>891.96</v>
      </c>
      <c r="AD272" s="625"/>
      <c r="AH272" s="1467" t="str">
        <f>NOMINA!P238</f>
        <v>01020493360000196927</v>
      </c>
    </row>
    <row r="273" spans="1:34" s="620" customFormat="1" ht="20.100000000000001" customHeight="1" thickBot="1" x14ac:dyDescent="0.25">
      <c r="A273" s="758" t="s">
        <v>2846</v>
      </c>
      <c r="B273" s="759">
        <f t="shared" si="18"/>
        <v>206</v>
      </c>
      <c r="C273" s="1102">
        <f>NOMINA!C240</f>
        <v>19643405</v>
      </c>
      <c r="D273" s="1103" t="str">
        <f>NOMINA!D240</f>
        <v>Valero Mejia Aleidy Rosana</v>
      </c>
      <c r="E273" s="1468" t="s">
        <v>4622</v>
      </c>
      <c r="F273" s="1110">
        <v>32351</v>
      </c>
      <c r="G273" s="1468" t="s">
        <v>4620</v>
      </c>
      <c r="H273" s="1442">
        <f>NOMINA!H240</f>
        <v>43221</v>
      </c>
      <c r="I273" s="1105">
        <f>NOMINA!I241</f>
        <v>1</v>
      </c>
      <c r="J273" s="1106">
        <f>NOMINA!J241</f>
        <v>0</v>
      </c>
      <c r="K273" s="1105">
        <f t="shared" si="16"/>
        <v>1</v>
      </c>
      <c r="L273" s="1106" t="s">
        <v>4932</v>
      </c>
      <c r="M273" s="1106"/>
      <c r="N273" s="1443" t="str">
        <f>NOMINA!O240</f>
        <v>Guia de Centro II</v>
      </c>
      <c r="O273" s="1106">
        <v>1.02087691000006E+18</v>
      </c>
      <c r="P273" s="1107">
        <f>ROUND(+NOMINA!T240,2)</f>
        <v>221</v>
      </c>
      <c r="Q273" s="1108">
        <v>0</v>
      </c>
      <c r="R273" s="1108">
        <f>ROUND(+NOMINA!AA240,2)</f>
        <v>16.350000000000001</v>
      </c>
      <c r="S273" s="1108">
        <f>ROUND(+NOMINA!AB240,2)</f>
        <v>130</v>
      </c>
      <c r="T273" s="1108">
        <f>ROUND(+NOMINA!AC240,2)</f>
        <v>12.5</v>
      </c>
      <c r="U273" s="1108">
        <f>ROUND(+NOMINA!AD240,2)</f>
        <v>75.97</v>
      </c>
      <c r="V273" s="1108">
        <f>ROUND(NOMINA!AQ240,2)</f>
        <v>0</v>
      </c>
      <c r="W273" s="1108">
        <f>+NOMINA!AS240</f>
        <v>0</v>
      </c>
      <c r="X273" s="1108">
        <f>+NOMINA!AT240</f>
        <v>0</v>
      </c>
      <c r="Y273" s="1108">
        <f>+NOMINA!AU240</f>
        <v>592.56999999999994</v>
      </c>
      <c r="Z273" s="1108">
        <f>+NOMINA!BX240</f>
        <v>1111.07</v>
      </c>
      <c r="AA273" s="1108">
        <f>+NOMINA!BY240</f>
        <v>0</v>
      </c>
      <c r="AB273" s="1108">
        <f t="shared" si="17"/>
        <v>1111.07</v>
      </c>
      <c r="AD273" s="625"/>
      <c r="AH273" s="1467" t="str">
        <f>NOMINA!P239</f>
        <v>01020493390000326470</v>
      </c>
    </row>
    <row r="274" spans="1:34" s="620" customFormat="1" ht="20.100000000000001" customHeight="1" thickBot="1" x14ac:dyDescent="0.25">
      <c r="A274" s="758" t="s">
        <v>2846</v>
      </c>
      <c r="B274" s="759">
        <f t="shared" si="18"/>
        <v>207</v>
      </c>
      <c r="C274" s="1102">
        <f>NOMINA!C241</f>
        <v>19643806</v>
      </c>
      <c r="D274" s="1103" t="str">
        <f>NOMINA!D241</f>
        <v>Vazquez Hernandez Doris Mercedes</v>
      </c>
      <c r="E274" s="1468" t="s">
        <v>4622</v>
      </c>
      <c r="F274" s="1110">
        <v>32351</v>
      </c>
      <c r="G274" s="1468" t="s">
        <v>4620</v>
      </c>
      <c r="H274" s="1442">
        <f>NOMINA!H241</f>
        <v>45505</v>
      </c>
      <c r="I274" s="1105">
        <f>NOMINA!I242</f>
        <v>5</v>
      </c>
      <c r="J274" s="1106">
        <f>NOMINA!J242</f>
        <v>0</v>
      </c>
      <c r="K274" s="1105">
        <f t="shared" si="16"/>
        <v>5</v>
      </c>
      <c r="L274" s="1106" t="s">
        <v>4932</v>
      </c>
      <c r="M274" s="1106"/>
      <c r="N274" s="1443" t="str">
        <f>NOMINA!O241</f>
        <v>Asistente Administrativo III</v>
      </c>
      <c r="O274" s="1106">
        <v>1.02087691000006E+18</v>
      </c>
      <c r="P274" s="1107">
        <f>ROUND(+NOMINA!T241,2)</f>
        <v>192</v>
      </c>
      <c r="Q274" s="1108">
        <v>0</v>
      </c>
      <c r="R274" s="1108">
        <f>ROUND(+NOMINA!AA241,2)</f>
        <v>1.92</v>
      </c>
      <c r="S274" s="1108">
        <f>ROUND(+NOMINA!AB241,2)</f>
        <v>130</v>
      </c>
      <c r="T274" s="1108">
        <f>ROUND(+NOMINA!AC241,2)</f>
        <v>25</v>
      </c>
      <c r="U274" s="1108">
        <f>ROUND(+NOMINA!AD241,2)</f>
        <v>87.23</v>
      </c>
      <c r="V274" s="1108">
        <f>ROUND(NOMINA!AQ241,2)</f>
        <v>0</v>
      </c>
      <c r="W274" s="1108">
        <f>+NOMINA!AS241</f>
        <v>0</v>
      </c>
      <c r="X274" s="1108">
        <f>+NOMINA!AT241</f>
        <v>25</v>
      </c>
      <c r="Y274" s="1108">
        <f>+NOMINA!AU241</f>
        <v>436.15</v>
      </c>
      <c r="Z274" s="1108">
        <f>+NOMINA!BX241</f>
        <v>274.49</v>
      </c>
      <c r="AA274" s="1108">
        <f>+NOMINA!BY241</f>
        <v>0</v>
      </c>
      <c r="AB274" s="1108">
        <f t="shared" si="17"/>
        <v>274.49</v>
      </c>
      <c r="AD274" s="625"/>
      <c r="AH274" s="1467" t="str">
        <f>NOMINA!P240</f>
        <v>01020747910000270144</v>
      </c>
    </row>
    <row r="275" spans="1:34" s="620" customFormat="1" ht="20.100000000000001" customHeight="1" thickBot="1" x14ac:dyDescent="0.25">
      <c r="A275" s="758" t="s">
        <v>2846</v>
      </c>
      <c r="B275" s="759">
        <f t="shared" si="18"/>
        <v>208</v>
      </c>
      <c r="C275" s="1102">
        <f>NOMINA!C242</f>
        <v>19644743</v>
      </c>
      <c r="D275" s="1103" t="str">
        <f>NOMINA!D242</f>
        <v>Villa Daniela Carolina</v>
      </c>
      <c r="E275" s="1468" t="s">
        <v>4622</v>
      </c>
      <c r="F275" s="1110">
        <v>32351</v>
      </c>
      <c r="G275" s="1468" t="s">
        <v>4620</v>
      </c>
      <c r="H275" s="1442">
        <f>NOMINA!H242</f>
        <v>43967</v>
      </c>
      <c r="I275" s="1105">
        <f>NOMINA!I243</f>
        <v>3</v>
      </c>
      <c r="J275" s="1106">
        <f>NOMINA!J243</f>
        <v>0</v>
      </c>
      <c r="K275" s="1105">
        <f t="shared" si="16"/>
        <v>3</v>
      </c>
      <c r="L275" s="1106" t="s">
        <v>4932</v>
      </c>
      <c r="M275" s="1106"/>
      <c r="N275" s="1443" t="str">
        <f>NOMINA!O242</f>
        <v>Analista de Procesamiento de Datos II</v>
      </c>
      <c r="O275" s="1106">
        <v>1.02087691000006E+18</v>
      </c>
      <c r="P275" s="1107">
        <f>ROUND(+NOMINA!T242,2)</f>
        <v>277</v>
      </c>
      <c r="Q275" s="1108">
        <v>0</v>
      </c>
      <c r="R275" s="1108">
        <f>ROUND(+NOMINA!AA242,2)</f>
        <v>13.85</v>
      </c>
      <c r="S275" s="1108">
        <f>ROUND(+NOMINA!AB242,2)</f>
        <v>130</v>
      </c>
      <c r="T275" s="1108">
        <f>ROUND(+NOMINA!AC242,2)</f>
        <v>25</v>
      </c>
      <c r="U275" s="1108">
        <f>ROUND(+NOMINA!AD242,2)</f>
        <v>111.46</v>
      </c>
      <c r="V275" s="1108">
        <f>ROUND(NOMINA!AQ242,2)</f>
        <v>0</v>
      </c>
      <c r="W275" s="1108">
        <f>+NOMINA!AS242</f>
        <v>0</v>
      </c>
      <c r="X275" s="1108">
        <f>+NOMINA!AT242</f>
        <v>12.5</v>
      </c>
      <c r="Y275" s="1108">
        <f>+NOMINA!AU242</f>
        <v>557.30999999999995</v>
      </c>
      <c r="Z275" s="1108">
        <f>+NOMINA!BX242</f>
        <v>1044.96</v>
      </c>
      <c r="AA275" s="1108">
        <f>+NOMINA!BY242</f>
        <v>0</v>
      </c>
      <c r="AB275" s="1108">
        <f t="shared" si="17"/>
        <v>1044.96</v>
      </c>
      <c r="AD275" s="625"/>
      <c r="AH275" s="1467" t="str">
        <f>NOMINA!P241</f>
        <v>01020373230100096328</v>
      </c>
    </row>
    <row r="276" spans="1:34" s="620" customFormat="1" ht="20.100000000000001" customHeight="1" thickBot="1" x14ac:dyDescent="0.25">
      <c r="A276" s="758" t="s">
        <v>2846</v>
      </c>
      <c r="B276" s="759">
        <f t="shared" si="18"/>
        <v>209</v>
      </c>
      <c r="C276" s="1102">
        <f>NOMINA!C243</f>
        <v>19644756</v>
      </c>
      <c r="D276" s="1103" t="str">
        <f>NOMINA!D243</f>
        <v>Mejia Aldana Norbelys Carolina</v>
      </c>
      <c r="E276" s="1468" t="s">
        <v>4622</v>
      </c>
      <c r="F276" s="1110">
        <v>32351</v>
      </c>
      <c r="G276" s="1468" t="s">
        <v>4620</v>
      </c>
      <c r="H276" s="1442">
        <f>NOMINA!H243</f>
        <v>44470</v>
      </c>
      <c r="I276" s="1105">
        <f>NOMINA!I244</f>
        <v>3</v>
      </c>
      <c r="J276" s="1106">
        <f>NOMINA!J244</f>
        <v>0</v>
      </c>
      <c r="K276" s="1105">
        <f t="shared" si="16"/>
        <v>3</v>
      </c>
      <c r="L276" s="1106" t="s">
        <v>4932</v>
      </c>
      <c r="M276" s="1106"/>
      <c r="N276" s="1443" t="str">
        <f>NOMINA!O243</f>
        <v>Economa II</v>
      </c>
      <c r="O276" s="1106">
        <v>1.02087691000006E+18</v>
      </c>
      <c r="P276" s="1107">
        <f>ROUND(+NOMINA!T243,2)</f>
        <v>150</v>
      </c>
      <c r="Q276" s="1108">
        <v>0</v>
      </c>
      <c r="R276" s="1108">
        <f>ROUND(+NOMINA!AA243,2)</f>
        <v>4.5</v>
      </c>
      <c r="S276" s="1108">
        <f>ROUND(+NOMINA!AB243,2)</f>
        <v>130</v>
      </c>
      <c r="T276" s="1108">
        <f>ROUND(+NOMINA!AC243,2)</f>
        <v>12.5</v>
      </c>
      <c r="U276" s="1108">
        <f>ROUND(+NOMINA!AD243,2)</f>
        <v>0</v>
      </c>
      <c r="V276" s="1108">
        <f>ROUND(NOMINA!AQ243,2)</f>
        <v>0</v>
      </c>
      <c r="W276" s="1108">
        <f>+NOMINA!AS243</f>
        <v>0</v>
      </c>
      <c r="X276" s="1108">
        <f>+NOMINA!AT243</f>
        <v>25</v>
      </c>
      <c r="Y276" s="1108">
        <f>+NOMINA!AU243</f>
        <v>297</v>
      </c>
      <c r="Z276" s="1108">
        <f>+NOMINA!BX243</f>
        <v>556.88</v>
      </c>
      <c r="AA276" s="1108">
        <f>+NOMINA!BY243</f>
        <v>0</v>
      </c>
      <c r="AB276" s="1108">
        <f t="shared" si="17"/>
        <v>556.88</v>
      </c>
      <c r="AD276" s="625"/>
      <c r="AH276" s="1467" t="str">
        <f>NOMINA!P242</f>
        <v>01020373290000652636</v>
      </c>
    </row>
    <row r="277" spans="1:34" s="620" customFormat="1" ht="20.100000000000001" customHeight="1" thickBot="1" x14ac:dyDescent="0.25">
      <c r="A277" s="758" t="s">
        <v>2846</v>
      </c>
      <c r="B277" s="759">
        <f t="shared" si="18"/>
        <v>210</v>
      </c>
      <c r="C277" s="1102">
        <f>NOMINA!C244</f>
        <v>19794217</v>
      </c>
      <c r="D277" s="1103" t="str">
        <f>NOMINA!D244</f>
        <v>Suarez Leal Betzabeth Daimar</v>
      </c>
      <c r="E277" s="1468" t="s">
        <v>4622</v>
      </c>
      <c r="F277" s="1110">
        <v>32351</v>
      </c>
      <c r="G277" s="1468" t="s">
        <v>4620</v>
      </c>
      <c r="H277" s="1442">
        <f>NOMINA!H244</f>
        <v>44683</v>
      </c>
      <c r="I277" s="1105">
        <f>NOMINA!I245</f>
        <v>0</v>
      </c>
      <c r="J277" s="1106">
        <f>NOMINA!J245</f>
        <v>0</v>
      </c>
      <c r="K277" s="1105">
        <f t="shared" si="16"/>
        <v>0</v>
      </c>
      <c r="L277" s="1106" t="s">
        <v>4932</v>
      </c>
      <c r="M277" s="1106"/>
      <c r="N277" s="1443" t="str">
        <f>NOMINA!O244</f>
        <v>Guia de Centro I</v>
      </c>
      <c r="O277" s="1106">
        <v>1.02087691000006E+18</v>
      </c>
      <c r="P277" s="1107">
        <f>ROUND(+NOMINA!T244,2)</f>
        <v>219</v>
      </c>
      <c r="Q277" s="1108">
        <v>0</v>
      </c>
      <c r="R277" s="1108">
        <f>ROUND(+NOMINA!AA244,2)</f>
        <v>6.57</v>
      </c>
      <c r="S277" s="1108">
        <f>ROUND(+NOMINA!AB244,2)</f>
        <v>130</v>
      </c>
      <c r="T277" s="1108">
        <f>ROUND(+NOMINA!AC244,2)</f>
        <v>12.5</v>
      </c>
      <c r="U277" s="1108">
        <f>ROUND(+NOMINA!AD244,2)</f>
        <v>73.61</v>
      </c>
      <c r="V277" s="1108">
        <f>ROUND(NOMINA!AQ244,2)</f>
        <v>0</v>
      </c>
      <c r="W277" s="1108">
        <f>+NOMINA!AS244</f>
        <v>0</v>
      </c>
      <c r="X277" s="1108">
        <f>+NOMINA!AT244</f>
        <v>12.5</v>
      </c>
      <c r="Y277" s="1108">
        <f>+NOMINA!AU244</f>
        <v>574.18000000000006</v>
      </c>
      <c r="Z277" s="1108">
        <f>+NOMINA!BX244</f>
        <v>1076.5899999999999</v>
      </c>
      <c r="AA277" s="1108">
        <f>+NOMINA!BY244</f>
        <v>0</v>
      </c>
      <c r="AB277" s="1108">
        <f t="shared" si="17"/>
        <v>1076.5899999999999</v>
      </c>
      <c r="AD277" s="625"/>
      <c r="AH277" s="1467" t="str">
        <f>NOMINA!P243</f>
        <v>01020501860002859343</v>
      </c>
    </row>
    <row r="278" spans="1:34" s="620" customFormat="1" ht="20.100000000000001" customHeight="1" thickBot="1" x14ac:dyDescent="0.25">
      <c r="A278" s="758" t="s">
        <v>2846</v>
      </c>
      <c r="B278" s="759">
        <f t="shared" si="18"/>
        <v>211</v>
      </c>
      <c r="C278" s="1102">
        <f>NOMINA!C245</f>
        <v>20038162</v>
      </c>
      <c r="D278" s="1103" t="str">
        <f>NOMINA!D245</f>
        <v>Jerez Rangel Gleidy Andreina</v>
      </c>
      <c r="E278" s="1468" t="s">
        <v>4622</v>
      </c>
      <c r="F278" s="1110">
        <v>32351</v>
      </c>
      <c r="G278" s="1468" t="s">
        <v>4620</v>
      </c>
      <c r="H278" s="1442">
        <f>NOMINA!H245</f>
        <v>45597</v>
      </c>
      <c r="I278" s="1105">
        <f>NOMINA!I247</f>
        <v>1</v>
      </c>
      <c r="J278" s="1106">
        <f>NOMINA!J247</f>
        <v>0</v>
      </c>
      <c r="K278" s="1105">
        <f t="shared" si="16"/>
        <v>1</v>
      </c>
      <c r="L278" s="1106" t="s">
        <v>4932</v>
      </c>
      <c r="M278" s="1106"/>
      <c r="N278" s="1443" t="str">
        <f>NOMINA!O245</f>
        <v>Guia de Centro I</v>
      </c>
      <c r="O278" s="1106">
        <v>1.02087691000006E+18</v>
      </c>
      <c r="P278" s="1107">
        <f>ROUND(+NOMINA!T245,2)</f>
        <v>192</v>
      </c>
      <c r="Q278" s="1108">
        <v>0</v>
      </c>
      <c r="R278" s="1108">
        <f>ROUND(+NOMINA!AA245,2)</f>
        <v>0</v>
      </c>
      <c r="S278" s="1108">
        <f>ROUND(+NOMINA!AB245,2)</f>
        <v>130</v>
      </c>
      <c r="T278" s="1108">
        <f>ROUND(+NOMINA!AC245,2)</f>
        <v>25</v>
      </c>
      <c r="U278" s="1108">
        <f>ROUND(+NOMINA!AD245,2)</f>
        <v>86.75</v>
      </c>
      <c r="V278" s="1108">
        <f>ROUND(NOMINA!AQ245,2)</f>
        <v>0</v>
      </c>
      <c r="W278" s="1108">
        <f>+NOMINA!AS245</f>
        <v>0</v>
      </c>
      <c r="X278" s="1108">
        <f>+NOMINA!AT245</f>
        <v>12.5</v>
      </c>
      <c r="Y278" s="1108">
        <f>+NOMINA!AU245</f>
        <v>563.88</v>
      </c>
      <c r="Z278" s="1108">
        <f>+NOMINA!BX245</f>
        <v>254.53</v>
      </c>
      <c r="AA278" s="1108">
        <f>+NOMINA!BY245</f>
        <v>0</v>
      </c>
      <c r="AB278" s="1108">
        <f t="shared" si="17"/>
        <v>254.53</v>
      </c>
      <c r="AD278" s="625"/>
      <c r="AH278" s="1467" t="str">
        <f>NOMINA!P244</f>
        <v>01020747920000079413</v>
      </c>
    </row>
    <row r="279" spans="1:34" s="620" customFormat="1" ht="20.100000000000001" customHeight="1" thickBot="1" x14ac:dyDescent="0.25">
      <c r="A279" s="758" t="s">
        <v>2846</v>
      </c>
      <c r="B279" s="759">
        <f t="shared" si="18"/>
        <v>212</v>
      </c>
      <c r="C279" s="1102">
        <f>NOMINA!C247</f>
        <v>20655363</v>
      </c>
      <c r="D279" s="1103" t="str">
        <f>NOMINA!D247</f>
        <v>Sarache Ramirez Maryelis Stefani</v>
      </c>
      <c r="E279" s="1468" t="s">
        <v>4622</v>
      </c>
      <c r="F279" s="1110">
        <v>32351</v>
      </c>
      <c r="G279" s="1468" t="s">
        <v>4620</v>
      </c>
      <c r="H279" s="1442">
        <f>NOMINA!H247</f>
        <v>45323</v>
      </c>
      <c r="I279" s="1105">
        <f>NOMINA!I248</f>
        <v>4</v>
      </c>
      <c r="J279" s="1106">
        <f>NOMINA!J248</f>
        <v>2</v>
      </c>
      <c r="K279" s="1105">
        <f t="shared" si="16"/>
        <v>6</v>
      </c>
      <c r="L279" s="1106" t="s">
        <v>4932</v>
      </c>
      <c r="M279" s="1106"/>
      <c r="N279" s="1443" t="str">
        <f>NOMINA!O247</f>
        <v>Guia de Centro I</v>
      </c>
      <c r="O279" s="1106">
        <v>1.02087691000006E+18</v>
      </c>
      <c r="P279" s="1107">
        <f>ROUND(+NOMINA!T247,2)</f>
        <v>192</v>
      </c>
      <c r="Q279" s="1108">
        <v>0</v>
      </c>
      <c r="R279" s="1108">
        <f>ROUND(+NOMINA!AA247,2)</f>
        <v>1.92</v>
      </c>
      <c r="S279" s="1108">
        <f>ROUND(+NOMINA!AB247,2)</f>
        <v>130</v>
      </c>
      <c r="T279" s="1108">
        <f>ROUND(+NOMINA!AC247,2)</f>
        <v>25</v>
      </c>
      <c r="U279" s="1108">
        <f>ROUND(+NOMINA!AD247,2)</f>
        <v>87.23</v>
      </c>
      <c r="V279" s="1108">
        <f>ROUND(NOMINA!AQ247,2)</f>
        <v>0</v>
      </c>
      <c r="W279" s="1108">
        <f>+NOMINA!AS247</f>
        <v>0</v>
      </c>
      <c r="X279" s="1108">
        <f>+NOMINA!AT247</f>
        <v>25</v>
      </c>
      <c r="Y279" s="1108">
        <f>+NOMINA!AU247</f>
        <v>567</v>
      </c>
      <c r="Z279" s="1108">
        <f>+NOMINA!BX247</f>
        <v>947.46</v>
      </c>
      <c r="AA279" s="1108">
        <f>+NOMINA!BY247</f>
        <v>0</v>
      </c>
      <c r="AB279" s="1108">
        <f t="shared" si="17"/>
        <v>947.46</v>
      </c>
      <c r="AD279" s="625"/>
      <c r="AH279" s="1467" t="str">
        <f>NOMINA!P245</f>
        <v>01020373250000448390</v>
      </c>
    </row>
    <row r="280" spans="1:34" s="620" customFormat="1" ht="20.100000000000001" customHeight="1" thickBot="1" x14ac:dyDescent="0.25">
      <c r="A280" s="758" t="s">
        <v>2846</v>
      </c>
      <c r="B280" s="759">
        <f t="shared" si="18"/>
        <v>213</v>
      </c>
      <c r="C280" s="1102">
        <f>NOMINA!C248</f>
        <v>20401711</v>
      </c>
      <c r="D280" s="1103" t="str">
        <f>NOMINA!D248</f>
        <v>Mendez Giro Maryely Roxana</v>
      </c>
      <c r="E280" s="1468" t="s">
        <v>4622</v>
      </c>
      <c r="F280" s="1110">
        <v>32351</v>
      </c>
      <c r="G280" s="1468" t="s">
        <v>4620</v>
      </c>
      <c r="H280" s="1442">
        <f>NOMINA!H248</f>
        <v>44363</v>
      </c>
      <c r="I280" s="1105">
        <f>NOMINA!I249</f>
        <v>0</v>
      </c>
      <c r="J280" s="1106">
        <f>NOMINA!J249</f>
        <v>4</v>
      </c>
      <c r="K280" s="1105">
        <f t="shared" si="16"/>
        <v>4</v>
      </c>
      <c r="L280" s="1106" t="s">
        <v>4932</v>
      </c>
      <c r="M280" s="1106"/>
      <c r="N280" s="1443" t="str">
        <f>NOMINA!O248</f>
        <v>Guia de Centro II</v>
      </c>
      <c r="O280" s="1106">
        <v>1.02087691000006E+18</v>
      </c>
      <c r="P280" s="1107">
        <f>ROUND(+NOMINA!T248,2)</f>
        <v>221</v>
      </c>
      <c r="Q280" s="1108">
        <v>0</v>
      </c>
      <c r="R280" s="1108">
        <f>ROUND(+NOMINA!AA248,2)</f>
        <v>13.7</v>
      </c>
      <c r="S280" s="1108">
        <f>ROUND(+NOMINA!AB248,2)</f>
        <v>130</v>
      </c>
      <c r="T280" s="1108">
        <f>ROUND(+NOMINA!AC248,2)</f>
        <v>25</v>
      </c>
      <c r="U280" s="1108">
        <f>ROUND(+NOMINA!AD248,2)</f>
        <v>77.94</v>
      </c>
      <c r="V280" s="1108">
        <f>ROUND(NOMINA!AQ248,2)</f>
        <v>0</v>
      </c>
      <c r="W280" s="1108">
        <f>+NOMINA!AS248</f>
        <v>0</v>
      </c>
      <c r="X280" s="1108">
        <f>+NOMINA!AT248</f>
        <v>12.5</v>
      </c>
      <c r="Y280" s="1108">
        <f>+NOMINA!AU248</f>
        <v>607.92999999999995</v>
      </c>
      <c r="Z280" s="1108">
        <f>+NOMINA!BX248</f>
        <v>1139.8699999999999</v>
      </c>
      <c r="AA280" s="1108">
        <f>+NOMINA!BY248</f>
        <v>0</v>
      </c>
      <c r="AB280" s="1108">
        <f t="shared" si="17"/>
        <v>1139.8699999999999</v>
      </c>
      <c r="AD280" s="625"/>
      <c r="AH280" s="1467" t="str">
        <f>NOMINA!P247</f>
        <v>01020373280000417596</v>
      </c>
    </row>
    <row r="281" spans="1:34" s="620" customFormat="1" ht="20.100000000000001" customHeight="1" thickBot="1" x14ac:dyDescent="0.25">
      <c r="A281" s="758" t="s">
        <v>2846</v>
      </c>
      <c r="B281" s="759">
        <f t="shared" si="18"/>
        <v>214</v>
      </c>
      <c r="C281" s="1102">
        <f>NOMINA!C249</f>
        <v>20428039</v>
      </c>
      <c r="D281" s="1103" t="str">
        <f>NOMINA!D249</f>
        <v>Manzanilla Juan Roberto Antonio</v>
      </c>
      <c r="E281" s="1468" t="s">
        <v>4622</v>
      </c>
      <c r="F281" s="1110">
        <v>32351</v>
      </c>
      <c r="G281" s="1468" t="s">
        <v>4620</v>
      </c>
      <c r="H281" s="1442">
        <f>NOMINA!H249</f>
        <v>45566</v>
      </c>
      <c r="I281" s="1105" t="e">
        <f>NOMINA!#REF!</f>
        <v>#REF!</v>
      </c>
      <c r="J281" s="1106" t="e">
        <f>NOMINA!#REF!</f>
        <v>#REF!</v>
      </c>
      <c r="K281" s="1105" t="e">
        <f t="shared" si="16"/>
        <v>#REF!</v>
      </c>
      <c r="L281" s="1106" t="s">
        <v>4932</v>
      </c>
      <c r="M281" s="1106"/>
      <c r="N281" s="1443" t="str">
        <f>NOMINA!O249</f>
        <v>Guia de Centro I</v>
      </c>
      <c r="O281" s="1106">
        <v>1.02087691000006E+18</v>
      </c>
      <c r="P281" s="1107">
        <f>ROUND(+NOMINA!T249,2)</f>
        <v>130</v>
      </c>
      <c r="Q281" s="1108">
        <v>0</v>
      </c>
      <c r="R281" s="1108">
        <f>ROUND(+NOMINA!AA249,2)</f>
        <v>5.2</v>
      </c>
      <c r="S281" s="1108">
        <f>ROUND(+NOMINA!AB249,2)</f>
        <v>130</v>
      </c>
      <c r="T281" s="1108">
        <f>ROUND(+NOMINA!AC249,2)</f>
        <v>25</v>
      </c>
      <c r="U281" s="1108">
        <f>ROUND(+NOMINA!AD249,2)</f>
        <v>0</v>
      </c>
      <c r="V281" s="1108">
        <f>ROUND(NOMINA!AQ249,2)</f>
        <v>0</v>
      </c>
      <c r="W281" s="1108">
        <f>+NOMINA!AS249</f>
        <v>0</v>
      </c>
      <c r="X281" s="1108">
        <f>+NOMINA!AT249</f>
        <v>25</v>
      </c>
      <c r="Y281" s="1108">
        <f>+NOMINA!AU249</f>
        <v>377.26</v>
      </c>
      <c r="Z281" s="1108">
        <f>+NOMINA!BX249</f>
        <v>132.63</v>
      </c>
      <c r="AA281" s="1108">
        <f>+NOMINA!BY249</f>
        <v>0</v>
      </c>
      <c r="AB281" s="1108">
        <f t="shared" si="17"/>
        <v>132.63</v>
      </c>
      <c r="AC281" s="1452" t="s">
        <v>7224</v>
      </c>
      <c r="AD281" s="625"/>
      <c r="AH281" s="1467" t="str">
        <f>NOMINA!P248</f>
        <v>01020369410000487843</v>
      </c>
    </row>
    <row r="282" spans="1:34" s="620" customFormat="1" ht="20.100000000000001" customHeight="1" thickBot="1" x14ac:dyDescent="0.25">
      <c r="A282" s="758" t="s">
        <v>2846</v>
      </c>
      <c r="B282" s="759">
        <f t="shared" si="18"/>
        <v>215</v>
      </c>
      <c r="C282" s="1102" t="e">
        <f>NOMINA!#REF!</f>
        <v>#REF!</v>
      </c>
      <c r="D282" s="1103" t="e">
        <f>NOMINA!#REF!</f>
        <v>#REF!</v>
      </c>
      <c r="E282" s="1468" t="s">
        <v>4622</v>
      </c>
      <c r="F282" s="1110">
        <v>32351</v>
      </c>
      <c r="G282" s="1468" t="s">
        <v>4620</v>
      </c>
      <c r="H282" s="1442" t="e">
        <f>NOMINA!#REF!</f>
        <v>#REF!</v>
      </c>
      <c r="I282" s="1105">
        <f>NOMINA!I250</f>
        <v>3</v>
      </c>
      <c r="J282" s="1106">
        <f>NOMINA!J250</f>
        <v>0</v>
      </c>
      <c r="K282" s="1105">
        <f t="shared" si="16"/>
        <v>3</v>
      </c>
      <c r="L282" s="1106" t="s">
        <v>4932</v>
      </c>
      <c r="M282" s="1106"/>
      <c r="N282" s="1443" t="e">
        <f>NOMINA!#REF!</f>
        <v>#REF!</v>
      </c>
      <c r="O282" s="1106">
        <v>1.02087691000006E+18</v>
      </c>
      <c r="P282" s="1107" t="e">
        <f>ROUND(+NOMINA!#REF!,2)</f>
        <v>#REF!</v>
      </c>
      <c r="Q282" s="1108">
        <v>0</v>
      </c>
      <c r="R282" s="1108" t="e">
        <f>ROUND(+NOMINA!#REF!,2)</f>
        <v>#REF!</v>
      </c>
      <c r="S282" s="1108" t="e">
        <f>ROUND(+NOMINA!#REF!,2)</f>
        <v>#REF!</v>
      </c>
      <c r="T282" s="1108" t="e">
        <f>ROUND(+NOMINA!#REF!,2)</f>
        <v>#REF!</v>
      </c>
      <c r="U282" s="1108" t="e">
        <f>ROUND(+NOMINA!#REF!,2)</f>
        <v>#REF!</v>
      </c>
      <c r="V282" s="1108" t="e">
        <f>ROUND(NOMINA!#REF!,2)</f>
        <v>#REF!</v>
      </c>
      <c r="W282" s="1108" t="e">
        <f>+NOMINA!#REF!</f>
        <v>#REF!</v>
      </c>
      <c r="X282" s="1108" t="e">
        <f>+NOMINA!#REF!</f>
        <v>#REF!</v>
      </c>
      <c r="Y282" s="1108" t="e">
        <f>+NOMINA!#REF!</f>
        <v>#REF!</v>
      </c>
      <c r="Z282" s="1108" t="e">
        <f>+NOMINA!#REF!</f>
        <v>#REF!</v>
      </c>
      <c r="AA282" s="1108" t="e">
        <f>+NOMINA!#REF!</f>
        <v>#REF!</v>
      </c>
      <c r="AB282" s="1108" t="e">
        <f t="shared" si="17"/>
        <v>#REF!</v>
      </c>
      <c r="AD282" s="625"/>
      <c r="AH282" s="1467" t="str">
        <f>NOMINA!P249</f>
        <v>01020494150000229946</v>
      </c>
    </row>
    <row r="283" spans="1:34" s="620" customFormat="1" ht="20.100000000000001" customHeight="1" thickBot="1" x14ac:dyDescent="0.25">
      <c r="A283" s="758" t="s">
        <v>2846</v>
      </c>
      <c r="B283" s="759">
        <f t="shared" si="18"/>
        <v>216</v>
      </c>
      <c r="C283" s="1102">
        <f>NOMINA!C250</f>
        <v>20603227</v>
      </c>
      <c r="D283" s="1103" t="str">
        <f>NOMINA!D250</f>
        <v>Morillo Garces Yeniree Lourdes</v>
      </c>
      <c r="E283" s="1468" t="s">
        <v>4622</v>
      </c>
      <c r="F283" s="1110">
        <v>32351</v>
      </c>
      <c r="G283" s="1468" t="s">
        <v>4620</v>
      </c>
      <c r="H283" s="1442">
        <f>NOMINA!H250</f>
        <v>44470</v>
      </c>
      <c r="I283" s="1105">
        <f>NOMINA!I251</f>
        <v>8</v>
      </c>
      <c r="J283" s="1106">
        <f>NOMINA!J251</f>
        <v>0</v>
      </c>
      <c r="K283" s="1105">
        <f t="shared" si="16"/>
        <v>8</v>
      </c>
      <c r="L283" s="1106" t="s">
        <v>4932</v>
      </c>
      <c r="M283" s="1106"/>
      <c r="N283" s="1443" t="str">
        <f>NOMINA!O250</f>
        <v>Tecnico Superior en Trabajo Social II</v>
      </c>
      <c r="O283" s="1106">
        <v>1.02087691000006E+18</v>
      </c>
      <c r="P283" s="1107">
        <f>ROUND(+NOMINA!T250,2)</f>
        <v>219</v>
      </c>
      <c r="Q283" s="1108">
        <v>0</v>
      </c>
      <c r="R283" s="1108">
        <f>ROUND(+NOMINA!AA250,2)</f>
        <v>6.57</v>
      </c>
      <c r="S283" s="1108">
        <f>ROUND(+NOMINA!AB250,2)</f>
        <v>130</v>
      </c>
      <c r="T283" s="1108">
        <f>ROUND(+NOMINA!AC250,2)</f>
        <v>25</v>
      </c>
      <c r="U283" s="1108">
        <f>ROUND(+NOMINA!AD250,2)</f>
        <v>76.11</v>
      </c>
      <c r="V283" s="1108">
        <f>ROUND(NOMINA!AQ250,2)</f>
        <v>0</v>
      </c>
      <c r="W283" s="1108">
        <f>+NOMINA!AS250</f>
        <v>0</v>
      </c>
      <c r="X283" s="1108">
        <f>+NOMINA!AT250</f>
        <v>25</v>
      </c>
      <c r="Y283" s="1108">
        <f>+NOMINA!AU250</f>
        <v>456.68</v>
      </c>
      <c r="Z283" s="1108">
        <f>+NOMINA!BX250</f>
        <v>856.28</v>
      </c>
      <c r="AA283" s="1108">
        <f>+NOMINA!BY250</f>
        <v>0</v>
      </c>
      <c r="AB283" s="1108">
        <f t="shared" si="17"/>
        <v>856.28</v>
      </c>
      <c r="AD283" s="625"/>
      <c r="AH283" s="1467" t="e">
        <f>NOMINA!#REF!</f>
        <v>#REF!</v>
      </c>
    </row>
    <row r="284" spans="1:34" s="620" customFormat="1" ht="20.100000000000001" customHeight="1" thickBot="1" x14ac:dyDescent="0.25">
      <c r="A284" s="758" t="s">
        <v>2846</v>
      </c>
      <c r="B284" s="759">
        <f t="shared" si="18"/>
        <v>217</v>
      </c>
      <c r="C284" s="1102">
        <f>NOMINA!C251</f>
        <v>20707490</v>
      </c>
      <c r="D284" s="1103" t="str">
        <f>NOMINA!D251</f>
        <v>Saavedra Valera Keila Andreina</v>
      </c>
      <c r="E284" s="1468" t="s">
        <v>4622</v>
      </c>
      <c r="F284" s="1110">
        <v>32351</v>
      </c>
      <c r="G284" s="1468" t="s">
        <v>4620</v>
      </c>
      <c r="H284" s="1442">
        <f>NOMINA!H251</f>
        <v>42751</v>
      </c>
      <c r="I284" s="1105">
        <f>NOMINA!I252</f>
        <v>3</v>
      </c>
      <c r="J284" s="1106">
        <f>NOMINA!J252</f>
        <v>0</v>
      </c>
      <c r="K284" s="1105">
        <f t="shared" si="16"/>
        <v>3</v>
      </c>
      <c r="L284" s="1106" t="s">
        <v>4932</v>
      </c>
      <c r="M284" s="1106"/>
      <c r="N284" s="1443" t="str">
        <f>NOMINA!O251</f>
        <v>Tutor Facilitador III</v>
      </c>
      <c r="O284" s="1106">
        <v>1.02087691000006E+18</v>
      </c>
      <c r="P284" s="1107">
        <f>ROUND(+NOMINA!T251,2)</f>
        <v>279</v>
      </c>
      <c r="Q284" s="1108">
        <v>0</v>
      </c>
      <c r="R284" s="1108">
        <f>ROUND(+NOMINA!AA251,2)</f>
        <v>23.99</v>
      </c>
      <c r="S284" s="1108">
        <f>ROUND(+NOMINA!AB251,2)</f>
        <v>130</v>
      </c>
      <c r="T284" s="1108">
        <f>ROUND(+NOMINA!AC251,2)</f>
        <v>25</v>
      </c>
      <c r="U284" s="1108">
        <f>ROUND(+NOMINA!AD251,2)</f>
        <v>0</v>
      </c>
      <c r="V284" s="1108">
        <f>ROUND(NOMINA!AQ251,2)</f>
        <v>0</v>
      </c>
      <c r="W284" s="1108">
        <f>+NOMINA!AS251</f>
        <v>0</v>
      </c>
      <c r="X284" s="1108">
        <f>+NOMINA!AT251</f>
        <v>0</v>
      </c>
      <c r="Y284" s="1108">
        <f>+NOMINA!AU251</f>
        <v>457.99</v>
      </c>
      <c r="Z284" s="1108">
        <f>+NOMINA!BX251</f>
        <v>858.73</v>
      </c>
      <c r="AA284" s="1108">
        <f>+NOMINA!BY251</f>
        <v>0</v>
      </c>
      <c r="AB284" s="1108">
        <f t="shared" si="17"/>
        <v>858.73</v>
      </c>
      <c r="AD284" s="625"/>
      <c r="AH284" s="1467" t="str">
        <f>NOMINA!P250</f>
        <v>01020373210000102500</v>
      </c>
    </row>
    <row r="285" spans="1:34" s="620" customFormat="1" ht="20.100000000000001" customHeight="1" thickBot="1" x14ac:dyDescent="0.25">
      <c r="A285" s="758" t="s">
        <v>2846</v>
      </c>
      <c r="B285" s="759">
        <f t="shared" si="18"/>
        <v>218</v>
      </c>
      <c r="C285" s="1102">
        <f>NOMINA!C252</f>
        <v>20789286</v>
      </c>
      <c r="D285" s="1103" t="str">
        <f>NOMINA!D252</f>
        <v>Viloria Jessica del Carmen</v>
      </c>
      <c r="E285" s="1468" t="s">
        <v>4622</v>
      </c>
      <c r="F285" s="1110">
        <v>32351</v>
      </c>
      <c r="G285" s="1468" t="s">
        <v>4620</v>
      </c>
      <c r="H285" s="1442">
        <f>NOMINA!H252</f>
        <v>44713</v>
      </c>
      <c r="I285" s="1105">
        <f>NOMINA!I253</f>
        <v>5</v>
      </c>
      <c r="J285" s="1106">
        <f>NOMINA!J253</f>
        <v>0</v>
      </c>
      <c r="K285" s="1105">
        <f t="shared" si="16"/>
        <v>5</v>
      </c>
      <c r="L285" s="1106" t="s">
        <v>4932</v>
      </c>
      <c r="M285" s="1106"/>
      <c r="N285" s="1443" t="str">
        <f>NOMINA!O252</f>
        <v>Asistente Administrativo IV</v>
      </c>
      <c r="O285" s="1106">
        <v>1.02087691000006E+18</v>
      </c>
      <c r="P285" s="1107">
        <f>ROUND(+NOMINA!T252,2)</f>
        <v>277</v>
      </c>
      <c r="Q285" s="1108">
        <v>0</v>
      </c>
      <c r="R285" s="1108">
        <f>ROUND(+NOMINA!AA252,2)</f>
        <v>8.31</v>
      </c>
      <c r="S285" s="1108">
        <f>ROUND(+NOMINA!AB252,2)</f>
        <v>130</v>
      </c>
      <c r="T285" s="1108">
        <f>ROUND(+NOMINA!AC252,2)</f>
        <v>12.5</v>
      </c>
      <c r="U285" s="1108">
        <f>ROUND(+NOMINA!AD252,2)</f>
        <v>106.95</v>
      </c>
      <c r="V285" s="1108">
        <f>ROUND(NOMINA!AQ252,2)</f>
        <v>0</v>
      </c>
      <c r="W285" s="1108">
        <f>+NOMINA!AS252</f>
        <v>0</v>
      </c>
      <c r="X285" s="1108">
        <f>+NOMINA!AT252</f>
        <v>0</v>
      </c>
      <c r="Y285" s="1108">
        <f>+NOMINA!AU252</f>
        <v>534.76</v>
      </c>
      <c r="Z285" s="1108">
        <f>+NOMINA!BX252</f>
        <v>1002.68</v>
      </c>
      <c r="AA285" s="1108">
        <f>+NOMINA!BY252</f>
        <v>0</v>
      </c>
      <c r="AB285" s="1108">
        <f t="shared" si="17"/>
        <v>1002.68</v>
      </c>
      <c r="AD285" s="625"/>
      <c r="AH285" s="1467" t="str">
        <f>NOMINA!P251</f>
        <v>01020373250000441083</v>
      </c>
    </row>
    <row r="286" spans="1:34" s="620" customFormat="1" ht="20.100000000000001" customHeight="1" thickBot="1" x14ac:dyDescent="0.25">
      <c r="A286" s="758" t="s">
        <v>2846</v>
      </c>
      <c r="B286" s="759">
        <f t="shared" si="18"/>
        <v>219</v>
      </c>
      <c r="C286" s="1102">
        <f>NOMINA!C253</f>
        <v>20790947</v>
      </c>
      <c r="D286" s="1103" t="str">
        <f>NOMINA!D253</f>
        <v>Urbina Cuellar Tannessy Lenery</v>
      </c>
      <c r="E286" s="1468" t="s">
        <v>4622</v>
      </c>
      <c r="F286" s="1110">
        <v>32351</v>
      </c>
      <c r="G286" s="1468" t="s">
        <v>4620</v>
      </c>
      <c r="H286" s="1442">
        <f>NOMINA!H253</f>
        <v>43967</v>
      </c>
      <c r="I286" s="1105">
        <f>NOMINA!I254</f>
        <v>2</v>
      </c>
      <c r="J286" s="1106">
        <f>NOMINA!J254</f>
        <v>0</v>
      </c>
      <c r="K286" s="1105">
        <f t="shared" si="16"/>
        <v>2</v>
      </c>
      <c r="L286" s="1106" t="s">
        <v>4932</v>
      </c>
      <c r="M286" s="1106"/>
      <c r="N286" s="1443" t="str">
        <f>NOMINA!O253</f>
        <v>Asistente Administrativo IV</v>
      </c>
      <c r="O286" s="1106">
        <v>1.02087691000006E+18</v>
      </c>
      <c r="P286" s="1107">
        <f>ROUND(+NOMINA!T253,2)</f>
        <v>0</v>
      </c>
      <c r="Q286" s="1108">
        <v>0</v>
      </c>
      <c r="R286" s="1108">
        <f>ROUND(+NOMINA!AA253,2)</f>
        <v>0</v>
      </c>
      <c r="S286" s="1108">
        <f>ROUND(+NOMINA!AB253,2)</f>
        <v>0</v>
      </c>
      <c r="T286" s="1108">
        <f>ROUND(+NOMINA!AC253,2)</f>
        <v>0</v>
      </c>
      <c r="U286" s="1108">
        <f>ROUND(+NOMINA!AD253,2)</f>
        <v>0</v>
      </c>
      <c r="V286" s="1108">
        <f>ROUND(NOMINA!AQ253,2)</f>
        <v>0</v>
      </c>
      <c r="W286" s="1108">
        <f>+NOMINA!AS253</f>
        <v>0</v>
      </c>
      <c r="X286" s="1108">
        <f>+NOMINA!AT253</f>
        <v>0</v>
      </c>
      <c r="Y286" s="1108">
        <f>+NOMINA!AU253</f>
        <v>0</v>
      </c>
      <c r="Z286" s="1108">
        <f>+NOMINA!BX253</f>
        <v>0</v>
      </c>
      <c r="AA286" s="1108">
        <f>+NOMINA!BY253</f>
        <v>0</v>
      </c>
      <c r="AB286" s="1108">
        <f t="shared" si="17"/>
        <v>0</v>
      </c>
      <c r="AD286" s="625"/>
      <c r="AH286" s="1467" t="str">
        <f>NOMINA!P252</f>
        <v>01020373270000957409</v>
      </c>
    </row>
    <row r="287" spans="1:34" s="620" customFormat="1" ht="20.100000000000001" customHeight="1" thickBot="1" x14ac:dyDescent="0.25">
      <c r="A287" s="758" t="s">
        <v>2846</v>
      </c>
      <c r="B287" s="759">
        <f t="shared" si="18"/>
        <v>220</v>
      </c>
      <c r="C287" s="1102">
        <f>NOMINA!C254</f>
        <v>21061126</v>
      </c>
      <c r="D287" s="1103" t="str">
        <f>NOMINA!D254</f>
        <v>Olivar Nava Robinson de Jesus</v>
      </c>
      <c r="E287" s="1468" t="s">
        <v>4622</v>
      </c>
      <c r="F287" s="1110">
        <v>32351</v>
      </c>
      <c r="G287" s="1468" t="s">
        <v>4620</v>
      </c>
      <c r="H287" s="1442">
        <f>NOMINA!H254</f>
        <v>45047</v>
      </c>
      <c r="I287" s="1105">
        <f>NOMINA!I255</f>
        <v>3</v>
      </c>
      <c r="J287" s="1106">
        <f>NOMINA!J255</f>
        <v>0</v>
      </c>
      <c r="K287" s="1105">
        <f t="shared" si="16"/>
        <v>3</v>
      </c>
      <c r="L287" s="1106" t="s">
        <v>4932</v>
      </c>
      <c r="M287" s="1106"/>
      <c r="N287" s="1443" t="str">
        <f>NOMINA!O254</f>
        <v>Guia de Centro I</v>
      </c>
      <c r="O287" s="1106">
        <v>1.02087691000006E+18</v>
      </c>
      <c r="P287" s="1107">
        <f>ROUND(+NOMINA!T254,2)</f>
        <v>192</v>
      </c>
      <c r="Q287" s="1108">
        <v>0</v>
      </c>
      <c r="R287" s="1108">
        <f>ROUND(+NOMINA!AA254,2)</f>
        <v>3.84</v>
      </c>
      <c r="S287" s="1108">
        <f>ROUND(+NOMINA!AB254,2)</f>
        <v>130</v>
      </c>
      <c r="T287" s="1108">
        <f>ROUND(+NOMINA!AC254,2)</f>
        <v>0</v>
      </c>
      <c r="U287" s="1108">
        <f>ROUND(+NOMINA!AD254,2)</f>
        <v>81.459999999999994</v>
      </c>
      <c r="V287" s="1108">
        <f>ROUND(NOMINA!AQ254,2)</f>
        <v>0</v>
      </c>
      <c r="W287" s="1108">
        <f>+NOMINA!AS254</f>
        <v>0</v>
      </c>
      <c r="X287" s="1108">
        <f>+NOMINA!AT254</f>
        <v>0</v>
      </c>
      <c r="Y287" s="1108">
        <f>+NOMINA!AU254</f>
        <v>529.49</v>
      </c>
      <c r="Z287" s="1108">
        <f>+NOMINA!BX254</f>
        <v>992.8</v>
      </c>
      <c r="AA287" s="1108">
        <f>+NOMINA!BY254</f>
        <v>0</v>
      </c>
      <c r="AB287" s="1108">
        <f t="shared" si="17"/>
        <v>992.8</v>
      </c>
      <c r="AD287" s="625"/>
      <c r="AH287" s="1467" t="str">
        <f>NOMINA!P253</f>
        <v>01020373270000678283</v>
      </c>
    </row>
    <row r="288" spans="1:34" s="620" customFormat="1" ht="20.100000000000001" customHeight="1" thickBot="1" x14ac:dyDescent="0.25">
      <c r="A288" s="758" t="s">
        <v>2846</v>
      </c>
      <c r="B288" s="759">
        <f t="shared" si="18"/>
        <v>221</v>
      </c>
      <c r="C288" s="1102">
        <f>NOMINA!C255</f>
        <v>21061789</v>
      </c>
      <c r="D288" s="1103" t="str">
        <f>NOMINA!D255</f>
        <v>Suarez Briceño Daiver Jose</v>
      </c>
      <c r="E288" s="1468" t="s">
        <v>4622</v>
      </c>
      <c r="F288" s="1110">
        <v>32351</v>
      </c>
      <c r="G288" s="1468" t="s">
        <v>4620</v>
      </c>
      <c r="H288" s="1442">
        <f>NOMINA!H255</f>
        <v>44713</v>
      </c>
      <c r="I288" s="1105">
        <f>NOMINA!I256</f>
        <v>4</v>
      </c>
      <c r="J288" s="1106">
        <f>NOMINA!J256</f>
        <v>0</v>
      </c>
      <c r="K288" s="1105">
        <f t="shared" si="16"/>
        <v>4</v>
      </c>
      <c r="L288" s="1106" t="s">
        <v>4932</v>
      </c>
      <c r="M288" s="1106"/>
      <c r="N288" s="1443" t="str">
        <f>NOMINA!O255</f>
        <v>Abogado I</v>
      </c>
      <c r="O288" s="1106">
        <v>1.02087691000006E+18</v>
      </c>
      <c r="P288" s="1107">
        <f>ROUND(+NOMINA!T255,2)</f>
        <v>277</v>
      </c>
      <c r="Q288" s="1108">
        <v>0</v>
      </c>
      <c r="R288" s="1108">
        <f>ROUND(+NOMINA!AA255,2)</f>
        <v>8.31</v>
      </c>
      <c r="S288" s="1108">
        <f>ROUND(+NOMINA!AB255,2)</f>
        <v>130</v>
      </c>
      <c r="T288" s="1108">
        <f>ROUND(+NOMINA!AC255,2)</f>
        <v>0</v>
      </c>
      <c r="U288" s="1108">
        <f>ROUND(+NOMINA!AD255,2)</f>
        <v>103.83</v>
      </c>
      <c r="V288" s="1108">
        <f>ROUND(NOMINA!AQ255,2)</f>
        <v>0</v>
      </c>
      <c r="W288" s="1108">
        <f>+NOMINA!AS255</f>
        <v>0</v>
      </c>
      <c r="X288" s="1108">
        <f>+NOMINA!AT255</f>
        <v>0</v>
      </c>
      <c r="Y288" s="1108">
        <f>+NOMINA!AU255</f>
        <v>519.14</v>
      </c>
      <c r="Z288" s="1108">
        <f>+NOMINA!BX255</f>
        <v>973.39</v>
      </c>
      <c r="AA288" s="1108">
        <f>+NOMINA!BY255</f>
        <v>0</v>
      </c>
      <c r="AB288" s="1108">
        <f t="shared" si="17"/>
        <v>973.39</v>
      </c>
      <c r="AD288" s="625"/>
      <c r="AH288" s="1467" t="str">
        <f>NOMINA!P254</f>
        <v>01020279560000059585</v>
      </c>
    </row>
    <row r="289" spans="1:34" s="620" customFormat="1" ht="20.100000000000001" customHeight="1" thickBot="1" x14ac:dyDescent="0.25">
      <c r="A289" s="758" t="s">
        <v>2846</v>
      </c>
      <c r="B289" s="759">
        <f t="shared" si="18"/>
        <v>222</v>
      </c>
      <c r="C289" s="1102">
        <f>NOMINA!C256</f>
        <v>21365212</v>
      </c>
      <c r="D289" s="1103" t="str">
        <f>NOMINA!D256</f>
        <v>Manzanilla Gonzalez Landkler Josue</v>
      </c>
      <c r="E289" s="1468" t="s">
        <v>4622</v>
      </c>
      <c r="F289" s="1110">
        <v>32351</v>
      </c>
      <c r="G289" s="1468" t="s">
        <v>4620</v>
      </c>
      <c r="H289" s="1442">
        <f>NOMINA!H256</f>
        <v>44317</v>
      </c>
      <c r="I289" s="1105">
        <f>NOMINA!I257</f>
        <v>7</v>
      </c>
      <c r="J289" s="1106">
        <f>NOMINA!J257</f>
        <v>0</v>
      </c>
      <c r="K289" s="1105">
        <f t="shared" si="16"/>
        <v>7</v>
      </c>
      <c r="L289" s="1106" t="s">
        <v>4932</v>
      </c>
      <c r="M289" s="1106"/>
      <c r="N289" s="1443" t="str">
        <f>NOMINA!O256</f>
        <v>Asistente Administrativo II</v>
      </c>
      <c r="O289" s="1106">
        <v>1.02087691000006E+18</v>
      </c>
      <c r="P289" s="1107">
        <f>ROUND(+NOMINA!T256,2)</f>
        <v>150</v>
      </c>
      <c r="Q289" s="1108">
        <v>0</v>
      </c>
      <c r="R289" s="1108">
        <f>ROUND(+NOMINA!AA256,2)</f>
        <v>6</v>
      </c>
      <c r="S289" s="1108">
        <f>ROUND(+NOMINA!AB256,2)</f>
        <v>130</v>
      </c>
      <c r="T289" s="1108">
        <f>ROUND(+NOMINA!AC256,2)</f>
        <v>0</v>
      </c>
      <c r="U289" s="1108">
        <f>ROUND(+NOMINA!AD256,2)</f>
        <v>0</v>
      </c>
      <c r="V289" s="1108">
        <f>ROUND(NOMINA!AQ256,2)</f>
        <v>0</v>
      </c>
      <c r="W289" s="1108">
        <f>+NOMINA!AS256</f>
        <v>0</v>
      </c>
      <c r="X289" s="1108">
        <f>+NOMINA!AT256</f>
        <v>0</v>
      </c>
      <c r="Y289" s="1108">
        <f>+NOMINA!AU256</f>
        <v>286</v>
      </c>
      <c r="Z289" s="1108">
        <f>+NOMINA!BX256</f>
        <v>536.25</v>
      </c>
      <c r="AA289" s="1108">
        <f>+NOMINA!BY256</f>
        <v>0</v>
      </c>
      <c r="AB289" s="1108">
        <f t="shared" si="17"/>
        <v>536.25</v>
      </c>
      <c r="AD289" s="625"/>
      <c r="AH289" s="1467" t="str">
        <f>NOMINA!P255</f>
        <v>01020747940000520519</v>
      </c>
    </row>
    <row r="290" spans="1:34" s="620" customFormat="1" ht="20.100000000000001" customHeight="1" thickBot="1" x14ac:dyDescent="0.25">
      <c r="A290" s="758" t="s">
        <v>2846</v>
      </c>
      <c r="B290" s="759">
        <f t="shared" si="18"/>
        <v>223</v>
      </c>
      <c r="C290" s="1102">
        <f>NOMINA!C257</f>
        <v>21592108</v>
      </c>
      <c r="D290" s="1103" t="str">
        <f>NOMINA!D257</f>
        <v>Coy Andara Darlin Gabriela</v>
      </c>
      <c r="E290" s="1468" t="s">
        <v>4622</v>
      </c>
      <c r="F290" s="1110">
        <v>32351</v>
      </c>
      <c r="G290" s="1468" t="s">
        <v>4620</v>
      </c>
      <c r="H290" s="1442">
        <f>NOMINA!H257</f>
        <v>43024</v>
      </c>
      <c r="I290" s="1105">
        <f>NOMINA!I258</f>
        <v>4</v>
      </c>
      <c r="J290" s="1106">
        <f>NOMINA!J258</f>
        <v>0</v>
      </c>
      <c r="K290" s="1105">
        <f t="shared" si="16"/>
        <v>4</v>
      </c>
      <c r="L290" s="1106" t="s">
        <v>4932</v>
      </c>
      <c r="M290" s="1106"/>
      <c r="N290" s="1443" t="str">
        <f>NOMINA!O257</f>
        <v>PLANIFICADOR I</v>
      </c>
      <c r="O290" s="1106">
        <v>1.02087691000006E+18</v>
      </c>
      <c r="P290" s="1107">
        <f>ROUND(+NOMINA!T257,2)</f>
        <v>0</v>
      </c>
      <c r="Q290" s="1108">
        <v>0</v>
      </c>
      <c r="R290" s="1108">
        <f>ROUND(+NOMINA!AA257,2)</f>
        <v>0</v>
      </c>
      <c r="S290" s="1108">
        <f>ROUND(+NOMINA!AB257,2)</f>
        <v>0</v>
      </c>
      <c r="T290" s="1108">
        <f>ROUND(+NOMINA!AC257,2)</f>
        <v>0</v>
      </c>
      <c r="U290" s="1108">
        <f>ROUND(+NOMINA!AD257,2)</f>
        <v>0</v>
      </c>
      <c r="V290" s="1108">
        <f>ROUND(NOMINA!AQ257,2)</f>
        <v>0</v>
      </c>
      <c r="W290" s="1108">
        <f>+NOMINA!AS257</f>
        <v>0</v>
      </c>
      <c r="X290" s="1108">
        <f>+NOMINA!AT257</f>
        <v>0</v>
      </c>
      <c r="Y290" s="1108">
        <f>+NOMINA!AU257</f>
        <v>0</v>
      </c>
      <c r="Z290" s="1108">
        <f>+NOMINA!BX257</f>
        <v>0</v>
      </c>
      <c r="AA290" s="1108">
        <f>+NOMINA!BY257</f>
        <v>0</v>
      </c>
      <c r="AB290" s="1108">
        <f t="shared" si="17"/>
        <v>0</v>
      </c>
      <c r="AD290" s="625"/>
      <c r="AH290" s="1467" t="str">
        <f>NOMINA!P256</f>
        <v>01020373230000787491</v>
      </c>
    </row>
    <row r="291" spans="1:34" s="620" customFormat="1" ht="20.100000000000001" customHeight="1" thickBot="1" x14ac:dyDescent="0.25">
      <c r="A291" s="758" t="s">
        <v>2846</v>
      </c>
      <c r="B291" s="759">
        <f t="shared" si="18"/>
        <v>224</v>
      </c>
      <c r="C291" s="1102">
        <f>NOMINA!C258</f>
        <v>22622493</v>
      </c>
      <c r="D291" s="1103" t="str">
        <f>NOMINA!D258</f>
        <v>Barrios Olivar Geraldine Katiusca</v>
      </c>
      <c r="E291" s="1468" t="s">
        <v>4622</v>
      </c>
      <c r="F291" s="1110">
        <v>32351</v>
      </c>
      <c r="G291" s="1468" t="s">
        <v>4620</v>
      </c>
      <c r="H291" s="1442">
        <f>NOMINA!H258</f>
        <v>44363</v>
      </c>
      <c r="I291" s="1105">
        <f>NOMINA!I261</f>
        <v>18</v>
      </c>
      <c r="J291" s="1106">
        <f>NOMINA!J261</f>
        <v>0</v>
      </c>
      <c r="K291" s="1105">
        <f t="shared" si="16"/>
        <v>18</v>
      </c>
      <c r="L291" s="1106" t="s">
        <v>4932</v>
      </c>
      <c r="M291" s="1106"/>
      <c r="N291" s="1443" t="str">
        <f>NOMINA!O258</f>
        <v>Guia de Centro I</v>
      </c>
      <c r="O291" s="1106">
        <v>1.02087691000006E+18</v>
      </c>
      <c r="P291" s="1107">
        <f>ROUND(+NOMINA!T258,2)</f>
        <v>150</v>
      </c>
      <c r="Q291" s="1108">
        <v>0</v>
      </c>
      <c r="R291" s="1108">
        <f>ROUND(+NOMINA!AA258,2)</f>
        <v>6</v>
      </c>
      <c r="S291" s="1108">
        <f>ROUND(+NOMINA!AB258,2)</f>
        <v>130</v>
      </c>
      <c r="T291" s="1108">
        <f>ROUND(+NOMINA!AC258,2)</f>
        <v>25</v>
      </c>
      <c r="U291" s="1108">
        <f>ROUND(+NOMINA!AD258,2)</f>
        <v>0</v>
      </c>
      <c r="V291" s="1108">
        <f>ROUND(NOMINA!AQ258,2)</f>
        <v>0</v>
      </c>
      <c r="W291" s="1108">
        <f>+NOMINA!AS258</f>
        <v>0</v>
      </c>
      <c r="X291" s="1108">
        <f>+NOMINA!AT258</f>
        <v>25</v>
      </c>
      <c r="Y291" s="1108">
        <f>+NOMINA!AU258</f>
        <v>404.3</v>
      </c>
      <c r="Z291" s="1108">
        <f>+NOMINA!BX258</f>
        <v>758.06</v>
      </c>
      <c r="AA291" s="1108">
        <f>+NOMINA!BY258</f>
        <v>0</v>
      </c>
      <c r="AB291" s="1108">
        <f t="shared" si="17"/>
        <v>758.06</v>
      </c>
      <c r="AD291" s="625"/>
      <c r="AH291" s="1467" t="str">
        <f>NOMINA!P257</f>
        <v>01020373250000478991</v>
      </c>
    </row>
    <row r="292" spans="1:34" s="620" customFormat="1" ht="20.100000000000001" customHeight="1" thickBot="1" x14ac:dyDescent="0.25">
      <c r="A292" s="758" t="s">
        <v>2846</v>
      </c>
      <c r="B292" s="759">
        <f t="shared" si="18"/>
        <v>225</v>
      </c>
      <c r="C292" s="1102">
        <f>NOMINA!C261</f>
        <v>23782360</v>
      </c>
      <c r="D292" s="1103" t="str">
        <f>NOMINA!D261</f>
        <v>Rivera Sandoval Ilva Azucena</v>
      </c>
      <c r="E292" s="1468" t="s">
        <v>4622</v>
      </c>
      <c r="F292" s="1110">
        <v>32351</v>
      </c>
      <c r="G292" s="1468" t="s">
        <v>4620</v>
      </c>
      <c r="H292" s="1442">
        <f>NOMINA!H261</f>
        <v>39203</v>
      </c>
      <c r="I292" s="1105">
        <f>NOMINA!I262</f>
        <v>6</v>
      </c>
      <c r="J292" s="1106">
        <f>NOMINA!J262</f>
        <v>0</v>
      </c>
      <c r="K292" s="1105">
        <f t="shared" si="16"/>
        <v>6</v>
      </c>
      <c r="L292" s="1106" t="s">
        <v>4932</v>
      </c>
      <c r="M292" s="1106"/>
      <c r="N292" s="1443" t="str">
        <f>NOMINA!O261</f>
        <v>Administrador III</v>
      </c>
      <c r="O292" s="1106">
        <v>1.02087691000006E+18</v>
      </c>
      <c r="P292" s="1107">
        <f>ROUND(+NOMINA!T261,2)</f>
        <v>287</v>
      </c>
      <c r="Q292" s="1108">
        <v>0</v>
      </c>
      <c r="R292" s="1108">
        <f>ROUND(+NOMINA!AA261,2)</f>
        <v>65.44</v>
      </c>
      <c r="S292" s="1108">
        <f>ROUND(+NOMINA!AB261,2)</f>
        <v>130</v>
      </c>
      <c r="T292" s="1108">
        <f>ROUND(+NOMINA!AC261,2)</f>
        <v>0</v>
      </c>
      <c r="U292" s="1108">
        <f>ROUND(+NOMINA!AD261,2)</f>
        <v>120.61</v>
      </c>
      <c r="V292" s="1108">
        <f>ROUND(NOMINA!AQ261,2)</f>
        <v>0</v>
      </c>
      <c r="W292" s="1108">
        <f>+NOMINA!AS261</f>
        <v>0</v>
      </c>
      <c r="X292" s="1108">
        <f>+NOMINA!AT261</f>
        <v>0</v>
      </c>
      <c r="Y292" s="1108">
        <f>+NOMINA!AU261</f>
        <v>603.04999999999995</v>
      </c>
      <c r="Z292" s="1108">
        <f>+NOMINA!BX261</f>
        <v>1130.72</v>
      </c>
      <c r="AA292" s="1108">
        <f>+NOMINA!BY261</f>
        <v>0</v>
      </c>
      <c r="AB292" s="1108">
        <f t="shared" si="17"/>
        <v>1130.72</v>
      </c>
      <c r="AD292" s="625"/>
      <c r="AH292" s="1467" t="str">
        <f>NOMINA!P258</f>
        <v>01020373230000797096</v>
      </c>
    </row>
    <row r="293" spans="1:34" s="620" customFormat="1" ht="20.100000000000001" customHeight="1" thickBot="1" x14ac:dyDescent="0.25">
      <c r="A293" s="758" t="s">
        <v>2846</v>
      </c>
      <c r="B293" s="759">
        <f t="shared" si="18"/>
        <v>226</v>
      </c>
      <c r="C293" s="1102">
        <f>NOMINA!C262</f>
        <v>23960738</v>
      </c>
      <c r="D293" s="1103" t="str">
        <f>NOMINA!D262</f>
        <v>Molina Briceño Maria de los Angeles</v>
      </c>
      <c r="E293" s="1468" t="s">
        <v>4622</v>
      </c>
      <c r="F293" s="1110">
        <v>32351</v>
      </c>
      <c r="G293" s="1468" t="s">
        <v>4620</v>
      </c>
      <c r="H293" s="1442">
        <f>NOMINA!H262</f>
        <v>43497</v>
      </c>
      <c r="I293" s="1105">
        <f>NOMINA!I263</f>
        <v>5</v>
      </c>
      <c r="J293" s="1106">
        <f>NOMINA!J263</f>
        <v>0</v>
      </c>
      <c r="K293" s="1105">
        <f t="shared" si="16"/>
        <v>5</v>
      </c>
      <c r="L293" s="1106" t="s">
        <v>4932</v>
      </c>
      <c r="M293" s="1106"/>
      <c r="N293" s="1443" t="str">
        <f>NOMINA!O262</f>
        <v>Psicologo II</v>
      </c>
      <c r="O293" s="1106">
        <v>1.02087691000006E+18</v>
      </c>
      <c r="P293" s="1107">
        <f>ROUND(+NOMINA!T262,2)</f>
        <v>279</v>
      </c>
      <c r="Q293" s="1108">
        <v>0</v>
      </c>
      <c r="R293" s="1108">
        <f>ROUND(+NOMINA!AA262,2)</f>
        <v>17.3</v>
      </c>
      <c r="S293" s="1108">
        <f>ROUND(+NOMINA!AB262,2)</f>
        <v>130</v>
      </c>
      <c r="T293" s="1108">
        <f>ROUND(+NOMINA!AC262,2)</f>
        <v>0</v>
      </c>
      <c r="U293" s="1108">
        <f>ROUND(+NOMINA!AD262,2)</f>
        <v>106.58</v>
      </c>
      <c r="V293" s="1108">
        <f>ROUND(NOMINA!AQ262,2)</f>
        <v>0</v>
      </c>
      <c r="W293" s="1108">
        <f>+NOMINA!AS262</f>
        <v>0</v>
      </c>
      <c r="X293" s="1108">
        <f>+NOMINA!AT262</f>
        <v>0</v>
      </c>
      <c r="Y293" s="1108">
        <f>+NOMINA!AU262</f>
        <v>532.88</v>
      </c>
      <c r="Z293" s="1108">
        <f>+NOMINA!BX262</f>
        <v>999.15</v>
      </c>
      <c r="AA293" s="1108">
        <f>+NOMINA!BY262</f>
        <v>0</v>
      </c>
      <c r="AB293" s="1108">
        <f t="shared" si="17"/>
        <v>999.15</v>
      </c>
      <c r="AD293" s="625"/>
      <c r="AH293" s="1467" t="str">
        <f>NOMINA!P261</f>
        <v>01020373230000441960</v>
      </c>
    </row>
    <row r="294" spans="1:34" s="620" customFormat="1" ht="20.100000000000001" customHeight="1" thickBot="1" x14ac:dyDescent="0.25">
      <c r="A294" s="758" t="s">
        <v>2846</v>
      </c>
      <c r="B294" s="759">
        <f t="shared" si="18"/>
        <v>227</v>
      </c>
      <c r="C294" s="1102">
        <f>NOMINA!C263</f>
        <v>24135378</v>
      </c>
      <c r="D294" s="1103" t="str">
        <f>NOMINA!D263</f>
        <v>Rivas Hurtado Orleidys Betania</v>
      </c>
      <c r="E294" s="1468" t="s">
        <v>4622</v>
      </c>
      <c r="F294" s="1110">
        <v>32351</v>
      </c>
      <c r="G294" s="1468" t="s">
        <v>4620</v>
      </c>
      <c r="H294" s="1442">
        <f>NOMINA!H263</f>
        <v>43862</v>
      </c>
      <c r="I294" s="1105">
        <f>NOMINA!I264</f>
        <v>3</v>
      </c>
      <c r="J294" s="1106">
        <f>NOMINA!J264</f>
        <v>0</v>
      </c>
      <c r="K294" s="1105">
        <f t="shared" si="16"/>
        <v>3</v>
      </c>
      <c r="L294" s="1106" t="s">
        <v>4932</v>
      </c>
      <c r="M294" s="1106"/>
      <c r="N294" s="1443" t="str">
        <f>NOMINA!O263</f>
        <v>Asistente Administrativo IV</v>
      </c>
      <c r="O294" s="1106">
        <v>1.02087691000006E+18</v>
      </c>
      <c r="P294" s="1107">
        <f>ROUND(+NOMINA!T263,2)</f>
        <v>277</v>
      </c>
      <c r="Q294" s="1108">
        <v>0</v>
      </c>
      <c r="R294" s="1108">
        <f>ROUND(+NOMINA!AA263,2)</f>
        <v>13.85</v>
      </c>
      <c r="S294" s="1108">
        <f>ROUND(+NOMINA!AB263,2)</f>
        <v>130</v>
      </c>
      <c r="T294" s="1108">
        <f>ROUND(+NOMINA!AC263,2)</f>
        <v>25</v>
      </c>
      <c r="U294" s="1108">
        <f>ROUND(+NOMINA!AD263,2)</f>
        <v>111.46</v>
      </c>
      <c r="V294" s="1108">
        <f>ROUND(NOMINA!AQ263,2)</f>
        <v>0</v>
      </c>
      <c r="W294" s="1108">
        <f>+NOMINA!AS263</f>
        <v>0</v>
      </c>
      <c r="X294" s="1108">
        <f>+NOMINA!AT263</f>
        <v>12.5</v>
      </c>
      <c r="Y294" s="1108">
        <f>+NOMINA!AU263</f>
        <v>557.30999999999995</v>
      </c>
      <c r="Z294" s="1108">
        <f>+NOMINA!BX263</f>
        <v>1044.96</v>
      </c>
      <c r="AA294" s="1108">
        <f>+NOMINA!BY263</f>
        <v>0</v>
      </c>
      <c r="AB294" s="1108">
        <f t="shared" si="17"/>
        <v>1044.96</v>
      </c>
      <c r="AD294" s="625"/>
      <c r="AH294" s="1467" t="str">
        <f>NOMINA!P262</f>
        <v>01020373270000623364</v>
      </c>
    </row>
    <row r="295" spans="1:34" s="620" customFormat="1" ht="20.100000000000001" customHeight="1" thickBot="1" x14ac:dyDescent="0.25">
      <c r="A295" s="758" t="s">
        <v>2846</v>
      </c>
      <c r="B295" s="759">
        <f t="shared" si="18"/>
        <v>228</v>
      </c>
      <c r="C295" s="1102">
        <f>NOMINA!C264</f>
        <v>24136795</v>
      </c>
      <c r="D295" s="1103" t="str">
        <f>NOMINA!D264</f>
        <v>Viloria Maldonado Gerardo Jesus</v>
      </c>
      <c r="E295" s="1468" t="s">
        <v>4622</v>
      </c>
      <c r="F295" s="1110">
        <v>32351</v>
      </c>
      <c r="G295" s="1468" t="s">
        <v>4620</v>
      </c>
      <c r="H295" s="1442">
        <f>NOMINA!H264</f>
        <v>44600</v>
      </c>
      <c r="I295" s="1105" t="e">
        <f>NOMINA!#REF!</f>
        <v>#REF!</v>
      </c>
      <c r="J295" s="1106" t="e">
        <f>NOMINA!#REF!</f>
        <v>#REF!</v>
      </c>
      <c r="K295" s="1105" t="e">
        <f t="shared" si="16"/>
        <v>#REF!</v>
      </c>
      <c r="L295" s="1106" t="s">
        <v>4932</v>
      </c>
      <c r="M295" s="1106"/>
      <c r="N295" s="1443" t="str">
        <f>NOMINA!O264</f>
        <v>Entrenador Deportivo II</v>
      </c>
      <c r="O295" s="1106">
        <v>1.02087691000006E+18</v>
      </c>
      <c r="P295" s="1107">
        <f>ROUND(+NOMINA!T264,2)</f>
        <v>150</v>
      </c>
      <c r="Q295" s="1108">
        <v>0</v>
      </c>
      <c r="R295" s="1108">
        <f>ROUND(+NOMINA!AA264,2)</f>
        <v>4.5</v>
      </c>
      <c r="S295" s="1108">
        <f>ROUND(+NOMINA!AB264,2)</f>
        <v>130</v>
      </c>
      <c r="T295" s="1108">
        <f>ROUND(+NOMINA!AC264,2)</f>
        <v>25</v>
      </c>
      <c r="U295" s="1108">
        <f>ROUND(+NOMINA!AD264,2)</f>
        <v>0</v>
      </c>
      <c r="V295" s="1108">
        <f>ROUND(NOMINA!AQ264,2)</f>
        <v>0</v>
      </c>
      <c r="W295" s="1108">
        <f>+NOMINA!AS264</f>
        <v>0</v>
      </c>
      <c r="X295" s="1108">
        <f>+NOMINA!AT264</f>
        <v>12.5</v>
      </c>
      <c r="Y295" s="1108">
        <f>+NOMINA!AU264</f>
        <v>309.5</v>
      </c>
      <c r="Z295" s="1108">
        <f>+NOMINA!BX264</f>
        <v>580.30999999999995</v>
      </c>
      <c r="AA295" s="1108">
        <f>+NOMINA!BY264</f>
        <v>0</v>
      </c>
      <c r="AB295" s="1108">
        <f t="shared" si="17"/>
        <v>580.30999999999995</v>
      </c>
      <c r="AD295" s="625"/>
      <c r="AH295" s="1467" t="str">
        <f>NOMINA!P263</f>
        <v>01020373200100101062</v>
      </c>
    </row>
    <row r="296" spans="1:34" s="620" customFormat="1" ht="20.100000000000001" customHeight="1" thickBot="1" x14ac:dyDescent="0.25">
      <c r="A296" s="758" t="s">
        <v>2846</v>
      </c>
      <c r="B296" s="759">
        <f t="shared" si="18"/>
        <v>229</v>
      </c>
      <c r="C296" s="1102" t="e">
        <f>NOMINA!#REF!</f>
        <v>#REF!</v>
      </c>
      <c r="D296" s="1103" t="e">
        <f>NOMINA!#REF!</f>
        <v>#REF!</v>
      </c>
      <c r="E296" s="1468" t="s">
        <v>4622</v>
      </c>
      <c r="F296" s="1110">
        <v>32351</v>
      </c>
      <c r="G296" s="1468" t="s">
        <v>4620</v>
      </c>
      <c r="H296" s="1442" t="e">
        <f>NOMINA!#REF!</f>
        <v>#REF!</v>
      </c>
      <c r="I296" s="1105">
        <f>NOMINA!I265</f>
        <v>4</v>
      </c>
      <c r="J296" s="1106">
        <f>NOMINA!J265</f>
        <v>0</v>
      </c>
      <c r="K296" s="1105">
        <f t="shared" si="16"/>
        <v>4</v>
      </c>
      <c r="L296" s="1106" t="s">
        <v>4932</v>
      </c>
      <c r="M296" s="1106"/>
      <c r="N296" s="1443" t="e">
        <f>NOMINA!#REF!</f>
        <v>#REF!</v>
      </c>
      <c r="O296" s="1106">
        <v>1.02087691000006E+18</v>
      </c>
      <c r="P296" s="1107" t="e">
        <f>ROUND(+NOMINA!#REF!,2)</f>
        <v>#REF!</v>
      </c>
      <c r="Q296" s="1108">
        <v>0</v>
      </c>
      <c r="R296" s="1108" t="e">
        <f>ROUND(+NOMINA!#REF!,2)</f>
        <v>#REF!</v>
      </c>
      <c r="S296" s="1108" t="e">
        <f>ROUND(+NOMINA!#REF!,2)</f>
        <v>#REF!</v>
      </c>
      <c r="T296" s="1108" t="e">
        <f>ROUND(+NOMINA!#REF!,2)</f>
        <v>#REF!</v>
      </c>
      <c r="U296" s="1108" t="e">
        <f>ROUND(+NOMINA!#REF!,2)</f>
        <v>#REF!</v>
      </c>
      <c r="V296" s="1108" t="e">
        <f>ROUND(NOMINA!#REF!,2)</f>
        <v>#REF!</v>
      </c>
      <c r="W296" s="1108" t="e">
        <f>+NOMINA!#REF!</f>
        <v>#REF!</v>
      </c>
      <c r="X296" s="1108" t="e">
        <f>+NOMINA!#REF!</f>
        <v>#REF!</v>
      </c>
      <c r="Y296" s="1108" t="e">
        <f>+NOMINA!#REF!</f>
        <v>#REF!</v>
      </c>
      <c r="Z296" s="1108" t="e">
        <f>+NOMINA!#REF!</f>
        <v>#REF!</v>
      </c>
      <c r="AA296" s="1108" t="e">
        <f>+NOMINA!#REF!</f>
        <v>#REF!</v>
      </c>
      <c r="AB296" s="1108" t="e">
        <f t="shared" si="17"/>
        <v>#REF!</v>
      </c>
      <c r="AD296" s="625"/>
      <c r="AH296" s="1467" t="str">
        <f>NOMINA!P264</f>
        <v>01020747920000495848</v>
      </c>
    </row>
    <row r="297" spans="1:34" s="620" customFormat="1" ht="20.100000000000001" customHeight="1" thickBot="1" x14ac:dyDescent="0.25">
      <c r="A297" s="758" t="s">
        <v>2846</v>
      </c>
      <c r="B297" s="759">
        <f t="shared" si="18"/>
        <v>230</v>
      </c>
      <c r="C297" s="1102">
        <f>NOMINA!C265</f>
        <v>23254845</v>
      </c>
      <c r="D297" s="1103" t="str">
        <f>NOMINA!D265</f>
        <v>Castellanos Paredes Luis Gregorio</v>
      </c>
      <c r="E297" s="1468" t="s">
        <v>4622</v>
      </c>
      <c r="F297" s="1110">
        <v>32351</v>
      </c>
      <c r="G297" s="1468" t="s">
        <v>4620</v>
      </c>
      <c r="H297" s="1442">
        <f>NOMINA!H265</f>
        <v>44332</v>
      </c>
      <c r="I297" s="1105">
        <f>NOMINA!I266</f>
        <v>1</v>
      </c>
      <c r="J297" s="1106">
        <f>NOMINA!J266</f>
        <v>0</v>
      </c>
      <c r="K297" s="1105">
        <f t="shared" si="16"/>
        <v>1</v>
      </c>
      <c r="L297" s="1106" t="s">
        <v>4932</v>
      </c>
      <c r="M297" s="1106"/>
      <c r="N297" s="1443" t="str">
        <f>NOMINA!O265</f>
        <v>Entrenador Deportivo II</v>
      </c>
      <c r="O297" s="1106">
        <v>1.02087691000006E+18</v>
      </c>
      <c r="P297" s="1107">
        <f>ROUND(+NOMINA!T265,2)</f>
        <v>150</v>
      </c>
      <c r="Q297" s="1108">
        <v>0</v>
      </c>
      <c r="R297" s="1108">
        <f>ROUND(+NOMINA!AA265,2)</f>
        <v>6</v>
      </c>
      <c r="S297" s="1108">
        <f>ROUND(+NOMINA!AB265,2)</f>
        <v>130</v>
      </c>
      <c r="T297" s="1108">
        <f>ROUND(+NOMINA!AC265,2)</f>
        <v>0</v>
      </c>
      <c r="U297" s="1108">
        <f>ROUND(+NOMINA!AD265,2)</f>
        <v>0</v>
      </c>
      <c r="V297" s="1108">
        <f>ROUND(NOMINA!AQ265,2)</f>
        <v>0</v>
      </c>
      <c r="W297" s="1108">
        <f>+NOMINA!AS265</f>
        <v>0</v>
      </c>
      <c r="X297" s="1108">
        <f>+NOMINA!AT265</f>
        <v>0</v>
      </c>
      <c r="Y297" s="1108">
        <f>+NOMINA!AU265</f>
        <v>286</v>
      </c>
      <c r="Z297" s="1108">
        <f>+NOMINA!BX265</f>
        <v>536.25</v>
      </c>
      <c r="AA297" s="1108">
        <f>+NOMINA!BY265</f>
        <v>0</v>
      </c>
      <c r="AB297" s="1108">
        <f t="shared" si="17"/>
        <v>536.25</v>
      </c>
      <c r="AD297" s="625"/>
      <c r="AH297" s="1467" t="e">
        <f>NOMINA!#REF!</f>
        <v>#REF!</v>
      </c>
    </row>
    <row r="298" spans="1:34" s="620" customFormat="1" ht="20.100000000000001" customHeight="1" thickBot="1" x14ac:dyDescent="0.25">
      <c r="A298" s="758" t="s">
        <v>2846</v>
      </c>
      <c r="B298" s="759">
        <f t="shared" si="18"/>
        <v>231</v>
      </c>
      <c r="C298" s="1102">
        <f>NOMINA!C266</f>
        <v>23594366</v>
      </c>
      <c r="D298" s="1103" t="str">
        <f>NOMINA!D266</f>
        <v>Quintero Montilla Merly Paula</v>
      </c>
      <c r="E298" s="1468" t="s">
        <v>4622</v>
      </c>
      <c r="F298" s="1110">
        <v>32351</v>
      </c>
      <c r="G298" s="1468" t="s">
        <v>4620</v>
      </c>
      <c r="H298" s="1442">
        <f>NOMINA!H266</f>
        <v>45413</v>
      </c>
      <c r="I298" s="1105">
        <f>NOMINA!I267</f>
        <v>0</v>
      </c>
      <c r="J298" s="1106">
        <f>NOMINA!J267</f>
        <v>5</v>
      </c>
      <c r="K298" s="1105">
        <f t="shared" si="16"/>
        <v>5</v>
      </c>
      <c r="L298" s="1106" t="s">
        <v>4932</v>
      </c>
      <c r="M298" s="1106"/>
      <c r="N298" s="1443" t="str">
        <f>NOMINA!O266</f>
        <v>Tutor Facilitador I</v>
      </c>
      <c r="O298" s="1106">
        <v>1.02087691000006E+18</v>
      </c>
      <c r="P298" s="1107">
        <f>ROUND(+NOMINA!T266,2)</f>
        <v>246</v>
      </c>
      <c r="Q298" s="1108">
        <v>0</v>
      </c>
      <c r="R298" s="1108">
        <f>ROUND(+NOMINA!AA266,2)</f>
        <v>2.46</v>
      </c>
      <c r="S298" s="1108">
        <f>ROUND(+NOMINA!AB266,2)</f>
        <v>130</v>
      </c>
      <c r="T298" s="1108">
        <f>ROUND(+NOMINA!AC266,2)</f>
        <v>0</v>
      </c>
      <c r="U298" s="1108">
        <f>ROUND(+NOMINA!AD266,2)</f>
        <v>94.62</v>
      </c>
      <c r="V298" s="1108">
        <f>ROUND(NOMINA!AQ266,2)</f>
        <v>0</v>
      </c>
      <c r="W298" s="1108">
        <f>+NOMINA!AS266</f>
        <v>0</v>
      </c>
      <c r="X298" s="1108">
        <f>+NOMINA!AT266</f>
        <v>0</v>
      </c>
      <c r="Y298" s="1108">
        <f>+NOMINA!AU266</f>
        <v>473.08000000000004</v>
      </c>
      <c r="Z298" s="1108">
        <f>+NOMINA!BX266</f>
        <v>525.65</v>
      </c>
      <c r="AA298" s="1108">
        <f>+NOMINA!BY266</f>
        <v>0</v>
      </c>
      <c r="AB298" s="1108">
        <f t="shared" si="17"/>
        <v>525.65</v>
      </c>
      <c r="AD298" s="625"/>
      <c r="AH298" s="1467" t="str">
        <f>NOMINA!P265</f>
        <v>01020494170000348238</v>
      </c>
    </row>
    <row r="299" spans="1:34" s="620" customFormat="1" ht="20.100000000000001" customHeight="1" thickBot="1" x14ac:dyDescent="0.25">
      <c r="A299" s="758" t="s">
        <v>2846</v>
      </c>
      <c r="B299" s="759">
        <f t="shared" si="18"/>
        <v>232</v>
      </c>
      <c r="C299" s="1102">
        <f>NOMINA!C267</f>
        <v>23775734</v>
      </c>
      <c r="D299" s="1103" t="str">
        <f>NOMINA!D267</f>
        <v>Gonzalez Torres Klerwin Alfonso</v>
      </c>
      <c r="E299" s="1468" t="s">
        <v>4622</v>
      </c>
      <c r="F299" s="1110">
        <v>32351</v>
      </c>
      <c r="G299" s="1468" t="s">
        <v>4620</v>
      </c>
      <c r="H299" s="1442">
        <f>NOMINA!H267</f>
        <v>45627</v>
      </c>
      <c r="I299" s="1105">
        <f>NOMINA!I268</f>
        <v>15</v>
      </c>
      <c r="J299" s="1106">
        <f>NOMINA!J268</f>
        <v>0</v>
      </c>
      <c r="K299" s="1105">
        <f t="shared" si="16"/>
        <v>15</v>
      </c>
      <c r="L299" s="1106" t="s">
        <v>4932</v>
      </c>
      <c r="M299" s="1106"/>
      <c r="N299" s="1443" t="str">
        <f>NOMINA!O267</f>
        <v>Guia de Centro I</v>
      </c>
      <c r="O299" s="1106">
        <v>1.02087691000006E+18</v>
      </c>
      <c r="P299" s="1107">
        <f>ROUND(+NOMINA!T267,2)</f>
        <v>130</v>
      </c>
      <c r="Q299" s="1108">
        <v>0</v>
      </c>
      <c r="R299" s="1108">
        <f>ROUND(+NOMINA!AA267,2)</f>
        <v>6.5</v>
      </c>
      <c r="S299" s="1108">
        <f>ROUND(+NOMINA!AB267,2)</f>
        <v>130</v>
      </c>
      <c r="T299" s="1108">
        <f>ROUND(+NOMINA!AC267,2)</f>
        <v>12.5</v>
      </c>
      <c r="U299" s="1108">
        <f>ROUND(+NOMINA!AD267,2)</f>
        <v>0</v>
      </c>
      <c r="V299" s="1108">
        <f>ROUND(NOMINA!AQ267,2)</f>
        <v>0</v>
      </c>
      <c r="W299" s="1108">
        <f>+NOMINA!AS267</f>
        <v>0</v>
      </c>
      <c r="X299" s="1108">
        <f>+NOMINA!AT267</f>
        <v>0</v>
      </c>
      <c r="Y299" s="1108">
        <f>+NOMINA!AU267</f>
        <v>362.7</v>
      </c>
      <c r="Z299" s="1108">
        <f>+NOMINA!BX267</f>
        <v>157.41999999999999</v>
      </c>
      <c r="AA299" s="1108">
        <f>+NOMINA!BY267</f>
        <v>0</v>
      </c>
      <c r="AB299" s="1108">
        <f t="shared" si="17"/>
        <v>157.41999999999999</v>
      </c>
      <c r="AD299" s="625"/>
      <c r="AH299" s="1467" t="str">
        <f>NOMINA!P266</f>
        <v>01020747920000446570</v>
      </c>
    </row>
    <row r="300" spans="1:34" s="620" customFormat="1" ht="20.100000000000001" customHeight="1" thickBot="1" x14ac:dyDescent="0.25">
      <c r="A300" s="758" t="s">
        <v>2846</v>
      </c>
      <c r="B300" s="759">
        <f t="shared" si="18"/>
        <v>233</v>
      </c>
      <c r="C300" s="1102">
        <f>NOMINA!C268</f>
        <v>24565372</v>
      </c>
      <c r="D300" s="1103" t="str">
        <f>NOMINA!D268</f>
        <v>Moreno Silva Alfredy Jose</v>
      </c>
      <c r="E300" s="1468" t="s">
        <v>4622</v>
      </c>
      <c r="F300" s="1110">
        <v>32351</v>
      </c>
      <c r="G300" s="1468" t="s">
        <v>4620</v>
      </c>
      <c r="H300" s="1442">
        <f>NOMINA!H268</f>
        <v>40360</v>
      </c>
      <c r="I300" s="1105">
        <f>NOMINA!I269</f>
        <v>6</v>
      </c>
      <c r="J300" s="1106">
        <f>NOMINA!J269</f>
        <v>0</v>
      </c>
      <c r="K300" s="1105">
        <f t="shared" si="16"/>
        <v>6</v>
      </c>
      <c r="L300" s="1106" t="s">
        <v>4932</v>
      </c>
      <c r="M300" s="1106"/>
      <c r="N300" s="1443" t="str">
        <f>NOMINA!O268</f>
        <v>Asistente de Relaciones Publicas</v>
      </c>
      <c r="O300" s="1106">
        <v>1.02087691000006E+18</v>
      </c>
      <c r="P300" s="1107">
        <f>ROUND(+NOMINA!T268,2)</f>
        <v>0</v>
      </c>
      <c r="Q300" s="1108">
        <v>0</v>
      </c>
      <c r="R300" s="1108">
        <f>ROUND(+NOMINA!AA268,2)</f>
        <v>0</v>
      </c>
      <c r="S300" s="1108">
        <f>ROUND(+NOMINA!AB268,2)</f>
        <v>0</v>
      </c>
      <c r="T300" s="1108">
        <f>ROUND(+NOMINA!AC268,2)</f>
        <v>0</v>
      </c>
      <c r="U300" s="1108">
        <f>ROUND(+NOMINA!AD268,2)</f>
        <v>0</v>
      </c>
      <c r="V300" s="1108">
        <f>ROUND(NOMINA!AQ268,2)</f>
        <v>0</v>
      </c>
      <c r="W300" s="1108">
        <f>+NOMINA!AS268</f>
        <v>0</v>
      </c>
      <c r="X300" s="1108">
        <f>+NOMINA!AT268</f>
        <v>0</v>
      </c>
      <c r="Y300" s="1108">
        <f>+NOMINA!AU268</f>
        <v>0</v>
      </c>
      <c r="Z300" s="1108">
        <f>+NOMINA!BX268</f>
        <v>0</v>
      </c>
      <c r="AA300" s="1108">
        <f>+NOMINA!BY268</f>
        <v>0</v>
      </c>
      <c r="AB300" s="1108">
        <f t="shared" si="17"/>
        <v>0</v>
      </c>
      <c r="AD300" s="625"/>
      <c r="AH300" s="1467" t="str">
        <f>NOMINA!P267</f>
        <v>01020493350000176413</v>
      </c>
    </row>
    <row r="301" spans="1:34" s="620" customFormat="1" ht="20.100000000000001" customHeight="1" thickBot="1" x14ac:dyDescent="0.25">
      <c r="A301" s="758" t="s">
        <v>2846</v>
      </c>
      <c r="B301" s="759">
        <f t="shared" si="18"/>
        <v>234</v>
      </c>
      <c r="C301" s="1102">
        <f>NOMINA!C269</f>
        <v>25006139</v>
      </c>
      <c r="D301" s="1103" t="str">
        <f>NOMINA!D269</f>
        <v>Ramirez Palomares Carmen Beatriz</v>
      </c>
      <c r="E301" s="1468" t="s">
        <v>4622</v>
      </c>
      <c r="F301" s="1110">
        <v>32351</v>
      </c>
      <c r="G301" s="1468" t="s">
        <v>4620</v>
      </c>
      <c r="H301" s="1442">
        <f>NOMINA!H269</f>
        <v>43512</v>
      </c>
      <c r="I301" s="1105">
        <f>NOMINA!I270</f>
        <v>2</v>
      </c>
      <c r="J301" s="1106">
        <f>NOMINA!J270</f>
        <v>7</v>
      </c>
      <c r="K301" s="1105">
        <f t="shared" si="16"/>
        <v>9</v>
      </c>
      <c r="L301" s="1106" t="s">
        <v>4932</v>
      </c>
      <c r="M301" s="1106"/>
      <c r="N301" s="1443" t="str">
        <f>NOMINA!O269</f>
        <v>Guia de Centro I</v>
      </c>
      <c r="O301" s="1106">
        <v>1.02087691000006E+18</v>
      </c>
      <c r="P301" s="1107">
        <f>ROUND(+NOMINA!T269,2)</f>
        <v>170</v>
      </c>
      <c r="Q301" s="1108">
        <v>0</v>
      </c>
      <c r="R301" s="1108">
        <f>ROUND(+NOMINA!AA269,2)</f>
        <v>10.54</v>
      </c>
      <c r="S301" s="1108">
        <f>ROUND(+NOMINA!AB269,2)</f>
        <v>130</v>
      </c>
      <c r="T301" s="1108">
        <f>ROUND(+NOMINA!AC269,2)</f>
        <v>25</v>
      </c>
      <c r="U301" s="1108">
        <f>ROUND(+NOMINA!AD269,2)</f>
        <v>0</v>
      </c>
      <c r="V301" s="1108">
        <f>ROUND(NOMINA!AQ269,2)</f>
        <v>0</v>
      </c>
      <c r="W301" s="1108">
        <f>+NOMINA!AS269</f>
        <v>0</v>
      </c>
      <c r="X301" s="1108">
        <f>+NOMINA!AT269</f>
        <v>0</v>
      </c>
      <c r="Y301" s="1108">
        <f>+NOMINA!AU269</f>
        <v>436.19999999999993</v>
      </c>
      <c r="Z301" s="1108">
        <f>+NOMINA!BX269</f>
        <v>817.88</v>
      </c>
      <c r="AA301" s="1108">
        <f>+NOMINA!BY269</f>
        <v>0</v>
      </c>
      <c r="AB301" s="1108">
        <f t="shared" si="17"/>
        <v>817.88</v>
      </c>
      <c r="AD301" s="625"/>
      <c r="AH301" s="1467" t="str">
        <f>NOMINA!P268</f>
        <v>01020494180000240158</v>
      </c>
    </row>
    <row r="302" spans="1:34" s="620" customFormat="1" ht="20.100000000000001" customHeight="1" thickBot="1" x14ac:dyDescent="0.25">
      <c r="A302" s="758" t="s">
        <v>2846</v>
      </c>
      <c r="B302" s="759">
        <f t="shared" si="18"/>
        <v>235</v>
      </c>
      <c r="C302" s="1102">
        <f>NOMINA!C270</f>
        <v>25006878</v>
      </c>
      <c r="D302" s="1103" t="str">
        <f>NOMINA!D270</f>
        <v>Fernandez Garcia Rafael Ramon</v>
      </c>
      <c r="E302" s="1468" t="s">
        <v>4622</v>
      </c>
      <c r="F302" s="1110">
        <v>32351</v>
      </c>
      <c r="G302" s="1468" t="s">
        <v>4620</v>
      </c>
      <c r="H302" s="1442">
        <f>NOMINA!H270</f>
        <v>44986</v>
      </c>
      <c r="I302" s="1105">
        <f>NOMINA!I271</f>
        <v>3</v>
      </c>
      <c r="J302" s="1106">
        <f>NOMINA!J271</f>
        <v>0</v>
      </c>
      <c r="K302" s="1105">
        <f t="shared" si="16"/>
        <v>3</v>
      </c>
      <c r="L302" s="1106" t="s">
        <v>4932</v>
      </c>
      <c r="M302" s="1106"/>
      <c r="N302" s="1443" t="str">
        <f>NOMINA!O270</f>
        <v>Guia de Centro I</v>
      </c>
      <c r="O302" s="1106">
        <v>1.02087691000006E+18</v>
      </c>
      <c r="P302" s="1107">
        <f>ROUND(+NOMINA!T270,2)</f>
        <v>172</v>
      </c>
      <c r="Q302" s="1108">
        <v>0</v>
      </c>
      <c r="R302" s="1108">
        <f>ROUND(+NOMINA!AA270,2)</f>
        <v>16.86</v>
      </c>
      <c r="S302" s="1108">
        <f>ROUND(+NOMINA!AB270,2)</f>
        <v>130</v>
      </c>
      <c r="T302" s="1108">
        <f>ROUND(+NOMINA!AC270,2)</f>
        <v>12.5</v>
      </c>
      <c r="U302" s="1108">
        <f>ROUND(+NOMINA!AD270,2)</f>
        <v>0</v>
      </c>
      <c r="V302" s="1108">
        <f>ROUND(NOMINA!AQ270,2)</f>
        <v>0</v>
      </c>
      <c r="W302" s="1108">
        <f>+NOMINA!AS270</f>
        <v>0</v>
      </c>
      <c r="X302" s="1108">
        <f>+NOMINA!AT270</f>
        <v>0</v>
      </c>
      <c r="Y302" s="1108">
        <f>+NOMINA!AU270</f>
        <v>430.77</v>
      </c>
      <c r="Z302" s="1108">
        <f>+NOMINA!BX270</f>
        <v>807.7</v>
      </c>
      <c r="AA302" s="1108">
        <f>+NOMINA!BY270</f>
        <v>0</v>
      </c>
      <c r="AB302" s="1108">
        <f t="shared" si="17"/>
        <v>807.7</v>
      </c>
      <c r="AD302" s="625"/>
      <c r="AH302" s="1467" t="str">
        <f>NOMINA!P269</f>
        <v>01020373290000623377</v>
      </c>
    </row>
    <row r="303" spans="1:34" s="620" customFormat="1" ht="20.100000000000001" customHeight="1" thickBot="1" x14ac:dyDescent="0.25">
      <c r="A303" s="758" t="s">
        <v>2846</v>
      </c>
      <c r="B303" s="759">
        <f t="shared" si="18"/>
        <v>236</v>
      </c>
      <c r="C303" s="1102">
        <f>NOMINA!C271</f>
        <v>25096069</v>
      </c>
      <c r="D303" s="1103" t="str">
        <f>NOMINA!D271</f>
        <v>Coello Diaz Yormileidys del Carmen</v>
      </c>
      <c r="E303" s="1468" t="s">
        <v>4622</v>
      </c>
      <c r="F303" s="1110">
        <v>32351</v>
      </c>
      <c r="G303" s="1468" t="s">
        <v>4620</v>
      </c>
      <c r="H303" s="1442">
        <f>NOMINA!H271</f>
        <v>44599</v>
      </c>
      <c r="I303" s="1105" t="e">
        <f>NOMINA!#REF!</f>
        <v>#REF!</v>
      </c>
      <c r="J303" s="1106" t="e">
        <f>NOMINA!#REF!</f>
        <v>#REF!</v>
      </c>
      <c r="K303" s="1105" t="e">
        <f t="shared" si="16"/>
        <v>#REF!</v>
      </c>
      <c r="L303" s="1106" t="s">
        <v>4932</v>
      </c>
      <c r="M303" s="1106"/>
      <c r="N303" s="1443" t="str">
        <f>NOMINA!O271</f>
        <v>Guia de Centro I</v>
      </c>
      <c r="O303" s="1106">
        <v>1.02087691000006E+18</v>
      </c>
      <c r="P303" s="1107">
        <f>ROUND(+NOMINA!T271,2)</f>
        <v>219</v>
      </c>
      <c r="Q303" s="1108">
        <v>0</v>
      </c>
      <c r="R303" s="1108">
        <f>ROUND(+NOMINA!AA271,2)</f>
        <v>6.57</v>
      </c>
      <c r="S303" s="1108">
        <f>ROUND(+NOMINA!AB271,2)</f>
        <v>130</v>
      </c>
      <c r="T303" s="1108">
        <f>ROUND(+NOMINA!AC271,2)</f>
        <v>12.5</v>
      </c>
      <c r="U303" s="1108">
        <f>ROUND(+NOMINA!AD271,2)</f>
        <v>92.02</v>
      </c>
      <c r="V303" s="1108">
        <f>ROUND(NOMINA!AQ271,2)</f>
        <v>0</v>
      </c>
      <c r="W303" s="1108">
        <f>+NOMINA!AS271</f>
        <v>0</v>
      </c>
      <c r="X303" s="1108">
        <f>+NOMINA!AT271</f>
        <v>12.5</v>
      </c>
      <c r="Y303" s="1108">
        <f>+NOMINA!AU271</f>
        <v>598.12</v>
      </c>
      <c r="Z303" s="1108">
        <f>+NOMINA!BX271</f>
        <v>1121.48</v>
      </c>
      <c r="AA303" s="1108">
        <f>+NOMINA!BY271</f>
        <v>0</v>
      </c>
      <c r="AB303" s="1108">
        <f t="shared" si="17"/>
        <v>1121.48</v>
      </c>
      <c r="AD303" s="625"/>
      <c r="AH303" s="1467" t="str">
        <f>NOMINA!P270</f>
        <v>01020747940000526241</v>
      </c>
    </row>
    <row r="304" spans="1:34" s="620" customFormat="1" ht="20.100000000000001" customHeight="1" thickBot="1" x14ac:dyDescent="0.25">
      <c r="A304" s="758"/>
      <c r="B304" s="759">
        <f t="shared" si="18"/>
        <v>237</v>
      </c>
      <c r="C304" s="1102" t="e">
        <f>NOMINA!#REF!</f>
        <v>#REF!</v>
      </c>
      <c r="D304" s="1103" t="e">
        <f>NOMINA!#REF!</f>
        <v>#REF!</v>
      </c>
      <c r="E304" s="1468" t="s">
        <v>4622</v>
      </c>
      <c r="F304" s="1110">
        <v>32351</v>
      </c>
      <c r="G304" s="1468" t="s">
        <v>4620</v>
      </c>
      <c r="H304" s="1442" t="e">
        <f>NOMINA!#REF!</f>
        <v>#REF!</v>
      </c>
      <c r="I304" s="1105">
        <f>NOMINA!I272</f>
        <v>4</v>
      </c>
      <c r="J304" s="1106">
        <f>NOMINA!J272</f>
        <v>0</v>
      </c>
      <c r="K304" s="1105">
        <f t="shared" si="16"/>
        <v>4</v>
      </c>
      <c r="L304" s="1106" t="s">
        <v>4932</v>
      </c>
      <c r="M304" s="1106"/>
      <c r="N304" s="1443" t="e">
        <f>NOMINA!#REF!</f>
        <v>#REF!</v>
      </c>
      <c r="O304" s="1106">
        <v>1.02087691000006E+18</v>
      </c>
      <c r="P304" s="1107" t="e">
        <f>ROUND(+NOMINA!#REF!,2)</f>
        <v>#REF!</v>
      </c>
      <c r="Q304" s="1108">
        <v>0</v>
      </c>
      <c r="R304" s="1108" t="e">
        <f>ROUND(+NOMINA!#REF!,2)</f>
        <v>#REF!</v>
      </c>
      <c r="S304" s="1108" t="e">
        <f>ROUND(+NOMINA!#REF!,2)</f>
        <v>#REF!</v>
      </c>
      <c r="T304" s="1108" t="e">
        <f>ROUND(+NOMINA!#REF!,2)</f>
        <v>#REF!</v>
      </c>
      <c r="U304" s="1108" t="e">
        <f>ROUND(+NOMINA!#REF!,2)</f>
        <v>#REF!</v>
      </c>
      <c r="V304" s="1108" t="e">
        <f>ROUND(NOMINA!#REF!,2)</f>
        <v>#REF!</v>
      </c>
      <c r="W304" s="1108" t="e">
        <f>+NOMINA!#REF!</f>
        <v>#REF!</v>
      </c>
      <c r="X304" s="1108" t="e">
        <f>+NOMINA!#REF!</f>
        <v>#REF!</v>
      </c>
      <c r="Y304" s="1108" t="e">
        <f>+NOMINA!#REF!</f>
        <v>#REF!</v>
      </c>
      <c r="Z304" s="1108" t="e">
        <f>+NOMINA!#REF!</f>
        <v>#REF!</v>
      </c>
      <c r="AA304" s="1108" t="e">
        <f>+NOMINA!#REF!</f>
        <v>#REF!</v>
      </c>
      <c r="AB304" s="1108" t="e">
        <f t="shared" si="17"/>
        <v>#REF!</v>
      </c>
      <c r="AD304" s="625"/>
      <c r="AH304" s="1467" t="str">
        <f>NOMINA!P271</f>
        <v>01020678260100005277</v>
      </c>
    </row>
    <row r="305" spans="1:34" s="620" customFormat="1" ht="20.100000000000001" customHeight="1" thickBot="1" x14ac:dyDescent="0.25">
      <c r="A305" s="758"/>
      <c r="B305" s="759">
        <f t="shared" si="18"/>
        <v>238</v>
      </c>
      <c r="C305" s="1102">
        <f>NOMINA!C272</f>
        <v>25173983</v>
      </c>
      <c r="D305" s="1103" t="str">
        <f>NOMINA!D272</f>
        <v>Guanda Barazarte Roxely Andreina</v>
      </c>
      <c r="E305" s="1468" t="s">
        <v>4622</v>
      </c>
      <c r="F305" s="1110">
        <v>32351</v>
      </c>
      <c r="G305" s="1468" t="s">
        <v>4620</v>
      </c>
      <c r="H305" s="1442">
        <f>NOMINA!H272</f>
        <v>44363</v>
      </c>
      <c r="I305" s="1105">
        <f>NOMINA!I273</f>
        <v>5</v>
      </c>
      <c r="J305" s="1106">
        <f>NOMINA!J273</f>
        <v>0</v>
      </c>
      <c r="K305" s="1105">
        <f t="shared" si="16"/>
        <v>5</v>
      </c>
      <c r="L305" s="1106" t="s">
        <v>4932</v>
      </c>
      <c r="M305" s="1106"/>
      <c r="N305" s="1443" t="str">
        <f>NOMINA!O272</f>
        <v>Guia de Centro I</v>
      </c>
      <c r="O305" s="1106">
        <v>1.02087691000006E+18</v>
      </c>
      <c r="P305" s="1107">
        <f>ROUND(+NOMINA!T272,2)</f>
        <v>150</v>
      </c>
      <c r="Q305" s="1108">
        <v>0</v>
      </c>
      <c r="R305" s="1108">
        <f>ROUND(+NOMINA!AA272,2)</f>
        <v>6</v>
      </c>
      <c r="S305" s="1108">
        <f>ROUND(+NOMINA!AB272,2)</f>
        <v>130</v>
      </c>
      <c r="T305" s="1108">
        <f>ROUND(+NOMINA!AC272,2)</f>
        <v>12.5</v>
      </c>
      <c r="U305" s="1108">
        <f>ROUND(+NOMINA!AD272,2)</f>
        <v>0</v>
      </c>
      <c r="V305" s="1108">
        <f>ROUND(NOMINA!AQ272,2)</f>
        <v>0</v>
      </c>
      <c r="W305" s="1108">
        <f>+NOMINA!AS272</f>
        <v>0</v>
      </c>
      <c r="X305" s="1108">
        <f>+NOMINA!AT272</f>
        <v>12.5</v>
      </c>
      <c r="Y305" s="1108">
        <f>+NOMINA!AU272</f>
        <v>298.5</v>
      </c>
      <c r="Z305" s="1108">
        <f>+NOMINA!BX272</f>
        <v>559.69000000000005</v>
      </c>
      <c r="AA305" s="1108">
        <f>+NOMINA!BY272</f>
        <v>0</v>
      </c>
      <c r="AB305" s="1108">
        <f t="shared" si="17"/>
        <v>559.69000000000005</v>
      </c>
      <c r="AD305" s="625"/>
      <c r="AH305" s="1467" t="e">
        <f>NOMINA!#REF!</f>
        <v>#REF!</v>
      </c>
    </row>
    <row r="306" spans="1:34" s="620" customFormat="1" ht="20.100000000000001" customHeight="1" thickBot="1" x14ac:dyDescent="0.25">
      <c r="A306" s="758"/>
      <c r="B306" s="759">
        <f t="shared" si="18"/>
        <v>239</v>
      </c>
      <c r="C306" s="1102">
        <f>NOMINA!C273</f>
        <v>25303390</v>
      </c>
      <c r="D306" s="1103" t="str">
        <f>NOMINA!D273</f>
        <v>Graterol Castillo Yoselyn Zunedy</v>
      </c>
      <c r="E306" s="1468" t="s">
        <v>4622</v>
      </c>
      <c r="F306" s="1110">
        <v>32351</v>
      </c>
      <c r="G306" s="1468" t="s">
        <v>4620</v>
      </c>
      <c r="H306" s="1442">
        <f>NOMINA!H273</f>
        <v>43862</v>
      </c>
      <c r="I306" s="1105">
        <f>NOMINA!I274</f>
        <v>1</v>
      </c>
      <c r="J306" s="1106">
        <f>NOMINA!J274</f>
        <v>0</v>
      </c>
      <c r="K306" s="1105">
        <f t="shared" si="16"/>
        <v>1</v>
      </c>
      <c r="L306" s="1106" t="s">
        <v>4932</v>
      </c>
      <c r="M306" s="1106"/>
      <c r="N306" s="1443" t="str">
        <f>NOMINA!O273</f>
        <v>Guia de Centro I</v>
      </c>
      <c r="O306" s="1106">
        <v>1.02087691000006E+18</v>
      </c>
      <c r="P306" s="1107">
        <f>ROUND(+NOMINA!T273,2)</f>
        <v>150</v>
      </c>
      <c r="Q306" s="1108">
        <v>0</v>
      </c>
      <c r="R306" s="1108">
        <f>ROUND(+NOMINA!AA273,2)</f>
        <v>7.5</v>
      </c>
      <c r="S306" s="1108">
        <f>ROUND(+NOMINA!AB273,2)</f>
        <v>130</v>
      </c>
      <c r="T306" s="1108">
        <f>ROUND(+NOMINA!AC273,2)</f>
        <v>25</v>
      </c>
      <c r="U306" s="1108">
        <f>ROUND(+NOMINA!AD273,2)</f>
        <v>0</v>
      </c>
      <c r="V306" s="1108">
        <f>ROUND(NOMINA!AQ273,2)</f>
        <v>0</v>
      </c>
      <c r="W306" s="1108">
        <f>+NOMINA!AS273</f>
        <v>0</v>
      </c>
      <c r="X306" s="1108">
        <f>+NOMINA!AT273</f>
        <v>25</v>
      </c>
      <c r="Y306" s="1108">
        <f>+NOMINA!AU273</f>
        <v>406.25</v>
      </c>
      <c r="Z306" s="1108">
        <f>+NOMINA!BX273</f>
        <v>761.72</v>
      </c>
      <c r="AA306" s="1108">
        <f>+NOMINA!BY273</f>
        <v>0</v>
      </c>
      <c r="AB306" s="1108">
        <f t="shared" si="17"/>
        <v>761.72</v>
      </c>
      <c r="AD306" s="625"/>
      <c r="AH306" s="1467" t="str">
        <f>NOMINA!P272</f>
        <v>01020369490000687261</v>
      </c>
    </row>
    <row r="307" spans="1:34" s="620" customFormat="1" ht="20.100000000000001" customHeight="1" thickBot="1" x14ac:dyDescent="0.25">
      <c r="A307" s="758"/>
      <c r="B307" s="759">
        <f t="shared" si="18"/>
        <v>240</v>
      </c>
      <c r="C307" s="1102">
        <f>NOMINA!C274</f>
        <v>25454143</v>
      </c>
      <c r="D307" s="1103" t="str">
        <f>NOMINA!D274</f>
        <v>Briceño Ana Beatriz</v>
      </c>
      <c r="E307" s="1468" t="s">
        <v>4622</v>
      </c>
      <c r="F307" s="1110">
        <v>32351</v>
      </c>
      <c r="G307" s="1468" t="s">
        <v>4620</v>
      </c>
      <c r="H307" s="1442">
        <f>NOMINA!H274</f>
        <v>45536</v>
      </c>
      <c r="I307" s="1105">
        <f>NOMINA!I275</f>
        <v>5</v>
      </c>
      <c r="J307" s="1106">
        <f>NOMINA!J275</f>
        <v>0</v>
      </c>
      <c r="K307" s="1105">
        <f t="shared" si="16"/>
        <v>5</v>
      </c>
      <c r="L307" s="1106" t="s">
        <v>4932</v>
      </c>
      <c r="M307" s="1106"/>
      <c r="N307" s="1443" t="str">
        <f>NOMINA!O274</f>
        <v>Guia de Centro I</v>
      </c>
      <c r="O307" s="1106">
        <v>1.02087691000006E+18</v>
      </c>
      <c r="P307" s="1107">
        <f>ROUND(+NOMINA!T274,2)</f>
        <v>130</v>
      </c>
      <c r="Q307" s="1108">
        <v>0</v>
      </c>
      <c r="R307" s="1108">
        <f>ROUND(+NOMINA!AA274,2)</f>
        <v>1.3</v>
      </c>
      <c r="S307" s="1108">
        <f>ROUND(+NOMINA!AB274,2)</f>
        <v>130</v>
      </c>
      <c r="T307" s="1108">
        <f>ROUND(+NOMINA!AC274,2)</f>
        <v>12.5</v>
      </c>
      <c r="U307" s="1108">
        <f>ROUND(+NOMINA!AD274,2)</f>
        <v>0</v>
      </c>
      <c r="V307" s="1108">
        <f>ROUND(NOMINA!AQ274,2)</f>
        <v>0</v>
      </c>
      <c r="W307" s="1108">
        <f>+NOMINA!AS274</f>
        <v>0</v>
      </c>
      <c r="X307" s="1108">
        <f>+NOMINA!AT274</f>
        <v>0</v>
      </c>
      <c r="Y307" s="1108">
        <f>+NOMINA!AU274</f>
        <v>355.94</v>
      </c>
      <c r="Z307" s="1108">
        <f>+NOMINA!BX274</f>
        <v>173.03</v>
      </c>
      <c r="AA307" s="1108">
        <f>+NOMINA!BY274</f>
        <v>0</v>
      </c>
      <c r="AB307" s="1108">
        <f t="shared" si="17"/>
        <v>173.03</v>
      </c>
      <c r="AD307" s="625"/>
      <c r="AH307" s="1467" t="str">
        <f>NOMINA!P273</f>
        <v>01020373290000674300</v>
      </c>
    </row>
    <row r="308" spans="1:34" s="620" customFormat="1" ht="20.100000000000001" customHeight="1" thickBot="1" x14ac:dyDescent="0.25">
      <c r="A308" s="758"/>
      <c r="B308" s="759">
        <f t="shared" si="18"/>
        <v>241</v>
      </c>
      <c r="C308" s="1102">
        <f>NOMINA!C275</f>
        <v>25604733</v>
      </c>
      <c r="D308" s="1103" t="str">
        <f>NOMINA!D275</f>
        <v>Nava Carrillo Oriana Daniela</v>
      </c>
      <c r="E308" s="1468" t="s">
        <v>4622</v>
      </c>
      <c r="F308" s="1110">
        <v>32351</v>
      </c>
      <c r="G308" s="1468" t="s">
        <v>4620</v>
      </c>
      <c r="H308" s="1442">
        <f>NOMINA!H275</f>
        <v>43754</v>
      </c>
      <c r="I308" s="1105">
        <f>NOMINA!I276</f>
        <v>3</v>
      </c>
      <c r="J308" s="1106">
        <f>NOMINA!J276</f>
        <v>0</v>
      </c>
      <c r="K308" s="1105">
        <f t="shared" si="16"/>
        <v>3</v>
      </c>
      <c r="L308" s="1106" t="s">
        <v>4932</v>
      </c>
      <c r="M308" s="1106"/>
      <c r="N308" s="1443" t="str">
        <f>NOMINA!O275</f>
        <v>Entrenador Deportivo II</v>
      </c>
      <c r="O308" s="1106">
        <v>1.02087691000006E+18</v>
      </c>
      <c r="P308" s="1107">
        <f>ROUND(+NOMINA!T275,2)</f>
        <v>150</v>
      </c>
      <c r="Q308" s="1108">
        <v>0</v>
      </c>
      <c r="R308" s="1108">
        <f>ROUND(+NOMINA!AA275,2)</f>
        <v>7.5</v>
      </c>
      <c r="S308" s="1108">
        <f>ROUND(+NOMINA!AB275,2)</f>
        <v>130</v>
      </c>
      <c r="T308" s="1108">
        <f>ROUND(+NOMINA!AC275,2)</f>
        <v>0</v>
      </c>
      <c r="U308" s="1108">
        <f>ROUND(+NOMINA!AD275,2)</f>
        <v>0</v>
      </c>
      <c r="V308" s="1108">
        <f>ROUND(NOMINA!AQ275,2)</f>
        <v>0</v>
      </c>
      <c r="W308" s="1108">
        <f>+NOMINA!AS275</f>
        <v>0</v>
      </c>
      <c r="X308" s="1108">
        <f>+NOMINA!AT275</f>
        <v>0</v>
      </c>
      <c r="Y308" s="1108">
        <f>+NOMINA!AU275</f>
        <v>287.5</v>
      </c>
      <c r="Z308" s="1108">
        <f>+NOMINA!BX275</f>
        <v>539.05999999999995</v>
      </c>
      <c r="AA308" s="1108">
        <f>+NOMINA!BY275</f>
        <v>0</v>
      </c>
      <c r="AB308" s="1108">
        <f t="shared" si="17"/>
        <v>539.05999999999995</v>
      </c>
      <c r="AD308" s="625"/>
      <c r="AH308" s="1467" t="str">
        <f>NOMINA!P274</f>
        <v>01020373250001425383</v>
      </c>
    </row>
    <row r="309" spans="1:34" s="620" customFormat="1" ht="20.100000000000001" customHeight="1" thickBot="1" x14ac:dyDescent="0.25">
      <c r="A309" s="758"/>
      <c r="B309" s="759">
        <f t="shared" si="18"/>
        <v>242</v>
      </c>
      <c r="C309" s="1102">
        <f>NOMINA!C276</f>
        <v>25619540</v>
      </c>
      <c r="D309" s="1103" t="str">
        <f>NOMINA!D276</f>
        <v>Balza Vetencourt Maria Gabriela</v>
      </c>
      <c r="E309" s="1468" t="s">
        <v>4622</v>
      </c>
      <c r="F309" s="1110">
        <v>32351</v>
      </c>
      <c r="G309" s="1468" t="s">
        <v>4620</v>
      </c>
      <c r="H309" s="1442">
        <f>NOMINA!H276</f>
        <v>44743</v>
      </c>
      <c r="I309" s="1105">
        <f>NOMINA!I277</f>
        <v>3</v>
      </c>
      <c r="J309" s="1106">
        <f>NOMINA!J277</f>
        <v>0</v>
      </c>
      <c r="K309" s="1105">
        <f t="shared" si="16"/>
        <v>3</v>
      </c>
      <c r="L309" s="1106" t="s">
        <v>4932</v>
      </c>
      <c r="M309" s="1106"/>
      <c r="N309" s="1443" t="str">
        <f>NOMINA!O276</f>
        <v>Guia de Centro I</v>
      </c>
      <c r="O309" s="1106">
        <v>1.02087691000006E+18</v>
      </c>
      <c r="P309" s="1107">
        <f>ROUND(+NOMINA!T276,2)</f>
        <v>150</v>
      </c>
      <c r="Q309" s="1108">
        <v>0</v>
      </c>
      <c r="R309" s="1108">
        <f>ROUND(+NOMINA!AA276,2)</f>
        <v>4.5</v>
      </c>
      <c r="S309" s="1108">
        <f>ROUND(+NOMINA!AB276,2)</f>
        <v>130</v>
      </c>
      <c r="T309" s="1108">
        <f>ROUND(+NOMINA!AC276,2)</f>
        <v>25</v>
      </c>
      <c r="U309" s="1108">
        <f>ROUND(+NOMINA!AD276,2)</f>
        <v>0</v>
      </c>
      <c r="V309" s="1108">
        <f>ROUND(NOMINA!AQ276,2)</f>
        <v>0</v>
      </c>
      <c r="W309" s="1108">
        <f>+NOMINA!AS276</f>
        <v>0</v>
      </c>
      <c r="X309" s="1108">
        <f>+NOMINA!AT276</f>
        <v>25</v>
      </c>
      <c r="Y309" s="1108">
        <f>+NOMINA!AU276</f>
        <v>402.35</v>
      </c>
      <c r="Z309" s="1108">
        <f>+NOMINA!BX276</f>
        <v>754.41</v>
      </c>
      <c r="AA309" s="1108">
        <f>+NOMINA!BY276</f>
        <v>0</v>
      </c>
      <c r="AB309" s="1108">
        <f t="shared" si="17"/>
        <v>754.41</v>
      </c>
      <c r="AD309" s="625"/>
      <c r="AH309" s="1467" t="str">
        <f>NOMINA!P275</f>
        <v>01020493370100017998</v>
      </c>
    </row>
    <row r="310" spans="1:34" s="620" customFormat="1" ht="20.100000000000001" customHeight="1" thickBot="1" x14ac:dyDescent="0.25">
      <c r="A310" s="758"/>
      <c r="B310" s="759">
        <f t="shared" si="18"/>
        <v>243</v>
      </c>
      <c r="C310" s="1102">
        <f>NOMINA!C277</f>
        <v>26094609</v>
      </c>
      <c r="D310" s="1103" t="str">
        <f>NOMINA!D277</f>
        <v>Andara Moreno Marielena Nathaly</v>
      </c>
      <c r="E310" s="1468" t="s">
        <v>4622</v>
      </c>
      <c r="F310" s="1110">
        <v>32351</v>
      </c>
      <c r="G310" s="1468" t="s">
        <v>4620</v>
      </c>
      <c r="H310" s="1442">
        <f>NOMINA!H277</f>
        <v>44713</v>
      </c>
      <c r="I310" s="1105">
        <f>NOMINA!I278</f>
        <v>2</v>
      </c>
      <c r="J310" s="1106">
        <f>NOMINA!J278</f>
        <v>0</v>
      </c>
      <c r="K310" s="1105">
        <f t="shared" si="16"/>
        <v>2</v>
      </c>
      <c r="L310" s="1106" t="s">
        <v>4932</v>
      </c>
      <c r="M310" s="1106"/>
      <c r="N310" s="1443" t="str">
        <f>NOMINA!O277</f>
        <v>Abogado I</v>
      </c>
      <c r="O310" s="1106">
        <v>1.02087691000006E+18</v>
      </c>
      <c r="P310" s="1107">
        <f>ROUND(+NOMINA!T277,2)</f>
        <v>277</v>
      </c>
      <c r="Q310" s="1108">
        <v>0</v>
      </c>
      <c r="R310" s="1108">
        <f>ROUND(+NOMINA!AA277,2)</f>
        <v>8.31</v>
      </c>
      <c r="S310" s="1108">
        <f>ROUND(+NOMINA!AB277,2)</f>
        <v>130</v>
      </c>
      <c r="T310" s="1108">
        <f>ROUND(+NOMINA!AC277,2)</f>
        <v>0</v>
      </c>
      <c r="U310" s="1108">
        <f>ROUND(+NOMINA!AD277,2)</f>
        <v>103.83</v>
      </c>
      <c r="V310" s="1108">
        <f>ROUND(NOMINA!AQ277,2)</f>
        <v>0</v>
      </c>
      <c r="W310" s="1108">
        <f>+NOMINA!AS277</f>
        <v>0</v>
      </c>
      <c r="X310" s="1108">
        <f>+NOMINA!AT277</f>
        <v>0</v>
      </c>
      <c r="Y310" s="1108">
        <f>+NOMINA!AU277</f>
        <v>519.14</v>
      </c>
      <c r="Z310" s="1108">
        <f>+NOMINA!BX277</f>
        <v>973.39</v>
      </c>
      <c r="AA310" s="1108">
        <f>+NOMINA!BY277</f>
        <v>0</v>
      </c>
      <c r="AB310" s="1108">
        <f t="shared" si="17"/>
        <v>973.39</v>
      </c>
      <c r="AD310" s="625"/>
      <c r="AH310" s="1467" t="str">
        <f>NOMINA!P276</f>
        <v>01020747980000531498</v>
      </c>
    </row>
    <row r="311" spans="1:34" s="620" customFormat="1" ht="20.100000000000001" customHeight="1" thickBot="1" x14ac:dyDescent="0.25">
      <c r="A311" s="758"/>
      <c r="B311" s="759">
        <f t="shared" si="18"/>
        <v>244</v>
      </c>
      <c r="C311" s="1102">
        <f>NOMINA!C278</f>
        <v>26094690</v>
      </c>
      <c r="D311" s="1103" t="str">
        <f>NOMINA!D278</f>
        <v>Fernandez Romero Numa Manuel</v>
      </c>
      <c r="E311" s="1468" t="s">
        <v>4622</v>
      </c>
      <c r="F311" s="1110">
        <v>32351</v>
      </c>
      <c r="G311" s="1468" t="s">
        <v>4620</v>
      </c>
      <c r="H311" s="1442">
        <f>NOMINA!H278</f>
        <v>45017</v>
      </c>
      <c r="I311" s="1105">
        <f>NOMINA!I279</f>
        <v>3</v>
      </c>
      <c r="J311" s="1106">
        <f>NOMINA!J279</f>
        <v>0</v>
      </c>
      <c r="K311" s="1105">
        <f t="shared" si="16"/>
        <v>3</v>
      </c>
      <c r="L311" s="1106" t="s">
        <v>4932</v>
      </c>
      <c r="M311" s="1106"/>
      <c r="N311" s="1443" t="str">
        <f>NOMINA!O278</f>
        <v>Guia de Centro I</v>
      </c>
      <c r="O311" s="1106">
        <v>1.02087691000006E+18</v>
      </c>
      <c r="P311" s="1107">
        <f>ROUND(+NOMINA!T278,2)</f>
        <v>130</v>
      </c>
      <c r="Q311" s="1108">
        <v>0</v>
      </c>
      <c r="R311" s="1108">
        <f>ROUND(+NOMINA!AA278,2)</f>
        <v>2.6</v>
      </c>
      <c r="S311" s="1108">
        <f>ROUND(+NOMINA!AB278,2)</f>
        <v>130</v>
      </c>
      <c r="T311" s="1108">
        <f>ROUND(+NOMINA!AC278,2)</f>
        <v>25</v>
      </c>
      <c r="U311" s="1108">
        <f>ROUND(+NOMINA!AD278,2)</f>
        <v>0</v>
      </c>
      <c r="V311" s="1108">
        <f>ROUND(NOMINA!AQ278,2)</f>
        <v>0</v>
      </c>
      <c r="W311" s="1108">
        <f>+NOMINA!AS278</f>
        <v>0</v>
      </c>
      <c r="X311" s="1108">
        <f>+NOMINA!AT278</f>
        <v>0</v>
      </c>
      <c r="Y311" s="1108">
        <f>+NOMINA!AU278</f>
        <v>373.88</v>
      </c>
      <c r="Z311" s="1108">
        <f>+NOMINA!BX278</f>
        <v>701.03</v>
      </c>
      <c r="AA311" s="1108">
        <f>+NOMINA!BY278</f>
        <v>0</v>
      </c>
      <c r="AB311" s="1108">
        <f t="shared" si="17"/>
        <v>701.03</v>
      </c>
      <c r="AD311" s="625"/>
      <c r="AH311" s="1467" t="str">
        <f>NOMINA!P277</f>
        <v>01020747990000438164</v>
      </c>
    </row>
    <row r="312" spans="1:34" s="620" customFormat="1" ht="20.100000000000001" customHeight="1" thickBot="1" x14ac:dyDescent="0.25">
      <c r="A312" s="758"/>
      <c r="B312" s="759">
        <f t="shared" si="18"/>
        <v>245</v>
      </c>
      <c r="C312" s="1102">
        <f>NOMINA!C279</f>
        <v>26114271</v>
      </c>
      <c r="D312" s="1103" t="str">
        <f>NOMINA!D279</f>
        <v>Moncayo Perez Ruddy Bellaliz</v>
      </c>
      <c r="E312" s="1468" t="s">
        <v>4622</v>
      </c>
      <c r="F312" s="1110">
        <v>32351</v>
      </c>
      <c r="G312" s="1468" t="s">
        <v>4620</v>
      </c>
      <c r="H312" s="1442">
        <f>NOMINA!H279</f>
        <v>44636</v>
      </c>
      <c r="I312" s="1105">
        <f>NOMINA!I280</f>
        <v>3</v>
      </c>
      <c r="J312" s="1106">
        <f>NOMINA!J280</f>
        <v>0</v>
      </c>
      <c r="K312" s="1105">
        <f t="shared" si="16"/>
        <v>3</v>
      </c>
      <c r="L312" s="1106" t="s">
        <v>4932</v>
      </c>
      <c r="M312" s="1106"/>
      <c r="N312" s="1443" t="str">
        <f>NOMINA!O279</f>
        <v>Abogado I</v>
      </c>
      <c r="O312" s="1106">
        <v>1.02087691000006E+18</v>
      </c>
      <c r="P312" s="1107">
        <f>ROUND(+NOMINA!T279,2)</f>
        <v>277</v>
      </c>
      <c r="Q312" s="1108">
        <v>0</v>
      </c>
      <c r="R312" s="1108">
        <f>ROUND(+NOMINA!AA279,2)</f>
        <v>8.31</v>
      </c>
      <c r="S312" s="1108">
        <f>ROUND(+NOMINA!AB279,2)</f>
        <v>130</v>
      </c>
      <c r="T312" s="1108">
        <f>ROUND(+NOMINA!AC279,2)</f>
        <v>0</v>
      </c>
      <c r="U312" s="1108">
        <f>ROUND(+NOMINA!AD279,2)</f>
        <v>103.83</v>
      </c>
      <c r="V312" s="1108">
        <f>ROUND(NOMINA!AQ279,2)</f>
        <v>0</v>
      </c>
      <c r="W312" s="1108">
        <f>+NOMINA!AS279</f>
        <v>0</v>
      </c>
      <c r="X312" s="1108">
        <f>+NOMINA!AT279</f>
        <v>0</v>
      </c>
      <c r="Y312" s="1108">
        <f>+NOMINA!AU279</f>
        <v>519.14</v>
      </c>
      <c r="Z312" s="1108">
        <f>+NOMINA!BX279</f>
        <v>973.39</v>
      </c>
      <c r="AA312" s="1108">
        <f>+NOMINA!BY279</f>
        <v>0</v>
      </c>
      <c r="AB312" s="1108">
        <f t="shared" si="17"/>
        <v>973.39</v>
      </c>
      <c r="AD312" s="625"/>
      <c r="AH312" s="1467" t="str">
        <f>NOMINA!P278</f>
        <v>01020373290000659053</v>
      </c>
    </row>
    <row r="313" spans="1:34" s="620" customFormat="1" ht="20.100000000000001" customHeight="1" thickBot="1" x14ac:dyDescent="0.25">
      <c r="A313" s="758"/>
      <c r="B313" s="759">
        <f t="shared" si="18"/>
        <v>246</v>
      </c>
      <c r="C313" s="1102">
        <f>NOMINA!C280</f>
        <v>26191823</v>
      </c>
      <c r="D313" s="1103" t="str">
        <f>NOMINA!D280</f>
        <v>Briceño Espinoza Brayhan Jose</v>
      </c>
      <c r="E313" s="1468" t="s">
        <v>4622</v>
      </c>
      <c r="F313" s="1110">
        <v>32351</v>
      </c>
      <c r="G313" s="1468" t="s">
        <v>4620</v>
      </c>
      <c r="H313" s="1442">
        <f>NOMINA!H280</f>
        <v>44470</v>
      </c>
      <c r="I313" s="1105">
        <f>NOMINA!I281</f>
        <v>1</v>
      </c>
      <c r="J313" s="1106">
        <f>NOMINA!J281</f>
        <v>0</v>
      </c>
      <c r="K313" s="1105">
        <f t="shared" si="16"/>
        <v>1</v>
      </c>
      <c r="L313" s="1106" t="s">
        <v>4932</v>
      </c>
      <c r="M313" s="1106"/>
      <c r="N313" s="1443" t="str">
        <f>NOMINA!O280</f>
        <v>Abogado II</v>
      </c>
      <c r="O313" s="1106">
        <v>1.02087691000006E+18</v>
      </c>
      <c r="P313" s="1107">
        <f>ROUND(+NOMINA!T280,2)</f>
        <v>277</v>
      </c>
      <c r="Q313" s="1108">
        <v>0</v>
      </c>
      <c r="R313" s="1108">
        <f>ROUND(+NOMINA!AA280,2)</f>
        <v>8.31</v>
      </c>
      <c r="S313" s="1108">
        <f>ROUND(+NOMINA!AB280,2)</f>
        <v>130</v>
      </c>
      <c r="T313" s="1108">
        <f>ROUND(+NOMINA!AC280,2)</f>
        <v>0</v>
      </c>
      <c r="U313" s="1108">
        <f>ROUND(+NOMINA!AD280,2)</f>
        <v>103.83</v>
      </c>
      <c r="V313" s="1108">
        <f>ROUND(NOMINA!AQ280,2)</f>
        <v>0</v>
      </c>
      <c r="W313" s="1108">
        <f>+NOMINA!AS280</f>
        <v>0</v>
      </c>
      <c r="X313" s="1108">
        <f>+NOMINA!AT280</f>
        <v>0</v>
      </c>
      <c r="Y313" s="1108">
        <f>+NOMINA!AU280</f>
        <v>519.14</v>
      </c>
      <c r="Z313" s="1108">
        <f>+NOMINA!BX280</f>
        <v>973.39</v>
      </c>
      <c r="AA313" s="1108">
        <f>+NOMINA!BY280</f>
        <v>0</v>
      </c>
      <c r="AB313" s="1108">
        <f t="shared" si="17"/>
        <v>973.39</v>
      </c>
      <c r="AD313" s="625"/>
      <c r="AH313" s="1467" t="str">
        <f>NOMINA!P279</f>
        <v>01020373280000915331</v>
      </c>
    </row>
    <row r="314" spans="1:34" s="620" customFormat="1" ht="20.100000000000001" customHeight="1" thickBot="1" x14ac:dyDescent="0.25">
      <c r="A314" s="758"/>
      <c r="B314" s="759">
        <f t="shared" si="18"/>
        <v>247</v>
      </c>
      <c r="C314" s="1102">
        <f>NOMINA!C281</f>
        <v>26235963</v>
      </c>
      <c r="D314" s="1103" t="str">
        <f>NOMINA!D281</f>
        <v>Segovia Segovia Freylu Margarita</v>
      </c>
      <c r="E314" s="1468" t="s">
        <v>4622</v>
      </c>
      <c r="F314" s="1110">
        <v>32351</v>
      </c>
      <c r="G314" s="1468" t="s">
        <v>4620</v>
      </c>
      <c r="H314" s="1442">
        <f>NOMINA!H281</f>
        <v>45383</v>
      </c>
      <c r="I314" s="1105">
        <f>NOMINA!I282</f>
        <v>4</v>
      </c>
      <c r="J314" s="1106">
        <f>NOMINA!J282</f>
        <v>0</v>
      </c>
      <c r="K314" s="1105">
        <f t="shared" si="16"/>
        <v>4</v>
      </c>
      <c r="L314" s="1106" t="s">
        <v>4932</v>
      </c>
      <c r="M314" s="1106"/>
      <c r="N314" s="1443" t="str">
        <f>NOMINA!O281</f>
        <v>Psicologo I</v>
      </c>
      <c r="O314" s="1106">
        <v>1.02087691000006E+18</v>
      </c>
      <c r="P314" s="1107">
        <f>ROUND(+NOMINA!T281,2)</f>
        <v>246</v>
      </c>
      <c r="Q314" s="1108">
        <v>0</v>
      </c>
      <c r="R314" s="1108">
        <f>ROUND(+NOMINA!AA281,2)</f>
        <v>2.46</v>
      </c>
      <c r="S314" s="1108">
        <f>ROUND(+NOMINA!AB281,2)</f>
        <v>130</v>
      </c>
      <c r="T314" s="1108">
        <f>ROUND(+NOMINA!AC281,2)</f>
        <v>12.5</v>
      </c>
      <c r="U314" s="1108">
        <f>ROUND(+NOMINA!AD281,2)</f>
        <v>97.74</v>
      </c>
      <c r="V314" s="1108">
        <f>ROUND(NOMINA!AQ281,2)</f>
        <v>0</v>
      </c>
      <c r="W314" s="1108">
        <f>+NOMINA!AS281</f>
        <v>0</v>
      </c>
      <c r="X314" s="1108">
        <f>+NOMINA!AT281</f>
        <v>0</v>
      </c>
      <c r="Y314" s="1108">
        <f>+NOMINA!AU281</f>
        <v>488.7</v>
      </c>
      <c r="Z314" s="1108">
        <f>+NOMINA!BX281</f>
        <v>629.97</v>
      </c>
      <c r="AA314" s="1108">
        <f>+NOMINA!BY281</f>
        <v>0</v>
      </c>
      <c r="AB314" s="1108">
        <f t="shared" si="17"/>
        <v>629.97</v>
      </c>
      <c r="AD314" s="625"/>
      <c r="AH314" s="1467" t="str">
        <f>NOMINA!P280</f>
        <v>01020747940100002455</v>
      </c>
    </row>
    <row r="315" spans="1:34" s="620" customFormat="1" ht="20.100000000000001" customHeight="1" thickBot="1" x14ac:dyDescent="0.25">
      <c r="A315" s="758"/>
      <c r="B315" s="759">
        <f t="shared" si="18"/>
        <v>248</v>
      </c>
      <c r="C315" s="1102">
        <f>NOMINA!C282</f>
        <v>26413871</v>
      </c>
      <c r="D315" s="1103" t="str">
        <f>NOMINA!D282</f>
        <v>Molina Rojas Genesis Angely</v>
      </c>
      <c r="E315" s="1468" t="s">
        <v>4622</v>
      </c>
      <c r="F315" s="1110">
        <v>32351</v>
      </c>
      <c r="G315" s="1468" t="s">
        <v>4620</v>
      </c>
      <c r="H315" s="1442">
        <f>NOMINA!H282</f>
        <v>44228</v>
      </c>
      <c r="I315" s="1105">
        <f>NOMINA!I283</f>
        <v>6</v>
      </c>
      <c r="J315" s="1106">
        <f>NOMINA!J283</f>
        <v>0</v>
      </c>
      <c r="K315" s="1105">
        <f t="shared" si="16"/>
        <v>6</v>
      </c>
      <c r="L315" s="1106" t="s">
        <v>4932</v>
      </c>
      <c r="M315" s="1106"/>
      <c r="N315" s="1443" t="str">
        <f>NOMINA!O282</f>
        <v>Guia de Centro I</v>
      </c>
      <c r="O315" s="1106">
        <v>1.02087691000006E+18</v>
      </c>
      <c r="P315" s="1107">
        <f>ROUND(+NOMINA!T282,2)</f>
        <v>150</v>
      </c>
      <c r="Q315" s="1108">
        <v>0</v>
      </c>
      <c r="R315" s="1108">
        <f>ROUND(+NOMINA!AA282,2)</f>
        <v>6</v>
      </c>
      <c r="S315" s="1108">
        <f>ROUND(+NOMINA!AB282,2)</f>
        <v>130</v>
      </c>
      <c r="T315" s="1108">
        <f>ROUND(+NOMINA!AC282,2)</f>
        <v>25</v>
      </c>
      <c r="U315" s="1108">
        <f>ROUND(+NOMINA!AD282,2)</f>
        <v>0</v>
      </c>
      <c r="V315" s="1108">
        <f>ROUND(NOMINA!AQ282,2)</f>
        <v>0</v>
      </c>
      <c r="W315" s="1108">
        <f>+NOMINA!AS282</f>
        <v>0</v>
      </c>
      <c r="X315" s="1108">
        <f>+NOMINA!AT282</f>
        <v>0</v>
      </c>
      <c r="Y315" s="1108">
        <f>+NOMINA!AU282</f>
        <v>404.3</v>
      </c>
      <c r="Z315" s="1108">
        <f>+NOMINA!BX282</f>
        <v>758.06</v>
      </c>
      <c r="AA315" s="1108">
        <f>+NOMINA!BY282</f>
        <v>0</v>
      </c>
      <c r="AB315" s="1108">
        <f t="shared" si="17"/>
        <v>758.06</v>
      </c>
      <c r="AD315" s="625"/>
      <c r="AH315" s="1467" t="str">
        <f>NOMINA!P281</f>
        <v>01020747920100003901</v>
      </c>
    </row>
    <row r="316" spans="1:34" s="620" customFormat="1" ht="20.100000000000001" customHeight="1" thickBot="1" x14ac:dyDescent="0.25">
      <c r="A316" s="758"/>
      <c r="B316" s="759">
        <f t="shared" si="18"/>
        <v>249</v>
      </c>
      <c r="C316" s="1102">
        <f>NOMINA!C283</f>
        <v>26591879</v>
      </c>
      <c r="D316" s="1103" t="str">
        <f>NOMINA!D283</f>
        <v>Delgado Cabezas Rosa Magdalena</v>
      </c>
      <c r="E316" s="1468" t="s">
        <v>4622</v>
      </c>
      <c r="F316" s="1110">
        <v>32351</v>
      </c>
      <c r="G316" s="1468" t="s">
        <v>4620</v>
      </c>
      <c r="H316" s="1442">
        <f>NOMINA!H283</f>
        <v>43587</v>
      </c>
      <c r="I316" s="1105">
        <f>NOMINA!I284</f>
        <v>4</v>
      </c>
      <c r="J316" s="1106">
        <f>NOMINA!J284</f>
        <v>0</v>
      </c>
      <c r="K316" s="1105">
        <f t="shared" si="16"/>
        <v>4</v>
      </c>
      <c r="L316" s="1106" t="s">
        <v>4932</v>
      </c>
      <c r="M316" s="1106"/>
      <c r="N316" s="1443" t="str">
        <f>NOMINA!O283</f>
        <v>Psicologo II</v>
      </c>
      <c r="O316" s="1106">
        <v>1.02087691000006E+18</v>
      </c>
      <c r="P316" s="1107">
        <f>ROUND(+NOMINA!T283,2)</f>
        <v>279</v>
      </c>
      <c r="Q316" s="1108">
        <v>0</v>
      </c>
      <c r="R316" s="1108">
        <f>ROUND(+NOMINA!AA283,2)</f>
        <v>17.3</v>
      </c>
      <c r="S316" s="1108">
        <f>ROUND(+NOMINA!AB283,2)</f>
        <v>130</v>
      </c>
      <c r="T316" s="1108">
        <f>ROUND(+NOMINA!AC283,2)</f>
        <v>12.5</v>
      </c>
      <c r="U316" s="1108">
        <f>ROUND(+NOMINA!AD283,2)</f>
        <v>109.7</v>
      </c>
      <c r="V316" s="1108">
        <f>ROUND(NOMINA!AQ283,2)</f>
        <v>0</v>
      </c>
      <c r="W316" s="1108">
        <f>+NOMINA!AS283</f>
        <v>0</v>
      </c>
      <c r="X316" s="1108">
        <f>+NOMINA!AT283</f>
        <v>0</v>
      </c>
      <c r="Y316" s="1108">
        <f>+NOMINA!AU283</f>
        <v>548.5</v>
      </c>
      <c r="Z316" s="1108">
        <f>+NOMINA!BX283</f>
        <v>1028.44</v>
      </c>
      <c r="AA316" s="1108">
        <f>+NOMINA!BY283</f>
        <v>0</v>
      </c>
      <c r="AB316" s="1108">
        <f t="shared" si="17"/>
        <v>1028.44</v>
      </c>
      <c r="AD316" s="625"/>
      <c r="AH316" s="1467" t="str">
        <f>NOMINA!P282</f>
        <v>01020373220000704571</v>
      </c>
    </row>
    <row r="317" spans="1:34" s="620" customFormat="1" ht="20.100000000000001" customHeight="1" thickBot="1" x14ac:dyDescent="0.25">
      <c r="A317" s="758"/>
      <c r="B317" s="759">
        <f t="shared" si="18"/>
        <v>250</v>
      </c>
      <c r="C317" s="1102">
        <f>NOMINA!C284</f>
        <v>26690908</v>
      </c>
      <c r="D317" s="1103" t="str">
        <f>NOMINA!D284</f>
        <v>Segovia Lisbeira del Carmen</v>
      </c>
      <c r="E317" s="1468" t="s">
        <v>4622</v>
      </c>
      <c r="F317" s="1110">
        <v>32351</v>
      </c>
      <c r="G317" s="1468" t="s">
        <v>4620</v>
      </c>
      <c r="H317" s="1442">
        <f>NOMINA!H284</f>
        <v>44228</v>
      </c>
      <c r="I317" s="1105">
        <f>NOMINA!I285</f>
        <v>4</v>
      </c>
      <c r="J317" s="1106">
        <f>NOMINA!J285</f>
        <v>0</v>
      </c>
      <c r="K317" s="1105">
        <f t="shared" si="16"/>
        <v>4</v>
      </c>
      <c r="L317" s="1106" t="s">
        <v>4932</v>
      </c>
      <c r="M317" s="1106"/>
      <c r="N317" s="1443" t="str">
        <f>NOMINA!O284</f>
        <v>Guia de Centro I</v>
      </c>
      <c r="O317" s="1106">
        <v>1.02087691000006E+18</v>
      </c>
      <c r="P317" s="1107">
        <f>ROUND(+NOMINA!T284,2)</f>
        <v>150</v>
      </c>
      <c r="Q317" s="1108">
        <v>0</v>
      </c>
      <c r="R317" s="1108">
        <f>ROUND(+NOMINA!AA284,2)</f>
        <v>6</v>
      </c>
      <c r="S317" s="1108">
        <f>ROUND(+NOMINA!AB284,2)</f>
        <v>130</v>
      </c>
      <c r="T317" s="1108">
        <f>ROUND(+NOMINA!AC284,2)</f>
        <v>12.5</v>
      </c>
      <c r="U317" s="1108">
        <f>ROUND(+NOMINA!AD284,2)</f>
        <v>0</v>
      </c>
      <c r="V317" s="1108">
        <f>ROUND(NOMINA!AQ284,2)</f>
        <v>0</v>
      </c>
      <c r="W317" s="1108">
        <f>+NOMINA!AS284</f>
        <v>0</v>
      </c>
      <c r="X317" s="1108">
        <f>+NOMINA!AT284</f>
        <v>0</v>
      </c>
      <c r="Y317" s="1108">
        <f>+NOMINA!AU284</f>
        <v>388.05</v>
      </c>
      <c r="Z317" s="1108">
        <f>+NOMINA!BX284</f>
        <v>727.6</v>
      </c>
      <c r="AA317" s="1108">
        <f>+NOMINA!BY284</f>
        <v>0</v>
      </c>
      <c r="AB317" s="1108">
        <f t="shared" si="17"/>
        <v>727.6</v>
      </c>
      <c r="AD317" s="625"/>
      <c r="AH317" s="1467" t="str">
        <f>NOMINA!P283</f>
        <v>01020373280000632203</v>
      </c>
    </row>
    <row r="318" spans="1:34" s="620" customFormat="1" ht="20.100000000000001" customHeight="1" thickBot="1" x14ac:dyDescent="0.25">
      <c r="A318" s="758"/>
      <c r="B318" s="759">
        <f t="shared" si="18"/>
        <v>251</v>
      </c>
      <c r="C318" s="1102">
        <f>NOMINA!C285</f>
        <v>26962104</v>
      </c>
      <c r="D318" s="1103" t="str">
        <f>NOMINA!D285</f>
        <v>Rubio Briceño Diana Carolina</v>
      </c>
      <c r="E318" s="1468" t="s">
        <v>4622</v>
      </c>
      <c r="F318" s="1110">
        <v>32351</v>
      </c>
      <c r="G318" s="1468" t="s">
        <v>4620</v>
      </c>
      <c r="H318" s="1442">
        <f>NOMINA!H285</f>
        <v>44393</v>
      </c>
      <c r="I318" s="1105" t="e">
        <f>NOMINA!#REF!</f>
        <v>#REF!</v>
      </c>
      <c r="J318" s="1106" t="e">
        <f>NOMINA!#REF!</f>
        <v>#REF!</v>
      </c>
      <c r="K318" s="1105" t="e">
        <f t="shared" si="16"/>
        <v>#REF!</v>
      </c>
      <c r="L318" s="1106" t="s">
        <v>4932</v>
      </c>
      <c r="M318" s="1106"/>
      <c r="N318" s="1443" t="str">
        <f>NOMINA!O285</f>
        <v>Asistente Administrativo II</v>
      </c>
      <c r="O318" s="1106">
        <v>1.02087691000006E+18</v>
      </c>
      <c r="P318" s="1107">
        <f>ROUND(+NOMINA!T285,2)</f>
        <v>150</v>
      </c>
      <c r="Q318" s="1108">
        <v>0</v>
      </c>
      <c r="R318" s="1108">
        <f>ROUND(+NOMINA!AA285,2)</f>
        <v>6</v>
      </c>
      <c r="S318" s="1108">
        <f>ROUND(+NOMINA!AB285,2)</f>
        <v>130</v>
      </c>
      <c r="T318" s="1108">
        <f>ROUND(+NOMINA!AC285,2)</f>
        <v>12.5</v>
      </c>
      <c r="U318" s="1108">
        <f>ROUND(+NOMINA!AD285,2)</f>
        <v>0</v>
      </c>
      <c r="V318" s="1108">
        <f>ROUND(NOMINA!AQ285,2)</f>
        <v>0</v>
      </c>
      <c r="W318" s="1108">
        <f>+NOMINA!AS285</f>
        <v>0</v>
      </c>
      <c r="X318" s="1108">
        <f>+NOMINA!AT285</f>
        <v>12.5</v>
      </c>
      <c r="Y318" s="1108">
        <f>+NOMINA!AU285</f>
        <v>298.5</v>
      </c>
      <c r="Z318" s="1108">
        <f>+NOMINA!BX285</f>
        <v>559.69000000000005</v>
      </c>
      <c r="AA318" s="1108">
        <f>+NOMINA!BY285</f>
        <v>0</v>
      </c>
      <c r="AB318" s="1108">
        <f t="shared" si="17"/>
        <v>559.69000000000005</v>
      </c>
      <c r="AD318" s="625"/>
      <c r="AH318" s="1467" t="str">
        <f>NOMINA!P284</f>
        <v>01020373240000704584</v>
      </c>
    </row>
    <row r="319" spans="1:34" s="620" customFormat="1" ht="20.100000000000001" customHeight="1" thickBot="1" x14ac:dyDescent="0.25">
      <c r="A319" s="758"/>
      <c r="B319" s="759">
        <f t="shared" si="18"/>
        <v>252</v>
      </c>
      <c r="C319" s="1102" t="e">
        <f>NOMINA!#REF!</f>
        <v>#REF!</v>
      </c>
      <c r="D319" s="1103" t="e">
        <f>NOMINA!#REF!</f>
        <v>#REF!</v>
      </c>
      <c r="E319" s="1468" t="s">
        <v>4622</v>
      </c>
      <c r="F319" s="1110">
        <v>32351</v>
      </c>
      <c r="G319" s="1468" t="s">
        <v>4620</v>
      </c>
      <c r="H319" s="1442" t="e">
        <f>NOMINA!#REF!</f>
        <v>#REF!</v>
      </c>
      <c r="I319" s="1105">
        <f>NOMINA!I287</f>
        <v>1</v>
      </c>
      <c r="J319" s="1106">
        <f>NOMINA!J287</f>
        <v>0</v>
      </c>
      <c r="K319" s="1105">
        <f t="shared" si="16"/>
        <v>1</v>
      </c>
      <c r="L319" s="1106" t="s">
        <v>4932</v>
      </c>
      <c r="M319" s="1106"/>
      <c r="N319" s="1443" t="e">
        <f>NOMINA!#REF!</f>
        <v>#REF!</v>
      </c>
      <c r="O319" s="1106">
        <v>1.02087691000006E+18</v>
      </c>
      <c r="P319" s="1107" t="e">
        <f>ROUND(+NOMINA!#REF!,2)</f>
        <v>#REF!</v>
      </c>
      <c r="Q319" s="1108">
        <v>0</v>
      </c>
      <c r="R319" s="1108" t="e">
        <f>ROUND(+NOMINA!#REF!,2)</f>
        <v>#REF!</v>
      </c>
      <c r="S319" s="1108" t="e">
        <f>ROUND(+NOMINA!#REF!,2)</f>
        <v>#REF!</v>
      </c>
      <c r="T319" s="1108" t="e">
        <f>ROUND(+NOMINA!#REF!,2)</f>
        <v>#REF!</v>
      </c>
      <c r="U319" s="1108" t="e">
        <f>ROUND(+NOMINA!#REF!,2)</f>
        <v>#REF!</v>
      </c>
      <c r="V319" s="1108" t="e">
        <f>ROUND(NOMINA!#REF!,2)</f>
        <v>#REF!</v>
      </c>
      <c r="W319" s="1108" t="e">
        <f>+NOMINA!#REF!</f>
        <v>#REF!</v>
      </c>
      <c r="X319" s="1108" t="e">
        <f>+NOMINA!#REF!</f>
        <v>#REF!</v>
      </c>
      <c r="Y319" s="1108" t="e">
        <f>+NOMINA!#REF!</f>
        <v>#REF!</v>
      </c>
      <c r="Z319" s="1108" t="e">
        <f>+NOMINA!#REF!</f>
        <v>#REF!</v>
      </c>
      <c r="AA319" s="1108" t="e">
        <f>+NOMINA!#REF!</f>
        <v>#REF!</v>
      </c>
      <c r="AB319" s="1108" t="e">
        <f t="shared" si="17"/>
        <v>#REF!</v>
      </c>
      <c r="AD319" s="625"/>
      <c r="AH319" s="1467" t="str">
        <f>NOMINA!P285</f>
        <v>01020865310000253527</v>
      </c>
    </row>
    <row r="320" spans="1:34" s="620" customFormat="1" ht="20.100000000000001" customHeight="1" thickBot="1" x14ac:dyDescent="0.25">
      <c r="A320" s="758"/>
      <c r="B320" s="759">
        <f t="shared" si="18"/>
        <v>253</v>
      </c>
      <c r="C320" s="1102">
        <f>NOMINA!C287</f>
        <v>27251885</v>
      </c>
      <c r="D320" s="1103" t="str">
        <f>NOMINA!D287</f>
        <v>Barrozo Godoy Kellem Daniela</v>
      </c>
      <c r="E320" s="1468" t="s">
        <v>4622</v>
      </c>
      <c r="F320" s="1110">
        <v>32351</v>
      </c>
      <c r="G320" s="1468" t="s">
        <v>4620</v>
      </c>
      <c r="H320" s="1442">
        <f>NOMINA!H287</f>
        <v>45474</v>
      </c>
      <c r="I320" s="1105">
        <f>NOMINA!I288</f>
        <v>1</v>
      </c>
      <c r="J320" s="1106">
        <f>NOMINA!J288</f>
        <v>0</v>
      </c>
      <c r="K320" s="1105">
        <f t="shared" si="16"/>
        <v>1</v>
      </c>
      <c r="L320" s="1106" t="s">
        <v>4932</v>
      </c>
      <c r="M320" s="1106"/>
      <c r="N320" s="1443" t="str">
        <f>NOMINA!O287</f>
        <v>Guia de Centro I</v>
      </c>
      <c r="O320" s="1106">
        <v>1.02087691000006E+18</v>
      </c>
      <c r="P320" s="1107">
        <f>ROUND(+NOMINA!T287,2)</f>
        <v>130</v>
      </c>
      <c r="Q320" s="1108">
        <v>0</v>
      </c>
      <c r="R320" s="1108">
        <f>ROUND(+NOMINA!AA287,2)</f>
        <v>1.3</v>
      </c>
      <c r="S320" s="1108">
        <f>ROUND(+NOMINA!AB287,2)</f>
        <v>130</v>
      </c>
      <c r="T320" s="1108">
        <f>ROUND(+NOMINA!AC287,2)</f>
        <v>12.5</v>
      </c>
      <c r="U320" s="1108">
        <f>ROUND(+NOMINA!AD287,2)</f>
        <v>0</v>
      </c>
      <c r="V320" s="1108">
        <f>ROUND(NOMINA!AQ287,2)</f>
        <v>0</v>
      </c>
      <c r="W320" s="1108">
        <f>+NOMINA!AS287</f>
        <v>0</v>
      </c>
      <c r="X320" s="1108">
        <f>+NOMINA!AT287</f>
        <v>12.5</v>
      </c>
      <c r="Y320" s="1108">
        <f>+NOMINA!AU287</f>
        <v>355.94</v>
      </c>
      <c r="Z320" s="1108">
        <f>+NOMINA!BX287</f>
        <v>278.08</v>
      </c>
      <c r="AA320" s="1108">
        <f>+NOMINA!BY287</f>
        <v>0</v>
      </c>
      <c r="AB320" s="1108">
        <f t="shared" si="17"/>
        <v>278.08</v>
      </c>
      <c r="AD320" s="625"/>
      <c r="AH320" s="1467" t="str">
        <f>NOMINA!P287</f>
        <v>01020373260001322570</v>
      </c>
    </row>
    <row r="321" spans="1:34" s="620" customFormat="1" ht="20.100000000000001" customHeight="1" thickBot="1" x14ac:dyDescent="0.25">
      <c r="A321" s="758"/>
      <c r="B321" s="759">
        <f t="shared" si="18"/>
        <v>254</v>
      </c>
      <c r="C321" s="1102">
        <f>NOMINA!C288</f>
        <v>27251899</v>
      </c>
      <c r="D321" s="1103" t="str">
        <f>NOMINA!D288</f>
        <v>Perez Gonzalez Maria Ines</v>
      </c>
      <c r="E321" s="1468" t="s">
        <v>4622</v>
      </c>
      <c r="F321" s="1110">
        <v>32351</v>
      </c>
      <c r="G321" s="1468" t="s">
        <v>4620</v>
      </c>
      <c r="H321" s="1442">
        <f>NOMINA!H288</f>
        <v>45474</v>
      </c>
      <c r="I321" s="1105">
        <f>NOMINA!I289</f>
        <v>0</v>
      </c>
      <c r="J321" s="1106">
        <f>NOMINA!J289</f>
        <v>0</v>
      </c>
      <c r="K321" s="1105">
        <f t="shared" si="16"/>
        <v>0</v>
      </c>
      <c r="L321" s="1106" t="s">
        <v>4932</v>
      </c>
      <c r="M321" s="1106"/>
      <c r="N321" s="1443" t="str">
        <f>NOMINA!O288</f>
        <v>Guia de Centro I</v>
      </c>
      <c r="O321" s="1106">
        <v>1.02087691000006E+18</v>
      </c>
      <c r="P321" s="1107">
        <f>ROUND(+NOMINA!T288,2)</f>
        <v>130</v>
      </c>
      <c r="Q321" s="1108">
        <v>0</v>
      </c>
      <c r="R321" s="1108">
        <f>ROUND(+NOMINA!AA288,2)</f>
        <v>1.3</v>
      </c>
      <c r="S321" s="1108">
        <f>ROUND(+NOMINA!AB288,2)</f>
        <v>130</v>
      </c>
      <c r="T321" s="1108">
        <f>ROUND(+NOMINA!AC288,2)</f>
        <v>12.5</v>
      </c>
      <c r="U321" s="1108">
        <f>ROUND(+NOMINA!AD288,2)</f>
        <v>0</v>
      </c>
      <c r="V321" s="1108">
        <f>ROUND(NOMINA!AQ288,2)</f>
        <v>0</v>
      </c>
      <c r="W321" s="1108">
        <f>+NOMINA!AS288</f>
        <v>0</v>
      </c>
      <c r="X321" s="1108">
        <f>+NOMINA!AT288</f>
        <v>0</v>
      </c>
      <c r="Y321" s="1108">
        <f>+NOMINA!AU288</f>
        <v>355.94</v>
      </c>
      <c r="Z321" s="1108">
        <f>+NOMINA!BX288</f>
        <v>278.08</v>
      </c>
      <c r="AA321" s="1108">
        <f>+NOMINA!BY288</f>
        <v>0</v>
      </c>
      <c r="AB321" s="1108">
        <f t="shared" si="17"/>
        <v>278.08</v>
      </c>
      <c r="AD321" s="625"/>
      <c r="AH321" s="1467" t="str">
        <f>NOMINA!P288</f>
        <v>01020494150000542995</v>
      </c>
    </row>
    <row r="322" spans="1:34" s="620" customFormat="1" ht="20.100000000000001" customHeight="1" thickBot="1" x14ac:dyDescent="0.25">
      <c r="A322" s="758"/>
      <c r="B322" s="759">
        <f t="shared" si="18"/>
        <v>255</v>
      </c>
      <c r="C322" s="1102">
        <f>NOMINA!C289</f>
        <v>27363633</v>
      </c>
      <c r="D322" s="1103" t="str">
        <f>NOMINA!D289</f>
        <v>Padilla Blanco Melany Marian</v>
      </c>
      <c r="E322" s="1468" t="s">
        <v>4622</v>
      </c>
      <c r="F322" s="1110">
        <v>32351</v>
      </c>
      <c r="G322" s="1468" t="s">
        <v>4620</v>
      </c>
      <c r="H322" s="1442">
        <f>NOMINA!H289</f>
        <v>45627</v>
      </c>
      <c r="I322" s="1105">
        <f>NOMINA!I290</f>
        <v>4</v>
      </c>
      <c r="J322" s="1106">
        <f>NOMINA!J290</f>
        <v>0</v>
      </c>
      <c r="K322" s="1105">
        <f t="shared" si="16"/>
        <v>4</v>
      </c>
      <c r="L322" s="1106" t="s">
        <v>4932</v>
      </c>
      <c r="M322" s="1106"/>
      <c r="N322" s="1443" t="str">
        <f>NOMINA!O289</f>
        <v>Guia de Centro I</v>
      </c>
      <c r="O322" s="1106">
        <v>1.02087691000006E+18</v>
      </c>
      <c r="P322" s="1107">
        <f>ROUND(+NOMINA!T289,2)</f>
        <v>130</v>
      </c>
      <c r="Q322" s="1108">
        <v>0</v>
      </c>
      <c r="R322" s="1108">
        <f>ROUND(+NOMINA!AA289,2)</f>
        <v>0</v>
      </c>
      <c r="S322" s="1108">
        <f>ROUND(+NOMINA!AB289,2)</f>
        <v>130</v>
      </c>
      <c r="T322" s="1108">
        <f>ROUND(+NOMINA!AC289,2)</f>
        <v>0</v>
      </c>
      <c r="U322" s="1108">
        <f>ROUND(+NOMINA!AD289,2)</f>
        <v>0</v>
      </c>
      <c r="V322" s="1108">
        <f>ROUND(NOMINA!AQ289,2)</f>
        <v>0</v>
      </c>
      <c r="W322" s="1108">
        <f>+NOMINA!AS289</f>
        <v>0</v>
      </c>
      <c r="X322" s="1108">
        <f>+NOMINA!AT289</f>
        <v>0</v>
      </c>
      <c r="Y322" s="1108">
        <f>+NOMINA!AU289</f>
        <v>338</v>
      </c>
      <c r="Z322" s="1108">
        <f>+NOMINA!BX289</f>
        <v>146.69999999999999</v>
      </c>
      <c r="AA322" s="1108">
        <f>+NOMINA!BY289</f>
        <v>0</v>
      </c>
      <c r="AB322" s="1108">
        <f t="shared" si="17"/>
        <v>146.69999999999999</v>
      </c>
      <c r="AD322" s="625"/>
      <c r="AH322" s="1467" t="str">
        <f>NOMINA!P289</f>
        <v>01020373210001984497</v>
      </c>
    </row>
    <row r="323" spans="1:34" s="620" customFormat="1" ht="20.100000000000001" customHeight="1" thickBot="1" x14ac:dyDescent="0.25">
      <c r="A323" s="758"/>
      <c r="B323" s="759">
        <f t="shared" si="18"/>
        <v>256</v>
      </c>
      <c r="C323" s="1102">
        <f>NOMINA!C290</f>
        <v>27415737</v>
      </c>
      <c r="D323" s="1103" t="str">
        <f>NOMINA!D290</f>
        <v>Rivas Torres Rosa Alba</v>
      </c>
      <c r="E323" s="1468" t="s">
        <v>4622</v>
      </c>
      <c r="F323" s="1110">
        <v>32351</v>
      </c>
      <c r="G323" s="1468" t="s">
        <v>4620</v>
      </c>
      <c r="H323" s="1442">
        <f>NOMINA!H290</f>
        <v>44363</v>
      </c>
      <c r="I323" s="1105">
        <f>NOMINA!I291</f>
        <v>3</v>
      </c>
      <c r="J323" s="1106">
        <f>NOMINA!J291</f>
        <v>3</v>
      </c>
      <c r="K323" s="1105">
        <f t="shared" si="16"/>
        <v>6</v>
      </c>
      <c r="L323" s="1106" t="s">
        <v>4932</v>
      </c>
      <c r="M323" s="1106"/>
      <c r="N323" s="1443" t="str">
        <f>NOMINA!O290</f>
        <v>Asistente Administrativo II</v>
      </c>
      <c r="O323" s="1106">
        <v>1.02087691000006E+18</v>
      </c>
      <c r="P323" s="1107">
        <f>ROUND(+NOMINA!T290,2)</f>
        <v>150</v>
      </c>
      <c r="Q323" s="1108">
        <v>0</v>
      </c>
      <c r="R323" s="1108">
        <f>ROUND(+NOMINA!AA290,2)</f>
        <v>6</v>
      </c>
      <c r="S323" s="1108">
        <f>ROUND(+NOMINA!AB290,2)</f>
        <v>130</v>
      </c>
      <c r="T323" s="1108">
        <f>ROUND(+NOMINA!AC290,2)</f>
        <v>12.5</v>
      </c>
      <c r="U323" s="1108">
        <f>ROUND(+NOMINA!AD290,2)</f>
        <v>0</v>
      </c>
      <c r="V323" s="1108">
        <f>ROUND(NOMINA!AQ290,2)</f>
        <v>0</v>
      </c>
      <c r="W323" s="1108">
        <f>+NOMINA!AS290</f>
        <v>12.5</v>
      </c>
      <c r="X323" s="1108">
        <f>+NOMINA!AT290</f>
        <v>12.5</v>
      </c>
      <c r="Y323" s="1108">
        <f>+NOMINA!AU290</f>
        <v>298.5</v>
      </c>
      <c r="Z323" s="1108">
        <f>+NOMINA!BX290</f>
        <v>559.69000000000005</v>
      </c>
      <c r="AA323" s="1108">
        <f>+NOMINA!BY290</f>
        <v>0</v>
      </c>
      <c r="AB323" s="1108">
        <f t="shared" si="17"/>
        <v>559.69000000000005</v>
      </c>
      <c r="AD323" s="625"/>
      <c r="AH323" s="1467" t="str">
        <f>NOMINA!P290</f>
        <v>01020373260000797122</v>
      </c>
    </row>
    <row r="324" spans="1:34" s="620" customFormat="1" ht="20.100000000000001" customHeight="1" thickBot="1" x14ac:dyDescent="0.25">
      <c r="A324" s="758"/>
      <c r="B324" s="759">
        <f t="shared" si="18"/>
        <v>257</v>
      </c>
      <c r="C324" s="1102">
        <f>NOMINA!C291</f>
        <v>27415888</v>
      </c>
      <c r="D324" s="1103" t="str">
        <f>NOMINA!D291</f>
        <v>Perdomo Juarez Jose de Jesus</v>
      </c>
      <c r="E324" s="1468" t="s">
        <v>4622</v>
      </c>
      <c r="F324" s="1110">
        <v>32351</v>
      </c>
      <c r="G324" s="1468" t="s">
        <v>4620</v>
      </c>
      <c r="H324" s="1442">
        <f>NOMINA!H291</f>
        <v>44713</v>
      </c>
      <c r="I324" s="1105">
        <f>NOMINA!I292</f>
        <v>2</v>
      </c>
      <c r="J324" s="1106">
        <f>NOMINA!J292</f>
        <v>0</v>
      </c>
      <c r="K324" s="1105">
        <f t="shared" si="16"/>
        <v>2</v>
      </c>
      <c r="L324" s="1106" t="s">
        <v>4932</v>
      </c>
      <c r="M324" s="1106"/>
      <c r="N324" s="1443" t="str">
        <f>NOMINA!O291</f>
        <v>Entrenador Deportivo II</v>
      </c>
      <c r="O324" s="1106">
        <v>1.02087691000006E+18</v>
      </c>
      <c r="P324" s="1107">
        <f>ROUND(+NOMINA!T291,2)</f>
        <v>170</v>
      </c>
      <c r="Q324" s="1108">
        <v>0</v>
      </c>
      <c r="R324" s="1108">
        <f>ROUND(+NOMINA!AA291,2)</f>
        <v>10.54</v>
      </c>
      <c r="S324" s="1108">
        <f>ROUND(+NOMINA!AB291,2)</f>
        <v>130</v>
      </c>
      <c r="T324" s="1108">
        <f>ROUND(+NOMINA!AC291,2)</f>
        <v>12.5</v>
      </c>
      <c r="U324" s="1108">
        <f>ROUND(+NOMINA!AD291,2)</f>
        <v>0</v>
      </c>
      <c r="V324" s="1108">
        <f>ROUND(NOMINA!AQ291,2)</f>
        <v>0</v>
      </c>
      <c r="W324" s="1108">
        <f>+NOMINA!AS291</f>
        <v>0</v>
      </c>
      <c r="X324" s="1108">
        <f>+NOMINA!AT291</f>
        <v>0</v>
      </c>
      <c r="Y324" s="1108">
        <f>+NOMINA!AU291</f>
        <v>323.03999999999996</v>
      </c>
      <c r="Z324" s="1108">
        <f>+NOMINA!BX291</f>
        <v>605.70000000000005</v>
      </c>
      <c r="AA324" s="1108">
        <f>+NOMINA!BY291</f>
        <v>0</v>
      </c>
      <c r="AB324" s="1108">
        <f t="shared" si="17"/>
        <v>605.70000000000005</v>
      </c>
      <c r="AD324" s="625"/>
      <c r="AH324" s="1467" t="str">
        <f>NOMINA!P291</f>
        <v>01020747920100002151</v>
      </c>
    </row>
    <row r="325" spans="1:34" s="620" customFormat="1" ht="20.100000000000001" customHeight="1" thickBot="1" x14ac:dyDescent="0.25">
      <c r="A325" s="758"/>
      <c r="B325" s="759">
        <f t="shared" si="18"/>
        <v>258</v>
      </c>
      <c r="C325" s="1102">
        <f>NOMINA!C292</f>
        <v>27628603</v>
      </c>
      <c r="D325" s="1103" t="str">
        <f>NOMINA!D292</f>
        <v>Mendoza Mendoza Kelasky Kixuy</v>
      </c>
      <c r="E325" s="1468" t="s">
        <v>4622</v>
      </c>
      <c r="F325" s="1110">
        <v>32351</v>
      </c>
      <c r="G325" s="1468" t="s">
        <v>4620</v>
      </c>
      <c r="H325" s="1442">
        <f>NOMINA!H292</f>
        <v>45139</v>
      </c>
      <c r="I325" s="1105">
        <f>NOMINA!I293</f>
        <v>2</v>
      </c>
      <c r="J325" s="1106">
        <f>NOMINA!J293</f>
        <v>0</v>
      </c>
      <c r="K325" s="1105">
        <f t="shared" ref="K325:K335" si="19">I325+J325</f>
        <v>2</v>
      </c>
      <c r="L325" s="1106" t="s">
        <v>4932</v>
      </c>
      <c r="M325" s="1106"/>
      <c r="N325" s="1443" t="str">
        <f>NOMINA!O292</f>
        <v>Instructor De Formacion Empresarial</v>
      </c>
      <c r="O325" s="1106">
        <v>1.02087691000006E+18</v>
      </c>
      <c r="P325" s="1107">
        <f>ROUND(+NOMINA!T292,2)</f>
        <v>130</v>
      </c>
      <c r="Q325" s="1108">
        <v>0</v>
      </c>
      <c r="R325" s="1108">
        <f>ROUND(+NOMINA!AA292,2)</f>
        <v>2.6</v>
      </c>
      <c r="S325" s="1108">
        <f>ROUND(+NOMINA!AB292,2)</f>
        <v>130</v>
      </c>
      <c r="T325" s="1108">
        <f>ROUND(+NOMINA!AC292,2)</f>
        <v>12.5</v>
      </c>
      <c r="U325" s="1108">
        <f>ROUND(+NOMINA!AD292,2)</f>
        <v>0</v>
      </c>
      <c r="V325" s="1108">
        <f>ROUND(NOMINA!AQ292,2)</f>
        <v>0</v>
      </c>
      <c r="W325" s="1108">
        <f>+NOMINA!AS292</f>
        <v>0</v>
      </c>
      <c r="X325" s="1108">
        <f>+NOMINA!AT292</f>
        <v>0</v>
      </c>
      <c r="Y325" s="1108">
        <f>+NOMINA!AU292</f>
        <v>275.10000000000002</v>
      </c>
      <c r="Z325" s="1108">
        <f>+NOMINA!BX292</f>
        <v>515.80999999999995</v>
      </c>
      <c r="AA325" s="1108">
        <f>+NOMINA!BY292</f>
        <v>0</v>
      </c>
      <c r="AB325" s="1108">
        <f t="shared" ref="AB325:AB335" si="20">+Z325+AA325</f>
        <v>515.80999999999995</v>
      </c>
      <c r="AD325" s="625"/>
      <c r="AH325" s="1467" t="str">
        <f>NOMINA!P292</f>
        <v>01020373210000632229</v>
      </c>
    </row>
    <row r="326" spans="1:34" s="620" customFormat="1" ht="20.100000000000001" customHeight="1" thickBot="1" x14ac:dyDescent="0.25">
      <c r="A326" s="758"/>
      <c r="B326" s="759">
        <f t="shared" ref="B326:B335" si="21">+B325+1</f>
        <v>259</v>
      </c>
      <c r="C326" s="1102">
        <f>NOMINA!C293</f>
        <v>27677242</v>
      </c>
      <c r="D326" s="1103" t="str">
        <f>NOMINA!D293</f>
        <v>Ramirez Torres Darwin Jose</v>
      </c>
      <c r="E326" s="1468" t="s">
        <v>4622</v>
      </c>
      <c r="F326" s="1110">
        <v>32351</v>
      </c>
      <c r="G326" s="1468" t="s">
        <v>4620</v>
      </c>
      <c r="H326" s="1442">
        <f>NOMINA!H293</f>
        <v>45139</v>
      </c>
      <c r="I326" s="1105">
        <f>NOMINA!I294</f>
        <v>4</v>
      </c>
      <c r="J326" s="1106">
        <f>NOMINA!J294</f>
        <v>0</v>
      </c>
      <c r="K326" s="1105">
        <f t="shared" si="19"/>
        <v>4</v>
      </c>
      <c r="L326" s="1106" t="s">
        <v>4932</v>
      </c>
      <c r="M326" s="1106"/>
      <c r="N326" s="1443" t="str">
        <f>NOMINA!O293</f>
        <v>Recreador</v>
      </c>
      <c r="O326" s="1106">
        <v>1.02087691000006E+18</v>
      </c>
      <c r="P326" s="1107">
        <f>ROUND(+NOMINA!T293,2)</f>
        <v>130</v>
      </c>
      <c r="Q326" s="1108">
        <v>0</v>
      </c>
      <c r="R326" s="1108">
        <f>ROUND(+NOMINA!AA293,2)</f>
        <v>2.6</v>
      </c>
      <c r="S326" s="1108">
        <f>ROUND(+NOMINA!AB293,2)</f>
        <v>130</v>
      </c>
      <c r="T326" s="1108">
        <f>ROUND(+NOMINA!AC293,2)</f>
        <v>0</v>
      </c>
      <c r="U326" s="1108">
        <f>ROUND(+NOMINA!AD293,2)</f>
        <v>0</v>
      </c>
      <c r="V326" s="1108">
        <f>ROUND(NOMINA!AQ293,2)</f>
        <v>0</v>
      </c>
      <c r="W326" s="1108">
        <f>+NOMINA!AS293</f>
        <v>0</v>
      </c>
      <c r="X326" s="1108">
        <f>+NOMINA!AT293</f>
        <v>0</v>
      </c>
      <c r="Y326" s="1108">
        <f>+NOMINA!AU293</f>
        <v>262.60000000000002</v>
      </c>
      <c r="Z326" s="1108">
        <f>+NOMINA!BX293</f>
        <v>492.38</v>
      </c>
      <c r="AA326" s="1108">
        <f>+NOMINA!BY293</f>
        <v>0</v>
      </c>
      <c r="AB326" s="1108">
        <f t="shared" si="20"/>
        <v>492.38</v>
      </c>
      <c r="AD326" s="625"/>
      <c r="AH326" s="1467" t="str">
        <f>NOMINA!P293</f>
        <v>01020494170000536998</v>
      </c>
    </row>
    <row r="327" spans="1:34" s="620" customFormat="1" ht="20.100000000000001" customHeight="1" thickBot="1" x14ac:dyDescent="0.25">
      <c r="A327" s="758"/>
      <c r="B327" s="759">
        <f t="shared" si="21"/>
        <v>260</v>
      </c>
      <c r="C327" s="1102">
        <f>NOMINA!C294</f>
        <v>27889180</v>
      </c>
      <c r="D327" s="1103" t="str">
        <f>NOMINA!D294</f>
        <v>Moreno Andreina del Valle</v>
      </c>
      <c r="E327" s="1468" t="s">
        <v>4622</v>
      </c>
      <c r="F327" s="1110">
        <v>32351</v>
      </c>
      <c r="G327" s="1468" t="s">
        <v>4620</v>
      </c>
      <c r="H327" s="1442">
        <f>NOMINA!H294</f>
        <v>44393</v>
      </c>
      <c r="I327" s="1105">
        <f>NOMINA!I295</f>
        <v>4</v>
      </c>
      <c r="J327" s="1106">
        <f>NOMINA!J295</f>
        <v>0</v>
      </c>
      <c r="K327" s="1105">
        <f t="shared" si="19"/>
        <v>4</v>
      </c>
      <c r="L327" s="1106" t="s">
        <v>4932</v>
      </c>
      <c r="M327" s="1106"/>
      <c r="N327" s="1443" t="str">
        <f>NOMINA!O294</f>
        <v>Asistente Administrativo II</v>
      </c>
      <c r="O327" s="1106">
        <v>1.02087691000006E+18</v>
      </c>
      <c r="P327" s="1107">
        <f>ROUND(+NOMINA!T294,2)</f>
        <v>0</v>
      </c>
      <c r="Q327" s="1108">
        <v>0</v>
      </c>
      <c r="R327" s="1108">
        <f>ROUND(+NOMINA!AA294,2)</f>
        <v>0</v>
      </c>
      <c r="S327" s="1108">
        <f>ROUND(+NOMINA!AB294,2)</f>
        <v>0</v>
      </c>
      <c r="T327" s="1108">
        <f>ROUND(+NOMINA!AC294,2)</f>
        <v>0</v>
      </c>
      <c r="U327" s="1108">
        <f>ROUND(+NOMINA!AD294,2)</f>
        <v>0</v>
      </c>
      <c r="V327" s="1108">
        <f>ROUND(NOMINA!AQ294,2)</f>
        <v>0</v>
      </c>
      <c r="W327" s="1108">
        <f>+NOMINA!AS294</f>
        <v>0</v>
      </c>
      <c r="X327" s="1108">
        <f>+NOMINA!AT294</f>
        <v>0</v>
      </c>
      <c r="Y327" s="1108">
        <f>+NOMINA!AU294</f>
        <v>0</v>
      </c>
      <c r="Z327" s="1108">
        <f>+NOMINA!BX294</f>
        <v>0</v>
      </c>
      <c r="AA327" s="1108">
        <f>+NOMINA!BY294</f>
        <v>0</v>
      </c>
      <c r="AB327" s="1108">
        <f t="shared" si="20"/>
        <v>0</v>
      </c>
      <c r="AD327" s="625"/>
      <c r="AH327" s="1467" t="str">
        <f>NOMINA!P294</f>
        <v>01020373290000806990</v>
      </c>
    </row>
    <row r="328" spans="1:34" s="620" customFormat="1" ht="20.100000000000001" customHeight="1" thickBot="1" x14ac:dyDescent="0.25">
      <c r="A328" s="758"/>
      <c r="B328" s="759">
        <f t="shared" si="21"/>
        <v>261</v>
      </c>
      <c r="C328" s="1102">
        <f>NOMINA!C295</f>
        <v>28079765</v>
      </c>
      <c r="D328" s="1103" t="str">
        <f>NOMINA!D295</f>
        <v>Mendoza Cardozo Josue Vicensio</v>
      </c>
      <c r="E328" s="1468" t="s">
        <v>4622</v>
      </c>
      <c r="F328" s="1110">
        <v>32351</v>
      </c>
      <c r="G328" s="1468" t="s">
        <v>4620</v>
      </c>
      <c r="H328" s="1442">
        <f>NOMINA!H295</f>
        <v>44348</v>
      </c>
      <c r="I328" s="1105">
        <f>NOMINA!I296</f>
        <v>4</v>
      </c>
      <c r="J328" s="1106">
        <f>NOMINA!J296</f>
        <v>0</v>
      </c>
      <c r="K328" s="1105">
        <f t="shared" si="19"/>
        <v>4</v>
      </c>
      <c r="L328" s="1106" t="s">
        <v>4932</v>
      </c>
      <c r="M328" s="1106"/>
      <c r="N328" s="1443" t="str">
        <f>NOMINA!O295</f>
        <v>Asistente Administrativo II</v>
      </c>
      <c r="O328" s="1106">
        <v>1.02087691000006E+18</v>
      </c>
      <c r="P328" s="1107">
        <f>ROUND(+NOMINA!T295,2)</f>
        <v>219</v>
      </c>
      <c r="Q328" s="1108">
        <v>0</v>
      </c>
      <c r="R328" s="1108">
        <f>ROUND(+NOMINA!AA295,2)</f>
        <v>8.76</v>
      </c>
      <c r="S328" s="1108">
        <f>ROUND(+NOMINA!AB295,2)</f>
        <v>130</v>
      </c>
      <c r="T328" s="1108">
        <f>ROUND(+NOMINA!AC295,2)</f>
        <v>0</v>
      </c>
      <c r="U328" s="1108">
        <f>ROUND(+NOMINA!AD295,2)</f>
        <v>71.55</v>
      </c>
      <c r="V328" s="1108">
        <f>ROUND(NOMINA!AQ295,2)</f>
        <v>0</v>
      </c>
      <c r="W328" s="1108">
        <f>+NOMINA!AS295</f>
        <v>0</v>
      </c>
      <c r="X328" s="1108">
        <f>+NOMINA!AT295</f>
        <v>0</v>
      </c>
      <c r="Y328" s="1108">
        <f>+NOMINA!AU295</f>
        <v>429.31</v>
      </c>
      <c r="Z328" s="1108">
        <f>+NOMINA!BX295</f>
        <v>804.96</v>
      </c>
      <c r="AA328" s="1108">
        <f>+NOMINA!BY295</f>
        <v>0</v>
      </c>
      <c r="AB328" s="1108">
        <f t="shared" si="20"/>
        <v>804.96</v>
      </c>
      <c r="AD328" s="625"/>
      <c r="AH328" s="1467" t="str">
        <f>NOMINA!P295</f>
        <v>01020373220000793896</v>
      </c>
    </row>
    <row r="329" spans="1:34" s="620" customFormat="1" ht="20.100000000000001" customHeight="1" thickBot="1" x14ac:dyDescent="0.25">
      <c r="A329" s="758"/>
      <c r="B329" s="759">
        <f t="shared" si="21"/>
        <v>262</v>
      </c>
      <c r="C329" s="1102">
        <f>NOMINA!C296</f>
        <v>28096003</v>
      </c>
      <c r="D329" s="1103" t="str">
        <f>NOMINA!D296</f>
        <v>Quintero Peña Maria Alejandra</v>
      </c>
      <c r="E329" s="1468" t="s">
        <v>4622</v>
      </c>
      <c r="F329" s="1110">
        <v>32351</v>
      </c>
      <c r="G329" s="1468" t="s">
        <v>4620</v>
      </c>
      <c r="H329" s="1442">
        <f>NOMINA!H296</f>
        <v>44228</v>
      </c>
      <c r="I329" s="1105">
        <f>NOMINA!I298</f>
        <v>5</v>
      </c>
      <c r="J329" s="1106">
        <f>NOMINA!J298</f>
        <v>0</v>
      </c>
      <c r="K329" s="1105">
        <f t="shared" si="19"/>
        <v>5</v>
      </c>
      <c r="L329" s="1106" t="s">
        <v>4932</v>
      </c>
      <c r="M329" s="1106"/>
      <c r="N329" s="1443" t="str">
        <f>NOMINA!O296</f>
        <v>Guia de Centro I</v>
      </c>
      <c r="O329" s="1106">
        <v>1.02087691000006E+18</v>
      </c>
      <c r="P329" s="1107">
        <f>ROUND(+NOMINA!T296,2)</f>
        <v>150</v>
      </c>
      <c r="Q329" s="1108">
        <v>0</v>
      </c>
      <c r="R329" s="1108">
        <f>ROUND(+NOMINA!AA296,2)</f>
        <v>6</v>
      </c>
      <c r="S329" s="1108">
        <f>ROUND(+NOMINA!AB296,2)</f>
        <v>130</v>
      </c>
      <c r="T329" s="1108">
        <f>ROUND(+NOMINA!AC296,2)</f>
        <v>0</v>
      </c>
      <c r="U329" s="1108">
        <f>ROUND(+NOMINA!AD296,2)</f>
        <v>0</v>
      </c>
      <c r="V329" s="1108">
        <f>ROUND(NOMINA!AQ296,2)</f>
        <v>0</v>
      </c>
      <c r="W329" s="1108">
        <f>+NOMINA!AS296</f>
        <v>0</v>
      </c>
      <c r="X329" s="1108">
        <f>+NOMINA!AT296</f>
        <v>12.5</v>
      </c>
      <c r="Y329" s="1108">
        <f>+NOMINA!AU296</f>
        <v>371.8</v>
      </c>
      <c r="Z329" s="1108">
        <f>+NOMINA!BX296</f>
        <v>697.13</v>
      </c>
      <c r="AA329" s="1108">
        <f>+NOMINA!BY296</f>
        <v>0</v>
      </c>
      <c r="AB329" s="1108">
        <f t="shared" si="20"/>
        <v>697.13</v>
      </c>
      <c r="AD329" s="625"/>
      <c r="AH329" s="1467" t="str">
        <f>NOMINA!P296</f>
        <v>01020494170100027913</v>
      </c>
    </row>
    <row r="330" spans="1:34" s="620" customFormat="1" ht="20.100000000000001" customHeight="1" thickBot="1" x14ac:dyDescent="0.25">
      <c r="A330" s="758"/>
      <c r="B330" s="759">
        <f t="shared" si="21"/>
        <v>263</v>
      </c>
      <c r="C330" s="1102">
        <f>NOMINA!C298</f>
        <v>28445465</v>
      </c>
      <c r="D330" s="1103" t="str">
        <f>NOMINA!D298</f>
        <v>Castillo Carrizo Katherine Cecilia</v>
      </c>
      <c r="E330" s="1468" t="s">
        <v>4622</v>
      </c>
      <c r="F330" s="1110">
        <v>32351</v>
      </c>
      <c r="G330" s="1468" t="s">
        <v>4620</v>
      </c>
      <c r="H330" s="1442">
        <f>NOMINA!H298</f>
        <v>43770</v>
      </c>
      <c r="I330" s="1105">
        <f>NOMINA!I300</f>
        <v>6</v>
      </c>
      <c r="J330" s="1106">
        <f>NOMINA!J300</f>
        <v>0</v>
      </c>
      <c r="K330" s="1105">
        <f t="shared" si="19"/>
        <v>6</v>
      </c>
      <c r="L330" s="1106" t="s">
        <v>4932</v>
      </c>
      <c r="M330" s="1106"/>
      <c r="N330" s="1443" t="str">
        <f>NOMINA!O298</f>
        <v>Asistente Administrativo II</v>
      </c>
      <c r="O330" s="1106">
        <v>1.02087691000006E+18</v>
      </c>
      <c r="P330" s="1107">
        <f>ROUND(+NOMINA!T298,2)</f>
        <v>150</v>
      </c>
      <c r="Q330" s="1108">
        <v>0</v>
      </c>
      <c r="R330" s="1108">
        <f>ROUND(+NOMINA!AA298,2)</f>
        <v>7.5</v>
      </c>
      <c r="S330" s="1108">
        <f>ROUND(+NOMINA!AB298,2)</f>
        <v>130</v>
      </c>
      <c r="T330" s="1108">
        <f>ROUND(+NOMINA!AC298,2)</f>
        <v>0</v>
      </c>
      <c r="U330" s="1108">
        <f>ROUND(+NOMINA!AD298,2)</f>
        <v>0</v>
      </c>
      <c r="V330" s="1108">
        <f>ROUND(NOMINA!AQ298,2)</f>
        <v>0</v>
      </c>
      <c r="W330" s="1108">
        <f>+NOMINA!AS298</f>
        <v>0</v>
      </c>
      <c r="X330" s="1108">
        <f>+NOMINA!AT298</f>
        <v>12.5</v>
      </c>
      <c r="Y330" s="1108">
        <f>+NOMINA!AU298</f>
        <v>287.5</v>
      </c>
      <c r="Z330" s="1108">
        <f>+NOMINA!BX298</f>
        <v>539.05999999999995</v>
      </c>
      <c r="AA330" s="1108">
        <f>+NOMINA!BY298</f>
        <v>0</v>
      </c>
      <c r="AB330" s="1108">
        <f t="shared" si="20"/>
        <v>539.05999999999995</v>
      </c>
      <c r="AD330" s="625"/>
      <c r="AH330" s="1467" t="str">
        <f>NOMINA!P298</f>
        <v>01020373260100100853</v>
      </c>
    </row>
    <row r="331" spans="1:34" s="620" customFormat="1" ht="20.100000000000001" customHeight="1" thickBot="1" x14ac:dyDescent="0.25">
      <c r="A331" s="758"/>
      <c r="B331" s="759">
        <f t="shared" si="21"/>
        <v>264</v>
      </c>
      <c r="C331" s="1102">
        <f>NOMINA!C300</f>
        <v>29585477</v>
      </c>
      <c r="D331" s="1103" t="str">
        <f>NOMINA!D300</f>
        <v>Gil Ruiz Marianyeli Sarait</v>
      </c>
      <c r="E331" s="1468" t="s">
        <v>4622</v>
      </c>
      <c r="F331" s="1110">
        <v>32351</v>
      </c>
      <c r="G331" s="1468" t="s">
        <v>4620</v>
      </c>
      <c r="H331" s="1442">
        <f>NOMINA!H300</f>
        <v>43512</v>
      </c>
      <c r="I331" s="1105" t="e">
        <f>NOMINA!#REF!</f>
        <v>#REF!</v>
      </c>
      <c r="J331" s="1106" t="e">
        <f>NOMINA!#REF!</f>
        <v>#REF!</v>
      </c>
      <c r="K331" s="1105" t="e">
        <f t="shared" si="19"/>
        <v>#REF!</v>
      </c>
      <c r="L331" s="1106" t="s">
        <v>4932</v>
      </c>
      <c r="M331" s="1106"/>
      <c r="N331" s="1443" t="str">
        <f>NOMINA!O300</f>
        <v>Entrenador Deportivo II</v>
      </c>
      <c r="O331" s="1106">
        <v>1.02087691000006E+18</v>
      </c>
      <c r="P331" s="1107">
        <f>ROUND(+NOMINA!T300,2)</f>
        <v>170</v>
      </c>
      <c r="Q331" s="1108">
        <v>0</v>
      </c>
      <c r="R331" s="1108">
        <f>ROUND(+NOMINA!AA300,2)</f>
        <v>10.54</v>
      </c>
      <c r="S331" s="1108">
        <f>ROUND(+NOMINA!AB300,2)</f>
        <v>130</v>
      </c>
      <c r="T331" s="1108">
        <f>ROUND(+NOMINA!AC300,2)</f>
        <v>12.5</v>
      </c>
      <c r="U331" s="1108">
        <f>ROUND(+NOMINA!AD300,2)</f>
        <v>0</v>
      </c>
      <c r="V331" s="1108">
        <f>ROUND(NOMINA!AQ300,2)</f>
        <v>0</v>
      </c>
      <c r="W331" s="1108">
        <f>+NOMINA!AS300</f>
        <v>0</v>
      </c>
      <c r="X331" s="1108">
        <f>+NOMINA!AT300</f>
        <v>0</v>
      </c>
      <c r="Y331" s="1108">
        <f>+NOMINA!AU300</f>
        <v>323.03999999999996</v>
      </c>
      <c r="Z331" s="1108">
        <f>+NOMINA!BX300</f>
        <v>605.70000000000005</v>
      </c>
      <c r="AA331" s="1108">
        <f>+NOMINA!BY300</f>
        <v>0</v>
      </c>
      <c r="AB331" s="1108">
        <f t="shared" si="20"/>
        <v>605.70000000000005</v>
      </c>
      <c r="AD331" s="625"/>
      <c r="AH331" s="1467" t="str">
        <f>NOMINA!P300</f>
        <v>01020373290000623380</v>
      </c>
    </row>
    <row r="332" spans="1:34" s="620" customFormat="1" ht="20.100000000000001" customHeight="1" thickBot="1" x14ac:dyDescent="0.25">
      <c r="A332" s="758"/>
      <c r="B332" s="759">
        <f t="shared" si="21"/>
        <v>265</v>
      </c>
      <c r="C332" s="1102" t="e">
        <f>NOMINA!#REF!</f>
        <v>#REF!</v>
      </c>
      <c r="D332" s="1103" t="e">
        <f>NOMINA!#REF!</f>
        <v>#REF!</v>
      </c>
      <c r="E332" s="1468" t="s">
        <v>4622</v>
      </c>
      <c r="F332" s="1110">
        <v>32351</v>
      </c>
      <c r="G332" s="1468" t="s">
        <v>4620</v>
      </c>
      <c r="H332" s="1442" t="e">
        <f>NOMINA!#REF!</f>
        <v>#REF!</v>
      </c>
      <c r="I332" s="1105">
        <f>NOMINA!I301</f>
        <v>1</v>
      </c>
      <c r="J332" s="1106">
        <f>NOMINA!J301</f>
        <v>0</v>
      </c>
      <c r="K332" s="1105">
        <f t="shared" si="19"/>
        <v>1</v>
      </c>
      <c r="L332" s="1106" t="s">
        <v>4932</v>
      </c>
      <c r="M332" s="1106"/>
      <c r="N332" s="1443" t="e">
        <f>NOMINA!#REF!</f>
        <v>#REF!</v>
      </c>
      <c r="O332" s="1106">
        <v>1.02087691000006E+18</v>
      </c>
      <c r="P332" s="1107" t="e">
        <f>ROUND(+NOMINA!#REF!,2)</f>
        <v>#REF!</v>
      </c>
      <c r="Q332" s="1108">
        <v>0</v>
      </c>
      <c r="R332" s="1108" t="e">
        <f>ROUND(+NOMINA!#REF!,2)</f>
        <v>#REF!</v>
      </c>
      <c r="S332" s="1108" t="e">
        <f>ROUND(+NOMINA!#REF!,2)</f>
        <v>#REF!</v>
      </c>
      <c r="T332" s="1108" t="e">
        <f>ROUND(+NOMINA!#REF!,2)</f>
        <v>#REF!</v>
      </c>
      <c r="U332" s="1108" t="e">
        <f>ROUND(+NOMINA!#REF!,2)</f>
        <v>#REF!</v>
      </c>
      <c r="V332" s="1108" t="e">
        <f>ROUND(NOMINA!#REF!,2)</f>
        <v>#REF!</v>
      </c>
      <c r="W332" s="1108" t="e">
        <f>+NOMINA!#REF!</f>
        <v>#REF!</v>
      </c>
      <c r="X332" s="1108" t="e">
        <f>+NOMINA!#REF!</f>
        <v>#REF!</v>
      </c>
      <c r="Y332" s="1108" t="e">
        <f>+NOMINA!#REF!</f>
        <v>#REF!</v>
      </c>
      <c r="Z332" s="1108" t="e">
        <f>+NOMINA!#REF!</f>
        <v>#REF!</v>
      </c>
      <c r="AA332" s="1108" t="e">
        <f>+NOMINA!#REF!</f>
        <v>#REF!</v>
      </c>
      <c r="AB332" s="1108" t="e">
        <f t="shared" si="20"/>
        <v>#REF!</v>
      </c>
      <c r="AD332" s="625"/>
      <c r="AH332" s="1467" t="e">
        <f>NOMINA!#REF!</f>
        <v>#REF!</v>
      </c>
    </row>
    <row r="333" spans="1:34" s="620" customFormat="1" ht="20.100000000000001" customHeight="1" thickBot="1" x14ac:dyDescent="0.25">
      <c r="A333" s="758"/>
      <c r="B333" s="759">
        <f t="shared" si="21"/>
        <v>266</v>
      </c>
      <c r="C333" s="1102">
        <f>NOMINA!C301</f>
        <v>30190238</v>
      </c>
      <c r="D333" s="1103" t="str">
        <f>NOMINA!D301</f>
        <v>Mendoza Osuna Zaida Liseth</v>
      </c>
      <c r="E333" s="1468" t="s">
        <v>4622</v>
      </c>
      <c r="F333" s="1110">
        <v>32351</v>
      </c>
      <c r="G333" s="1468" t="s">
        <v>4620</v>
      </c>
      <c r="H333" s="1442">
        <f>NOMINA!H301</f>
        <v>45200</v>
      </c>
      <c r="I333" s="1105">
        <f>NOMINA!I302</f>
        <v>1</v>
      </c>
      <c r="J333" s="1106">
        <f>NOMINA!J302</f>
        <v>4</v>
      </c>
      <c r="K333" s="1105">
        <f t="shared" si="19"/>
        <v>5</v>
      </c>
      <c r="L333" s="1106" t="s">
        <v>4932</v>
      </c>
      <c r="M333" s="1106"/>
      <c r="N333" s="1443" t="str">
        <f>NOMINA!O301</f>
        <v>Guia de Centro I</v>
      </c>
      <c r="O333" s="1106">
        <v>1.02087691000006E+18</v>
      </c>
      <c r="P333" s="1107">
        <f>ROUND(+NOMINA!T301,2)</f>
        <v>130</v>
      </c>
      <c r="Q333" s="1108">
        <v>0</v>
      </c>
      <c r="R333" s="1108">
        <f>ROUND(+NOMINA!AA301,2)</f>
        <v>1.3</v>
      </c>
      <c r="S333" s="1108">
        <f>ROUND(+NOMINA!AB301,2)</f>
        <v>130</v>
      </c>
      <c r="T333" s="1108">
        <f>ROUND(+NOMINA!AC301,2)</f>
        <v>0</v>
      </c>
      <c r="U333" s="1108">
        <f>ROUND(+NOMINA!AD301,2)</f>
        <v>0</v>
      </c>
      <c r="V333" s="1108">
        <f>ROUND(NOMINA!AQ301,2)</f>
        <v>0</v>
      </c>
      <c r="W333" s="1108">
        <f>+NOMINA!AS301</f>
        <v>0</v>
      </c>
      <c r="X333" s="1108">
        <f>+NOMINA!AT301</f>
        <v>0</v>
      </c>
      <c r="Y333" s="1108">
        <f>+NOMINA!AU301</f>
        <v>339.69</v>
      </c>
      <c r="Z333" s="1108">
        <f>+NOMINA!BX301</f>
        <v>636.91999999999996</v>
      </c>
      <c r="AA333" s="1108">
        <f>+NOMINA!BY301</f>
        <v>0</v>
      </c>
      <c r="AB333" s="1108">
        <f t="shared" si="20"/>
        <v>636.91999999999996</v>
      </c>
      <c r="AD333" s="625"/>
      <c r="AH333" s="1467" t="str">
        <f>NOMINA!P301</f>
        <v>01020494130000428271</v>
      </c>
    </row>
    <row r="334" spans="1:34" s="620" customFormat="1" ht="20.100000000000001" customHeight="1" thickBot="1" x14ac:dyDescent="0.25">
      <c r="A334" s="758"/>
      <c r="B334" s="759">
        <f t="shared" si="21"/>
        <v>267</v>
      </c>
      <c r="C334" s="1102">
        <f>NOMINA!C302</f>
        <v>30438508</v>
      </c>
      <c r="D334" s="1103" t="str">
        <f>NOMINA!D302</f>
        <v>Teran Araujo Marihangeli Nicoll</v>
      </c>
      <c r="E334" s="1468" t="s">
        <v>4622</v>
      </c>
      <c r="F334" s="1110">
        <v>32351</v>
      </c>
      <c r="G334" s="1468" t="s">
        <v>4620</v>
      </c>
      <c r="H334" s="1442">
        <f>NOMINA!H302</f>
        <v>45200</v>
      </c>
      <c r="I334" s="1105" t="e">
        <f>NOMINA!#REF!</f>
        <v>#REF!</v>
      </c>
      <c r="J334" s="1106" t="e">
        <f>NOMINA!#REF!</f>
        <v>#REF!</v>
      </c>
      <c r="K334" s="1105" t="e">
        <f t="shared" si="19"/>
        <v>#REF!</v>
      </c>
      <c r="L334" s="1106" t="s">
        <v>4932</v>
      </c>
      <c r="M334" s="1106"/>
      <c r="N334" s="1443" t="str">
        <f>NOMINA!O302</f>
        <v>Asistente Administrativo II</v>
      </c>
      <c r="O334" s="1106">
        <v>1.02087691000006E+18</v>
      </c>
      <c r="P334" s="1107">
        <f>ROUND(+NOMINA!T302,2)</f>
        <v>150</v>
      </c>
      <c r="Q334" s="1108">
        <v>0</v>
      </c>
      <c r="R334" s="1108">
        <f>ROUND(+NOMINA!AA302,2)</f>
        <v>7.5</v>
      </c>
      <c r="S334" s="1108">
        <f>ROUND(+NOMINA!AB302,2)</f>
        <v>130</v>
      </c>
      <c r="T334" s="1108">
        <f>ROUND(+NOMINA!AC302,2)</f>
        <v>0</v>
      </c>
      <c r="U334" s="1108">
        <f>ROUND(+NOMINA!AD302,2)</f>
        <v>0</v>
      </c>
      <c r="V334" s="1108">
        <f>ROUND(NOMINA!AQ302,2)</f>
        <v>0</v>
      </c>
      <c r="W334" s="1108">
        <f>+NOMINA!AS302</f>
        <v>0</v>
      </c>
      <c r="X334" s="1108">
        <f>+NOMINA!AT302</f>
        <v>12.5</v>
      </c>
      <c r="Y334" s="1108">
        <f>+NOMINA!AU302</f>
        <v>287.5</v>
      </c>
      <c r="Z334" s="1108">
        <f>+NOMINA!BX302</f>
        <v>539.05999999999995</v>
      </c>
      <c r="AA334" s="1108">
        <f>+NOMINA!BY302</f>
        <v>0</v>
      </c>
      <c r="AB334" s="1108">
        <f t="shared" si="20"/>
        <v>539.05999999999995</v>
      </c>
      <c r="AD334" s="625"/>
      <c r="AH334" s="1467"/>
    </row>
    <row r="335" spans="1:34" s="620" customFormat="1" ht="20.100000000000001" customHeight="1" thickBot="1" x14ac:dyDescent="0.25">
      <c r="A335" s="758"/>
      <c r="B335" s="759">
        <f t="shared" si="21"/>
        <v>268</v>
      </c>
      <c r="C335" s="1102" t="e">
        <f>NOMINA!#REF!</f>
        <v>#REF!</v>
      </c>
      <c r="D335" s="1103" t="e">
        <f>NOMINA!#REF!</f>
        <v>#REF!</v>
      </c>
      <c r="E335" s="1468" t="s">
        <v>4622</v>
      </c>
      <c r="F335" s="1110">
        <v>32351</v>
      </c>
      <c r="G335" s="1468" t="s">
        <v>4620</v>
      </c>
      <c r="H335" s="1442" t="e">
        <f>NOMINA!#REF!</f>
        <v>#REF!</v>
      </c>
      <c r="I335" s="1105">
        <f>NOMINA!I303</f>
        <v>2083</v>
      </c>
      <c r="J335" s="1106">
        <f>NOMINA!J303</f>
        <v>330</v>
      </c>
      <c r="K335" s="1105">
        <f t="shared" si="19"/>
        <v>2413</v>
      </c>
      <c r="L335" s="1106" t="s">
        <v>4932</v>
      </c>
      <c r="M335" s="1106"/>
      <c r="N335" s="1443" t="e">
        <f>NOMINA!#REF!</f>
        <v>#REF!</v>
      </c>
      <c r="O335" s="1106">
        <v>1.02087691000006E+18</v>
      </c>
      <c r="P335" s="1107" t="e">
        <f>ROUND(+NOMINA!#REF!,2)</f>
        <v>#REF!</v>
      </c>
      <c r="Q335" s="1108">
        <v>0</v>
      </c>
      <c r="R335" s="1108" t="e">
        <f>ROUND(+NOMINA!#REF!,2)</f>
        <v>#REF!</v>
      </c>
      <c r="S335" s="1108" t="e">
        <f>ROUND(+NOMINA!#REF!,2)</f>
        <v>#REF!</v>
      </c>
      <c r="T335" s="1108" t="e">
        <f>ROUND(+NOMINA!#REF!,2)</f>
        <v>#REF!</v>
      </c>
      <c r="U335" s="1108" t="e">
        <f>ROUND(+NOMINA!#REF!,2)</f>
        <v>#REF!</v>
      </c>
      <c r="V335" s="1108" t="e">
        <f>ROUND(NOMINA!#REF!,2)</f>
        <v>#REF!</v>
      </c>
      <c r="W335" s="1108" t="e">
        <f>+NOMINA!#REF!</f>
        <v>#REF!</v>
      </c>
      <c r="X335" s="1108" t="e">
        <f>+NOMINA!#REF!</f>
        <v>#REF!</v>
      </c>
      <c r="Y335" s="1108" t="e">
        <f>+NOMINA!#REF!</f>
        <v>#REF!</v>
      </c>
      <c r="Z335" s="1108" t="e">
        <f>+NOMINA!#REF!</f>
        <v>#REF!</v>
      </c>
      <c r="AA335" s="1108" t="e">
        <f>+NOMINA!#REF!</f>
        <v>#REF!</v>
      </c>
      <c r="AB335" s="1108" t="e">
        <f t="shared" si="20"/>
        <v>#REF!</v>
      </c>
      <c r="AD335" s="625"/>
      <c r="AH335" s="1467" t="str">
        <f>NOMINA!P302</f>
        <v>01020373290000703200</v>
      </c>
    </row>
    <row r="336" spans="1:34" s="620" customFormat="1" ht="19.5" customHeight="1" thickBot="1" x14ac:dyDescent="0.3">
      <c r="A336" s="684"/>
      <c r="B336" s="667"/>
      <c r="C336" s="668" t="s">
        <v>4562</v>
      </c>
      <c r="D336" s="668"/>
      <c r="E336" s="668"/>
      <c r="F336" s="668"/>
      <c r="G336" s="668"/>
      <c r="H336" s="669"/>
      <c r="I336" s="668"/>
      <c r="J336" s="668"/>
      <c r="K336" s="668"/>
      <c r="L336" s="668"/>
      <c r="M336" s="668"/>
      <c r="N336" s="1448"/>
      <c r="O336" s="668"/>
      <c r="P336" s="685" t="e">
        <f t="shared" ref="P336:AB336" si="22">SUM(P68:P335)</f>
        <v>#REF!</v>
      </c>
      <c r="Q336" s="685">
        <f t="shared" si="22"/>
        <v>0</v>
      </c>
      <c r="R336" s="685" t="e">
        <f t="shared" si="22"/>
        <v>#REF!</v>
      </c>
      <c r="S336" s="685" t="e">
        <f t="shared" si="22"/>
        <v>#REF!</v>
      </c>
      <c r="T336" s="685" t="e">
        <f t="shared" si="22"/>
        <v>#REF!</v>
      </c>
      <c r="U336" s="685" t="e">
        <f t="shared" si="22"/>
        <v>#REF!</v>
      </c>
      <c r="V336" s="685" t="e">
        <f t="shared" si="22"/>
        <v>#REF!</v>
      </c>
      <c r="W336" s="685" t="e">
        <f t="shared" si="22"/>
        <v>#REF!</v>
      </c>
      <c r="X336" s="685" t="e">
        <f t="shared" si="22"/>
        <v>#REF!</v>
      </c>
      <c r="Y336" s="685" t="e">
        <f t="shared" si="22"/>
        <v>#REF!</v>
      </c>
      <c r="Z336" s="685" t="e">
        <f t="shared" si="22"/>
        <v>#REF!</v>
      </c>
      <c r="AA336" s="685" t="e">
        <f t="shared" si="22"/>
        <v>#REF!</v>
      </c>
      <c r="AB336" s="687" t="e">
        <f t="shared" si="22"/>
        <v>#REF!</v>
      </c>
      <c r="AC336" s="625"/>
      <c r="AD336" s="625"/>
      <c r="AH336" s="668"/>
    </row>
    <row r="337" spans="1:34" s="620" customFormat="1" ht="19.5" customHeight="1" x14ac:dyDescent="0.25">
      <c r="A337" s="699"/>
      <c r="B337" s="766"/>
      <c r="C337" s="802"/>
      <c r="D337" s="802"/>
      <c r="E337" s="802"/>
      <c r="F337" s="802"/>
      <c r="G337" s="802"/>
      <c r="H337" s="803"/>
      <c r="I337" s="802"/>
      <c r="J337" s="802"/>
      <c r="K337" s="774"/>
      <c r="L337" s="802"/>
      <c r="M337" s="802"/>
      <c r="N337" s="802"/>
      <c r="O337" s="802"/>
      <c r="P337" s="804"/>
      <c r="Q337" s="804"/>
      <c r="R337" s="804"/>
      <c r="S337" s="804"/>
      <c r="T337" s="804"/>
      <c r="U337" s="804"/>
      <c r="V337" s="804"/>
      <c r="W337" s="804"/>
      <c r="X337" s="804"/>
      <c r="Y337" s="804"/>
      <c r="Z337" s="804"/>
      <c r="AA337" s="804"/>
      <c r="AB337" s="804"/>
      <c r="AD337" s="625"/>
      <c r="AH337" s="802"/>
    </row>
    <row r="338" spans="1:34" s="620" customFormat="1" ht="19.5" customHeight="1" x14ac:dyDescent="0.25">
      <c r="A338" s="699"/>
      <c r="B338" s="711" t="s">
        <v>4664</v>
      </c>
      <c r="C338" s="691"/>
      <c r="D338" s="691"/>
      <c r="E338" s="691"/>
      <c r="F338" s="691"/>
      <c r="G338" s="691"/>
      <c r="H338" s="808"/>
      <c r="I338" s="691"/>
      <c r="J338" s="691"/>
      <c r="K338" s="602"/>
      <c r="L338" s="691"/>
      <c r="M338" s="691"/>
      <c r="N338" s="691"/>
      <c r="O338" s="691"/>
      <c r="P338" s="805"/>
      <c r="Q338" s="805"/>
      <c r="R338" s="805"/>
      <c r="S338" s="805"/>
      <c r="T338" s="805"/>
      <c r="U338" s="805"/>
      <c r="V338" s="805"/>
      <c r="W338" s="805"/>
      <c r="X338" s="805"/>
      <c r="Y338" s="805"/>
      <c r="Z338" s="805"/>
      <c r="AA338" s="805"/>
      <c r="AB338" s="805"/>
      <c r="AH338" s="691"/>
    </row>
    <row r="339" spans="1:34" s="620" customFormat="1" ht="19.5" customHeight="1" x14ac:dyDescent="0.25">
      <c r="A339" s="699"/>
      <c r="B339" s="711" t="s">
        <v>4665</v>
      </c>
      <c r="C339" s="691"/>
      <c r="D339" s="691"/>
      <c r="E339" s="691"/>
      <c r="F339" s="691"/>
      <c r="G339" s="691"/>
      <c r="H339" s="808"/>
      <c r="I339" s="691"/>
      <c r="J339" s="691"/>
      <c r="K339" s="602"/>
      <c r="L339" s="691"/>
      <c r="M339" s="691"/>
      <c r="N339" s="691"/>
      <c r="O339" s="691"/>
      <c r="P339" s="805"/>
      <c r="Q339" s="805"/>
      <c r="R339" s="805"/>
      <c r="S339" s="805"/>
      <c r="T339" s="805"/>
      <c r="U339" s="805"/>
      <c r="V339" s="805"/>
      <c r="W339" s="805"/>
      <c r="X339" s="805"/>
      <c r="Y339" s="805"/>
      <c r="Z339" s="805"/>
      <c r="AA339" s="805"/>
      <c r="AB339" s="805"/>
      <c r="AH339" s="691"/>
    </row>
    <row r="340" spans="1:34" s="620" customFormat="1" ht="19.5" customHeight="1" x14ac:dyDescent="0.25">
      <c r="A340" s="699"/>
      <c r="B340" s="711"/>
      <c r="C340" s="691"/>
      <c r="D340" s="691"/>
      <c r="E340" s="691"/>
      <c r="F340" s="691"/>
      <c r="G340" s="691"/>
      <c r="H340" s="808"/>
      <c r="I340" s="691"/>
      <c r="J340" s="691"/>
      <c r="K340" s="602"/>
      <c r="L340" s="691"/>
      <c r="M340" s="691"/>
      <c r="N340" s="691"/>
      <c r="O340" s="691"/>
      <c r="P340" s="805"/>
      <c r="Q340" s="805"/>
      <c r="R340" s="805"/>
      <c r="S340" s="805"/>
      <c r="T340" s="805"/>
      <c r="U340" s="805"/>
      <c r="V340" s="805"/>
      <c r="W340" s="805"/>
      <c r="X340" s="805"/>
      <c r="Y340" s="805"/>
      <c r="Z340" s="805"/>
      <c r="AA340" s="805"/>
      <c r="AB340" s="805"/>
      <c r="AH340" s="691"/>
    </row>
    <row r="341" spans="1:34" s="620" customFormat="1" ht="19.5" customHeight="1" x14ac:dyDescent="0.25">
      <c r="A341" s="699"/>
      <c r="B341" s="711"/>
      <c r="C341" s="691"/>
      <c r="D341" s="691"/>
      <c r="E341" s="691"/>
      <c r="F341" s="691"/>
      <c r="G341" s="691"/>
      <c r="H341" s="808"/>
      <c r="I341" s="691"/>
      <c r="J341" s="691"/>
      <c r="K341" s="602"/>
      <c r="L341" s="691"/>
      <c r="M341" s="691"/>
      <c r="N341" s="691"/>
      <c r="O341" s="691"/>
      <c r="P341" s="805"/>
      <c r="Q341" s="805"/>
      <c r="R341" s="805"/>
      <c r="S341" s="805"/>
      <c r="T341" s="805"/>
      <c r="U341" s="805"/>
      <c r="V341" s="805"/>
      <c r="W341" s="805"/>
      <c r="X341" s="805"/>
      <c r="Y341" s="805"/>
      <c r="Z341" s="805"/>
      <c r="AA341" s="805"/>
      <c r="AB341" s="805"/>
      <c r="AH341" s="691"/>
    </row>
    <row r="342" spans="1:34" s="620" customFormat="1" ht="19.5" customHeight="1" x14ac:dyDescent="0.25">
      <c r="A342" s="699"/>
      <c r="B342" s="778"/>
      <c r="C342" s="691"/>
      <c r="D342" s="691"/>
      <c r="E342" s="691"/>
      <c r="F342" s="691"/>
      <c r="G342" s="691"/>
      <c r="H342" s="808"/>
      <c r="I342" s="691"/>
      <c r="J342" s="691"/>
      <c r="K342" s="602"/>
      <c r="L342" s="691"/>
      <c r="M342" s="691"/>
      <c r="N342" s="691"/>
      <c r="O342" s="691"/>
      <c r="P342" s="805"/>
      <c r="Q342" s="805"/>
      <c r="R342" s="805"/>
      <c r="S342" s="805"/>
      <c r="T342" s="805"/>
      <c r="U342" s="805"/>
      <c r="V342" s="805"/>
      <c r="W342" s="805"/>
      <c r="X342" s="805"/>
      <c r="Y342" s="805"/>
      <c r="Z342" s="805"/>
      <c r="AA342" s="805"/>
      <c r="AB342" s="805"/>
      <c r="AH342" s="691"/>
    </row>
    <row r="343" spans="1:34" s="620" customFormat="1" ht="19.5" customHeight="1" x14ac:dyDescent="0.2">
      <c r="A343" s="699"/>
      <c r="B343" s="778"/>
      <c r="C343" s="779"/>
      <c r="D343" s="726" t="s">
        <v>5833</v>
      </c>
      <c r="E343" s="699"/>
      <c r="F343" s="781"/>
      <c r="G343" s="699"/>
      <c r="H343" s="782"/>
      <c r="I343" s="783"/>
      <c r="J343" s="784"/>
      <c r="K343" s="602"/>
      <c r="L343" s="785"/>
      <c r="M343" s="784"/>
      <c r="N343" s="786"/>
      <c r="O343" s="784"/>
      <c r="P343" s="717" t="s">
        <v>5834</v>
      </c>
      <c r="Q343" s="787"/>
      <c r="R343" s="787"/>
      <c r="S343" s="787"/>
      <c r="T343" s="787"/>
      <c r="U343" s="787"/>
      <c r="V343" s="787"/>
      <c r="W343" s="787"/>
      <c r="X343" s="787"/>
      <c r="Y343" s="715" t="s">
        <v>5835</v>
      </c>
      <c r="Z343" s="715"/>
      <c r="AA343" s="715"/>
      <c r="AB343" s="805"/>
      <c r="AH343" s="726"/>
    </row>
    <row r="344" spans="1:34" s="620" customFormat="1" ht="19.5" customHeight="1" x14ac:dyDescent="0.2">
      <c r="A344" s="699"/>
      <c r="B344" s="778"/>
      <c r="C344" s="779"/>
      <c r="D344" s="780"/>
      <c r="E344" s="699"/>
      <c r="F344" s="781"/>
      <c r="G344" s="699"/>
      <c r="H344" s="782"/>
      <c r="I344" s="783"/>
      <c r="J344" s="784"/>
      <c r="K344" s="602"/>
      <c r="L344" s="785"/>
      <c r="M344" s="784"/>
      <c r="N344" s="786"/>
      <c r="O344" s="784"/>
      <c r="P344" s="787"/>
      <c r="Q344" s="787"/>
      <c r="R344" s="787"/>
      <c r="S344" s="787"/>
      <c r="T344" s="787"/>
      <c r="U344" s="787"/>
      <c r="V344" s="787"/>
      <c r="W344" s="787"/>
      <c r="X344" s="787"/>
      <c r="Y344" s="787"/>
      <c r="Z344" s="787"/>
      <c r="AA344" s="787"/>
      <c r="AB344" s="805"/>
      <c r="AH344" s="780"/>
    </row>
    <row r="345" spans="1:34" s="620" customFormat="1" ht="19.5" customHeight="1" x14ac:dyDescent="0.2">
      <c r="A345" s="699"/>
      <c r="B345" s="778"/>
      <c r="C345" s="779"/>
      <c r="D345" s="780"/>
      <c r="E345" s="699"/>
      <c r="F345" s="781"/>
      <c r="G345" s="699"/>
      <c r="H345" s="782"/>
      <c r="I345" s="783"/>
      <c r="J345" s="784"/>
      <c r="K345" s="602"/>
      <c r="L345" s="785"/>
      <c r="M345" s="784"/>
      <c r="N345" s="786"/>
      <c r="O345" s="784"/>
      <c r="P345" s="787"/>
      <c r="Q345" s="787"/>
      <c r="R345" s="787"/>
      <c r="S345" s="787"/>
      <c r="T345" s="787"/>
      <c r="U345" s="787"/>
      <c r="V345" s="787"/>
      <c r="W345" s="787"/>
      <c r="X345" s="787"/>
      <c r="Y345" s="787"/>
      <c r="Z345" s="787"/>
      <c r="AA345" s="787"/>
      <c r="AB345" s="805"/>
      <c r="AH345" s="780"/>
    </row>
    <row r="346" spans="1:34" s="620" customFormat="1" ht="19.5" customHeight="1" x14ac:dyDescent="0.2">
      <c r="A346" s="699"/>
      <c r="B346" s="778"/>
      <c r="C346" s="779"/>
      <c r="D346" s="780"/>
      <c r="E346" s="699"/>
      <c r="F346" s="781"/>
      <c r="G346" s="699"/>
      <c r="H346" s="782"/>
      <c r="I346" s="783"/>
      <c r="J346" s="784"/>
      <c r="K346" s="602"/>
      <c r="L346" s="785"/>
      <c r="M346" s="784"/>
      <c r="N346" s="786"/>
      <c r="O346" s="784"/>
      <c r="P346" s="787"/>
      <c r="Q346" s="787"/>
      <c r="R346" s="787"/>
      <c r="S346" s="787"/>
      <c r="T346" s="787"/>
      <c r="U346" s="787"/>
      <c r="V346" s="787"/>
      <c r="W346" s="787"/>
      <c r="X346" s="787"/>
      <c r="Y346" s="787"/>
      <c r="Z346" s="787"/>
      <c r="AA346" s="787"/>
      <c r="AB346" s="805"/>
      <c r="AH346" s="780"/>
    </row>
    <row r="347" spans="1:34" s="620" customFormat="1" ht="19.5" customHeight="1" x14ac:dyDescent="0.2">
      <c r="A347" s="699"/>
      <c r="B347" s="725" t="s">
        <v>6752</v>
      </c>
      <c r="C347" s="726"/>
      <c r="D347" s="724"/>
      <c r="E347" s="724"/>
      <c r="F347" s="724"/>
      <c r="G347" s="724"/>
      <c r="H347" s="725" t="s">
        <v>6116</v>
      </c>
      <c r="I347" s="725"/>
      <c r="K347" s="602"/>
      <c r="L347" s="785"/>
      <c r="M347" s="784"/>
      <c r="N347" s="786"/>
      <c r="O347" s="784"/>
      <c r="P347" s="727" t="s">
        <v>5836</v>
      </c>
      <c r="Q347" s="787"/>
      <c r="R347" s="787"/>
      <c r="S347" s="787"/>
      <c r="T347" s="787"/>
      <c r="U347" s="787"/>
      <c r="V347" s="787"/>
      <c r="W347" s="787"/>
      <c r="X347" s="787"/>
      <c r="Y347" s="715" t="s">
        <v>5847</v>
      </c>
      <c r="Z347" s="715"/>
      <c r="AA347" s="715"/>
      <c r="AB347" s="805"/>
      <c r="AH347" s="724"/>
    </row>
    <row r="348" spans="1:34" s="620" customFormat="1" ht="19.5" customHeight="1" x14ac:dyDescent="0.2">
      <c r="A348" s="699"/>
      <c r="B348" s="725" t="s">
        <v>6753</v>
      </c>
      <c r="C348" s="726"/>
      <c r="D348" s="724"/>
      <c r="E348" s="724"/>
      <c r="F348" s="724"/>
      <c r="G348" s="724"/>
      <c r="H348" s="725" t="s">
        <v>6117</v>
      </c>
      <c r="I348" s="725"/>
      <c r="K348" s="602"/>
      <c r="L348" s="785"/>
      <c r="M348" s="784"/>
      <c r="N348" s="786"/>
      <c r="O348" s="784"/>
      <c r="P348" s="727" t="s">
        <v>5838</v>
      </c>
      <c r="Q348" s="787"/>
      <c r="R348" s="787"/>
      <c r="S348" s="787"/>
      <c r="T348" s="787"/>
      <c r="U348" s="787"/>
      <c r="V348" s="787"/>
      <c r="W348" s="787"/>
      <c r="X348" s="787"/>
      <c r="Y348" s="725" t="s">
        <v>5839</v>
      </c>
      <c r="Z348" s="725"/>
      <c r="AA348" s="725"/>
      <c r="AB348" s="805"/>
      <c r="AH348" s="724"/>
    </row>
    <row r="349" spans="1:34" s="620" customFormat="1" ht="19.5" customHeight="1" x14ac:dyDescent="0.2">
      <c r="A349" s="699"/>
      <c r="B349" s="725" t="s">
        <v>5240</v>
      </c>
      <c r="C349" s="726"/>
      <c r="D349" s="724"/>
      <c r="E349" s="724"/>
      <c r="F349" s="724"/>
      <c r="G349" s="724"/>
      <c r="H349" s="725" t="s">
        <v>5261</v>
      </c>
      <c r="I349" s="725"/>
      <c r="K349" s="602"/>
      <c r="L349" s="785"/>
      <c r="M349" s="784"/>
      <c r="N349" s="786"/>
      <c r="O349" s="784"/>
      <c r="P349" s="727" t="s">
        <v>5840</v>
      </c>
      <c r="Q349" s="787"/>
      <c r="R349" s="787"/>
      <c r="S349" s="787"/>
      <c r="T349" s="787"/>
      <c r="U349" s="787"/>
      <c r="V349" s="787"/>
      <c r="W349" s="787"/>
      <c r="X349" s="787"/>
      <c r="Y349" s="715" t="s">
        <v>5841</v>
      </c>
      <c r="Z349" s="715"/>
      <c r="AA349" s="715"/>
      <c r="AB349" s="805"/>
      <c r="AH349" s="724"/>
    </row>
    <row r="350" spans="1:34" s="620" customFormat="1" ht="19.5" customHeight="1" thickBot="1" x14ac:dyDescent="0.3">
      <c r="A350" s="699"/>
      <c r="B350" s="691"/>
      <c r="C350" s="691"/>
      <c r="D350" s="691"/>
      <c r="E350" s="691"/>
      <c r="F350" s="691"/>
      <c r="G350" s="691"/>
      <c r="H350" s="808"/>
      <c r="I350" s="691"/>
      <c r="J350" s="691"/>
      <c r="K350" s="691"/>
      <c r="L350" s="691"/>
      <c r="M350" s="691"/>
      <c r="N350" s="809"/>
      <c r="O350" s="691"/>
      <c r="P350" s="787"/>
      <c r="Q350" s="787"/>
      <c r="R350" s="787"/>
      <c r="S350" s="787"/>
      <c r="T350" s="787"/>
      <c r="U350" s="787"/>
      <c r="V350" s="787"/>
      <c r="W350" s="787"/>
      <c r="X350" s="787"/>
      <c r="Y350" s="787"/>
      <c r="Z350" s="787"/>
      <c r="AA350" s="787"/>
      <c r="AB350" s="787"/>
      <c r="AH350" s="691"/>
    </row>
    <row r="351" spans="1:34" s="698" customFormat="1" ht="18.75" thickBot="1" x14ac:dyDescent="0.3">
      <c r="A351" s="689" t="s">
        <v>4563</v>
      </c>
      <c r="B351" s="746" t="str">
        <f>+"OBREROS FIJOS_NOMINA_4TO PAGO AGUINALDOS"</f>
        <v>OBREROS FIJOS_NOMINA_4TO PAGO AGUINALDOS</v>
      </c>
      <c r="C351" s="690"/>
      <c r="D351" s="691"/>
      <c r="E351" s="692"/>
      <c r="F351" s="691"/>
      <c r="G351" s="693"/>
      <c r="H351" s="694"/>
      <c r="I351" s="695"/>
      <c r="J351" s="695"/>
      <c r="K351" s="695"/>
      <c r="L351" s="695"/>
      <c r="M351" s="695"/>
      <c r="N351" s="810"/>
      <c r="O351" s="695"/>
      <c r="P351" s="811"/>
      <c r="Q351" s="811"/>
      <c r="R351" s="696"/>
      <c r="S351" s="696"/>
      <c r="T351" s="696"/>
      <c r="U351" s="696"/>
      <c r="V351" s="696"/>
      <c r="W351" s="812"/>
      <c r="X351" s="812"/>
      <c r="Y351" s="812"/>
      <c r="Z351" s="812"/>
      <c r="AA351" s="812"/>
      <c r="AB351" s="697"/>
      <c r="AH351" s="691"/>
    </row>
    <row r="352" spans="1:34" s="620" customFormat="1" ht="19.5" customHeight="1" thickBot="1" x14ac:dyDescent="0.25">
      <c r="A352" s="758" t="s">
        <v>2846</v>
      </c>
      <c r="B352" s="759">
        <v>1</v>
      </c>
      <c r="C352" s="1102">
        <f>NOMINA!C305</f>
        <v>5505183</v>
      </c>
      <c r="D352" s="1103" t="str">
        <f>NOMINA!D305</f>
        <v>Paredes Marquez Eduardo Jesus</v>
      </c>
      <c r="E352" s="1461" t="s">
        <v>4622</v>
      </c>
      <c r="F352" s="1110">
        <v>32351</v>
      </c>
      <c r="G352" s="1461" t="s">
        <v>4620</v>
      </c>
      <c r="H352" s="1442">
        <f>NOMINA!H305</f>
        <v>44562</v>
      </c>
      <c r="I352" s="1105">
        <f>NOMINA!I303</f>
        <v>2083</v>
      </c>
      <c r="J352" s="1106">
        <f>NOMINA!J303</f>
        <v>330</v>
      </c>
      <c r="K352" s="1105">
        <f t="shared" ref="K352:K415" si="23">I352+J352</f>
        <v>2413</v>
      </c>
      <c r="L352" s="1106" t="s">
        <v>4932</v>
      </c>
      <c r="M352" s="1106"/>
      <c r="N352" s="1443" t="str">
        <f>NOMINA!O305</f>
        <v>Ayudante de Servicios Generales</v>
      </c>
      <c r="O352" s="1106">
        <v>1.02087691000006E+18</v>
      </c>
      <c r="P352" s="1107">
        <f>ROUND(+NOMINA!T305,2)</f>
        <v>152</v>
      </c>
      <c r="Q352" s="1108">
        <v>0</v>
      </c>
      <c r="R352" s="1108">
        <f>ROUND(+NOMINA!AA305,2)</f>
        <v>20.98</v>
      </c>
      <c r="S352" s="1108">
        <f>ROUND(+NOMINA!AB305,2)</f>
        <v>130</v>
      </c>
      <c r="T352" s="1108">
        <f>ROUND(+NOMINA!AC305,2)</f>
        <v>0</v>
      </c>
      <c r="U352" s="1108">
        <f>ROUND(+NOMINA!AD305,2)</f>
        <v>0</v>
      </c>
      <c r="V352" s="1108">
        <f>ROUND(NOMINA!AQ305,2)</f>
        <v>0</v>
      </c>
      <c r="W352" s="1108">
        <f>+NOMINA!AS305</f>
        <v>0</v>
      </c>
      <c r="X352" s="1108">
        <f>+NOMINA!AT305</f>
        <v>0</v>
      </c>
      <c r="Y352" s="1108">
        <f>+NOMINA!AU305</f>
        <v>302.98</v>
      </c>
      <c r="Z352" s="1108">
        <f>+NOMINA!BX305</f>
        <v>568.09</v>
      </c>
      <c r="AA352" s="1108">
        <f>+NOMINA!BY305</f>
        <v>0</v>
      </c>
      <c r="AB352" s="1108">
        <f t="shared" ref="AB352:AB415" si="24">+Z352+AA352</f>
        <v>568.09</v>
      </c>
      <c r="AD352" s="625"/>
      <c r="AH352" s="1467" t="str">
        <f>NOMINA!P305</f>
        <v>01020369460000170309</v>
      </c>
    </row>
    <row r="353" spans="1:34" s="620" customFormat="1" ht="19.5" customHeight="1" thickBot="1" x14ac:dyDescent="0.25">
      <c r="A353" s="758" t="s">
        <v>2846</v>
      </c>
      <c r="B353" s="759">
        <f t="shared" ref="B353:B416" si="25">+B352+1</f>
        <v>2</v>
      </c>
      <c r="C353" s="1102">
        <f>NOMINA!C306</f>
        <v>5757455</v>
      </c>
      <c r="D353" s="1103" t="str">
        <f>NOMINA!D306</f>
        <v>Ramirez Garcia Maria Perpetua</v>
      </c>
      <c r="E353" s="1461" t="s">
        <v>4622</v>
      </c>
      <c r="F353" s="1110">
        <v>32351</v>
      </c>
      <c r="G353" s="1461" t="s">
        <v>4620</v>
      </c>
      <c r="H353" s="1442">
        <f>NOMINA!H306</f>
        <v>39409</v>
      </c>
      <c r="I353" s="1105">
        <f>NOMINA!I304</f>
        <v>0</v>
      </c>
      <c r="J353" s="1106">
        <f>NOMINA!J304</f>
        <v>0</v>
      </c>
      <c r="K353" s="1105">
        <f t="shared" si="23"/>
        <v>0</v>
      </c>
      <c r="L353" s="1106" t="s">
        <v>4932</v>
      </c>
      <c r="M353" s="1106"/>
      <c r="N353" s="1443" t="str">
        <f>NOMINA!O306</f>
        <v>Cocinera</v>
      </c>
      <c r="O353" s="1106">
        <v>1.02087691000006E+18</v>
      </c>
      <c r="P353" s="1107">
        <f>ROUND(+NOMINA!T306,2)</f>
        <v>171</v>
      </c>
      <c r="Q353" s="1108">
        <v>0</v>
      </c>
      <c r="R353" s="1108">
        <f>ROUND(+NOMINA!AA306,2)</f>
        <v>36.25</v>
      </c>
      <c r="S353" s="1108">
        <f>ROUND(+NOMINA!AB306,2)</f>
        <v>130</v>
      </c>
      <c r="T353" s="1108">
        <f>ROUND(+NOMINA!AC306,2)</f>
        <v>0</v>
      </c>
      <c r="U353" s="1108">
        <f>ROUND(+NOMINA!AD306,2)</f>
        <v>0</v>
      </c>
      <c r="V353" s="1108">
        <f>ROUND(NOMINA!AQ306,2)</f>
        <v>0</v>
      </c>
      <c r="W353" s="1108">
        <f>+NOMINA!AS306</f>
        <v>0</v>
      </c>
      <c r="X353" s="1108">
        <f>+NOMINA!AT306</f>
        <v>0</v>
      </c>
      <c r="Y353" s="1108">
        <f>+NOMINA!AU306</f>
        <v>337.25</v>
      </c>
      <c r="Z353" s="1108">
        <f>+NOMINA!BX306</f>
        <v>632.35</v>
      </c>
      <c r="AA353" s="1108">
        <f>+NOMINA!BY306</f>
        <v>0</v>
      </c>
      <c r="AB353" s="1108">
        <f t="shared" si="24"/>
        <v>632.35</v>
      </c>
      <c r="AD353" s="625"/>
      <c r="AH353" s="1467" t="str">
        <f>NOMINA!P306</f>
        <v>01020373230000439626</v>
      </c>
    </row>
    <row r="354" spans="1:34" s="620" customFormat="1" ht="19.5" customHeight="1" thickBot="1" x14ac:dyDescent="0.25">
      <c r="A354" s="758" t="s">
        <v>2846</v>
      </c>
      <c r="B354" s="759">
        <f t="shared" si="25"/>
        <v>3</v>
      </c>
      <c r="C354" s="1102">
        <f>NOMINA!C307</f>
        <v>5762185</v>
      </c>
      <c r="D354" s="1103" t="str">
        <f>NOMINA!D307</f>
        <v>Salas Quintero Jose Gregorio</v>
      </c>
      <c r="E354" s="1461" t="s">
        <v>4622</v>
      </c>
      <c r="F354" s="1110">
        <v>32351</v>
      </c>
      <c r="G354" s="1461" t="s">
        <v>4620</v>
      </c>
      <c r="H354" s="1442">
        <f>NOMINA!H307</f>
        <v>37622</v>
      </c>
      <c r="I354" s="1105">
        <f>NOMINA!I305</f>
        <v>3</v>
      </c>
      <c r="J354" s="1106">
        <f>NOMINA!J305</f>
        <v>9</v>
      </c>
      <c r="K354" s="1105">
        <f t="shared" si="23"/>
        <v>12</v>
      </c>
      <c r="L354" s="1106" t="s">
        <v>4932</v>
      </c>
      <c r="M354" s="1106"/>
      <c r="N354" s="1443" t="str">
        <f>NOMINA!O307</f>
        <v>Vigilante</v>
      </c>
      <c r="O354" s="1106">
        <v>1.02087691000006E+18</v>
      </c>
      <c r="P354" s="1107">
        <f>ROUND(+NOMINA!T307,2)</f>
        <v>171</v>
      </c>
      <c r="Q354" s="1108">
        <v>0</v>
      </c>
      <c r="R354" s="1108">
        <f>ROUND(+NOMINA!AA307,2)</f>
        <v>50.62</v>
      </c>
      <c r="S354" s="1108">
        <f>ROUND(+NOMINA!AB307,2)</f>
        <v>130</v>
      </c>
      <c r="T354" s="1108">
        <f>ROUND(+NOMINA!AC307,2)</f>
        <v>0</v>
      </c>
      <c r="U354" s="1108">
        <f>ROUND(+NOMINA!AD307,2)</f>
        <v>0</v>
      </c>
      <c r="V354" s="1108">
        <f>ROUND(NOMINA!AQ307,2)</f>
        <v>0</v>
      </c>
      <c r="W354" s="1108">
        <f>+NOMINA!AS307</f>
        <v>0</v>
      </c>
      <c r="X354" s="1108">
        <f>+NOMINA!AT307</f>
        <v>0</v>
      </c>
      <c r="Y354" s="1108">
        <f>+NOMINA!AU307</f>
        <v>351.62</v>
      </c>
      <c r="Z354" s="1108">
        <f>+NOMINA!BX307</f>
        <v>659.29</v>
      </c>
      <c r="AA354" s="1108">
        <f>+NOMINA!BY307</f>
        <v>0</v>
      </c>
      <c r="AB354" s="1108">
        <f t="shared" si="24"/>
        <v>659.29</v>
      </c>
      <c r="AD354" s="625"/>
      <c r="AH354" s="1467" t="str">
        <f>NOMINA!P307</f>
        <v>01020373250000439639</v>
      </c>
    </row>
    <row r="355" spans="1:34" s="620" customFormat="1" ht="19.5" customHeight="1" thickBot="1" x14ac:dyDescent="0.25">
      <c r="A355" s="758" t="s">
        <v>2846</v>
      </c>
      <c r="B355" s="759">
        <f t="shared" si="25"/>
        <v>4</v>
      </c>
      <c r="C355" s="1102">
        <f>NOMINA!C308</f>
        <v>6332524</v>
      </c>
      <c r="D355" s="1103" t="str">
        <f>NOMINA!D308</f>
        <v>Flores Diana Yamilet</v>
      </c>
      <c r="E355" s="1461" t="s">
        <v>4622</v>
      </c>
      <c r="F355" s="1110">
        <v>32351</v>
      </c>
      <c r="G355" s="1461" t="s">
        <v>4620</v>
      </c>
      <c r="H355" s="1442">
        <f>NOMINA!H308</f>
        <v>42948</v>
      </c>
      <c r="I355" s="1105">
        <f>NOMINA!I306</f>
        <v>17</v>
      </c>
      <c r="J355" s="1106">
        <f>NOMINA!J306</f>
        <v>0</v>
      </c>
      <c r="K355" s="1105">
        <f t="shared" si="23"/>
        <v>17</v>
      </c>
      <c r="L355" s="1106" t="s">
        <v>4932</v>
      </c>
      <c r="M355" s="1106"/>
      <c r="N355" s="1443" t="str">
        <f>NOMINA!O308</f>
        <v>Cocinera</v>
      </c>
      <c r="O355" s="1106">
        <v>1.02087691000006E+18</v>
      </c>
      <c r="P355" s="1107">
        <f>ROUND(+NOMINA!T308,2)</f>
        <v>171</v>
      </c>
      <c r="Q355" s="1108">
        <v>0</v>
      </c>
      <c r="R355" s="1108">
        <f>ROUND(+NOMINA!AA308,2)</f>
        <v>14.71</v>
      </c>
      <c r="S355" s="1108">
        <f>ROUND(+NOMINA!AB308,2)</f>
        <v>130</v>
      </c>
      <c r="T355" s="1108">
        <f>ROUND(+NOMINA!AC308,2)</f>
        <v>0</v>
      </c>
      <c r="U355" s="1108">
        <f>ROUND(+NOMINA!AD308,2)</f>
        <v>0</v>
      </c>
      <c r="V355" s="1108">
        <f>ROUND(NOMINA!AQ308,2)</f>
        <v>0</v>
      </c>
      <c r="W355" s="1108">
        <f>+NOMINA!AS308</f>
        <v>0</v>
      </c>
      <c r="X355" s="1108">
        <f>+NOMINA!AT308</f>
        <v>0</v>
      </c>
      <c r="Y355" s="1108">
        <f>+NOMINA!AU308</f>
        <v>315.71000000000004</v>
      </c>
      <c r="Z355" s="1108">
        <f>+NOMINA!BX308</f>
        <v>591.96</v>
      </c>
      <c r="AA355" s="1108">
        <f>+NOMINA!BY308</f>
        <v>0</v>
      </c>
      <c r="AB355" s="1108">
        <f t="shared" si="24"/>
        <v>591.96</v>
      </c>
      <c r="AD355" s="625"/>
      <c r="AH355" s="1467" t="str">
        <f>NOMINA!P308</f>
        <v>01020373220000457925</v>
      </c>
    </row>
    <row r="356" spans="1:34" s="620" customFormat="1" ht="19.5" customHeight="1" thickBot="1" x14ac:dyDescent="0.25">
      <c r="A356" s="758" t="s">
        <v>2846</v>
      </c>
      <c r="B356" s="759">
        <f t="shared" si="25"/>
        <v>5</v>
      </c>
      <c r="C356" s="1102">
        <f>NOMINA!C309</f>
        <v>6902701</v>
      </c>
      <c r="D356" s="1103" t="str">
        <f>NOMINA!D309</f>
        <v>Santiago Torres Jose Ramon</v>
      </c>
      <c r="E356" s="1461" t="s">
        <v>4622</v>
      </c>
      <c r="F356" s="1110">
        <v>32351</v>
      </c>
      <c r="G356" s="1461" t="s">
        <v>4620</v>
      </c>
      <c r="H356" s="1442">
        <f>NOMINA!H309</f>
        <v>44228</v>
      </c>
      <c r="I356" s="1105">
        <f>NOMINA!I307</f>
        <v>22</v>
      </c>
      <c r="J356" s="1106">
        <f>NOMINA!J307</f>
        <v>0</v>
      </c>
      <c r="K356" s="1105">
        <f t="shared" si="23"/>
        <v>22</v>
      </c>
      <c r="L356" s="1106" t="s">
        <v>4932</v>
      </c>
      <c r="M356" s="1106"/>
      <c r="N356" s="1443" t="str">
        <f>NOMINA!O309</f>
        <v>Mensajero</v>
      </c>
      <c r="O356" s="1106">
        <v>1.02087691000006E+18</v>
      </c>
      <c r="P356" s="1107">
        <f>ROUND(+NOMINA!T309,2)</f>
        <v>142</v>
      </c>
      <c r="Q356" s="1108">
        <v>0</v>
      </c>
      <c r="R356" s="1108">
        <f>ROUND(+NOMINA!AA309,2)</f>
        <v>5.68</v>
      </c>
      <c r="S356" s="1108">
        <f>ROUND(+NOMINA!AB309,2)</f>
        <v>130</v>
      </c>
      <c r="T356" s="1108">
        <f>ROUND(+NOMINA!AC309,2)</f>
        <v>12.5</v>
      </c>
      <c r="U356" s="1108">
        <f>ROUND(+NOMINA!AD309,2)</f>
        <v>0</v>
      </c>
      <c r="V356" s="1108">
        <f>ROUND(NOMINA!AQ309,2)</f>
        <v>0</v>
      </c>
      <c r="W356" s="1108">
        <f>+NOMINA!AS309</f>
        <v>0</v>
      </c>
      <c r="X356" s="1108">
        <f>+NOMINA!AT309</f>
        <v>0</v>
      </c>
      <c r="Y356" s="1108">
        <f>+NOMINA!AU309</f>
        <v>290.18</v>
      </c>
      <c r="Z356" s="1108">
        <f>+NOMINA!BX309</f>
        <v>544.09</v>
      </c>
      <c r="AA356" s="1108">
        <f>+NOMINA!BY309</f>
        <v>0</v>
      </c>
      <c r="AB356" s="1108">
        <f t="shared" si="24"/>
        <v>544.09</v>
      </c>
      <c r="AD356" s="625"/>
      <c r="AH356" s="1467" t="str">
        <f>NOMINA!P309</f>
        <v>01020494140100019952</v>
      </c>
    </row>
    <row r="357" spans="1:34" s="620" customFormat="1" ht="19.5" customHeight="1" thickBot="1" x14ac:dyDescent="0.25">
      <c r="A357" s="758" t="s">
        <v>2846</v>
      </c>
      <c r="B357" s="759">
        <f t="shared" si="25"/>
        <v>6</v>
      </c>
      <c r="C357" s="1102">
        <f>NOMINA!C310</f>
        <v>7252065</v>
      </c>
      <c r="D357" s="1103" t="str">
        <f>NOMINA!D310</f>
        <v>Rivas Rivas Jose Gerardo</v>
      </c>
      <c r="E357" s="1461" t="s">
        <v>4622</v>
      </c>
      <c r="F357" s="1110">
        <v>32351</v>
      </c>
      <c r="G357" s="1461" t="s">
        <v>4620</v>
      </c>
      <c r="H357" s="1442">
        <f>NOMINA!H310</f>
        <v>43891</v>
      </c>
      <c r="I357" s="1105">
        <f>NOMINA!I308</f>
        <v>8</v>
      </c>
      <c r="J357" s="1106">
        <f>NOMINA!J308</f>
        <v>0</v>
      </c>
      <c r="K357" s="1105">
        <f t="shared" si="23"/>
        <v>8</v>
      </c>
      <c r="L357" s="1106" t="s">
        <v>4932</v>
      </c>
      <c r="M357" s="1106"/>
      <c r="N357" s="1443" t="str">
        <f>NOMINA!O310</f>
        <v>Ayudante de Servicios Generales</v>
      </c>
      <c r="O357" s="1106">
        <v>1.02087691000006E+18</v>
      </c>
      <c r="P357" s="1107">
        <f>ROUND(+NOMINA!T310,2)</f>
        <v>152</v>
      </c>
      <c r="Q357" s="1108">
        <v>0</v>
      </c>
      <c r="R357" s="1108">
        <f>ROUND(+NOMINA!AA310,2)</f>
        <v>7.6</v>
      </c>
      <c r="S357" s="1108">
        <f>ROUND(+NOMINA!AB310,2)</f>
        <v>130</v>
      </c>
      <c r="T357" s="1108">
        <f>ROUND(+NOMINA!AC310,2)</f>
        <v>0</v>
      </c>
      <c r="U357" s="1108">
        <f>ROUND(+NOMINA!AD310,2)</f>
        <v>0</v>
      </c>
      <c r="V357" s="1108">
        <f>ROUND(NOMINA!AQ310,2)</f>
        <v>0</v>
      </c>
      <c r="W357" s="1108">
        <f>+NOMINA!AS310</f>
        <v>0</v>
      </c>
      <c r="X357" s="1108">
        <f>+NOMINA!AT310</f>
        <v>0</v>
      </c>
      <c r="Y357" s="1108">
        <f>+NOMINA!AU310</f>
        <v>376.48</v>
      </c>
      <c r="Z357" s="1108">
        <f>+NOMINA!BX310</f>
        <v>705.9</v>
      </c>
      <c r="AA357" s="1108">
        <f>+NOMINA!BY310</f>
        <v>0</v>
      </c>
      <c r="AB357" s="1108">
        <f t="shared" si="24"/>
        <v>705.9</v>
      </c>
      <c r="AD357" s="625"/>
      <c r="AH357" s="1467" t="str">
        <f>NOMINA!P310</f>
        <v>01020373250000677572</v>
      </c>
    </row>
    <row r="358" spans="1:34" s="620" customFormat="1" ht="19.5" customHeight="1" thickBot="1" x14ac:dyDescent="0.25">
      <c r="A358" s="758" t="s">
        <v>2846</v>
      </c>
      <c r="B358" s="759">
        <f t="shared" si="25"/>
        <v>7</v>
      </c>
      <c r="C358" s="1102">
        <f>NOMINA!C311</f>
        <v>9008311</v>
      </c>
      <c r="D358" s="1103" t="str">
        <f>NOMINA!D311</f>
        <v>Toro Margi Enrique</v>
      </c>
      <c r="E358" s="1461" t="s">
        <v>4622</v>
      </c>
      <c r="F358" s="1110">
        <v>32351</v>
      </c>
      <c r="G358" s="1461" t="s">
        <v>4620</v>
      </c>
      <c r="H358" s="1442">
        <f>NOMINA!H311</f>
        <v>39265</v>
      </c>
      <c r="I358" s="1105">
        <f>NOMINA!I309</f>
        <v>4</v>
      </c>
      <c r="J358" s="1106">
        <f>NOMINA!J309</f>
        <v>0</v>
      </c>
      <c r="K358" s="1105">
        <f t="shared" si="23"/>
        <v>4</v>
      </c>
      <c r="L358" s="1106" t="s">
        <v>4932</v>
      </c>
      <c r="M358" s="1106"/>
      <c r="N358" s="1443" t="str">
        <f>NOMINA!O311</f>
        <v>Ayudante de Servicios Generales</v>
      </c>
      <c r="O358" s="1106">
        <v>1.02087691000006E+18</v>
      </c>
      <c r="P358" s="1107">
        <f>ROUND(+NOMINA!T311,2)</f>
        <v>152</v>
      </c>
      <c r="Q358" s="1108">
        <v>0</v>
      </c>
      <c r="R358" s="1108">
        <f>ROUND(+NOMINA!AA311,2)</f>
        <v>34.659999999999997</v>
      </c>
      <c r="S358" s="1108">
        <f>ROUND(+NOMINA!AB311,2)</f>
        <v>130</v>
      </c>
      <c r="T358" s="1108">
        <f>ROUND(+NOMINA!AC311,2)</f>
        <v>0</v>
      </c>
      <c r="U358" s="1108">
        <f>ROUND(+NOMINA!AD311,2)</f>
        <v>0</v>
      </c>
      <c r="V358" s="1108">
        <f>ROUND(NOMINA!AQ311,2)</f>
        <v>0</v>
      </c>
      <c r="W358" s="1108">
        <f>+NOMINA!AS311</f>
        <v>0</v>
      </c>
      <c r="X358" s="1108">
        <f>+NOMINA!AT311</f>
        <v>0</v>
      </c>
      <c r="Y358" s="1108">
        <f>+NOMINA!AU311</f>
        <v>316.65999999999997</v>
      </c>
      <c r="Z358" s="1108">
        <f>+NOMINA!BX311</f>
        <v>593.74</v>
      </c>
      <c r="AA358" s="1108">
        <f>+NOMINA!BY311</f>
        <v>0</v>
      </c>
      <c r="AB358" s="1108">
        <f t="shared" si="24"/>
        <v>593.74</v>
      </c>
      <c r="AD358" s="625"/>
      <c r="AH358" s="1467" t="str">
        <f>NOMINA!P311</f>
        <v>01020373290000439024</v>
      </c>
    </row>
    <row r="359" spans="1:34" s="620" customFormat="1" ht="19.5" customHeight="1" thickBot="1" x14ac:dyDescent="0.25">
      <c r="A359" s="758" t="s">
        <v>2846</v>
      </c>
      <c r="B359" s="759">
        <f t="shared" si="25"/>
        <v>8</v>
      </c>
      <c r="C359" s="1102">
        <f>NOMINA!C312</f>
        <v>9011963</v>
      </c>
      <c r="D359" s="1103" t="str">
        <f>NOMINA!D312</f>
        <v>Alarcon Argenio</v>
      </c>
      <c r="E359" s="1461" t="s">
        <v>4622</v>
      </c>
      <c r="F359" s="1110">
        <v>32351</v>
      </c>
      <c r="G359" s="1461" t="s">
        <v>4620</v>
      </c>
      <c r="H359" s="1442">
        <f>NOMINA!H312</f>
        <v>39820</v>
      </c>
      <c r="I359" s="1105">
        <f>NOMINA!I310</f>
        <v>5</v>
      </c>
      <c r="J359" s="1106">
        <f>NOMINA!J310</f>
        <v>0</v>
      </c>
      <c r="K359" s="1105">
        <f t="shared" si="23"/>
        <v>5</v>
      </c>
      <c r="L359" s="1106" t="s">
        <v>4932</v>
      </c>
      <c r="M359" s="1106"/>
      <c r="N359" s="1443" t="str">
        <f>NOMINA!O312</f>
        <v>Ayudante de Servicios Generales</v>
      </c>
      <c r="O359" s="1106">
        <v>1.02087691000006E+18</v>
      </c>
      <c r="P359" s="1107">
        <f>ROUND(+NOMINA!T312,2)</f>
        <v>152</v>
      </c>
      <c r="Q359" s="1108">
        <v>0</v>
      </c>
      <c r="R359" s="1108">
        <f>ROUND(+NOMINA!AA312,2)</f>
        <v>29.79</v>
      </c>
      <c r="S359" s="1108">
        <f>ROUND(+NOMINA!AB312,2)</f>
        <v>130</v>
      </c>
      <c r="T359" s="1108">
        <f>ROUND(+NOMINA!AC312,2)</f>
        <v>0</v>
      </c>
      <c r="U359" s="1108">
        <f>ROUND(+NOMINA!AD312,2)</f>
        <v>0</v>
      </c>
      <c r="V359" s="1108">
        <f>ROUND(NOMINA!AQ312,2)</f>
        <v>0</v>
      </c>
      <c r="W359" s="1108">
        <f>+NOMINA!AS312</f>
        <v>0</v>
      </c>
      <c r="X359" s="1108">
        <f>+NOMINA!AT312</f>
        <v>0</v>
      </c>
      <c r="Y359" s="1108">
        <f>+NOMINA!AU312</f>
        <v>311.78999999999996</v>
      </c>
      <c r="Z359" s="1108">
        <f>+NOMINA!BX312</f>
        <v>584.61</v>
      </c>
      <c r="AA359" s="1108">
        <f>+NOMINA!BY312</f>
        <v>0</v>
      </c>
      <c r="AB359" s="1108">
        <f t="shared" si="24"/>
        <v>584.61</v>
      </c>
      <c r="AD359" s="625"/>
      <c r="AH359" s="1467" t="str">
        <f>NOMINA!P312</f>
        <v>01020373200000441203</v>
      </c>
    </row>
    <row r="360" spans="1:34" s="620" customFormat="1" ht="19.5" customHeight="1" thickBot="1" x14ac:dyDescent="0.25">
      <c r="A360" s="758" t="s">
        <v>2846</v>
      </c>
      <c r="B360" s="759">
        <f t="shared" si="25"/>
        <v>9</v>
      </c>
      <c r="C360" s="1102">
        <f>NOMINA!C313</f>
        <v>9100500</v>
      </c>
      <c r="D360" s="1103" t="str">
        <f>NOMINA!D313</f>
        <v>Hernandez de Villegas Zoraida Elodia</v>
      </c>
      <c r="E360" s="1461" t="s">
        <v>4622</v>
      </c>
      <c r="F360" s="1110">
        <v>32351</v>
      </c>
      <c r="G360" s="1461" t="s">
        <v>4620</v>
      </c>
      <c r="H360" s="1442">
        <f>NOMINA!H313</f>
        <v>39496</v>
      </c>
      <c r="I360" s="1105">
        <f>NOMINA!I311</f>
        <v>18</v>
      </c>
      <c r="J360" s="1106">
        <f>NOMINA!J311</f>
        <v>0</v>
      </c>
      <c r="K360" s="1105">
        <f t="shared" si="23"/>
        <v>18</v>
      </c>
      <c r="L360" s="1106" t="s">
        <v>4932</v>
      </c>
      <c r="M360" s="1106"/>
      <c r="N360" s="1443" t="str">
        <f>NOMINA!O313</f>
        <v>Aseadora</v>
      </c>
      <c r="O360" s="1106">
        <v>1.02087691000006E+18</v>
      </c>
      <c r="P360" s="1107">
        <f>ROUND(+NOMINA!T313,2)</f>
        <v>130</v>
      </c>
      <c r="Q360" s="1108">
        <v>0</v>
      </c>
      <c r="R360" s="1108">
        <f>ROUND(+NOMINA!AA313,2)</f>
        <v>27.56</v>
      </c>
      <c r="S360" s="1108">
        <f>ROUND(+NOMINA!AB313,2)</f>
        <v>130</v>
      </c>
      <c r="T360" s="1108">
        <f>ROUND(+NOMINA!AC313,2)</f>
        <v>0</v>
      </c>
      <c r="U360" s="1108">
        <f>ROUND(+NOMINA!AD313,2)</f>
        <v>0</v>
      </c>
      <c r="V360" s="1108">
        <f>ROUND(NOMINA!AQ313,2)</f>
        <v>0</v>
      </c>
      <c r="W360" s="1108">
        <f>+NOMINA!AS313</f>
        <v>0</v>
      </c>
      <c r="X360" s="1108">
        <f>+NOMINA!AT313</f>
        <v>0</v>
      </c>
      <c r="Y360" s="1108">
        <f>+NOMINA!AU313</f>
        <v>287.56</v>
      </c>
      <c r="Z360" s="1108">
        <f>+NOMINA!BX313</f>
        <v>539.17999999999995</v>
      </c>
      <c r="AA360" s="1108">
        <f>+NOMINA!BY313</f>
        <v>0</v>
      </c>
      <c r="AB360" s="1108">
        <f t="shared" si="24"/>
        <v>539.17999999999995</v>
      </c>
      <c r="AD360" s="625"/>
      <c r="AH360" s="1467" t="str">
        <f>NOMINA!P313</f>
        <v>01020373230000441232</v>
      </c>
    </row>
    <row r="361" spans="1:34" s="620" customFormat="1" ht="19.5" customHeight="1" thickBot="1" x14ac:dyDescent="0.25">
      <c r="A361" s="758" t="s">
        <v>2846</v>
      </c>
      <c r="B361" s="759">
        <f t="shared" si="25"/>
        <v>10</v>
      </c>
      <c r="C361" s="1102">
        <f>NOMINA!C314</f>
        <v>9110498</v>
      </c>
      <c r="D361" s="1103" t="str">
        <f>NOMINA!D314</f>
        <v>Ruiz Alberto Jose</v>
      </c>
      <c r="E361" s="1461" t="s">
        <v>4622</v>
      </c>
      <c r="F361" s="1110">
        <v>32351</v>
      </c>
      <c r="G361" s="1461" t="s">
        <v>4620</v>
      </c>
      <c r="H361" s="1442">
        <f>NOMINA!H314</f>
        <v>37508</v>
      </c>
      <c r="I361" s="1105">
        <f>NOMINA!I312</f>
        <v>16</v>
      </c>
      <c r="J361" s="1106">
        <f>NOMINA!J312</f>
        <v>0</v>
      </c>
      <c r="K361" s="1105">
        <f t="shared" si="23"/>
        <v>16</v>
      </c>
      <c r="L361" s="1106" t="s">
        <v>4932</v>
      </c>
      <c r="M361" s="1106"/>
      <c r="N361" s="1443" t="str">
        <f>NOMINA!O314</f>
        <v>Ayudante de Servicios Generales</v>
      </c>
      <c r="O361" s="1106">
        <v>1.02087691000006E+18</v>
      </c>
      <c r="P361" s="1107">
        <f>ROUND(+NOMINA!T314,2)</f>
        <v>152</v>
      </c>
      <c r="Q361" s="1108">
        <v>0</v>
      </c>
      <c r="R361" s="1108">
        <f>ROUND(+NOMINA!AA314,2)</f>
        <v>45.6</v>
      </c>
      <c r="S361" s="1108">
        <f>ROUND(+NOMINA!AB314,2)</f>
        <v>130</v>
      </c>
      <c r="T361" s="1108">
        <f>ROUND(+NOMINA!AC314,2)</f>
        <v>0</v>
      </c>
      <c r="U361" s="1108">
        <f>ROUND(+NOMINA!AD314,2)</f>
        <v>0</v>
      </c>
      <c r="V361" s="1108">
        <f>ROUND(NOMINA!AQ314,2)</f>
        <v>0</v>
      </c>
      <c r="W361" s="1108">
        <f>+NOMINA!AS314</f>
        <v>0</v>
      </c>
      <c r="X361" s="1108">
        <f>+NOMINA!AT314</f>
        <v>0</v>
      </c>
      <c r="Y361" s="1108">
        <f>+NOMINA!AU314</f>
        <v>327.60000000000002</v>
      </c>
      <c r="Z361" s="1108">
        <f>+NOMINA!BX314</f>
        <v>614.25</v>
      </c>
      <c r="AA361" s="1108">
        <f>+NOMINA!BY314</f>
        <v>0</v>
      </c>
      <c r="AB361" s="1108">
        <f t="shared" si="24"/>
        <v>614.25</v>
      </c>
      <c r="AD361" s="625"/>
      <c r="AH361" s="1467" t="str">
        <f>NOMINA!P314</f>
        <v>01020373250000441245</v>
      </c>
    </row>
    <row r="362" spans="1:34" s="620" customFormat="1" ht="19.5" customHeight="1" thickBot="1" x14ac:dyDescent="0.25">
      <c r="A362" s="758" t="s">
        <v>2846</v>
      </c>
      <c r="B362" s="759">
        <f t="shared" si="25"/>
        <v>11</v>
      </c>
      <c r="C362" s="1102">
        <f>NOMINA!C315</f>
        <v>9163994</v>
      </c>
      <c r="D362" s="1103" t="str">
        <f>NOMINA!D315</f>
        <v>Rodriguez Fernandez Carlos Eduardo</v>
      </c>
      <c r="E362" s="1461" t="s">
        <v>4622</v>
      </c>
      <c r="F362" s="1110">
        <v>32351</v>
      </c>
      <c r="G362" s="1461" t="s">
        <v>4620</v>
      </c>
      <c r="H362" s="1442">
        <f>NOMINA!H315</f>
        <v>43770</v>
      </c>
      <c r="I362" s="1105">
        <f>NOMINA!I313</f>
        <v>17</v>
      </c>
      <c r="J362" s="1106">
        <f>NOMINA!J313</f>
        <v>0</v>
      </c>
      <c r="K362" s="1105">
        <f t="shared" si="23"/>
        <v>17</v>
      </c>
      <c r="L362" s="1106" t="s">
        <v>4932</v>
      </c>
      <c r="M362" s="1106"/>
      <c r="N362" s="1443" t="str">
        <f>NOMINA!O315</f>
        <v>Ayudante de Almacen</v>
      </c>
      <c r="O362" s="1106">
        <v>1.02087691000006E+18</v>
      </c>
      <c r="P362" s="1107">
        <f>ROUND(+NOMINA!T315,2)</f>
        <v>171</v>
      </c>
      <c r="Q362" s="1108">
        <v>0</v>
      </c>
      <c r="R362" s="1108">
        <f>ROUND(+NOMINA!AA315,2)</f>
        <v>8.5500000000000007</v>
      </c>
      <c r="S362" s="1108">
        <f>ROUND(+NOMINA!AB315,2)</f>
        <v>130</v>
      </c>
      <c r="T362" s="1108">
        <f>ROUND(+NOMINA!AC315,2)</f>
        <v>0</v>
      </c>
      <c r="U362" s="1108">
        <f>ROUND(+NOMINA!AD315,2)</f>
        <v>0</v>
      </c>
      <c r="V362" s="1108">
        <f>ROUND(NOMINA!AQ315,2)</f>
        <v>0</v>
      </c>
      <c r="W362" s="1108">
        <f>+NOMINA!AS315</f>
        <v>0</v>
      </c>
      <c r="X362" s="1108">
        <f>+NOMINA!AT315</f>
        <v>0</v>
      </c>
      <c r="Y362" s="1108">
        <f>+NOMINA!AU315</f>
        <v>309.55</v>
      </c>
      <c r="Z362" s="1108">
        <f>+NOMINA!BX315</f>
        <v>580.41</v>
      </c>
      <c r="AA362" s="1108">
        <f>+NOMINA!BY315</f>
        <v>0</v>
      </c>
      <c r="AB362" s="1108">
        <f t="shared" si="24"/>
        <v>580.41</v>
      </c>
      <c r="AD362" s="625"/>
      <c r="AH362" s="1467" t="str">
        <f>NOMINA!P315</f>
        <v>01020373200000663269</v>
      </c>
    </row>
    <row r="363" spans="1:34" s="620" customFormat="1" ht="19.5" customHeight="1" thickBot="1" x14ac:dyDescent="0.25">
      <c r="A363" s="758" t="s">
        <v>2846</v>
      </c>
      <c r="B363" s="759">
        <f t="shared" si="25"/>
        <v>12</v>
      </c>
      <c r="C363" s="1102">
        <f>NOMINA!C316</f>
        <v>9167342</v>
      </c>
      <c r="D363" s="1103" t="str">
        <f>NOMINA!D316</f>
        <v>Gutierrez Briceño Jose Justimiano</v>
      </c>
      <c r="E363" s="1461" t="s">
        <v>4622</v>
      </c>
      <c r="F363" s="1110">
        <v>32351</v>
      </c>
      <c r="G363" s="1461" t="s">
        <v>4620</v>
      </c>
      <c r="H363" s="1442">
        <f>NOMINA!H316</f>
        <v>43845</v>
      </c>
      <c r="I363" s="1105">
        <f>NOMINA!I314</f>
        <v>23</v>
      </c>
      <c r="J363" s="1106">
        <f>NOMINA!J314</f>
        <v>0</v>
      </c>
      <c r="K363" s="1105">
        <f t="shared" si="23"/>
        <v>23</v>
      </c>
      <c r="L363" s="1106" t="s">
        <v>4932</v>
      </c>
      <c r="M363" s="1106"/>
      <c r="N363" s="1443" t="str">
        <f>NOMINA!O316</f>
        <v>Ayudante Agropecuario</v>
      </c>
      <c r="O363" s="1106">
        <v>1.02087691000006E+18</v>
      </c>
      <c r="P363" s="1107">
        <f>ROUND(+NOMINA!T316,2)</f>
        <v>152</v>
      </c>
      <c r="Q363" s="1108">
        <v>0</v>
      </c>
      <c r="R363" s="1108">
        <f>ROUND(+NOMINA!AA316,2)</f>
        <v>7.6</v>
      </c>
      <c r="S363" s="1108">
        <f>ROUND(+NOMINA!AB316,2)</f>
        <v>130</v>
      </c>
      <c r="T363" s="1108">
        <f>ROUND(+NOMINA!AC316,2)</f>
        <v>0</v>
      </c>
      <c r="U363" s="1108">
        <f>ROUND(+NOMINA!AD316,2)</f>
        <v>0</v>
      </c>
      <c r="V363" s="1108">
        <f>ROUND(NOMINA!AQ316,2)</f>
        <v>0</v>
      </c>
      <c r="W363" s="1108">
        <f>+NOMINA!AS316</f>
        <v>0</v>
      </c>
      <c r="X363" s="1108">
        <f>+NOMINA!AT316</f>
        <v>0</v>
      </c>
      <c r="Y363" s="1108">
        <f>+NOMINA!AU316</f>
        <v>289.60000000000002</v>
      </c>
      <c r="Z363" s="1108">
        <f>+NOMINA!BX316</f>
        <v>543</v>
      </c>
      <c r="AA363" s="1108">
        <f>+NOMINA!BY316</f>
        <v>0</v>
      </c>
      <c r="AB363" s="1108">
        <f t="shared" si="24"/>
        <v>543</v>
      </c>
      <c r="AD363" s="625"/>
      <c r="AH363" s="1467" t="str">
        <f>NOMINA!P316</f>
        <v>01020747950000338701</v>
      </c>
    </row>
    <row r="364" spans="1:34" s="620" customFormat="1" ht="19.5" customHeight="1" thickBot="1" x14ac:dyDescent="0.25">
      <c r="A364" s="758" t="s">
        <v>2846</v>
      </c>
      <c r="B364" s="759">
        <f t="shared" si="25"/>
        <v>13</v>
      </c>
      <c r="C364" s="1102">
        <f>NOMINA!C317</f>
        <v>9310477</v>
      </c>
      <c r="D364" s="1103" t="str">
        <f>NOMINA!D317</f>
        <v>Campos Muchacho Rafael Angel</v>
      </c>
      <c r="E364" s="1461" t="s">
        <v>4622</v>
      </c>
      <c r="F364" s="1110">
        <v>32351</v>
      </c>
      <c r="G364" s="1461" t="s">
        <v>4620</v>
      </c>
      <c r="H364" s="1442">
        <f>NOMINA!H317</f>
        <v>44075</v>
      </c>
      <c r="I364" s="1105">
        <f>NOMINA!I315</f>
        <v>5</v>
      </c>
      <c r="J364" s="1106">
        <f>NOMINA!J315</f>
        <v>0</v>
      </c>
      <c r="K364" s="1105">
        <f t="shared" si="23"/>
        <v>5</v>
      </c>
      <c r="L364" s="1106" t="s">
        <v>4932</v>
      </c>
      <c r="M364" s="1106"/>
      <c r="N364" s="1443" t="str">
        <f>NOMINA!O317</f>
        <v>Ayudante Agropecuario</v>
      </c>
      <c r="O364" s="1106">
        <v>1.02087691000006E+18</v>
      </c>
      <c r="P364" s="1107">
        <f>ROUND(+NOMINA!T317,2)</f>
        <v>152</v>
      </c>
      <c r="Q364" s="1108">
        <v>0</v>
      </c>
      <c r="R364" s="1108">
        <f>ROUND(+NOMINA!AA317,2)</f>
        <v>7.6</v>
      </c>
      <c r="S364" s="1108">
        <f>ROUND(+NOMINA!AB317,2)</f>
        <v>130</v>
      </c>
      <c r="T364" s="1108">
        <f>ROUND(+NOMINA!AC317,2)</f>
        <v>0</v>
      </c>
      <c r="U364" s="1108">
        <f>ROUND(+NOMINA!AD317,2)</f>
        <v>0</v>
      </c>
      <c r="V364" s="1108">
        <f>ROUND(NOMINA!AQ317,2)</f>
        <v>0</v>
      </c>
      <c r="W364" s="1108">
        <f>+NOMINA!AS317</f>
        <v>0</v>
      </c>
      <c r="X364" s="1108">
        <f>+NOMINA!AT317</f>
        <v>0</v>
      </c>
      <c r="Y364" s="1108">
        <f>+NOMINA!AU317</f>
        <v>289.60000000000002</v>
      </c>
      <c r="Z364" s="1108">
        <f>+NOMINA!BX317</f>
        <v>543</v>
      </c>
      <c r="AA364" s="1108">
        <f>+NOMINA!BY317</f>
        <v>0</v>
      </c>
      <c r="AB364" s="1108">
        <f t="shared" si="24"/>
        <v>543</v>
      </c>
      <c r="AD364" s="625"/>
      <c r="AH364" s="1467" t="str">
        <f>NOMINA!P317</f>
        <v>01020373220000636076</v>
      </c>
    </row>
    <row r="365" spans="1:34" s="620" customFormat="1" ht="19.5" customHeight="1" thickBot="1" x14ac:dyDescent="0.25">
      <c r="A365" s="758" t="s">
        <v>2846</v>
      </c>
      <c r="B365" s="759">
        <f t="shared" si="25"/>
        <v>14</v>
      </c>
      <c r="C365" s="1102">
        <f>NOMINA!C318</f>
        <v>9323739</v>
      </c>
      <c r="D365" s="1103" t="str">
        <f>NOMINA!D318</f>
        <v>Vargas Benitez Jose Nerio</v>
      </c>
      <c r="E365" s="1461" t="s">
        <v>4622</v>
      </c>
      <c r="F365" s="1110">
        <v>32351</v>
      </c>
      <c r="G365" s="1461" t="s">
        <v>4620</v>
      </c>
      <c r="H365" s="1442">
        <f>NOMINA!H318</f>
        <v>39300</v>
      </c>
      <c r="I365" s="1105">
        <f>NOMINA!I316</f>
        <v>5</v>
      </c>
      <c r="J365" s="1106">
        <f>NOMINA!J316</f>
        <v>0</v>
      </c>
      <c r="K365" s="1105">
        <f t="shared" si="23"/>
        <v>5</v>
      </c>
      <c r="L365" s="1106" t="s">
        <v>4932</v>
      </c>
      <c r="M365" s="1106"/>
      <c r="N365" s="1443" t="str">
        <f>NOMINA!O318</f>
        <v>Ayudante de Servicios Generales</v>
      </c>
      <c r="O365" s="1106">
        <v>1.02087691000006E+18</v>
      </c>
      <c r="P365" s="1107">
        <f>ROUND(+NOMINA!T318,2)</f>
        <v>152</v>
      </c>
      <c r="Q365" s="1108">
        <v>0</v>
      </c>
      <c r="R365" s="1108">
        <f>ROUND(+NOMINA!AA318,2)</f>
        <v>34.659999999999997</v>
      </c>
      <c r="S365" s="1108">
        <f>ROUND(+NOMINA!AB318,2)</f>
        <v>130</v>
      </c>
      <c r="T365" s="1108">
        <f>ROUND(+NOMINA!AC318,2)</f>
        <v>0</v>
      </c>
      <c r="U365" s="1108">
        <f>ROUND(+NOMINA!AD318,2)</f>
        <v>0</v>
      </c>
      <c r="V365" s="1108">
        <f>ROUND(NOMINA!AQ318,2)</f>
        <v>0</v>
      </c>
      <c r="W365" s="1108">
        <f>+NOMINA!AS318</f>
        <v>0</v>
      </c>
      <c r="X365" s="1108">
        <f>+NOMINA!AT318</f>
        <v>0</v>
      </c>
      <c r="Y365" s="1108">
        <f>+NOMINA!AU318</f>
        <v>316.65999999999997</v>
      </c>
      <c r="Z365" s="1108">
        <f>+NOMINA!BX318</f>
        <v>593.74</v>
      </c>
      <c r="AA365" s="1108">
        <f>+NOMINA!BY318</f>
        <v>0</v>
      </c>
      <c r="AB365" s="1108">
        <f t="shared" si="24"/>
        <v>593.74</v>
      </c>
      <c r="AD365" s="625"/>
      <c r="AH365" s="1467" t="str">
        <f>NOMINA!P318</f>
        <v>01020373210000439121</v>
      </c>
    </row>
    <row r="366" spans="1:34" s="620" customFormat="1" ht="19.5" customHeight="1" thickBot="1" x14ac:dyDescent="0.25">
      <c r="A366" s="758" t="s">
        <v>2846</v>
      </c>
      <c r="B366" s="759">
        <f t="shared" si="25"/>
        <v>15</v>
      </c>
      <c r="C366" s="1102">
        <f>NOMINA!C319</f>
        <v>9325664</v>
      </c>
      <c r="D366" s="1103" t="str">
        <f>NOMINA!D319</f>
        <v>Lobo Mendoza Luz Marina</v>
      </c>
      <c r="E366" s="1461" t="s">
        <v>4622</v>
      </c>
      <c r="F366" s="1110">
        <v>32351</v>
      </c>
      <c r="G366" s="1461" t="s">
        <v>4620</v>
      </c>
      <c r="H366" s="1442">
        <f>NOMINA!H319</f>
        <v>42948</v>
      </c>
      <c r="I366" s="1105">
        <f>NOMINA!I317</f>
        <v>5</v>
      </c>
      <c r="J366" s="1106">
        <f>NOMINA!J317</f>
        <v>0</v>
      </c>
      <c r="K366" s="1105">
        <f t="shared" si="23"/>
        <v>5</v>
      </c>
      <c r="L366" s="1106" t="s">
        <v>4932</v>
      </c>
      <c r="M366" s="1106"/>
      <c r="N366" s="1443" t="str">
        <f>NOMINA!O319</f>
        <v>Ayudante de Servicios Generales</v>
      </c>
      <c r="O366" s="1106">
        <v>1.02087691000006E+18</v>
      </c>
      <c r="P366" s="1107">
        <f>ROUND(+NOMINA!T319,2)</f>
        <v>152</v>
      </c>
      <c r="Q366" s="1108">
        <v>0</v>
      </c>
      <c r="R366" s="1108">
        <f>ROUND(+NOMINA!AA319,2)</f>
        <v>13.07</v>
      </c>
      <c r="S366" s="1108">
        <f>ROUND(+NOMINA!AB319,2)</f>
        <v>130</v>
      </c>
      <c r="T366" s="1108">
        <f>ROUND(+NOMINA!AC319,2)</f>
        <v>0</v>
      </c>
      <c r="U366" s="1108">
        <f>ROUND(+NOMINA!AD319,2)</f>
        <v>0</v>
      </c>
      <c r="V366" s="1108">
        <f>ROUND(NOMINA!AQ319,2)</f>
        <v>0</v>
      </c>
      <c r="W366" s="1108">
        <f>+NOMINA!AS319</f>
        <v>0</v>
      </c>
      <c r="X366" s="1108">
        <f>+NOMINA!AT319</f>
        <v>0</v>
      </c>
      <c r="Y366" s="1108">
        <f>+NOMINA!AU319</f>
        <v>295.07</v>
      </c>
      <c r="Z366" s="1108">
        <f>+NOMINA!BX319</f>
        <v>553.26</v>
      </c>
      <c r="AA366" s="1108">
        <f>+NOMINA!BY319</f>
        <v>0</v>
      </c>
      <c r="AB366" s="1108">
        <f t="shared" si="24"/>
        <v>553.26</v>
      </c>
      <c r="AD366" s="625"/>
      <c r="AH366" s="1467" t="str">
        <f>NOMINA!P319</f>
        <v>01020373220100088447</v>
      </c>
    </row>
    <row r="367" spans="1:34" s="620" customFormat="1" ht="19.5" customHeight="1" thickBot="1" x14ac:dyDescent="0.25">
      <c r="A367" s="758" t="s">
        <v>2846</v>
      </c>
      <c r="B367" s="759">
        <f t="shared" si="25"/>
        <v>16</v>
      </c>
      <c r="C367" s="1102">
        <f>NOMINA!C320</f>
        <v>9328045</v>
      </c>
      <c r="D367" s="1103" t="str">
        <f>NOMINA!D320</f>
        <v>Paredes Quintero Jose Benigno</v>
      </c>
      <c r="E367" s="1461" t="s">
        <v>4622</v>
      </c>
      <c r="F367" s="1110">
        <v>32351</v>
      </c>
      <c r="G367" s="1461" t="s">
        <v>4620</v>
      </c>
      <c r="H367" s="1442">
        <f>NOMINA!H320</f>
        <v>44212</v>
      </c>
      <c r="I367" s="1105">
        <f>NOMINA!I318</f>
        <v>18</v>
      </c>
      <c r="J367" s="1106">
        <f>NOMINA!J318</f>
        <v>0</v>
      </c>
      <c r="K367" s="1105">
        <f t="shared" si="23"/>
        <v>18</v>
      </c>
      <c r="L367" s="1106" t="s">
        <v>4932</v>
      </c>
      <c r="M367" s="1106"/>
      <c r="N367" s="1443" t="str">
        <f>NOMINA!O320</f>
        <v>Ayudante de Servicios Generales</v>
      </c>
      <c r="O367" s="1106">
        <v>1.02087691000006E+18</v>
      </c>
      <c r="P367" s="1107">
        <f>ROUND(+NOMINA!T320,2)</f>
        <v>152</v>
      </c>
      <c r="Q367" s="1108">
        <v>0</v>
      </c>
      <c r="R367" s="1108">
        <f>ROUND(+NOMINA!AA320,2)</f>
        <v>6.08</v>
      </c>
      <c r="S367" s="1108">
        <f>ROUND(+NOMINA!AB320,2)</f>
        <v>130</v>
      </c>
      <c r="T367" s="1108">
        <f>ROUND(+NOMINA!AC320,2)</f>
        <v>0</v>
      </c>
      <c r="U367" s="1108">
        <f>ROUND(+NOMINA!AD320,2)</f>
        <v>0</v>
      </c>
      <c r="V367" s="1108">
        <f>ROUND(NOMINA!AQ320,2)</f>
        <v>0</v>
      </c>
      <c r="W367" s="1108">
        <f>+NOMINA!AS320</f>
        <v>0</v>
      </c>
      <c r="X367" s="1108">
        <f>+NOMINA!AT320</f>
        <v>0</v>
      </c>
      <c r="Y367" s="1108">
        <f>+NOMINA!AU320</f>
        <v>288.08000000000004</v>
      </c>
      <c r="Z367" s="1108">
        <f>+NOMINA!BX320</f>
        <v>540.15</v>
      </c>
      <c r="AA367" s="1108">
        <f>+NOMINA!BY320</f>
        <v>0</v>
      </c>
      <c r="AB367" s="1108">
        <f t="shared" si="24"/>
        <v>540.15</v>
      </c>
      <c r="AD367" s="625"/>
      <c r="AH367" s="1467" t="str">
        <f>NOMINA!P320</f>
        <v>01020373210000627881</v>
      </c>
    </row>
    <row r="368" spans="1:34" s="620" customFormat="1" ht="19.5" customHeight="1" thickBot="1" x14ac:dyDescent="0.25">
      <c r="A368" s="758" t="s">
        <v>2846</v>
      </c>
      <c r="B368" s="759">
        <f t="shared" si="25"/>
        <v>17</v>
      </c>
      <c r="C368" s="1102">
        <f>NOMINA!C321</f>
        <v>10178456</v>
      </c>
      <c r="D368" s="1103" t="str">
        <f>NOMINA!D321</f>
        <v>Figueroa Roa Yudith Griselda</v>
      </c>
      <c r="E368" s="1461" t="s">
        <v>4622</v>
      </c>
      <c r="F368" s="1110">
        <v>32351</v>
      </c>
      <c r="G368" s="1461" t="s">
        <v>4620</v>
      </c>
      <c r="H368" s="1442">
        <f>NOMINA!H321</f>
        <v>44287</v>
      </c>
      <c r="I368" s="1105">
        <f>NOMINA!I319</f>
        <v>8</v>
      </c>
      <c r="J368" s="1106">
        <f>NOMINA!J319</f>
        <v>0</v>
      </c>
      <c r="K368" s="1105">
        <f t="shared" si="23"/>
        <v>8</v>
      </c>
      <c r="L368" s="1106" t="s">
        <v>4932</v>
      </c>
      <c r="M368" s="1106"/>
      <c r="N368" s="1443" t="str">
        <f>NOMINA!O321</f>
        <v>Aseadora</v>
      </c>
      <c r="O368" s="1106">
        <v>1.02087691000006E+18</v>
      </c>
      <c r="P368" s="1107">
        <f>ROUND(+NOMINA!T321,2)</f>
        <v>130</v>
      </c>
      <c r="Q368" s="1108">
        <v>0</v>
      </c>
      <c r="R368" s="1108">
        <f>ROUND(+NOMINA!AA321,2)</f>
        <v>5.2</v>
      </c>
      <c r="S368" s="1108">
        <f>ROUND(+NOMINA!AB321,2)</f>
        <v>130</v>
      </c>
      <c r="T368" s="1108">
        <f>ROUND(+NOMINA!AC321,2)</f>
        <v>0</v>
      </c>
      <c r="U368" s="1108">
        <f>ROUND(+NOMINA!AD321,2)</f>
        <v>0</v>
      </c>
      <c r="V368" s="1108">
        <f>ROUND(NOMINA!AQ321,2)</f>
        <v>0</v>
      </c>
      <c r="W368" s="1108">
        <f>+NOMINA!AS321</f>
        <v>0</v>
      </c>
      <c r="X368" s="1108">
        <f>+NOMINA!AT321</f>
        <v>0</v>
      </c>
      <c r="Y368" s="1108">
        <f>+NOMINA!AU321</f>
        <v>265.2</v>
      </c>
      <c r="Z368" s="1108">
        <f>+NOMINA!BX321</f>
        <v>497.25</v>
      </c>
      <c r="AA368" s="1108">
        <f>+NOMINA!BY321</f>
        <v>0</v>
      </c>
      <c r="AB368" s="1108">
        <f t="shared" si="24"/>
        <v>497.25</v>
      </c>
      <c r="AD368" s="625"/>
      <c r="AH368" s="1467" t="str">
        <f>NOMINA!P321</f>
        <v>01020373270000771465</v>
      </c>
    </row>
    <row r="369" spans="1:34" s="620" customFormat="1" ht="19.5" customHeight="1" thickBot="1" x14ac:dyDescent="0.25">
      <c r="A369" s="758" t="s">
        <v>2846</v>
      </c>
      <c r="B369" s="759">
        <f t="shared" si="25"/>
        <v>18</v>
      </c>
      <c r="C369" s="1102">
        <f>NOMINA!C322</f>
        <v>10317435</v>
      </c>
      <c r="D369" s="1103" t="str">
        <f>NOMINA!D322</f>
        <v>Milla Ana Julia</v>
      </c>
      <c r="E369" s="1461" t="s">
        <v>4622</v>
      </c>
      <c r="F369" s="1110">
        <v>32351</v>
      </c>
      <c r="G369" s="1461" t="s">
        <v>4620</v>
      </c>
      <c r="H369" s="1442">
        <f>NOMINA!H322</f>
        <v>39559</v>
      </c>
      <c r="I369" s="1105">
        <f>NOMINA!I320</f>
        <v>4</v>
      </c>
      <c r="J369" s="1106">
        <f>NOMINA!J320</f>
        <v>0</v>
      </c>
      <c r="K369" s="1105">
        <f t="shared" si="23"/>
        <v>4</v>
      </c>
      <c r="L369" s="1106" t="s">
        <v>4932</v>
      </c>
      <c r="M369" s="1106"/>
      <c r="N369" s="1443" t="str">
        <f>NOMINA!O322</f>
        <v>Aseadora</v>
      </c>
      <c r="O369" s="1106">
        <v>1.02087691000006E+18</v>
      </c>
      <c r="P369" s="1107">
        <f>ROUND(+NOMINA!T322,2)</f>
        <v>130</v>
      </c>
      <c r="Q369" s="1108">
        <v>0</v>
      </c>
      <c r="R369" s="1108">
        <f>ROUND(+NOMINA!AA322,2)</f>
        <v>27.56</v>
      </c>
      <c r="S369" s="1108">
        <f>ROUND(+NOMINA!AB322,2)</f>
        <v>130</v>
      </c>
      <c r="T369" s="1108">
        <f>ROUND(+NOMINA!AC322,2)</f>
        <v>0</v>
      </c>
      <c r="U369" s="1108">
        <f>ROUND(+NOMINA!AD322,2)</f>
        <v>0</v>
      </c>
      <c r="V369" s="1108">
        <f>ROUND(NOMINA!AQ322,2)</f>
        <v>0</v>
      </c>
      <c r="W369" s="1108">
        <f>+NOMINA!AS322</f>
        <v>0</v>
      </c>
      <c r="X369" s="1108">
        <f>+NOMINA!AT322</f>
        <v>0</v>
      </c>
      <c r="Y369" s="1108">
        <f>+NOMINA!AU322</f>
        <v>287.56</v>
      </c>
      <c r="Z369" s="1108">
        <f>+NOMINA!BX322</f>
        <v>539.17999999999995</v>
      </c>
      <c r="AA369" s="1108">
        <f>+NOMINA!BY322</f>
        <v>0</v>
      </c>
      <c r="AB369" s="1108">
        <f t="shared" si="24"/>
        <v>539.17999999999995</v>
      </c>
      <c r="AD369" s="625"/>
      <c r="AH369" s="1467" t="str">
        <f>NOMINA!P322</f>
        <v>01020373260000438708</v>
      </c>
    </row>
    <row r="370" spans="1:34" s="620" customFormat="1" ht="19.5" customHeight="1" thickBot="1" x14ac:dyDescent="0.25">
      <c r="A370" s="758" t="s">
        <v>2846</v>
      </c>
      <c r="B370" s="759">
        <f t="shared" si="25"/>
        <v>19</v>
      </c>
      <c r="C370" s="1102">
        <f>NOMINA!C323</f>
        <v>10396367</v>
      </c>
      <c r="D370" s="1103" t="str">
        <f>NOMINA!D323</f>
        <v>Hidalgo Linares Gloria Margarita</v>
      </c>
      <c r="E370" s="1461" t="s">
        <v>4622</v>
      </c>
      <c r="F370" s="1110">
        <v>32351</v>
      </c>
      <c r="G370" s="1461" t="s">
        <v>4620</v>
      </c>
      <c r="H370" s="1442">
        <f>NOMINA!H323</f>
        <v>39722</v>
      </c>
      <c r="I370" s="1105">
        <f>NOMINA!I321</f>
        <v>4</v>
      </c>
      <c r="J370" s="1106">
        <f>NOMINA!J321</f>
        <v>0</v>
      </c>
      <c r="K370" s="1105">
        <f t="shared" si="23"/>
        <v>4</v>
      </c>
      <c r="L370" s="1106" t="s">
        <v>4932</v>
      </c>
      <c r="M370" s="1106"/>
      <c r="N370" s="1443" t="str">
        <f>NOMINA!O323</f>
        <v>Cocinera</v>
      </c>
      <c r="O370" s="1106">
        <v>1.02087691000006E+18</v>
      </c>
      <c r="P370" s="1107">
        <f>ROUND(+NOMINA!T323,2)</f>
        <v>171</v>
      </c>
      <c r="Q370" s="1108">
        <v>0</v>
      </c>
      <c r="R370" s="1108">
        <f>ROUND(+NOMINA!AA323,2)</f>
        <v>33.520000000000003</v>
      </c>
      <c r="S370" s="1108">
        <f>ROUND(+NOMINA!AB323,2)</f>
        <v>130</v>
      </c>
      <c r="T370" s="1108">
        <f>ROUND(+NOMINA!AC323,2)</f>
        <v>0</v>
      </c>
      <c r="U370" s="1108">
        <f>ROUND(+NOMINA!AD323,2)</f>
        <v>0</v>
      </c>
      <c r="V370" s="1108">
        <f>ROUND(NOMINA!AQ323,2)</f>
        <v>0</v>
      </c>
      <c r="W370" s="1108">
        <f>+NOMINA!AS323</f>
        <v>0</v>
      </c>
      <c r="X370" s="1108">
        <f>+NOMINA!AT323</f>
        <v>0</v>
      </c>
      <c r="Y370" s="1108">
        <f>+NOMINA!AU323</f>
        <v>334.52</v>
      </c>
      <c r="Z370" s="1108">
        <f>+NOMINA!BX323</f>
        <v>627.23</v>
      </c>
      <c r="AA370" s="1108">
        <f>+NOMINA!BY323</f>
        <v>0</v>
      </c>
      <c r="AB370" s="1108">
        <f t="shared" si="24"/>
        <v>627.23</v>
      </c>
      <c r="AD370" s="625"/>
      <c r="AH370" s="1467" t="str">
        <f>NOMINA!P323</f>
        <v>01020373200000438737</v>
      </c>
    </row>
    <row r="371" spans="1:34" s="620" customFormat="1" ht="19.5" customHeight="1" thickBot="1" x14ac:dyDescent="0.25">
      <c r="A371" s="758" t="s">
        <v>2846</v>
      </c>
      <c r="B371" s="759">
        <f t="shared" si="25"/>
        <v>20</v>
      </c>
      <c r="C371" s="1102">
        <f>NOMINA!C324</f>
        <v>10399474</v>
      </c>
      <c r="D371" s="1103" t="str">
        <f>NOMINA!D324</f>
        <v>Ramirez Araujo Teresa Maria</v>
      </c>
      <c r="E371" s="1461" t="s">
        <v>4622</v>
      </c>
      <c r="F371" s="1110">
        <v>32351</v>
      </c>
      <c r="G371" s="1461" t="s">
        <v>4620</v>
      </c>
      <c r="H371" s="1442">
        <f>NOMINA!H324</f>
        <v>45597</v>
      </c>
      <c r="I371" s="1105">
        <f>NOMINA!I322</f>
        <v>17</v>
      </c>
      <c r="J371" s="1106">
        <f>NOMINA!J322</f>
        <v>0</v>
      </c>
      <c r="K371" s="1105">
        <f t="shared" si="23"/>
        <v>17</v>
      </c>
      <c r="L371" s="1106" t="s">
        <v>4932</v>
      </c>
      <c r="M371" s="1106"/>
      <c r="N371" s="1443" t="str">
        <f>NOMINA!O324</f>
        <v>Ayudante de Servicios Generales</v>
      </c>
      <c r="O371" s="1106">
        <v>1.02087691000006E+18</v>
      </c>
      <c r="P371" s="1107">
        <f>ROUND(+NOMINA!T324,2)</f>
        <v>142</v>
      </c>
      <c r="Q371" s="1108">
        <v>0</v>
      </c>
      <c r="R371" s="1108">
        <f>ROUND(+NOMINA!AA324,2)</f>
        <v>0</v>
      </c>
      <c r="S371" s="1108">
        <f>ROUND(+NOMINA!AB324,2)</f>
        <v>130</v>
      </c>
      <c r="T371" s="1108">
        <f>ROUND(+NOMINA!AC324,2)</f>
        <v>0</v>
      </c>
      <c r="U371" s="1108">
        <f>ROUND(+NOMINA!AD324,2)</f>
        <v>0</v>
      </c>
      <c r="V371" s="1108">
        <f>ROUND(NOMINA!AQ324,2)</f>
        <v>0</v>
      </c>
      <c r="W371" s="1108">
        <f>+NOMINA!AS324</f>
        <v>0</v>
      </c>
      <c r="X371" s="1108">
        <f>+NOMINA!AT324</f>
        <v>0</v>
      </c>
      <c r="Y371" s="1108">
        <f>+NOMINA!AU324</f>
        <v>272</v>
      </c>
      <c r="Z371" s="1108">
        <f>+NOMINA!BX324</f>
        <v>81.849999999999994</v>
      </c>
      <c r="AA371" s="1108">
        <f>+NOMINA!BY324</f>
        <v>0</v>
      </c>
      <c r="AB371" s="1108">
        <f t="shared" si="24"/>
        <v>81.849999999999994</v>
      </c>
      <c r="AD371" s="625"/>
      <c r="AH371" s="1467" t="str">
        <f>NOMINA!P324</f>
        <v>01020747950000203153</v>
      </c>
    </row>
    <row r="372" spans="1:34" s="620" customFormat="1" ht="19.5" customHeight="1" thickBot="1" x14ac:dyDescent="0.25">
      <c r="A372" s="758" t="s">
        <v>2846</v>
      </c>
      <c r="B372" s="759">
        <f t="shared" si="25"/>
        <v>21</v>
      </c>
      <c r="C372" s="1102">
        <f>NOMINA!C325</f>
        <v>10401329</v>
      </c>
      <c r="D372" s="1103" t="str">
        <f>NOMINA!D325</f>
        <v>Gonzalez Torres Orangel Ramon</v>
      </c>
      <c r="E372" s="1461" t="s">
        <v>4622</v>
      </c>
      <c r="F372" s="1110">
        <v>32351</v>
      </c>
      <c r="G372" s="1461" t="s">
        <v>4620</v>
      </c>
      <c r="H372" s="1442">
        <f>NOMINA!H325</f>
        <v>39539</v>
      </c>
      <c r="I372" s="1105">
        <f>NOMINA!I323</f>
        <v>16</v>
      </c>
      <c r="J372" s="1106">
        <f>NOMINA!J323</f>
        <v>0</v>
      </c>
      <c r="K372" s="1105">
        <f t="shared" si="23"/>
        <v>16</v>
      </c>
      <c r="L372" s="1106" t="s">
        <v>4932</v>
      </c>
      <c r="M372" s="1106"/>
      <c r="N372" s="1443" t="str">
        <f>NOMINA!O325</f>
        <v>Chofer De Transporte</v>
      </c>
      <c r="O372" s="1106">
        <v>1.02087691000006E+18</v>
      </c>
      <c r="P372" s="1107">
        <f>ROUND(+NOMINA!T325,2)</f>
        <v>171</v>
      </c>
      <c r="Q372" s="1108">
        <v>0</v>
      </c>
      <c r="R372" s="1108">
        <f>ROUND(+NOMINA!AA325,2)</f>
        <v>36.25</v>
      </c>
      <c r="S372" s="1108">
        <f>ROUND(+NOMINA!AB325,2)</f>
        <v>130</v>
      </c>
      <c r="T372" s="1108">
        <f>ROUND(+NOMINA!AC325,2)</f>
        <v>0</v>
      </c>
      <c r="U372" s="1108">
        <f>ROUND(+NOMINA!AD325,2)</f>
        <v>0</v>
      </c>
      <c r="V372" s="1108">
        <f>ROUND(NOMINA!AQ325,2)</f>
        <v>0</v>
      </c>
      <c r="W372" s="1108">
        <f>+NOMINA!AS325</f>
        <v>0</v>
      </c>
      <c r="X372" s="1108">
        <f>+NOMINA!AT325</f>
        <v>0</v>
      </c>
      <c r="Y372" s="1108">
        <f>+NOMINA!AU325</f>
        <v>438.43</v>
      </c>
      <c r="Z372" s="1108">
        <f>+NOMINA!BX325</f>
        <v>822.06</v>
      </c>
      <c r="AA372" s="1108">
        <f>+NOMINA!BY325</f>
        <v>0</v>
      </c>
      <c r="AB372" s="1108">
        <f t="shared" si="24"/>
        <v>822.06</v>
      </c>
      <c r="AD372" s="625"/>
      <c r="AH372" s="1467" t="str">
        <f>NOMINA!P325</f>
        <v>01020373250000442105</v>
      </c>
    </row>
    <row r="373" spans="1:34" s="620" customFormat="1" ht="19.5" customHeight="1" thickBot="1" x14ac:dyDescent="0.25">
      <c r="A373" s="758" t="s">
        <v>2846</v>
      </c>
      <c r="B373" s="759">
        <f t="shared" si="25"/>
        <v>22</v>
      </c>
      <c r="C373" s="1102">
        <f>NOMINA!C326</f>
        <v>10907687</v>
      </c>
      <c r="D373" s="1103" t="str">
        <f>NOMINA!D326</f>
        <v>Viloria Garcia Karina Liseth</v>
      </c>
      <c r="E373" s="1461" t="s">
        <v>4622</v>
      </c>
      <c r="F373" s="1110">
        <v>32351</v>
      </c>
      <c r="G373" s="1461" t="s">
        <v>4620</v>
      </c>
      <c r="H373" s="1442">
        <f>NOMINA!H326</f>
        <v>38749</v>
      </c>
      <c r="I373" s="1105">
        <f>NOMINA!I324</f>
        <v>0</v>
      </c>
      <c r="J373" s="1106">
        <f>NOMINA!J324</f>
        <v>0</v>
      </c>
      <c r="K373" s="1105">
        <f t="shared" si="23"/>
        <v>0</v>
      </c>
      <c r="L373" s="1106" t="s">
        <v>4932</v>
      </c>
      <c r="M373" s="1106"/>
      <c r="N373" s="1443" t="str">
        <f>NOMINA!O326</f>
        <v>Cocinera</v>
      </c>
      <c r="O373" s="1106">
        <v>1.02087691000006E+18</v>
      </c>
      <c r="P373" s="1107">
        <f>ROUND(+NOMINA!T326,2)</f>
        <v>171</v>
      </c>
      <c r="Q373" s="1108">
        <v>0</v>
      </c>
      <c r="R373" s="1108">
        <f>ROUND(+NOMINA!AA326,2)</f>
        <v>41.72</v>
      </c>
      <c r="S373" s="1108">
        <f>ROUND(+NOMINA!AB326,2)</f>
        <v>130</v>
      </c>
      <c r="T373" s="1108">
        <f>ROUND(+NOMINA!AC326,2)</f>
        <v>0</v>
      </c>
      <c r="U373" s="1108">
        <f>ROUND(+NOMINA!AD326,2)</f>
        <v>0</v>
      </c>
      <c r="V373" s="1108">
        <f>ROUND(NOMINA!AQ326,2)</f>
        <v>0</v>
      </c>
      <c r="W373" s="1108">
        <f>+NOMINA!AS326</f>
        <v>0</v>
      </c>
      <c r="X373" s="1108">
        <f>+NOMINA!AT326</f>
        <v>0</v>
      </c>
      <c r="Y373" s="1108">
        <f>+NOMINA!AU326</f>
        <v>342.72</v>
      </c>
      <c r="Z373" s="1108">
        <f>+NOMINA!BX326</f>
        <v>642.6</v>
      </c>
      <c r="AA373" s="1108">
        <f>+NOMINA!BY326</f>
        <v>0</v>
      </c>
      <c r="AB373" s="1108">
        <f t="shared" si="24"/>
        <v>642.6</v>
      </c>
      <c r="AD373" s="625"/>
      <c r="AH373" s="1467" t="str">
        <f>NOMINA!P326</f>
        <v>01020373210000442231</v>
      </c>
    </row>
    <row r="374" spans="1:34" s="620" customFormat="1" ht="19.5" customHeight="1" thickBot="1" x14ac:dyDescent="0.25">
      <c r="A374" s="758" t="s">
        <v>2846</v>
      </c>
      <c r="B374" s="759">
        <f t="shared" si="25"/>
        <v>23</v>
      </c>
      <c r="C374" s="1102">
        <f>NOMINA!C327</f>
        <v>10908543</v>
      </c>
      <c r="D374" s="1103" t="str">
        <f>NOMINA!D327</f>
        <v>Quintero Eric Ludwig</v>
      </c>
      <c r="E374" s="1461" t="s">
        <v>4622</v>
      </c>
      <c r="F374" s="1110">
        <v>32351</v>
      </c>
      <c r="G374" s="1461" t="s">
        <v>4620</v>
      </c>
      <c r="H374" s="1442">
        <f>NOMINA!H327</f>
        <v>42751</v>
      </c>
      <c r="I374" s="1105">
        <f>NOMINA!I325</f>
        <v>17</v>
      </c>
      <c r="J374" s="1106">
        <f>NOMINA!J325</f>
        <v>0</v>
      </c>
      <c r="K374" s="1105">
        <f t="shared" si="23"/>
        <v>17</v>
      </c>
      <c r="L374" s="1106" t="s">
        <v>4932</v>
      </c>
      <c r="M374" s="1106"/>
      <c r="N374" s="1443" t="str">
        <f>NOMINA!O327</f>
        <v>Cocinero</v>
      </c>
      <c r="O374" s="1106">
        <v>1.02087691000006E+18</v>
      </c>
      <c r="P374" s="1107">
        <f>ROUND(+NOMINA!T327,2)</f>
        <v>171</v>
      </c>
      <c r="Q374" s="1108">
        <v>0</v>
      </c>
      <c r="R374" s="1108">
        <f>ROUND(+NOMINA!AA327,2)</f>
        <v>14.71</v>
      </c>
      <c r="S374" s="1108">
        <f>ROUND(+NOMINA!AB327,2)</f>
        <v>130</v>
      </c>
      <c r="T374" s="1108">
        <f>ROUND(+NOMINA!AC327,2)</f>
        <v>0</v>
      </c>
      <c r="U374" s="1108">
        <f>ROUND(+NOMINA!AD327,2)</f>
        <v>0</v>
      </c>
      <c r="V374" s="1108">
        <f>ROUND(NOMINA!AQ327,2)</f>
        <v>0</v>
      </c>
      <c r="W374" s="1108">
        <f>+NOMINA!AS327</f>
        <v>0</v>
      </c>
      <c r="X374" s="1108">
        <f>+NOMINA!AT327</f>
        <v>0</v>
      </c>
      <c r="Y374" s="1108">
        <f>+NOMINA!AU327</f>
        <v>315.71000000000004</v>
      </c>
      <c r="Z374" s="1108">
        <f>+NOMINA!BX327</f>
        <v>591.96</v>
      </c>
      <c r="AA374" s="1108">
        <f>+NOMINA!BY327</f>
        <v>0</v>
      </c>
      <c r="AB374" s="1108">
        <f t="shared" si="24"/>
        <v>591.96</v>
      </c>
      <c r="AD374" s="625"/>
      <c r="AH374" s="1467" t="str">
        <f>NOMINA!P327</f>
        <v>01020373240000442257</v>
      </c>
    </row>
    <row r="375" spans="1:34" s="620" customFormat="1" ht="19.5" customHeight="1" thickBot="1" x14ac:dyDescent="0.25">
      <c r="A375" s="758" t="s">
        <v>2846</v>
      </c>
      <c r="B375" s="759">
        <f t="shared" si="25"/>
        <v>24</v>
      </c>
      <c r="C375" s="1102">
        <f>NOMINA!C328</f>
        <v>10909678</v>
      </c>
      <c r="D375" s="1103" t="str">
        <f>NOMINA!D328</f>
        <v>Delgado Jose Argenis</v>
      </c>
      <c r="E375" s="1461" t="s">
        <v>4622</v>
      </c>
      <c r="F375" s="1110">
        <v>32351</v>
      </c>
      <c r="G375" s="1461" t="s">
        <v>4620</v>
      </c>
      <c r="H375" s="1442">
        <f>NOMINA!H328</f>
        <v>43952</v>
      </c>
      <c r="I375" s="1105">
        <f>NOMINA!I326</f>
        <v>19</v>
      </c>
      <c r="J375" s="1106">
        <f>NOMINA!J326</f>
        <v>0</v>
      </c>
      <c r="K375" s="1105">
        <f t="shared" si="23"/>
        <v>19</v>
      </c>
      <c r="L375" s="1106" t="s">
        <v>4932</v>
      </c>
      <c r="M375" s="1106"/>
      <c r="N375" s="1443" t="str">
        <f>NOMINA!O328</f>
        <v>Aseador</v>
      </c>
      <c r="O375" s="1106">
        <v>1.02087691000006E+18</v>
      </c>
      <c r="P375" s="1107">
        <f>ROUND(+NOMINA!T328,2)</f>
        <v>130</v>
      </c>
      <c r="Q375" s="1108">
        <v>0</v>
      </c>
      <c r="R375" s="1108">
        <f>ROUND(+NOMINA!AA328,2)</f>
        <v>6.5</v>
      </c>
      <c r="S375" s="1108">
        <f>ROUND(+NOMINA!AB328,2)</f>
        <v>130</v>
      </c>
      <c r="T375" s="1108">
        <f>ROUND(+NOMINA!AC328,2)</f>
        <v>0</v>
      </c>
      <c r="U375" s="1108">
        <f>ROUND(+NOMINA!AD328,2)</f>
        <v>0</v>
      </c>
      <c r="V375" s="1108">
        <f>ROUND(NOMINA!AQ328,2)</f>
        <v>0</v>
      </c>
      <c r="W375" s="1108">
        <f>+NOMINA!AS328</f>
        <v>0</v>
      </c>
      <c r="X375" s="1108">
        <f>+NOMINA!AT328</f>
        <v>0</v>
      </c>
      <c r="Y375" s="1108">
        <f>+NOMINA!AU328</f>
        <v>266.5</v>
      </c>
      <c r="Z375" s="1108">
        <f>+NOMINA!BX328</f>
        <v>499.69</v>
      </c>
      <c r="AA375" s="1108">
        <f>+NOMINA!BY328</f>
        <v>0</v>
      </c>
      <c r="AB375" s="1108">
        <f t="shared" si="24"/>
        <v>499.69</v>
      </c>
      <c r="AD375" s="625"/>
      <c r="AH375" s="1467" t="str">
        <f>NOMINA!P328</f>
        <v>01020373210000629274</v>
      </c>
    </row>
    <row r="376" spans="1:34" s="620" customFormat="1" ht="19.5" customHeight="1" thickBot="1" x14ac:dyDescent="0.25">
      <c r="A376" s="758" t="s">
        <v>2846</v>
      </c>
      <c r="B376" s="759">
        <f t="shared" si="25"/>
        <v>25</v>
      </c>
      <c r="C376" s="1102">
        <f>NOMINA!C329</f>
        <v>10909819</v>
      </c>
      <c r="D376" s="1103" t="str">
        <f>NOMINA!D329</f>
        <v>Carrizo Jose Waldo</v>
      </c>
      <c r="E376" s="1461" t="s">
        <v>4622</v>
      </c>
      <c r="F376" s="1110">
        <v>32351</v>
      </c>
      <c r="G376" s="1461" t="s">
        <v>4620</v>
      </c>
      <c r="H376" s="1442">
        <f>NOMINA!H329</f>
        <v>43359</v>
      </c>
      <c r="I376" s="1105">
        <f>NOMINA!I327</f>
        <v>8</v>
      </c>
      <c r="J376" s="1106">
        <f>NOMINA!J327</f>
        <v>0</v>
      </c>
      <c r="K376" s="1105">
        <f t="shared" si="23"/>
        <v>8</v>
      </c>
      <c r="L376" s="1106" t="s">
        <v>4932</v>
      </c>
      <c r="M376" s="1106"/>
      <c r="N376" s="1443" t="str">
        <f>NOMINA!O329</f>
        <v>Cocinero</v>
      </c>
      <c r="O376" s="1106">
        <v>1.02087691000006E+18</v>
      </c>
      <c r="P376" s="1107">
        <f>ROUND(+NOMINA!T329,2)</f>
        <v>171</v>
      </c>
      <c r="Q376" s="1108">
        <v>0</v>
      </c>
      <c r="R376" s="1108">
        <f>ROUND(+NOMINA!AA329,2)</f>
        <v>12.65</v>
      </c>
      <c r="S376" s="1108">
        <f>ROUND(+NOMINA!AB329,2)</f>
        <v>130</v>
      </c>
      <c r="T376" s="1108">
        <f>ROUND(+NOMINA!AC329,2)</f>
        <v>0</v>
      </c>
      <c r="U376" s="1108">
        <f>ROUND(+NOMINA!AD329,2)</f>
        <v>0</v>
      </c>
      <c r="V376" s="1108">
        <f>ROUND(NOMINA!AQ329,2)</f>
        <v>0</v>
      </c>
      <c r="W376" s="1108">
        <f>+NOMINA!AS329</f>
        <v>0</v>
      </c>
      <c r="X376" s="1108">
        <f>+NOMINA!AT329</f>
        <v>0</v>
      </c>
      <c r="Y376" s="1108">
        <f>+NOMINA!AU329</f>
        <v>313.64999999999998</v>
      </c>
      <c r="Z376" s="1108">
        <f>+NOMINA!BX329</f>
        <v>588.1</v>
      </c>
      <c r="AA376" s="1108">
        <f>+NOMINA!BY329</f>
        <v>0</v>
      </c>
      <c r="AB376" s="1108">
        <f t="shared" si="24"/>
        <v>588.1</v>
      </c>
      <c r="AD376" s="625"/>
      <c r="AH376" s="1467" t="str">
        <f>NOMINA!P329</f>
        <v>01020373200000573359</v>
      </c>
    </row>
    <row r="377" spans="1:34" s="620" customFormat="1" ht="19.5" customHeight="1" thickBot="1" x14ac:dyDescent="0.25">
      <c r="A377" s="758" t="s">
        <v>2846</v>
      </c>
      <c r="B377" s="759">
        <f t="shared" si="25"/>
        <v>26</v>
      </c>
      <c r="C377" s="1102">
        <f>NOMINA!C330</f>
        <v>10912635</v>
      </c>
      <c r="D377" s="1103" t="str">
        <f>NOMINA!D330</f>
        <v>Gutierrez Briceño Jose Orangel</v>
      </c>
      <c r="E377" s="1461" t="s">
        <v>4622</v>
      </c>
      <c r="F377" s="1110">
        <v>32351</v>
      </c>
      <c r="G377" s="1461" t="s">
        <v>4620</v>
      </c>
      <c r="H377" s="1442">
        <f>NOMINA!H330</f>
        <v>44348</v>
      </c>
      <c r="I377" s="1105">
        <f>NOMINA!I328</f>
        <v>5</v>
      </c>
      <c r="J377" s="1106">
        <f>NOMINA!J328</f>
        <v>0</v>
      </c>
      <c r="K377" s="1105">
        <f t="shared" si="23"/>
        <v>5</v>
      </c>
      <c r="L377" s="1106" t="s">
        <v>4932</v>
      </c>
      <c r="M377" s="1106"/>
      <c r="N377" s="1443" t="str">
        <f>NOMINA!O330</f>
        <v>Ayudante Agropecuario</v>
      </c>
      <c r="O377" s="1106">
        <v>1.02087691000006E+18</v>
      </c>
      <c r="P377" s="1107">
        <f>ROUND(+NOMINA!T330,2)</f>
        <v>152</v>
      </c>
      <c r="Q377" s="1108">
        <v>0</v>
      </c>
      <c r="R377" s="1108">
        <f>ROUND(+NOMINA!AA330,2)</f>
        <v>6.08</v>
      </c>
      <c r="S377" s="1108">
        <f>ROUND(+NOMINA!AB330,2)</f>
        <v>130</v>
      </c>
      <c r="T377" s="1108">
        <f>ROUND(+NOMINA!AC330,2)</f>
        <v>0</v>
      </c>
      <c r="U377" s="1108">
        <f>ROUND(+NOMINA!AD330,2)</f>
        <v>0</v>
      </c>
      <c r="V377" s="1108">
        <f>ROUND(NOMINA!AQ330,2)</f>
        <v>0</v>
      </c>
      <c r="W377" s="1108">
        <f>+NOMINA!AS330</f>
        <v>0</v>
      </c>
      <c r="X377" s="1108">
        <f>+NOMINA!AT330</f>
        <v>0</v>
      </c>
      <c r="Y377" s="1108">
        <f>+NOMINA!AU330</f>
        <v>288.08000000000004</v>
      </c>
      <c r="Z377" s="1108">
        <f>+NOMINA!BX330</f>
        <v>540.15</v>
      </c>
      <c r="AA377" s="1108">
        <f>+NOMINA!BY330</f>
        <v>0</v>
      </c>
      <c r="AB377" s="1108">
        <f t="shared" si="24"/>
        <v>540.15</v>
      </c>
      <c r="AD377" s="625"/>
      <c r="AH377" s="1467" t="str">
        <f>NOMINA!P330</f>
        <v>01020494110100021350</v>
      </c>
    </row>
    <row r="378" spans="1:34" s="620" customFormat="1" ht="19.5" customHeight="1" thickBot="1" x14ac:dyDescent="0.25">
      <c r="A378" s="758" t="s">
        <v>2846</v>
      </c>
      <c r="B378" s="759">
        <f t="shared" si="25"/>
        <v>27</v>
      </c>
      <c r="C378" s="1102">
        <f>NOMINA!C331</f>
        <v>10915274</v>
      </c>
      <c r="D378" s="1103" t="str">
        <f>NOMINA!D331</f>
        <v>Montilla Vergara Belkys Josefina</v>
      </c>
      <c r="E378" s="1461" t="s">
        <v>4622</v>
      </c>
      <c r="F378" s="1110">
        <v>32351</v>
      </c>
      <c r="G378" s="1461" t="s">
        <v>4620</v>
      </c>
      <c r="H378" s="1442">
        <f>NOMINA!H331</f>
        <v>44635</v>
      </c>
      <c r="I378" s="1105">
        <f>NOMINA!I329</f>
        <v>7</v>
      </c>
      <c r="J378" s="1106">
        <f>NOMINA!J329</f>
        <v>0</v>
      </c>
      <c r="K378" s="1105">
        <f t="shared" si="23"/>
        <v>7</v>
      </c>
      <c r="L378" s="1106" t="s">
        <v>4932</v>
      </c>
      <c r="M378" s="1106"/>
      <c r="N378" s="1443" t="str">
        <f>NOMINA!O331</f>
        <v>Ayudante de Servicios Generales</v>
      </c>
      <c r="O378" s="1106">
        <v>1.02087691000006E+18</v>
      </c>
      <c r="P378" s="1107">
        <f>ROUND(+NOMINA!T331,2)</f>
        <v>152</v>
      </c>
      <c r="Q378" s="1108">
        <v>0</v>
      </c>
      <c r="R378" s="1108">
        <f>ROUND(+NOMINA!AA331,2)</f>
        <v>4.5599999999999996</v>
      </c>
      <c r="S378" s="1108">
        <f>ROUND(+NOMINA!AB331,2)</f>
        <v>130</v>
      </c>
      <c r="T378" s="1108">
        <f>ROUND(+NOMINA!AC331,2)</f>
        <v>0</v>
      </c>
      <c r="U378" s="1108">
        <f>ROUND(+NOMINA!AD331,2)</f>
        <v>0</v>
      </c>
      <c r="V378" s="1108">
        <f>ROUND(NOMINA!AQ331,2)</f>
        <v>0</v>
      </c>
      <c r="W378" s="1108">
        <f>+NOMINA!AS331</f>
        <v>0</v>
      </c>
      <c r="X378" s="1108">
        <f>+NOMINA!AT331</f>
        <v>0</v>
      </c>
      <c r="Y378" s="1108">
        <f>+NOMINA!AU331</f>
        <v>286.56</v>
      </c>
      <c r="Z378" s="1108">
        <f>+NOMINA!BX331</f>
        <v>537.29999999999995</v>
      </c>
      <c r="AA378" s="1108">
        <f>+NOMINA!BY331</f>
        <v>0</v>
      </c>
      <c r="AB378" s="1108">
        <f t="shared" si="24"/>
        <v>537.29999999999995</v>
      </c>
      <c r="AD378" s="625"/>
      <c r="AH378" s="1467" t="str">
        <f>NOMINA!P331</f>
        <v>01020373240000917180</v>
      </c>
    </row>
    <row r="379" spans="1:34" s="620" customFormat="1" ht="19.5" customHeight="1" thickBot="1" x14ac:dyDescent="0.25">
      <c r="A379" s="758" t="s">
        <v>2846</v>
      </c>
      <c r="B379" s="759">
        <f t="shared" si="25"/>
        <v>28</v>
      </c>
      <c r="C379" s="1102">
        <f>NOMINA!C332</f>
        <v>11129355</v>
      </c>
      <c r="D379" s="1103" t="str">
        <f>NOMINA!D332</f>
        <v>Luque Azuaje Rigoberto</v>
      </c>
      <c r="E379" s="1461" t="s">
        <v>4622</v>
      </c>
      <c r="F379" s="1110">
        <v>32351</v>
      </c>
      <c r="G379" s="1461" t="s">
        <v>4620</v>
      </c>
      <c r="H379" s="1442">
        <f>NOMINA!H332</f>
        <v>39539</v>
      </c>
      <c r="I379" s="1105">
        <f>NOMINA!I330</f>
        <v>4</v>
      </c>
      <c r="J379" s="1106">
        <f>NOMINA!J330</f>
        <v>0</v>
      </c>
      <c r="K379" s="1105">
        <f t="shared" si="23"/>
        <v>4</v>
      </c>
      <c r="L379" s="1106" t="s">
        <v>4932</v>
      </c>
      <c r="M379" s="1106"/>
      <c r="N379" s="1443" t="str">
        <f>NOMINA!O332</f>
        <v>Ayudante de Servicios Generales</v>
      </c>
      <c r="O379" s="1106">
        <v>1.02087691000006E+18</v>
      </c>
      <c r="P379" s="1107">
        <f>ROUND(+NOMINA!T332,2)</f>
        <v>152</v>
      </c>
      <c r="Q379" s="1108">
        <v>0</v>
      </c>
      <c r="R379" s="1108">
        <f>ROUND(+NOMINA!AA332,2)</f>
        <v>32.22</v>
      </c>
      <c r="S379" s="1108">
        <f>ROUND(+NOMINA!AB332,2)</f>
        <v>130</v>
      </c>
      <c r="T379" s="1108">
        <f>ROUND(+NOMINA!AC332,2)</f>
        <v>0</v>
      </c>
      <c r="U379" s="1108">
        <f>ROUND(+NOMINA!AD332,2)</f>
        <v>0</v>
      </c>
      <c r="V379" s="1108">
        <f>ROUND(NOMINA!AQ332,2)</f>
        <v>0</v>
      </c>
      <c r="W379" s="1108">
        <f>+NOMINA!AS332</f>
        <v>0</v>
      </c>
      <c r="X379" s="1108">
        <f>+NOMINA!AT332</f>
        <v>0</v>
      </c>
      <c r="Y379" s="1108">
        <f>+NOMINA!AU332</f>
        <v>408.49</v>
      </c>
      <c r="Z379" s="1108">
        <f>+NOMINA!BX332</f>
        <v>765.92</v>
      </c>
      <c r="AA379" s="1108">
        <f>+NOMINA!BY332</f>
        <v>0</v>
      </c>
      <c r="AB379" s="1108">
        <f t="shared" si="24"/>
        <v>765.92</v>
      </c>
      <c r="AD379" s="625"/>
      <c r="AH379" s="1467" t="str">
        <f>NOMINA!P332</f>
        <v>01020373240000441481</v>
      </c>
    </row>
    <row r="380" spans="1:34" s="620" customFormat="1" ht="19.5" customHeight="1" thickBot="1" x14ac:dyDescent="0.25">
      <c r="A380" s="758" t="s">
        <v>2846</v>
      </c>
      <c r="B380" s="759">
        <f t="shared" si="25"/>
        <v>29</v>
      </c>
      <c r="C380" s="1102">
        <f>NOMINA!C333</f>
        <v>11315202</v>
      </c>
      <c r="D380" s="1103" t="str">
        <f>NOMINA!D333</f>
        <v>Barreto Maria Ramona</v>
      </c>
      <c r="E380" s="1461" t="s">
        <v>4622</v>
      </c>
      <c r="F380" s="1110">
        <v>32351</v>
      </c>
      <c r="G380" s="1461" t="s">
        <v>4620</v>
      </c>
      <c r="H380" s="1442">
        <f>NOMINA!H333</f>
        <v>39539</v>
      </c>
      <c r="I380" s="1105">
        <f>NOMINA!I331</f>
        <v>3</v>
      </c>
      <c r="J380" s="1106">
        <f>NOMINA!J331</f>
        <v>0</v>
      </c>
      <c r="K380" s="1105">
        <f t="shared" si="23"/>
        <v>3</v>
      </c>
      <c r="L380" s="1106" t="s">
        <v>4932</v>
      </c>
      <c r="M380" s="1106"/>
      <c r="N380" s="1443" t="str">
        <f>NOMINA!O333</f>
        <v>Cocinera</v>
      </c>
      <c r="O380" s="1106">
        <v>1.02087691000006E+18</v>
      </c>
      <c r="P380" s="1107">
        <f>ROUND(+NOMINA!T333,2)</f>
        <v>171</v>
      </c>
      <c r="Q380" s="1108">
        <v>0</v>
      </c>
      <c r="R380" s="1108">
        <f>ROUND(+NOMINA!AA333,2)</f>
        <v>36.25</v>
      </c>
      <c r="S380" s="1108">
        <f>ROUND(+NOMINA!AB333,2)</f>
        <v>130</v>
      </c>
      <c r="T380" s="1108">
        <f>ROUND(+NOMINA!AC333,2)</f>
        <v>0</v>
      </c>
      <c r="U380" s="1108">
        <f>ROUND(+NOMINA!AD333,2)</f>
        <v>0</v>
      </c>
      <c r="V380" s="1108">
        <f>ROUND(NOMINA!AQ333,2)</f>
        <v>0</v>
      </c>
      <c r="W380" s="1108">
        <f>+NOMINA!AS333</f>
        <v>0</v>
      </c>
      <c r="X380" s="1108">
        <f>+NOMINA!AT333</f>
        <v>0</v>
      </c>
      <c r="Y380" s="1108">
        <f>+NOMINA!AU333</f>
        <v>337.25</v>
      </c>
      <c r="Z380" s="1108">
        <f>+NOMINA!BX333</f>
        <v>632.35</v>
      </c>
      <c r="AA380" s="1108">
        <f>+NOMINA!BY333</f>
        <v>0</v>
      </c>
      <c r="AB380" s="1108">
        <f t="shared" si="24"/>
        <v>632.35</v>
      </c>
      <c r="AD380" s="625"/>
      <c r="AH380" s="1467" t="str">
        <f>NOMINA!P333</f>
        <v>01020373210000441533</v>
      </c>
    </row>
    <row r="381" spans="1:34" s="620" customFormat="1" ht="19.5" customHeight="1" thickBot="1" x14ac:dyDescent="0.25">
      <c r="A381" s="758" t="s">
        <v>2846</v>
      </c>
      <c r="B381" s="759">
        <f t="shared" si="25"/>
        <v>30</v>
      </c>
      <c r="C381" s="1102">
        <f>NOMINA!C334</f>
        <v>11321681</v>
      </c>
      <c r="D381" s="1103" t="str">
        <f>NOMINA!D334</f>
        <v>Bentancourt Rivas Luis Enrique</v>
      </c>
      <c r="E381" s="1461" t="s">
        <v>4622</v>
      </c>
      <c r="F381" s="1110">
        <v>32351</v>
      </c>
      <c r="G381" s="1461" t="s">
        <v>4620</v>
      </c>
      <c r="H381" s="1442">
        <f>NOMINA!H334</f>
        <v>44805</v>
      </c>
      <c r="I381" s="1105">
        <f>NOMINA!I332</f>
        <v>17</v>
      </c>
      <c r="J381" s="1106">
        <f>NOMINA!J332</f>
        <v>0</v>
      </c>
      <c r="K381" s="1105">
        <f t="shared" si="23"/>
        <v>17</v>
      </c>
      <c r="L381" s="1106" t="s">
        <v>4932</v>
      </c>
      <c r="M381" s="1106"/>
      <c r="N381" s="1443" t="str">
        <f>NOMINA!O334</f>
        <v>Ayudante de Servicios Generales</v>
      </c>
      <c r="O381" s="1106">
        <v>1.02087691000006E+18</v>
      </c>
      <c r="P381" s="1107">
        <f>ROUND(+NOMINA!T334,2)</f>
        <v>152</v>
      </c>
      <c r="Q381" s="1108">
        <v>0</v>
      </c>
      <c r="R381" s="1108">
        <f>ROUND(+NOMINA!AA334,2)</f>
        <v>4.5599999999999996</v>
      </c>
      <c r="S381" s="1108">
        <f>ROUND(+NOMINA!AB334,2)</f>
        <v>130</v>
      </c>
      <c r="T381" s="1108">
        <f>ROUND(+NOMINA!AC334,2)</f>
        <v>0</v>
      </c>
      <c r="U381" s="1108">
        <f>ROUND(+NOMINA!AD334,2)</f>
        <v>0</v>
      </c>
      <c r="V381" s="1108">
        <f>ROUND(NOMINA!AQ334,2)</f>
        <v>0</v>
      </c>
      <c r="W381" s="1108">
        <f>+NOMINA!AS334</f>
        <v>0</v>
      </c>
      <c r="X381" s="1108">
        <f>+NOMINA!AT334</f>
        <v>0</v>
      </c>
      <c r="Y381" s="1108">
        <f>+NOMINA!AU334</f>
        <v>286.56</v>
      </c>
      <c r="Z381" s="1108">
        <f>+NOMINA!BX334</f>
        <v>537.29999999999995</v>
      </c>
      <c r="AA381" s="1108">
        <f>+NOMINA!BY334</f>
        <v>0</v>
      </c>
      <c r="AB381" s="1108">
        <f t="shared" si="24"/>
        <v>537.29999999999995</v>
      </c>
      <c r="AD381" s="625"/>
      <c r="AH381" s="1467" t="str">
        <f>NOMINA!P334</f>
        <v>01020373250001007549</v>
      </c>
    </row>
    <row r="382" spans="1:34" s="620" customFormat="1" ht="19.5" customHeight="1" thickBot="1" x14ac:dyDescent="0.25">
      <c r="A382" s="758" t="s">
        <v>2846</v>
      </c>
      <c r="B382" s="759">
        <f t="shared" si="25"/>
        <v>31</v>
      </c>
      <c r="C382" s="1102">
        <f>NOMINA!C335</f>
        <v>11321782</v>
      </c>
      <c r="D382" s="1103" t="str">
        <f>NOMINA!D335</f>
        <v>Flores Camacho Maria Zoraida</v>
      </c>
      <c r="E382" s="1461" t="s">
        <v>4622</v>
      </c>
      <c r="F382" s="1110">
        <v>32351</v>
      </c>
      <c r="G382" s="1461" t="s">
        <v>4620</v>
      </c>
      <c r="H382" s="1442">
        <f>NOMINA!H335</f>
        <v>43815</v>
      </c>
      <c r="I382" s="1105">
        <f>NOMINA!I333</f>
        <v>17</v>
      </c>
      <c r="J382" s="1106">
        <f>NOMINA!J333</f>
        <v>0</v>
      </c>
      <c r="K382" s="1105">
        <f t="shared" si="23"/>
        <v>17</v>
      </c>
      <c r="L382" s="1106" t="s">
        <v>4932</v>
      </c>
      <c r="M382" s="1106"/>
      <c r="N382" s="1443" t="str">
        <f>NOMINA!O335</f>
        <v>Cocinera</v>
      </c>
      <c r="O382" s="1106">
        <v>1.02087691000006E+18</v>
      </c>
      <c r="P382" s="1107">
        <f>ROUND(+NOMINA!T335,2)</f>
        <v>171</v>
      </c>
      <c r="Q382" s="1108">
        <v>0</v>
      </c>
      <c r="R382" s="1108">
        <f>ROUND(+NOMINA!AA335,2)</f>
        <v>8.5500000000000007</v>
      </c>
      <c r="S382" s="1108">
        <f>ROUND(+NOMINA!AB335,2)</f>
        <v>130</v>
      </c>
      <c r="T382" s="1108">
        <f>ROUND(+NOMINA!AC335,2)</f>
        <v>0</v>
      </c>
      <c r="U382" s="1108">
        <f>ROUND(+NOMINA!AD335,2)</f>
        <v>0</v>
      </c>
      <c r="V382" s="1108">
        <f>ROUND(NOMINA!AQ335,2)</f>
        <v>0</v>
      </c>
      <c r="W382" s="1108">
        <f>+NOMINA!AS335</f>
        <v>0</v>
      </c>
      <c r="X382" s="1108">
        <f>+NOMINA!AT335</f>
        <v>0</v>
      </c>
      <c r="Y382" s="1108">
        <f>+NOMINA!AU335</f>
        <v>309.55</v>
      </c>
      <c r="Z382" s="1108">
        <f>+NOMINA!BX335</f>
        <v>580.41</v>
      </c>
      <c r="AA382" s="1108">
        <f>+NOMINA!BY335</f>
        <v>0</v>
      </c>
      <c r="AB382" s="1108">
        <f t="shared" si="24"/>
        <v>580.41</v>
      </c>
      <c r="AD382" s="625"/>
      <c r="AH382" s="1467" t="str">
        <f>NOMINA!P335</f>
        <v>01020373210000632070</v>
      </c>
    </row>
    <row r="383" spans="1:34" s="620" customFormat="1" ht="19.5" customHeight="1" thickBot="1" x14ac:dyDescent="0.25">
      <c r="A383" s="758" t="s">
        <v>2846</v>
      </c>
      <c r="B383" s="759">
        <f t="shared" si="25"/>
        <v>32</v>
      </c>
      <c r="C383" s="1102">
        <f>NOMINA!C336</f>
        <v>11324931</v>
      </c>
      <c r="D383" s="1103" t="str">
        <f>NOMINA!D336</f>
        <v>Sulbaran de Araujo Magaly</v>
      </c>
      <c r="E383" s="1461" t="s">
        <v>4622</v>
      </c>
      <c r="F383" s="1110">
        <v>32351</v>
      </c>
      <c r="G383" s="1461" t="s">
        <v>4620</v>
      </c>
      <c r="H383" s="1442">
        <f>NOMINA!H336</f>
        <v>38784</v>
      </c>
      <c r="I383" s="1105">
        <f>NOMINA!I334</f>
        <v>3</v>
      </c>
      <c r="J383" s="1106">
        <f>NOMINA!J334</f>
        <v>0</v>
      </c>
      <c r="K383" s="1105">
        <f t="shared" si="23"/>
        <v>3</v>
      </c>
      <c r="L383" s="1106" t="s">
        <v>4932</v>
      </c>
      <c r="M383" s="1106"/>
      <c r="N383" s="1443" t="str">
        <f>NOMINA!O336</f>
        <v>Cocinera</v>
      </c>
      <c r="O383" s="1106">
        <v>1.02087691000006E+18</v>
      </c>
      <c r="P383" s="1107">
        <f>ROUND(+NOMINA!T336,2)</f>
        <v>171</v>
      </c>
      <c r="Q383" s="1108">
        <v>0</v>
      </c>
      <c r="R383" s="1108">
        <f>ROUND(+NOMINA!AA336,2)</f>
        <v>41.72</v>
      </c>
      <c r="S383" s="1108">
        <f>ROUND(+NOMINA!AB336,2)</f>
        <v>130</v>
      </c>
      <c r="T383" s="1108">
        <f>ROUND(+NOMINA!AC336,2)</f>
        <v>0</v>
      </c>
      <c r="U383" s="1108">
        <f>ROUND(+NOMINA!AD336,2)</f>
        <v>0</v>
      </c>
      <c r="V383" s="1108">
        <f>ROUND(NOMINA!AQ336,2)</f>
        <v>0</v>
      </c>
      <c r="W383" s="1108">
        <f>+NOMINA!AS336</f>
        <v>0</v>
      </c>
      <c r="X383" s="1108">
        <f>+NOMINA!AT336</f>
        <v>0</v>
      </c>
      <c r="Y383" s="1108">
        <f>+NOMINA!AU336</f>
        <v>342.72</v>
      </c>
      <c r="Z383" s="1108">
        <f>+NOMINA!BX336</f>
        <v>642.6</v>
      </c>
      <c r="AA383" s="1108">
        <f>+NOMINA!BY336</f>
        <v>0</v>
      </c>
      <c r="AB383" s="1108">
        <f t="shared" si="24"/>
        <v>642.6</v>
      </c>
      <c r="AD383" s="625"/>
      <c r="AH383" s="1467" t="str">
        <f>NOMINA!P336</f>
        <v>01020373260000439969</v>
      </c>
    </row>
    <row r="384" spans="1:34" s="620" customFormat="1" ht="19.5" customHeight="1" thickBot="1" x14ac:dyDescent="0.25">
      <c r="A384" s="758" t="s">
        <v>2846</v>
      </c>
      <c r="B384" s="759">
        <f t="shared" si="25"/>
        <v>33</v>
      </c>
      <c r="C384" s="1102">
        <f>NOMINA!C337</f>
        <v>11894400</v>
      </c>
      <c r="D384" s="1103" t="str">
        <f>NOMINA!D337</f>
        <v>Aldana Olivar Maria del Carmen</v>
      </c>
      <c r="E384" s="1461" t="s">
        <v>4622</v>
      </c>
      <c r="F384" s="1110">
        <v>32351</v>
      </c>
      <c r="G384" s="1461" t="s">
        <v>4620</v>
      </c>
      <c r="H384" s="1442">
        <f>NOMINA!H337</f>
        <v>44287</v>
      </c>
      <c r="I384" s="1105">
        <f>NOMINA!I335</f>
        <v>5</v>
      </c>
      <c r="J384" s="1106">
        <f>NOMINA!J335</f>
        <v>0</v>
      </c>
      <c r="K384" s="1105">
        <f t="shared" si="23"/>
        <v>5</v>
      </c>
      <c r="L384" s="1106" t="s">
        <v>4932</v>
      </c>
      <c r="M384" s="1106"/>
      <c r="N384" s="1443" t="str">
        <f>NOMINA!O337</f>
        <v>Cocinera</v>
      </c>
      <c r="O384" s="1106">
        <v>1.02087691000006E+18</v>
      </c>
      <c r="P384" s="1107">
        <f>ROUND(+NOMINA!T337,2)</f>
        <v>171</v>
      </c>
      <c r="Q384" s="1108">
        <v>0</v>
      </c>
      <c r="R384" s="1108">
        <f>ROUND(+NOMINA!AA337,2)</f>
        <v>6.84</v>
      </c>
      <c r="S384" s="1108">
        <f>ROUND(+NOMINA!AB337,2)</f>
        <v>130</v>
      </c>
      <c r="T384" s="1108">
        <f>ROUND(+NOMINA!AC337,2)</f>
        <v>0</v>
      </c>
      <c r="U384" s="1108">
        <f>ROUND(+NOMINA!AD337,2)</f>
        <v>0</v>
      </c>
      <c r="V384" s="1108">
        <f>ROUND(NOMINA!AQ337,2)</f>
        <v>0</v>
      </c>
      <c r="W384" s="1108">
        <f>+NOMINA!AS337</f>
        <v>0</v>
      </c>
      <c r="X384" s="1108">
        <f>+NOMINA!AT337</f>
        <v>0</v>
      </c>
      <c r="Y384" s="1108">
        <f>+NOMINA!AU337</f>
        <v>307.84000000000003</v>
      </c>
      <c r="Z384" s="1108">
        <f>+NOMINA!BX337</f>
        <v>577.20000000000005</v>
      </c>
      <c r="AA384" s="1108">
        <f>+NOMINA!BY337</f>
        <v>0</v>
      </c>
      <c r="AB384" s="1108">
        <f t="shared" si="24"/>
        <v>577.20000000000005</v>
      </c>
      <c r="AD384" s="625"/>
      <c r="AH384" s="1467" t="str">
        <f>NOMINA!P337</f>
        <v>01020373290000645766</v>
      </c>
    </row>
    <row r="385" spans="1:34" s="620" customFormat="1" ht="19.5" customHeight="1" thickBot="1" x14ac:dyDescent="0.25">
      <c r="A385" s="758" t="s">
        <v>2846</v>
      </c>
      <c r="B385" s="759">
        <f t="shared" si="25"/>
        <v>34</v>
      </c>
      <c r="C385" s="1102">
        <f>NOMINA!C338</f>
        <v>11897863</v>
      </c>
      <c r="D385" s="1103" t="str">
        <f>NOMINA!D338</f>
        <v>Rodriguez Maria Ibel</v>
      </c>
      <c r="E385" s="1461" t="s">
        <v>4622</v>
      </c>
      <c r="F385" s="1110">
        <v>32351</v>
      </c>
      <c r="G385" s="1461" t="s">
        <v>4620</v>
      </c>
      <c r="H385" s="1442">
        <f>NOMINA!H338</f>
        <v>41548</v>
      </c>
      <c r="I385" s="1105">
        <f>NOMINA!I336</f>
        <v>19</v>
      </c>
      <c r="J385" s="1106">
        <f>NOMINA!J336</f>
        <v>0</v>
      </c>
      <c r="K385" s="1105">
        <f t="shared" si="23"/>
        <v>19</v>
      </c>
      <c r="L385" s="1106" t="s">
        <v>4932</v>
      </c>
      <c r="M385" s="1106"/>
      <c r="N385" s="1443" t="str">
        <f>NOMINA!O338</f>
        <v>Aseadora</v>
      </c>
      <c r="O385" s="1106">
        <v>1.02087691000006E+18</v>
      </c>
      <c r="P385" s="1107">
        <f>ROUND(+NOMINA!T338,2)</f>
        <v>130</v>
      </c>
      <c r="Q385" s="1108">
        <v>0</v>
      </c>
      <c r="R385" s="1108">
        <f>ROUND(+NOMINA!AA338,2)</f>
        <v>16.12</v>
      </c>
      <c r="S385" s="1108">
        <f>ROUND(+NOMINA!AB338,2)</f>
        <v>130</v>
      </c>
      <c r="T385" s="1108">
        <f>ROUND(+NOMINA!AC338,2)</f>
        <v>0</v>
      </c>
      <c r="U385" s="1108">
        <f>ROUND(+NOMINA!AD338,2)</f>
        <v>0</v>
      </c>
      <c r="V385" s="1108">
        <f>ROUND(NOMINA!AQ338,2)</f>
        <v>0</v>
      </c>
      <c r="W385" s="1108">
        <f>+NOMINA!AS338</f>
        <v>0</v>
      </c>
      <c r="X385" s="1108">
        <f>+NOMINA!AT338</f>
        <v>0</v>
      </c>
      <c r="Y385" s="1108">
        <f>+NOMINA!AU338</f>
        <v>276.12</v>
      </c>
      <c r="Z385" s="1108">
        <f>+NOMINA!BX338</f>
        <v>517.73</v>
      </c>
      <c r="AA385" s="1108">
        <f>+NOMINA!BY338</f>
        <v>0</v>
      </c>
      <c r="AB385" s="1108">
        <f t="shared" si="24"/>
        <v>517.73</v>
      </c>
      <c r="AD385" s="625"/>
      <c r="AH385" s="1467" t="str">
        <f>NOMINA!P338</f>
        <v>01020373220000440039</v>
      </c>
    </row>
    <row r="386" spans="1:34" s="620" customFormat="1" ht="19.5" customHeight="1" thickBot="1" x14ac:dyDescent="0.25">
      <c r="A386" s="758" t="s">
        <v>2846</v>
      </c>
      <c r="B386" s="759">
        <f t="shared" si="25"/>
        <v>35</v>
      </c>
      <c r="C386" s="1102">
        <f>NOMINA!C339</f>
        <v>12038359</v>
      </c>
      <c r="D386" s="1103" t="str">
        <f>NOMINA!D339</f>
        <v>Amaya Perez Carmen Elena</v>
      </c>
      <c r="E386" s="1461" t="s">
        <v>4622</v>
      </c>
      <c r="F386" s="1110">
        <v>32351</v>
      </c>
      <c r="G386" s="1461" t="s">
        <v>4620</v>
      </c>
      <c r="H386" s="1442">
        <f>NOMINA!H339</f>
        <v>38103</v>
      </c>
      <c r="I386" s="1105">
        <f>NOMINA!I337</f>
        <v>4</v>
      </c>
      <c r="J386" s="1106">
        <f>NOMINA!J337</f>
        <v>0</v>
      </c>
      <c r="K386" s="1105">
        <f t="shared" si="23"/>
        <v>4</v>
      </c>
      <c r="L386" s="1106" t="s">
        <v>4932</v>
      </c>
      <c r="M386" s="1106"/>
      <c r="N386" s="1443" t="str">
        <f>NOMINA!O339</f>
        <v>Cocinera</v>
      </c>
      <c r="O386" s="1106">
        <v>1.02087691000006E+18</v>
      </c>
      <c r="P386" s="1107">
        <f>ROUND(+NOMINA!T339,2)</f>
        <v>171</v>
      </c>
      <c r="Q386" s="1108">
        <v>0</v>
      </c>
      <c r="R386" s="1108">
        <f>ROUND(+NOMINA!AA339,2)</f>
        <v>47.54</v>
      </c>
      <c r="S386" s="1108">
        <f>ROUND(+NOMINA!AB339,2)</f>
        <v>130</v>
      </c>
      <c r="T386" s="1108">
        <f>ROUND(+NOMINA!AC339,2)</f>
        <v>0</v>
      </c>
      <c r="U386" s="1108">
        <f>ROUND(+NOMINA!AD339,2)</f>
        <v>0</v>
      </c>
      <c r="V386" s="1108">
        <f>ROUND(NOMINA!AQ339,2)</f>
        <v>0</v>
      </c>
      <c r="W386" s="1108">
        <f>+NOMINA!AS339</f>
        <v>0</v>
      </c>
      <c r="X386" s="1108">
        <f>+NOMINA!AT339</f>
        <v>0</v>
      </c>
      <c r="Y386" s="1108">
        <f>+NOMINA!AU339</f>
        <v>348.53999999999996</v>
      </c>
      <c r="Z386" s="1108">
        <f>+NOMINA!BX339</f>
        <v>653.51</v>
      </c>
      <c r="AA386" s="1108">
        <f>+NOMINA!BY339</f>
        <v>0</v>
      </c>
      <c r="AB386" s="1108">
        <f t="shared" si="24"/>
        <v>653.51</v>
      </c>
      <c r="AD386" s="625"/>
      <c r="AH386" s="1467" t="str">
        <f>NOMINA!P339</f>
        <v>01020373280000440084</v>
      </c>
    </row>
    <row r="387" spans="1:34" s="620" customFormat="1" ht="19.5" customHeight="1" thickBot="1" x14ac:dyDescent="0.25">
      <c r="A387" s="758" t="s">
        <v>2846</v>
      </c>
      <c r="B387" s="759">
        <f t="shared" si="25"/>
        <v>36</v>
      </c>
      <c r="C387" s="1102">
        <f>NOMINA!C340</f>
        <v>12042930</v>
      </c>
      <c r="D387" s="1103" t="str">
        <f>NOMINA!D340</f>
        <v>Barroeta Cardozo Leonid Andrei</v>
      </c>
      <c r="E387" s="1461" t="s">
        <v>4622</v>
      </c>
      <c r="F387" s="1110">
        <v>32351</v>
      </c>
      <c r="G387" s="1461" t="s">
        <v>4620</v>
      </c>
      <c r="H387" s="1442">
        <f>NOMINA!H340</f>
        <v>44986</v>
      </c>
      <c r="I387" s="1105">
        <f>NOMINA!I338</f>
        <v>11</v>
      </c>
      <c r="J387" s="1106">
        <f>NOMINA!J338</f>
        <v>0</v>
      </c>
      <c r="K387" s="1105">
        <f t="shared" si="23"/>
        <v>11</v>
      </c>
      <c r="L387" s="1106" t="s">
        <v>4932</v>
      </c>
      <c r="M387" s="1106"/>
      <c r="N387" s="1443" t="str">
        <f>NOMINA!O340</f>
        <v>Ayudante de Servicios Generales</v>
      </c>
      <c r="O387" s="1106">
        <v>1.02087691000006E+18</v>
      </c>
      <c r="P387" s="1107">
        <f>ROUND(+NOMINA!T340,2)</f>
        <v>152</v>
      </c>
      <c r="Q387" s="1108">
        <v>0</v>
      </c>
      <c r="R387" s="1108">
        <f>ROUND(+NOMINA!AA340,2)</f>
        <v>3.04</v>
      </c>
      <c r="S387" s="1108">
        <f>ROUND(+NOMINA!AB340,2)</f>
        <v>130</v>
      </c>
      <c r="T387" s="1108">
        <f>ROUND(+NOMINA!AC340,2)</f>
        <v>0</v>
      </c>
      <c r="U387" s="1108">
        <f>ROUND(+NOMINA!AD340,2)</f>
        <v>0</v>
      </c>
      <c r="V387" s="1108">
        <f>ROUND(NOMINA!AQ340,2)</f>
        <v>0</v>
      </c>
      <c r="W387" s="1108">
        <f>+NOMINA!AS340</f>
        <v>0</v>
      </c>
      <c r="X387" s="1108">
        <f>+NOMINA!AT340</f>
        <v>0</v>
      </c>
      <c r="Y387" s="1108">
        <f>+NOMINA!AU340</f>
        <v>285.03999999999996</v>
      </c>
      <c r="Z387" s="1108">
        <f>+NOMINA!BX340</f>
        <v>534.45000000000005</v>
      </c>
      <c r="AA387" s="1108">
        <f>+NOMINA!BY340</f>
        <v>0</v>
      </c>
      <c r="AB387" s="1108">
        <f t="shared" si="24"/>
        <v>534.45000000000005</v>
      </c>
      <c r="AD387" s="625"/>
      <c r="AH387" s="1467" t="str">
        <f>NOMINA!P340</f>
        <v>01020373290000795425</v>
      </c>
    </row>
    <row r="388" spans="1:34" s="620" customFormat="1" ht="19.5" customHeight="1" thickBot="1" x14ac:dyDescent="0.25">
      <c r="A388" s="758" t="s">
        <v>2846</v>
      </c>
      <c r="B388" s="759">
        <f t="shared" si="25"/>
        <v>37</v>
      </c>
      <c r="C388" s="1102">
        <f>NOMINA!C341</f>
        <v>12043135</v>
      </c>
      <c r="D388" s="1103" t="str">
        <f>NOMINA!D341</f>
        <v>Avila Salvio Rodolfo</v>
      </c>
      <c r="E388" s="1461" t="s">
        <v>4622</v>
      </c>
      <c r="F388" s="1110">
        <v>32351</v>
      </c>
      <c r="G388" s="1461" t="s">
        <v>4620</v>
      </c>
      <c r="H388" s="1442">
        <f>NOMINA!H341</f>
        <v>43724</v>
      </c>
      <c r="I388" s="1105">
        <f>NOMINA!I339</f>
        <v>21</v>
      </c>
      <c r="J388" s="1106">
        <f>NOMINA!J339</f>
        <v>0</v>
      </c>
      <c r="K388" s="1105">
        <f t="shared" si="23"/>
        <v>21</v>
      </c>
      <c r="L388" s="1106" t="s">
        <v>4932</v>
      </c>
      <c r="M388" s="1106"/>
      <c r="N388" s="1443" t="str">
        <f>NOMINA!O341</f>
        <v>Cocinero</v>
      </c>
      <c r="O388" s="1106">
        <v>1.02087691000006E+18</v>
      </c>
      <c r="P388" s="1107">
        <f>ROUND(+NOMINA!T341,2)</f>
        <v>171</v>
      </c>
      <c r="Q388" s="1108">
        <v>0</v>
      </c>
      <c r="R388" s="1108">
        <f>ROUND(+NOMINA!AA341,2)</f>
        <v>10.6</v>
      </c>
      <c r="S388" s="1108">
        <f>ROUND(+NOMINA!AB341,2)</f>
        <v>130</v>
      </c>
      <c r="T388" s="1108">
        <f>ROUND(+NOMINA!AC341,2)</f>
        <v>0</v>
      </c>
      <c r="U388" s="1108">
        <f>ROUND(+NOMINA!AD341,2)</f>
        <v>0</v>
      </c>
      <c r="V388" s="1108">
        <f>ROUND(NOMINA!AQ341,2)</f>
        <v>0</v>
      </c>
      <c r="W388" s="1108">
        <f>+NOMINA!AS341</f>
        <v>0</v>
      </c>
      <c r="X388" s="1108">
        <f>+NOMINA!AT341</f>
        <v>0</v>
      </c>
      <c r="Y388" s="1108">
        <f>+NOMINA!AU341</f>
        <v>311.60000000000002</v>
      </c>
      <c r="Z388" s="1108">
        <f>+NOMINA!BX341</f>
        <v>584.25</v>
      </c>
      <c r="AA388" s="1108">
        <f>+NOMINA!BY341</f>
        <v>0</v>
      </c>
      <c r="AB388" s="1108">
        <f t="shared" si="24"/>
        <v>584.25</v>
      </c>
      <c r="AD388" s="625"/>
      <c r="AH388" s="1467" t="str">
        <f>NOMINA!P341</f>
        <v>01020373220000534194</v>
      </c>
    </row>
    <row r="389" spans="1:34" s="620" customFormat="1" ht="19.5" customHeight="1" thickBot="1" x14ac:dyDescent="0.25">
      <c r="A389" s="758" t="s">
        <v>2846</v>
      </c>
      <c r="B389" s="759">
        <f t="shared" si="25"/>
        <v>38</v>
      </c>
      <c r="C389" s="1102">
        <f>NOMINA!C342</f>
        <v>12044124</v>
      </c>
      <c r="D389" s="1103" t="str">
        <f>NOMINA!D342</f>
        <v>Rivas Carlos Luis</v>
      </c>
      <c r="E389" s="1461" t="s">
        <v>4622</v>
      </c>
      <c r="F389" s="1110">
        <v>32351</v>
      </c>
      <c r="G389" s="1461" t="s">
        <v>4620</v>
      </c>
      <c r="H389" s="1442">
        <f>NOMINA!H342</f>
        <v>39539</v>
      </c>
      <c r="I389" s="1105">
        <f>NOMINA!I340</f>
        <v>2</v>
      </c>
      <c r="J389" s="1106">
        <f>NOMINA!J340</f>
        <v>0</v>
      </c>
      <c r="K389" s="1105">
        <f t="shared" si="23"/>
        <v>2</v>
      </c>
      <c r="L389" s="1106" t="s">
        <v>4932</v>
      </c>
      <c r="M389" s="1106"/>
      <c r="N389" s="1443" t="str">
        <f>NOMINA!O342</f>
        <v>Ayudante de Servicios Generales</v>
      </c>
      <c r="O389" s="1106">
        <v>1.02087691000006E+18</v>
      </c>
      <c r="P389" s="1107">
        <f>ROUND(+NOMINA!T342,2)</f>
        <v>152</v>
      </c>
      <c r="Q389" s="1108">
        <v>0</v>
      </c>
      <c r="R389" s="1108">
        <f>ROUND(+NOMINA!AA342,2)</f>
        <v>32.22</v>
      </c>
      <c r="S389" s="1108">
        <f>ROUND(+NOMINA!AB342,2)</f>
        <v>130</v>
      </c>
      <c r="T389" s="1108">
        <f>ROUND(+NOMINA!AC342,2)</f>
        <v>0</v>
      </c>
      <c r="U389" s="1108">
        <f>ROUND(+NOMINA!AD342,2)</f>
        <v>0</v>
      </c>
      <c r="V389" s="1108">
        <f>ROUND(NOMINA!AQ342,2)</f>
        <v>0</v>
      </c>
      <c r="W389" s="1108">
        <f>+NOMINA!AS342</f>
        <v>0</v>
      </c>
      <c r="X389" s="1108">
        <f>+NOMINA!AT342</f>
        <v>0</v>
      </c>
      <c r="Y389" s="1108">
        <f>+NOMINA!AU342</f>
        <v>408.49</v>
      </c>
      <c r="Z389" s="1108">
        <f>+NOMINA!BX342</f>
        <v>765.92</v>
      </c>
      <c r="AA389" s="1108">
        <f>+NOMINA!BY342</f>
        <v>0</v>
      </c>
      <c r="AB389" s="1108">
        <f t="shared" si="24"/>
        <v>765.92</v>
      </c>
      <c r="AD389" s="625"/>
      <c r="AH389" s="1467" t="str">
        <f>NOMINA!P342</f>
        <v>01020373240000440136</v>
      </c>
    </row>
    <row r="390" spans="1:34" s="620" customFormat="1" ht="19.5" customHeight="1" thickBot="1" x14ac:dyDescent="0.25">
      <c r="A390" s="758" t="s">
        <v>2846</v>
      </c>
      <c r="B390" s="759">
        <f t="shared" si="25"/>
        <v>39</v>
      </c>
      <c r="C390" s="1102">
        <f>NOMINA!C343</f>
        <v>12044754</v>
      </c>
      <c r="D390" s="1103" t="str">
        <f>NOMINA!D343</f>
        <v>Briceño Graterol Oscar Antonio</v>
      </c>
      <c r="E390" s="1461" t="s">
        <v>4622</v>
      </c>
      <c r="F390" s="1110">
        <v>32351</v>
      </c>
      <c r="G390" s="1461" t="s">
        <v>4620</v>
      </c>
      <c r="H390" s="1442">
        <f>NOMINA!H343</f>
        <v>43481</v>
      </c>
      <c r="I390" s="1105">
        <f>NOMINA!I341</f>
        <v>6</v>
      </c>
      <c r="J390" s="1106">
        <f>NOMINA!J341</f>
        <v>0</v>
      </c>
      <c r="K390" s="1105">
        <f t="shared" si="23"/>
        <v>6</v>
      </c>
      <c r="L390" s="1106" t="s">
        <v>4932</v>
      </c>
      <c r="M390" s="1106"/>
      <c r="N390" s="1443" t="str">
        <f>NOMINA!O343</f>
        <v>Ayudante de Servicios Generales</v>
      </c>
      <c r="O390" s="1106">
        <v>1.02087691000006E+18</v>
      </c>
      <c r="P390" s="1107">
        <f>ROUND(+NOMINA!T343,2)</f>
        <v>152</v>
      </c>
      <c r="Q390" s="1108">
        <v>0</v>
      </c>
      <c r="R390" s="1108">
        <f>ROUND(+NOMINA!AA343,2)</f>
        <v>9.42</v>
      </c>
      <c r="S390" s="1108">
        <f>ROUND(+NOMINA!AB343,2)</f>
        <v>130</v>
      </c>
      <c r="T390" s="1108">
        <f>ROUND(+NOMINA!AC343,2)</f>
        <v>0</v>
      </c>
      <c r="U390" s="1108">
        <f>ROUND(+NOMINA!AD343,2)</f>
        <v>0</v>
      </c>
      <c r="V390" s="1108">
        <f>ROUND(NOMINA!AQ343,2)</f>
        <v>0</v>
      </c>
      <c r="W390" s="1108">
        <f>+NOMINA!AS343</f>
        <v>0</v>
      </c>
      <c r="X390" s="1108">
        <f>+NOMINA!AT343</f>
        <v>0</v>
      </c>
      <c r="Y390" s="1108">
        <f>+NOMINA!AU343</f>
        <v>291.41999999999996</v>
      </c>
      <c r="Z390" s="1108">
        <f>+NOMINA!BX343</f>
        <v>546.41</v>
      </c>
      <c r="AA390" s="1108">
        <f>+NOMINA!BY343</f>
        <v>0</v>
      </c>
      <c r="AB390" s="1108">
        <f t="shared" si="24"/>
        <v>546.41</v>
      </c>
      <c r="AD390" s="625"/>
      <c r="AH390" s="1467" t="str">
        <f>NOMINA!P343</f>
        <v>01020494190000306652</v>
      </c>
    </row>
    <row r="391" spans="1:34" s="620" customFormat="1" ht="19.5" customHeight="1" thickBot="1" x14ac:dyDescent="0.25">
      <c r="A391" s="758" t="s">
        <v>2846</v>
      </c>
      <c r="B391" s="759">
        <f t="shared" si="25"/>
        <v>40</v>
      </c>
      <c r="C391" s="1102">
        <f>NOMINA!C344</f>
        <v>12046834</v>
      </c>
      <c r="D391" s="1103" t="str">
        <f>NOMINA!D344</f>
        <v>Perez Montilla William Jose</v>
      </c>
      <c r="E391" s="1461" t="s">
        <v>4622</v>
      </c>
      <c r="F391" s="1110">
        <v>32351</v>
      </c>
      <c r="G391" s="1461" t="s">
        <v>4620</v>
      </c>
      <c r="H391" s="1442">
        <f>NOMINA!H344</f>
        <v>43313</v>
      </c>
      <c r="I391" s="1105">
        <f>NOMINA!I342</f>
        <v>17</v>
      </c>
      <c r="J391" s="1106">
        <f>NOMINA!J342</f>
        <v>0</v>
      </c>
      <c r="K391" s="1105">
        <f t="shared" si="23"/>
        <v>17</v>
      </c>
      <c r="L391" s="1106" t="s">
        <v>4932</v>
      </c>
      <c r="M391" s="1106"/>
      <c r="N391" s="1443" t="str">
        <f>NOMINA!O344</f>
        <v>Cocinero</v>
      </c>
      <c r="O391" s="1106">
        <v>1.02087691000006E+18</v>
      </c>
      <c r="P391" s="1107">
        <f>ROUND(+NOMINA!T344,2)</f>
        <v>171</v>
      </c>
      <c r="Q391" s="1108">
        <v>0</v>
      </c>
      <c r="R391" s="1108">
        <f>ROUND(+NOMINA!AA344,2)</f>
        <v>12.65</v>
      </c>
      <c r="S391" s="1108">
        <f>ROUND(+NOMINA!AB344,2)</f>
        <v>130</v>
      </c>
      <c r="T391" s="1108">
        <f>ROUND(+NOMINA!AC344,2)</f>
        <v>12.5</v>
      </c>
      <c r="U391" s="1108">
        <f>ROUND(+NOMINA!AD344,2)</f>
        <v>0</v>
      </c>
      <c r="V391" s="1108">
        <f>ROUND(NOMINA!AQ344,2)</f>
        <v>0</v>
      </c>
      <c r="W391" s="1108">
        <f>+NOMINA!AS344</f>
        <v>0</v>
      </c>
      <c r="X391" s="1108">
        <f>+NOMINA!AT344</f>
        <v>12.5</v>
      </c>
      <c r="Y391" s="1108">
        <f>+NOMINA!AU344</f>
        <v>326.14999999999998</v>
      </c>
      <c r="Z391" s="1108">
        <f>+NOMINA!BX344</f>
        <v>611.53</v>
      </c>
      <c r="AA391" s="1108">
        <f>+NOMINA!BY344</f>
        <v>0</v>
      </c>
      <c r="AB391" s="1108">
        <f t="shared" si="24"/>
        <v>611.53</v>
      </c>
      <c r="AD391" s="625"/>
      <c r="AH391" s="1467" t="str">
        <f>NOMINA!P344</f>
        <v>01020373210000585499</v>
      </c>
    </row>
    <row r="392" spans="1:34" s="620" customFormat="1" ht="19.5" customHeight="1" thickBot="1" x14ac:dyDescent="0.25">
      <c r="A392" s="758" t="s">
        <v>2846</v>
      </c>
      <c r="B392" s="759">
        <f t="shared" si="25"/>
        <v>41</v>
      </c>
      <c r="C392" s="1102">
        <f>NOMINA!C345</f>
        <v>12047016</v>
      </c>
      <c r="D392" s="1103" t="str">
        <f>NOMINA!D345</f>
        <v>Lozada de Estenoz Maria Edicta</v>
      </c>
      <c r="E392" s="1461" t="s">
        <v>4622</v>
      </c>
      <c r="F392" s="1110">
        <v>32351</v>
      </c>
      <c r="G392" s="1461" t="s">
        <v>4620</v>
      </c>
      <c r="H392" s="1442">
        <f>NOMINA!H345</f>
        <v>42948</v>
      </c>
      <c r="I392" s="1105">
        <f>NOMINA!I343</f>
        <v>6</v>
      </c>
      <c r="J392" s="1106">
        <f>NOMINA!J343</f>
        <v>0</v>
      </c>
      <c r="K392" s="1105">
        <f t="shared" si="23"/>
        <v>6</v>
      </c>
      <c r="L392" s="1106" t="s">
        <v>4932</v>
      </c>
      <c r="M392" s="1106"/>
      <c r="N392" s="1443" t="str">
        <f>NOMINA!O345</f>
        <v>Cocinera</v>
      </c>
      <c r="O392" s="1106">
        <v>1.02087691000006E+18</v>
      </c>
      <c r="P392" s="1107">
        <f>ROUND(+NOMINA!T345,2)</f>
        <v>171</v>
      </c>
      <c r="Q392" s="1108">
        <v>0</v>
      </c>
      <c r="R392" s="1108">
        <f>ROUND(+NOMINA!AA345,2)</f>
        <v>14.71</v>
      </c>
      <c r="S392" s="1108">
        <f>ROUND(+NOMINA!AB345,2)</f>
        <v>130</v>
      </c>
      <c r="T392" s="1108">
        <f>ROUND(+NOMINA!AC345,2)</f>
        <v>12.5</v>
      </c>
      <c r="U392" s="1108">
        <f>ROUND(+NOMINA!AD345,2)</f>
        <v>0</v>
      </c>
      <c r="V392" s="1108">
        <f>ROUND(NOMINA!AQ345,2)</f>
        <v>0</v>
      </c>
      <c r="W392" s="1108">
        <f>+NOMINA!AS345</f>
        <v>0</v>
      </c>
      <c r="X392" s="1108">
        <f>+NOMINA!AT345</f>
        <v>0</v>
      </c>
      <c r="Y392" s="1108">
        <f>+NOMINA!AU345</f>
        <v>328.21000000000004</v>
      </c>
      <c r="Z392" s="1108">
        <f>+NOMINA!BX345</f>
        <v>615.4</v>
      </c>
      <c r="AA392" s="1108">
        <f>+NOMINA!BY345</f>
        <v>0</v>
      </c>
      <c r="AB392" s="1108">
        <f t="shared" si="24"/>
        <v>615.4</v>
      </c>
      <c r="AD392" s="625"/>
      <c r="AH392" s="1467" t="str">
        <f>NOMINA!P345</f>
        <v>01020494180000215387</v>
      </c>
    </row>
    <row r="393" spans="1:34" s="620" customFormat="1" ht="19.5" customHeight="1" thickBot="1" x14ac:dyDescent="0.25">
      <c r="A393" s="758" t="s">
        <v>2846</v>
      </c>
      <c r="B393" s="759">
        <f t="shared" si="25"/>
        <v>42</v>
      </c>
      <c r="C393" s="1102">
        <f>NOMINA!C347</f>
        <v>12797543</v>
      </c>
      <c r="D393" s="1103" t="str">
        <f>NOMINA!D347</f>
        <v>Carrizo Blanco Doris Coromoto</v>
      </c>
      <c r="E393" s="1461" t="s">
        <v>4622</v>
      </c>
      <c r="F393" s="1110">
        <v>32351</v>
      </c>
      <c r="G393" s="1461" t="s">
        <v>4620</v>
      </c>
      <c r="H393" s="1442">
        <f>NOMINA!H347</f>
        <v>42948</v>
      </c>
      <c r="I393" s="1105">
        <f>NOMINA!I344</f>
        <v>7</v>
      </c>
      <c r="J393" s="1106">
        <f>NOMINA!J344</f>
        <v>0</v>
      </c>
      <c r="K393" s="1105">
        <f t="shared" si="23"/>
        <v>7</v>
      </c>
      <c r="L393" s="1106" t="s">
        <v>4932</v>
      </c>
      <c r="M393" s="1106"/>
      <c r="N393" s="1443" t="str">
        <f>NOMINA!O347</f>
        <v>Ayudante de Servicios Generales</v>
      </c>
      <c r="O393" s="1106">
        <v>1.02087691000006E+18</v>
      </c>
      <c r="P393" s="1107">
        <f>ROUND(+NOMINA!T347,2)</f>
        <v>152</v>
      </c>
      <c r="Q393" s="1108">
        <v>0</v>
      </c>
      <c r="R393" s="1108">
        <f>ROUND(+NOMINA!AA347,2)</f>
        <v>13.07</v>
      </c>
      <c r="S393" s="1108">
        <f>ROUND(+NOMINA!AB347,2)</f>
        <v>130</v>
      </c>
      <c r="T393" s="1108">
        <f>ROUND(+NOMINA!AC347,2)</f>
        <v>0</v>
      </c>
      <c r="U393" s="1108">
        <f>ROUND(+NOMINA!AD347,2)</f>
        <v>0</v>
      </c>
      <c r="V393" s="1108">
        <f>ROUND(NOMINA!AQ347,2)</f>
        <v>0</v>
      </c>
      <c r="W393" s="1108">
        <f>+NOMINA!AS347</f>
        <v>12.5</v>
      </c>
      <c r="X393" s="1108">
        <f>+NOMINA!AT347</f>
        <v>12.5</v>
      </c>
      <c r="Y393" s="1108">
        <f>+NOMINA!AU347</f>
        <v>295.07</v>
      </c>
      <c r="Z393" s="1108">
        <f>+NOMINA!BX347</f>
        <v>553.26</v>
      </c>
      <c r="AA393" s="1108">
        <f>+NOMINA!BY347</f>
        <v>0</v>
      </c>
      <c r="AB393" s="1108">
        <f t="shared" si="24"/>
        <v>553.26</v>
      </c>
      <c r="AD393" s="625"/>
      <c r="AH393" s="1467" t="str">
        <f>NOMINA!P347</f>
        <v>01020373210000462826</v>
      </c>
    </row>
    <row r="394" spans="1:34" s="620" customFormat="1" ht="19.5" customHeight="1" thickBot="1" x14ac:dyDescent="0.25">
      <c r="A394" s="758" t="s">
        <v>2846</v>
      </c>
      <c r="B394" s="759">
        <f t="shared" si="25"/>
        <v>43</v>
      </c>
      <c r="C394" s="1102">
        <f>NOMINA!C348</f>
        <v>12797598</v>
      </c>
      <c r="D394" s="1103" t="str">
        <f>NOMINA!D348</f>
        <v>Gutierrez Briceño Jose Gabriel</v>
      </c>
      <c r="E394" s="1461" t="s">
        <v>4622</v>
      </c>
      <c r="F394" s="1110">
        <v>32351</v>
      </c>
      <c r="G394" s="1461" t="s">
        <v>4620</v>
      </c>
      <c r="H394" s="1442">
        <f>NOMINA!H348</f>
        <v>44635</v>
      </c>
      <c r="I394" s="1105">
        <f>NOMINA!I345</f>
        <v>8</v>
      </c>
      <c r="J394" s="1106">
        <f>NOMINA!J345</f>
        <v>0</v>
      </c>
      <c r="K394" s="1105">
        <f t="shared" si="23"/>
        <v>8</v>
      </c>
      <c r="L394" s="1106" t="s">
        <v>4932</v>
      </c>
      <c r="M394" s="1106"/>
      <c r="N394" s="1443" t="str">
        <f>NOMINA!O348</f>
        <v>Cocinero</v>
      </c>
      <c r="O394" s="1106">
        <v>1.02087691000006E+18</v>
      </c>
      <c r="P394" s="1107">
        <f>ROUND(+NOMINA!T348,2)</f>
        <v>171</v>
      </c>
      <c r="Q394" s="1108">
        <v>0</v>
      </c>
      <c r="R394" s="1108">
        <f>ROUND(+NOMINA!AA348,2)</f>
        <v>5.13</v>
      </c>
      <c r="S394" s="1108">
        <f>ROUND(+NOMINA!AB348,2)</f>
        <v>130</v>
      </c>
      <c r="T394" s="1108">
        <f>ROUND(+NOMINA!AC348,2)</f>
        <v>12.5</v>
      </c>
      <c r="U394" s="1108">
        <f>ROUND(+NOMINA!AD348,2)</f>
        <v>0</v>
      </c>
      <c r="V394" s="1108">
        <f>ROUND(NOMINA!AQ348,2)</f>
        <v>0</v>
      </c>
      <c r="W394" s="1108">
        <f>+NOMINA!AS348</f>
        <v>0</v>
      </c>
      <c r="X394" s="1108">
        <f>+NOMINA!AT348</f>
        <v>12.5</v>
      </c>
      <c r="Y394" s="1108">
        <f>+NOMINA!AU348</f>
        <v>318.63</v>
      </c>
      <c r="Z394" s="1108">
        <f>+NOMINA!BX348</f>
        <v>597.42999999999995</v>
      </c>
      <c r="AA394" s="1108">
        <f>+NOMINA!BY348</f>
        <v>0</v>
      </c>
      <c r="AB394" s="1108">
        <f t="shared" si="24"/>
        <v>597.42999999999995</v>
      </c>
      <c r="AD394" s="625"/>
      <c r="AH394" s="1467" t="str">
        <f>NOMINA!P348</f>
        <v>01020747950000378907</v>
      </c>
    </row>
    <row r="395" spans="1:34" s="620" customFormat="1" ht="19.5" customHeight="1" thickBot="1" x14ac:dyDescent="0.25">
      <c r="A395" s="758" t="s">
        <v>2846</v>
      </c>
      <c r="B395" s="759">
        <f t="shared" si="25"/>
        <v>44</v>
      </c>
      <c r="C395" s="1102">
        <f>NOMINA!C349</f>
        <v>13049800</v>
      </c>
      <c r="D395" s="1103" t="str">
        <f>NOMINA!D349</f>
        <v>Artigas Sanchez Mereldes Corina</v>
      </c>
      <c r="E395" s="1461" t="s">
        <v>4622</v>
      </c>
      <c r="F395" s="1110">
        <v>32351</v>
      </c>
      <c r="G395" s="1461" t="s">
        <v>4620</v>
      </c>
      <c r="H395" s="1442">
        <f>NOMINA!H349</f>
        <v>42171</v>
      </c>
      <c r="I395" s="1105">
        <f>NOMINA!I347</f>
        <v>8</v>
      </c>
      <c r="J395" s="1106">
        <f>NOMINA!J347</f>
        <v>0</v>
      </c>
      <c r="K395" s="1105">
        <f t="shared" si="23"/>
        <v>8</v>
      </c>
      <c r="L395" s="1106" t="s">
        <v>4932</v>
      </c>
      <c r="M395" s="1106"/>
      <c r="N395" s="1443" t="str">
        <f>NOMINA!O349</f>
        <v>Aseadora</v>
      </c>
      <c r="O395" s="1106">
        <v>1.02087691000006E+18</v>
      </c>
      <c r="P395" s="1107">
        <f>ROUND(+NOMINA!T349,2)</f>
        <v>130</v>
      </c>
      <c r="Q395" s="1108">
        <v>0</v>
      </c>
      <c r="R395" s="1108">
        <f>ROUND(+NOMINA!AA349,2)</f>
        <v>14.3</v>
      </c>
      <c r="S395" s="1108">
        <f>ROUND(+NOMINA!AB349,2)</f>
        <v>130</v>
      </c>
      <c r="T395" s="1108">
        <f>ROUND(+NOMINA!AC349,2)</f>
        <v>0</v>
      </c>
      <c r="U395" s="1108">
        <f>ROUND(+NOMINA!AD349,2)</f>
        <v>0</v>
      </c>
      <c r="V395" s="1108">
        <f>ROUND(NOMINA!AQ349,2)</f>
        <v>0</v>
      </c>
      <c r="W395" s="1108">
        <f>+NOMINA!AS349</f>
        <v>0</v>
      </c>
      <c r="X395" s="1108">
        <f>+NOMINA!AT349</f>
        <v>0</v>
      </c>
      <c r="Y395" s="1108">
        <f>+NOMINA!AU349</f>
        <v>274.3</v>
      </c>
      <c r="Z395" s="1108">
        <f>+NOMINA!BX349</f>
        <v>514.30999999999995</v>
      </c>
      <c r="AA395" s="1108">
        <f>+NOMINA!BY349</f>
        <v>0</v>
      </c>
      <c r="AB395" s="1108">
        <f t="shared" si="24"/>
        <v>514.30999999999995</v>
      </c>
      <c r="AD395" s="625"/>
      <c r="AH395" s="1467" t="str">
        <f>NOMINA!P349</f>
        <v>01020373230000440369</v>
      </c>
    </row>
    <row r="396" spans="1:34" s="620" customFormat="1" ht="19.5" customHeight="1" thickBot="1" x14ac:dyDescent="0.25">
      <c r="A396" s="758" t="s">
        <v>2846</v>
      </c>
      <c r="B396" s="759">
        <f t="shared" si="25"/>
        <v>45</v>
      </c>
      <c r="C396" s="1102" t="e">
        <f>NOMINA!#REF!</f>
        <v>#REF!</v>
      </c>
      <c r="D396" s="1103" t="e">
        <f>NOMINA!#REF!</f>
        <v>#REF!</v>
      </c>
      <c r="E396" s="1461" t="s">
        <v>4622</v>
      </c>
      <c r="F396" s="1110">
        <v>32351</v>
      </c>
      <c r="G396" s="1461" t="s">
        <v>4620</v>
      </c>
      <c r="H396" s="1442" t="e">
        <f>NOMINA!#REF!</f>
        <v>#REF!</v>
      </c>
      <c r="I396" s="1105">
        <f>NOMINA!I348</f>
        <v>3</v>
      </c>
      <c r="J396" s="1106">
        <f>NOMINA!J348</f>
        <v>0</v>
      </c>
      <c r="K396" s="1105">
        <f t="shared" si="23"/>
        <v>3</v>
      </c>
      <c r="L396" s="1106" t="s">
        <v>4932</v>
      </c>
      <c r="M396" s="1106"/>
      <c r="N396" s="1443" t="e">
        <f>NOMINA!#REF!</f>
        <v>#REF!</v>
      </c>
      <c r="O396" s="1106">
        <v>1.02087691000006E+18</v>
      </c>
      <c r="P396" s="1107" t="e">
        <f>ROUND(+NOMINA!#REF!,2)</f>
        <v>#REF!</v>
      </c>
      <c r="Q396" s="1108">
        <v>0</v>
      </c>
      <c r="R396" s="1108" t="e">
        <f>ROUND(+NOMINA!#REF!,2)</f>
        <v>#REF!</v>
      </c>
      <c r="S396" s="1108" t="e">
        <f>ROUND(+NOMINA!#REF!,2)</f>
        <v>#REF!</v>
      </c>
      <c r="T396" s="1108" t="e">
        <f>ROUND(+NOMINA!#REF!,2)</f>
        <v>#REF!</v>
      </c>
      <c r="U396" s="1108" t="e">
        <f>ROUND(+NOMINA!#REF!,2)</f>
        <v>#REF!</v>
      </c>
      <c r="V396" s="1108" t="e">
        <f>ROUND(NOMINA!#REF!,2)</f>
        <v>#REF!</v>
      </c>
      <c r="W396" s="1108" t="e">
        <f>+NOMINA!#REF!</f>
        <v>#REF!</v>
      </c>
      <c r="X396" s="1108" t="e">
        <f>+NOMINA!#REF!</f>
        <v>#REF!</v>
      </c>
      <c r="Y396" s="1108" t="e">
        <f>+NOMINA!#REF!</f>
        <v>#REF!</v>
      </c>
      <c r="Z396" s="1108" t="e">
        <f>+NOMINA!#REF!</f>
        <v>#REF!</v>
      </c>
      <c r="AA396" s="1108" t="e">
        <f>+NOMINA!#REF!</f>
        <v>#REF!</v>
      </c>
      <c r="AB396" s="1108" t="e">
        <f t="shared" si="24"/>
        <v>#REF!</v>
      </c>
      <c r="AD396" s="625"/>
      <c r="AH396" s="1467" t="e">
        <f>NOMINA!#REF!</f>
        <v>#REF!</v>
      </c>
    </row>
    <row r="397" spans="1:34" s="620" customFormat="1" ht="19.5" customHeight="1" thickBot="1" x14ac:dyDescent="0.25">
      <c r="A397" s="758" t="s">
        <v>2846</v>
      </c>
      <c r="B397" s="759">
        <f t="shared" si="25"/>
        <v>46</v>
      </c>
      <c r="C397" s="1102">
        <f>NOMINA!C350</f>
        <v>13376729</v>
      </c>
      <c r="D397" s="1103" t="str">
        <f>NOMINA!D350</f>
        <v>Briceño Aldana Yhon Mario</v>
      </c>
      <c r="E397" s="1461" t="s">
        <v>4622</v>
      </c>
      <c r="F397" s="1110">
        <v>32351</v>
      </c>
      <c r="G397" s="1461" t="s">
        <v>4620</v>
      </c>
      <c r="H397" s="1442">
        <f>NOMINA!H350</f>
        <v>42948</v>
      </c>
      <c r="I397" s="1105">
        <f>NOMINA!I349</f>
        <v>10</v>
      </c>
      <c r="J397" s="1106">
        <f>NOMINA!J349</f>
        <v>0</v>
      </c>
      <c r="K397" s="1105">
        <f t="shared" si="23"/>
        <v>10</v>
      </c>
      <c r="L397" s="1106" t="s">
        <v>4932</v>
      </c>
      <c r="M397" s="1106"/>
      <c r="N397" s="1443" t="str">
        <f>NOMINA!O350</f>
        <v>Vigilante</v>
      </c>
      <c r="O397" s="1106">
        <v>1.02087691000006E+18</v>
      </c>
      <c r="P397" s="1107">
        <f>ROUND(+NOMINA!T350,2)</f>
        <v>171</v>
      </c>
      <c r="Q397" s="1108">
        <v>0</v>
      </c>
      <c r="R397" s="1108">
        <f>ROUND(+NOMINA!AA350,2)</f>
        <v>14.71</v>
      </c>
      <c r="S397" s="1108">
        <f>ROUND(+NOMINA!AB350,2)</f>
        <v>130</v>
      </c>
      <c r="T397" s="1108">
        <f>ROUND(+NOMINA!AC350,2)</f>
        <v>12.5</v>
      </c>
      <c r="U397" s="1108">
        <f>ROUND(+NOMINA!AD350,2)</f>
        <v>0</v>
      </c>
      <c r="V397" s="1108">
        <f>ROUND(NOMINA!AQ350,2)</f>
        <v>0</v>
      </c>
      <c r="W397" s="1108">
        <f>+NOMINA!AS350</f>
        <v>0</v>
      </c>
      <c r="X397" s="1108">
        <f>+NOMINA!AT350</f>
        <v>0</v>
      </c>
      <c r="Y397" s="1108">
        <f>+NOMINA!AU350</f>
        <v>426.67</v>
      </c>
      <c r="Z397" s="1108">
        <f>+NOMINA!BX350</f>
        <v>800.01</v>
      </c>
      <c r="AA397" s="1108">
        <f>+NOMINA!BY350</f>
        <v>0</v>
      </c>
      <c r="AB397" s="1108">
        <f t="shared" si="24"/>
        <v>800.01</v>
      </c>
      <c r="AD397" s="625"/>
      <c r="AH397" s="1467" t="str">
        <f>NOMINA!P350</f>
        <v>01020369430000456395</v>
      </c>
    </row>
    <row r="398" spans="1:34" s="620" customFormat="1" ht="19.5" customHeight="1" thickBot="1" x14ac:dyDescent="0.25">
      <c r="A398" s="758" t="s">
        <v>2846</v>
      </c>
      <c r="B398" s="759">
        <f t="shared" si="25"/>
        <v>47</v>
      </c>
      <c r="C398" s="1102">
        <f>NOMINA!C351</f>
        <v>13404824</v>
      </c>
      <c r="D398" s="1103" t="str">
        <f>NOMINA!D351</f>
        <v>Malpica Rivas Julio Enrique</v>
      </c>
      <c r="E398" s="1461" t="s">
        <v>4622</v>
      </c>
      <c r="F398" s="1110">
        <v>32351</v>
      </c>
      <c r="G398" s="1461" t="s">
        <v>4620</v>
      </c>
      <c r="H398" s="1442">
        <f>NOMINA!H351</f>
        <v>45474</v>
      </c>
      <c r="I398" s="1105" t="e">
        <f>NOMINA!#REF!</f>
        <v>#REF!</v>
      </c>
      <c r="J398" s="1106" t="e">
        <f>NOMINA!#REF!</f>
        <v>#REF!</v>
      </c>
      <c r="K398" s="1105" t="e">
        <f t="shared" si="23"/>
        <v>#REF!</v>
      </c>
      <c r="L398" s="1106" t="s">
        <v>4932</v>
      </c>
      <c r="M398" s="1106"/>
      <c r="N398" s="1443" t="str">
        <f>NOMINA!O351</f>
        <v>Ayudante de Servicios Generales</v>
      </c>
      <c r="O398" s="1106">
        <v>1.02087691000006E+18</v>
      </c>
      <c r="P398" s="1107">
        <f>ROUND(+NOMINA!T351,2)</f>
        <v>152</v>
      </c>
      <c r="Q398" s="1108">
        <v>0</v>
      </c>
      <c r="R398" s="1108">
        <f>ROUND(+NOMINA!AA351,2)</f>
        <v>1.52</v>
      </c>
      <c r="S398" s="1108">
        <f>ROUND(+NOMINA!AB351,2)</f>
        <v>130</v>
      </c>
      <c r="T398" s="1108">
        <f>ROUND(+NOMINA!AC351,2)</f>
        <v>0</v>
      </c>
      <c r="U398" s="1108">
        <f>ROUND(+NOMINA!AD351,2)</f>
        <v>0</v>
      </c>
      <c r="V398" s="1108">
        <f>ROUND(NOMINA!AQ351,2)</f>
        <v>0</v>
      </c>
      <c r="W398" s="1108">
        <f>+NOMINA!AS351</f>
        <v>0</v>
      </c>
      <c r="X398" s="1108">
        <f>+NOMINA!AT351</f>
        <v>0</v>
      </c>
      <c r="Y398" s="1108">
        <f>+NOMINA!AU351</f>
        <v>283.52</v>
      </c>
      <c r="Z398" s="1108">
        <f>+NOMINA!BX351</f>
        <v>221.5</v>
      </c>
      <c r="AA398" s="1108">
        <f>+NOMINA!BY351</f>
        <v>0</v>
      </c>
      <c r="AB398" s="1108">
        <f t="shared" si="24"/>
        <v>221.5</v>
      </c>
      <c r="AD398" s="625"/>
      <c r="AH398" s="1467" t="str">
        <f>NOMINA!P351</f>
        <v>01020747950000526652</v>
      </c>
    </row>
    <row r="399" spans="1:34" s="620" customFormat="1" ht="19.5" customHeight="1" thickBot="1" x14ac:dyDescent="0.25">
      <c r="A399" s="758" t="s">
        <v>2846</v>
      </c>
      <c r="B399" s="759">
        <f t="shared" si="25"/>
        <v>48</v>
      </c>
      <c r="C399" s="1102" t="e">
        <f>NOMINA!#REF!</f>
        <v>#REF!</v>
      </c>
      <c r="D399" s="1103" t="e">
        <f>NOMINA!#REF!</f>
        <v>#REF!</v>
      </c>
      <c r="E399" s="1461" t="s">
        <v>4622</v>
      </c>
      <c r="F399" s="1110">
        <v>32351</v>
      </c>
      <c r="G399" s="1461" t="s">
        <v>4620</v>
      </c>
      <c r="H399" s="1442" t="e">
        <f>NOMINA!#REF!</f>
        <v>#REF!</v>
      </c>
      <c r="I399" s="1105">
        <f>NOMINA!I350</f>
        <v>8</v>
      </c>
      <c r="J399" s="1106">
        <f>NOMINA!J350</f>
        <v>0</v>
      </c>
      <c r="K399" s="1105">
        <f t="shared" si="23"/>
        <v>8</v>
      </c>
      <c r="L399" s="1106" t="s">
        <v>4932</v>
      </c>
      <c r="M399" s="1106"/>
      <c r="N399" s="1443" t="e">
        <f>NOMINA!#REF!</f>
        <v>#REF!</v>
      </c>
      <c r="O399" s="1106">
        <v>1.02087691000006E+18</v>
      </c>
      <c r="P399" s="1107" t="e">
        <f>ROUND(+NOMINA!#REF!,2)</f>
        <v>#REF!</v>
      </c>
      <c r="Q399" s="1108">
        <v>0</v>
      </c>
      <c r="R399" s="1108" t="e">
        <f>ROUND(+NOMINA!#REF!,2)</f>
        <v>#REF!</v>
      </c>
      <c r="S399" s="1108" t="e">
        <f>ROUND(+NOMINA!#REF!,2)</f>
        <v>#REF!</v>
      </c>
      <c r="T399" s="1108" t="e">
        <f>ROUND(+NOMINA!#REF!,2)</f>
        <v>#REF!</v>
      </c>
      <c r="U399" s="1108" t="e">
        <f>ROUND(+NOMINA!#REF!,2)</f>
        <v>#REF!</v>
      </c>
      <c r="V399" s="1108" t="e">
        <f>ROUND(NOMINA!#REF!,2)</f>
        <v>#REF!</v>
      </c>
      <c r="W399" s="1108" t="e">
        <f>+NOMINA!#REF!</f>
        <v>#REF!</v>
      </c>
      <c r="X399" s="1108" t="e">
        <f>+NOMINA!#REF!</f>
        <v>#REF!</v>
      </c>
      <c r="Y399" s="1108" t="e">
        <f>+NOMINA!#REF!</f>
        <v>#REF!</v>
      </c>
      <c r="Z399" s="1108" t="e">
        <f>+NOMINA!#REF!</f>
        <v>#REF!</v>
      </c>
      <c r="AA399" s="1108" t="e">
        <f>+NOMINA!#REF!</f>
        <v>#REF!</v>
      </c>
      <c r="AB399" s="1108" t="e">
        <f t="shared" si="24"/>
        <v>#REF!</v>
      </c>
      <c r="AD399" s="625"/>
      <c r="AH399" s="1467" t="e">
        <f>NOMINA!#REF!</f>
        <v>#REF!</v>
      </c>
    </row>
    <row r="400" spans="1:34" s="620" customFormat="1" ht="19.5" customHeight="1" thickBot="1" x14ac:dyDescent="0.25">
      <c r="A400" s="758" t="s">
        <v>2846</v>
      </c>
      <c r="B400" s="759">
        <f t="shared" si="25"/>
        <v>49</v>
      </c>
      <c r="C400" s="1102">
        <f>NOMINA!C352</f>
        <v>13745328</v>
      </c>
      <c r="D400" s="1103" t="str">
        <f>NOMINA!D352</f>
        <v>Arroyo Williams Jose</v>
      </c>
      <c r="E400" s="1461" t="s">
        <v>4622</v>
      </c>
      <c r="F400" s="1110">
        <v>32351</v>
      </c>
      <c r="G400" s="1461" t="s">
        <v>4620</v>
      </c>
      <c r="H400" s="1442">
        <f>NOMINA!H352</f>
        <v>44805</v>
      </c>
      <c r="I400" s="1105">
        <f>NOMINA!I351</f>
        <v>1</v>
      </c>
      <c r="J400" s="1106">
        <f>NOMINA!J351</f>
        <v>0</v>
      </c>
      <c r="K400" s="1105">
        <f t="shared" si="23"/>
        <v>1</v>
      </c>
      <c r="L400" s="1106" t="s">
        <v>4932</v>
      </c>
      <c r="M400" s="1106"/>
      <c r="N400" s="1443" t="str">
        <f>NOMINA!O352</f>
        <v>Ayudante de Servicios Generales</v>
      </c>
      <c r="O400" s="1106">
        <v>1.02087691000006E+18</v>
      </c>
      <c r="P400" s="1107">
        <f>ROUND(+NOMINA!T352,2)</f>
        <v>152</v>
      </c>
      <c r="Q400" s="1108">
        <v>0</v>
      </c>
      <c r="R400" s="1108">
        <f>ROUND(+NOMINA!AA352,2)</f>
        <v>4.5599999999999996</v>
      </c>
      <c r="S400" s="1108">
        <f>ROUND(+NOMINA!AB352,2)</f>
        <v>130</v>
      </c>
      <c r="T400" s="1108">
        <f>ROUND(+NOMINA!AC352,2)</f>
        <v>12.5</v>
      </c>
      <c r="U400" s="1108">
        <f>ROUND(+NOMINA!AD352,2)</f>
        <v>0</v>
      </c>
      <c r="V400" s="1108">
        <f>ROUND(NOMINA!AQ352,2)</f>
        <v>0</v>
      </c>
      <c r="W400" s="1108">
        <f>+NOMINA!AS352</f>
        <v>0</v>
      </c>
      <c r="X400" s="1108">
        <f>+NOMINA!AT352</f>
        <v>0</v>
      </c>
      <c r="Y400" s="1108">
        <f>+NOMINA!AU352</f>
        <v>388.78</v>
      </c>
      <c r="Z400" s="1108">
        <f>+NOMINA!BX352</f>
        <v>728.96</v>
      </c>
      <c r="AA400" s="1108">
        <f>+NOMINA!BY352</f>
        <v>0</v>
      </c>
      <c r="AB400" s="1108">
        <f t="shared" si="24"/>
        <v>728.96</v>
      </c>
      <c r="AD400" s="625"/>
      <c r="AH400" s="1467" t="str">
        <f>NOMINA!P352</f>
        <v>01020589150000132185</v>
      </c>
    </row>
    <row r="401" spans="1:34" s="620" customFormat="1" ht="19.5" customHeight="1" thickBot="1" x14ac:dyDescent="0.25">
      <c r="A401" s="758" t="s">
        <v>2846</v>
      </c>
      <c r="B401" s="759">
        <f t="shared" si="25"/>
        <v>50</v>
      </c>
      <c r="C401" s="1102">
        <f>NOMINA!C353</f>
        <v>13996661</v>
      </c>
      <c r="D401" s="1103" t="str">
        <f>NOMINA!D353</f>
        <v>Perez Montilla Yosmer Alexander</v>
      </c>
      <c r="E401" s="1461" t="s">
        <v>4622</v>
      </c>
      <c r="F401" s="1110">
        <v>32351</v>
      </c>
      <c r="G401" s="1461" t="s">
        <v>4620</v>
      </c>
      <c r="H401" s="1442">
        <f>NOMINA!H353</f>
        <v>44743</v>
      </c>
      <c r="I401" s="1105" t="e">
        <f>NOMINA!#REF!</f>
        <v>#REF!</v>
      </c>
      <c r="J401" s="1106" t="e">
        <f>NOMINA!#REF!</f>
        <v>#REF!</v>
      </c>
      <c r="K401" s="1105" t="e">
        <f t="shared" si="23"/>
        <v>#REF!</v>
      </c>
      <c r="L401" s="1106" t="s">
        <v>4932</v>
      </c>
      <c r="M401" s="1106"/>
      <c r="N401" s="1443" t="str">
        <f>NOMINA!O353</f>
        <v>Chofer</v>
      </c>
      <c r="O401" s="1106">
        <v>1.02087691000006E+18</v>
      </c>
      <c r="P401" s="1107">
        <f>ROUND(+NOMINA!T353,2)</f>
        <v>161</v>
      </c>
      <c r="Q401" s="1108">
        <v>0</v>
      </c>
      <c r="R401" s="1108">
        <f>ROUND(+NOMINA!AA353,2)</f>
        <v>34.130000000000003</v>
      </c>
      <c r="S401" s="1108">
        <f>ROUND(+NOMINA!AB353,2)</f>
        <v>130</v>
      </c>
      <c r="T401" s="1108">
        <f>ROUND(+NOMINA!AC353,2)</f>
        <v>12.5</v>
      </c>
      <c r="U401" s="1108">
        <f>ROUND(+NOMINA!AD353,2)</f>
        <v>0</v>
      </c>
      <c r="V401" s="1108">
        <f>ROUND(NOMINA!AQ353,2)</f>
        <v>0</v>
      </c>
      <c r="W401" s="1108">
        <f>+NOMINA!AS353</f>
        <v>0</v>
      </c>
      <c r="X401" s="1108">
        <f>+NOMINA!AT353</f>
        <v>12.5</v>
      </c>
      <c r="Y401" s="1108">
        <f>+NOMINA!AU353</f>
        <v>438.92</v>
      </c>
      <c r="Z401" s="1108">
        <f>+NOMINA!BX353</f>
        <v>822.98</v>
      </c>
      <c r="AA401" s="1108">
        <f>+NOMINA!BY353</f>
        <v>0</v>
      </c>
      <c r="AB401" s="1108">
        <f t="shared" si="24"/>
        <v>822.98</v>
      </c>
      <c r="AD401" s="625"/>
      <c r="AH401" s="1467" t="str">
        <f>NOMINA!P353</f>
        <v>01020747910000502511</v>
      </c>
    </row>
    <row r="402" spans="1:34" s="620" customFormat="1" ht="19.5" customHeight="1" thickBot="1" x14ac:dyDescent="0.25">
      <c r="A402" s="758" t="s">
        <v>2846</v>
      </c>
      <c r="B402" s="759">
        <f t="shared" si="25"/>
        <v>51</v>
      </c>
      <c r="C402" s="1102">
        <f>NOMINA!C354</f>
        <v>13996885</v>
      </c>
      <c r="D402" s="1103" t="str">
        <f>NOMINA!D354</f>
        <v>Pulido Rojo Wilmer Jose</v>
      </c>
      <c r="E402" s="1461" t="s">
        <v>4622</v>
      </c>
      <c r="F402" s="1110">
        <v>32351</v>
      </c>
      <c r="G402" s="1461" t="s">
        <v>4620</v>
      </c>
      <c r="H402" s="1442">
        <f>NOMINA!H354</f>
        <v>44363</v>
      </c>
      <c r="I402" s="1105">
        <f>NOMINA!I352</f>
        <v>3</v>
      </c>
      <c r="J402" s="1106">
        <f>NOMINA!J352</f>
        <v>0</v>
      </c>
      <c r="K402" s="1105">
        <f t="shared" si="23"/>
        <v>3</v>
      </c>
      <c r="L402" s="1106" t="s">
        <v>4932</v>
      </c>
      <c r="M402" s="1106"/>
      <c r="N402" s="1443" t="str">
        <f>NOMINA!O354</f>
        <v>Chofer</v>
      </c>
      <c r="O402" s="1106">
        <v>1.02087691000006E+18</v>
      </c>
      <c r="P402" s="1107">
        <f>ROUND(+NOMINA!T354,2)</f>
        <v>161</v>
      </c>
      <c r="Q402" s="1108">
        <v>0</v>
      </c>
      <c r="R402" s="1108">
        <f>ROUND(+NOMINA!AA354,2)</f>
        <v>6.44</v>
      </c>
      <c r="S402" s="1108">
        <f>ROUND(+NOMINA!AB354,2)</f>
        <v>130</v>
      </c>
      <c r="T402" s="1108">
        <f>ROUND(+NOMINA!AC354,2)</f>
        <v>0</v>
      </c>
      <c r="U402" s="1108">
        <f>ROUND(+NOMINA!AD354,2)</f>
        <v>0</v>
      </c>
      <c r="V402" s="1108">
        <f>ROUND(NOMINA!AQ354,2)</f>
        <v>0</v>
      </c>
      <c r="W402" s="1108">
        <f>+NOMINA!AS354</f>
        <v>0</v>
      </c>
      <c r="X402" s="1108">
        <f>+NOMINA!AT354</f>
        <v>0</v>
      </c>
      <c r="Y402" s="1108">
        <f>+NOMINA!AU354</f>
        <v>386.67</v>
      </c>
      <c r="Z402" s="1108">
        <f>+NOMINA!BX354</f>
        <v>725.01</v>
      </c>
      <c r="AA402" s="1108">
        <f>+NOMINA!BY354</f>
        <v>0</v>
      </c>
      <c r="AB402" s="1108">
        <f t="shared" si="24"/>
        <v>725.01</v>
      </c>
      <c r="AD402" s="625"/>
      <c r="AH402" s="1467" t="str">
        <f>NOMINA!P354</f>
        <v>01020103970000402006</v>
      </c>
    </row>
    <row r="403" spans="1:34" s="620" customFormat="1" ht="19.5" customHeight="1" thickBot="1" x14ac:dyDescent="0.25">
      <c r="A403" s="758" t="s">
        <v>2846</v>
      </c>
      <c r="B403" s="759">
        <f t="shared" si="25"/>
        <v>52</v>
      </c>
      <c r="C403" s="1102">
        <f>NOMINA!C355</f>
        <v>14149971</v>
      </c>
      <c r="D403" s="1103" t="str">
        <f>NOMINA!D355</f>
        <v>Rivera Virginia del Carmen</v>
      </c>
      <c r="E403" s="1461" t="s">
        <v>4622</v>
      </c>
      <c r="F403" s="1110">
        <v>32351</v>
      </c>
      <c r="G403" s="1461" t="s">
        <v>4620</v>
      </c>
      <c r="H403" s="1442">
        <f>NOMINA!H355</f>
        <v>41091</v>
      </c>
      <c r="I403" s="1105">
        <f>NOMINA!I353</f>
        <v>3</v>
      </c>
      <c r="J403" s="1106">
        <f>NOMINA!J353</f>
        <v>14</v>
      </c>
      <c r="K403" s="1105">
        <f t="shared" si="23"/>
        <v>17</v>
      </c>
      <c r="L403" s="1106" t="s">
        <v>4932</v>
      </c>
      <c r="M403" s="1106"/>
      <c r="N403" s="1443" t="str">
        <f>NOMINA!O355</f>
        <v>Aseadora</v>
      </c>
      <c r="O403" s="1106">
        <v>1.02087691000006E+18</v>
      </c>
      <c r="P403" s="1107">
        <f>ROUND(+NOMINA!T355,2)</f>
        <v>130</v>
      </c>
      <c r="Q403" s="1108">
        <v>0</v>
      </c>
      <c r="R403" s="1108">
        <f>ROUND(+NOMINA!AA355,2)</f>
        <v>19.760000000000002</v>
      </c>
      <c r="S403" s="1108">
        <f>ROUND(+NOMINA!AB355,2)</f>
        <v>130</v>
      </c>
      <c r="T403" s="1108">
        <f>ROUND(+NOMINA!AC355,2)</f>
        <v>0</v>
      </c>
      <c r="U403" s="1108">
        <f>ROUND(+NOMINA!AD355,2)</f>
        <v>0</v>
      </c>
      <c r="V403" s="1108">
        <f>ROUND(NOMINA!AQ355,2)</f>
        <v>0</v>
      </c>
      <c r="W403" s="1108">
        <f>+NOMINA!AS355</f>
        <v>0</v>
      </c>
      <c r="X403" s="1108">
        <f>+NOMINA!AT355</f>
        <v>0</v>
      </c>
      <c r="Y403" s="1108">
        <f>+NOMINA!AU355</f>
        <v>279.76</v>
      </c>
      <c r="Z403" s="1108">
        <f>+NOMINA!BX355</f>
        <v>524.54999999999995</v>
      </c>
      <c r="AA403" s="1108">
        <f>+NOMINA!BY355</f>
        <v>0</v>
      </c>
      <c r="AB403" s="1108">
        <f t="shared" si="24"/>
        <v>524.54999999999995</v>
      </c>
      <c r="AD403" s="625"/>
      <c r="AH403" s="1467" t="str">
        <f>NOMINA!P355</f>
        <v>01020373220000439862</v>
      </c>
    </row>
    <row r="404" spans="1:34" s="620" customFormat="1" ht="19.5" customHeight="1" thickBot="1" x14ac:dyDescent="0.25">
      <c r="A404" s="758" t="s">
        <v>2846</v>
      </c>
      <c r="B404" s="759">
        <f t="shared" si="25"/>
        <v>53</v>
      </c>
      <c r="C404" s="1102">
        <f>NOMINA!C356</f>
        <v>14150495</v>
      </c>
      <c r="D404" s="1103" t="str">
        <f>NOMINA!D356</f>
        <v>Umbria de Segovia Alexandra del Carmen</v>
      </c>
      <c r="E404" s="1461" t="s">
        <v>4622</v>
      </c>
      <c r="F404" s="1110">
        <v>32351</v>
      </c>
      <c r="G404" s="1461" t="s">
        <v>4620</v>
      </c>
      <c r="H404" s="1442">
        <f>NOMINA!H356</f>
        <v>44228</v>
      </c>
      <c r="I404" s="1105">
        <f>NOMINA!I354</f>
        <v>4</v>
      </c>
      <c r="J404" s="1106">
        <f>NOMINA!J354</f>
        <v>0</v>
      </c>
      <c r="K404" s="1105">
        <f t="shared" si="23"/>
        <v>4</v>
      </c>
      <c r="L404" s="1106" t="s">
        <v>4932</v>
      </c>
      <c r="M404" s="1106"/>
      <c r="N404" s="1443" t="str">
        <f>NOMINA!O356</f>
        <v>Ayudante de Almacen</v>
      </c>
      <c r="O404" s="1106">
        <v>1.02087691000006E+18</v>
      </c>
      <c r="P404" s="1107">
        <f>ROUND(+NOMINA!T356,2)</f>
        <v>171</v>
      </c>
      <c r="Q404" s="1108">
        <v>0</v>
      </c>
      <c r="R404" s="1108">
        <f>ROUND(+NOMINA!AA356,2)</f>
        <v>6.84</v>
      </c>
      <c r="S404" s="1108">
        <f>ROUND(+NOMINA!AB356,2)</f>
        <v>130</v>
      </c>
      <c r="T404" s="1108">
        <f>ROUND(+NOMINA!AC356,2)</f>
        <v>0</v>
      </c>
      <c r="U404" s="1108">
        <f>ROUND(+NOMINA!AD356,2)</f>
        <v>0</v>
      </c>
      <c r="V404" s="1108">
        <f>ROUND(NOMINA!AQ356,2)</f>
        <v>0</v>
      </c>
      <c r="W404" s="1108">
        <f>+NOMINA!AS356</f>
        <v>0</v>
      </c>
      <c r="X404" s="1108">
        <f>+NOMINA!AT356</f>
        <v>0</v>
      </c>
      <c r="Y404" s="1108">
        <f>+NOMINA!AU356</f>
        <v>307.84000000000003</v>
      </c>
      <c r="Z404" s="1108">
        <f>+NOMINA!BX356</f>
        <v>577.20000000000005</v>
      </c>
      <c r="AA404" s="1108">
        <f>+NOMINA!BY356</f>
        <v>0</v>
      </c>
      <c r="AB404" s="1108">
        <f t="shared" si="24"/>
        <v>577.20000000000005</v>
      </c>
      <c r="AD404" s="625"/>
      <c r="AH404" s="1467" t="str">
        <f>NOMINA!P356</f>
        <v>01020493340100014013</v>
      </c>
    </row>
    <row r="405" spans="1:34" s="620" customFormat="1" ht="19.5" customHeight="1" thickBot="1" x14ac:dyDescent="0.25">
      <c r="A405" s="758" t="s">
        <v>2846</v>
      </c>
      <c r="B405" s="759">
        <f t="shared" si="25"/>
        <v>54</v>
      </c>
      <c r="C405" s="1102" t="e">
        <f>NOMINA!#REF!</f>
        <v>#REF!</v>
      </c>
      <c r="D405" s="1103" t="e">
        <f>NOMINA!#REF!</f>
        <v>#REF!</v>
      </c>
      <c r="E405" s="1461" t="s">
        <v>4622</v>
      </c>
      <c r="F405" s="1110">
        <v>32351</v>
      </c>
      <c r="G405" s="1461" t="s">
        <v>4620</v>
      </c>
      <c r="H405" s="1442" t="e">
        <f>NOMINA!#REF!</f>
        <v>#REF!</v>
      </c>
      <c r="I405" s="1105">
        <f>NOMINA!I355</f>
        <v>13</v>
      </c>
      <c r="J405" s="1106">
        <f>NOMINA!J355</f>
        <v>0</v>
      </c>
      <c r="K405" s="1105">
        <f t="shared" si="23"/>
        <v>13</v>
      </c>
      <c r="L405" s="1106" t="s">
        <v>4932</v>
      </c>
      <c r="M405" s="1106"/>
      <c r="N405" s="1443" t="e">
        <f>NOMINA!#REF!</f>
        <v>#REF!</v>
      </c>
      <c r="O405" s="1106">
        <v>1.02087691000006E+18</v>
      </c>
      <c r="P405" s="1107" t="e">
        <f>ROUND(+NOMINA!#REF!,2)</f>
        <v>#REF!</v>
      </c>
      <c r="Q405" s="1108">
        <v>0</v>
      </c>
      <c r="R405" s="1108" t="e">
        <f>ROUND(+NOMINA!#REF!,2)</f>
        <v>#REF!</v>
      </c>
      <c r="S405" s="1108" t="e">
        <f>ROUND(+NOMINA!#REF!,2)</f>
        <v>#REF!</v>
      </c>
      <c r="T405" s="1108" t="e">
        <f>ROUND(+NOMINA!#REF!,2)</f>
        <v>#REF!</v>
      </c>
      <c r="U405" s="1108" t="e">
        <f>ROUND(+NOMINA!#REF!,2)</f>
        <v>#REF!</v>
      </c>
      <c r="V405" s="1108" t="e">
        <f>ROUND(NOMINA!#REF!,2)</f>
        <v>#REF!</v>
      </c>
      <c r="W405" s="1108" t="e">
        <f>+NOMINA!#REF!</f>
        <v>#REF!</v>
      </c>
      <c r="X405" s="1108" t="e">
        <f>+NOMINA!#REF!</f>
        <v>#REF!</v>
      </c>
      <c r="Y405" s="1108" t="e">
        <f>+NOMINA!#REF!</f>
        <v>#REF!</v>
      </c>
      <c r="Z405" s="1108" t="e">
        <f>+NOMINA!#REF!</f>
        <v>#REF!</v>
      </c>
      <c r="AA405" s="1108" t="e">
        <f>+NOMINA!#REF!</f>
        <v>#REF!</v>
      </c>
      <c r="AB405" s="1108" t="e">
        <f t="shared" si="24"/>
        <v>#REF!</v>
      </c>
      <c r="AD405" s="625"/>
      <c r="AH405" s="1467" t="e">
        <f>NOMINA!#REF!</f>
        <v>#REF!</v>
      </c>
    </row>
    <row r="406" spans="1:34" s="620" customFormat="1" ht="19.5" customHeight="1" thickBot="1" x14ac:dyDescent="0.25">
      <c r="A406" s="758" t="s">
        <v>2846</v>
      </c>
      <c r="B406" s="759">
        <f t="shared" si="25"/>
        <v>55</v>
      </c>
      <c r="C406" s="1102">
        <f>NOMINA!C357</f>
        <v>14718369</v>
      </c>
      <c r="D406" s="1103" t="str">
        <f>NOMINA!D357</f>
        <v>Pacheco Yudith del Valle</v>
      </c>
      <c r="E406" s="1461" t="s">
        <v>4622</v>
      </c>
      <c r="F406" s="1110">
        <v>32351</v>
      </c>
      <c r="G406" s="1461" t="s">
        <v>4620</v>
      </c>
      <c r="H406" s="1442">
        <f>NOMINA!H357</f>
        <v>43147</v>
      </c>
      <c r="I406" s="1105">
        <f>NOMINA!I356</f>
        <v>4</v>
      </c>
      <c r="J406" s="1106">
        <f>NOMINA!J356</f>
        <v>0</v>
      </c>
      <c r="K406" s="1105">
        <f t="shared" si="23"/>
        <v>4</v>
      </c>
      <c r="L406" s="1106" t="s">
        <v>4932</v>
      </c>
      <c r="M406" s="1106"/>
      <c r="N406" s="1443" t="str">
        <f>NOMINA!O357</f>
        <v>Aseadora</v>
      </c>
      <c r="O406" s="1106">
        <v>1.02087691000006E+18</v>
      </c>
      <c r="P406" s="1107">
        <f>ROUND(+NOMINA!T357,2)</f>
        <v>130</v>
      </c>
      <c r="Q406" s="1108">
        <v>0</v>
      </c>
      <c r="R406" s="1108">
        <f>ROUND(+NOMINA!AA357,2)</f>
        <v>9.6199999999999992</v>
      </c>
      <c r="S406" s="1108">
        <f>ROUND(+NOMINA!AB357,2)</f>
        <v>130</v>
      </c>
      <c r="T406" s="1108">
        <f>ROUND(+NOMINA!AC357,2)</f>
        <v>0</v>
      </c>
      <c r="U406" s="1108">
        <f>ROUND(+NOMINA!AD357,2)</f>
        <v>0</v>
      </c>
      <c r="V406" s="1108">
        <f>ROUND(NOMINA!AQ357,2)</f>
        <v>0</v>
      </c>
      <c r="W406" s="1108">
        <f>+NOMINA!AS357</f>
        <v>0</v>
      </c>
      <c r="X406" s="1108">
        <f>+NOMINA!AT357</f>
        <v>0</v>
      </c>
      <c r="Y406" s="1108">
        <f>+NOMINA!AU357</f>
        <v>269.62</v>
      </c>
      <c r="Z406" s="1108">
        <f>+NOMINA!BX357</f>
        <v>505.54</v>
      </c>
      <c r="AA406" s="1108">
        <f>+NOMINA!BY357</f>
        <v>0</v>
      </c>
      <c r="AB406" s="1108">
        <f t="shared" si="24"/>
        <v>505.54</v>
      </c>
      <c r="AD406" s="625"/>
      <c r="AH406" s="1467" t="str">
        <f>NOMINA!P357</f>
        <v>01020494160100025880</v>
      </c>
    </row>
    <row r="407" spans="1:34" s="620" customFormat="1" ht="19.5" customHeight="1" thickBot="1" x14ac:dyDescent="0.25">
      <c r="A407" s="758" t="s">
        <v>2846</v>
      </c>
      <c r="B407" s="759">
        <f t="shared" si="25"/>
        <v>56</v>
      </c>
      <c r="C407" s="1102">
        <f>NOMINA!C358</f>
        <v>14718468</v>
      </c>
      <c r="D407" s="1103" t="str">
        <f>NOMINA!D358</f>
        <v>Frias Aldana Yhonny Ramon</v>
      </c>
      <c r="E407" s="1461" t="s">
        <v>4622</v>
      </c>
      <c r="F407" s="1110">
        <v>32351</v>
      </c>
      <c r="G407" s="1461" t="s">
        <v>4620</v>
      </c>
      <c r="H407" s="1442">
        <f>NOMINA!H358</f>
        <v>42948</v>
      </c>
      <c r="I407" s="1105" t="e">
        <f>NOMINA!#REF!</f>
        <v>#REF!</v>
      </c>
      <c r="J407" s="1106" t="e">
        <f>NOMINA!#REF!</f>
        <v>#REF!</v>
      </c>
      <c r="K407" s="1105" t="e">
        <f t="shared" si="23"/>
        <v>#REF!</v>
      </c>
      <c r="L407" s="1106" t="s">
        <v>4932</v>
      </c>
      <c r="M407" s="1106"/>
      <c r="N407" s="1443" t="str">
        <f>NOMINA!O358</f>
        <v>Ayudante De Almacen</v>
      </c>
      <c r="O407" s="1106">
        <v>1.02087691000006E+18</v>
      </c>
      <c r="P407" s="1107">
        <f>ROUND(+NOMINA!T358,2)</f>
        <v>171</v>
      </c>
      <c r="Q407" s="1108">
        <v>0</v>
      </c>
      <c r="R407" s="1108">
        <f>ROUND(+NOMINA!AA358,2)</f>
        <v>14.71</v>
      </c>
      <c r="S407" s="1108">
        <f>ROUND(+NOMINA!AB358,2)</f>
        <v>130</v>
      </c>
      <c r="T407" s="1108">
        <f>ROUND(+NOMINA!AC358,2)</f>
        <v>12.5</v>
      </c>
      <c r="U407" s="1108">
        <f>ROUND(+NOMINA!AD358,2)</f>
        <v>0</v>
      </c>
      <c r="V407" s="1108">
        <f>ROUND(NOMINA!AQ358,2)</f>
        <v>0</v>
      </c>
      <c r="W407" s="1108">
        <f>+NOMINA!AS358</f>
        <v>0</v>
      </c>
      <c r="X407" s="1108">
        <f>+NOMINA!AT358</f>
        <v>12.5</v>
      </c>
      <c r="Y407" s="1108">
        <f>+NOMINA!AU358</f>
        <v>328.21000000000004</v>
      </c>
      <c r="Z407" s="1108">
        <f>+NOMINA!BX358</f>
        <v>615.4</v>
      </c>
      <c r="AA407" s="1108">
        <f>+NOMINA!BY358</f>
        <v>0</v>
      </c>
      <c r="AB407" s="1108">
        <f t="shared" si="24"/>
        <v>615.4</v>
      </c>
      <c r="AD407" s="625"/>
      <c r="AH407" s="1467" t="str">
        <f>NOMINA!P358</f>
        <v>01020373210000457747</v>
      </c>
    </row>
    <row r="408" spans="1:34" s="620" customFormat="1" ht="19.5" customHeight="1" thickBot="1" x14ac:dyDescent="0.25">
      <c r="A408" s="758" t="s">
        <v>2846</v>
      </c>
      <c r="B408" s="759">
        <f t="shared" si="25"/>
        <v>57</v>
      </c>
      <c r="C408" s="1102">
        <f>NOMINA!C359</f>
        <v>14719205</v>
      </c>
      <c r="D408" s="1103" t="str">
        <f>NOMINA!D359</f>
        <v>Chinchilla Perez Jean Carlos</v>
      </c>
      <c r="E408" s="1461" t="s">
        <v>4622</v>
      </c>
      <c r="F408" s="1110">
        <v>32351</v>
      </c>
      <c r="G408" s="1461" t="s">
        <v>4620</v>
      </c>
      <c r="H408" s="1442">
        <f>NOMINA!H359</f>
        <v>39861</v>
      </c>
      <c r="I408" s="1105">
        <f>NOMINA!I357</f>
        <v>7</v>
      </c>
      <c r="J408" s="1106">
        <f>NOMINA!J357</f>
        <v>0</v>
      </c>
      <c r="K408" s="1105">
        <f t="shared" si="23"/>
        <v>7</v>
      </c>
      <c r="L408" s="1106" t="s">
        <v>4932</v>
      </c>
      <c r="M408" s="1106"/>
      <c r="N408" s="1443" t="str">
        <f>NOMINA!O359</f>
        <v>Ayudante de Servicios Generales</v>
      </c>
      <c r="O408" s="1106">
        <v>1.02087691000006E+18</v>
      </c>
      <c r="P408" s="1107">
        <f>ROUND(+NOMINA!T359,2)</f>
        <v>152</v>
      </c>
      <c r="Q408" s="1108">
        <v>0</v>
      </c>
      <c r="R408" s="1108">
        <f>ROUND(+NOMINA!AA359,2)</f>
        <v>29.79</v>
      </c>
      <c r="S408" s="1108">
        <f>ROUND(+NOMINA!AB359,2)</f>
        <v>130</v>
      </c>
      <c r="T408" s="1108">
        <f>ROUND(+NOMINA!AC359,2)</f>
        <v>0</v>
      </c>
      <c r="U408" s="1108">
        <f>ROUND(+NOMINA!AD359,2)</f>
        <v>0</v>
      </c>
      <c r="V408" s="1108">
        <f>ROUND(NOMINA!AQ359,2)</f>
        <v>12.5</v>
      </c>
      <c r="W408" s="1108">
        <f>+NOMINA!AS359</f>
        <v>0</v>
      </c>
      <c r="X408" s="1108">
        <f>+NOMINA!AT359</f>
        <v>12.5</v>
      </c>
      <c r="Y408" s="1108">
        <f>+NOMINA!AU359</f>
        <v>311.78999999999996</v>
      </c>
      <c r="Z408" s="1108">
        <f>+NOMINA!BX359</f>
        <v>584.61</v>
      </c>
      <c r="AA408" s="1108">
        <f>+NOMINA!BY359</f>
        <v>0</v>
      </c>
      <c r="AB408" s="1108">
        <f t="shared" si="24"/>
        <v>584.61</v>
      </c>
      <c r="AD408" s="625"/>
      <c r="AH408" s="1467" t="str">
        <f>NOMINA!P359</f>
        <v>01020373290000440819</v>
      </c>
    </row>
    <row r="409" spans="1:34" s="620" customFormat="1" ht="19.5" customHeight="1" thickBot="1" x14ac:dyDescent="0.25">
      <c r="A409" s="758" t="s">
        <v>2846</v>
      </c>
      <c r="B409" s="759">
        <f t="shared" si="25"/>
        <v>58</v>
      </c>
      <c r="C409" s="1102">
        <f>NOMINA!C360</f>
        <v>14719356</v>
      </c>
      <c r="D409" s="1103" t="str">
        <f>NOMINA!D360</f>
        <v>Linares Montilla Gerardo Enrique</v>
      </c>
      <c r="E409" s="1461" t="s">
        <v>4622</v>
      </c>
      <c r="F409" s="1110">
        <v>32351</v>
      </c>
      <c r="G409" s="1461" t="s">
        <v>4620</v>
      </c>
      <c r="H409" s="1442">
        <f>NOMINA!H360</f>
        <v>44348</v>
      </c>
      <c r="I409" s="1105">
        <f>NOMINA!I358</f>
        <v>8</v>
      </c>
      <c r="J409" s="1106">
        <f>NOMINA!J358</f>
        <v>0</v>
      </c>
      <c r="K409" s="1105">
        <f t="shared" si="23"/>
        <v>8</v>
      </c>
      <c r="L409" s="1106" t="s">
        <v>4932</v>
      </c>
      <c r="M409" s="1106"/>
      <c r="N409" s="1443" t="str">
        <f>NOMINA!O360</f>
        <v>Ayudante de Servicios Generales</v>
      </c>
      <c r="O409" s="1106">
        <v>1.02087691000006E+18</v>
      </c>
      <c r="P409" s="1107">
        <f>ROUND(+NOMINA!T360,2)</f>
        <v>152</v>
      </c>
      <c r="Q409" s="1108">
        <v>0</v>
      </c>
      <c r="R409" s="1108">
        <f>ROUND(+NOMINA!AA360,2)</f>
        <v>6.08</v>
      </c>
      <c r="S409" s="1108">
        <f>ROUND(+NOMINA!AB360,2)</f>
        <v>130</v>
      </c>
      <c r="T409" s="1108">
        <f>ROUND(+NOMINA!AC360,2)</f>
        <v>25</v>
      </c>
      <c r="U409" s="1108">
        <f>ROUND(+NOMINA!AD360,2)</f>
        <v>0</v>
      </c>
      <c r="V409" s="1108">
        <f>ROUND(NOMINA!AQ360,2)</f>
        <v>0</v>
      </c>
      <c r="W409" s="1108">
        <f>+NOMINA!AS360</f>
        <v>0</v>
      </c>
      <c r="X409" s="1108">
        <f>+NOMINA!AT360</f>
        <v>0</v>
      </c>
      <c r="Y409" s="1108">
        <f>+NOMINA!AU360</f>
        <v>313.08000000000004</v>
      </c>
      <c r="Z409" s="1108">
        <f>+NOMINA!BX360</f>
        <v>587.03</v>
      </c>
      <c r="AA409" s="1108">
        <f>+NOMINA!BY360</f>
        <v>0</v>
      </c>
      <c r="AB409" s="1108">
        <f t="shared" si="24"/>
        <v>587.03</v>
      </c>
      <c r="AD409" s="625"/>
      <c r="AH409" s="1467" t="str">
        <f>NOMINA!P360</f>
        <v>01020494180000228866</v>
      </c>
    </row>
    <row r="410" spans="1:34" s="620" customFormat="1" ht="19.5" customHeight="1" thickBot="1" x14ac:dyDescent="0.25">
      <c r="A410" s="758" t="s">
        <v>2846</v>
      </c>
      <c r="B410" s="759">
        <f t="shared" si="25"/>
        <v>59</v>
      </c>
      <c r="C410" s="1102">
        <f>NOMINA!C361</f>
        <v>14780893</v>
      </c>
      <c r="D410" s="1103" t="str">
        <f>NOMINA!D361</f>
        <v>Perez Gonzalez Reinaldo Andre</v>
      </c>
      <c r="E410" s="1461" t="s">
        <v>4622</v>
      </c>
      <c r="F410" s="1110">
        <v>32351</v>
      </c>
      <c r="G410" s="1461" t="s">
        <v>4620</v>
      </c>
      <c r="H410" s="1442">
        <f>NOMINA!H361</f>
        <v>41570</v>
      </c>
      <c r="I410" s="1105">
        <f>NOMINA!I359</f>
        <v>16</v>
      </c>
      <c r="J410" s="1106">
        <f>NOMINA!J359</f>
        <v>0</v>
      </c>
      <c r="K410" s="1105">
        <f t="shared" si="23"/>
        <v>16</v>
      </c>
      <c r="L410" s="1106" t="s">
        <v>4932</v>
      </c>
      <c r="M410" s="1106"/>
      <c r="N410" s="1443" t="str">
        <f>NOMINA!O361</f>
        <v>Ayudante de Servicios Generales</v>
      </c>
      <c r="O410" s="1106">
        <v>1.02087691000006E+18</v>
      </c>
      <c r="P410" s="1107">
        <f>ROUND(+NOMINA!T361,2)</f>
        <v>152</v>
      </c>
      <c r="Q410" s="1108">
        <v>0</v>
      </c>
      <c r="R410" s="1108">
        <f>ROUND(+NOMINA!AA361,2)</f>
        <v>18.850000000000001</v>
      </c>
      <c r="S410" s="1108">
        <f>ROUND(+NOMINA!AB361,2)</f>
        <v>130</v>
      </c>
      <c r="T410" s="1108">
        <f>ROUND(+NOMINA!AC361,2)</f>
        <v>0</v>
      </c>
      <c r="U410" s="1108">
        <f>ROUND(+NOMINA!AD361,2)</f>
        <v>0</v>
      </c>
      <c r="V410" s="1108">
        <f>ROUND(NOMINA!AQ361,2)</f>
        <v>0</v>
      </c>
      <c r="W410" s="1108">
        <f>+NOMINA!AS361</f>
        <v>0</v>
      </c>
      <c r="X410" s="1108">
        <f>+NOMINA!AT361</f>
        <v>0</v>
      </c>
      <c r="Y410" s="1108">
        <f>+NOMINA!AU361</f>
        <v>300.85000000000002</v>
      </c>
      <c r="Z410" s="1108">
        <f>+NOMINA!BX361</f>
        <v>564.1</v>
      </c>
      <c r="AA410" s="1108">
        <f>+NOMINA!BY361</f>
        <v>0</v>
      </c>
      <c r="AB410" s="1108">
        <f t="shared" si="24"/>
        <v>564.1</v>
      </c>
      <c r="AD410" s="625"/>
      <c r="AH410" s="1467" t="str">
        <f>NOMINA!P361</f>
        <v>01020373210000440835</v>
      </c>
    </row>
    <row r="411" spans="1:34" s="620" customFormat="1" ht="19.5" customHeight="1" thickBot="1" x14ac:dyDescent="0.25">
      <c r="A411" s="758" t="s">
        <v>2846</v>
      </c>
      <c r="B411" s="759">
        <f t="shared" si="25"/>
        <v>60</v>
      </c>
      <c r="C411" s="1102">
        <f>NOMINA!C362</f>
        <v>14928047</v>
      </c>
      <c r="D411" s="1103" t="str">
        <f>NOMINA!D362</f>
        <v>Becerra Teran Maria Alejandra</v>
      </c>
      <c r="E411" s="1461" t="s">
        <v>4622</v>
      </c>
      <c r="F411" s="1110">
        <v>32351</v>
      </c>
      <c r="G411" s="1461" t="s">
        <v>4620</v>
      </c>
      <c r="H411" s="1442">
        <f>NOMINA!H362</f>
        <v>43297</v>
      </c>
      <c r="I411" s="1105">
        <f>NOMINA!I360</f>
        <v>4</v>
      </c>
      <c r="J411" s="1106">
        <f>NOMINA!J360</f>
        <v>0</v>
      </c>
      <c r="K411" s="1105">
        <f t="shared" si="23"/>
        <v>4</v>
      </c>
      <c r="L411" s="1106" t="s">
        <v>4932</v>
      </c>
      <c r="M411" s="1106"/>
      <c r="N411" s="1443" t="str">
        <f>NOMINA!O362</f>
        <v>Cocinera</v>
      </c>
      <c r="O411" s="1106">
        <v>1.02087691000006E+18</v>
      </c>
      <c r="P411" s="1107">
        <f>ROUND(+NOMINA!T362,2)</f>
        <v>171</v>
      </c>
      <c r="Q411" s="1108">
        <v>0</v>
      </c>
      <c r="R411" s="1108">
        <f>ROUND(+NOMINA!AA362,2)</f>
        <v>12.65</v>
      </c>
      <c r="S411" s="1108">
        <f>ROUND(+NOMINA!AB362,2)</f>
        <v>130</v>
      </c>
      <c r="T411" s="1108">
        <f>ROUND(+NOMINA!AC362,2)</f>
        <v>0</v>
      </c>
      <c r="U411" s="1108">
        <f>ROUND(+NOMINA!AD362,2)</f>
        <v>0</v>
      </c>
      <c r="V411" s="1108">
        <f>ROUND(NOMINA!AQ362,2)</f>
        <v>0</v>
      </c>
      <c r="W411" s="1108">
        <f>+NOMINA!AS362</f>
        <v>0</v>
      </c>
      <c r="X411" s="1108">
        <f>+NOMINA!AT362</f>
        <v>0</v>
      </c>
      <c r="Y411" s="1108">
        <f>+NOMINA!AU362</f>
        <v>313.64999999999998</v>
      </c>
      <c r="Z411" s="1108">
        <f>+NOMINA!BX362</f>
        <v>588.1</v>
      </c>
      <c r="AA411" s="1108">
        <f>+NOMINA!BY362</f>
        <v>0</v>
      </c>
      <c r="AB411" s="1108">
        <f t="shared" si="24"/>
        <v>588.1</v>
      </c>
      <c r="AD411" s="625"/>
      <c r="AH411" s="1467" t="str">
        <f>NOMINA!P362</f>
        <v>01020373260100101629</v>
      </c>
    </row>
    <row r="412" spans="1:34" s="620" customFormat="1" ht="19.5" customHeight="1" thickBot="1" x14ac:dyDescent="0.25">
      <c r="A412" s="758" t="s">
        <v>2846</v>
      </c>
      <c r="B412" s="759">
        <f t="shared" si="25"/>
        <v>61</v>
      </c>
      <c r="C412" s="1102">
        <f>NOMINA!C363</f>
        <v>15042683</v>
      </c>
      <c r="D412" s="1103" t="str">
        <f>NOMINA!D363</f>
        <v>Rivera Hermes Edixon</v>
      </c>
      <c r="E412" s="1461" t="s">
        <v>4622</v>
      </c>
      <c r="F412" s="1110">
        <v>32351</v>
      </c>
      <c r="G412" s="1461" t="s">
        <v>4620</v>
      </c>
      <c r="H412" s="1442">
        <f>NOMINA!H363</f>
        <v>45292</v>
      </c>
      <c r="I412" s="1105">
        <f>NOMINA!I361</f>
        <v>11</v>
      </c>
      <c r="J412" s="1106">
        <f>NOMINA!J361</f>
        <v>0</v>
      </c>
      <c r="K412" s="1105">
        <f t="shared" si="23"/>
        <v>11</v>
      </c>
      <c r="L412" s="1106" t="s">
        <v>4932</v>
      </c>
      <c r="M412" s="1106"/>
      <c r="N412" s="1443" t="str">
        <f>NOMINA!O363</f>
        <v>Aseador</v>
      </c>
      <c r="O412" s="1106">
        <v>1.02087691000006E+18</v>
      </c>
      <c r="P412" s="1107">
        <f>ROUND(+NOMINA!T363,2)</f>
        <v>130</v>
      </c>
      <c r="Q412" s="1108">
        <v>0</v>
      </c>
      <c r="R412" s="1108">
        <f>ROUND(+NOMINA!AA363,2)</f>
        <v>1.3</v>
      </c>
      <c r="S412" s="1108">
        <f>ROUND(+NOMINA!AB363,2)</f>
        <v>130</v>
      </c>
      <c r="T412" s="1108">
        <f>ROUND(+NOMINA!AC363,2)</f>
        <v>12.5</v>
      </c>
      <c r="U412" s="1108">
        <f>ROUND(+NOMINA!AD363,2)</f>
        <v>0</v>
      </c>
      <c r="V412" s="1108">
        <f>ROUND(NOMINA!AQ363,2)</f>
        <v>0</v>
      </c>
      <c r="W412" s="1108">
        <f>+NOMINA!AS363</f>
        <v>0</v>
      </c>
      <c r="X412" s="1108">
        <f>+NOMINA!AT363</f>
        <v>12.5</v>
      </c>
      <c r="Y412" s="1108">
        <f>+NOMINA!AU363</f>
        <v>273.8</v>
      </c>
      <c r="Z412" s="1108">
        <f>+NOMINA!BX363</f>
        <v>513.38</v>
      </c>
      <c r="AA412" s="1108">
        <f>+NOMINA!BY363</f>
        <v>0</v>
      </c>
      <c r="AB412" s="1108">
        <f t="shared" si="24"/>
        <v>513.38</v>
      </c>
      <c r="AD412" s="625"/>
      <c r="AH412" s="1467" t="str">
        <f>NOMINA!P363</f>
        <v>01020494110000293626</v>
      </c>
    </row>
    <row r="413" spans="1:34" s="620" customFormat="1" ht="19.5" customHeight="1" thickBot="1" x14ac:dyDescent="0.25">
      <c r="A413" s="758" t="s">
        <v>2846</v>
      </c>
      <c r="B413" s="759">
        <f t="shared" si="25"/>
        <v>62</v>
      </c>
      <c r="C413" s="1102">
        <f>NOMINA!C365</f>
        <v>15583194</v>
      </c>
      <c r="D413" s="1103" t="str">
        <f>NOMINA!D365</f>
        <v>Garcia Briceño Wuiston Andres</v>
      </c>
      <c r="E413" s="1461" t="s">
        <v>4622</v>
      </c>
      <c r="F413" s="1110">
        <v>32351</v>
      </c>
      <c r="G413" s="1461" t="s">
        <v>4620</v>
      </c>
      <c r="H413" s="1442">
        <f>NOMINA!H365</f>
        <v>44166</v>
      </c>
      <c r="I413" s="1105">
        <f>NOMINA!I362</f>
        <v>7</v>
      </c>
      <c r="J413" s="1106">
        <f>NOMINA!J362</f>
        <v>0</v>
      </c>
      <c r="K413" s="1105">
        <f t="shared" si="23"/>
        <v>7</v>
      </c>
      <c r="L413" s="1106" t="s">
        <v>4932</v>
      </c>
      <c r="M413" s="1106"/>
      <c r="N413" s="1443" t="str">
        <f>NOMINA!O365</f>
        <v>Cocinero</v>
      </c>
      <c r="O413" s="1106">
        <v>1.02087691000006E+18</v>
      </c>
      <c r="P413" s="1107">
        <f>ROUND(+NOMINA!T365,2)</f>
        <v>171</v>
      </c>
      <c r="Q413" s="1108">
        <v>0</v>
      </c>
      <c r="R413" s="1108">
        <f>ROUND(+NOMINA!AA365,2)</f>
        <v>23.6</v>
      </c>
      <c r="S413" s="1108">
        <f>ROUND(+NOMINA!AB365,2)</f>
        <v>130</v>
      </c>
      <c r="T413" s="1108">
        <f>ROUND(+NOMINA!AC365,2)</f>
        <v>12.5</v>
      </c>
      <c r="U413" s="1108">
        <f>ROUND(+NOMINA!AD365,2)</f>
        <v>0</v>
      </c>
      <c r="V413" s="1108">
        <f>ROUND(NOMINA!AQ365,2)</f>
        <v>0</v>
      </c>
      <c r="W413" s="1108">
        <f>+NOMINA!AS365</f>
        <v>0</v>
      </c>
      <c r="X413" s="1108">
        <f>+NOMINA!AT365</f>
        <v>12.5</v>
      </c>
      <c r="Y413" s="1108">
        <f>+NOMINA!AU365</f>
        <v>337.1</v>
      </c>
      <c r="Z413" s="1108">
        <f>+NOMINA!BX365</f>
        <v>632.05999999999995</v>
      </c>
      <c r="AA413" s="1108">
        <f>+NOMINA!BY365</f>
        <v>0</v>
      </c>
      <c r="AB413" s="1108">
        <f t="shared" si="24"/>
        <v>632.05999999999995</v>
      </c>
      <c r="AD413" s="625"/>
      <c r="AH413" s="1467" t="str">
        <f>NOMINA!P365</f>
        <v>01020373260000274263</v>
      </c>
    </row>
    <row r="414" spans="1:34" s="620" customFormat="1" ht="19.5" customHeight="1" thickBot="1" x14ac:dyDescent="0.25">
      <c r="A414" s="758" t="s">
        <v>2846</v>
      </c>
      <c r="B414" s="759">
        <f t="shared" si="25"/>
        <v>63</v>
      </c>
      <c r="C414" s="1102">
        <f>NOMINA!C366</f>
        <v>14928592</v>
      </c>
      <c r="D414" s="1103" t="str">
        <f>NOMINA!D366</f>
        <v>Rosales Ruiz Jesus Alberto</v>
      </c>
      <c r="E414" s="1461" t="s">
        <v>4622</v>
      </c>
      <c r="F414" s="1110">
        <v>32351</v>
      </c>
      <c r="G414" s="1461" t="s">
        <v>4620</v>
      </c>
      <c r="H414" s="1442">
        <f>NOMINA!H366</f>
        <v>45017</v>
      </c>
      <c r="I414" s="1105">
        <f>NOMINA!I363</f>
        <v>1</v>
      </c>
      <c r="J414" s="1106">
        <f>NOMINA!J363</f>
        <v>0</v>
      </c>
      <c r="K414" s="1105">
        <f t="shared" si="23"/>
        <v>1</v>
      </c>
      <c r="L414" s="1106" t="s">
        <v>4932</v>
      </c>
      <c r="M414" s="1106"/>
      <c r="N414" s="1443" t="str">
        <f>NOMINA!O366</f>
        <v>Cocinero</v>
      </c>
      <c r="O414" s="1106">
        <v>1.02087691000006E+18</v>
      </c>
      <c r="P414" s="1107">
        <f>ROUND(+NOMINA!T366,2)</f>
        <v>171</v>
      </c>
      <c r="Q414" s="1108">
        <v>0</v>
      </c>
      <c r="R414" s="1108">
        <f>ROUND(+NOMINA!AA366,2)</f>
        <v>3.42</v>
      </c>
      <c r="S414" s="1108">
        <f>ROUND(+NOMINA!AB366,2)</f>
        <v>130</v>
      </c>
      <c r="T414" s="1108">
        <f>ROUND(+NOMINA!AC366,2)</f>
        <v>0</v>
      </c>
      <c r="U414" s="1108">
        <f>ROUND(+NOMINA!AD366,2)</f>
        <v>0</v>
      </c>
      <c r="V414" s="1108">
        <f>ROUND(NOMINA!AQ366,2)</f>
        <v>0</v>
      </c>
      <c r="W414" s="1108">
        <f>+NOMINA!AS366</f>
        <v>0</v>
      </c>
      <c r="X414" s="1108">
        <f>+NOMINA!AT366</f>
        <v>0</v>
      </c>
      <c r="Y414" s="1108">
        <f>+NOMINA!AU366</f>
        <v>304.41999999999996</v>
      </c>
      <c r="Z414" s="1108">
        <f>+NOMINA!BX366</f>
        <v>570.79</v>
      </c>
      <c r="AA414" s="1108">
        <f>+NOMINA!BY366</f>
        <v>0</v>
      </c>
      <c r="AB414" s="1108">
        <f t="shared" si="24"/>
        <v>570.79</v>
      </c>
      <c r="AD414" s="625"/>
      <c r="AH414" s="1467" t="str">
        <f>NOMINA!P366</f>
        <v>01020494160000531485</v>
      </c>
    </row>
    <row r="415" spans="1:34" s="620" customFormat="1" ht="19.5" customHeight="1" thickBot="1" x14ac:dyDescent="0.25">
      <c r="A415" s="758"/>
      <c r="B415" s="759">
        <f t="shared" si="25"/>
        <v>64</v>
      </c>
      <c r="C415" s="1102">
        <f>NOMINA!C367</f>
        <v>15952512</v>
      </c>
      <c r="D415" s="1103" t="str">
        <f>NOMINA!D367</f>
        <v>Graterol Gonzalez Maria Ysela</v>
      </c>
      <c r="E415" s="1461" t="s">
        <v>4622</v>
      </c>
      <c r="F415" s="1110">
        <v>32351</v>
      </c>
      <c r="G415" s="1461" t="s">
        <v>4620</v>
      </c>
      <c r="H415" s="1442">
        <f>NOMINA!H367</f>
        <v>40725</v>
      </c>
      <c r="I415" s="1105">
        <f>NOMINA!I365</f>
        <v>4</v>
      </c>
      <c r="J415" s="1106">
        <f>NOMINA!J365</f>
        <v>8</v>
      </c>
      <c r="K415" s="1105">
        <f t="shared" si="23"/>
        <v>12</v>
      </c>
      <c r="L415" s="1106" t="s">
        <v>4932</v>
      </c>
      <c r="M415" s="1106"/>
      <c r="N415" s="1443" t="str">
        <f>NOMINA!O367</f>
        <v>Aseadora</v>
      </c>
      <c r="O415" s="1106">
        <v>1.02087691000006E+18</v>
      </c>
      <c r="P415" s="1107">
        <f>ROUND(+NOMINA!T367,2)</f>
        <v>130</v>
      </c>
      <c r="Q415" s="1108">
        <v>0</v>
      </c>
      <c r="R415" s="1108">
        <f>ROUND(+NOMINA!AA367,2)</f>
        <v>21.58</v>
      </c>
      <c r="S415" s="1108">
        <f>ROUND(+NOMINA!AB367,2)</f>
        <v>130</v>
      </c>
      <c r="T415" s="1108">
        <f>ROUND(+NOMINA!AC367,2)</f>
        <v>0</v>
      </c>
      <c r="U415" s="1108">
        <f>ROUND(+NOMINA!AD367,2)</f>
        <v>0</v>
      </c>
      <c r="V415" s="1108">
        <f>ROUND(NOMINA!AQ367,2)</f>
        <v>0</v>
      </c>
      <c r="W415" s="1108">
        <f>+NOMINA!AS367</f>
        <v>0</v>
      </c>
      <c r="X415" s="1108">
        <f>+NOMINA!AT367</f>
        <v>0</v>
      </c>
      <c r="Y415" s="1108">
        <f>+NOMINA!AU367</f>
        <v>281.58</v>
      </c>
      <c r="Z415" s="1108">
        <f>+NOMINA!BX367</f>
        <v>527.96</v>
      </c>
      <c r="AA415" s="1108">
        <f>+NOMINA!BY367</f>
        <v>0</v>
      </c>
      <c r="AB415" s="1108">
        <f t="shared" si="24"/>
        <v>527.96</v>
      </c>
      <c r="AD415" s="625"/>
      <c r="AH415" s="1467" t="str">
        <f>NOMINA!P367</f>
        <v>01020373260000440233</v>
      </c>
    </row>
    <row r="416" spans="1:34" s="620" customFormat="1" ht="19.5" customHeight="1" thickBot="1" x14ac:dyDescent="0.25">
      <c r="A416" s="758"/>
      <c r="B416" s="759">
        <f t="shared" si="25"/>
        <v>65</v>
      </c>
      <c r="C416" s="1102">
        <f>NOMINA!C368</f>
        <v>15953703</v>
      </c>
      <c r="D416" s="1103" t="str">
        <f>NOMINA!D368</f>
        <v>Briceño Salas Jose Leonardo</v>
      </c>
      <c r="E416" s="1461" t="s">
        <v>4622</v>
      </c>
      <c r="F416" s="1110">
        <v>32351</v>
      </c>
      <c r="G416" s="1461" t="s">
        <v>4620</v>
      </c>
      <c r="H416" s="1442">
        <f>NOMINA!H368</f>
        <v>38718</v>
      </c>
      <c r="I416" s="1105">
        <f>NOMINA!I366</f>
        <v>2</v>
      </c>
      <c r="J416" s="1106">
        <f>NOMINA!J366</f>
        <v>0</v>
      </c>
      <c r="K416" s="1105">
        <f t="shared" ref="K416:K443" si="26">I416+J416</f>
        <v>2</v>
      </c>
      <c r="L416" s="1106" t="s">
        <v>4932</v>
      </c>
      <c r="M416" s="1106"/>
      <c r="N416" s="1443" t="str">
        <f>NOMINA!O368</f>
        <v>Ayudante de Servicios Generales</v>
      </c>
      <c r="O416" s="1106">
        <v>1.02087691000006E+18</v>
      </c>
      <c r="P416" s="1107">
        <f>ROUND(+NOMINA!T368,2)</f>
        <v>152</v>
      </c>
      <c r="Q416" s="1108">
        <v>0</v>
      </c>
      <c r="R416" s="1108">
        <f>ROUND(+NOMINA!AA368,2)</f>
        <v>37.090000000000003</v>
      </c>
      <c r="S416" s="1108">
        <f>ROUND(+NOMINA!AB368,2)</f>
        <v>130</v>
      </c>
      <c r="T416" s="1108">
        <f>ROUND(+NOMINA!AC368,2)</f>
        <v>25</v>
      </c>
      <c r="U416" s="1108">
        <f>ROUND(+NOMINA!AD368,2)</f>
        <v>0</v>
      </c>
      <c r="V416" s="1108">
        <f>ROUND(NOMINA!AQ368,2)</f>
        <v>0</v>
      </c>
      <c r="W416" s="1108">
        <f>+NOMINA!AS368</f>
        <v>0</v>
      </c>
      <c r="X416" s="1108">
        <f>+NOMINA!AT368</f>
        <v>0</v>
      </c>
      <c r="Y416" s="1108">
        <f>+NOMINA!AU368</f>
        <v>344.09000000000003</v>
      </c>
      <c r="Z416" s="1108">
        <f>+NOMINA!BX368</f>
        <v>645.16999999999996</v>
      </c>
      <c r="AA416" s="1108">
        <f>+NOMINA!BY368</f>
        <v>0</v>
      </c>
      <c r="AB416" s="1108">
        <f t="shared" ref="AB416:AB443" si="27">+Z416+AA416</f>
        <v>645.16999999999996</v>
      </c>
      <c r="AD416" s="625"/>
      <c r="AH416" s="1467" t="str">
        <f>NOMINA!P368</f>
        <v>01020373210000440275</v>
      </c>
    </row>
    <row r="417" spans="1:34" s="620" customFormat="1" ht="19.5" customHeight="1" thickBot="1" x14ac:dyDescent="0.25">
      <c r="A417" s="758"/>
      <c r="B417" s="759">
        <f t="shared" ref="B417:B443" si="28">+B416+1</f>
        <v>66</v>
      </c>
      <c r="C417" s="1102">
        <f>NOMINA!C369</f>
        <v>16266801</v>
      </c>
      <c r="D417" s="1103" t="str">
        <f>NOMINA!D369</f>
        <v>Briceño Gonzalez Mirla Carolina</v>
      </c>
      <c r="E417" s="1461" t="s">
        <v>4622</v>
      </c>
      <c r="F417" s="1110">
        <v>32351</v>
      </c>
      <c r="G417" s="1461" t="s">
        <v>4620</v>
      </c>
      <c r="H417" s="1442">
        <f>NOMINA!H369</f>
        <v>39496</v>
      </c>
      <c r="I417" s="1105">
        <f>NOMINA!I367</f>
        <v>14</v>
      </c>
      <c r="J417" s="1106">
        <f>NOMINA!J367</f>
        <v>0</v>
      </c>
      <c r="K417" s="1105">
        <f t="shared" si="26"/>
        <v>14</v>
      </c>
      <c r="L417" s="1106" t="s">
        <v>4932</v>
      </c>
      <c r="M417" s="1106"/>
      <c r="N417" s="1443" t="str">
        <f>NOMINA!O369</f>
        <v>Cocinera</v>
      </c>
      <c r="O417" s="1106">
        <v>1.02087691000006E+18</v>
      </c>
      <c r="P417" s="1107">
        <f>ROUND(+NOMINA!T369,2)</f>
        <v>171</v>
      </c>
      <c r="Q417" s="1108">
        <v>0</v>
      </c>
      <c r="R417" s="1108">
        <f>ROUND(+NOMINA!AA369,2)</f>
        <v>36.25</v>
      </c>
      <c r="S417" s="1108">
        <f>ROUND(+NOMINA!AB369,2)</f>
        <v>130</v>
      </c>
      <c r="T417" s="1108">
        <f>ROUND(+NOMINA!AC369,2)</f>
        <v>12.5</v>
      </c>
      <c r="U417" s="1108">
        <f>ROUND(+NOMINA!AD369,2)</f>
        <v>0</v>
      </c>
      <c r="V417" s="1108">
        <f>ROUND(NOMINA!AQ369,2)</f>
        <v>0</v>
      </c>
      <c r="W417" s="1108">
        <f>+NOMINA!AS369</f>
        <v>0</v>
      </c>
      <c r="X417" s="1108">
        <f>+NOMINA!AT369</f>
        <v>12.5</v>
      </c>
      <c r="Y417" s="1108">
        <f>+NOMINA!AU369</f>
        <v>349.75</v>
      </c>
      <c r="Z417" s="1108">
        <f>+NOMINA!BX369</f>
        <v>655.78</v>
      </c>
      <c r="AA417" s="1108">
        <f>+NOMINA!BY369</f>
        <v>0</v>
      </c>
      <c r="AB417" s="1108">
        <f t="shared" si="27"/>
        <v>655.78</v>
      </c>
      <c r="AD417" s="625"/>
      <c r="AH417" s="1467" t="str">
        <f>NOMINA!P369</f>
        <v>01020373200000441041</v>
      </c>
    </row>
    <row r="418" spans="1:34" s="620" customFormat="1" ht="19.5" customHeight="1" thickBot="1" x14ac:dyDescent="0.25">
      <c r="A418" s="758"/>
      <c r="B418" s="759">
        <f t="shared" si="28"/>
        <v>67</v>
      </c>
      <c r="C418" s="1102">
        <f>NOMINA!C370</f>
        <v>16739958</v>
      </c>
      <c r="D418" s="1103" t="str">
        <f>NOMINA!D370</f>
        <v>Ramirez Ramirez Natali Gabriela</v>
      </c>
      <c r="E418" s="1461" t="s">
        <v>4622</v>
      </c>
      <c r="F418" s="1110">
        <v>32351</v>
      </c>
      <c r="G418" s="1461" t="s">
        <v>4620</v>
      </c>
      <c r="H418" s="1442">
        <f>NOMINA!H370</f>
        <v>44866</v>
      </c>
      <c r="I418" s="1105">
        <f>NOMINA!I368</f>
        <v>19</v>
      </c>
      <c r="J418" s="1106">
        <f>NOMINA!J368</f>
        <v>0</v>
      </c>
      <c r="K418" s="1105">
        <f t="shared" si="26"/>
        <v>19</v>
      </c>
      <c r="L418" s="1106" t="s">
        <v>4932</v>
      </c>
      <c r="M418" s="1106"/>
      <c r="N418" s="1443" t="str">
        <f>NOMINA!O370</f>
        <v>Ayud. Serv. De Cocina</v>
      </c>
      <c r="O418" s="1106">
        <v>1.02087691000006E+18</v>
      </c>
      <c r="P418" s="1107">
        <f>ROUND(+NOMINA!T370,2)</f>
        <v>142</v>
      </c>
      <c r="Q418" s="1108">
        <v>0</v>
      </c>
      <c r="R418" s="1108">
        <f>ROUND(+NOMINA!AA370,2)</f>
        <v>2.84</v>
      </c>
      <c r="S418" s="1108">
        <f>ROUND(+NOMINA!AB370,2)</f>
        <v>130</v>
      </c>
      <c r="T418" s="1108">
        <f>ROUND(+NOMINA!AC370,2)</f>
        <v>25</v>
      </c>
      <c r="U418" s="1108">
        <f>ROUND(+NOMINA!AD370,2)</f>
        <v>0</v>
      </c>
      <c r="V418" s="1108">
        <f>ROUND(NOMINA!AQ370,2)</f>
        <v>0</v>
      </c>
      <c r="W418" s="1108">
        <f>+NOMINA!AS370</f>
        <v>0</v>
      </c>
      <c r="X418" s="1108">
        <f>+NOMINA!AT370</f>
        <v>25</v>
      </c>
      <c r="Y418" s="1108">
        <f>+NOMINA!AU370</f>
        <v>299.84000000000003</v>
      </c>
      <c r="Z418" s="1108">
        <f>+NOMINA!BX370</f>
        <v>562.20000000000005</v>
      </c>
      <c r="AA418" s="1108">
        <f>+NOMINA!BY370</f>
        <v>0</v>
      </c>
      <c r="AB418" s="1108">
        <f t="shared" si="27"/>
        <v>562.20000000000005</v>
      </c>
      <c r="AD418" s="625"/>
      <c r="AH418" s="1467" t="str">
        <f>NOMINA!P370</f>
        <v>01020747960000205931</v>
      </c>
    </row>
    <row r="419" spans="1:34" s="620" customFormat="1" ht="19.5" customHeight="1" thickBot="1" x14ac:dyDescent="0.25">
      <c r="A419" s="758"/>
      <c r="B419" s="759">
        <f t="shared" si="28"/>
        <v>68</v>
      </c>
      <c r="C419" s="1102">
        <f>NOMINA!C371</f>
        <v>16881526</v>
      </c>
      <c r="D419" s="1103" t="str">
        <f>NOMINA!D371</f>
        <v>Montilla Mendoza Addy Coromoto</v>
      </c>
      <c r="E419" s="1461" t="s">
        <v>4622</v>
      </c>
      <c r="F419" s="1110">
        <v>32351</v>
      </c>
      <c r="G419" s="1461" t="s">
        <v>4620</v>
      </c>
      <c r="H419" s="1442">
        <f>NOMINA!H371</f>
        <v>44470</v>
      </c>
      <c r="I419" s="1105">
        <f>NOMINA!I369</f>
        <v>17</v>
      </c>
      <c r="J419" s="1106">
        <f>NOMINA!J369</f>
        <v>0</v>
      </c>
      <c r="K419" s="1105">
        <f t="shared" si="26"/>
        <v>17</v>
      </c>
      <c r="L419" s="1106" t="s">
        <v>4932</v>
      </c>
      <c r="M419" s="1106"/>
      <c r="N419" s="1443" t="str">
        <f>NOMINA!O371</f>
        <v>Aseador</v>
      </c>
      <c r="O419" s="1106">
        <v>1.02087691000006E+18</v>
      </c>
      <c r="P419" s="1107">
        <f>ROUND(+NOMINA!T371,2)</f>
        <v>130</v>
      </c>
      <c r="Q419" s="1108">
        <v>0</v>
      </c>
      <c r="R419" s="1108">
        <f>ROUND(+NOMINA!AA371,2)</f>
        <v>3.9</v>
      </c>
      <c r="S419" s="1108">
        <f>ROUND(+NOMINA!AB371,2)</f>
        <v>130</v>
      </c>
      <c r="T419" s="1108">
        <f>ROUND(+NOMINA!AC371,2)</f>
        <v>25</v>
      </c>
      <c r="U419" s="1108">
        <f>ROUND(+NOMINA!AD371,2)</f>
        <v>0</v>
      </c>
      <c r="V419" s="1108">
        <f>ROUND(NOMINA!AQ371,2)</f>
        <v>0</v>
      </c>
      <c r="W419" s="1108">
        <f>+NOMINA!AS371</f>
        <v>0</v>
      </c>
      <c r="X419" s="1108">
        <f>+NOMINA!AT371</f>
        <v>12.5</v>
      </c>
      <c r="Y419" s="1108">
        <f>+NOMINA!AU371</f>
        <v>288.89999999999998</v>
      </c>
      <c r="Z419" s="1108">
        <f>+NOMINA!BX371</f>
        <v>541.69000000000005</v>
      </c>
      <c r="AA419" s="1108">
        <f>+NOMINA!BY371</f>
        <v>0</v>
      </c>
      <c r="AB419" s="1108">
        <f t="shared" si="27"/>
        <v>541.69000000000005</v>
      </c>
      <c r="AD419" s="625"/>
      <c r="AH419" s="1467" t="str">
        <f>NOMINA!P371</f>
        <v>01020747950000258959</v>
      </c>
    </row>
    <row r="420" spans="1:34" s="620" customFormat="1" ht="19.5" customHeight="1" thickBot="1" x14ac:dyDescent="0.25">
      <c r="A420" s="758"/>
      <c r="B420" s="759">
        <f t="shared" si="28"/>
        <v>69</v>
      </c>
      <c r="C420" s="1102">
        <f>NOMINA!C372</f>
        <v>17093567</v>
      </c>
      <c r="D420" s="1103" t="str">
        <f>NOMINA!D372</f>
        <v>Torres Villarreal Yenny del Carmen</v>
      </c>
      <c r="E420" s="1461" t="s">
        <v>4622</v>
      </c>
      <c r="F420" s="1110">
        <v>32351</v>
      </c>
      <c r="G420" s="1461" t="s">
        <v>4620</v>
      </c>
      <c r="H420" s="1442">
        <f>NOMINA!H372</f>
        <v>39449</v>
      </c>
      <c r="I420" s="1105">
        <f>NOMINA!I370</f>
        <v>2</v>
      </c>
      <c r="J420" s="1106">
        <f>NOMINA!J370</f>
        <v>0</v>
      </c>
      <c r="K420" s="1105">
        <f t="shared" si="26"/>
        <v>2</v>
      </c>
      <c r="L420" s="1106" t="s">
        <v>4932</v>
      </c>
      <c r="M420" s="1106"/>
      <c r="N420" s="1443" t="str">
        <f>NOMINA!O372</f>
        <v>Ayudante de Servicios Generales</v>
      </c>
      <c r="O420" s="1106">
        <v>1.02087691000006E+18</v>
      </c>
      <c r="P420" s="1107">
        <f>ROUND(+NOMINA!T372,2)</f>
        <v>152</v>
      </c>
      <c r="Q420" s="1108">
        <v>0</v>
      </c>
      <c r="R420" s="1108">
        <f>ROUND(+NOMINA!AA372,2)</f>
        <v>32.22</v>
      </c>
      <c r="S420" s="1108">
        <f>ROUND(+NOMINA!AB372,2)</f>
        <v>130</v>
      </c>
      <c r="T420" s="1108">
        <f>ROUND(+NOMINA!AC372,2)</f>
        <v>0</v>
      </c>
      <c r="U420" s="1108">
        <f>ROUND(+NOMINA!AD372,2)</f>
        <v>0</v>
      </c>
      <c r="V420" s="1108">
        <f>ROUND(NOMINA!AQ372,2)</f>
        <v>0</v>
      </c>
      <c r="W420" s="1108">
        <f>+NOMINA!AS372</f>
        <v>0</v>
      </c>
      <c r="X420" s="1108">
        <f>+NOMINA!AT372</f>
        <v>0</v>
      </c>
      <c r="Y420" s="1108">
        <f>+NOMINA!AU372</f>
        <v>314.22000000000003</v>
      </c>
      <c r="Z420" s="1108">
        <f>+NOMINA!BX372</f>
        <v>589.16</v>
      </c>
      <c r="AA420" s="1108">
        <f>+NOMINA!BY372</f>
        <v>0</v>
      </c>
      <c r="AB420" s="1108">
        <f t="shared" si="27"/>
        <v>589.16</v>
      </c>
      <c r="AD420" s="625"/>
      <c r="AH420" s="1467" t="str">
        <f>NOMINA!P372</f>
        <v>01020373210000442477</v>
      </c>
    </row>
    <row r="421" spans="1:34" s="620" customFormat="1" ht="19.5" customHeight="1" thickBot="1" x14ac:dyDescent="0.25">
      <c r="A421" s="758"/>
      <c r="B421" s="759">
        <f t="shared" si="28"/>
        <v>70</v>
      </c>
      <c r="C421" s="1102">
        <f>NOMINA!C373</f>
        <v>17093846</v>
      </c>
      <c r="D421" s="1103" t="str">
        <f>NOMINA!D373</f>
        <v>Bastidas Rivera Junior Antonio</v>
      </c>
      <c r="E421" s="1461" t="s">
        <v>4622</v>
      </c>
      <c r="F421" s="1110">
        <v>32351</v>
      </c>
      <c r="G421" s="1461" t="s">
        <v>4620</v>
      </c>
      <c r="H421" s="1442">
        <f>NOMINA!H373</f>
        <v>45017</v>
      </c>
      <c r="I421" s="1105">
        <f>NOMINA!I371</f>
        <v>3</v>
      </c>
      <c r="J421" s="1106">
        <f>NOMINA!J371</f>
        <v>0</v>
      </c>
      <c r="K421" s="1105">
        <f t="shared" si="26"/>
        <v>3</v>
      </c>
      <c r="L421" s="1106" t="s">
        <v>4932</v>
      </c>
      <c r="M421" s="1106"/>
      <c r="N421" s="1443" t="str">
        <f>NOMINA!O373</f>
        <v>Ayudante de Servicios Generales</v>
      </c>
      <c r="O421" s="1106">
        <v>1.02087691000006E+18</v>
      </c>
      <c r="P421" s="1107">
        <f>ROUND(+NOMINA!T373,2)</f>
        <v>152</v>
      </c>
      <c r="Q421" s="1108">
        <v>0</v>
      </c>
      <c r="R421" s="1108">
        <f>ROUND(+NOMINA!AA373,2)</f>
        <v>3.04</v>
      </c>
      <c r="S421" s="1108">
        <f>ROUND(+NOMINA!AB373,2)</f>
        <v>130</v>
      </c>
      <c r="T421" s="1108">
        <f>ROUND(+NOMINA!AC373,2)</f>
        <v>0</v>
      </c>
      <c r="U421" s="1108">
        <f>ROUND(+NOMINA!AD373,2)</f>
        <v>0</v>
      </c>
      <c r="V421" s="1108">
        <f>ROUND(NOMINA!AQ373,2)</f>
        <v>0</v>
      </c>
      <c r="W421" s="1108">
        <f>+NOMINA!AS373</f>
        <v>0</v>
      </c>
      <c r="X421" s="1108">
        <f>+NOMINA!AT373</f>
        <v>0</v>
      </c>
      <c r="Y421" s="1108">
        <f>+NOMINA!AU373</f>
        <v>285.03999999999996</v>
      </c>
      <c r="Z421" s="1108">
        <f>+NOMINA!BX373</f>
        <v>534.45000000000005</v>
      </c>
      <c r="AA421" s="1108">
        <f>+NOMINA!BY373</f>
        <v>0</v>
      </c>
      <c r="AB421" s="1108">
        <f t="shared" si="27"/>
        <v>534.45000000000005</v>
      </c>
      <c r="AD421" s="625"/>
      <c r="AH421" s="1467" t="str">
        <f>NOMINA!P373</f>
        <v>01020369410000923705</v>
      </c>
    </row>
    <row r="422" spans="1:34" s="620" customFormat="1" ht="19.5" customHeight="1" thickBot="1" x14ac:dyDescent="0.25">
      <c r="A422" s="758"/>
      <c r="B422" s="759">
        <f t="shared" si="28"/>
        <v>71</v>
      </c>
      <c r="C422" s="1102">
        <f>NOMINA!C374</f>
        <v>17095084</v>
      </c>
      <c r="D422" s="1103" t="str">
        <f>NOMINA!D374</f>
        <v>Gonzalez Simancas Yulimar del Valle</v>
      </c>
      <c r="E422" s="1461" t="s">
        <v>4622</v>
      </c>
      <c r="F422" s="1110">
        <v>32351</v>
      </c>
      <c r="G422" s="1461" t="s">
        <v>4620</v>
      </c>
      <c r="H422" s="1442">
        <f>NOMINA!H374</f>
        <v>44317</v>
      </c>
      <c r="I422" s="1105">
        <f>NOMINA!I372</f>
        <v>17</v>
      </c>
      <c r="J422" s="1106">
        <f>NOMINA!J372</f>
        <v>0</v>
      </c>
      <c r="K422" s="1105">
        <f t="shared" si="26"/>
        <v>17</v>
      </c>
      <c r="L422" s="1106" t="s">
        <v>4932</v>
      </c>
      <c r="M422" s="1106"/>
      <c r="N422" s="1443" t="str">
        <f>NOMINA!O374</f>
        <v>Cocinera</v>
      </c>
      <c r="O422" s="1106">
        <v>1.02087691000006E+18</v>
      </c>
      <c r="P422" s="1107">
        <f>ROUND(+NOMINA!T374,2)</f>
        <v>171</v>
      </c>
      <c r="Q422" s="1108">
        <v>0</v>
      </c>
      <c r="R422" s="1108">
        <f>ROUND(+NOMINA!AA374,2)</f>
        <v>6.84</v>
      </c>
      <c r="S422" s="1108">
        <f>ROUND(+NOMINA!AB374,2)</f>
        <v>130</v>
      </c>
      <c r="T422" s="1108">
        <f>ROUND(+NOMINA!AC374,2)</f>
        <v>25</v>
      </c>
      <c r="U422" s="1108">
        <f>ROUND(+NOMINA!AD374,2)</f>
        <v>0</v>
      </c>
      <c r="V422" s="1108">
        <f>ROUND(NOMINA!AQ374,2)</f>
        <v>0</v>
      </c>
      <c r="W422" s="1108">
        <f>+NOMINA!AS374</f>
        <v>0</v>
      </c>
      <c r="X422" s="1108">
        <f>+NOMINA!AT374</f>
        <v>0</v>
      </c>
      <c r="Y422" s="1108">
        <f>+NOMINA!AU374</f>
        <v>332.84000000000003</v>
      </c>
      <c r="Z422" s="1108">
        <f>+NOMINA!BX374</f>
        <v>624.08000000000004</v>
      </c>
      <c r="AA422" s="1108">
        <f>+NOMINA!BY374</f>
        <v>0</v>
      </c>
      <c r="AB422" s="1108">
        <f t="shared" si="27"/>
        <v>624.08000000000004</v>
      </c>
      <c r="AD422" s="625"/>
      <c r="AH422" s="1467" t="str">
        <f>NOMINA!P374</f>
        <v>01020373290000785655</v>
      </c>
    </row>
    <row r="423" spans="1:34" s="620" customFormat="1" ht="19.5" customHeight="1" thickBot="1" x14ac:dyDescent="0.25">
      <c r="A423" s="758"/>
      <c r="B423" s="759">
        <f t="shared" si="28"/>
        <v>72</v>
      </c>
      <c r="C423" s="1102">
        <f>NOMINA!C375</f>
        <v>17267173</v>
      </c>
      <c r="D423" s="1103" t="str">
        <f>NOMINA!D375</f>
        <v>Torres Alvarez Olga Josefina</v>
      </c>
      <c r="E423" s="1461" t="s">
        <v>4622</v>
      </c>
      <c r="F423" s="1110">
        <v>32351</v>
      </c>
      <c r="G423" s="1461" t="s">
        <v>4620</v>
      </c>
      <c r="H423" s="1442">
        <f>NOMINA!H375</f>
        <v>44317</v>
      </c>
      <c r="I423" s="1105">
        <f>NOMINA!I373</f>
        <v>2</v>
      </c>
      <c r="J423" s="1106">
        <f>NOMINA!J373</f>
        <v>0</v>
      </c>
      <c r="K423" s="1105">
        <f t="shared" si="26"/>
        <v>2</v>
      </c>
      <c r="L423" s="1106" t="s">
        <v>4932</v>
      </c>
      <c r="M423" s="1106"/>
      <c r="N423" s="1443" t="str">
        <f>NOMINA!O375</f>
        <v>Ayudante de Almacen</v>
      </c>
      <c r="O423" s="1106">
        <v>1.02087691000006E+18</v>
      </c>
      <c r="P423" s="1107">
        <f>ROUND(+NOMINA!T375,2)</f>
        <v>171</v>
      </c>
      <c r="Q423" s="1108">
        <v>0</v>
      </c>
      <c r="R423" s="1108">
        <f>ROUND(+NOMINA!AA375,2)</f>
        <v>18.809999999999999</v>
      </c>
      <c r="S423" s="1108">
        <f>ROUND(+NOMINA!AB375,2)</f>
        <v>130</v>
      </c>
      <c r="T423" s="1108">
        <f>ROUND(+NOMINA!AC375,2)</f>
        <v>0</v>
      </c>
      <c r="U423" s="1108">
        <f>ROUND(+NOMINA!AD375,2)</f>
        <v>0</v>
      </c>
      <c r="V423" s="1108">
        <f>ROUND(NOMINA!AQ375,2)</f>
        <v>0</v>
      </c>
      <c r="W423" s="1108">
        <f>+NOMINA!AS375</f>
        <v>0</v>
      </c>
      <c r="X423" s="1108">
        <f>+NOMINA!AT375</f>
        <v>0</v>
      </c>
      <c r="Y423" s="1108">
        <f>+NOMINA!AU375</f>
        <v>319.81</v>
      </c>
      <c r="Z423" s="1108">
        <f>+NOMINA!BX375</f>
        <v>599.65</v>
      </c>
      <c r="AA423" s="1108">
        <f>+NOMINA!BY375</f>
        <v>0</v>
      </c>
      <c r="AB423" s="1108">
        <f t="shared" si="27"/>
        <v>599.65</v>
      </c>
      <c r="AD423" s="625"/>
      <c r="AH423" s="1467" t="str">
        <f>NOMINA!P375</f>
        <v>01020373210000785668</v>
      </c>
    </row>
    <row r="424" spans="1:34" s="620" customFormat="1" ht="19.5" customHeight="1" thickBot="1" x14ac:dyDescent="0.25">
      <c r="A424" s="758"/>
      <c r="B424" s="759">
        <f t="shared" si="28"/>
        <v>73</v>
      </c>
      <c r="C424" s="1102">
        <f>NOMINA!C376</f>
        <v>17267546</v>
      </c>
      <c r="D424" s="1103" t="str">
        <f>NOMINA!D376</f>
        <v>Bastidas Rivera Franklin Enrique</v>
      </c>
      <c r="E424" s="1461" t="s">
        <v>4622</v>
      </c>
      <c r="F424" s="1110">
        <v>32351</v>
      </c>
      <c r="G424" s="1461" t="s">
        <v>4620</v>
      </c>
      <c r="H424" s="1442">
        <f>NOMINA!H376</f>
        <v>39197</v>
      </c>
      <c r="I424" s="1105">
        <f>NOMINA!I374</f>
        <v>4</v>
      </c>
      <c r="J424" s="1106">
        <f>NOMINA!J374</f>
        <v>0</v>
      </c>
      <c r="K424" s="1105">
        <f t="shared" si="26"/>
        <v>4</v>
      </c>
      <c r="L424" s="1106" t="s">
        <v>4932</v>
      </c>
      <c r="M424" s="1106"/>
      <c r="N424" s="1443" t="str">
        <f>NOMINA!O376</f>
        <v>Ayudante de Servicios Generales</v>
      </c>
      <c r="O424" s="1106">
        <v>1.02087691000006E+18</v>
      </c>
      <c r="P424" s="1107">
        <f>ROUND(+NOMINA!T376,2)</f>
        <v>152</v>
      </c>
      <c r="Q424" s="1108">
        <v>0</v>
      </c>
      <c r="R424" s="1108">
        <f>ROUND(+NOMINA!AA376,2)</f>
        <v>34.659999999999997</v>
      </c>
      <c r="S424" s="1108">
        <f>ROUND(+NOMINA!AB376,2)</f>
        <v>130</v>
      </c>
      <c r="T424" s="1108">
        <f>ROUND(+NOMINA!AC376,2)</f>
        <v>12.5</v>
      </c>
      <c r="U424" s="1108">
        <f>ROUND(+NOMINA!AD376,2)</f>
        <v>0</v>
      </c>
      <c r="V424" s="1108">
        <f>ROUND(NOMINA!AQ376,2)</f>
        <v>0</v>
      </c>
      <c r="W424" s="1108">
        <f>+NOMINA!AS376</f>
        <v>0</v>
      </c>
      <c r="X424" s="1108">
        <f>+NOMINA!AT376</f>
        <v>12.5</v>
      </c>
      <c r="Y424" s="1108">
        <f>+NOMINA!AU376</f>
        <v>329.15999999999997</v>
      </c>
      <c r="Z424" s="1108">
        <f>+NOMINA!BX376</f>
        <v>617.17999999999995</v>
      </c>
      <c r="AA424" s="1108">
        <f>+NOMINA!BY376</f>
        <v>0</v>
      </c>
      <c r="AB424" s="1108">
        <f t="shared" si="27"/>
        <v>617.17999999999995</v>
      </c>
      <c r="AD424" s="625"/>
      <c r="AH424" s="1467" t="str">
        <f>NOMINA!P376</f>
        <v>01020373260000442516</v>
      </c>
    </row>
    <row r="425" spans="1:34" s="620" customFormat="1" ht="19.5" customHeight="1" thickBot="1" x14ac:dyDescent="0.25">
      <c r="A425" s="758"/>
      <c r="B425" s="759">
        <f t="shared" si="28"/>
        <v>74</v>
      </c>
      <c r="C425" s="1102">
        <f>NOMINA!C377</f>
        <v>18096032</v>
      </c>
      <c r="D425" s="1103" t="str">
        <f>NOMINA!D377</f>
        <v>Graterol Graterol Isidro Antonio</v>
      </c>
      <c r="E425" s="1461" t="s">
        <v>4622</v>
      </c>
      <c r="F425" s="1110">
        <v>32351</v>
      </c>
      <c r="G425" s="1461" t="s">
        <v>4620</v>
      </c>
      <c r="H425" s="1442">
        <f>NOMINA!H377</f>
        <v>45566</v>
      </c>
      <c r="I425" s="1105">
        <f>NOMINA!I375</f>
        <v>4</v>
      </c>
      <c r="J425" s="1106">
        <f>NOMINA!J375</f>
        <v>6</v>
      </c>
      <c r="K425" s="1105">
        <f t="shared" si="26"/>
        <v>10</v>
      </c>
      <c r="L425" s="1106" t="s">
        <v>4932</v>
      </c>
      <c r="M425" s="1106"/>
      <c r="N425" s="1443" t="str">
        <f>NOMINA!O377</f>
        <v>Chofer</v>
      </c>
      <c r="O425" s="1106">
        <v>1.02087691000006E+18</v>
      </c>
      <c r="P425" s="1107">
        <f>ROUND(+NOMINA!T377,2)</f>
        <v>161</v>
      </c>
      <c r="Q425" s="1108">
        <v>0</v>
      </c>
      <c r="R425" s="1108">
        <f>ROUND(+NOMINA!AA377,2)</f>
        <v>31.56</v>
      </c>
      <c r="S425" s="1108">
        <f>ROUND(+NOMINA!AB377,2)</f>
        <v>130</v>
      </c>
      <c r="T425" s="1108">
        <f>ROUND(+NOMINA!AC377,2)</f>
        <v>25</v>
      </c>
      <c r="U425" s="1108">
        <f>ROUND(+NOMINA!AD377,2)</f>
        <v>0</v>
      </c>
      <c r="V425" s="1108">
        <f>ROUND(NOMINA!AQ377,2)</f>
        <v>0</v>
      </c>
      <c r="W425" s="1108">
        <f>+NOMINA!AS377</f>
        <v>0</v>
      </c>
      <c r="X425" s="1108">
        <f>+NOMINA!AT377</f>
        <v>0</v>
      </c>
      <c r="Y425" s="1108">
        <f>+NOMINA!AU377</f>
        <v>451.83</v>
      </c>
      <c r="Z425" s="1108">
        <f>+NOMINA!BX377</f>
        <v>158.85</v>
      </c>
      <c r="AA425" s="1108">
        <f>+NOMINA!BY377</f>
        <v>0</v>
      </c>
      <c r="AB425" s="1108">
        <f t="shared" si="27"/>
        <v>158.85</v>
      </c>
      <c r="AD425" s="625"/>
      <c r="AH425" s="1467" t="str">
        <f>NOMINA!P377</f>
        <v>01020758460000003573</v>
      </c>
    </row>
    <row r="426" spans="1:34" s="620" customFormat="1" ht="19.5" customHeight="1" thickBot="1" x14ac:dyDescent="0.25">
      <c r="A426" s="758"/>
      <c r="B426" s="759">
        <f t="shared" si="28"/>
        <v>75</v>
      </c>
      <c r="C426" s="1102">
        <f>NOMINA!C378</f>
        <v>18096338</v>
      </c>
      <c r="D426" s="1103" t="str">
        <f>NOMINA!D378</f>
        <v>Ramirez Manzanilla Jose Jesus</v>
      </c>
      <c r="E426" s="1461" t="s">
        <v>4622</v>
      </c>
      <c r="F426" s="1110">
        <v>32351</v>
      </c>
      <c r="G426" s="1461" t="s">
        <v>4620</v>
      </c>
      <c r="H426" s="1442">
        <f>NOMINA!H378</f>
        <v>39463</v>
      </c>
      <c r="I426" s="1105">
        <f>NOMINA!I376</f>
        <v>18</v>
      </c>
      <c r="J426" s="1106">
        <f>NOMINA!J376</f>
        <v>0</v>
      </c>
      <c r="K426" s="1105">
        <f t="shared" si="26"/>
        <v>18</v>
      </c>
      <c r="L426" s="1106" t="s">
        <v>4932</v>
      </c>
      <c r="M426" s="1106"/>
      <c r="N426" s="1443" t="str">
        <f>NOMINA!O378</f>
        <v>Cocinero</v>
      </c>
      <c r="O426" s="1106">
        <v>1.02087691000006E+18</v>
      </c>
      <c r="P426" s="1107">
        <f>ROUND(+NOMINA!T378,2)</f>
        <v>171</v>
      </c>
      <c r="Q426" s="1108">
        <v>0</v>
      </c>
      <c r="R426" s="1108">
        <f>ROUND(+NOMINA!AA378,2)</f>
        <v>44.46</v>
      </c>
      <c r="S426" s="1108">
        <f>ROUND(+NOMINA!AB378,2)</f>
        <v>130</v>
      </c>
      <c r="T426" s="1108">
        <f>ROUND(+NOMINA!AC378,2)</f>
        <v>12.5</v>
      </c>
      <c r="U426" s="1108">
        <f>ROUND(+NOMINA!AD378,2)</f>
        <v>0</v>
      </c>
      <c r="V426" s="1108">
        <f>ROUND(NOMINA!AQ378,2)</f>
        <v>0</v>
      </c>
      <c r="W426" s="1108">
        <f>+NOMINA!AS378</f>
        <v>0</v>
      </c>
      <c r="X426" s="1108">
        <f>+NOMINA!AT378</f>
        <v>0</v>
      </c>
      <c r="Y426" s="1108">
        <f>+NOMINA!AU378</f>
        <v>357.96000000000004</v>
      </c>
      <c r="Z426" s="1108">
        <f>+NOMINA!BX378</f>
        <v>671.18</v>
      </c>
      <c r="AA426" s="1108">
        <f>+NOMINA!BY378</f>
        <v>0</v>
      </c>
      <c r="AB426" s="1108">
        <f t="shared" si="27"/>
        <v>671.18</v>
      </c>
      <c r="AD426" s="625"/>
      <c r="AH426" s="1467" t="str">
        <f>NOMINA!P378</f>
        <v>01020373220000441630</v>
      </c>
    </row>
    <row r="427" spans="1:34" s="620" customFormat="1" ht="19.5" customHeight="1" thickBot="1" x14ac:dyDescent="0.25">
      <c r="A427" s="758"/>
      <c r="B427" s="759">
        <f t="shared" si="28"/>
        <v>76</v>
      </c>
      <c r="C427" s="1102">
        <f>NOMINA!C379</f>
        <v>18350780</v>
      </c>
      <c r="D427" s="1103" t="str">
        <f>NOMINA!D379</f>
        <v>Frias Aldana Giovanny Jacinto</v>
      </c>
      <c r="E427" s="1461" t="s">
        <v>4622</v>
      </c>
      <c r="F427" s="1110">
        <v>32351</v>
      </c>
      <c r="G427" s="1461" t="s">
        <v>4620</v>
      </c>
      <c r="H427" s="1442">
        <f>NOMINA!H379</f>
        <v>43116</v>
      </c>
      <c r="I427" s="1105">
        <f>NOMINA!I377</f>
        <v>0</v>
      </c>
      <c r="J427" s="1106">
        <f>NOMINA!J377</f>
        <v>16</v>
      </c>
      <c r="K427" s="1105">
        <f t="shared" si="26"/>
        <v>16</v>
      </c>
      <c r="L427" s="1106" t="s">
        <v>4932</v>
      </c>
      <c r="M427" s="1106"/>
      <c r="N427" s="1443" t="str">
        <f>NOMINA!O379</f>
        <v>Vigilante</v>
      </c>
      <c r="O427" s="1106">
        <v>1.02087691000006E+18</v>
      </c>
      <c r="P427" s="1107">
        <f>ROUND(+NOMINA!T379,2)</f>
        <v>171</v>
      </c>
      <c r="Q427" s="1108">
        <v>0</v>
      </c>
      <c r="R427" s="1108">
        <f>ROUND(+NOMINA!AA379,2)</f>
        <v>12.65</v>
      </c>
      <c r="S427" s="1108">
        <f>ROUND(+NOMINA!AB379,2)</f>
        <v>130</v>
      </c>
      <c r="T427" s="1108">
        <f>ROUND(+NOMINA!AC379,2)</f>
        <v>12.5</v>
      </c>
      <c r="U427" s="1108">
        <f>ROUND(+NOMINA!AD379,2)</f>
        <v>0</v>
      </c>
      <c r="V427" s="1108">
        <f>ROUND(NOMINA!AQ379,2)</f>
        <v>0</v>
      </c>
      <c r="W427" s="1108">
        <f>+NOMINA!AS379</f>
        <v>0</v>
      </c>
      <c r="X427" s="1108">
        <f>+NOMINA!AT379</f>
        <v>0</v>
      </c>
      <c r="Y427" s="1108">
        <f>+NOMINA!AU379</f>
        <v>424</v>
      </c>
      <c r="Z427" s="1108">
        <f>+NOMINA!BX379</f>
        <v>795</v>
      </c>
      <c r="AA427" s="1108">
        <f>+NOMINA!BY379</f>
        <v>0</v>
      </c>
      <c r="AB427" s="1108">
        <f t="shared" si="27"/>
        <v>795</v>
      </c>
      <c r="AD427" s="625"/>
      <c r="AH427" s="1467" t="str">
        <f>NOMINA!P379</f>
        <v>01020373280000525734</v>
      </c>
    </row>
    <row r="428" spans="1:34" s="620" customFormat="1" ht="19.5" customHeight="1" thickBot="1" x14ac:dyDescent="0.25">
      <c r="A428" s="758"/>
      <c r="B428" s="759">
        <f t="shared" si="28"/>
        <v>77</v>
      </c>
      <c r="C428" s="1102">
        <f>NOMINA!C380</f>
        <v>18456167</v>
      </c>
      <c r="D428" s="1103" t="str">
        <f>NOMINA!D380</f>
        <v>Olmos Linares Luis Alberto</v>
      </c>
      <c r="E428" s="1461" t="s">
        <v>4622</v>
      </c>
      <c r="F428" s="1110">
        <v>32351</v>
      </c>
      <c r="G428" s="1461" t="s">
        <v>4620</v>
      </c>
      <c r="H428" s="1442">
        <f>NOMINA!H380</f>
        <v>44516</v>
      </c>
      <c r="I428" s="1105">
        <f>NOMINA!I378</f>
        <v>17</v>
      </c>
      <c r="J428" s="1106">
        <f>NOMINA!J378</f>
        <v>3</v>
      </c>
      <c r="K428" s="1105">
        <f t="shared" si="26"/>
        <v>20</v>
      </c>
      <c r="L428" s="1106" t="s">
        <v>4932</v>
      </c>
      <c r="M428" s="1106"/>
      <c r="N428" s="1443" t="str">
        <f>NOMINA!O380</f>
        <v>Cocinero</v>
      </c>
      <c r="O428" s="1106">
        <v>1.02087691000006E+18</v>
      </c>
      <c r="P428" s="1107">
        <f>ROUND(+NOMINA!T380,2)</f>
        <v>171</v>
      </c>
      <c r="Q428" s="1108">
        <v>0</v>
      </c>
      <c r="R428" s="1108">
        <f>ROUND(+NOMINA!AA380,2)</f>
        <v>5.13</v>
      </c>
      <c r="S428" s="1108">
        <f>ROUND(+NOMINA!AB380,2)</f>
        <v>130</v>
      </c>
      <c r="T428" s="1108">
        <f>ROUND(+NOMINA!AC380,2)</f>
        <v>25</v>
      </c>
      <c r="U428" s="1108">
        <f>ROUND(+NOMINA!AD380,2)</f>
        <v>0</v>
      </c>
      <c r="V428" s="1108">
        <f>ROUND(NOMINA!AQ380,2)</f>
        <v>0</v>
      </c>
      <c r="W428" s="1108">
        <f>+NOMINA!AS380</f>
        <v>0</v>
      </c>
      <c r="X428" s="1108">
        <f>+NOMINA!AT380</f>
        <v>25</v>
      </c>
      <c r="Y428" s="1108">
        <f>+NOMINA!AU380</f>
        <v>331.13</v>
      </c>
      <c r="Z428" s="1108">
        <f>+NOMINA!BX380</f>
        <v>620.87</v>
      </c>
      <c r="AA428" s="1108">
        <f>+NOMINA!BY380</f>
        <v>0</v>
      </c>
      <c r="AB428" s="1108">
        <f t="shared" si="27"/>
        <v>620.87</v>
      </c>
      <c r="AD428" s="625"/>
      <c r="AH428" s="1467" t="str">
        <f>NOMINA!P380</f>
        <v>01020373220000845155</v>
      </c>
    </row>
    <row r="429" spans="1:34" s="620" customFormat="1" ht="19.5" customHeight="1" thickBot="1" x14ac:dyDescent="0.25">
      <c r="A429" s="758"/>
      <c r="B429" s="759">
        <f t="shared" si="28"/>
        <v>78</v>
      </c>
      <c r="C429" s="1102">
        <f>NOMINA!C382</f>
        <v>20039961</v>
      </c>
      <c r="D429" s="1103" t="str">
        <f>NOMINA!D382</f>
        <v>Torres Villarreal Lisbeth Carolina</v>
      </c>
      <c r="E429" s="1461" t="s">
        <v>4622</v>
      </c>
      <c r="F429" s="1110">
        <v>32351</v>
      </c>
      <c r="G429" s="1461" t="s">
        <v>4620</v>
      </c>
      <c r="H429" s="1442">
        <f>NOMINA!H382</f>
        <v>38412</v>
      </c>
      <c r="I429" s="1105">
        <f>NOMINA!I379</f>
        <v>7</v>
      </c>
      <c r="J429" s="1106">
        <f>NOMINA!J379</f>
        <v>0</v>
      </c>
      <c r="K429" s="1105">
        <f t="shared" si="26"/>
        <v>7</v>
      </c>
      <c r="L429" s="1106" t="s">
        <v>4932</v>
      </c>
      <c r="M429" s="1106"/>
      <c r="N429" s="1443" t="str">
        <f>NOMINA!O382</f>
        <v>Aseadora</v>
      </c>
      <c r="O429" s="1106">
        <v>1.02087691000006E+18</v>
      </c>
      <c r="P429" s="1107">
        <f>ROUND(+NOMINA!T382,2)</f>
        <v>130</v>
      </c>
      <c r="Q429" s="1108">
        <v>0</v>
      </c>
      <c r="R429" s="1108">
        <f>ROUND(+NOMINA!AA382,2)</f>
        <v>33.799999999999997</v>
      </c>
      <c r="S429" s="1108">
        <f>ROUND(+NOMINA!AB382,2)</f>
        <v>130</v>
      </c>
      <c r="T429" s="1108">
        <f>ROUND(+NOMINA!AC382,2)</f>
        <v>25</v>
      </c>
      <c r="U429" s="1108">
        <f>ROUND(+NOMINA!AD382,2)</f>
        <v>0</v>
      </c>
      <c r="V429" s="1108">
        <f>ROUND(NOMINA!AQ382,2)</f>
        <v>0</v>
      </c>
      <c r="W429" s="1108">
        <f>+NOMINA!AS382</f>
        <v>0</v>
      </c>
      <c r="X429" s="1108">
        <f>+NOMINA!AT382</f>
        <v>0</v>
      </c>
      <c r="Y429" s="1108">
        <f>+NOMINA!AU382</f>
        <v>318.8</v>
      </c>
      <c r="Z429" s="1108">
        <f>+NOMINA!BX382</f>
        <v>597.75</v>
      </c>
      <c r="AA429" s="1108">
        <f>+NOMINA!BY382</f>
        <v>0</v>
      </c>
      <c r="AB429" s="1108">
        <f t="shared" si="27"/>
        <v>597.75</v>
      </c>
      <c r="AD429" s="625"/>
      <c r="AH429" s="1467" t="str">
        <f>NOMINA!P382</f>
        <v>01020373230000441876</v>
      </c>
    </row>
    <row r="430" spans="1:34" s="620" customFormat="1" ht="19.5" customHeight="1" thickBot="1" x14ac:dyDescent="0.25">
      <c r="A430" s="758"/>
      <c r="B430" s="759">
        <f t="shared" si="28"/>
        <v>79</v>
      </c>
      <c r="C430" s="1102">
        <f>NOMINA!C383</f>
        <v>20040649</v>
      </c>
      <c r="D430" s="1103" t="str">
        <f>NOMINA!D383</f>
        <v>Isarra Materan Jose de La Paz</v>
      </c>
      <c r="E430" s="1461" t="s">
        <v>4622</v>
      </c>
      <c r="F430" s="1110">
        <v>32351</v>
      </c>
      <c r="G430" s="1461" t="s">
        <v>4620</v>
      </c>
      <c r="H430" s="1442">
        <f>NOMINA!H383</f>
        <v>44743</v>
      </c>
      <c r="I430" s="1105">
        <f>NOMINA!I380</f>
        <v>3</v>
      </c>
      <c r="J430" s="1106">
        <f>NOMINA!J380</f>
        <v>0</v>
      </c>
      <c r="K430" s="1105">
        <f t="shared" si="26"/>
        <v>3</v>
      </c>
      <c r="L430" s="1106" t="s">
        <v>4932</v>
      </c>
      <c r="M430" s="1106"/>
      <c r="N430" s="1443" t="str">
        <f>NOMINA!O383</f>
        <v>Chofer</v>
      </c>
      <c r="O430" s="1106">
        <v>1.02087691000006E+18</v>
      </c>
      <c r="P430" s="1107">
        <f>ROUND(+NOMINA!T383,2)</f>
        <v>161</v>
      </c>
      <c r="Q430" s="1108">
        <v>0</v>
      </c>
      <c r="R430" s="1108">
        <f>ROUND(+NOMINA!AA383,2)</f>
        <v>4.83</v>
      </c>
      <c r="S430" s="1108">
        <f>ROUND(+NOMINA!AB383,2)</f>
        <v>130</v>
      </c>
      <c r="T430" s="1108">
        <f>ROUND(+NOMINA!AC383,2)</f>
        <v>25</v>
      </c>
      <c r="U430" s="1108">
        <f>ROUND(+NOMINA!AD383,2)</f>
        <v>0</v>
      </c>
      <c r="V430" s="1108">
        <f>ROUND(NOMINA!AQ383,2)</f>
        <v>0</v>
      </c>
      <c r="W430" s="1108">
        <f>+NOMINA!AS383</f>
        <v>0</v>
      </c>
      <c r="X430" s="1108">
        <f>+NOMINA!AT383</f>
        <v>0</v>
      </c>
      <c r="Y430" s="1108">
        <f>+NOMINA!AU383</f>
        <v>417.08000000000004</v>
      </c>
      <c r="Z430" s="1108">
        <f>+NOMINA!BX383</f>
        <v>782.03</v>
      </c>
      <c r="AA430" s="1108">
        <f>+NOMINA!BY383</f>
        <v>0</v>
      </c>
      <c r="AB430" s="1108">
        <f t="shared" si="27"/>
        <v>782.03</v>
      </c>
      <c r="AD430" s="625"/>
      <c r="AH430" s="1467" t="str">
        <f>NOMINA!P383</f>
        <v>01020261260000181699</v>
      </c>
    </row>
    <row r="431" spans="1:34" s="620" customFormat="1" ht="19.5" customHeight="1" thickBot="1" x14ac:dyDescent="0.25">
      <c r="A431" s="758"/>
      <c r="B431" s="759">
        <f t="shared" si="28"/>
        <v>80</v>
      </c>
      <c r="C431" s="1102">
        <f>NOMINA!C385</f>
        <v>21366579</v>
      </c>
      <c r="D431" s="1103" t="str">
        <f>NOMINA!D385</f>
        <v>Azuaje Espinoza Erick Enrique</v>
      </c>
      <c r="E431" s="1461" t="s">
        <v>4622</v>
      </c>
      <c r="F431" s="1110">
        <v>32351</v>
      </c>
      <c r="G431" s="1461" t="s">
        <v>4620</v>
      </c>
      <c r="H431" s="1442">
        <f>NOMINA!H385</f>
        <v>44774</v>
      </c>
      <c r="I431" s="1105">
        <f>NOMINA!I382</f>
        <v>20</v>
      </c>
      <c r="J431" s="1106">
        <f>NOMINA!J382</f>
        <v>0</v>
      </c>
      <c r="K431" s="1105">
        <f t="shared" si="26"/>
        <v>20</v>
      </c>
      <c r="L431" s="1106" t="s">
        <v>4932</v>
      </c>
      <c r="M431" s="1106"/>
      <c r="N431" s="1443" t="str">
        <f>NOMINA!O385</f>
        <v>Mensajero</v>
      </c>
      <c r="O431" s="1106">
        <v>1.02087691000006E+18</v>
      </c>
      <c r="P431" s="1107">
        <f>ROUND(+NOMINA!T385,2)</f>
        <v>142</v>
      </c>
      <c r="Q431" s="1108">
        <v>0</v>
      </c>
      <c r="R431" s="1108">
        <f>ROUND(+NOMINA!AA385,2)</f>
        <v>4.26</v>
      </c>
      <c r="S431" s="1108">
        <f>ROUND(+NOMINA!AB385,2)</f>
        <v>130</v>
      </c>
      <c r="T431" s="1108">
        <f>ROUND(+NOMINA!AC385,2)</f>
        <v>12.5</v>
      </c>
      <c r="U431" s="1108">
        <f>ROUND(+NOMINA!AD385,2)</f>
        <v>0</v>
      </c>
      <c r="V431" s="1108">
        <f>ROUND(NOMINA!AQ385,2)</f>
        <v>0</v>
      </c>
      <c r="W431" s="1108">
        <f>+NOMINA!AS385</f>
        <v>0</v>
      </c>
      <c r="X431" s="1108">
        <f>+NOMINA!AT385</f>
        <v>12.5</v>
      </c>
      <c r="Y431" s="1108">
        <f>+NOMINA!AU385</f>
        <v>288.76</v>
      </c>
      <c r="Z431" s="1108">
        <f>+NOMINA!BX385</f>
        <v>541.42999999999995</v>
      </c>
      <c r="AA431" s="1108">
        <f>+NOMINA!BY385</f>
        <v>0</v>
      </c>
      <c r="AB431" s="1108">
        <f t="shared" si="27"/>
        <v>541.42999999999995</v>
      </c>
      <c r="AD431" s="625"/>
      <c r="AH431" s="1467" t="str">
        <f>NOMINA!P385</f>
        <v>01020747980000545675</v>
      </c>
    </row>
    <row r="432" spans="1:34" s="620" customFormat="1" ht="19.5" customHeight="1" thickBot="1" x14ac:dyDescent="0.25">
      <c r="A432" s="758"/>
      <c r="B432" s="759">
        <f t="shared" si="28"/>
        <v>81</v>
      </c>
      <c r="C432" s="1102">
        <f>NOMINA!C386</f>
        <v>23594381</v>
      </c>
      <c r="D432" s="1103" t="str">
        <f>NOMINA!D386</f>
        <v>Albornoz Montilla Daniel Enrique</v>
      </c>
      <c r="E432" s="1461" t="s">
        <v>4622</v>
      </c>
      <c r="F432" s="1110">
        <v>32351</v>
      </c>
      <c r="G432" s="1461" t="s">
        <v>4620</v>
      </c>
      <c r="H432" s="1442">
        <f>NOMINA!H386</f>
        <v>45597</v>
      </c>
      <c r="I432" s="1105">
        <f>NOMINA!I383</f>
        <v>3</v>
      </c>
      <c r="J432" s="1106">
        <f>NOMINA!J383</f>
        <v>0</v>
      </c>
      <c r="K432" s="1105">
        <f t="shared" si="26"/>
        <v>3</v>
      </c>
      <c r="L432" s="1106" t="s">
        <v>4932</v>
      </c>
      <c r="M432" s="1106"/>
      <c r="N432" s="1443" t="str">
        <f>NOMINA!O386</f>
        <v>Ayudante de Servicios Generales</v>
      </c>
      <c r="O432" s="1106">
        <v>1.02087691000006E+18</v>
      </c>
      <c r="P432" s="1107">
        <f>ROUND(+NOMINA!T386,2)</f>
        <v>142</v>
      </c>
      <c r="Q432" s="1108">
        <v>0</v>
      </c>
      <c r="R432" s="1108">
        <f>ROUND(+NOMINA!AA386,2)</f>
        <v>0</v>
      </c>
      <c r="S432" s="1108">
        <f>ROUND(+NOMINA!AB386,2)</f>
        <v>130</v>
      </c>
      <c r="T432" s="1108">
        <f>ROUND(+NOMINA!AC386,2)</f>
        <v>0</v>
      </c>
      <c r="U432" s="1108">
        <f>ROUND(+NOMINA!AD386,2)</f>
        <v>0</v>
      </c>
      <c r="V432" s="1108">
        <f>ROUND(NOMINA!AQ386,2)</f>
        <v>0</v>
      </c>
      <c r="W432" s="1108">
        <f>+NOMINA!AS386</f>
        <v>0</v>
      </c>
      <c r="X432" s="1108">
        <f>+NOMINA!AT386</f>
        <v>0</v>
      </c>
      <c r="Y432" s="1108">
        <f>+NOMINA!AU386</f>
        <v>272</v>
      </c>
      <c r="Z432" s="1108">
        <f>+NOMINA!BX386</f>
        <v>81.849999999999994</v>
      </c>
      <c r="AA432" s="1108">
        <f>+NOMINA!BY386</f>
        <v>0</v>
      </c>
      <c r="AB432" s="1108">
        <f t="shared" si="27"/>
        <v>81.849999999999994</v>
      </c>
      <c r="AD432" s="625"/>
      <c r="AH432" s="1467" t="str">
        <f>NOMINA!P386</f>
        <v>01020373260001424287</v>
      </c>
    </row>
    <row r="433" spans="1:34" s="620" customFormat="1" ht="19.5" customHeight="1" thickBot="1" x14ac:dyDescent="0.25">
      <c r="A433" s="758"/>
      <c r="B433" s="759">
        <f t="shared" si="28"/>
        <v>82</v>
      </c>
      <c r="C433" s="1102">
        <f>NOMINA!C387</f>
        <v>25173228</v>
      </c>
      <c r="D433" s="1103" t="str">
        <f>NOMINA!D387</f>
        <v>Davila Sanchez Eduar Alexander</v>
      </c>
      <c r="E433" s="1461" t="s">
        <v>4622</v>
      </c>
      <c r="F433" s="1110">
        <v>32351</v>
      </c>
      <c r="G433" s="1461" t="s">
        <v>4620</v>
      </c>
      <c r="H433" s="1442">
        <f>NOMINA!H387</f>
        <v>44531</v>
      </c>
      <c r="I433" s="1105">
        <f>NOMINA!I385</f>
        <v>3</v>
      </c>
      <c r="J433" s="1106">
        <f>NOMINA!J385</f>
        <v>0</v>
      </c>
      <c r="K433" s="1105">
        <f t="shared" si="26"/>
        <v>3</v>
      </c>
      <c r="L433" s="1106" t="s">
        <v>4932</v>
      </c>
      <c r="M433" s="1106"/>
      <c r="N433" s="1443" t="str">
        <f>NOMINA!O387</f>
        <v>Ayudante de Servicios Generales</v>
      </c>
      <c r="O433" s="1106">
        <v>1.02087691000006E+18</v>
      </c>
      <c r="P433" s="1107">
        <f>ROUND(+NOMINA!T387,2)</f>
        <v>152</v>
      </c>
      <c r="Q433" s="1108">
        <v>0</v>
      </c>
      <c r="R433" s="1108">
        <f>ROUND(+NOMINA!AA387,2)</f>
        <v>4.5599999999999996</v>
      </c>
      <c r="S433" s="1108">
        <f>ROUND(+NOMINA!AB387,2)</f>
        <v>130</v>
      </c>
      <c r="T433" s="1108">
        <f>ROUND(+NOMINA!AC387,2)</f>
        <v>25</v>
      </c>
      <c r="U433" s="1108">
        <f>ROUND(+NOMINA!AD387,2)</f>
        <v>0</v>
      </c>
      <c r="V433" s="1108">
        <f>ROUND(NOMINA!AQ387,2)</f>
        <v>0</v>
      </c>
      <c r="W433" s="1108">
        <f>+NOMINA!AS387</f>
        <v>0</v>
      </c>
      <c r="X433" s="1108">
        <f>+NOMINA!AT387</f>
        <v>25</v>
      </c>
      <c r="Y433" s="1108">
        <f>+NOMINA!AU387</f>
        <v>405.03</v>
      </c>
      <c r="Z433" s="1108">
        <f>+NOMINA!BX387</f>
        <v>759.43</v>
      </c>
      <c r="AA433" s="1108">
        <f>+NOMINA!BY387</f>
        <v>0</v>
      </c>
      <c r="AB433" s="1108">
        <f t="shared" si="27"/>
        <v>759.43</v>
      </c>
      <c r="AD433" s="625"/>
      <c r="AH433" s="1467" t="str">
        <f>NOMINA!P387</f>
        <v>01020369410000550576</v>
      </c>
    </row>
    <row r="434" spans="1:34" s="620" customFormat="1" ht="19.5" customHeight="1" thickBot="1" x14ac:dyDescent="0.25">
      <c r="A434" s="758"/>
      <c r="B434" s="759">
        <f t="shared" si="28"/>
        <v>83</v>
      </c>
      <c r="C434" s="1102">
        <f>NOMINA!C388</f>
        <v>25631811</v>
      </c>
      <c r="D434" s="1103" t="str">
        <f>NOMINA!D388</f>
        <v>Barrios Briceño Christian Xavier</v>
      </c>
      <c r="E434" s="1461" t="s">
        <v>4622</v>
      </c>
      <c r="F434" s="1110">
        <v>32351</v>
      </c>
      <c r="G434" s="1461" t="s">
        <v>4620</v>
      </c>
      <c r="H434" s="1442">
        <f>NOMINA!H388</f>
        <v>44440</v>
      </c>
      <c r="I434" s="1105">
        <f>NOMINA!I386</f>
        <v>0</v>
      </c>
      <c r="J434" s="1106">
        <f>NOMINA!J386</f>
        <v>0</v>
      </c>
      <c r="K434" s="1105">
        <f t="shared" si="26"/>
        <v>0</v>
      </c>
      <c r="L434" s="1106" t="s">
        <v>4932</v>
      </c>
      <c r="M434" s="1106"/>
      <c r="N434" s="1443" t="str">
        <f>NOMINA!O388</f>
        <v>Cocinero</v>
      </c>
      <c r="O434" s="1106">
        <v>1.02087691000006E+18</v>
      </c>
      <c r="P434" s="1107">
        <f>ROUND(+NOMINA!T388,2)</f>
        <v>171</v>
      </c>
      <c r="Q434" s="1108">
        <v>0</v>
      </c>
      <c r="R434" s="1108">
        <f>ROUND(+NOMINA!AA388,2)</f>
        <v>6.84</v>
      </c>
      <c r="S434" s="1108">
        <f>ROUND(+NOMINA!AB388,2)</f>
        <v>130</v>
      </c>
      <c r="T434" s="1108">
        <f>ROUND(+NOMINA!AC388,2)</f>
        <v>0</v>
      </c>
      <c r="U434" s="1108">
        <f>ROUND(+NOMINA!AD388,2)</f>
        <v>0</v>
      </c>
      <c r="V434" s="1108">
        <f>ROUND(NOMINA!AQ388,2)</f>
        <v>0</v>
      </c>
      <c r="W434" s="1108">
        <f>+NOMINA!AS388</f>
        <v>0</v>
      </c>
      <c r="X434" s="1108">
        <f>+NOMINA!AT388</f>
        <v>0</v>
      </c>
      <c r="Y434" s="1108">
        <f>+NOMINA!AU388</f>
        <v>307.84000000000003</v>
      </c>
      <c r="Z434" s="1108">
        <f>+NOMINA!BX388</f>
        <v>577.20000000000005</v>
      </c>
      <c r="AA434" s="1108">
        <f>+NOMINA!BY388</f>
        <v>0</v>
      </c>
      <c r="AB434" s="1108">
        <f t="shared" si="27"/>
        <v>577.20000000000005</v>
      </c>
      <c r="AD434" s="625"/>
      <c r="AH434" s="1467" t="str">
        <f>NOMINA!P388</f>
        <v>01020373280000814869</v>
      </c>
    </row>
    <row r="435" spans="1:34" s="620" customFormat="1" ht="19.5" customHeight="1" thickBot="1" x14ac:dyDescent="0.25">
      <c r="A435" s="758"/>
      <c r="B435" s="759">
        <f t="shared" si="28"/>
        <v>84</v>
      </c>
      <c r="C435" s="1102">
        <f>NOMINA!C389</f>
        <v>25919888</v>
      </c>
      <c r="D435" s="1103" t="str">
        <f>NOMINA!D389</f>
        <v>Rivero Lamus Ninoska del Valle</v>
      </c>
      <c r="E435" s="1461" t="s">
        <v>4622</v>
      </c>
      <c r="F435" s="1110">
        <v>32351</v>
      </c>
      <c r="G435" s="1461" t="s">
        <v>4620</v>
      </c>
      <c r="H435" s="1442">
        <f>NOMINA!H389</f>
        <v>44805</v>
      </c>
      <c r="I435" s="1105">
        <f>NOMINA!I387</f>
        <v>3</v>
      </c>
      <c r="J435" s="1106">
        <f>NOMINA!J387</f>
        <v>0</v>
      </c>
      <c r="K435" s="1105">
        <f t="shared" si="26"/>
        <v>3</v>
      </c>
      <c r="L435" s="1106" t="s">
        <v>4932</v>
      </c>
      <c r="M435" s="1106"/>
      <c r="N435" s="1443" t="str">
        <f>NOMINA!O389</f>
        <v>Aseadora</v>
      </c>
      <c r="O435" s="1106">
        <v>1.02087691000006E+18</v>
      </c>
      <c r="P435" s="1107">
        <f>ROUND(+NOMINA!T389,2)</f>
        <v>130</v>
      </c>
      <c r="Q435" s="1108">
        <v>0</v>
      </c>
      <c r="R435" s="1108">
        <f>ROUND(+NOMINA!AA389,2)</f>
        <v>3.9</v>
      </c>
      <c r="S435" s="1108">
        <f>ROUND(+NOMINA!AB389,2)</f>
        <v>130</v>
      </c>
      <c r="T435" s="1108">
        <f>ROUND(+NOMINA!AC389,2)</f>
        <v>25</v>
      </c>
      <c r="U435" s="1108">
        <f>ROUND(+NOMINA!AD389,2)</f>
        <v>0</v>
      </c>
      <c r="V435" s="1108">
        <f>ROUND(NOMINA!AQ389,2)</f>
        <v>0</v>
      </c>
      <c r="W435" s="1108">
        <f>+NOMINA!AS389</f>
        <v>0</v>
      </c>
      <c r="X435" s="1108">
        <f>+NOMINA!AT389</f>
        <v>0</v>
      </c>
      <c r="Y435" s="1108">
        <f>+NOMINA!AU389</f>
        <v>288.89999999999998</v>
      </c>
      <c r="Z435" s="1108">
        <f>+NOMINA!BX389</f>
        <v>541.69000000000005</v>
      </c>
      <c r="AA435" s="1108">
        <f>+NOMINA!BY389</f>
        <v>0</v>
      </c>
      <c r="AB435" s="1108">
        <f t="shared" si="27"/>
        <v>541.69000000000005</v>
      </c>
      <c r="AD435" s="625"/>
      <c r="AH435" s="1467" t="str">
        <f>NOMINA!P389</f>
        <v>01020747950000559263</v>
      </c>
    </row>
    <row r="436" spans="1:34" s="620" customFormat="1" ht="19.5" customHeight="1" thickBot="1" x14ac:dyDescent="0.25">
      <c r="A436" s="758"/>
      <c r="B436" s="759">
        <f t="shared" si="28"/>
        <v>85</v>
      </c>
      <c r="C436" s="1102">
        <f>NOMINA!C390</f>
        <v>26235670</v>
      </c>
      <c r="D436" s="1103" t="str">
        <f>NOMINA!D390</f>
        <v>Viloria Garcia Kieny Keyvit</v>
      </c>
      <c r="E436" s="1461" t="s">
        <v>4622</v>
      </c>
      <c r="F436" s="1110">
        <v>32351</v>
      </c>
      <c r="G436" s="1461" t="s">
        <v>4620</v>
      </c>
      <c r="H436" s="1442">
        <f>NOMINA!H390</f>
        <v>45597</v>
      </c>
      <c r="I436" s="1105">
        <f>NOMINA!I388</f>
        <v>4</v>
      </c>
      <c r="J436" s="1106">
        <f>NOMINA!J388</f>
        <v>0</v>
      </c>
      <c r="K436" s="1105">
        <f t="shared" si="26"/>
        <v>4</v>
      </c>
      <c r="L436" s="1106" t="s">
        <v>4932</v>
      </c>
      <c r="M436" s="1106"/>
      <c r="N436" s="1443" t="str">
        <f>NOMINA!O390</f>
        <v>Ayudante de Servicios Generales</v>
      </c>
      <c r="O436" s="1106">
        <v>1.02087691000006E+18</v>
      </c>
      <c r="P436" s="1107">
        <f>ROUND(+NOMINA!T390,2)</f>
        <v>142</v>
      </c>
      <c r="Q436" s="1108">
        <v>0</v>
      </c>
      <c r="R436" s="1108">
        <f>ROUND(+NOMINA!AA390,2)</f>
        <v>0</v>
      </c>
      <c r="S436" s="1108">
        <f>ROUND(+NOMINA!AB390,2)</f>
        <v>130</v>
      </c>
      <c r="T436" s="1108">
        <f>ROUND(+NOMINA!AC390,2)</f>
        <v>12.5</v>
      </c>
      <c r="U436" s="1108">
        <f>ROUND(+NOMINA!AD390,2)</f>
        <v>0</v>
      </c>
      <c r="V436" s="1108">
        <f>ROUND(NOMINA!AQ390,2)</f>
        <v>0</v>
      </c>
      <c r="W436" s="1108">
        <f>+NOMINA!AS390</f>
        <v>0</v>
      </c>
      <c r="X436" s="1108">
        <f>+NOMINA!AT390</f>
        <v>0</v>
      </c>
      <c r="Y436" s="1108">
        <f>+NOMINA!AU390</f>
        <v>284.5</v>
      </c>
      <c r="Z436" s="1108">
        <f>+NOMINA!BX390</f>
        <v>85.61</v>
      </c>
      <c r="AA436" s="1108">
        <f>+NOMINA!BY390</f>
        <v>0</v>
      </c>
      <c r="AB436" s="1108">
        <f t="shared" si="27"/>
        <v>85.61</v>
      </c>
      <c r="AD436" s="625"/>
      <c r="AH436" s="1467" t="str">
        <f>NOMINA!P390</f>
        <v>01020747950000398851</v>
      </c>
    </row>
    <row r="437" spans="1:34" s="620" customFormat="1" ht="19.5" customHeight="1" thickBot="1" x14ac:dyDescent="0.25">
      <c r="A437" s="758"/>
      <c r="B437" s="759">
        <f t="shared" si="28"/>
        <v>86</v>
      </c>
      <c r="C437" s="1102">
        <f>NOMINA!C391</f>
        <v>26482867</v>
      </c>
      <c r="D437" s="1103" t="str">
        <f>NOMINA!D391</f>
        <v>Valecillos Duran Brando Jose</v>
      </c>
      <c r="E437" s="1461" t="s">
        <v>4622</v>
      </c>
      <c r="F437" s="1110">
        <v>32351</v>
      </c>
      <c r="G437" s="1461" t="s">
        <v>4620</v>
      </c>
      <c r="H437" s="1442">
        <f>NOMINA!H391</f>
        <v>45078</v>
      </c>
      <c r="I437" s="1105">
        <f>NOMINA!I389</f>
        <v>3</v>
      </c>
      <c r="J437" s="1106">
        <f>NOMINA!J389</f>
        <v>0</v>
      </c>
      <c r="K437" s="1105">
        <f t="shared" si="26"/>
        <v>3</v>
      </c>
      <c r="L437" s="1106" t="s">
        <v>4932</v>
      </c>
      <c r="M437" s="1106"/>
      <c r="N437" s="1443" t="str">
        <f>NOMINA!O391</f>
        <v>Ayudante de Servicios Generales</v>
      </c>
      <c r="O437" s="1106">
        <v>1.02087691000006E+18</v>
      </c>
      <c r="P437" s="1107">
        <f>ROUND(+NOMINA!T391,2)</f>
        <v>152</v>
      </c>
      <c r="Q437" s="1108">
        <v>0</v>
      </c>
      <c r="R437" s="1108">
        <f>ROUND(+NOMINA!AA391,2)</f>
        <v>3.04</v>
      </c>
      <c r="S437" s="1108">
        <f>ROUND(+NOMINA!AB391,2)</f>
        <v>130</v>
      </c>
      <c r="T437" s="1108">
        <f>ROUND(+NOMINA!AC391,2)</f>
        <v>0</v>
      </c>
      <c r="U437" s="1108">
        <f>ROUND(+NOMINA!AD391,2)</f>
        <v>0</v>
      </c>
      <c r="V437" s="1108">
        <f>ROUND(NOMINA!AQ391,2)</f>
        <v>0</v>
      </c>
      <c r="W437" s="1108">
        <f>+NOMINA!AS391</f>
        <v>0</v>
      </c>
      <c r="X437" s="1108">
        <f>+NOMINA!AT391</f>
        <v>0</v>
      </c>
      <c r="Y437" s="1108">
        <f>+NOMINA!AU391</f>
        <v>285.03999999999996</v>
      </c>
      <c r="Z437" s="1108">
        <f>+NOMINA!BX391</f>
        <v>534.45000000000005</v>
      </c>
      <c r="AA437" s="1108">
        <f>+NOMINA!BY391</f>
        <v>0</v>
      </c>
      <c r="AB437" s="1108">
        <f t="shared" si="27"/>
        <v>534.45000000000005</v>
      </c>
      <c r="AD437" s="625"/>
      <c r="AH437" s="1467" t="str">
        <f>NOMINA!P391</f>
        <v>01020494170000556541</v>
      </c>
    </row>
    <row r="438" spans="1:34" s="620" customFormat="1" ht="19.5" customHeight="1" thickBot="1" x14ac:dyDescent="0.25">
      <c r="A438" s="758"/>
      <c r="B438" s="759">
        <f t="shared" si="28"/>
        <v>87</v>
      </c>
      <c r="C438" s="1102">
        <f>NOMINA!C392</f>
        <v>27415509</v>
      </c>
      <c r="D438" s="1103" t="str">
        <f>NOMINA!D392</f>
        <v>Barreto Rivero Luis Diego</v>
      </c>
      <c r="E438" s="1461" t="s">
        <v>4622</v>
      </c>
      <c r="F438" s="1110">
        <v>32351</v>
      </c>
      <c r="G438" s="1461" t="s">
        <v>4620</v>
      </c>
      <c r="H438" s="1442">
        <f>NOMINA!H392</f>
        <v>43678</v>
      </c>
      <c r="I438" s="1105">
        <f>NOMINA!I390</f>
        <v>0</v>
      </c>
      <c r="J438" s="1106">
        <f>NOMINA!J390</f>
        <v>0</v>
      </c>
      <c r="K438" s="1105">
        <f t="shared" si="26"/>
        <v>0</v>
      </c>
      <c r="L438" s="1106" t="s">
        <v>4932</v>
      </c>
      <c r="M438" s="1106"/>
      <c r="N438" s="1443" t="str">
        <f>NOMINA!O392</f>
        <v>Ayudante de Servicios Generales</v>
      </c>
      <c r="O438" s="1106">
        <v>1.02087691000006E+18</v>
      </c>
      <c r="P438" s="1107">
        <f>ROUND(+NOMINA!T392,2)</f>
        <v>152</v>
      </c>
      <c r="Q438" s="1108">
        <v>0</v>
      </c>
      <c r="R438" s="1108">
        <f>ROUND(+NOMINA!AA392,2)</f>
        <v>9.42</v>
      </c>
      <c r="S438" s="1108">
        <f>ROUND(+NOMINA!AB392,2)</f>
        <v>130</v>
      </c>
      <c r="T438" s="1108">
        <f>ROUND(+NOMINA!AC392,2)</f>
        <v>0</v>
      </c>
      <c r="U438" s="1108">
        <f>ROUND(+NOMINA!AD392,2)</f>
        <v>0</v>
      </c>
      <c r="V438" s="1108">
        <f>ROUND(NOMINA!AQ392,2)</f>
        <v>0</v>
      </c>
      <c r="W438" s="1108">
        <f>+NOMINA!AS392</f>
        <v>0</v>
      </c>
      <c r="X438" s="1108">
        <f>+NOMINA!AT392</f>
        <v>0</v>
      </c>
      <c r="Y438" s="1108">
        <f>+NOMINA!AU392</f>
        <v>291.41999999999996</v>
      </c>
      <c r="Z438" s="1108">
        <f>+NOMINA!BX392</f>
        <v>546.41</v>
      </c>
      <c r="AA438" s="1108">
        <f>+NOMINA!BY392</f>
        <v>0</v>
      </c>
      <c r="AB438" s="1108">
        <f t="shared" si="27"/>
        <v>546.41</v>
      </c>
      <c r="AD438" s="625"/>
      <c r="AH438" s="1467" t="str">
        <f>NOMINA!P392</f>
        <v>01020369460000565008</v>
      </c>
    </row>
    <row r="439" spans="1:34" s="620" customFormat="1" ht="19.5" customHeight="1" thickBot="1" x14ac:dyDescent="0.25">
      <c r="A439" s="758"/>
      <c r="B439" s="759">
        <f t="shared" si="28"/>
        <v>88</v>
      </c>
      <c r="C439" s="1102">
        <f>NOMINA!C393</f>
        <v>27470077</v>
      </c>
      <c r="D439" s="1103" t="str">
        <f>NOMINA!D393</f>
        <v>Gonzalez Castellanos Yusberly Yohandri</v>
      </c>
      <c r="E439" s="1461" t="s">
        <v>4622</v>
      </c>
      <c r="F439" s="1110">
        <v>32351</v>
      </c>
      <c r="G439" s="1461" t="s">
        <v>4620</v>
      </c>
      <c r="H439" s="1442">
        <f>NOMINA!H393</f>
        <v>44743</v>
      </c>
      <c r="I439" s="1105">
        <f>NOMINA!I391</f>
        <v>2</v>
      </c>
      <c r="J439" s="1106">
        <f>NOMINA!J391</f>
        <v>0</v>
      </c>
      <c r="K439" s="1105">
        <f t="shared" si="26"/>
        <v>2</v>
      </c>
      <c r="L439" s="1106" t="s">
        <v>4932</v>
      </c>
      <c r="M439" s="1106"/>
      <c r="N439" s="1443" t="str">
        <f>NOMINA!O393</f>
        <v>Aseadora</v>
      </c>
      <c r="O439" s="1106">
        <v>1.02087691000006E+18</v>
      </c>
      <c r="P439" s="1107">
        <f>ROUND(+NOMINA!T393,2)</f>
        <v>130</v>
      </c>
      <c r="Q439" s="1108">
        <v>0</v>
      </c>
      <c r="R439" s="1108">
        <f>ROUND(+NOMINA!AA393,2)</f>
        <v>3.9</v>
      </c>
      <c r="S439" s="1108">
        <f>ROUND(+NOMINA!AB393,2)</f>
        <v>130</v>
      </c>
      <c r="T439" s="1108">
        <f>ROUND(+NOMINA!AC393,2)</f>
        <v>12.5</v>
      </c>
      <c r="U439" s="1108">
        <f>ROUND(+NOMINA!AD393,2)</f>
        <v>0</v>
      </c>
      <c r="V439" s="1108">
        <f>ROUND(NOMINA!AQ393,2)</f>
        <v>0</v>
      </c>
      <c r="W439" s="1108">
        <f>+NOMINA!AS393</f>
        <v>0</v>
      </c>
      <c r="X439" s="1108">
        <f>+NOMINA!AT393</f>
        <v>0</v>
      </c>
      <c r="Y439" s="1108">
        <f>+NOMINA!AU393</f>
        <v>276.39999999999998</v>
      </c>
      <c r="Z439" s="1108">
        <f>+NOMINA!BX393</f>
        <v>518.25</v>
      </c>
      <c r="AA439" s="1108">
        <f>+NOMINA!BY393</f>
        <v>0</v>
      </c>
      <c r="AB439" s="1108">
        <f t="shared" si="27"/>
        <v>518.25</v>
      </c>
      <c r="AD439" s="625"/>
      <c r="AH439" s="1467" t="str">
        <f>NOMINA!P393</f>
        <v>01020747900000537395</v>
      </c>
    </row>
    <row r="440" spans="1:34" s="620" customFormat="1" ht="19.5" customHeight="1" thickBot="1" x14ac:dyDescent="0.25">
      <c r="A440" s="758"/>
      <c r="B440" s="759">
        <f t="shared" si="28"/>
        <v>89</v>
      </c>
      <c r="C440" s="1102" t="e">
        <f>NOMINA!#REF!</f>
        <v>#REF!</v>
      </c>
      <c r="D440" s="1103" t="e">
        <f>NOMINA!#REF!</f>
        <v>#REF!</v>
      </c>
      <c r="E440" s="1461" t="s">
        <v>4622</v>
      </c>
      <c r="F440" s="1110">
        <v>32351</v>
      </c>
      <c r="G440" s="1461" t="s">
        <v>4620</v>
      </c>
      <c r="H440" s="1442" t="e">
        <f>NOMINA!#REF!</f>
        <v>#REF!</v>
      </c>
      <c r="I440" s="1105">
        <f>NOMINA!I392</f>
        <v>6</v>
      </c>
      <c r="J440" s="1106">
        <f>NOMINA!J392</f>
        <v>0</v>
      </c>
      <c r="K440" s="1105">
        <f t="shared" si="26"/>
        <v>6</v>
      </c>
      <c r="L440" s="1106" t="s">
        <v>4932</v>
      </c>
      <c r="M440" s="1106"/>
      <c r="N440" s="1443" t="e">
        <f>NOMINA!#REF!</f>
        <v>#REF!</v>
      </c>
      <c r="O440" s="1106">
        <v>1.02087691000006E+18</v>
      </c>
      <c r="P440" s="1107" t="e">
        <f>ROUND(+NOMINA!#REF!,2)</f>
        <v>#REF!</v>
      </c>
      <c r="Q440" s="1108">
        <v>0</v>
      </c>
      <c r="R440" s="1108" t="e">
        <f>ROUND(+NOMINA!#REF!,2)</f>
        <v>#REF!</v>
      </c>
      <c r="S440" s="1108" t="e">
        <f>ROUND(+NOMINA!#REF!,2)</f>
        <v>#REF!</v>
      </c>
      <c r="T440" s="1108" t="e">
        <f>ROUND(+NOMINA!#REF!,2)</f>
        <v>#REF!</v>
      </c>
      <c r="U440" s="1108" t="e">
        <f>ROUND(+NOMINA!#REF!,2)</f>
        <v>#REF!</v>
      </c>
      <c r="V440" s="1108" t="e">
        <f>ROUND(NOMINA!#REF!,2)</f>
        <v>#REF!</v>
      </c>
      <c r="W440" s="1108" t="e">
        <f>+NOMINA!#REF!</f>
        <v>#REF!</v>
      </c>
      <c r="X440" s="1108" t="e">
        <f>+NOMINA!#REF!</f>
        <v>#REF!</v>
      </c>
      <c r="Y440" s="1108" t="e">
        <f>+NOMINA!#REF!</f>
        <v>#REF!</v>
      </c>
      <c r="Z440" s="1108" t="e">
        <f>+NOMINA!#REF!</f>
        <v>#REF!</v>
      </c>
      <c r="AA440" s="1108" t="e">
        <f>+NOMINA!#REF!</f>
        <v>#REF!</v>
      </c>
      <c r="AB440" s="1108" t="e">
        <f t="shared" si="27"/>
        <v>#REF!</v>
      </c>
      <c r="AD440" s="625"/>
      <c r="AH440" s="1467" t="e">
        <f>NOMINA!#REF!</f>
        <v>#REF!</v>
      </c>
    </row>
    <row r="441" spans="1:34" s="620" customFormat="1" ht="19.5" customHeight="1" thickBot="1" x14ac:dyDescent="0.25">
      <c r="A441" s="758"/>
      <c r="B441" s="759">
        <f t="shared" si="28"/>
        <v>90</v>
      </c>
      <c r="C441" s="1102">
        <f>NOMINA!C394</f>
        <v>29539270</v>
      </c>
      <c r="D441" s="1103" t="str">
        <f>NOMINA!D394</f>
        <v>Rojas Carrillo Laureano Augusto</v>
      </c>
      <c r="E441" s="1461" t="s">
        <v>4622</v>
      </c>
      <c r="F441" s="1110">
        <v>32351</v>
      </c>
      <c r="G441" s="1461" t="s">
        <v>4620</v>
      </c>
      <c r="H441" s="1442">
        <f>NOMINA!H394</f>
        <v>44287</v>
      </c>
      <c r="I441" s="1105">
        <f>NOMINA!I393</f>
        <v>3</v>
      </c>
      <c r="J441" s="1106">
        <f>NOMINA!J393</f>
        <v>0</v>
      </c>
      <c r="K441" s="1105">
        <f t="shared" si="26"/>
        <v>3</v>
      </c>
      <c r="L441" s="1106" t="s">
        <v>4932</v>
      </c>
      <c r="M441" s="1106"/>
      <c r="N441" s="1443" t="str">
        <f>NOMINA!O394</f>
        <v>Ayudante de Servicios Generales</v>
      </c>
      <c r="O441" s="1106">
        <v>1.02087691000006E+18</v>
      </c>
      <c r="P441" s="1107">
        <f>ROUND(+NOMINA!T394,2)</f>
        <v>152</v>
      </c>
      <c r="Q441" s="1108">
        <v>0</v>
      </c>
      <c r="R441" s="1108">
        <f>ROUND(+NOMINA!AA394,2)</f>
        <v>6.08</v>
      </c>
      <c r="S441" s="1108">
        <f>ROUND(+NOMINA!AB394,2)</f>
        <v>130</v>
      </c>
      <c r="T441" s="1108">
        <f>ROUND(+NOMINA!AC394,2)</f>
        <v>0</v>
      </c>
      <c r="U441" s="1108">
        <f>ROUND(+NOMINA!AD394,2)</f>
        <v>0</v>
      </c>
      <c r="V441" s="1108">
        <f>ROUND(NOMINA!AQ394,2)</f>
        <v>0</v>
      </c>
      <c r="W441" s="1108">
        <f>+NOMINA!AS394</f>
        <v>0</v>
      </c>
      <c r="X441" s="1108">
        <f>+NOMINA!AT394</f>
        <v>12.5</v>
      </c>
      <c r="Y441" s="1108">
        <f>+NOMINA!AU394</f>
        <v>288.08000000000004</v>
      </c>
      <c r="Z441" s="1108">
        <f>+NOMINA!BX394</f>
        <v>540.15</v>
      </c>
      <c r="AA441" s="1108">
        <f>+NOMINA!BY394</f>
        <v>0</v>
      </c>
      <c r="AB441" s="1108">
        <f t="shared" si="27"/>
        <v>540.15</v>
      </c>
      <c r="AD441" s="625"/>
      <c r="AH441" s="1467" t="str">
        <f>NOMINA!P394</f>
        <v>01020369480000637842</v>
      </c>
    </row>
    <row r="442" spans="1:34" s="620" customFormat="1" ht="19.5" customHeight="1" thickBot="1" x14ac:dyDescent="0.25">
      <c r="A442" s="758"/>
      <c r="B442" s="759">
        <f t="shared" si="28"/>
        <v>91</v>
      </c>
      <c r="C442" s="1102">
        <f>NOMINA!C395</f>
        <v>29994277</v>
      </c>
      <c r="D442" s="1103" t="str">
        <f>NOMINA!D395</f>
        <v>Quintero Rangel Jose Arsenio</v>
      </c>
      <c r="E442" s="1461" t="s">
        <v>4622</v>
      </c>
      <c r="F442" s="1110">
        <v>32351</v>
      </c>
      <c r="G442" s="1461" t="s">
        <v>4620</v>
      </c>
      <c r="H442" s="1442">
        <f>NOMINA!H395</f>
        <v>44562</v>
      </c>
      <c r="I442" s="1105" t="e">
        <f>NOMINA!#REF!</f>
        <v>#REF!</v>
      </c>
      <c r="J442" s="1106" t="e">
        <f>NOMINA!#REF!</f>
        <v>#REF!</v>
      </c>
      <c r="K442" s="1105" t="e">
        <f t="shared" si="26"/>
        <v>#REF!</v>
      </c>
      <c r="L442" s="1106" t="s">
        <v>4932</v>
      </c>
      <c r="M442" s="1106"/>
      <c r="N442" s="1443" t="str">
        <f>NOMINA!O395</f>
        <v>Ayudante de Servicios Generales</v>
      </c>
      <c r="O442" s="1106">
        <v>1.02087691000006E+18</v>
      </c>
      <c r="P442" s="1107">
        <f>ROUND(+NOMINA!T395,2)</f>
        <v>152</v>
      </c>
      <c r="Q442" s="1108">
        <v>0</v>
      </c>
      <c r="R442" s="1108">
        <f>ROUND(+NOMINA!AA395,2)</f>
        <v>4.5599999999999996</v>
      </c>
      <c r="S442" s="1108">
        <f>ROUND(+NOMINA!AB395,2)</f>
        <v>130</v>
      </c>
      <c r="T442" s="1108">
        <f>ROUND(+NOMINA!AC395,2)</f>
        <v>0</v>
      </c>
      <c r="U442" s="1108">
        <f>ROUND(+NOMINA!AD395,2)</f>
        <v>0</v>
      </c>
      <c r="V442" s="1108">
        <f>ROUND(NOMINA!AQ395,2)</f>
        <v>0</v>
      </c>
      <c r="W442" s="1108">
        <f>+NOMINA!AS395</f>
        <v>0</v>
      </c>
      <c r="X442" s="1108">
        <f>+NOMINA!AT395</f>
        <v>0</v>
      </c>
      <c r="Y442" s="1108">
        <f>+NOMINA!AU395</f>
        <v>286.56</v>
      </c>
      <c r="Z442" s="1108">
        <f>+NOMINA!BX395</f>
        <v>537.29999999999995</v>
      </c>
      <c r="AA442" s="1108">
        <f>+NOMINA!BY395</f>
        <v>0</v>
      </c>
      <c r="AB442" s="1108">
        <f t="shared" si="27"/>
        <v>537.29999999999995</v>
      </c>
      <c r="AD442" s="625"/>
      <c r="AH442" s="1467" t="str">
        <f>NOMINA!P395</f>
        <v>01020373280000573346</v>
      </c>
    </row>
    <row r="443" spans="1:34" s="620" customFormat="1" ht="19.5" customHeight="1" thickBot="1" x14ac:dyDescent="0.25">
      <c r="A443" s="758" t="s">
        <v>2846</v>
      </c>
      <c r="B443" s="759">
        <f t="shared" si="28"/>
        <v>92</v>
      </c>
      <c r="C443" s="1102">
        <f>NOMINA!C396</f>
        <v>32084560</v>
      </c>
      <c r="D443" s="1103" t="str">
        <f>NOMINA!D396</f>
        <v>Hernandez Gomez Carmen Elena</v>
      </c>
      <c r="E443" s="1461" t="s">
        <v>4622</v>
      </c>
      <c r="F443" s="1110">
        <v>32351</v>
      </c>
      <c r="G443" s="1461" t="s">
        <v>4620</v>
      </c>
      <c r="H443" s="1442">
        <f>NOMINA!H396</f>
        <v>44348</v>
      </c>
      <c r="I443" s="1105">
        <f>NOMINA!I394</f>
        <v>4</v>
      </c>
      <c r="J443" s="1106">
        <f>NOMINA!J394</f>
        <v>0</v>
      </c>
      <c r="K443" s="1105">
        <f t="shared" si="26"/>
        <v>4</v>
      </c>
      <c r="L443" s="1106" t="s">
        <v>4932</v>
      </c>
      <c r="M443" s="1106"/>
      <c r="N443" s="1443" t="str">
        <f>NOMINA!O396</f>
        <v xml:space="preserve">Cocinera </v>
      </c>
      <c r="O443" s="1106">
        <v>1.02087691000006E+18</v>
      </c>
      <c r="P443" s="1107">
        <f>ROUND(+NOMINA!T396,2)</f>
        <v>171</v>
      </c>
      <c r="Q443" s="1108">
        <v>0</v>
      </c>
      <c r="R443" s="1108">
        <f>ROUND(+NOMINA!AA396,2)</f>
        <v>6.84</v>
      </c>
      <c r="S443" s="1108">
        <f>ROUND(+NOMINA!AB396,2)</f>
        <v>130</v>
      </c>
      <c r="T443" s="1108">
        <f>ROUND(+NOMINA!AC396,2)</f>
        <v>12.5</v>
      </c>
      <c r="U443" s="1108">
        <f>ROUND(+NOMINA!AD396,2)</f>
        <v>0</v>
      </c>
      <c r="V443" s="1108">
        <f>ROUND(NOMINA!AQ396,2)</f>
        <v>0</v>
      </c>
      <c r="W443" s="1108">
        <f>+NOMINA!AS396</f>
        <v>0</v>
      </c>
      <c r="X443" s="1108">
        <f>+NOMINA!AT396</f>
        <v>0</v>
      </c>
      <c r="Y443" s="1108">
        <f>+NOMINA!AU396</f>
        <v>320.34000000000003</v>
      </c>
      <c r="Z443" s="1108">
        <f>+NOMINA!BX396</f>
        <v>600.64</v>
      </c>
      <c r="AA443" s="1108">
        <f>+NOMINA!BY396</f>
        <v>0</v>
      </c>
      <c r="AB443" s="1108">
        <f t="shared" si="27"/>
        <v>600.64</v>
      </c>
      <c r="AD443" s="625"/>
      <c r="AH443" s="1467" t="str">
        <f>NOMINA!P396</f>
        <v>01020373230000793906</v>
      </c>
    </row>
    <row r="444" spans="1:34" s="620" customFormat="1" ht="19.5" customHeight="1" thickBot="1" x14ac:dyDescent="0.3">
      <c r="A444" s="699"/>
      <c r="B444" s="667"/>
      <c r="C444" s="669" t="s">
        <v>4493</v>
      </c>
      <c r="D444" s="668"/>
      <c r="E444" s="668"/>
      <c r="F444" s="668"/>
      <c r="G444" s="668"/>
      <c r="H444" s="669"/>
      <c r="I444" s="668"/>
      <c r="J444" s="668"/>
      <c r="K444" s="668"/>
      <c r="L444" s="668"/>
      <c r="M444" s="668"/>
      <c r="N444" s="668"/>
      <c r="O444" s="668"/>
      <c r="P444" s="670" t="e">
        <f t="shared" ref="P444:AB444" si="29">SUM(P352:P443)</f>
        <v>#REF!</v>
      </c>
      <c r="Q444" s="670">
        <f t="shared" si="29"/>
        <v>0</v>
      </c>
      <c r="R444" s="670" t="e">
        <f t="shared" si="29"/>
        <v>#REF!</v>
      </c>
      <c r="S444" s="670" t="e">
        <f t="shared" si="29"/>
        <v>#REF!</v>
      </c>
      <c r="T444" s="670" t="e">
        <f t="shared" si="29"/>
        <v>#REF!</v>
      </c>
      <c r="U444" s="670" t="e">
        <f t="shared" si="29"/>
        <v>#REF!</v>
      </c>
      <c r="V444" s="670" t="e">
        <f t="shared" si="29"/>
        <v>#REF!</v>
      </c>
      <c r="W444" s="670" t="e">
        <f t="shared" si="29"/>
        <v>#REF!</v>
      </c>
      <c r="X444" s="670" t="e">
        <f t="shared" si="29"/>
        <v>#REF!</v>
      </c>
      <c r="Y444" s="670" t="e">
        <f t="shared" si="29"/>
        <v>#REF!</v>
      </c>
      <c r="Z444" s="670" t="e">
        <f t="shared" si="29"/>
        <v>#REF!</v>
      </c>
      <c r="AA444" s="670" t="e">
        <f t="shared" si="29"/>
        <v>#REF!</v>
      </c>
      <c r="AB444" s="1449" t="e">
        <f t="shared" si="29"/>
        <v>#REF!</v>
      </c>
      <c r="AC444" s="625"/>
      <c r="AD444" s="625"/>
      <c r="AH444" s="668"/>
    </row>
    <row r="445" spans="1:34" s="620" customFormat="1" x14ac:dyDescent="0.2">
      <c r="A445" s="1462"/>
      <c r="B445" s="619"/>
      <c r="D445" s="622"/>
      <c r="F445" s="622"/>
      <c r="G445" s="1462"/>
      <c r="H445" s="701"/>
      <c r="P445" s="619"/>
      <c r="Q445" s="619"/>
      <c r="R445" s="619"/>
      <c r="S445" s="619"/>
      <c r="T445" s="619"/>
      <c r="U445" s="619"/>
      <c r="V445" s="619"/>
      <c r="W445" s="732"/>
      <c r="X445" s="732"/>
      <c r="Y445" s="732"/>
      <c r="Z445" s="732"/>
      <c r="AA445" s="732"/>
      <c r="AD445" s="625"/>
      <c r="AH445" s="622"/>
    </row>
    <row r="446" spans="1:34" s="620" customFormat="1" ht="15.75" customHeight="1" thickBot="1" x14ac:dyDescent="0.25">
      <c r="A446" s="1462"/>
      <c r="B446" s="619"/>
      <c r="D446" s="622"/>
      <c r="F446" s="622"/>
      <c r="G446" s="1462"/>
      <c r="H446" s="701"/>
      <c r="P446" s="619"/>
      <c r="Q446" s="619"/>
      <c r="R446" s="619"/>
      <c r="S446" s="619"/>
      <c r="T446" s="619"/>
      <c r="U446" s="619"/>
      <c r="V446" s="619"/>
      <c r="W446" s="732"/>
      <c r="X446" s="732"/>
      <c r="Y446" s="732"/>
      <c r="Z446" s="732"/>
      <c r="AA446" s="732"/>
      <c r="AH446" s="622"/>
    </row>
    <row r="447" spans="1:34" s="702" customFormat="1" ht="28.5" customHeight="1" thickBot="1" x14ac:dyDescent="0.3">
      <c r="B447" s="759">
        <f ca="1">+B443+B335+B57+B14</f>
        <v>387</v>
      </c>
      <c r="C447" s="704"/>
      <c r="D447" s="705"/>
      <c r="E447" s="706"/>
      <c r="F447" s="705"/>
      <c r="G447" s="706"/>
      <c r="H447" s="1450" t="s">
        <v>2875</v>
      </c>
      <c r="I447" s="706"/>
      <c r="J447" s="706"/>
      <c r="K447" s="706"/>
      <c r="L447" s="706"/>
      <c r="M447" s="706"/>
      <c r="N447" s="813"/>
      <c r="O447" s="706"/>
      <c r="P447" s="708" t="e">
        <f>P15*0+P58+P336+P444</f>
        <v>#REF!</v>
      </c>
      <c r="Q447" s="708">
        <f t="shared" ref="Q447:AB447" si="30">Q15+Q58+Q336+Q444</f>
        <v>0</v>
      </c>
      <c r="R447" s="708" t="e">
        <f t="shared" si="30"/>
        <v>#REF!</v>
      </c>
      <c r="S447" s="708" t="e">
        <f t="shared" si="30"/>
        <v>#REF!</v>
      </c>
      <c r="T447" s="708" t="e">
        <f t="shared" si="30"/>
        <v>#REF!</v>
      </c>
      <c r="U447" s="708" t="e">
        <f t="shared" si="30"/>
        <v>#REF!</v>
      </c>
      <c r="V447" s="708" t="e">
        <f t="shared" si="30"/>
        <v>#REF!</v>
      </c>
      <c r="W447" s="708" t="e">
        <f t="shared" si="30"/>
        <v>#REF!</v>
      </c>
      <c r="X447" s="708" t="e">
        <f t="shared" si="30"/>
        <v>#REF!</v>
      </c>
      <c r="Y447" s="708" t="e">
        <f t="shared" si="30"/>
        <v>#REF!</v>
      </c>
      <c r="Z447" s="708" t="e">
        <f t="shared" si="30"/>
        <v>#REF!</v>
      </c>
      <c r="AA447" s="708" t="e">
        <f t="shared" si="30"/>
        <v>#REF!</v>
      </c>
      <c r="AB447" s="708" t="e">
        <f t="shared" si="30"/>
        <v>#REF!</v>
      </c>
      <c r="AC447" s="625"/>
      <c r="AD447" s="625"/>
    </row>
    <row r="448" spans="1:34" s="620" customFormat="1" ht="21.75" customHeight="1" x14ac:dyDescent="0.2">
      <c r="A448" s="1462"/>
      <c r="B448" s="619"/>
      <c r="D448" s="622"/>
      <c r="F448" s="622"/>
      <c r="G448" s="1462"/>
      <c r="H448" s="623"/>
      <c r="I448" s="1462"/>
      <c r="J448" s="1462"/>
      <c r="K448" s="1462"/>
      <c r="L448" s="1462"/>
      <c r="M448" s="1462"/>
      <c r="O448" s="1462"/>
      <c r="P448" s="624"/>
      <c r="Q448" s="624"/>
      <c r="R448" s="624"/>
      <c r="S448" s="624"/>
      <c r="T448" s="624"/>
      <c r="U448" s="624"/>
      <c r="V448" s="624"/>
      <c r="W448" s="732"/>
      <c r="X448" s="732"/>
      <c r="Y448" s="732"/>
      <c r="Z448" s="732"/>
      <c r="AA448" s="732"/>
      <c r="AB448" s="625"/>
    </row>
    <row r="449" spans="1:28" s="620" customFormat="1" x14ac:dyDescent="0.2">
      <c r="A449" s="1462"/>
      <c r="B449" s="711"/>
      <c r="C449" s="712"/>
      <c r="D449" s="713"/>
      <c r="F449" s="622"/>
      <c r="G449" s="1462"/>
      <c r="H449" s="701"/>
      <c r="P449" s="624"/>
      <c r="Q449" s="624"/>
      <c r="R449" s="624"/>
      <c r="S449" s="624"/>
      <c r="T449" s="624"/>
      <c r="U449" s="624"/>
      <c r="V449" s="624"/>
      <c r="W449" s="732"/>
      <c r="X449" s="732"/>
      <c r="Y449" s="732"/>
      <c r="Z449" s="732"/>
      <c r="AA449" s="732"/>
      <c r="AB449" s="625"/>
    </row>
    <row r="450" spans="1:28" s="620" customFormat="1" x14ac:dyDescent="0.2">
      <c r="A450" s="1462"/>
      <c r="B450" s="619"/>
      <c r="D450" s="622"/>
      <c r="F450" s="622"/>
      <c r="G450" s="1462"/>
      <c r="H450" s="623"/>
      <c r="I450" s="1462"/>
      <c r="J450" s="1462"/>
      <c r="K450" s="1462"/>
      <c r="L450" s="1462"/>
      <c r="M450" s="1462"/>
      <c r="P450" s="624"/>
      <c r="Q450" s="624"/>
      <c r="R450" s="624"/>
      <c r="S450" s="624"/>
      <c r="T450" s="624"/>
      <c r="U450" s="624"/>
      <c r="V450" s="624"/>
      <c r="W450" s="732"/>
      <c r="X450" s="732"/>
      <c r="Y450" s="732"/>
      <c r="Z450" s="732"/>
      <c r="AA450" s="732"/>
      <c r="AB450" s="625"/>
    </row>
    <row r="451" spans="1:28" s="620" customFormat="1" x14ac:dyDescent="0.2">
      <c r="A451" s="1462"/>
      <c r="C451" s="714"/>
      <c r="D451" s="726" t="s">
        <v>5833</v>
      </c>
      <c r="E451" s="716"/>
      <c r="F451" s="716"/>
      <c r="G451" s="716"/>
      <c r="I451" s="715"/>
      <c r="L451" s="716"/>
      <c r="M451" s="716"/>
      <c r="N451" s="716"/>
      <c r="O451" s="716"/>
      <c r="P451" s="717" t="s">
        <v>5834</v>
      </c>
      <c r="Q451" s="717" t="s">
        <v>5834</v>
      </c>
      <c r="R451" s="716"/>
      <c r="S451" s="716"/>
      <c r="T451" s="716"/>
      <c r="U451" s="814"/>
      <c r="V451" s="814"/>
      <c r="W451" s="716"/>
      <c r="X451" s="716"/>
      <c r="Y451" s="715" t="s">
        <v>5835</v>
      </c>
      <c r="Z451" s="715"/>
      <c r="AA451" s="715"/>
      <c r="AB451" s="625"/>
    </row>
    <row r="452" spans="1:28" s="620" customFormat="1" x14ac:dyDescent="0.2">
      <c r="A452" s="1462"/>
      <c r="B452" s="714"/>
      <c r="C452" s="714"/>
      <c r="D452" s="718"/>
      <c r="E452" s="716"/>
      <c r="F452" s="716"/>
      <c r="G452" s="716"/>
      <c r="I452" s="714"/>
      <c r="L452" s="716"/>
      <c r="M452" s="716"/>
      <c r="N452" s="719"/>
      <c r="O452" s="716"/>
      <c r="P452" s="719"/>
      <c r="Q452" s="719"/>
      <c r="R452" s="716"/>
      <c r="S452" s="716"/>
      <c r="T452" s="716"/>
      <c r="U452" s="719"/>
      <c r="V452" s="719"/>
      <c r="W452" s="716"/>
      <c r="X452" s="716"/>
      <c r="Y452" s="720"/>
      <c r="Z452" s="720"/>
      <c r="AA452" s="720"/>
      <c r="AB452" s="625"/>
    </row>
    <row r="453" spans="1:28" s="620" customFormat="1" x14ac:dyDescent="0.2">
      <c r="A453" s="1462"/>
      <c r="B453" s="721"/>
      <c r="C453" s="722"/>
      <c r="D453" s="723"/>
      <c r="E453" s="724"/>
      <c r="F453" s="724"/>
      <c r="G453" s="724"/>
      <c r="I453" s="721"/>
      <c r="L453" s="724"/>
      <c r="M453" s="724"/>
      <c r="N453" s="814"/>
      <c r="O453" s="724"/>
      <c r="P453" s="722"/>
      <c r="Q453" s="722"/>
      <c r="R453" s="724"/>
      <c r="S453" s="724"/>
      <c r="T453" s="724"/>
      <c r="U453" s="724"/>
      <c r="V453" s="724"/>
      <c r="W453" s="724"/>
      <c r="X453" s="724"/>
      <c r="Y453" s="715"/>
      <c r="Z453" s="715"/>
      <c r="AA453" s="715"/>
      <c r="AB453" s="625"/>
    </row>
    <row r="454" spans="1:28" s="620" customFormat="1" x14ac:dyDescent="0.2">
      <c r="A454" s="1462"/>
      <c r="B454" s="725" t="s">
        <v>6752</v>
      </c>
      <c r="C454" s="726"/>
      <c r="D454" s="724"/>
      <c r="E454" s="724"/>
      <c r="F454" s="724"/>
      <c r="G454" s="724"/>
      <c r="H454" s="725" t="s">
        <v>6116</v>
      </c>
      <c r="I454" s="725"/>
      <c r="L454" s="724"/>
      <c r="M454" s="724"/>
      <c r="N454" s="724"/>
      <c r="O454" s="724"/>
      <c r="P454" s="727" t="s">
        <v>5836</v>
      </c>
      <c r="Q454" s="727" t="s">
        <v>5836</v>
      </c>
      <c r="R454" s="724"/>
      <c r="S454" s="724"/>
      <c r="T454" s="724"/>
      <c r="U454" s="724"/>
      <c r="V454" s="724"/>
      <c r="W454" s="724"/>
      <c r="X454" s="724"/>
      <c r="Y454" s="715" t="s">
        <v>5847</v>
      </c>
      <c r="Z454" s="715"/>
      <c r="AA454" s="715"/>
      <c r="AB454" s="625"/>
    </row>
    <row r="455" spans="1:28" s="620" customFormat="1" x14ac:dyDescent="0.2">
      <c r="A455" s="1462"/>
      <c r="B455" s="725" t="s">
        <v>6753</v>
      </c>
      <c r="C455" s="726"/>
      <c r="D455" s="724"/>
      <c r="E455" s="724"/>
      <c r="F455" s="724"/>
      <c r="G455" s="724"/>
      <c r="H455" s="725" t="s">
        <v>6117</v>
      </c>
      <c r="I455" s="725"/>
      <c r="L455" s="724"/>
      <c r="M455" s="724"/>
      <c r="N455" s="724"/>
      <c r="O455" s="724"/>
      <c r="P455" s="727" t="s">
        <v>5838</v>
      </c>
      <c r="Q455" s="727" t="s">
        <v>5838</v>
      </c>
      <c r="R455" s="724"/>
      <c r="S455" s="724"/>
      <c r="T455" s="724"/>
      <c r="U455" s="724"/>
      <c r="V455" s="724"/>
      <c r="W455" s="724"/>
      <c r="X455" s="724"/>
      <c r="Y455" s="725" t="s">
        <v>5839</v>
      </c>
      <c r="Z455" s="725"/>
      <c r="AA455" s="725"/>
      <c r="AB455" s="625"/>
    </row>
    <row r="456" spans="1:28" s="620" customFormat="1" x14ac:dyDescent="0.2">
      <c r="A456" s="1462"/>
      <c r="B456" s="725" t="s">
        <v>5240</v>
      </c>
      <c r="C456" s="726"/>
      <c r="D456" s="724"/>
      <c r="E456" s="724"/>
      <c r="F456" s="724"/>
      <c r="G456" s="724"/>
      <c r="H456" s="725" t="s">
        <v>5261</v>
      </c>
      <c r="I456" s="725"/>
      <c r="L456" s="724"/>
      <c r="M456" s="724"/>
      <c r="N456" s="724"/>
      <c r="O456" s="724"/>
      <c r="P456" s="727" t="s">
        <v>5840</v>
      </c>
      <c r="Q456" s="727" t="s">
        <v>5840</v>
      </c>
      <c r="R456" s="724"/>
      <c r="S456" s="724"/>
      <c r="T456" s="724"/>
      <c r="U456" s="724"/>
      <c r="V456" s="724"/>
      <c r="W456" s="724"/>
      <c r="X456" s="724"/>
      <c r="Y456" s="715" t="s">
        <v>5841</v>
      </c>
      <c r="Z456" s="715"/>
      <c r="AA456" s="715"/>
      <c r="AB456" s="625"/>
    </row>
    <row r="457" spans="1:28" s="620" customFormat="1" x14ac:dyDescent="0.2">
      <c r="A457" s="1462"/>
      <c r="B457" s="619"/>
      <c r="D457" s="622"/>
      <c r="F457" s="622"/>
      <c r="G457" s="1462"/>
      <c r="H457" s="623"/>
      <c r="I457" s="1773"/>
      <c r="J457" s="1773"/>
      <c r="K457" s="1462"/>
      <c r="L457" s="1462"/>
      <c r="M457" s="1462"/>
      <c r="P457" s="624"/>
      <c r="Q457" s="624"/>
      <c r="R457" s="624"/>
      <c r="S457" s="624"/>
      <c r="T457" s="624"/>
      <c r="U457" s="624"/>
      <c r="V457" s="624"/>
      <c r="W457" s="732"/>
      <c r="X457" s="732"/>
      <c r="Y457" s="732"/>
      <c r="Z457" s="732"/>
      <c r="AA457" s="732"/>
      <c r="AB457" s="625"/>
    </row>
    <row r="458" spans="1:28" s="620" customFormat="1" x14ac:dyDescent="0.2">
      <c r="A458" s="1462"/>
      <c r="B458" s="619"/>
      <c r="D458" s="622"/>
      <c r="F458" s="622"/>
      <c r="G458" s="1462"/>
      <c r="H458" s="623"/>
      <c r="I458" s="1773"/>
      <c r="J458" s="1773"/>
      <c r="K458" s="1462"/>
      <c r="L458" s="1462"/>
      <c r="M458" s="1462"/>
      <c r="P458" s="624"/>
      <c r="Q458" s="624"/>
      <c r="R458" s="624"/>
      <c r="S458" s="624"/>
      <c r="T458" s="624"/>
      <c r="U458" s="624"/>
      <c r="V458" s="624"/>
      <c r="W458" s="732"/>
      <c r="X458" s="732"/>
      <c r="Y458" s="732"/>
      <c r="Z458" s="732"/>
      <c r="AA458" s="732"/>
      <c r="AB458" s="625"/>
    </row>
    <row r="459" spans="1:28" ht="12" x14ac:dyDescent="0.2">
      <c r="A459" s="265"/>
      <c r="B459" s="265"/>
      <c r="D459" s="265"/>
      <c r="F459" s="265"/>
      <c r="G459" s="265"/>
      <c r="H459" s="265"/>
      <c r="I459" s="265"/>
      <c r="J459" s="265"/>
      <c r="K459" s="265"/>
      <c r="L459" s="265"/>
      <c r="M459" s="265"/>
      <c r="P459" s="730"/>
      <c r="Q459" s="730"/>
      <c r="R459" s="265"/>
      <c r="S459" s="265"/>
      <c r="T459" s="265"/>
      <c r="U459" s="265"/>
      <c r="V459" s="265"/>
      <c r="W459" s="265"/>
      <c r="X459" s="265"/>
      <c r="Y459" s="265"/>
      <c r="Z459" s="265"/>
      <c r="AA459" s="265"/>
      <c r="AB459" s="265"/>
    </row>
    <row r="460" spans="1:28" ht="12" x14ac:dyDescent="0.2">
      <c r="A460" s="265"/>
      <c r="B460" s="265"/>
      <c r="D460" s="265"/>
      <c r="F460" s="265"/>
      <c r="G460" s="265"/>
      <c r="H460" s="265"/>
      <c r="I460" s="265"/>
      <c r="J460" s="265"/>
      <c r="K460" s="265"/>
      <c r="L460" s="265"/>
      <c r="M460" s="265"/>
      <c r="P460" s="730"/>
      <c r="Q460" s="730"/>
      <c r="R460" s="265"/>
      <c r="S460" s="265"/>
      <c r="T460" s="265"/>
      <c r="U460" s="265"/>
      <c r="V460" s="265"/>
      <c r="W460" s="265"/>
      <c r="X460" s="265"/>
      <c r="Y460" s="265"/>
      <c r="Z460" s="265"/>
      <c r="AA460" s="265"/>
      <c r="AB460" s="265"/>
    </row>
    <row r="461" spans="1:28" ht="12" x14ac:dyDescent="0.2">
      <c r="A461" s="265"/>
      <c r="B461" s="265"/>
      <c r="D461" s="265"/>
      <c r="F461" s="265"/>
      <c r="G461" s="265"/>
      <c r="H461" s="265"/>
      <c r="I461" s="265"/>
      <c r="J461" s="265"/>
      <c r="K461" s="265"/>
      <c r="L461" s="265"/>
      <c r="M461" s="265"/>
      <c r="P461" s="730"/>
      <c r="Q461" s="730"/>
      <c r="R461" s="265"/>
      <c r="S461" s="265"/>
      <c r="T461" s="265"/>
      <c r="U461" s="265"/>
      <c r="V461" s="265"/>
      <c r="W461" s="265"/>
      <c r="X461" s="265"/>
      <c r="Y461" s="265"/>
      <c r="Z461" s="265"/>
      <c r="AA461" s="265"/>
      <c r="AB461" s="265"/>
    </row>
    <row r="462" spans="1:28" ht="12" x14ac:dyDescent="0.2">
      <c r="A462" s="265"/>
      <c r="B462" s="265"/>
      <c r="D462" s="265"/>
      <c r="F462" s="265"/>
      <c r="G462" s="265"/>
      <c r="H462" s="265"/>
      <c r="I462" s="265"/>
      <c r="J462" s="265"/>
      <c r="K462" s="265"/>
      <c r="L462" s="265"/>
      <c r="M462" s="265"/>
      <c r="P462" s="730"/>
      <c r="Q462" s="730"/>
      <c r="R462" s="265"/>
      <c r="S462" s="265"/>
      <c r="T462" s="265"/>
      <c r="U462" s="265"/>
      <c r="V462" s="265"/>
      <c r="W462" s="265"/>
      <c r="X462" s="265"/>
      <c r="Y462" s="265"/>
      <c r="Z462" s="265"/>
      <c r="AA462" s="265"/>
      <c r="AB462" s="265"/>
    </row>
    <row r="463" spans="1:28" ht="12" x14ac:dyDescent="0.2">
      <c r="A463" s="265"/>
      <c r="B463" s="265"/>
      <c r="D463" s="265"/>
      <c r="F463" s="265"/>
      <c r="G463" s="265"/>
      <c r="H463" s="265"/>
      <c r="I463" s="265"/>
      <c r="J463" s="265"/>
      <c r="K463" s="265"/>
      <c r="L463" s="265"/>
      <c r="M463" s="265"/>
      <c r="P463" s="730"/>
      <c r="Q463" s="730"/>
      <c r="R463" s="265"/>
      <c r="S463" s="265"/>
      <c r="T463" s="265"/>
      <c r="U463" s="265"/>
      <c r="V463" s="265"/>
      <c r="W463" s="265"/>
      <c r="X463" s="265"/>
      <c r="Y463" s="265"/>
      <c r="Z463" s="265"/>
      <c r="AA463" s="265"/>
      <c r="AB463" s="265"/>
    </row>
    <row r="464" spans="1:28" ht="12" x14ac:dyDescent="0.2">
      <c r="A464" s="265"/>
      <c r="B464" s="265"/>
      <c r="D464" s="265"/>
      <c r="F464" s="265"/>
      <c r="G464" s="265"/>
      <c r="H464" s="265"/>
      <c r="I464" s="265"/>
      <c r="J464" s="265"/>
      <c r="K464" s="265"/>
      <c r="L464" s="265"/>
      <c r="M464" s="265"/>
      <c r="P464" s="730"/>
      <c r="Q464" s="730"/>
      <c r="R464" s="265"/>
      <c r="S464" s="265"/>
      <c r="T464" s="265"/>
      <c r="U464" s="265"/>
      <c r="V464" s="265"/>
      <c r="W464" s="265"/>
      <c r="X464" s="265"/>
      <c r="Y464" s="265"/>
      <c r="Z464" s="265"/>
      <c r="AA464" s="265"/>
      <c r="AB464" s="265"/>
    </row>
    <row r="465" spans="16:17" s="265" customFormat="1" ht="12" x14ac:dyDescent="0.2">
      <c r="P465" s="730"/>
      <c r="Q465" s="730"/>
    </row>
    <row r="466" spans="16:17" s="265" customFormat="1" ht="12" x14ac:dyDescent="0.2">
      <c r="P466" s="730"/>
      <c r="Q466" s="730"/>
    </row>
    <row r="467" spans="16:17" s="265" customFormat="1" ht="12" x14ac:dyDescent="0.2">
      <c r="P467" s="730"/>
      <c r="Q467" s="730"/>
    </row>
    <row r="468" spans="16:17" s="265" customFormat="1" ht="12" x14ac:dyDescent="0.2">
      <c r="P468" s="730"/>
      <c r="Q468" s="730"/>
    </row>
    <row r="469" spans="16:17" s="265" customFormat="1" ht="12" x14ac:dyDescent="0.2">
      <c r="P469" s="730"/>
      <c r="Q469" s="730"/>
    </row>
    <row r="470" spans="16:17" s="265" customFormat="1" ht="12" x14ac:dyDescent="0.2">
      <c r="P470" s="730"/>
      <c r="Q470" s="730"/>
    </row>
    <row r="471" spans="16:17" s="265" customFormat="1" ht="12" x14ac:dyDescent="0.2">
      <c r="P471" s="730"/>
      <c r="Q471" s="730"/>
    </row>
  </sheetData>
  <sheetProtection formatCells="0" formatColumns="0" formatRows="0" insertColumns="0" insertRows="0" deleteColumns="0" deleteRows="0" sort="0" autoFilter="0"/>
  <dataConsolidate/>
  <mergeCells count="5">
    <mergeCell ref="C9:J9"/>
    <mergeCell ref="L10:M10"/>
    <mergeCell ref="R10:S10"/>
    <mergeCell ref="I457:J457"/>
    <mergeCell ref="I458:J458"/>
  </mergeCells>
  <pageMargins left="0.39370078740157483" right="0" top="0.59055118110236227" bottom="0.59055118110236227" header="0.31496062992125984" footer="0.31496062992125984"/>
  <pageSetup paperSize="14" scale="48" orientation="landscape" r:id="rId1"/>
  <rowBreaks count="3" manualBreakCount="3">
    <brk id="31" min="1" max="45" man="1"/>
    <brk id="66" min="1" max="45" man="1"/>
    <brk id="350" min="1" max="4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A1:BC524"/>
  <sheetViews>
    <sheetView view="pageBreakPreview" topLeftCell="B11" zoomScale="85" zoomScaleNormal="60" zoomScaleSheetLayoutView="85" workbookViewId="0">
      <pane ySplit="1305" activePane="bottomLeft"/>
      <selection sqref="A1:F1"/>
      <selection pane="bottomLeft" activeCell="I9" sqref="I9"/>
    </sheetView>
  </sheetViews>
  <sheetFormatPr baseColWidth="10" defaultRowHeight="15" x14ac:dyDescent="0.2"/>
  <cols>
    <col min="1" max="1" width="16.5703125" style="594" hidden="1" customWidth="1"/>
    <col min="2" max="2" width="7.5703125" style="263" customWidth="1"/>
    <col min="3" max="3" width="16.140625" style="265" customWidth="1"/>
    <col min="4" max="4" width="50.7109375" style="728" customWidth="1"/>
    <col min="5" max="5" width="13.42578125" style="265" hidden="1" customWidth="1"/>
    <col min="6" max="6" width="17" style="728" hidden="1" customWidth="1"/>
    <col min="7" max="7" width="8.7109375" style="594" hidden="1" customWidth="1"/>
    <col min="8" max="8" width="17.5703125" style="729" customWidth="1"/>
    <col min="9" max="9" width="15" style="594" customWidth="1"/>
    <col min="10" max="10" width="15.28515625" style="594" customWidth="1"/>
    <col min="11" max="11" width="10.140625" style="594" customWidth="1"/>
    <col min="12" max="12" width="18.5703125" style="730" customWidth="1"/>
    <col min="13" max="13" width="15.140625" style="731" hidden="1" customWidth="1"/>
    <col min="14" max="14" width="12.85546875" style="731" hidden="1" customWidth="1"/>
    <col min="15" max="17" width="13.5703125" style="731" hidden="1" customWidth="1"/>
    <col min="18" max="18" width="16.140625" style="731" hidden="1" customWidth="1"/>
    <col min="19" max="24" width="14.28515625" style="731" hidden="1" customWidth="1"/>
    <col min="25" max="26" width="20.7109375" style="731" hidden="1" customWidth="1"/>
    <col min="27" max="27" width="19" style="731" hidden="1" customWidth="1"/>
    <col min="28" max="28" width="17.7109375" style="731" hidden="1" customWidth="1"/>
    <col min="29" max="30" width="14.28515625" style="731" hidden="1" customWidth="1"/>
    <col min="31" max="31" width="13.5703125" style="731" hidden="1" customWidth="1"/>
    <col min="32" max="32" width="14.7109375" style="265" customWidth="1"/>
    <col min="33" max="35" width="13.5703125" style="731" customWidth="1"/>
    <col min="36" max="41" width="11.42578125" style="265" customWidth="1"/>
    <col min="42" max="16384" width="11.42578125" style="265"/>
  </cols>
  <sheetData>
    <row r="1" spans="1:55" s="620" customFormat="1" ht="22.5" customHeight="1" x14ac:dyDescent="0.25">
      <c r="A1" s="920"/>
      <c r="B1" s="619"/>
      <c r="D1" s="621" t="str">
        <f>F9</f>
        <v>MARZO</v>
      </c>
      <c r="F1" s="622"/>
      <c r="G1" s="920"/>
      <c r="H1" s="623"/>
      <c r="I1" s="920"/>
      <c r="J1" s="920"/>
      <c r="K1" s="920"/>
      <c r="L1" s="624"/>
      <c r="M1" s="625"/>
      <c r="N1" s="625"/>
      <c r="O1" s="625"/>
      <c r="P1" s="625"/>
      <c r="Q1" s="625"/>
      <c r="R1" s="625"/>
      <c r="S1" s="625"/>
      <c r="T1" s="625"/>
      <c r="U1" s="625"/>
      <c r="V1" s="625"/>
      <c r="W1" s="625"/>
      <c r="X1" s="625"/>
      <c r="Y1" s="625"/>
      <c r="Z1" s="625"/>
      <c r="AA1" s="625"/>
      <c r="AB1" s="625"/>
      <c r="AC1" s="625"/>
      <c r="AD1" s="625"/>
      <c r="AE1" s="625"/>
      <c r="AG1" s="625"/>
      <c r="AH1" s="625"/>
      <c r="AI1" s="625"/>
    </row>
    <row r="2" spans="1:55" s="620" customFormat="1" hidden="1" x14ac:dyDescent="0.2">
      <c r="A2" s="920"/>
      <c r="B2" s="619"/>
      <c r="D2" s="622"/>
      <c r="F2" s="622"/>
      <c r="G2" s="920"/>
      <c r="H2" s="623"/>
      <c r="I2" s="920"/>
      <c r="J2" s="920"/>
      <c r="K2" s="920"/>
      <c r="L2" s="624"/>
      <c r="M2" s="625"/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G2" s="625"/>
      <c r="AH2" s="625"/>
      <c r="AI2" s="625"/>
    </row>
    <row r="3" spans="1:55" s="620" customFormat="1" hidden="1" x14ac:dyDescent="0.2">
      <c r="A3" s="920"/>
      <c r="B3" s="619"/>
      <c r="D3" s="622"/>
      <c r="F3" s="622"/>
      <c r="G3" s="920"/>
      <c r="H3" s="623"/>
      <c r="I3" s="920"/>
      <c r="J3" s="920"/>
      <c r="K3" s="920"/>
      <c r="L3" s="624"/>
      <c r="M3" s="625"/>
      <c r="N3" s="625"/>
      <c r="O3" s="625"/>
      <c r="P3" s="625"/>
      <c r="Q3" s="625"/>
      <c r="R3" s="625"/>
      <c r="S3" s="625"/>
      <c r="T3" s="625"/>
      <c r="U3" s="625"/>
      <c r="V3" s="625"/>
      <c r="W3" s="625"/>
      <c r="X3" s="625"/>
      <c r="Y3" s="625"/>
      <c r="Z3" s="625"/>
      <c r="AA3" s="625"/>
      <c r="AB3" s="625"/>
      <c r="AC3" s="625"/>
      <c r="AD3" s="625"/>
      <c r="AE3" s="625"/>
      <c r="AG3" s="625"/>
      <c r="AH3" s="625"/>
      <c r="AI3" s="625"/>
    </row>
    <row r="4" spans="1:55" s="620" customFormat="1" hidden="1" x14ac:dyDescent="0.2">
      <c r="A4" s="920"/>
      <c r="B4" s="619"/>
      <c r="D4" s="622"/>
      <c r="F4" s="622"/>
      <c r="G4" s="920"/>
      <c r="H4" s="623"/>
      <c r="I4" s="920"/>
      <c r="J4" s="920"/>
      <c r="K4" s="920"/>
      <c r="L4" s="624"/>
      <c r="M4" s="625"/>
      <c r="N4" s="625"/>
      <c r="O4" s="625"/>
      <c r="P4" s="625"/>
      <c r="Q4" s="625"/>
      <c r="R4" s="625"/>
      <c r="S4" s="625"/>
      <c r="T4" s="625"/>
      <c r="U4" s="625"/>
      <c r="V4" s="625"/>
      <c r="W4" s="625"/>
      <c r="X4" s="625"/>
      <c r="Y4" s="625"/>
      <c r="Z4" s="625"/>
      <c r="AA4" s="625"/>
      <c r="AB4" s="625"/>
      <c r="AC4" s="625"/>
      <c r="AD4" s="625"/>
      <c r="AE4" s="625"/>
      <c r="AG4" s="625"/>
      <c r="AH4" s="625"/>
      <c r="AI4" s="625"/>
    </row>
    <row r="5" spans="1:55" s="620" customFormat="1" x14ac:dyDescent="0.2">
      <c r="A5" s="920"/>
      <c r="B5" s="619"/>
      <c r="D5" s="622"/>
      <c r="F5" s="622"/>
      <c r="G5" s="920"/>
      <c r="H5" s="623"/>
      <c r="I5" s="920"/>
      <c r="J5" s="920"/>
      <c r="K5" s="920"/>
      <c r="L5" s="624"/>
      <c r="M5" s="625"/>
      <c r="N5" s="625"/>
      <c r="O5" s="625"/>
      <c r="P5" s="625"/>
      <c r="Q5" s="625"/>
      <c r="R5" s="625"/>
      <c r="S5" s="625"/>
      <c r="T5" s="625"/>
      <c r="U5" s="625"/>
      <c r="V5" s="625"/>
      <c r="W5" s="625"/>
      <c r="X5" s="625"/>
      <c r="Y5" s="625"/>
      <c r="Z5" s="625"/>
      <c r="AA5" s="625"/>
      <c r="AB5" s="625"/>
      <c r="AC5" s="625"/>
      <c r="AD5" s="625"/>
      <c r="AE5" s="625"/>
      <c r="AG5" s="625"/>
      <c r="AH5" s="625"/>
      <c r="AI5" s="625"/>
    </row>
    <row r="6" spans="1:55" s="620" customFormat="1" x14ac:dyDescent="0.2">
      <c r="A6" s="920"/>
      <c r="B6" s="619"/>
      <c r="D6" s="622"/>
      <c r="F6" s="622"/>
      <c r="G6" s="920"/>
      <c r="H6" s="623"/>
      <c r="I6" s="920"/>
      <c r="J6" s="920"/>
      <c r="K6" s="920"/>
      <c r="L6" s="624"/>
      <c r="M6" s="625"/>
      <c r="N6" s="625"/>
      <c r="O6" s="625"/>
      <c r="P6" s="625"/>
      <c r="Q6" s="625"/>
      <c r="R6" s="625"/>
      <c r="S6" s="625"/>
      <c r="T6" s="625"/>
      <c r="U6" s="625"/>
      <c r="V6" s="625"/>
      <c r="W6" s="625"/>
      <c r="X6" s="625"/>
      <c r="Y6" s="625"/>
      <c r="Z6" s="625"/>
      <c r="AA6" s="625"/>
      <c r="AB6" s="625"/>
      <c r="AC6" s="625"/>
      <c r="AD6" s="625"/>
      <c r="AE6" s="625"/>
      <c r="AG6" s="625"/>
      <c r="AH6" s="625"/>
      <c r="AI6" s="625"/>
    </row>
    <row r="7" spans="1:55" s="620" customFormat="1" ht="37.5" customHeight="1" x14ac:dyDescent="0.2">
      <c r="A7" s="920"/>
      <c r="B7" s="619"/>
      <c r="D7" s="622"/>
      <c r="F7" s="622"/>
      <c r="G7" s="920"/>
      <c r="H7" s="623"/>
      <c r="I7" s="920"/>
      <c r="J7" s="920"/>
      <c r="K7" s="920"/>
      <c r="L7" s="624"/>
      <c r="M7" s="625"/>
      <c r="N7" s="625"/>
      <c r="O7" s="625"/>
      <c r="P7" s="625"/>
      <c r="Q7" s="625"/>
      <c r="R7" s="625"/>
      <c r="S7" s="625"/>
      <c r="T7" s="625"/>
      <c r="U7" s="625"/>
      <c r="V7" s="625"/>
      <c r="W7" s="625"/>
      <c r="X7" s="625"/>
      <c r="Y7" s="625"/>
      <c r="Z7" s="625"/>
      <c r="AA7" s="625"/>
      <c r="AB7" s="625"/>
      <c r="AC7" s="625"/>
      <c r="AD7" s="625"/>
      <c r="AE7" s="625"/>
      <c r="AG7" s="625"/>
      <c r="AH7" s="625"/>
      <c r="AI7" s="625"/>
      <c r="BC7" s="626"/>
    </row>
    <row r="8" spans="1:55" s="620" customFormat="1" ht="21" customHeight="1" x14ac:dyDescent="0.2">
      <c r="A8" s="920"/>
      <c r="B8" s="619"/>
      <c r="D8" s="622"/>
      <c r="F8" s="622"/>
      <c r="G8" s="920"/>
      <c r="H8" s="623"/>
      <c r="I8" s="920"/>
      <c r="J8" s="920"/>
      <c r="K8" s="920"/>
      <c r="L8" s="624"/>
      <c r="M8" s="625"/>
      <c r="N8" s="625"/>
      <c r="O8" s="625"/>
      <c r="P8" s="625"/>
      <c r="Q8" s="625"/>
      <c r="R8" s="625"/>
      <c r="S8" s="625"/>
      <c r="T8" s="625"/>
      <c r="U8" s="625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G8" s="625"/>
      <c r="AH8" s="625"/>
      <c r="AI8" s="625"/>
      <c r="BC8" s="626"/>
    </row>
    <row r="9" spans="1:55" s="620" customFormat="1" ht="29.25" customHeight="1" thickBot="1" x14ac:dyDescent="0.35">
      <c r="A9" s="920"/>
      <c r="B9" s="619"/>
      <c r="C9" s="948" t="str">
        <f>+"MES DE "&amp;NOMINA!F9&amp;" "&amp;NOMINA!H9&amp;" - CESTA TICKET"</f>
        <v>MES DE SEPTIEMBRE 2025 - CESTA TICKET</v>
      </c>
      <c r="D9" s="949"/>
      <c r="E9" s="627" t="s">
        <v>4632</v>
      </c>
      <c r="F9" s="950" t="s">
        <v>2867</v>
      </c>
      <c r="G9" s="628" t="s">
        <v>4633</v>
      </c>
      <c r="H9" s="629" t="e">
        <f>#REF!</f>
        <v>#REF!</v>
      </c>
      <c r="I9" s="630"/>
      <c r="J9" s="630"/>
      <c r="K9" s="630"/>
      <c r="L9" s="624"/>
      <c r="M9" s="625"/>
      <c r="N9" s="625"/>
      <c r="O9" s="625"/>
      <c r="P9" s="625"/>
      <c r="Q9" s="625"/>
      <c r="R9" s="1774" t="s">
        <v>5502</v>
      </c>
      <c r="S9" s="1775"/>
      <c r="T9" s="1775"/>
      <c r="U9" s="1775"/>
      <c r="V9" s="1775"/>
      <c r="W9" s="1776"/>
      <c r="X9" s="631"/>
      <c r="Y9" s="631"/>
      <c r="Z9" s="631"/>
      <c r="AA9" s="631"/>
      <c r="AB9" s="631"/>
      <c r="AC9" s="631"/>
      <c r="AD9" s="631"/>
      <c r="AE9" s="625"/>
      <c r="AG9" s="625"/>
      <c r="AH9" s="625"/>
      <c r="AI9" s="625"/>
      <c r="BC9" s="626"/>
    </row>
    <row r="10" spans="1:55" s="633" customFormat="1" ht="27.75" customHeight="1" thickBot="1" x14ac:dyDescent="0.3">
      <c r="A10" s="632"/>
      <c r="B10" s="632"/>
      <c r="D10" s="634"/>
      <c r="F10" s="634"/>
      <c r="G10" s="632"/>
      <c r="H10" s="635"/>
      <c r="I10" s="632"/>
      <c r="J10" s="632"/>
      <c r="K10" s="632"/>
      <c r="L10" s="636">
        <v>2</v>
      </c>
      <c r="M10" s="637">
        <v>3</v>
      </c>
      <c r="N10" s="638">
        <v>4</v>
      </c>
      <c r="R10" s="951" t="s">
        <v>5491</v>
      </c>
      <c r="S10" s="639"/>
      <c r="T10" s="951" t="s">
        <v>5491</v>
      </c>
      <c r="U10" s="951" t="s">
        <v>5491</v>
      </c>
      <c r="V10" s="951"/>
      <c r="W10" s="951" t="s">
        <v>5491</v>
      </c>
      <c r="X10" s="951" t="s">
        <v>5491</v>
      </c>
      <c r="Y10" s="951" t="s">
        <v>5491</v>
      </c>
      <c r="Z10" s="640"/>
      <c r="AA10" s="640" t="s">
        <v>5491</v>
      </c>
      <c r="AB10" s="1777" t="s">
        <v>5492</v>
      </c>
      <c r="AC10" s="1777"/>
      <c r="AD10" s="641"/>
      <c r="BC10" s="642"/>
    </row>
    <row r="11" spans="1:55" s="620" customFormat="1" ht="63" customHeight="1" thickBot="1" x14ac:dyDescent="0.25">
      <c r="A11" s="643" t="s">
        <v>2840</v>
      </c>
      <c r="B11" s="644" t="s">
        <v>0</v>
      </c>
      <c r="C11" s="645" t="s">
        <v>2</v>
      </c>
      <c r="D11" s="646" t="s">
        <v>3</v>
      </c>
      <c r="E11" s="645" t="s">
        <v>4619</v>
      </c>
      <c r="F11" s="647" t="s">
        <v>4580</v>
      </c>
      <c r="G11" s="645" t="s">
        <v>4623</v>
      </c>
      <c r="H11" s="645" t="s">
        <v>4</v>
      </c>
      <c r="I11" s="645" t="s">
        <v>4625</v>
      </c>
      <c r="J11" s="645" t="s">
        <v>4624</v>
      </c>
      <c r="K11" s="645" t="s">
        <v>4574</v>
      </c>
      <c r="L11" s="648" t="s">
        <v>4661</v>
      </c>
      <c r="M11" s="649" t="s">
        <v>4568</v>
      </c>
      <c r="N11" s="648" t="s">
        <v>4569</v>
      </c>
      <c r="R11" s="650" t="s">
        <v>5493</v>
      </c>
      <c r="S11" s="651" t="s">
        <v>4637</v>
      </c>
      <c r="T11" s="650" t="s">
        <v>5494</v>
      </c>
      <c r="U11" s="650" t="s">
        <v>5495</v>
      </c>
      <c r="V11" s="650" t="s">
        <v>5830</v>
      </c>
      <c r="W11" s="650" t="s">
        <v>5497</v>
      </c>
      <c r="X11" s="650" t="s">
        <v>5831</v>
      </c>
      <c r="Y11" s="652" t="s">
        <v>5498</v>
      </c>
      <c r="Z11" s="653" t="s">
        <v>5832</v>
      </c>
      <c r="AA11" s="650" t="s">
        <v>5499</v>
      </c>
      <c r="AB11" s="654" t="s">
        <v>5494</v>
      </c>
      <c r="AC11" s="654" t="s">
        <v>5500</v>
      </c>
      <c r="AD11" s="650" t="s">
        <v>5501</v>
      </c>
      <c r="AE11" s="625"/>
      <c r="BC11" s="626"/>
    </row>
    <row r="12" spans="1:55" s="620" customFormat="1" ht="20.100000000000001" customHeight="1" x14ac:dyDescent="0.2">
      <c r="A12" s="655"/>
      <c r="B12" s="656" t="str">
        <f>+"ALTO NIVEL Y DIRECCION_"&amp;NOMINA!F9&amp;"_"&amp;NOMINA!H9&amp;"-CESTA TICKET"</f>
        <v>ALTO NIVEL Y DIRECCION_SEPTIEMBRE_2025-CESTA TICKET</v>
      </c>
      <c r="C12" s="657"/>
      <c r="D12" s="658"/>
      <c r="E12" s="659"/>
      <c r="F12" s="660"/>
      <c r="G12" s="659"/>
      <c r="H12" s="661"/>
      <c r="I12" s="662"/>
      <c r="J12" s="663"/>
      <c r="K12" s="662"/>
      <c r="L12" s="664"/>
      <c r="M12" s="665"/>
      <c r="N12" s="952"/>
      <c r="Q12" s="625"/>
      <c r="R12" s="953"/>
      <c r="S12" s="954"/>
      <c r="T12" s="953"/>
      <c r="U12" s="954"/>
      <c r="V12" s="955"/>
      <c r="W12" s="954"/>
      <c r="X12" s="956"/>
      <c r="Y12" s="956"/>
      <c r="Z12" s="956"/>
      <c r="AA12" s="954"/>
      <c r="AB12" s="954"/>
      <c r="AC12" s="954"/>
      <c r="AD12" s="954"/>
      <c r="AE12" s="625"/>
    </row>
    <row r="13" spans="1:55" s="620" customFormat="1" ht="18" customHeight="1" x14ac:dyDescent="0.2">
      <c r="A13" s="655" t="s">
        <v>2846</v>
      </c>
      <c r="B13" s="508">
        <v>1</v>
      </c>
      <c r="C13" s="957">
        <f>+NOMINA!C17</f>
        <v>11894534</v>
      </c>
      <c r="D13" s="958" t="str">
        <f>+NOMINA!D17</f>
        <v>Olmos Rodriguez Eberto de Jesus</v>
      </c>
      <c r="E13" s="955" t="s">
        <v>4622</v>
      </c>
      <c r="F13" s="959">
        <v>27081</v>
      </c>
      <c r="G13" s="955" t="s">
        <v>4620</v>
      </c>
      <c r="H13" s="960">
        <f>+NOMINA!H17</f>
        <v>40909</v>
      </c>
      <c r="I13" s="961">
        <f>+NOMINA!I17</f>
        <v>13</v>
      </c>
      <c r="J13" s="962">
        <f>+NOMINA!J17</f>
        <v>13</v>
      </c>
      <c r="K13" s="961">
        <f>+NOMINA!K17</f>
        <v>26</v>
      </c>
      <c r="L13" s="963">
        <f>+NOMINA!CA17</f>
        <v>6255</v>
      </c>
      <c r="M13" s="443" t="e">
        <f>#REF!+#REF!-#REF!</f>
        <v>#REF!</v>
      </c>
      <c r="N13" s="952" t="e">
        <f>ROUND((#REF!+#REF!+#REF!+#REF!+#REF!+#REF!+#REF!+#REF!),2)</f>
        <v>#REF!</v>
      </c>
      <c r="Q13" s="620" t="e">
        <f>SUM(#REF!)</f>
        <v>#REF!</v>
      </c>
      <c r="R13" s="953" t="e">
        <f>#REF!+#REF!-#REF!</f>
        <v>#REF!</v>
      </c>
      <c r="S13" s="954">
        <v>200</v>
      </c>
      <c r="T13" s="953" t="e">
        <f>#REF!+#REF!</f>
        <v>#REF!</v>
      </c>
      <c r="U13" s="954" t="e">
        <f>#REF!</f>
        <v>#REF!</v>
      </c>
      <c r="V13" s="955">
        <v>0</v>
      </c>
      <c r="W13" s="954" t="e">
        <f>#REF!</f>
        <v>#REF!</v>
      </c>
      <c r="X13" s="956" t="e">
        <f>#REF!+#REF!</f>
        <v>#REF!</v>
      </c>
      <c r="Y13" s="956" t="e">
        <f>#REF!+#REF!</f>
        <v>#REF!</v>
      </c>
      <c r="Z13" s="956"/>
      <c r="AA13" s="954" t="e">
        <f>#REF!</f>
        <v>#REF!</v>
      </c>
      <c r="AB13" s="954" t="e">
        <f>SUM(T13:AA13)</f>
        <v>#REF!</v>
      </c>
      <c r="AC13" s="954" t="e">
        <f>#REF!+#REF!</f>
        <v>#REF!</v>
      </c>
      <c r="AD13" s="954">
        <f t="shared" ref="AD13:AD37" si="0">L13</f>
        <v>6255</v>
      </c>
      <c r="AE13" s="625"/>
    </row>
    <row r="14" spans="1:55" s="620" customFormat="1" ht="18" customHeight="1" x14ac:dyDescent="0.2">
      <c r="A14" s="655" t="s">
        <v>2846</v>
      </c>
      <c r="B14" s="508">
        <f>B13+1</f>
        <v>2</v>
      </c>
      <c r="C14" s="957">
        <f>+NOMINA!C18</f>
        <v>12458942</v>
      </c>
      <c r="D14" s="958" t="str">
        <f>+NOMINA!D18</f>
        <v>Mendoza Mendoza Mirian del Milagro</v>
      </c>
      <c r="E14" s="955" t="s">
        <v>4622</v>
      </c>
      <c r="F14" s="959">
        <v>27081</v>
      </c>
      <c r="G14" s="955" t="s">
        <v>4620</v>
      </c>
      <c r="H14" s="960">
        <f>+NOMINA!H18</f>
        <v>44424</v>
      </c>
      <c r="I14" s="961">
        <f>+NOMINA!I18</f>
        <v>4</v>
      </c>
      <c r="J14" s="962">
        <f>+NOMINA!J18</f>
        <v>19</v>
      </c>
      <c r="K14" s="961">
        <f>+NOMINA!K18</f>
        <v>23</v>
      </c>
      <c r="L14" s="963">
        <f>+NOMINA!CA18</f>
        <v>6255</v>
      </c>
      <c r="M14" s="443" t="e">
        <f>#REF!+#REF!-#REF!</f>
        <v>#REF!</v>
      </c>
      <c r="N14" s="952" t="e">
        <f>ROUND((#REF!+#REF!+#REF!+#REF!+#REF!+#REF!+#REF!+#REF!),2)</f>
        <v>#REF!</v>
      </c>
      <c r="Q14" s="620" t="e">
        <f>SUM(#REF!)</f>
        <v>#REF!</v>
      </c>
      <c r="R14" s="953" t="e">
        <f>#REF!+#REF!-#REF!</f>
        <v>#REF!</v>
      </c>
      <c r="S14" s="954">
        <v>200</v>
      </c>
      <c r="T14" s="953" t="e">
        <f>#REF!+#REF!</f>
        <v>#REF!</v>
      </c>
      <c r="U14" s="954" t="e">
        <f>#REF!</f>
        <v>#REF!</v>
      </c>
      <c r="V14" s="955">
        <v>0</v>
      </c>
      <c r="W14" s="954" t="e">
        <f>#REF!</f>
        <v>#REF!</v>
      </c>
      <c r="X14" s="956" t="e">
        <f>#REF!+#REF!</f>
        <v>#REF!</v>
      </c>
      <c r="Y14" s="956" t="e">
        <f>#REF!+#REF!</f>
        <v>#REF!</v>
      </c>
      <c r="Z14" s="956"/>
      <c r="AA14" s="954" t="e">
        <f>#REF!</f>
        <v>#REF!</v>
      </c>
      <c r="AB14" s="954" t="e">
        <f t="shared" ref="AB14:AB37" si="1">SUM(T14:AA14)</f>
        <v>#REF!</v>
      </c>
      <c r="AC14" s="954" t="e">
        <f>#REF!+#REF!</f>
        <v>#REF!</v>
      </c>
      <c r="AD14" s="954">
        <f t="shared" si="0"/>
        <v>6255</v>
      </c>
      <c r="AE14" s="625"/>
    </row>
    <row r="15" spans="1:55" s="620" customFormat="1" ht="18" customHeight="1" x14ac:dyDescent="0.2">
      <c r="A15" s="655" t="s">
        <v>2846</v>
      </c>
      <c r="B15" s="508">
        <f t="shared" ref="B15:B37" si="2">B14+1</f>
        <v>3</v>
      </c>
      <c r="C15" s="957">
        <f>+NOMINA!C19</f>
        <v>8719807</v>
      </c>
      <c r="D15" s="958" t="str">
        <f>+NOMINA!D19</f>
        <v>Perez Saavedra Isabel Teresa</v>
      </c>
      <c r="E15" s="955" t="s">
        <v>4622</v>
      </c>
      <c r="F15" s="959">
        <v>27081</v>
      </c>
      <c r="G15" s="955" t="s">
        <v>4620</v>
      </c>
      <c r="H15" s="960">
        <f>+NOMINA!H19</f>
        <v>39874</v>
      </c>
      <c r="I15" s="961">
        <f>+NOMINA!I19</f>
        <v>16</v>
      </c>
      <c r="J15" s="962">
        <f>+NOMINA!J19</f>
        <v>4</v>
      </c>
      <c r="K15" s="961">
        <f>+NOMINA!K19</f>
        <v>20</v>
      </c>
      <c r="L15" s="963">
        <f>+NOMINA!CA19</f>
        <v>6255</v>
      </c>
      <c r="M15" s="443" t="e">
        <f>#REF!+#REF!-#REF!</f>
        <v>#REF!</v>
      </c>
      <c r="N15" s="952" t="e">
        <f>ROUND((#REF!+#REF!+#REF!+#REF!+#REF!+#REF!+#REF!+#REF!),2)</f>
        <v>#REF!</v>
      </c>
      <c r="Q15" s="620" t="e">
        <f>SUM(#REF!)</f>
        <v>#REF!</v>
      </c>
      <c r="R15" s="953" t="e">
        <f>#REF!+#REF!-#REF!</f>
        <v>#REF!</v>
      </c>
      <c r="S15" s="954">
        <v>200</v>
      </c>
      <c r="T15" s="953" t="e">
        <f>#REF!+#REF!</f>
        <v>#REF!</v>
      </c>
      <c r="U15" s="954" t="e">
        <f>#REF!</f>
        <v>#REF!</v>
      </c>
      <c r="V15" s="955">
        <v>0</v>
      </c>
      <c r="W15" s="954" t="e">
        <f>#REF!</f>
        <v>#REF!</v>
      </c>
      <c r="X15" s="956" t="e">
        <f>#REF!+#REF!</f>
        <v>#REF!</v>
      </c>
      <c r="Y15" s="956" t="e">
        <f>#REF!+#REF!</f>
        <v>#REF!</v>
      </c>
      <c r="Z15" s="956"/>
      <c r="AA15" s="954" t="e">
        <f>#REF!</f>
        <v>#REF!</v>
      </c>
      <c r="AB15" s="954" t="e">
        <f t="shared" si="1"/>
        <v>#REF!</v>
      </c>
      <c r="AC15" s="954" t="e">
        <f>#REF!+#REF!</f>
        <v>#REF!</v>
      </c>
      <c r="AD15" s="954">
        <f t="shared" si="0"/>
        <v>6255</v>
      </c>
      <c r="AE15" s="625"/>
    </row>
    <row r="16" spans="1:55" s="620" customFormat="1" ht="18" customHeight="1" x14ac:dyDescent="0.2">
      <c r="A16" s="655" t="s">
        <v>2846</v>
      </c>
      <c r="B16" s="508">
        <f t="shared" si="2"/>
        <v>4</v>
      </c>
      <c r="C16" s="957">
        <f>+NOMINA!C20</f>
        <v>10404528</v>
      </c>
      <c r="D16" s="958" t="str">
        <f>+NOMINA!D20</f>
        <v>Perez Castellano Javier Horacio</v>
      </c>
      <c r="E16" s="955" t="s">
        <v>4622</v>
      </c>
      <c r="F16" s="959">
        <v>27081</v>
      </c>
      <c r="G16" s="955" t="s">
        <v>4620</v>
      </c>
      <c r="H16" s="960">
        <f>+NOMINA!H20</f>
        <v>37622</v>
      </c>
      <c r="I16" s="961">
        <f>+NOMINA!I20</f>
        <v>22</v>
      </c>
      <c r="J16" s="962">
        <f>+NOMINA!J20</f>
        <v>0</v>
      </c>
      <c r="K16" s="961">
        <f>+NOMINA!K20</f>
        <v>22</v>
      </c>
      <c r="L16" s="963">
        <f>+NOMINA!CA20</f>
        <v>6255</v>
      </c>
      <c r="M16" s="443" t="e">
        <f>#REF!+#REF!-#REF!</f>
        <v>#REF!</v>
      </c>
      <c r="N16" s="952" t="e">
        <f>ROUND((#REF!+#REF!+#REF!+#REF!+#REF!+#REF!+#REF!+#REF!),2)</f>
        <v>#REF!</v>
      </c>
      <c r="Q16" s="620" t="e">
        <f>SUM(#REF!)</f>
        <v>#REF!</v>
      </c>
      <c r="R16" s="953" t="e">
        <f>#REF!+#REF!-#REF!</f>
        <v>#REF!</v>
      </c>
      <c r="S16" s="954">
        <v>200</v>
      </c>
      <c r="T16" s="953" t="e">
        <f>#REF!+#REF!</f>
        <v>#REF!</v>
      </c>
      <c r="U16" s="954" t="e">
        <f>#REF!</f>
        <v>#REF!</v>
      </c>
      <c r="V16" s="955">
        <v>0</v>
      </c>
      <c r="W16" s="954" t="e">
        <f>#REF!</f>
        <v>#REF!</v>
      </c>
      <c r="X16" s="956" t="e">
        <f>#REF!+#REF!</f>
        <v>#REF!</v>
      </c>
      <c r="Y16" s="956" t="e">
        <f>#REF!+#REF!</f>
        <v>#REF!</v>
      </c>
      <c r="Z16" s="956"/>
      <c r="AA16" s="954" t="e">
        <f>#REF!</f>
        <v>#REF!</v>
      </c>
      <c r="AB16" s="954" t="e">
        <f t="shared" si="1"/>
        <v>#REF!</v>
      </c>
      <c r="AC16" s="954" t="e">
        <f>#REF!+#REF!</f>
        <v>#REF!</v>
      </c>
      <c r="AD16" s="954">
        <f t="shared" si="0"/>
        <v>6255</v>
      </c>
      <c r="AE16" s="625"/>
    </row>
    <row r="17" spans="1:31" s="620" customFormat="1" ht="18" customHeight="1" x14ac:dyDescent="0.2">
      <c r="A17" s="655" t="s">
        <v>2846</v>
      </c>
      <c r="B17" s="508">
        <f t="shared" si="2"/>
        <v>5</v>
      </c>
      <c r="C17" s="957">
        <f>+NOMINA!C21</f>
        <v>9311822</v>
      </c>
      <c r="D17" s="958" t="str">
        <f>+NOMINA!D21</f>
        <v>Rojo Sanchez Alexis Omar</v>
      </c>
      <c r="E17" s="955" t="s">
        <v>4622</v>
      </c>
      <c r="F17" s="959">
        <v>27081</v>
      </c>
      <c r="G17" s="955" t="s">
        <v>4620</v>
      </c>
      <c r="H17" s="960">
        <f>+NOMINA!H21</f>
        <v>37662</v>
      </c>
      <c r="I17" s="961">
        <f>+NOMINA!I21</f>
        <v>22</v>
      </c>
      <c r="J17" s="962">
        <f>+NOMINA!J21</f>
        <v>0</v>
      </c>
      <c r="K17" s="961">
        <f>+NOMINA!K21</f>
        <v>22</v>
      </c>
      <c r="L17" s="963">
        <f>+NOMINA!CA21</f>
        <v>6255</v>
      </c>
      <c r="M17" s="443" t="e">
        <f>#REF!+#REF!-#REF!</f>
        <v>#REF!</v>
      </c>
      <c r="N17" s="952" t="e">
        <f>ROUND((#REF!+#REF!+#REF!+#REF!+#REF!+#REF!+#REF!+#REF!),2)</f>
        <v>#REF!</v>
      </c>
      <c r="Q17" s="620" t="e">
        <f>SUM(#REF!)</f>
        <v>#REF!</v>
      </c>
      <c r="R17" s="953" t="e">
        <f>#REF!+#REF!-#REF!</f>
        <v>#REF!</v>
      </c>
      <c r="S17" s="954">
        <v>200</v>
      </c>
      <c r="T17" s="953" t="e">
        <f>#REF!+#REF!</f>
        <v>#REF!</v>
      </c>
      <c r="U17" s="954" t="e">
        <f>#REF!</f>
        <v>#REF!</v>
      </c>
      <c r="V17" s="955">
        <v>0</v>
      </c>
      <c r="W17" s="954" t="e">
        <f>#REF!</f>
        <v>#REF!</v>
      </c>
      <c r="X17" s="956" t="e">
        <f>#REF!+#REF!</f>
        <v>#REF!</v>
      </c>
      <c r="Y17" s="956" t="e">
        <f>#REF!+#REF!</f>
        <v>#REF!</v>
      </c>
      <c r="Z17" s="956"/>
      <c r="AA17" s="954" t="e">
        <f>#REF!</f>
        <v>#REF!</v>
      </c>
      <c r="AB17" s="954" t="e">
        <f t="shared" si="1"/>
        <v>#REF!</v>
      </c>
      <c r="AC17" s="954" t="e">
        <f>#REF!+#REF!</f>
        <v>#REF!</v>
      </c>
      <c r="AD17" s="954">
        <f t="shared" si="0"/>
        <v>6255</v>
      </c>
      <c r="AE17" s="625"/>
    </row>
    <row r="18" spans="1:31" s="620" customFormat="1" ht="18" customHeight="1" x14ac:dyDescent="0.2">
      <c r="A18" s="655" t="s">
        <v>2846</v>
      </c>
      <c r="B18" s="508">
        <f t="shared" si="2"/>
        <v>6</v>
      </c>
      <c r="C18" s="957">
        <f>+NOMINA!C22</f>
        <v>21592108</v>
      </c>
      <c r="D18" s="958" t="str">
        <f>+NOMINA!D22</f>
        <v>Coy Andara Darlin Gabriela</v>
      </c>
      <c r="E18" s="955" t="s">
        <v>4622</v>
      </c>
      <c r="F18" s="959">
        <v>27081</v>
      </c>
      <c r="G18" s="955" t="s">
        <v>4620</v>
      </c>
      <c r="H18" s="960">
        <f>+NOMINA!H22</f>
        <v>43024</v>
      </c>
      <c r="I18" s="961">
        <f>+NOMINA!I22</f>
        <v>7</v>
      </c>
      <c r="J18" s="962">
        <f>+NOMINA!J22</f>
        <v>0</v>
      </c>
      <c r="K18" s="961">
        <f>+NOMINA!K22</f>
        <v>7</v>
      </c>
      <c r="L18" s="963">
        <f>+NOMINA!CA22</f>
        <v>6255</v>
      </c>
      <c r="M18" s="443" t="e">
        <f>#REF!+#REF!-#REF!</f>
        <v>#REF!</v>
      </c>
      <c r="N18" s="952" t="e">
        <f>ROUND((#REF!+#REF!+#REF!+#REF!+#REF!+#REF!+#REF!+#REF!),2)</f>
        <v>#REF!</v>
      </c>
      <c r="Q18" s="620" t="e">
        <f>SUM(#REF!)</f>
        <v>#REF!</v>
      </c>
      <c r="R18" s="953" t="e">
        <f>#REF!+#REF!-#REF!</f>
        <v>#REF!</v>
      </c>
      <c r="S18" s="954">
        <v>200</v>
      </c>
      <c r="T18" s="953" t="e">
        <f>#REF!+#REF!</f>
        <v>#REF!</v>
      </c>
      <c r="U18" s="954" t="e">
        <f>#REF!</f>
        <v>#REF!</v>
      </c>
      <c r="V18" s="955">
        <v>0</v>
      </c>
      <c r="W18" s="954" t="e">
        <f>#REF!</f>
        <v>#REF!</v>
      </c>
      <c r="X18" s="956" t="e">
        <f>#REF!+#REF!</f>
        <v>#REF!</v>
      </c>
      <c r="Y18" s="956" t="e">
        <f>#REF!+#REF!</f>
        <v>#REF!</v>
      </c>
      <c r="Z18" s="956"/>
      <c r="AA18" s="954" t="e">
        <f>#REF!</f>
        <v>#REF!</v>
      </c>
      <c r="AB18" s="954" t="e">
        <f t="shared" si="1"/>
        <v>#REF!</v>
      </c>
      <c r="AC18" s="954" t="e">
        <f>#REF!+#REF!</f>
        <v>#REF!</v>
      </c>
      <c r="AD18" s="954">
        <f t="shared" si="0"/>
        <v>6255</v>
      </c>
      <c r="AE18" s="625"/>
    </row>
    <row r="19" spans="1:31" s="620" customFormat="1" ht="18" customHeight="1" x14ac:dyDescent="0.2">
      <c r="A19" s="655" t="s">
        <v>2846</v>
      </c>
      <c r="B19" s="508">
        <f t="shared" si="2"/>
        <v>7</v>
      </c>
      <c r="C19" s="957">
        <f>+NOMINA!C23</f>
        <v>13206767</v>
      </c>
      <c r="D19" s="958" t="str">
        <f>+NOMINA!D23</f>
        <v>Bastidas Guerra Soralis del Valle</v>
      </c>
      <c r="E19" s="955" t="s">
        <v>4622</v>
      </c>
      <c r="F19" s="959">
        <v>27081</v>
      </c>
      <c r="G19" s="955" t="s">
        <v>4620</v>
      </c>
      <c r="H19" s="960">
        <f>+NOMINA!H23</f>
        <v>44713</v>
      </c>
      <c r="I19" s="961">
        <f>+NOMINA!I23</f>
        <v>3</v>
      </c>
      <c r="J19" s="962">
        <f>+NOMINA!J23</f>
        <v>0</v>
      </c>
      <c r="K19" s="961">
        <f>+NOMINA!K23</f>
        <v>3</v>
      </c>
      <c r="L19" s="963">
        <f>+NOMINA!CA23</f>
        <v>6255</v>
      </c>
      <c r="M19" s="443" t="e">
        <f>#REF!+#REF!-#REF!</f>
        <v>#REF!</v>
      </c>
      <c r="N19" s="952" t="e">
        <f>ROUND((#REF!+#REF!+#REF!+#REF!+#REF!+#REF!+#REF!+#REF!),2)</f>
        <v>#REF!</v>
      </c>
      <c r="Q19" s="620" t="e">
        <f>SUM(#REF!)</f>
        <v>#REF!</v>
      </c>
      <c r="R19" s="953" t="e">
        <f>#REF!+#REF!-#REF!</f>
        <v>#REF!</v>
      </c>
      <c r="S19" s="954">
        <v>200</v>
      </c>
      <c r="T19" s="953" t="e">
        <f>#REF!+#REF!</f>
        <v>#REF!</v>
      </c>
      <c r="U19" s="954" t="e">
        <f>#REF!</f>
        <v>#REF!</v>
      </c>
      <c r="V19" s="955">
        <v>0</v>
      </c>
      <c r="W19" s="954" t="e">
        <f>#REF!</f>
        <v>#REF!</v>
      </c>
      <c r="X19" s="956" t="e">
        <f>#REF!+#REF!</f>
        <v>#REF!</v>
      </c>
      <c r="Y19" s="956" t="e">
        <f>#REF!+#REF!</f>
        <v>#REF!</v>
      </c>
      <c r="Z19" s="956"/>
      <c r="AA19" s="954" t="e">
        <f>#REF!</f>
        <v>#REF!</v>
      </c>
      <c r="AB19" s="954" t="e">
        <f t="shared" si="1"/>
        <v>#REF!</v>
      </c>
      <c r="AC19" s="954" t="e">
        <f>#REF!+#REF!</f>
        <v>#REF!</v>
      </c>
      <c r="AD19" s="954">
        <f t="shared" si="0"/>
        <v>6255</v>
      </c>
      <c r="AE19" s="625"/>
    </row>
    <row r="20" spans="1:31" s="620" customFormat="1" ht="18" customHeight="1" x14ac:dyDescent="0.2">
      <c r="A20" s="655" t="s">
        <v>2846</v>
      </c>
      <c r="B20" s="508">
        <f t="shared" si="2"/>
        <v>8</v>
      </c>
      <c r="C20" s="957">
        <f>+NOMINA!C24</f>
        <v>13462933</v>
      </c>
      <c r="D20" s="958" t="str">
        <f>+NOMINA!D24</f>
        <v>Frias Aldana Maria Yaritza</v>
      </c>
      <c r="E20" s="955" t="s">
        <v>4622</v>
      </c>
      <c r="F20" s="959">
        <v>27081</v>
      </c>
      <c r="G20" s="955" t="s">
        <v>4620</v>
      </c>
      <c r="H20" s="960">
        <f>+NOMINA!H24</f>
        <v>39454</v>
      </c>
      <c r="I20" s="961">
        <f>+NOMINA!I24</f>
        <v>17</v>
      </c>
      <c r="J20" s="962">
        <f>+NOMINA!J24</f>
        <v>6</v>
      </c>
      <c r="K20" s="961">
        <f>+NOMINA!K24</f>
        <v>23</v>
      </c>
      <c r="L20" s="963">
        <f>+NOMINA!CA24</f>
        <v>6255</v>
      </c>
      <c r="M20" s="443" t="e">
        <f>#REF!+#REF!-#REF!</f>
        <v>#REF!</v>
      </c>
      <c r="N20" s="952" t="e">
        <f>ROUND((#REF!+#REF!+#REF!+#REF!+#REF!+#REF!+#REF!+#REF!),2)</f>
        <v>#REF!</v>
      </c>
      <c r="Q20" s="620" t="e">
        <f>SUM(#REF!)</f>
        <v>#REF!</v>
      </c>
      <c r="R20" s="953" t="e">
        <f>#REF!+#REF!-#REF!</f>
        <v>#REF!</v>
      </c>
      <c r="S20" s="954">
        <v>200</v>
      </c>
      <c r="T20" s="953" t="e">
        <f>#REF!+#REF!</f>
        <v>#REF!</v>
      </c>
      <c r="U20" s="954" t="e">
        <f>#REF!</f>
        <v>#REF!</v>
      </c>
      <c r="V20" s="955">
        <v>0</v>
      </c>
      <c r="W20" s="954" t="e">
        <f>#REF!</f>
        <v>#REF!</v>
      </c>
      <c r="X20" s="956" t="e">
        <f>#REF!+#REF!</f>
        <v>#REF!</v>
      </c>
      <c r="Y20" s="956" t="e">
        <f>#REF!+#REF!</f>
        <v>#REF!</v>
      </c>
      <c r="Z20" s="956"/>
      <c r="AA20" s="954" t="e">
        <f>#REF!</f>
        <v>#REF!</v>
      </c>
      <c r="AB20" s="954" t="e">
        <f t="shared" si="1"/>
        <v>#REF!</v>
      </c>
      <c r="AC20" s="954" t="e">
        <f>#REF!+#REF!</f>
        <v>#REF!</v>
      </c>
      <c r="AD20" s="954">
        <f t="shared" si="0"/>
        <v>6255</v>
      </c>
      <c r="AE20" s="625"/>
    </row>
    <row r="21" spans="1:31" s="620" customFormat="1" ht="18" customHeight="1" x14ac:dyDescent="0.2">
      <c r="A21" s="655" t="s">
        <v>2846</v>
      </c>
      <c r="B21" s="508">
        <f t="shared" si="2"/>
        <v>9</v>
      </c>
      <c r="C21" s="957">
        <f>+NOMINA!C25</f>
        <v>12542413</v>
      </c>
      <c r="D21" s="958" t="str">
        <f>+NOMINA!D25</f>
        <v>Aponte Matheus Richard Alexander</v>
      </c>
      <c r="E21" s="955" t="s">
        <v>4622</v>
      </c>
      <c r="F21" s="959">
        <v>27081</v>
      </c>
      <c r="G21" s="955" t="s">
        <v>4620</v>
      </c>
      <c r="H21" s="960">
        <f>+NOMINA!H25</f>
        <v>36434</v>
      </c>
      <c r="I21" s="961">
        <f>+NOMINA!I25</f>
        <v>25</v>
      </c>
      <c r="J21" s="962">
        <f>+NOMINA!J25</f>
        <v>0</v>
      </c>
      <c r="K21" s="961">
        <f>+NOMINA!K25</f>
        <v>25</v>
      </c>
      <c r="L21" s="963">
        <f>+NOMINA!CA25</f>
        <v>6255</v>
      </c>
      <c r="M21" s="443" t="e">
        <f>#REF!+#REF!-#REF!</f>
        <v>#REF!</v>
      </c>
      <c r="N21" s="952" t="e">
        <f>ROUND((#REF!+#REF!+#REF!+#REF!+#REF!+#REF!+#REF!+#REF!),2)</f>
        <v>#REF!</v>
      </c>
      <c r="Q21" s="620" t="e">
        <f>SUM(#REF!)</f>
        <v>#REF!</v>
      </c>
      <c r="R21" s="953" t="e">
        <f>#REF!+#REF!-#REF!</f>
        <v>#REF!</v>
      </c>
      <c r="S21" s="954">
        <v>200</v>
      </c>
      <c r="T21" s="953" t="e">
        <f>#REF!+#REF!</f>
        <v>#REF!</v>
      </c>
      <c r="U21" s="954" t="e">
        <f>#REF!</f>
        <v>#REF!</v>
      </c>
      <c r="V21" s="955">
        <v>0</v>
      </c>
      <c r="W21" s="954" t="e">
        <f>#REF!</f>
        <v>#REF!</v>
      </c>
      <c r="X21" s="956" t="e">
        <f>#REF!+#REF!</f>
        <v>#REF!</v>
      </c>
      <c r="Y21" s="956" t="e">
        <f>#REF!+#REF!</f>
        <v>#REF!</v>
      </c>
      <c r="Z21" s="956"/>
      <c r="AA21" s="954" t="e">
        <f>#REF!</f>
        <v>#REF!</v>
      </c>
      <c r="AB21" s="954" t="e">
        <f t="shared" si="1"/>
        <v>#REF!</v>
      </c>
      <c r="AC21" s="954" t="e">
        <f>#REF!+#REF!</f>
        <v>#REF!</v>
      </c>
      <c r="AD21" s="954">
        <f t="shared" si="0"/>
        <v>6255</v>
      </c>
      <c r="AE21" s="625"/>
    </row>
    <row r="22" spans="1:31" s="620" customFormat="1" ht="18" customHeight="1" x14ac:dyDescent="0.2">
      <c r="A22" s="655" t="s">
        <v>2846</v>
      </c>
      <c r="B22" s="508">
        <f t="shared" si="2"/>
        <v>10</v>
      </c>
      <c r="C22" s="957">
        <f>+NOMINA!C26</f>
        <v>18457406</v>
      </c>
      <c r="D22" s="958" t="str">
        <f>+NOMINA!D26</f>
        <v>Rivero Zambrano Herluis Jose</v>
      </c>
      <c r="E22" s="955" t="s">
        <v>4622</v>
      </c>
      <c r="F22" s="959">
        <v>27081</v>
      </c>
      <c r="G22" s="955" t="s">
        <v>4620</v>
      </c>
      <c r="H22" s="960">
        <f>+NOMINA!H26</f>
        <v>41548</v>
      </c>
      <c r="I22" s="961">
        <f>+NOMINA!I26</f>
        <v>11</v>
      </c>
      <c r="J22" s="962">
        <f>+NOMINA!J26</f>
        <v>0</v>
      </c>
      <c r="K22" s="961">
        <f>+NOMINA!K26</f>
        <v>11</v>
      </c>
      <c r="L22" s="963">
        <f>+NOMINA!CA26</f>
        <v>6255</v>
      </c>
      <c r="M22" s="443" t="e">
        <f>#REF!+#REF!-#REF!</f>
        <v>#REF!</v>
      </c>
      <c r="N22" s="952" t="e">
        <f>ROUND((#REF!+#REF!+#REF!+#REF!+#REF!+#REF!+#REF!+#REF!),2)</f>
        <v>#REF!</v>
      </c>
      <c r="Q22" s="620" t="e">
        <f>SUM(#REF!)</f>
        <v>#REF!</v>
      </c>
      <c r="R22" s="953" t="e">
        <f>#REF!+#REF!-#REF!</f>
        <v>#REF!</v>
      </c>
      <c r="S22" s="954">
        <v>200</v>
      </c>
      <c r="T22" s="953" t="e">
        <f>#REF!+#REF!</f>
        <v>#REF!</v>
      </c>
      <c r="U22" s="954" t="e">
        <f>#REF!</f>
        <v>#REF!</v>
      </c>
      <c r="V22" s="955">
        <v>0</v>
      </c>
      <c r="W22" s="954" t="e">
        <f>#REF!</f>
        <v>#REF!</v>
      </c>
      <c r="X22" s="956" t="e">
        <f>#REF!+#REF!</f>
        <v>#REF!</v>
      </c>
      <c r="Y22" s="956" t="e">
        <f>#REF!+#REF!</f>
        <v>#REF!</v>
      </c>
      <c r="Z22" s="956"/>
      <c r="AA22" s="954" t="e">
        <f>#REF!</f>
        <v>#REF!</v>
      </c>
      <c r="AB22" s="954" t="e">
        <f t="shared" si="1"/>
        <v>#REF!</v>
      </c>
      <c r="AC22" s="954" t="e">
        <f>#REF!+#REF!</f>
        <v>#REF!</v>
      </c>
      <c r="AD22" s="954">
        <f t="shared" si="0"/>
        <v>6255</v>
      </c>
      <c r="AE22" s="625"/>
    </row>
    <row r="23" spans="1:31" s="620" customFormat="1" ht="18" customHeight="1" x14ac:dyDescent="0.2">
      <c r="A23" s="655" t="s">
        <v>2846</v>
      </c>
      <c r="B23" s="508">
        <f t="shared" si="2"/>
        <v>11</v>
      </c>
      <c r="C23" s="957">
        <f>+NOMINA!C27</f>
        <v>11895772</v>
      </c>
      <c r="D23" s="958" t="str">
        <f>+NOMINA!D27</f>
        <v>Rangel Rivas Ildemaro</v>
      </c>
      <c r="E23" s="955" t="s">
        <v>4622</v>
      </c>
      <c r="F23" s="959">
        <v>27081</v>
      </c>
      <c r="G23" s="955" t="s">
        <v>4620</v>
      </c>
      <c r="H23" s="960">
        <f>+NOMINA!H27</f>
        <v>44743</v>
      </c>
      <c r="I23" s="961">
        <f>+NOMINA!I27</f>
        <v>3</v>
      </c>
      <c r="J23" s="962">
        <f>+NOMINA!J27</f>
        <v>0</v>
      </c>
      <c r="K23" s="961">
        <f>+NOMINA!K27</f>
        <v>3</v>
      </c>
      <c r="L23" s="963">
        <f>+NOMINA!CA27</f>
        <v>6255</v>
      </c>
      <c r="M23" s="443" t="e">
        <f>#REF!+#REF!-#REF!</f>
        <v>#REF!</v>
      </c>
      <c r="N23" s="952" t="e">
        <f>ROUND((#REF!+#REF!+#REF!+#REF!+#REF!+#REF!+#REF!+#REF!),2)</f>
        <v>#REF!</v>
      </c>
      <c r="Q23" s="620" t="e">
        <f>SUM(#REF!)</f>
        <v>#REF!</v>
      </c>
      <c r="R23" s="953" t="e">
        <f>#REF!+#REF!-#REF!</f>
        <v>#REF!</v>
      </c>
      <c r="S23" s="954">
        <v>200</v>
      </c>
      <c r="T23" s="953" t="e">
        <f>#REF!+#REF!</f>
        <v>#REF!</v>
      </c>
      <c r="U23" s="954" t="e">
        <f>#REF!</f>
        <v>#REF!</v>
      </c>
      <c r="V23" s="955">
        <v>0</v>
      </c>
      <c r="W23" s="954" t="e">
        <f>#REF!</f>
        <v>#REF!</v>
      </c>
      <c r="X23" s="956" t="e">
        <f>#REF!+#REF!</f>
        <v>#REF!</v>
      </c>
      <c r="Y23" s="956" t="e">
        <f>#REF!+#REF!</f>
        <v>#REF!</v>
      </c>
      <c r="Z23" s="956"/>
      <c r="AA23" s="954" t="e">
        <f>#REF!</f>
        <v>#REF!</v>
      </c>
      <c r="AB23" s="954" t="e">
        <f t="shared" si="1"/>
        <v>#REF!</v>
      </c>
      <c r="AC23" s="954" t="e">
        <f>#REF!+#REF!</f>
        <v>#REF!</v>
      </c>
      <c r="AD23" s="954">
        <f t="shared" si="0"/>
        <v>6255</v>
      </c>
      <c r="AE23" s="625"/>
    </row>
    <row r="24" spans="1:31" s="620" customFormat="1" ht="18" customHeight="1" x14ac:dyDescent="0.2">
      <c r="A24" s="655" t="s">
        <v>2846</v>
      </c>
      <c r="B24" s="508">
        <f t="shared" si="2"/>
        <v>12</v>
      </c>
      <c r="C24" s="957">
        <f>+NOMINA!C28</f>
        <v>9495661</v>
      </c>
      <c r="D24" s="958" t="str">
        <f>+NOMINA!D28</f>
        <v>Aguial Carrillo Gregoria Coromoto</v>
      </c>
      <c r="E24" s="955" t="s">
        <v>4622</v>
      </c>
      <c r="F24" s="959">
        <v>27081</v>
      </c>
      <c r="G24" s="955" t="s">
        <v>4620</v>
      </c>
      <c r="H24" s="960">
        <f>+NOMINA!H28</f>
        <v>39692</v>
      </c>
      <c r="I24" s="961">
        <f>+NOMINA!I28</f>
        <v>17</v>
      </c>
      <c r="J24" s="962">
        <f>+NOMINA!J28</f>
        <v>0</v>
      </c>
      <c r="K24" s="961">
        <f>+NOMINA!K28</f>
        <v>17</v>
      </c>
      <c r="L24" s="963">
        <f>+NOMINA!CA28</f>
        <v>6255</v>
      </c>
      <c r="M24" s="443" t="e">
        <f>#REF!+#REF!-#REF!</f>
        <v>#REF!</v>
      </c>
      <c r="N24" s="952" t="e">
        <f>ROUND((#REF!+#REF!+#REF!+#REF!+#REF!+#REF!+#REF!+#REF!),2)</f>
        <v>#REF!</v>
      </c>
      <c r="Q24" s="620" t="e">
        <f>SUM(#REF!)</f>
        <v>#REF!</v>
      </c>
      <c r="R24" s="953" t="e">
        <f>#REF!+#REF!-#REF!</f>
        <v>#REF!</v>
      </c>
      <c r="S24" s="954">
        <v>200</v>
      </c>
      <c r="T24" s="953" t="e">
        <f>#REF!+#REF!</f>
        <v>#REF!</v>
      </c>
      <c r="U24" s="954" t="e">
        <f>#REF!</f>
        <v>#REF!</v>
      </c>
      <c r="V24" s="955">
        <v>0</v>
      </c>
      <c r="W24" s="954" t="e">
        <f>#REF!</f>
        <v>#REF!</v>
      </c>
      <c r="X24" s="956" t="e">
        <f>#REF!+#REF!</f>
        <v>#REF!</v>
      </c>
      <c r="Y24" s="956" t="e">
        <f>#REF!+#REF!</f>
        <v>#REF!</v>
      </c>
      <c r="Z24" s="956"/>
      <c r="AA24" s="954" t="e">
        <f>#REF!</f>
        <v>#REF!</v>
      </c>
      <c r="AB24" s="954" t="e">
        <f t="shared" si="1"/>
        <v>#REF!</v>
      </c>
      <c r="AC24" s="954" t="e">
        <f>#REF!+#REF!</f>
        <v>#REF!</v>
      </c>
      <c r="AD24" s="954">
        <f t="shared" si="0"/>
        <v>6255</v>
      </c>
      <c r="AE24" s="625"/>
    </row>
    <row r="25" spans="1:31" s="620" customFormat="1" ht="18" customHeight="1" x14ac:dyDescent="0.2">
      <c r="A25" s="655" t="s">
        <v>2846</v>
      </c>
      <c r="B25" s="508">
        <f t="shared" si="2"/>
        <v>13</v>
      </c>
      <c r="C25" s="957">
        <f>+NOMINA!C29</f>
        <v>5348397</v>
      </c>
      <c r="D25" s="958" t="str">
        <f>+NOMINA!D29</f>
        <v>Araujo Manzanilla Carlos Antonio</v>
      </c>
      <c r="E25" s="955" t="s">
        <v>4622</v>
      </c>
      <c r="F25" s="959">
        <v>27081</v>
      </c>
      <c r="G25" s="955" t="s">
        <v>4620</v>
      </c>
      <c r="H25" s="960">
        <f>+NOMINA!H29</f>
        <v>43359</v>
      </c>
      <c r="I25" s="961">
        <f>+NOMINA!I29</f>
        <v>7</v>
      </c>
      <c r="J25" s="962">
        <f>+NOMINA!J29</f>
        <v>0</v>
      </c>
      <c r="K25" s="961">
        <f>+NOMINA!K29</f>
        <v>7</v>
      </c>
      <c r="L25" s="963">
        <f>+NOMINA!CA29</f>
        <v>6255</v>
      </c>
      <c r="M25" s="443" t="e">
        <f>#REF!+#REF!-#REF!</f>
        <v>#REF!</v>
      </c>
      <c r="N25" s="952" t="e">
        <f>ROUND((#REF!+#REF!+#REF!+#REF!+#REF!+#REF!+#REF!+#REF!),2)</f>
        <v>#REF!</v>
      </c>
      <c r="Q25" s="620" t="e">
        <f>SUM(#REF!)</f>
        <v>#REF!</v>
      </c>
      <c r="R25" s="953" t="e">
        <f>#REF!+#REF!-#REF!</f>
        <v>#REF!</v>
      </c>
      <c r="S25" s="954">
        <v>200</v>
      </c>
      <c r="T25" s="953" t="e">
        <f>#REF!+#REF!</f>
        <v>#REF!</v>
      </c>
      <c r="U25" s="954" t="e">
        <f>#REF!</f>
        <v>#REF!</v>
      </c>
      <c r="V25" s="955">
        <v>0</v>
      </c>
      <c r="W25" s="954" t="e">
        <f>#REF!</f>
        <v>#REF!</v>
      </c>
      <c r="X25" s="956" t="e">
        <f>#REF!+#REF!</f>
        <v>#REF!</v>
      </c>
      <c r="Y25" s="956" t="e">
        <f>#REF!+#REF!</f>
        <v>#REF!</v>
      </c>
      <c r="Z25" s="956"/>
      <c r="AA25" s="954" t="e">
        <f>#REF!</f>
        <v>#REF!</v>
      </c>
      <c r="AB25" s="954" t="e">
        <f t="shared" si="1"/>
        <v>#REF!</v>
      </c>
      <c r="AC25" s="954" t="e">
        <f>#REF!+#REF!</f>
        <v>#REF!</v>
      </c>
      <c r="AD25" s="954">
        <f t="shared" si="0"/>
        <v>6255</v>
      </c>
      <c r="AE25" s="625"/>
    </row>
    <row r="26" spans="1:31" s="620" customFormat="1" ht="18" customHeight="1" x14ac:dyDescent="0.2">
      <c r="A26" s="655" t="s">
        <v>2846</v>
      </c>
      <c r="B26" s="508">
        <f t="shared" si="2"/>
        <v>14</v>
      </c>
      <c r="C26" s="957">
        <f>+NOMINA!C30</f>
        <v>9314132</v>
      </c>
      <c r="D26" s="958" t="str">
        <f>+NOMINA!D30</f>
        <v>Viloria Montilla Gerardo</v>
      </c>
      <c r="E26" s="955" t="s">
        <v>4622</v>
      </c>
      <c r="F26" s="959">
        <v>27081</v>
      </c>
      <c r="G26" s="955" t="s">
        <v>4620</v>
      </c>
      <c r="H26" s="960">
        <f>+NOMINA!H30</f>
        <v>44348</v>
      </c>
      <c r="I26" s="961">
        <f>+NOMINA!I30</f>
        <v>4</v>
      </c>
      <c r="J26" s="962">
        <f>+NOMINA!J30</f>
        <v>0</v>
      </c>
      <c r="K26" s="961">
        <f>+NOMINA!K30</f>
        <v>4</v>
      </c>
      <c r="L26" s="963">
        <f>+NOMINA!CA30</f>
        <v>6255</v>
      </c>
      <c r="M26" s="443" t="e">
        <f>#REF!+#REF!-#REF!</f>
        <v>#REF!</v>
      </c>
      <c r="N26" s="952" t="e">
        <f>ROUND((#REF!+#REF!+#REF!+#REF!+#REF!+#REF!+#REF!+#REF!),2)</f>
        <v>#REF!</v>
      </c>
      <c r="Q26" s="620" t="e">
        <f>SUM(#REF!)</f>
        <v>#REF!</v>
      </c>
      <c r="R26" s="953" t="e">
        <f>#REF!+#REF!-#REF!</f>
        <v>#REF!</v>
      </c>
      <c r="S26" s="954">
        <v>200</v>
      </c>
      <c r="T26" s="953" t="e">
        <f>#REF!+#REF!</f>
        <v>#REF!</v>
      </c>
      <c r="U26" s="954" t="e">
        <f>#REF!</f>
        <v>#REF!</v>
      </c>
      <c r="V26" s="955">
        <v>0</v>
      </c>
      <c r="W26" s="954" t="e">
        <f>#REF!</f>
        <v>#REF!</v>
      </c>
      <c r="X26" s="956" t="e">
        <f>#REF!+#REF!</f>
        <v>#REF!</v>
      </c>
      <c r="Y26" s="956" t="e">
        <f>#REF!+#REF!</f>
        <v>#REF!</v>
      </c>
      <c r="Z26" s="956"/>
      <c r="AA26" s="954" t="e">
        <f>#REF!</f>
        <v>#REF!</v>
      </c>
      <c r="AB26" s="954" t="e">
        <f t="shared" si="1"/>
        <v>#REF!</v>
      </c>
      <c r="AC26" s="954" t="e">
        <f>#REF!+#REF!</f>
        <v>#REF!</v>
      </c>
      <c r="AD26" s="954">
        <f t="shared" si="0"/>
        <v>6255</v>
      </c>
      <c r="AE26" s="625"/>
    </row>
    <row r="27" spans="1:31" s="620" customFormat="1" ht="18" customHeight="1" x14ac:dyDescent="0.2">
      <c r="A27" s="655" t="s">
        <v>2846</v>
      </c>
      <c r="B27" s="508">
        <f t="shared" si="2"/>
        <v>15</v>
      </c>
      <c r="C27" s="957">
        <f>+NOMINA!C31</f>
        <v>11320533</v>
      </c>
      <c r="D27" s="958" t="str">
        <f>+NOMINA!D31</f>
        <v>Suarez Chiquin Yaritza Josefina</v>
      </c>
      <c r="E27" s="955" t="s">
        <v>4622</v>
      </c>
      <c r="F27" s="959">
        <v>27081</v>
      </c>
      <c r="G27" s="955" t="s">
        <v>4620</v>
      </c>
      <c r="H27" s="960">
        <f>+NOMINA!H31</f>
        <v>37629</v>
      </c>
      <c r="I27" s="961">
        <f>+NOMINA!I31</f>
        <v>22</v>
      </c>
      <c r="J27" s="962">
        <f>+NOMINA!J31</f>
        <v>0</v>
      </c>
      <c r="K27" s="961">
        <f>+NOMINA!K31</f>
        <v>22</v>
      </c>
      <c r="L27" s="963">
        <f>+NOMINA!CA31</f>
        <v>6255</v>
      </c>
      <c r="M27" s="443" t="e">
        <f>#REF!+#REF!-#REF!</f>
        <v>#REF!</v>
      </c>
      <c r="N27" s="952" t="e">
        <f>ROUND((#REF!+#REF!+#REF!+#REF!+#REF!+#REF!+#REF!+#REF!),2)</f>
        <v>#REF!</v>
      </c>
      <c r="Q27" s="620" t="e">
        <f>SUM(#REF!)</f>
        <v>#REF!</v>
      </c>
      <c r="R27" s="953" t="e">
        <f>#REF!+#REF!-#REF!</f>
        <v>#REF!</v>
      </c>
      <c r="S27" s="954">
        <v>200</v>
      </c>
      <c r="T27" s="953" t="e">
        <f>#REF!+#REF!</f>
        <v>#REF!</v>
      </c>
      <c r="U27" s="954" t="e">
        <f>#REF!</f>
        <v>#REF!</v>
      </c>
      <c r="V27" s="955">
        <v>0</v>
      </c>
      <c r="W27" s="954" t="e">
        <f>#REF!</f>
        <v>#REF!</v>
      </c>
      <c r="X27" s="956" t="e">
        <f>#REF!+#REF!</f>
        <v>#REF!</v>
      </c>
      <c r="Y27" s="956" t="e">
        <f>#REF!+#REF!</f>
        <v>#REF!</v>
      </c>
      <c r="Z27" s="956"/>
      <c r="AA27" s="954" t="e">
        <f>#REF!</f>
        <v>#REF!</v>
      </c>
      <c r="AB27" s="954" t="e">
        <f t="shared" si="1"/>
        <v>#REF!</v>
      </c>
      <c r="AC27" s="954" t="e">
        <f>#REF!+#REF!</f>
        <v>#REF!</v>
      </c>
      <c r="AD27" s="954">
        <f t="shared" si="0"/>
        <v>6255</v>
      </c>
      <c r="AE27" s="625"/>
    </row>
    <row r="28" spans="1:31" s="620" customFormat="1" ht="18" customHeight="1" x14ac:dyDescent="0.2">
      <c r="A28" s="655" t="s">
        <v>2846</v>
      </c>
      <c r="B28" s="508">
        <f t="shared" si="2"/>
        <v>16</v>
      </c>
      <c r="C28" s="957">
        <f>+NOMINA!C32</f>
        <v>10912595</v>
      </c>
      <c r="D28" s="958" t="str">
        <f>+NOMINA!D32</f>
        <v>Delfin Bustos Jose Hercilio</v>
      </c>
      <c r="E28" s="955" t="s">
        <v>4622</v>
      </c>
      <c r="F28" s="959">
        <v>27081</v>
      </c>
      <c r="G28" s="955" t="s">
        <v>4620</v>
      </c>
      <c r="H28" s="960">
        <f>+NOMINA!H32</f>
        <v>36039</v>
      </c>
      <c r="I28" s="961">
        <f>+NOMINA!I32</f>
        <v>27</v>
      </c>
      <c r="J28" s="962">
        <f>+NOMINA!J32</f>
        <v>0</v>
      </c>
      <c r="K28" s="961">
        <f>+NOMINA!K32</f>
        <v>27</v>
      </c>
      <c r="L28" s="963">
        <f>+NOMINA!CA32</f>
        <v>6255</v>
      </c>
      <c r="M28" s="443" t="e">
        <f>#REF!+#REF!-#REF!</f>
        <v>#REF!</v>
      </c>
      <c r="N28" s="952" t="e">
        <f>ROUND((#REF!+#REF!+#REF!+#REF!+#REF!+#REF!+#REF!+#REF!),2)</f>
        <v>#REF!</v>
      </c>
      <c r="Q28" s="620" t="e">
        <f>SUM(#REF!)</f>
        <v>#REF!</v>
      </c>
      <c r="R28" s="953" t="e">
        <f>#REF!+#REF!-#REF!</f>
        <v>#REF!</v>
      </c>
      <c r="S28" s="954">
        <v>200</v>
      </c>
      <c r="T28" s="953" t="e">
        <f>#REF!+#REF!</f>
        <v>#REF!</v>
      </c>
      <c r="U28" s="954" t="e">
        <f>#REF!</f>
        <v>#REF!</v>
      </c>
      <c r="V28" s="955">
        <v>0</v>
      </c>
      <c r="W28" s="954" t="e">
        <f>#REF!</f>
        <v>#REF!</v>
      </c>
      <c r="X28" s="956" t="e">
        <f>#REF!+#REF!</f>
        <v>#REF!</v>
      </c>
      <c r="Y28" s="956" t="e">
        <f>#REF!+#REF!</f>
        <v>#REF!</v>
      </c>
      <c r="Z28" s="956"/>
      <c r="AA28" s="954" t="e">
        <f>#REF!</f>
        <v>#REF!</v>
      </c>
      <c r="AB28" s="954" t="e">
        <f t="shared" si="1"/>
        <v>#REF!</v>
      </c>
      <c r="AC28" s="954" t="e">
        <f>#REF!+#REF!</f>
        <v>#REF!</v>
      </c>
      <c r="AD28" s="954">
        <f t="shared" si="0"/>
        <v>6255</v>
      </c>
      <c r="AE28" s="625"/>
    </row>
    <row r="29" spans="1:31" s="620" customFormat="1" ht="18" customHeight="1" x14ac:dyDescent="0.2">
      <c r="A29" s="655" t="s">
        <v>2846</v>
      </c>
      <c r="B29" s="508">
        <f t="shared" si="2"/>
        <v>17</v>
      </c>
      <c r="C29" s="957">
        <f>+NOMINA!C33</f>
        <v>4306476</v>
      </c>
      <c r="D29" s="958" t="str">
        <f>+NOMINA!D33</f>
        <v>Triviño de Bastidas Dioni de la Coromoto</v>
      </c>
      <c r="E29" s="955" t="s">
        <v>4622</v>
      </c>
      <c r="F29" s="959">
        <v>27081</v>
      </c>
      <c r="G29" s="955" t="s">
        <v>4620</v>
      </c>
      <c r="H29" s="960">
        <f>+NOMINA!H33</f>
        <v>44409</v>
      </c>
      <c r="I29" s="961">
        <f>+NOMINA!I33</f>
        <v>4</v>
      </c>
      <c r="J29" s="962">
        <f>+NOMINA!J33</f>
        <v>25</v>
      </c>
      <c r="K29" s="961">
        <f>+NOMINA!K33</f>
        <v>29</v>
      </c>
      <c r="L29" s="963">
        <f>+NOMINA!CA33</f>
        <v>6255</v>
      </c>
      <c r="M29" s="443" t="e">
        <f>#REF!+#REF!-#REF!</f>
        <v>#REF!</v>
      </c>
      <c r="N29" s="952" t="e">
        <f>ROUND((#REF!+#REF!+#REF!+#REF!+#REF!+#REF!+#REF!+#REF!),2)</f>
        <v>#REF!</v>
      </c>
      <c r="Q29" s="620" t="e">
        <f>SUM(#REF!)</f>
        <v>#REF!</v>
      </c>
      <c r="R29" s="953" t="e">
        <f>#REF!+#REF!-#REF!</f>
        <v>#REF!</v>
      </c>
      <c r="S29" s="954">
        <v>200</v>
      </c>
      <c r="T29" s="953" t="e">
        <f>#REF!+#REF!</f>
        <v>#REF!</v>
      </c>
      <c r="U29" s="954" t="e">
        <f>#REF!</f>
        <v>#REF!</v>
      </c>
      <c r="V29" s="955">
        <v>0</v>
      </c>
      <c r="W29" s="954" t="e">
        <f>#REF!</f>
        <v>#REF!</v>
      </c>
      <c r="X29" s="956" t="e">
        <f>#REF!+#REF!</f>
        <v>#REF!</v>
      </c>
      <c r="Y29" s="956" t="e">
        <f>#REF!+#REF!</f>
        <v>#REF!</v>
      </c>
      <c r="Z29" s="956"/>
      <c r="AA29" s="954" t="e">
        <f>#REF!</f>
        <v>#REF!</v>
      </c>
      <c r="AB29" s="954" t="e">
        <f t="shared" si="1"/>
        <v>#REF!</v>
      </c>
      <c r="AC29" s="954" t="e">
        <f>#REF!+#REF!</f>
        <v>#REF!</v>
      </c>
      <c r="AD29" s="954">
        <f t="shared" si="0"/>
        <v>6255</v>
      </c>
      <c r="AE29" s="625"/>
    </row>
    <row r="30" spans="1:31" s="620" customFormat="1" ht="18" customHeight="1" x14ac:dyDescent="0.2">
      <c r="A30" s="655" t="s">
        <v>2846</v>
      </c>
      <c r="B30" s="508">
        <f t="shared" si="2"/>
        <v>18</v>
      </c>
      <c r="C30" s="957">
        <f>+NOMINA!C34</f>
        <v>13568733</v>
      </c>
      <c r="D30" s="958" t="str">
        <f>+NOMINA!D34</f>
        <v>Campos de Velazquez Nilda Carolina</v>
      </c>
      <c r="E30" s="955" t="s">
        <v>4622</v>
      </c>
      <c r="F30" s="959">
        <v>27081</v>
      </c>
      <c r="G30" s="955" t="s">
        <v>4620</v>
      </c>
      <c r="H30" s="960">
        <f>+NOMINA!H34</f>
        <v>44805</v>
      </c>
      <c r="I30" s="961">
        <f>+NOMINA!I34</f>
        <v>3</v>
      </c>
      <c r="J30" s="962">
        <f>+NOMINA!J34</f>
        <v>0</v>
      </c>
      <c r="K30" s="961">
        <f>+NOMINA!K34</f>
        <v>3</v>
      </c>
      <c r="L30" s="963">
        <f>+NOMINA!CA34</f>
        <v>6255</v>
      </c>
      <c r="M30" s="443" t="e">
        <f>#REF!+#REF!-#REF!</f>
        <v>#REF!</v>
      </c>
      <c r="N30" s="952" t="e">
        <f>ROUND((#REF!+#REF!+#REF!+#REF!+#REF!+#REF!+#REF!+#REF!),2)</f>
        <v>#REF!</v>
      </c>
      <c r="Q30" s="620" t="e">
        <f>SUM(#REF!)</f>
        <v>#REF!</v>
      </c>
      <c r="R30" s="953" t="e">
        <f>#REF!+#REF!-#REF!</f>
        <v>#REF!</v>
      </c>
      <c r="S30" s="954">
        <v>200</v>
      </c>
      <c r="T30" s="953" t="e">
        <f>#REF!+#REF!</f>
        <v>#REF!</v>
      </c>
      <c r="U30" s="954" t="e">
        <f>#REF!</f>
        <v>#REF!</v>
      </c>
      <c r="V30" s="955">
        <v>0</v>
      </c>
      <c r="W30" s="954" t="e">
        <f>#REF!</f>
        <v>#REF!</v>
      </c>
      <c r="X30" s="956" t="e">
        <f>#REF!+#REF!</f>
        <v>#REF!</v>
      </c>
      <c r="Y30" s="956" t="e">
        <f>#REF!+#REF!</f>
        <v>#REF!</v>
      </c>
      <c r="Z30" s="956"/>
      <c r="AA30" s="954" t="e">
        <f>#REF!</f>
        <v>#REF!</v>
      </c>
      <c r="AB30" s="954" t="e">
        <f t="shared" si="1"/>
        <v>#REF!</v>
      </c>
      <c r="AC30" s="954" t="e">
        <f>#REF!+#REF!</f>
        <v>#REF!</v>
      </c>
      <c r="AD30" s="954">
        <f t="shared" si="0"/>
        <v>6255</v>
      </c>
      <c r="AE30" s="625"/>
    </row>
    <row r="31" spans="1:31" s="620" customFormat="1" ht="18" customHeight="1" x14ac:dyDescent="0.2">
      <c r="A31" s="655" t="s">
        <v>2846</v>
      </c>
      <c r="B31" s="508">
        <f t="shared" si="2"/>
        <v>19</v>
      </c>
      <c r="C31" s="957">
        <f>+NOMINA!C35</f>
        <v>20790947</v>
      </c>
      <c r="D31" s="958" t="str">
        <f>+NOMINA!D35</f>
        <v>Urbina Cuellar Tannessy Lenery</v>
      </c>
      <c r="E31" s="955" t="s">
        <v>4622</v>
      </c>
      <c r="F31" s="959">
        <v>27081</v>
      </c>
      <c r="G31" s="955" t="s">
        <v>4620</v>
      </c>
      <c r="H31" s="960">
        <f>+NOMINA!H35</f>
        <v>43967</v>
      </c>
      <c r="I31" s="961">
        <f>+NOMINA!I35</f>
        <v>5</v>
      </c>
      <c r="J31" s="962">
        <f>+NOMINA!J35</f>
        <v>0</v>
      </c>
      <c r="K31" s="961">
        <f>+NOMINA!K35</f>
        <v>5</v>
      </c>
      <c r="L31" s="963">
        <f>+NOMINA!CA35</f>
        <v>6255</v>
      </c>
      <c r="M31" s="443" t="e">
        <f>#REF!+#REF!-#REF!</f>
        <v>#REF!</v>
      </c>
      <c r="N31" s="952" t="e">
        <f>ROUND((#REF!+#REF!+#REF!+#REF!+#REF!+#REF!+#REF!+#REF!),2)</f>
        <v>#REF!</v>
      </c>
      <c r="Q31" s="620" t="e">
        <f>SUM(#REF!)</f>
        <v>#REF!</v>
      </c>
      <c r="R31" s="953" t="e">
        <f>#REF!+#REF!-#REF!</f>
        <v>#REF!</v>
      </c>
      <c r="S31" s="954">
        <v>200</v>
      </c>
      <c r="T31" s="953" t="e">
        <f>#REF!+#REF!</f>
        <v>#REF!</v>
      </c>
      <c r="U31" s="954" t="e">
        <f>#REF!</f>
        <v>#REF!</v>
      </c>
      <c r="V31" s="955">
        <v>0</v>
      </c>
      <c r="W31" s="954" t="e">
        <f>#REF!</f>
        <v>#REF!</v>
      </c>
      <c r="X31" s="956" t="e">
        <f>#REF!+#REF!</f>
        <v>#REF!</v>
      </c>
      <c r="Y31" s="956" t="e">
        <f>#REF!+#REF!</f>
        <v>#REF!</v>
      </c>
      <c r="Z31" s="956"/>
      <c r="AA31" s="954" t="e">
        <f>#REF!</f>
        <v>#REF!</v>
      </c>
      <c r="AB31" s="954" t="e">
        <f t="shared" si="1"/>
        <v>#REF!</v>
      </c>
      <c r="AC31" s="954" t="e">
        <f>#REF!+#REF!</f>
        <v>#REF!</v>
      </c>
      <c r="AD31" s="954">
        <f t="shared" si="0"/>
        <v>6255</v>
      </c>
      <c r="AE31" s="625"/>
    </row>
    <row r="32" spans="1:31" s="620" customFormat="1" ht="18" customHeight="1" x14ac:dyDescent="0.2">
      <c r="A32" s="655" t="s">
        <v>2846</v>
      </c>
      <c r="B32" s="508">
        <f t="shared" si="2"/>
        <v>20</v>
      </c>
      <c r="C32" s="957">
        <f>+NOMINA!C36</f>
        <v>15752183</v>
      </c>
      <c r="D32" s="958" t="str">
        <f>+NOMINA!D36</f>
        <v>Delduca Adriana del Valle</v>
      </c>
      <c r="E32" s="955" t="s">
        <v>4622</v>
      </c>
      <c r="F32" s="959">
        <v>27081</v>
      </c>
      <c r="G32" s="955" t="s">
        <v>4620</v>
      </c>
      <c r="H32" s="960">
        <f>+NOMINA!H36</f>
        <v>38930</v>
      </c>
      <c r="I32" s="961">
        <f>+NOMINA!I36</f>
        <v>19</v>
      </c>
      <c r="J32" s="962">
        <f>+NOMINA!J36</f>
        <v>0</v>
      </c>
      <c r="K32" s="961">
        <f>+NOMINA!K36</f>
        <v>19</v>
      </c>
      <c r="L32" s="963">
        <f>+NOMINA!CA36</f>
        <v>6255</v>
      </c>
      <c r="M32" s="443" t="e">
        <f>#REF!+#REF!-#REF!</f>
        <v>#REF!</v>
      </c>
      <c r="N32" s="952" t="e">
        <f>ROUND((#REF!+#REF!+#REF!+#REF!+#REF!+#REF!+#REF!+#REF!),2)</f>
        <v>#REF!</v>
      </c>
      <c r="Q32" s="620" t="e">
        <f>SUM(#REF!)</f>
        <v>#REF!</v>
      </c>
      <c r="R32" s="953" t="e">
        <f>#REF!+#REF!-#REF!</f>
        <v>#REF!</v>
      </c>
      <c r="S32" s="954">
        <v>200</v>
      </c>
      <c r="T32" s="953" t="e">
        <f>#REF!+#REF!</f>
        <v>#REF!</v>
      </c>
      <c r="U32" s="954" t="e">
        <f>#REF!</f>
        <v>#REF!</v>
      </c>
      <c r="V32" s="955">
        <v>0</v>
      </c>
      <c r="W32" s="954" t="e">
        <f>#REF!</f>
        <v>#REF!</v>
      </c>
      <c r="X32" s="956" t="e">
        <f>#REF!+#REF!</f>
        <v>#REF!</v>
      </c>
      <c r="Y32" s="956" t="e">
        <f>#REF!+#REF!</f>
        <v>#REF!</v>
      </c>
      <c r="Z32" s="956"/>
      <c r="AA32" s="954" t="e">
        <f>#REF!</f>
        <v>#REF!</v>
      </c>
      <c r="AB32" s="954" t="e">
        <f t="shared" si="1"/>
        <v>#REF!</v>
      </c>
      <c r="AC32" s="954" t="e">
        <f>#REF!+#REF!</f>
        <v>#REF!</v>
      </c>
      <c r="AD32" s="954">
        <f t="shared" si="0"/>
        <v>6255</v>
      </c>
      <c r="AE32" s="625"/>
    </row>
    <row r="33" spans="1:35" s="620" customFormat="1" ht="18" customHeight="1" x14ac:dyDescent="0.2">
      <c r="A33" s="655" t="s">
        <v>2846</v>
      </c>
      <c r="B33" s="508">
        <f t="shared" si="2"/>
        <v>21</v>
      </c>
      <c r="C33" s="957">
        <f>+NOMINA!C37</f>
        <v>16739081</v>
      </c>
      <c r="D33" s="958" t="str">
        <f>+NOMINA!D37</f>
        <v>Albarran Araujo Yely Coromoto</v>
      </c>
      <c r="E33" s="955" t="s">
        <v>4622</v>
      </c>
      <c r="F33" s="959">
        <v>27081</v>
      </c>
      <c r="G33" s="955" t="s">
        <v>4620</v>
      </c>
      <c r="H33" s="960">
        <f>+NOMINA!H37</f>
        <v>42948</v>
      </c>
      <c r="I33" s="961">
        <f>+NOMINA!I37</f>
        <v>8</v>
      </c>
      <c r="J33" s="962">
        <f>+NOMINA!J37</f>
        <v>0</v>
      </c>
      <c r="K33" s="961">
        <f>+NOMINA!K37</f>
        <v>8</v>
      </c>
      <c r="L33" s="963">
        <f>+NOMINA!CA37</f>
        <v>6255</v>
      </c>
      <c r="M33" s="443" t="e">
        <f>#REF!+#REF!-#REF!</f>
        <v>#REF!</v>
      </c>
      <c r="N33" s="952" t="e">
        <f>ROUND((#REF!+#REF!+#REF!+#REF!+#REF!+#REF!+#REF!+#REF!),2)</f>
        <v>#REF!</v>
      </c>
      <c r="Q33" s="620" t="e">
        <f>SUM(#REF!)</f>
        <v>#REF!</v>
      </c>
      <c r="R33" s="953" t="e">
        <f>#REF!+#REF!-#REF!</f>
        <v>#REF!</v>
      </c>
      <c r="S33" s="954">
        <v>200</v>
      </c>
      <c r="T33" s="953" t="e">
        <f>#REF!+#REF!</f>
        <v>#REF!</v>
      </c>
      <c r="U33" s="954" t="e">
        <f>#REF!</f>
        <v>#REF!</v>
      </c>
      <c r="V33" s="955">
        <v>0</v>
      </c>
      <c r="W33" s="954" t="e">
        <f>#REF!</f>
        <v>#REF!</v>
      </c>
      <c r="X33" s="956" t="e">
        <f>#REF!+#REF!</f>
        <v>#REF!</v>
      </c>
      <c r="Y33" s="956" t="e">
        <f>#REF!+#REF!</f>
        <v>#REF!</v>
      </c>
      <c r="Z33" s="956"/>
      <c r="AA33" s="954" t="e">
        <f>#REF!</f>
        <v>#REF!</v>
      </c>
      <c r="AB33" s="954" t="e">
        <f t="shared" si="1"/>
        <v>#REF!</v>
      </c>
      <c r="AC33" s="954" t="e">
        <f>#REF!+#REF!</f>
        <v>#REF!</v>
      </c>
      <c r="AD33" s="954">
        <f t="shared" si="0"/>
        <v>6255</v>
      </c>
      <c r="AE33" s="625"/>
    </row>
    <row r="34" spans="1:35" s="620" customFormat="1" ht="18" customHeight="1" x14ac:dyDescent="0.2">
      <c r="A34" s="655" t="s">
        <v>2846</v>
      </c>
      <c r="B34" s="508">
        <f t="shared" si="2"/>
        <v>22</v>
      </c>
      <c r="C34" s="957">
        <f>+NOMINA!C38</f>
        <v>18349553</v>
      </c>
      <c r="D34" s="958" t="str">
        <f>+NOMINA!D38</f>
        <v>Quiroga Valdes Nayla Carolina</v>
      </c>
      <c r="E34" s="955" t="s">
        <v>4622</v>
      </c>
      <c r="F34" s="959">
        <v>27081</v>
      </c>
      <c r="G34" s="955" t="s">
        <v>4620</v>
      </c>
      <c r="H34" s="960">
        <f>+NOMINA!H38</f>
        <v>45566</v>
      </c>
      <c r="I34" s="961">
        <f>+NOMINA!I38</f>
        <v>0</v>
      </c>
      <c r="J34" s="962">
        <f>+NOMINA!J38</f>
        <v>0</v>
      </c>
      <c r="K34" s="961">
        <f>+NOMINA!K38</f>
        <v>0</v>
      </c>
      <c r="L34" s="963">
        <f>+NOMINA!CA38</f>
        <v>6255</v>
      </c>
      <c r="M34" s="443" t="e">
        <f>#REF!+#REF!-#REF!</f>
        <v>#REF!</v>
      </c>
      <c r="N34" s="952" t="e">
        <f>ROUND((#REF!+#REF!+#REF!+#REF!+#REF!+#REF!+#REF!+#REF!),2)</f>
        <v>#REF!</v>
      </c>
      <c r="Q34" s="620" t="e">
        <f>SUM(#REF!)</f>
        <v>#REF!</v>
      </c>
      <c r="R34" s="953" t="e">
        <f>#REF!+#REF!-#REF!</f>
        <v>#REF!</v>
      </c>
      <c r="S34" s="954">
        <v>200</v>
      </c>
      <c r="T34" s="953" t="e">
        <f>#REF!+#REF!</f>
        <v>#REF!</v>
      </c>
      <c r="U34" s="954" t="e">
        <f>#REF!</f>
        <v>#REF!</v>
      </c>
      <c r="V34" s="955">
        <v>0</v>
      </c>
      <c r="W34" s="954" t="e">
        <f>#REF!</f>
        <v>#REF!</v>
      </c>
      <c r="X34" s="956" t="e">
        <f>#REF!+#REF!</f>
        <v>#REF!</v>
      </c>
      <c r="Y34" s="956" t="e">
        <f>#REF!+#REF!</f>
        <v>#REF!</v>
      </c>
      <c r="Z34" s="956"/>
      <c r="AA34" s="954" t="e">
        <f>#REF!</f>
        <v>#REF!</v>
      </c>
      <c r="AB34" s="954" t="e">
        <f t="shared" si="1"/>
        <v>#REF!</v>
      </c>
      <c r="AC34" s="954" t="e">
        <f>#REF!+#REF!</f>
        <v>#REF!</v>
      </c>
      <c r="AD34" s="954">
        <f t="shared" si="0"/>
        <v>6255</v>
      </c>
      <c r="AE34" s="625"/>
    </row>
    <row r="35" spans="1:35" s="620" customFormat="1" ht="18" customHeight="1" x14ac:dyDescent="0.2">
      <c r="A35" s="1712"/>
      <c r="B35" s="508">
        <f t="shared" si="2"/>
        <v>23</v>
      </c>
      <c r="C35" s="957">
        <f>+NOMINA!C39</f>
        <v>16066524</v>
      </c>
      <c r="D35" s="958" t="str">
        <f>+NOMINA!D39</f>
        <v>Carmona Peñaloza Yaneth Coromoto</v>
      </c>
      <c r="E35" s="955" t="s">
        <v>4622</v>
      </c>
      <c r="F35" s="959">
        <v>27081</v>
      </c>
      <c r="G35" s="955" t="s">
        <v>4620</v>
      </c>
      <c r="H35" s="960">
        <f>+NOMINA!H39</f>
        <v>41456</v>
      </c>
      <c r="I35" s="961">
        <f>+NOMINA!I39</f>
        <v>12</v>
      </c>
      <c r="J35" s="962">
        <f>+NOMINA!J39</f>
        <v>0</v>
      </c>
      <c r="K35" s="961">
        <f>+NOMINA!K39</f>
        <v>12</v>
      </c>
      <c r="L35" s="963">
        <f>+NOMINA!CA39</f>
        <v>6255</v>
      </c>
      <c r="M35" s="1113"/>
      <c r="N35" s="1720"/>
      <c r="R35" s="1076"/>
      <c r="S35" s="1115"/>
      <c r="T35" s="1076"/>
      <c r="U35" s="1115"/>
      <c r="V35" s="1468"/>
      <c r="W35" s="1115"/>
      <c r="X35" s="1116"/>
      <c r="Y35" s="1116"/>
      <c r="Z35" s="1116"/>
      <c r="AA35" s="1115"/>
      <c r="AB35" s="1115"/>
      <c r="AC35" s="1115"/>
      <c r="AD35" s="1115"/>
      <c r="AE35" s="625"/>
    </row>
    <row r="36" spans="1:35" s="620" customFormat="1" ht="18" customHeight="1" x14ac:dyDescent="0.2">
      <c r="A36" s="1712"/>
      <c r="B36" s="508">
        <f t="shared" si="2"/>
        <v>24</v>
      </c>
      <c r="C36" s="957">
        <f>+NOMINA!C40</f>
        <v>27889180</v>
      </c>
      <c r="D36" s="958" t="str">
        <f>+NOMINA!D40</f>
        <v>Moreno Andreina del Valle</v>
      </c>
      <c r="E36" s="955" t="s">
        <v>4622</v>
      </c>
      <c r="F36" s="959">
        <v>27081</v>
      </c>
      <c r="G36" s="955" t="s">
        <v>4620</v>
      </c>
      <c r="H36" s="960">
        <f>+NOMINA!H40</f>
        <v>44393</v>
      </c>
      <c r="I36" s="961">
        <f>+NOMINA!I40</f>
        <v>4</v>
      </c>
      <c r="J36" s="962">
        <f>+NOMINA!J40</f>
        <v>0</v>
      </c>
      <c r="K36" s="961">
        <f>+NOMINA!K40</f>
        <v>4</v>
      </c>
      <c r="L36" s="963">
        <f>+NOMINA!CA40</f>
        <v>6255</v>
      </c>
      <c r="M36" s="1113"/>
      <c r="N36" s="1720"/>
      <c r="R36" s="1076"/>
      <c r="S36" s="1115"/>
      <c r="T36" s="1076"/>
      <c r="U36" s="1115"/>
      <c r="V36" s="1468"/>
      <c r="W36" s="1115"/>
      <c r="X36" s="1116"/>
      <c r="Y36" s="1116"/>
      <c r="Z36" s="1116"/>
      <c r="AA36" s="1115"/>
      <c r="AB36" s="1115"/>
      <c r="AC36" s="1115"/>
      <c r="AD36" s="1115"/>
      <c r="AE36" s="625"/>
    </row>
    <row r="37" spans="1:35" s="620" customFormat="1" ht="18" customHeight="1" thickBot="1" x14ac:dyDescent="0.25">
      <c r="A37" s="655" t="s">
        <v>2846</v>
      </c>
      <c r="B37" s="508">
        <f t="shared" si="2"/>
        <v>25</v>
      </c>
      <c r="C37" s="957">
        <f>+NOMINA!C41</f>
        <v>12781930</v>
      </c>
      <c r="D37" s="958" t="str">
        <f>+NOMINA!D41</f>
        <v>Berrios Gomez Neida Marina</v>
      </c>
      <c r="E37" s="955" t="s">
        <v>4622</v>
      </c>
      <c r="F37" s="959">
        <v>27081</v>
      </c>
      <c r="G37" s="955" t="s">
        <v>4620</v>
      </c>
      <c r="H37" s="960">
        <f>+NOMINA!H41</f>
        <v>44652</v>
      </c>
      <c r="I37" s="961">
        <f>+NOMINA!I41</f>
        <v>3</v>
      </c>
      <c r="J37" s="962">
        <f>+NOMINA!J41</f>
        <v>0</v>
      </c>
      <c r="K37" s="961">
        <f>+NOMINA!K41</f>
        <v>3</v>
      </c>
      <c r="L37" s="963">
        <f>+NOMINA!CA41</f>
        <v>6255</v>
      </c>
      <c r="M37" s="443" t="e">
        <f>#REF!+#REF!-#REF!</f>
        <v>#REF!</v>
      </c>
      <c r="N37" s="952" t="e">
        <f>ROUND((#REF!+#REF!+#REF!+#REF!+#REF!+#REF!+#REF!+#REF!),2)</f>
        <v>#REF!</v>
      </c>
      <c r="Q37" s="620" t="e">
        <f>SUM(#REF!)</f>
        <v>#REF!</v>
      </c>
      <c r="R37" s="953" t="e">
        <f>#REF!+#REF!-#REF!</f>
        <v>#REF!</v>
      </c>
      <c r="S37" s="954">
        <v>200</v>
      </c>
      <c r="T37" s="953" t="e">
        <f>#REF!+#REF!</f>
        <v>#REF!</v>
      </c>
      <c r="U37" s="954" t="e">
        <f>#REF!</f>
        <v>#REF!</v>
      </c>
      <c r="V37" s="955">
        <v>0</v>
      </c>
      <c r="W37" s="954" t="e">
        <f>#REF!</f>
        <v>#REF!</v>
      </c>
      <c r="X37" s="956" t="e">
        <f>#REF!+#REF!</f>
        <v>#REF!</v>
      </c>
      <c r="Y37" s="956" t="e">
        <f>#REF!+#REF!</f>
        <v>#REF!</v>
      </c>
      <c r="Z37" s="956"/>
      <c r="AA37" s="954" t="e">
        <f>#REF!</f>
        <v>#REF!</v>
      </c>
      <c r="AB37" s="954" t="e">
        <f t="shared" si="1"/>
        <v>#REF!</v>
      </c>
      <c r="AC37" s="954" t="e">
        <f>#REF!+#REF!</f>
        <v>#REF!</v>
      </c>
      <c r="AD37" s="954">
        <f t="shared" si="0"/>
        <v>6255</v>
      </c>
      <c r="AE37" s="625"/>
    </row>
    <row r="38" spans="1:35" s="620" customFormat="1" ht="19.5" customHeight="1" thickBot="1" x14ac:dyDescent="0.3">
      <c r="A38" s="666"/>
      <c r="B38" s="667"/>
      <c r="C38" s="668"/>
      <c r="D38" s="668"/>
      <c r="E38" s="668"/>
      <c r="F38" s="668"/>
      <c r="G38" s="668"/>
      <c r="H38" s="669"/>
      <c r="I38" s="668"/>
      <c r="J38" s="668"/>
      <c r="K38" s="1100" t="s">
        <v>5768</v>
      </c>
      <c r="L38" s="670">
        <f>SUM(L13:L37)</f>
        <v>156375</v>
      </c>
      <c r="M38" s="671" t="e">
        <f>SUM(M13:M37)</f>
        <v>#REF!</v>
      </c>
      <c r="N38" s="672" t="e">
        <f>SUM(N13:N37)</f>
        <v>#REF!</v>
      </c>
      <c r="O38" s="673"/>
      <c r="P38" s="673" t="e">
        <f>R38-#REF!</f>
        <v>#REF!</v>
      </c>
      <c r="Q38" s="673"/>
      <c r="R38" s="964" t="e">
        <f t="shared" ref="R38:Y38" si="3">SUM(R12:R37)</f>
        <v>#REF!</v>
      </c>
      <c r="S38" s="964">
        <f t="shared" si="3"/>
        <v>4600</v>
      </c>
      <c r="T38" s="965" t="e">
        <f t="shared" si="3"/>
        <v>#REF!</v>
      </c>
      <c r="U38" s="965" t="e">
        <f t="shared" si="3"/>
        <v>#REF!</v>
      </c>
      <c r="V38" s="964">
        <f t="shared" si="3"/>
        <v>0</v>
      </c>
      <c r="W38" s="964" t="e">
        <f t="shared" si="3"/>
        <v>#REF!</v>
      </c>
      <c r="X38" s="964" t="e">
        <f t="shared" si="3"/>
        <v>#REF!</v>
      </c>
      <c r="Y38" s="964" t="e">
        <f t="shared" si="3"/>
        <v>#REF!</v>
      </c>
      <c r="Z38" s="964"/>
      <c r="AA38" s="964" t="e">
        <f>SUM(AA12:AA37)</f>
        <v>#REF!</v>
      </c>
      <c r="AB38" s="964" t="e">
        <f>SUM(AB12:AB37)</f>
        <v>#REF!</v>
      </c>
      <c r="AC38" s="964" t="e">
        <f>SUM(AC12:AC37)</f>
        <v>#REF!</v>
      </c>
      <c r="AD38" s="964">
        <f>SUM(AD12:AD37)</f>
        <v>143865</v>
      </c>
      <c r="AE38" s="625"/>
      <c r="AF38" s="625"/>
      <c r="AG38" s="673"/>
      <c r="AH38" s="673"/>
      <c r="AI38" s="673"/>
    </row>
    <row r="39" spans="1:35" s="683" customFormat="1" ht="25.5" customHeight="1" thickBot="1" x14ac:dyDescent="0.3">
      <c r="A39" s="674" t="s">
        <v>4561</v>
      </c>
      <c r="B39" s="656" t="str">
        <f>+"EMPLEADOS FIJOS_NOMINA_"&amp;NOMINA!F9&amp;"_"&amp;NOMINA!H9&amp;"-CESTA TICKET"</f>
        <v>EMPLEADOS FIJOS_NOMINA_SEPTIEMBRE_2025-CESTA TICKET</v>
      </c>
      <c r="C39" s="675"/>
      <c r="D39" s="676"/>
      <c r="E39" s="675"/>
      <c r="F39" s="676"/>
      <c r="G39" s="677"/>
      <c r="H39" s="678"/>
      <c r="I39" s="679"/>
      <c r="J39" s="679"/>
      <c r="K39" s="679"/>
      <c r="L39" s="680"/>
      <c r="M39" s="681"/>
      <c r="N39" s="682"/>
      <c r="O39" s="682"/>
      <c r="P39" s="682"/>
      <c r="Q39" s="682"/>
      <c r="R39" s="682"/>
      <c r="S39" s="682"/>
      <c r="T39" s="682"/>
      <c r="U39" s="682"/>
      <c r="V39" s="682"/>
      <c r="W39" s="682"/>
      <c r="X39" s="682"/>
      <c r="Y39" s="682"/>
      <c r="Z39" s="682"/>
      <c r="AA39" s="682"/>
      <c r="AB39" s="682"/>
      <c r="AC39" s="682"/>
      <c r="AD39" s="682"/>
      <c r="AE39" s="682"/>
      <c r="AG39" s="682"/>
      <c r="AH39" s="682"/>
      <c r="AI39" s="682"/>
    </row>
    <row r="40" spans="1:35" s="620" customFormat="1" ht="18" customHeight="1" x14ac:dyDescent="0.2">
      <c r="A40" s="655" t="s">
        <v>2846</v>
      </c>
      <c r="B40" s="508">
        <v>1</v>
      </c>
      <c r="C40" s="957">
        <f>+NOMINA!C44</f>
        <v>4324055</v>
      </c>
      <c r="D40" s="958" t="str">
        <f>+NOMINA!D44</f>
        <v>Mejia Linares Alexis de Jesus</v>
      </c>
      <c r="E40" s="955" t="s">
        <v>4622</v>
      </c>
      <c r="F40" s="959">
        <v>27081</v>
      </c>
      <c r="G40" s="955" t="s">
        <v>4620</v>
      </c>
      <c r="H40" s="960">
        <f>+NOMINA!H44</f>
        <v>44470</v>
      </c>
      <c r="I40" s="961">
        <f>+NOMINA!I44</f>
        <v>3</v>
      </c>
      <c r="J40" s="962">
        <f>+NOMINA!J44</f>
        <v>0</v>
      </c>
      <c r="K40" s="961">
        <f>+NOMINA!K44</f>
        <v>3</v>
      </c>
      <c r="L40" s="963">
        <f>+NOMINA!CA44</f>
        <v>6255</v>
      </c>
      <c r="M40" s="443" t="e">
        <f>#REF!+#REF!-#REF!</f>
        <v>#REF!</v>
      </c>
      <c r="N40" s="952" t="e">
        <f>ROUND((#REF!+#REF!+#REF!+#REF!+#REF!+#REF!+#REF!+#REF!),2)</f>
        <v>#REF!</v>
      </c>
      <c r="Q40" s="620" t="e">
        <f>SUM(#REF!)</f>
        <v>#REF!</v>
      </c>
      <c r="R40" s="953" t="e">
        <f>#REF!+#REF!-#REF!</f>
        <v>#REF!</v>
      </c>
      <c r="S40" s="954">
        <v>200</v>
      </c>
      <c r="T40" s="953" t="e">
        <f>#REF!+#REF!</f>
        <v>#REF!</v>
      </c>
      <c r="U40" s="954" t="e">
        <f>#REF!</f>
        <v>#REF!</v>
      </c>
      <c r="V40" s="955">
        <v>0</v>
      </c>
      <c r="W40" s="954" t="e">
        <f>#REF!</f>
        <v>#REF!</v>
      </c>
      <c r="X40" s="956" t="e">
        <f>#REF!+#REF!</f>
        <v>#REF!</v>
      </c>
      <c r="Y40" s="956" t="e">
        <f>#REF!+#REF!</f>
        <v>#REF!</v>
      </c>
      <c r="Z40" s="956"/>
      <c r="AA40" s="954" t="e">
        <f>#REF!</f>
        <v>#REF!</v>
      </c>
      <c r="AB40" s="954" t="e">
        <f t="shared" ref="AB40:AB93" si="4">SUM(T40:AA40)</f>
        <v>#REF!</v>
      </c>
      <c r="AC40" s="954" t="e">
        <f>#REF!+#REF!</f>
        <v>#REF!</v>
      </c>
      <c r="AD40" s="954">
        <f t="shared" ref="AD40:AD101" si="5">L40</f>
        <v>6255</v>
      </c>
      <c r="AE40" s="625"/>
    </row>
    <row r="41" spans="1:35" s="620" customFormat="1" ht="18" customHeight="1" x14ac:dyDescent="0.2">
      <c r="A41" s="655" t="s">
        <v>2846</v>
      </c>
      <c r="B41" s="508">
        <f>B40+1</f>
        <v>2</v>
      </c>
      <c r="C41" s="957">
        <f>+NOMINA!C45</f>
        <v>4657974</v>
      </c>
      <c r="D41" s="958" t="str">
        <f>+NOMINA!D45</f>
        <v>Balestrini Nuñez Ulises Ramon</v>
      </c>
      <c r="E41" s="955" t="s">
        <v>4622</v>
      </c>
      <c r="F41" s="959">
        <v>27081</v>
      </c>
      <c r="G41" s="955" t="s">
        <v>4620</v>
      </c>
      <c r="H41" s="960">
        <f>+NOMINA!H45</f>
        <v>39463</v>
      </c>
      <c r="I41" s="961">
        <f>+NOMINA!I45</f>
        <v>17</v>
      </c>
      <c r="J41" s="962">
        <f>+NOMINA!J45</f>
        <v>0</v>
      </c>
      <c r="K41" s="961">
        <f>+NOMINA!K45</f>
        <v>17</v>
      </c>
      <c r="L41" s="963">
        <f>+NOMINA!CA45</f>
        <v>6255</v>
      </c>
      <c r="M41" s="443" t="e">
        <f>#REF!+#REF!-#REF!</f>
        <v>#REF!</v>
      </c>
      <c r="N41" s="952" t="e">
        <f>ROUND((#REF!+#REF!+#REF!+#REF!+#REF!+#REF!+#REF!+#REF!),2)</f>
        <v>#REF!</v>
      </c>
      <c r="Q41" s="620" t="e">
        <f>SUM(#REF!)</f>
        <v>#REF!</v>
      </c>
      <c r="R41" s="953" t="e">
        <f>#REF!+#REF!-#REF!</f>
        <v>#REF!</v>
      </c>
      <c r="S41" s="954">
        <v>200</v>
      </c>
      <c r="T41" s="953" t="e">
        <f>#REF!+#REF!</f>
        <v>#REF!</v>
      </c>
      <c r="U41" s="954" t="e">
        <f>#REF!</f>
        <v>#REF!</v>
      </c>
      <c r="V41" s="955">
        <v>0</v>
      </c>
      <c r="W41" s="954" t="e">
        <f>#REF!</f>
        <v>#REF!</v>
      </c>
      <c r="X41" s="956" t="e">
        <f>#REF!+#REF!</f>
        <v>#REF!</v>
      </c>
      <c r="Y41" s="956" t="e">
        <f>#REF!+#REF!</f>
        <v>#REF!</v>
      </c>
      <c r="Z41" s="956"/>
      <c r="AA41" s="954" t="e">
        <f>#REF!</f>
        <v>#REF!</v>
      </c>
      <c r="AB41" s="954" t="e">
        <f t="shared" si="4"/>
        <v>#REF!</v>
      </c>
      <c r="AC41" s="954" t="e">
        <f>#REF!+#REF!</f>
        <v>#REF!</v>
      </c>
      <c r="AD41" s="954">
        <f t="shared" si="5"/>
        <v>6255</v>
      </c>
      <c r="AE41" s="625"/>
    </row>
    <row r="42" spans="1:35" s="620" customFormat="1" ht="18" customHeight="1" x14ac:dyDescent="0.2">
      <c r="A42" s="655" t="s">
        <v>2846</v>
      </c>
      <c r="B42" s="508">
        <f t="shared" ref="B42:B105" si="6">B41+1</f>
        <v>3</v>
      </c>
      <c r="C42" s="957">
        <f>+NOMINA!C46</f>
        <v>5762861</v>
      </c>
      <c r="D42" s="958" t="str">
        <f>+NOMINA!D46</f>
        <v>Aldana Duran Delia Mercedes</v>
      </c>
      <c r="E42" s="955" t="s">
        <v>4622</v>
      </c>
      <c r="F42" s="959">
        <v>27081</v>
      </c>
      <c r="G42" s="955" t="s">
        <v>4620</v>
      </c>
      <c r="H42" s="960">
        <f>+NOMINA!H46</f>
        <v>37851</v>
      </c>
      <c r="I42" s="961">
        <f>+NOMINA!I46</f>
        <v>22</v>
      </c>
      <c r="J42" s="962">
        <f>+NOMINA!J46</f>
        <v>4</v>
      </c>
      <c r="K42" s="961">
        <f>+NOMINA!K46</f>
        <v>26</v>
      </c>
      <c r="L42" s="963">
        <f>+NOMINA!CA46</f>
        <v>6255</v>
      </c>
      <c r="M42" s="443" t="e">
        <f>#REF!+#REF!-#REF!</f>
        <v>#REF!</v>
      </c>
      <c r="N42" s="952" t="e">
        <f>ROUND((#REF!+#REF!+#REF!+#REF!+#REF!+#REF!+#REF!+#REF!),2)</f>
        <v>#REF!</v>
      </c>
      <c r="Q42" s="620" t="e">
        <f>SUM(#REF!)</f>
        <v>#REF!</v>
      </c>
      <c r="R42" s="953" t="e">
        <f>#REF!+#REF!-#REF!</f>
        <v>#REF!</v>
      </c>
      <c r="S42" s="954">
        <v>200</v>
      </c>
      <c r="T42" s="953" t="e">
        <f>#REF!+#REF!</f>
        <v>#REF!</v>
      </c>
      <c r="U42" s="954" t="e">
        <f>#REF!</f>
        <v>#REF!</v>
      </c>
      <c r="V42" s="955">
        <v>0</v>
      </c>
      <c r="W42" s="954" t="e">
        <f>#REF!</f>
        <v>#REF!</v>
      </c>
      <c r="X42" s="956" t="e">
        <f>#REF!+#REF!</f>
        <v>#REF!</v>
      </c>
      <c r="Y42" s="956" t="e">
        <f>#REF!+#REF!</f>
        <v>#REF!</v>
      </c>
      <c r="Z42" s="956"/>
      <c r="AA42" s="954" t="e">
        <f>#REF!</f>
        <v>#REF!</v>
      </c>
      <c r="AB42" s="954" t="e">
        <f t="shared" si="4"/>
        <v>#REF!</v>
      </c>
      <c r="AC42" s="954" t="e">
        <f>#REF!+#REF!</f>
        <v>#REF!</v>
      </c>
      <c r="AD42" s="954">
        <f t="shared" si="5"/>
        <v>6255</v>
      </c>
      <c r="AE42" s="625"/>
    </row>
    <row r="43" spans="1:35" s="620" customFormat="1" ht="18" customHeight="1" x14ac:dyDescent="0.2">
      <c r="A43" s="655" t="s">
        <v>2846</v>
      </c>
      <c r="B43" s="508">
        <f t="shared" si="6"/>
        <v>4</v>
      </c>
      <c r="C43" s="957">
        <f>+NOMINA!C47</f>
        <v>5782060</v>
      </c>
      <c r="D43" s="958" t="str">
        <f>+NOMINA!D47</f>
        <v>Linares Araujo Adolfo Jose</v>
      </c>
      <c r="E43" s="955" t="s">
        <v>4622</v>
      </c>
      <c r="F43" s="959">
        <v>27081</v>
      </c>
      <c r="G43" s="955" t="s">
        <v>4620</v>
      </c>
      <c r="H43" s="960">
        <f>+NOMINA!H47</f>
        <v>39539</v>
      </c>
      <c r="I43" s="961">
        <f>+NOMINA!I47</f>
        <v>17</v>
      </c>
      <c r="J43" s="962">
        <f>+NOMINA!J47</f>
        <v>0</v>
      </c>
      <c r="K43" s="961">
        <f>+NOMINA!K47</f>
        <v>17</v>
      </c>
      <c r="L43" s="963">
        <f>+NOMINA!CA47</f>
        <v>6255</v>
      </c>
      <c r="M43" s="443" t="e">
        <f>#REF!+#REF!-#REF!</f>
        <v>#REF!</v>
      </c>
      <c r="N43" s="952" t="e">
        <f>ROUND((#REF!+#REF!+#REF!+#REF!+#REF!+#REF!+#REF!+#REF!),2)</f>
        <v>#REF!</v>
      </c>
      <c r="Q43" s="620" t="e">
        <f>SUM(#REF!)</f>
        <v>#REF!</v>
      </c>
      <c r="R43" s="953" t="e">
        <f>#REF!+#REF!-#REF!</f>
        <v>#REF!</v>
      </c>
      <c r="S43" s="954">
        <v>200</v>
      </c>
      <c r="T43" s="953" t="e">
        <f>#REF!+#REF!</f>
        <v>#REF!</v>
      </c>
      <c r="U43" s="954" t="e">
        <f>#REF!</f>
        <v>#REF!</v>
      </c>
      <c r="V43" s="955">
        <v>0</v>
      </c>
      <c r="W43" s="954" t="e">
        <f>#REF!</f>
        <v>#REF!</v>
      </c>
      <c r="X43" s="956" t="e">
        <f>#REF!+#REF!</f>
        <v>#REF!</v>
      </c>
      <c r="Y43" s="956" t="e">
        <f>#REF!+#REF!</f>
        <v>#REF!</v>
      </c>
      <c r="Z43" s="956"/>
      <c r="AA43" s="954" t="e">
        <f>#REF!</f>
        <v>#REF!</v>
      </c>
      <c r="AB43" s="954" t="e">
        <f t="shared" si="4"/>
        <v>#REF!</v>
      </c>
      <c r="AC43" s="954" t="e">
        <f>#REF!+#REF!</f>
        <v>#REF!</v>
      </c>
      <c r="AD43" s="954">
        <f t="shared" si="5"/>
        <v>6255</v>
      </c>
      <c r="AE43" s="625"/>
    </row>
    <row r="44" spans="1:35" s="620" customFormat="1" ht="18" customHeight="1" x14ac:dyDescent="0.2">
      <c r="A44" s="655" t="s">
        <v>2846</v>
      </c>
      <c r="B44" s="508">
        <f t="shared" si="6"/>
        <v>5</v>
      </c>
      <c r="C44" s="957">
        <f>+NOMINA!C48</f>
        <v>5790501</v>
      </c>
      <c r="D44" s="958" t="str">
        <f>+NOMINA!D48</f>
        <v>Castellanos de Araujo Maria Eustoquia</v>
      </c>
      <c r="E44" s="955" t="s">
        <v>4622</v>
      </c>
      <c r="F44" s="959">
        <v>27081</v>
      </c>
      <c r="G44" s="955" t="s">
        <v>4620</v>
      </c>
      <c r="H44" s="960">
        <f>+NOMINA!H48</f>
        <v>39707</v>
      </c>
      <c r="I44" s="961">
        <f>+NOMINA!I48</f>
        <v>17</v>
      </c>
      <c r="J44" s="962">
        <f>+NOMINA!J48</f>
        <v>3</v>
      </c>
      <c r="K44" s="961">
        <f>+NOMINA!K48</f>
        <v>20</v>
      </c>
      <c r="L44" s="963">
        <f>+NOMINA!CA48</f>
        <v>6255</v>
      </c>
      <c r="M44" s="443" t="e">
        <f>#REF!+#REF!-#REF!</f>
        <v>#REF!</v>
      </c>
      <c r="N44" s="952" t="e">
        <f>ROUND((#REF!+#REF!+#REF!+#REF!+#REF!+#REF!+#REF!+#REF!),2)</f>
        <v>#REF!</v>
      </c>
      <c r="Q44" s="620" t="e">
        <f>SUM(#REF!)</f>
        <v>#REF!</v>
      </c>
      <c r="R44" s="953" t="e">
        <f>#REF!+#REF!-#REF!</f>
        <v>#REF!</v>
      </c>
      <c r="S44" s="954">
        <v>200</v>
      </c>
      <c r="T44" s="953" t="e">
        <f>#REF!+#REF!</f>
        <v>#REF!</v>
      </c>
      <c r="U44" s="954" t="e">
        <f>#REF!</f>
        <v>#REF!</v>
      </c>
      <c r="V44" s="955">
        <v>0</v>
      </c>
      <c r="W44" s="954" t="e">
        <f>#REF!</f>
        <v>#REF!</v>
      </c>
      <c r="X44" s="956" t="e">
        <f>#REF!+#REF!</f>
        <v>#REF!</v>
      </c>
      <c r="Y44" s="956" t="e">
        <f>#REF!+#REF!</f>
        <v>#REF!</v>
      </c>
      <c r="Z44" s="956"/>
      <c r="AA44" s="954" t="e">
        <f>#REF!</f>
        <v>#REF!</v>
      </c>
      <c r="AB44" s="954" t="e">
        <f t="shared" si="4"/>
        <v>#REF!</v>
      </c>
      <c r="AC44" s="954" t="e">
        <f>#REF!+#REF!</f>
        <v>#REF!</v>
      </c>
      <c r="AD44" s="954">
        <f t="shared" si="5"/>
        <v>6255</v>
      </c>
      <c r="AE44" s="625"/>
    </row>
    <row r="45" spans="1:35" s="620" customFormat="1" ht="18" customHeight="1" x14ac:dyDescent="0.2">
      <c r="A45" s="655" t="s">
        <v>2846</v>
      </c>
      <c r="B45" s="508">
        <f t="shared" si="6"/>
        <v>6</v>
      </c>
      <c r="C45" s="957">
        <f>+NOMINA!C49</f>
        <v>7744688</v>
      </c>
      <c r="D45" s="958" t="str">
        <f>+NOMINA!D49</f>
        <v>Aguilera Carroz Gerardo Raul</v>
      </c>
      <c r="E45" s="955" t="s">
        <v>4622</v>
      </c>
      <c r="F45" s="959">
        <v>27081</v>
      </c>
      <c r="G45" s="955" t="s">
        <v>4620</v>
      </c>
      <c r="H45" s="960">
        <f>+NOMINA!H49</f>
        <v>44713</v>
      </c>
      <c r="I45" s="961">
        <f>+NOMINA!I49</f>
        <v>3</v>
      </c>
      <c r="J45" s="962">
        <f>+NOMINA!J49</f>
        <v>0</v>
      </c>
      <c r="K45" s="961">
        <f>+NOMINA!K49</f>
        <v>3</v>
      </c>
      <c r="L45" s="963">
        <f>+NOMINA!CA49</f>
        <v>6255</v>
      </c>
      <c r="M45" s="443" t="e">
        <f>#REF!+#REF!-#REF!</f>
        <v>#REF!</v>
      </c>
      <c r="N45" s="952" t="e">
        <f>ROUND((#REF!+#REF!+#REF!+#REF!+#REF!+#REF!+#REF!+#REF!),2)</f>
        <v>#REF!</v>
      </c>
      <c r="Q45" s="620" t="e">
        <f>SUM(#REF!)</f>
        <v>#REF!</v>
      </c>
      <c r="R45" s="953" t="e">
        <f>#REF!+#REF!-#REF!</f>
        <v>#REF!</v>
      </c>
      <c r="S45" s="954">
        <v>200</v>
      </c>
      <c r="T45" s="953" t="e">
        <f>#REF!+#REF!</f>
        <v>#REF!</v>
      </c>
      <c r="U45" s="954" t="e">
        <f>#REF!</f>
        <v>#REF!</v>
      </c>
      <c r="V45" s="955">
        <v>0</v>
      </c>
      <c r="W45" s="954" t="e">
        <f>#REF!</f>
        <v>#REF!</v>
      </c>
      <c r="X45" s="956" t="e">
        <f>#REF!+#REF!</f>
        <v>#REF!</v>
      </c>
      <c r="Y45" s="956" t="e">
        <f>#REF!+#REF!</f>
        <v>#REF!</v>
      </c>
      <c r="Z45" s="956"/>
      <c r="AA45" s="954" t="e">
        <f>#REF!</f>
        <v>#REF!</v>
      </c>
      <c r="AB45" s="954" t="e">
        <f t="shared" si="4"/>
        <v>#REF!</v>
      </c>
      <c r="AC45" s="954" t="e">
        <f>#REF!+#REF!</f>
        <v>#REF!</v>
      </c>
      <c r="AD45" s="954">
        <f t="shared" si="5"/>
        <v>6255</v>
      </c>
      <c r="AE45" s="625"/>
    </row>
    <row r="46" spans="1:35" s="620" customFormat="1" ht="18" customHeight="1" x14ac:dyDescent="0.2">
      <c r="A46" s="655" t="s">
        <v>2846</v>
      </c>
      <c r="B46" s="508">
        <f t="shared" si="6"/>
        <v>7</v>
      </c>
      <c r="C46" s="957">
        <f>+NOMINA!C50</f>
        <v>7890070</v>
      </c>
      <c r="D46" s="958" t="str">
        <f>+NOMINA!D50</f>
        <v>Pacheco Bermudez Bebsabeth Coromoto</v>
      </c>
      <c r="E46" s="955" t="s">
        <v>4622</v>
      </c>
      <c r="F46" s="959">
        <v>27081</v>
      </c>
      <c r="G46" s="955" t="s">
        <v>4620</v>
      </c>
      <c r="H46" s="960">
        <f>+NOMINA!H50</f>
        <v>38930</v>
      </c>
      <c r="I46" s="961">
        <f>+NOMINA!I50</f>
        <v>19</v>
      </c>
      <c r="J46" s="962">
        <f>+NOMINA!J50</f>
        <v>5</v>
      </c>
      <c r="K46" s="961">
        <f>+NOMINA!K50</f>
        <v>24</v>
      </c>
      <c r="L46" s="963">
        <f>+NOMINA!CA50</f>
        <v>6255</v>
      </c>
      <c r="M46" s="443" t="e">
        <f>#REF!+#REF!-#REF!</f>
        <v>#REF!</v>
      </c>
      <c r="N46" s="952" t="e">
        <f>ROUND((#REF!+#REF!+#REF!+#REF!+#REF!+#REF!+#REF!+#REF!),2)</f>
        <v>#REF!</v>
      </c>
      <c r="Q46" s="620" t="e">
        <f>SUM(#REF!)</f>
        <v>#REF!</v>
      </c>
      <c r="R46" s="953" t="e">
        <f>#REF!+#REF!-#REF!</f>
        <v>#REF!</v>
      </c>
      <c r="S46" s="954">
        <v>200</v>
      </c>
      <c r="T46" s="953" t="e">
        <f>#REF!+#REF!</f>
        <v>#REF!</v>
      </c>
      <c r="U46" s="954" t="e">
        <f>#REF!</f>
        <v>#REF!</v>
      </c>
      <c r="V46" s="955">
        <v>0</v>
      </c>
      <c r="W46" s="954" t="e">
        <f>#REF!</f>
        <v>#REF!</v>
      </c>
      <c r="X46" s="956" t="e">
        <f>#REF!+#REF!</f>
        <v>#REF!</v>
      </c>
      <c r="Y46" s="956" t="e">
        <f>#REF!+#REF!</f>
        <v>#REF!</v>
      </c>
      <c r="Z46" s="956"/>
      <c r="AA46" s="954" t="e">
        <f>#REF!</f>
        <v>#REF!</v>
      </c>
      <c r="AB46" s="954" t="e">
        <f t="shared" si="4"/>
        <v>#REF!</v>
      </c>
      <c r="AC46" s="954" t="e">
        <f>#REF!+#REF!</f>
        <v>#REF!</v>
      </c>
      <c r="AD46" s="954">
        <f t="shared" si="5"/>
        <v>6255</v>
      </c>
      <c r="AE46" s="625"/>
    </row>
    <row r="47" spans="1:35" s="620" customFormat="1" ht="18" customHeight="1" x14ac:dyDescent="0.2">
      <c r="A47" s="655" t="s">
        <v>2846</v>
      </c>
      <c r="B47" s="508">
        <f t="shared" si="6"/>
        <v>8</v>
      </c>
      <c r="C47" s="957">
        <f>+NOMINA!C51</f>
        <v>8719807</v>
      </c>
      <c r="D47" s="958" t="str">
        <f>+NOMINA!D51</f>
        <v>Perez Saavedra Isabel Teresa</v>
      </c>
      <c r="E47" s="955" t="s">
        <v>4622</v>
      </c>
      <c r="F47" s="959">
        <v>27081</v>
      </c>
      <c r="G47" s="955" t="s">
        <v>4620</v>
      </c>
      <c r="H47" s="960">
        <f>+NOMINA!H51</f>
        <v>39874</v>
      </c>
      <c r="I47" s="961">
        <f>+NOMINA!I51</f>
        <v>16</v>
      </c>
      <c r="J47" s="962">
        <f>+NOMINA!J51</f>
        <v>4</v>
      </c>
      <c r="K47" s="961">
        <f>+NOMINA!K51</f>
        <v>20</v>
      </c>
      <c r="L47" s="963">
        <f>+NOMINA!CA51</f>
        <v>0</v>
      </c>
      <c r="M47" s="443" t="e">
        <f>#REF!+#REF!-#REF!</f>
        <v>#REF!</v>
      </c>
      <c r="N47" s="952" t="e">
        <f>ROUND((#REF!+#REF!+#REF!+#REF!+#REF!+#REF!+#REF!+#REF!),2)</f>
        <v>#REF!</v>
      </c>
      <c r="Q47" s="620" t="e">
        <f>SUM(#REF!)</f>
        <v>#REF!</v>
      </c>
      <c r="R47" s="953" t="e">
        <f>#REF!+#REF!-#REF!</f>
        <v>#REF!</v>
      </c>
      <c r="S47" s="954">
        <v>200</v>
      </c>
      <c r="T47" s="953" t="e">
        <f>#REF!+#REF!</f>
        <v>#REF!</v>
      </c>
      <c r="U47" s="954" t="e">
        <f>#REF!</f>
        <v>#REF!</v>
      </c>
      <c r="V47" s="955">
        <v>0</v>
      </c>
      <c r="W47" s="954" t="e">
        <f>#REF!</f>
        <v>#REF!</v>
      </c>
      <c r="X47" s="956" t="e">
        <f>#REF!+#REF!</f>
        <v>#REF!</v>
      </c>
      <c r="Y47" s="956" t="e">
        <f>#REF!+#REF!</f>
        <v>#REF!</v>
      </c>
      <c r="Z47" s="956"/>
      <c r="AA47" s="954" t="e">
        <f>#REF!</f>
        <v>#REF!</v>
      </c>
      <c r="AB47" s="954" t="e">
        <f t="shared" si="4"/>
        <v>#REF!</v>
      </c>
      <c r="AC47" s="954" t="e">
        <f>#REF!+#REF!</f>
        <v>#REF!</v>
      </c>
      <c r="AD47" s="954">
        <f t="shared" si="5"/>
        <v>0</v>
      </c>
      <c r="AE47" s="625"/>
    </row>
    <row r="48" spans="1:35" s="620" customFormat="1" ht="18" customHeight="1" x14ac:dyDescent="0.2">
      <c r="A48" s="655" t="s">
        <v>2846</v>
      </c>
      <c r="B48" s="508">
        <f t="shared" si="6"/>
        <v>9</v>
      </c>
      <c r="C48" s="957">
        <f>+NOMINA!C52</f>
        <v>8266170</v>
      </c>
      <c r="D48" s="958" t="str">
        <f>+NOMINA!D52</f>
        <v>Aguana Sanchez Yraida Josefina</v>
      </c>
      <c r="E48" s="955" t="s">
        <v>4622</v>
      </c>
      <c r="F48" s="959">
        <v>27081</v>
      </c>
      <c r="G48" s="955" t="s">
        <v>4620</v>
      </c>
      <c r="H48" s="960">
        <f>+NOMINA!H52</f>
        <v>45323</v>
      </c>
      <c r="I48" s="961">
        <f>+NOMINA!I52</f>
        <v>1</v>
      </c>
      <c r="J48" s="962">
        <f>+NOMINA!J52</f>
        <v>5</v>
      </c>
      <c r="K48" s="961">
        <f>+NOMINA!K52</f>
        <v>6</v>
      </c>
      <c r="L48" s="963">
        <f>+NOMINA!CA52</f>
        <v>6255</v>
      </c>
      <c r="M48" s="443" t="e">
        <f>#REF!+#REF!-#REF!</f>
        <v>#REF!</v>
      </c>
      <c r="N48" s="952" t="e">
        <f>ROUND((#REF!+#REF!+#REF!+#REF!+#REF!+#REF!+#REF!+#REF!),2)</f>
        <v>#REF!</v>
      </c>
      <c r="Q48" s="620" t="e">
        <f>SUM(#REF!)</f>
        <v>#REF!</v>
      </c>
      <c r="R48" s="953" t="e">
        <f>#REF!+#REF!-#REF!</f>
        <v>#REF!</v>
      </c>
      <c r="S48" s="954">
        <v>200</v>
      </c>
      <c r="T48" s="953" t="e">
        <f>#REF!+#REF!</f>
        <v>#REF!</v>
      </c>
      <c r="U48" s="954" t="e">
        <f>#REF!</f>
        <v>#REF!</v>
      </c>
      <c r="V48" s="955">
        <v>0</v>
      </c>
      <c r="W48" s="954" t="e">
        <f>#REF!</f>
        <v>#REF!</v>
      </c>
      <c r="X48" s="956" t="e">
        <f>#REF!+#REF!</f>
        <v>#REF!</v>
      </c>
      <c r="Y48" s="956" t="e">
        <f>#REF!+#REF!</f>
        <v>#REF!</v>
      </c>
      <c r="Z48" s="956"/>
      <c r="AA48" s="954" t="e">
        <f>#REF!</f>
        <v>#REF!</v>
      </c>
      <c r="AB48" s="954" t="e">
        <f t="shared" si="4"/>
        <v>#REF!</v>
      </c>
      <c r="AC48" s="954" t="e">
        <f>#REF!+#REF!</f>
        <v>#REF!</v>
      </c>
      <c r="AD48" s="954">
        <f t="shared" si="5"/>
        <v>6255</v>
      </c>
      <c r="AE48" s="625"/>
    </row>
    <row r="49" spans="1:31" s="620" customFormat="1" ht="18" customHeight="1" x14ac:dyDescent="0.2">
      <c r="A49" s="655" t="s">
        <v>2846</v>
      </c>
      <c r="B49" s="508">
        <f t="shared" si="6"/>
        <v>10</v>
      </c>
      <c r="C49" s="957">
        <f>+NOMINA!C53</f>
        <v>9162178</v>
      </c>
      <c r="D49" s="958" t="str">
        <f>+NOMINA!D53</f>
        <v>Duarte de Bastidas Gladys Margarita</v>
      </c>
      <c r="E49" s="955" t="s">
        <v>4622</v>
      </c>
      <c r="F49" s="959">
        <v>27081</v>
      </c>
      <c r="G49" s="955" t="s">
        <v>4620</v>
      </c>
      <c r="H49" s="960">
        <f>+NOMINA!H53</f>
        <v>39566</v>
      </c>
      <c r="I49" s="961">
        <f>+NOMINA!I53</f>
        <v>17</v>
      </c>
      <c r="J49" s="962">
        <f>+NOMINA!J53</f>
        <v>4</v>
      </c>
      <c r="K49" s="961">
        <f>+NOMINA!K53</f>
        <v>21</v>
      </c>
      <c r="L49" s="963">
        <f>+NOMINA!CA53</f>
        <v>6255</v>
      </c>
      <c r="M49" s="443" t="e">
        <f>#REF!+#REF!-#REF!</f>
        <v>#REF!</v>
      </c>
      <c r="N49" s="952" t="e">
        <f>ROUND((#REF!+#REF!+#REF!+#REF!+#REF!+#REF!+#REF!+#REF!),2)</f>
        <v>#REF!</v>
      </c>
      <c r="Q49" s="620" t="e">
        <f>SUM(#REF!)</f>
        <v>#REF!</v>
      </c>
      <c r="R49" s="953" t="e">
        <f>#REF!+#REF!-#REF!</f>
        <v>#REF!</v>
      </c>
      <c r="S49" s="954">
        <v>200</v>
      </c>
      <c r="T49" s="953" t="e">
        <f>#REF!+#REF!</f>
        <v>#REF!</v>
      </c>
      <c r="U49" s="954" t="e">
        <f>#REF!</f>
        <v>#REF!</v>
      </c>
      <c r="V49" s="955">
        <v>0</v>
      </c>
      <c r="W49" s="954" t="e">
        <f>#REF!</f>
        <v>#REF!</v>
      </c>
      <c r="X49" s="956" t="e">
        <f>#REF!+#REF!</f>
        <v>#REF!</v>
      </c>
      <c r="Y49" s="956" t="e">
        <f>#REF!+#REF!</f>
        <v>#REF!</v>
      </c>
      <c r="Z49" s="956"/>
      <c r="AA49" s="954" t="e">
        <f>#REF!</f>
        <v>#REF!</v>
      </c>
      <c r="AB49" s="954" t="e">
        <f t="shared" si="4"/>
        <v>#REF!</v>
      </c>
      <c r="AC49" s="954" t="e">
        <f>#REF!+#REF!</f>
        <v>#REF!</v>
      </c>
      <c r="AD49" s="954">
        <f t="shared" si="5"/>
        <v>6255</v>
      </c>
      <c r="AE49" s="625"/>
    </row>
    <row r="50" spans="1:31" s="620" customFormat="1" ht="18" customHeight="1" x14ac:dyDescent="0.2">
      <c r="A50" s="655" t="s">
        <v>2846</v>
      </c>
      <c r="B50" s="508">
        <f t="shared" si="6"/>
        <v>11</v>
      </c>
      <c r="C50" s="957">
        <f>+NOMINA!C54</f>
        <v>9162243</v>
      </c>
      <c r="D50" s="958" t="str">
        <f>+NOMINA!D54</f>
        <v>Valera Borrero Marcos Tulio</v>
      </c>
      <c r="E50" s="955" t="s">
        <v>4622</v>
      </c>
      <c r="F50" s="959">
        <v>27081</v>
      </c>
      <c r="G50" s="955" t="s">
        <v>4620</v>
      </c>
      <c r="H50" s="960">
        <f>+NOMINA!H54</f>
        <v>35535</v>
      </c>
      <c r="I50" s="961">
        <f>+NOMINA!I54</f>
        <v>28</v>
      </c>
      <c r="J50" s="962">
        <f>+NOMINA!J54</f>
        <v>0</v>
      </c>
      <c r="K50" s="961">
        <f>+NOMINA!K54</f>
        <v>28</v>
      </c>
      <c r="L50" s="963">
        <f>+NOMINA!CA54</f>
        <v>0</v>
      </c>
      <c r="M50" s="443" t="e">
        <f>#REF!+#REF!-#REF!</f>
        <v>#REF!</v>
      </c>
      <c r="N50" s="952" t="e">
        <f>ROUND((#REF!+#REF!+#REF!+#REF!+#REF!+#REF!+#REF!+#REF!),2)</f>
        <v>#REF!</v>
      </c>
      <c r="Q50" s="620" t="e">
        <f>SUM(#REF!)</f>
        <v>#REF!</v>
      </c>
      <c r="R50" s="953" t="e">
        <f>#REF!+#REF!-#REF!</f>
        <v>#REF!</v>
      </c>
      <c r="S50" s="954">
        <v>200</v>
      </c>
      <c r="T50" s="953" t="e">
        <f>#REF!+#REF!</f>
        <v>#REF!</v>
      </c>
      <c r="U50" s="954" t="e">
        <f>#REF!</f>
        <v>#REF!</v>
      </c>
      <c r="V50" s="955">
        <v>0</v>
      </c>
      <c r="W50" s="954" t="e">
        <f>#REF!</f>
        <v>#REF!</v>
      </c>
      <c r="X50" s="956" t="e">
        <f>#REF!+#REF!</f>
        <v>#REF!</v>
      </c>
      <c r="Y50" s="956" t="e">
        <f>#REF!+#REF!</f>
        <v>#REF!</v>
      </c>
      <c r="Z50" s="956"/>
      <c r="AA50" s="954" t="e">
        <f>#REF!</f>
        <v>#REF!</v>
      </c>
      <c r="AB50" s="954" t="e">
        <f t="shared" si="4"/>
        <v>#REF!</v>
      </c>
      <c r="AC50" s="954" t="e">
        <f>#REF!+#REF!</f>
        <v>#REF!</v>
      </c>
      <c r="AD50" s="954">
        <f t="shared" si="5"/>
        <v>0</v>
      </c>
      <c r="AE50" s="625"/>
    </row>
    <row r="51" spans="1:31" s="620" customFormat="1" ht="18" customHeight="1" x14ac:dyDescent="0.2">
      <c r="A51" s="655" t="s">
        <v>2846</v>
      </c>
      <c r="B51" s="508">
        <f t="shared" si="6"/>
        <v>12</v>
      </c>
      <c r="C51" s="957">
        <f>+NOMINA!C55</f>
        <v>9170647</v>
      </c>
      <c r="D51" s="958" t="str">
        <f>+NOMINA!D55</f>
        <v>Torres Gonzalez Meris del Carmen</v>
      </c>
      <c r="E51" s="955" t="s">
        <v>4622</v>
      </c>
      <c r="F51" s="959">
        <v>27081</v>
      </c>
      <c r="G51" s="955" t="s">
        <v>4620</v>
      </c>
      <c r="H51" s="960">
        <f>+NOMINA!H55</f>
        <v>39238</v>
      </c>
      <c r="I51" s="961">
        <f>+NOMINA!I55</f>
        <v>18</v>
      </c>
      <c r="J51" s="962">
        <f>+NOMINA!J55</f>
        <v>0</v>
      </c>
      <c r="K51" s="961">
        <f>+NOMINA!K55</f>
        <v>18</v>
      </c>
      <c r="L51" s="963">
        <f>+NOMINA!CA55</f>
        <v>6255</v>
      </c>
      <c r="M51" s="443" t="e">
        <f>#REF!+#REF!-#REF!</f>
        <v>#REF!</v>
      </c>
      <c r="N51" s="952" t="e">
        <f>ROUND((#REF!+#REF!+#REF!+#REF!+#REF!+#REF!+#REF!+#REF!),2)</f>
        <v>#REF!</v>
      </c>
      <c r="Q51" s="620" t="e">
        <f>SUM(#REF!)</f>
        <v>#REF!</v>
      </c>
      <c r="R51" s="953" t="e">
        <f>#REF!+#REF!-#REF!</f>
        <v>#REF!</v>
      </c>
      <c r="S51" s="954">
        <v>200</v>
      </c>
      <c r="T51" s="953" t="e">
        <f>#REF!+#REF!</f>
        <v>#REF!</v>
      </c>
      <c r="U51" s="954" t="e">
        <f>#REF!</f>
        <v>#REF!</v>
      </c>
      <c r="V51" s="955">
        <v>0</v>
      </c>
      <c r="W51" s="954" t="e">
        <f>#REF!</f>
        <v>#REF!</v>
      </c>
      <c r="X51" s="956" t="e">
        <f>#REF!+#REF!</f>
        <v>#REF!</v>
      </c>
      <c r="Y51" s="956" t="e">
        <f>#REF!+#REF!</f>
        <v>#REF!</v>
      </c>
      <c r="Z51" s="956"/>
      <c r="AA51" s="954" t="e">
        <f>#REF!</f>
        <v>#REF!</v>
      </c>
      <c r="AB51" s="954" t="e">
        <f t="shared" si="4"/>
        <v>#REF!</v>
      </c>
      <c r="AC51" s="954" t="e">
        <f>#REF!+#REF!</f>
        <v>#REF!</v>
      </c>
      <c r="AD51" s="954">
        <f t="shared" si="5"/>
        <v>6255</v>
      </c>
      <c r="AE51" s="625"/>
    </row>
    <row r="52" spans="1:31" s="620" customFormat="1" ht="18" customHeight="1" x14ac:dyDescent="0.2">
      <c r="A52" s="655" t="s">
        <v>2846</v>
      </c>
      <c r="B52" s="508">
        <f t="shared" si="6"/>
        <v>13</v>
      </c>
      <c r="C52" s="957">
        <f>+NOMINA!C56</f>
        <v>9177323</v>
      </c>
      <c r="D52" s="958" t="str">
        <f>+NOMINA!D56</f>
        <v>Simancas de Mendoza Alix Josefina</v>
      </c>
      <c r="E52" s="955" t="s">
        <v>4622</v>
      </c>
      <c r="F52" s="959">
        <v>27081</v>
      </c>
      <c r="G52" s="955" t="s">
        <v>4620</v>
      </c>
      <c r="H52" s="960">
        <f>+NOMINA!H56</f>
        <v>37879</v>
      </c>
      <c r="I52" s="961">
        <f>+NOMINA!I56</f>
        <v>22</v>
      </c>
      <c r="J52" s="962">
        <f>+NOMINA!J56</f>
        <v>0</v>
      </c>
      <c r="K52" s="961">
        <f>+NOMINA!K56</f>
        <v>22</v>
      </c>
      <c r="L52" s="963">
        <f>+NOMINA!CA56</f>
        <v>6255</v>
      </c>
      <c r="M52" s="443" t="e">
        <f>#REF!+#REF!-#REF!</f>
        <v>#REF!</v>
      </c>
      <c r="N52" s="952" t="e">
        <f>ROUND((#REF!+#REF!+#REF!+#REF!+#REF!+#REF!+#REF!+#REF!),2)</f>
        <v>#REF!</v>
      </c>
      <c r="Q52" s="620" t="e">
        <f>SUM(#REF!)</f>
        <v>#REF!</v>
      </c>
      <c r="R52" s="953" t="e">
        <f>#REF!+#REF!-#REF!</f>
        <v>#REF!</v>
      </c>
      <c r="S52" s="954">
        <v>200</v>
      </c>
      <c r="T52" s="953" t="e">
        <f>#REF!+#REF!</f>
        <v>#REF!</v>
      </c>
      <c r="U52" s="954" t="e">
        <f>#REF!</f>
        <v>#REF!</v>
      </c>
      <c r="V52" s="955">
        <v>0</v>
      </c>
      <c r="W52" s="954" t="e">
        <f>#REF!</f>
        <v>#REF!</v>
      </c>
      <c r="X52" s="956" t="e">
        <f>#REF!+#REF!</f>
        <v>#REF!</v>
      </c>
      <c r="Y52" s="956" t="e">
        <f>#REF!+#REF!</f>
        <v>#REF!</v>
      </c>
      <c r="Z52" s="956"/>
      <c r="AA52" s="954" t="e">
        <f>#REF!</f>
        <v>#REF!</v>
      </c>
      <c r="AB52" s="954" t="e">
        <f t="shared" si="4"/>
        <v>#REF!</v>
      </c>
      <c r="AC52" s="954" t="e">
        <f>#REF!+#REF!</f>
        <v>#REF!</v>
      </c>
      <c r="AD52" s="954">
        <f t="shared" si="5"/>
        <v>6255</v>
      </c>
      <c r="AE52" s="625"/>
    </row>
    <row r="53" spans="1:31" s="620" customFormat="1" ht="18" customHeight="1" x14ac:dyDescent="0.2">
      <c r="A53" s="655" t="s">
        <v>2846</v>
      </c>
      <c r="B53" s="508">
        <f t="shared" si="6"/>
        <v>14</v>
      </c>
      <c r="C53" s="957">
        <f>+NOMINA!C57</f>
        <v>9178087</v>
      </c>
      <c r="D53" s="958" t="str">
        <f>+NOMINA!D57</f>
        <v>Saavedra Juan Jose</v>
      </c>
      <c r="E53" s="955" t="s">
        <v>4622</v>
      </c>
      <c r="F53" s="959">
        <v>27081</v>
      </c>
      <c r="G53" s="955" t="s">
        <v>4620</v>
      </c>
      <c r="H53" s="960">
        <f>+NOMINA!H57</f>
        <v>37622</v>
      </c>
      <c r="I53" s="961">
        <f>+NOMINA!I57</f>
        <v>22</v>
      </c>
      <c r="J53" s="962">
        <f>+NOMINA!J57</f>
        <v>0</v>
      </c>
      <c r="K53" s="961">
        <f>+NOMINA!K57</f>
        <v>22</v>
      </c>
      <c r="L53" s="963">
        <f>+NOMINA!CA57</f>
        <v>6255</v>
      </c>
      <c r="M53" s="443" t="e">
        <f>#REF!+#REF!-#REF!</f>
        <v>#REF!</v>
      </c>
      <c r="N53" s="952" t="e">
        <f>ROUND((#REF!+#REF!+#REF!+#REF!+#REF!+#REF!+#REF!+#REF!),2)</f>
        <v>#REF!</v>
      </c>
      <c r="Q53" s="620" t="e">
        <f>SUM(#REF!)</f>
        <v>#REF!</v>
      </c>
      <c r="R53" s="953" t="e">
        <f>#REF!+#REF!-#REF!</f>
        <v>#REF!</v>
      </c>
      <c r="S53" s="954">
        <v>200</v>
      </c>
      <c r="T53" s="953" t="e">
        <f>#REF!+#REF!</f>
        <v>#REF!</v>
      </c>
      <c r="U53" s="954" t="e">
        <f>#REF!</f>
        <v>#REF!</v>
      </c>
      <c r="V53" s="955">
        <v>0</v>
      </c>
      <c r="W53" s="954" t="e">
        <f>#REF!</f>
        <v>#REF!</v>
      </c>
      <c r="X53" s="956" t="e">
        <f>#REF!+#REF!</f>
        <v>#REF!</v>
      </c>
      <c r="Y53" s="956" t="e">
        <f>#REF!+#REF!</f>
        <v>#REF!</v>
      </c>
      <c r="Z53" s="956"/>
      <c r="AA53" s="954" t="e">
        <f>#REF!</f>
        <v>#REF!</v>
      </c>
      <c r="AB53" s="954" t="e">
        <f t="shared" si="4"/>
        <v>#REF!</v>
      </c>
      <c r="AC53" s="954" t="e">
        <f>#REF!+#REF!</f>
        <v>#REF!</v>
      </c>
      <c r="AD53" s="954">
        <f t="shared" si="5"/>
        <v>6255</v>
      </c>
      <c r="AE53" s="625"/>
    </row>
    <row r="54" spans="1:31" s="620" customFormat="1" ht="18" customHeight="1" x14ac:dyDescent="0.2">
      <c r="A54" s="655" t="s">
        <v>2846</v>
      </c>
      <c r="B54" s="508">
        <f t="shared" si="6"/>
        <v>15</v>
      </c>
      <c r="C54" s="957">
        <f>+NOMINA!C58</f>
        <v>9179981</v>
      </c>
      <c r="D54" s="958" t="str">
        <f>+NOMINA!D58</f>
        <v>Manzanilla Molina Alfredo Jose</v>
      </c>
      <c r="E54" s="955" t="s">
        <v>4622</v>
      </c>
      <c r="F54" s="959">
        <v>27081</v>
      </c>
      <c r="G54" s="955" t="s">
        <v>4620</v>
      </c>
      <c r="H54" s="960">
        <f>+NOMINA!H58</f>
        <v>45597</v>
      </c>
      <c r="I54" s="961">
        <f>+NOMINA!I58</f>
        <v>0</v>
      </c>
      <c r="J54" s="962">
        <f>+NOMINA!J58</f>
        <v>18</v>
      </c>
      <c r="K54" s="961">
        <f>+NOMINA!K58</f>
        <v>18</v>
      </c>
      <c r="L54" s="963">
        <f>+NOMINA!CA58</f>
        <v>6255</v>
      </c>
      <c r="M54" s="443" t="e">
        <f>#REF!+#REF!-#REF!</f>
        <v>#REF!</v>
      </c>
      <c r="N54" s="952" t="e">
        <f>ROUND((#REF!+#REF!+#REF!+#REF!+#REF!+#REF!+#REF!+#REF!),2)</f>
        <v>#REF!</v>
      </c>
      <c r="Q54" s="620" t="e">
        <f>SUM(#REF!)</f>
        <v>#REF!</v>
      </c>
      <c r="R54" s="953" t="e">
        <f>#REF!+#REF!-#REF!</f>
        <v>#REF!</v>
      </c>
      <c r="S54" s="954">
        <v>200</v>
      </c>
      <c r="T54" s="953" t="e">
        <f>#REF!+#REF!</f>
        <v>#REF!</v>
      </c>
      <c r="U54" s="954" t="e">
        <f>#REF!</f>
        <v>#REF!</v>
      </c>
      <c r="V54" s="955">
        <v>0</v>
      </c>
      <c r="W54" s="954" t="e">
        <f>#REF!</f>
        <v>#REF!</v>
      </c>
      <c r="X54" s="956" t="e">
        <f>#REF!+#REF!</f>
        <v>#REF!</v>
      </c>
      <c r="Y54" s="956" t="e">
        <f>#REF!+#REF!</f>
        <v>#REF!</v>
      </c>
      <c r="Z54" s="956"/>
      <c r="AA54" s="954" t="e">
        <f>#REF!</f>
        <v>#REF!</v>
      </c>
      <c r="AB54" s="954" t="e">
        <f t="shared" si="4"/>
        <v>#REF!</v>
      </c>
      <c r="AC54" s="954" t="e">
        <f>#REF!+#REF!</f>
        <v>#REF!</v>
      </c>
      <c r="AD54" s="954">
        <f t="shared" si="5"/>
        <v>6255</v>
      </c>
      <c r="AE54" s="625"/>
    </row>
    <row r="55" spans="1:31" s="620" customFormat="1" ht="18" customHeight="1" x14ac:dyDescent="0.2">
      <c r="A55" s="655" t="s">
        <v>2846</v>
      </c>
      <c r="B55" s="508">
        <f t="shared" si="6"/>
        <v>16</v>
      </c>
      <c r="C55" s="957">
        <f>+NOMINA!C59</f>
        <v>9311822</v>
      </c>
      <c r="D55" s="958" t="str">
        <f>+NOMINA!D59</f>
        <v>Rojo Sanchez Alexis Omar</v>
      </c>
      <c r="E55" s="955" t="s">
        <v>4622</v>
      </c>
      <c r="F55" s="959">
        <v>27081</v>
      </c>
      <c r="G55" s="955" t="s">
        <v>4620</v>
      </c>
      <c r="H55" s="960">
        <f>+NOMINA!H59</f>
        <v>37662</v>
      </c>
      <c r="I55" s="961">
        <f>+NOMINA!I59</f>
        <v>22</v>
      </c>
      <c r="J55" s="962">
        <f>+NOMINA!J59</f>
        <v>0</v>
      </c>
      <c r="K55" s="961">
        <f>+NOMINA!K59</f>
        <v>22</v>
      </c>
      <c r="L55" s="963">
        <f>+NOMINA!CA59</f>
        <v>0</v>
      </c>
      <c r="M55" s="443" t="e">
        <f>#REF!+#REF!-#REF!</f>
        <v>#REF!</v>
      </c>
      <c r="N55" s="952" t="e">
        <f>ROUND((#REF!+#REF!+#REF!+#REF!+#REF!+#REF!+#REF!+#REF!),2)</f>
        <v>#REF!</v>
      </c>
      <c r="Q55" s="620" t="e">
        <f>SUM(#REF!)</f>
        <v>#REF!</v>
      </c>
      <c r="R55" s="953" t="e">
        <f>#REF!+#REF!-#REF!</f>
        <v>#REF!</v>
      </c>
      <c r="S55" s="954">
        <v>200</v>
      </c>
      <c r="T55" s="953" t="e">
        <f>#REF!+#REF!</f>
        <v>#REF!</v>
      </c>
      <c r="U55" s="954" t="e">
        <f>#REF!</f>
        <v>#REF!</v>
      </c>
      <c r="V55" s="955">
        <v>0</v>
      </c>
      <c r="W55" s="954" t="e">
        <f>#REF!</f>
        <v>#REF!</v>
      </c>
      <c r="X55" s="956" t="e">
        <f>#REF!+#REF!</f>
        <v>#REF!</v>
      </c>
      <c r="Y55" s="956" t="e">
        <f>#REF!+#REF!</f>
        <v>#REF!</v>
      </c>
      <c r="Z55" s="956"/>
      <c r="AA55" s="954" t="e">
        <f>#REF!</f>
        <v>#REF!</v>
      </c>
      <c r="AB55" s="954" t="e">
        <f t="shared" si="4"/>
        <v>#REF!</v>
      </c>
      <c r="AC55" s="954" t="e">
        <f>#REF!+#REF!</f>
        <v>#REF!</v>
      </c>
      <c r="AD55" s="954">
        <f t="shared" si="5"/>
        <v>0</v>
      </c>
      <c r="AE55" s="625"/>
    </row>
    <row r="56" spans="1:31" s="620" customFormat="1" ht="18" customHeight="1" x14ac:dyDescent="0.2">
      <c r="A56" s="655" t="s">
        <v>2846</v>
      </c>
      <c r="B56" s="508">
        <f t="shared" si="6"/>
        <v>17</v>
      </c>
      <c r="C56" s="957">
        <f>+NOMINA!C60</f>
        <v>9315117</v>
      </c>
      <c r="D56" s="958" t="str">
        <f>+NOMINA!D60</f>
        <v>Palma de Briceño Sonia Josefina</v>
      </c>
      <c r="E56" s="955" t="s">
        <v>4622</v>
      </c>
      <c r="F56" s="959">
        <v>27081</v>
      </c>
      <c r="G56" s="955" t="s">
        <v>4620</v>
      </c>
      <c r="H56" s="960">
        <f>+NOMINA!H60</f>
        <v>38412</v>
      </c>
      <c r="I56" s="961">
        <f>+NOMINA!I60</f>
        <v>20</v>
      </c>
      <c r="J56" s="962">
        <f>+NOMINA!J60</f>
        <v>0</v>
      </c>
      <c r="K56" s="961">
        <f>+NOMINA!K60</f>
        <v>20</v>
      </c>
      <c r="L56" s="963">
        <f>+NOMINA!CA60</f>
        <v>6255</v>
      </c>
      <c r="M56" s="443" t="e">
        <f>#REF!+#REF!-#REF!</f>
        <v>#REF!</v>
      </c>
      <c r="N56" s="952" t="e">
        <f>ROUND((#REF!+#REF!+#REF!+#REF!+#REF!+#REF!+#REF!+#REF!),2)</f>
        <v>#REF!</v>
      </c>
      <c r="Q56" s="620" t="e">
        <f>SUM(#REF!)</f>
        <v>#REF!</v>
      </c>
      <c r="R56" s="953" t="e">
        <f>#REF!+#REF!-#REF!</f>
        <v>#REF!</v>
      </c>
      <c r="S56" s="954">
        <v>200</v>
      </c>
      <c r="T56" s="953" t="e">
        <f>#REF!+#REF!</f>
        <v>#REF!</v>
      </c>
      <c r="U56" s="954" t="e">
        <f>#REF!</f>
        <v>#REF!</v>
      </c>
      <c r="V56" s="955">
        <v>0</v>
      </c>
      <c r="W56" s="954" t="e">
        <f>#REF!</f>
        <v>#REF!</v>
      </c>
      <c r="X56" s="956" t="e">
        <f>#REF!+#REF!</f>
        <v>#REF!</v>
      </c>
      <c r="Y56" s="956" t="e">
        <f>#REF!+#REF!</f>
        <v>#REF!</v>
      </c>
      <c r="Z56" s="956"/>
      <c r="AA56" s="954" t="e">
        <f>#REF!</f>
        <v>#REF!</v>
      </c>
      <c r="AB56" s="954" t="e">
        <f t="shared" si="4"/>
        <v>#REF!</v>
      </c>
      <c r="AC56" s="954" t="e">
        <f>#REF!+#REF!</f>
        <v>#REF!</v>
      </c>
      <c r="AD56" s="954">
        <f t="shared" si="5"/>
        <v>6255</v>
      </c>
      <c r="AE56" s="625"/>
    </row>
    <row r="57" spans="1:31" s="620" customFormat="1" ht="18" customHeight="1" x14ac:dyDescent="0.2">
      <c r="A57" s="655" t="s">
        <v>2846</v>
      </c>
      <c r="B57" s="508">
        <f t="shared" si="6"/>
        <v>18</v>
      </c>
      <c r="C57" s="957">
        <f>+NOMINA!C61</f>
        <v>9315325</v>
      </c>
      <c r="D57" s="958" t="str">
        <f>+NOMINA!D61</f>
        <v>Gonzalez Hernandez Marianela</v>
      </c>
      <c r="E57" s="955" t="s">
        <v>4622</v>
      </c>
      <c r="F57" s="959">
        <v>27081</v>
      </c>
      <c r="G57" s="955" t="s">
        <v>4620</v>
      </c>
      <c r="H57" s="960">
        <f>+NOMINA!H61</f>
        <v>39678</v>
      </c>
      <c r="I57" s="961">
        <f>+NOMINA!I61</f>
        <v>17</v>
      </c>
      <c r="J57" s="962">
        <f>+NOMINA!J61</f>
        <v>2</v>
      </c>
      <c r="K57" s="961">
        <f>+NOMINA!K61</f>
        <v>19</v>
      </c>
      <c r="L57" s="963">
        <f>+NOMINA!CA61</f>
        <v>6255</v>
      </c>
      <c r="M57" s="443" t="e">
        <f>#REF!+#REF!-#REF!</f>
        <v>#REF!</v>
      </c>
      <c r="N57" s="952" t="e">
        <f>ROUND((#REF!+#REF!+#REF!+#REF!+#REF!+#REF!+#REF!+#REF!),2)</f>
        <v>#REF!</v>
      </c>
      <c r="Q57" s="620" t="e">
        <f>SUM(#REF!)</f>
        <v>#REF!</v>
      </c>
      <c r="R57" s="953" t="e">
        <f>#REF!+#REF!-#REF!</f>
        <v>#REF!</v>
      </c>
      <c r="S57" s="954">
        <v>200</v>
      </c>
      <c r="T57" s="953" t="e">
        <f>#REF!+#REF!</f>
        <v>#REF!</v>
      </c>
      <c r="U57" s="954" t="e">
        <f>#REF!</f>
        <v>#REF!</v>
      </c>
      <c r="V57" s="955">
        <v>0</v>
      </c>
      <c r="W57" s="954" t="e">
        <f>#REF!</f>
        <v>#REF!</v>
      </c>
      <c r="X57" s="956" t="e">
        <f>#REF!+#REF!</f>
        <v>#REF!</v>
      </c>
      <c r="Y57" s="956" t="e">
        <f>#REF!+#REF!</f>
        <v>#REF!</v>
      </c>
      <c r="Z57" s="956"/>
      <c r="AA57" s="954" t="e">
        <f>#REF!</f>
        <v>#REF!</v>
      </c>
      <c r="AB57" s="954" t="e">
        <f t="shared" si="4"/>
        <v>#REF!</v>
      </c>
      <c r="AC57" s="954" t="e">
        <f>#REF!+#REF!</f>
        <v>#REF!</v>
      </c>
      <c r="AD57" s="954">
        <f t="shared" si="5"/>
        <v>6255</v>
      </c>
      <c r="AE57" s="625"/>
    </row>
    <row r="58" spans="1:31" s="620" customFormat="1" ht="18" customHeight="1" x14ac:dyDescent="0.2">
      <c r="A58" s="655" t="s">
        <v>2846</v>
      </c>
      <c r="B58" s="508">
        <f t="shared" si="6"/>
        <v>19</v>
      </c>
      <c r="C58" s="957">
        <f>+NOMINA!C62</f>
        <v>9316224</v>
      </c>
      <c r="D58" s="958" t="str">
        <f>+NOMINA!D62</f>
        <v>Sanchez Barrios Magalis del Carmen</v>
      </c>
      <c r="E58" s="955" t="s">
        <v>4622</v>
      </c>
      <c r="F58" s="959">
        <v>27081</v>
      </c>
      <c r="G58" s="955" t="s">
        <v>4620</v>
      </c>
      <c r="H58" s="960">
        <f>+NOMINA!H62</f>
        <v>44317</v>
      </c>
      <c r="I58" s="961">
        <f>+NOMINA!I62</f>
        <v>4</v>
      </c>
      <c r="J58" s="962">
        <f>+NOMINA!J62</f>
        <v>0</v>
      </c>
      <c r="K58" s="961">
        <f>+NOMINA!K62</f>
        <v>4</v>
      </c>
      <c r="L58" s="963">
        <f>+NOMINA!CA62</f>
        <v>6255</v>
      </c>
      <c r="M58" s="443" t="e">
        <f>#REF!+#REF!-#REF!</f>
        <v>#REF!</v>
      </c>
      <c r="N58" s="952" t="e">
        <f>ROUND((#REF!+#REF!+#REF!+#REF!+#REF!+#REF!+#REF!+#REF!),2)</f>
        <v>#REF!</v>
      </c>
      <c r="Q58" s="620" t="e">
        <f>SUM(#REF!)</f>
        <v>#REF!</v>
      </c>
      <c r="R58" s="953" t="e">
        <f>#REF!+#REF!-#REF!</f>
        <v>#REF!</v>
      </c>
      <c r="S58" s="954">
        <v>200</v>
      </c>
      <c r="T58" s="953" t="e">
        <f>#REF!+#REF!</f>
        <v>#REF!</v>
      </c>
      <c r="U58" s="954" t="e">
        <f>#REF!</f>
        <v>#REF!</v>
      </c>
      <c r="V58" s="955">
        <v>0</v>
      </c>
      <c r="W58" s="954" t="e">
        <f>#REF!</f>
        <v>#REF!</v>
      </c>
      <c r="X58" s="956" t="e">
        <f>#REF!+#REF!</f>
        <v>#REF!</v>
      </c>
      <c r="Y58" s="956" t="e">
        <f>#REF!+#REF!</f>
        <v>#REF!</v>
      </c>
      <c r="Z58" s="956"/>
      <c r="AA58" s="954" t="e">
        <f>#REF!</f>
        <v>#REF!</v>
      </c>
      <c r="AB58" s="954" t="e">
        <f t="shared" si="4"/>
        <v>#REF!</v>
      </c>
      <c r="AC58" s="954" t="e">
        <f>#REF!+#REF!</f>
        <v>#REF!</v>
      </c>
      <c r="AD58" s="954">
        <f t="shared" si="5"/>
        <v>6255</v>
      </c>
      <c r="AE58" s="625"/>
    </row>
    <row r="59" spans="1:31" s="620" customFormat="1" ht="18" customHeight="1" x14ac:dyDescent="0.2">
      <c r="A59" s="655" t="s">
        <v>2846</v>
      </c>
      <c r="B59" s="508">
        <f t="shared" si="6"/>
        <v>20</v>
      </c>
      <c r="C59" s="957">
        <f>+NOMINA!C63</f>
        <v>9323927</v>
      </c>
      <c r="D59" s="958" t="str">
        <f>+NOMINA!D63</f>
        <v>Cardozo Garcia Jorge Antonio</v>
      </c>
      <c r="E59" s="955" t="s">
        <v>4622</v>
      </c>
      <c r="F59" s="959">
        <v>27081</v>
      </c>
      <c r="G59" s="955" t="s">
        <v>4620</v>
      </c>
      <c r="H59" s="960">
        <f>+NOMINA!H63</f>
        <v>35704</v>
      </c>
      <c r="I59" s="961">
        <f>+NOMINA!I63</f>
        <v>27</v>
      </c>
      <c r="J59" s="962">
        <f>+NOMINA!J63</f>
        <v>0</v>
      </c>
      <c r="K59" s="961">
        <f>+NOMINA!K63</f>
        <v>27</v>
      </c>
      <c r="L59" s="963">
        <f>+NOMINA!CA63</f>
        <v>6255</v>
      </c>
      <c r="M59" s="443" t="e">
        <f>#REF!+#REF!-#REF!</f>
        <v>#REF!</v>
      </c>
      <c r="N59" s="952" t="e">
        <f>ROUND((#REF!+#REF!+#REF!+#REF!+#REF!+#REF!+#REF!+#REF!),2)</f>
        <v>#REF!</v>
      </c>
      <c r="Q59" s="620" t="e">
        <f>SUM(#REF!)</f>
        <v>#REF!</v>
      </c>
      <c r="R59" s="953" t="e">
        <f>#REF!+#REF!-#REF!</f>
        <v>#REF!</v>
      </c>
      <c r="S59" s="954">
        <v>200</v>
      </c>
      <c r="T59" s="953" t="e">
        <f>#REF!+#REF!</f>
        <v>#REF!</v>
      </c>
      <c r="U59" s="954" t="e">
        <f>#REF!</f>
        <v>#REF!</v>
      </c>
      <c r="V59" s="955">
        <v>0</v>
      </c>
      <c r="W59" s="954" t="e">
        <f>#REF!</f>
        <v>#REF!</v>
      </c>
      <c r="X59" s="956" t="e">
        <f>#REF!+#REF!</f>
        <v>#REF!</v>
      </c>
      <c r="Y59" s="956" t="e">
        <f>#REF!+#REF!</f>
        <v>#REF!</v>
      </c>
      <c r="Z59" s="956"/>
      <c r="AA59" s="954" t="e">
        <f>#REF!</f>
        <v>#REF!</v>
      </c>
      <c r="AB59" s="954" t="e">
        <f t="shared" si="4"/>
        <v>#REF!</v>
      </c>
      <c r="AC59" s="954" t="e">
        <f>#REF!+#REF!</f>
        <v>#REF!</v>
      </c>
      <c r="AD59" s="954">
        <f t="shared" si="5"/>
        <v>6255</v>
      </c>
      <c r="AE59" s="625"/>
    </row>
    <row r="60" spans="1:31" s="620" customFormat="1" ht="18" customHeight="1" x14ac:dyDescent="0.2">
      <c r="A60" s="655" t="s">
        <v>2846</v>
      </c>
      <c r="B60" s="508">
        <f t="shared" si="6"/>
        <v>21</v>
      </c>
      <c r="C60" s="957">
        <f>+NOMINA!C64</f>
        <v>9327253</v>
      </c>
      <c r="D60" s="958" t="str">
        <f>+NOMINA!D64</f>
        <v>Garcia Araujo Jose Domingo</v>
      </c>
      <c r="E60" s="955" t="s">
        <v>4622</v>
      </c>
      <c r="F60" s="959">
        <v>27081</v>
      </c>
      <c r="G60" s="955" t="s">
        <v>4620</v>
      </c>
      <c r="H60" s="960">
        <f>+NOMINA!H64</f>
        <v>38930</v>
      </c>
      <c r="I60" s="961">
        <f>+NOMINA!I64</f>
        <v>19</v>
      </c>
      <c r="J60" s="962">
        <f>+NOMINA!J64</f>
        <v>0</v>
      </c>
      <c r="K60" s="961">
        <f>+NOMINA!K64</f>
        <v>19</v>
      </c>
      <c r="L60" s="963">
        <f>+NOMINA!CA64</f>
        <v>6255</v>
      </c>
      <c r="M60" s="443" t="e">
        <f>#REF!+#REF!-#REF!</f>
        <v>#REF!</v>
      </c>
      <c r="N60" s="952" t="e">
        <f>ROUND((#REF!+#REF!+#REF!+#REF!+#REF!+#REF!+#REF!+#REF!),2)</f>
        <v>#REF!</v>
      </c>
      <c r="Q60" s="620" t="e">
        <f>SUM(#REF!)</f>
        <v>#REF!</v>
      </c>
      <c r="R60" s="953" t="e">
        <f>#REF!+#REF!-#REF!</f>
        <v>#REF!</v>
      </c>
      <c r="S60" s="954">
        <v>200</v>
      </c>
      <c r="T60" s="953" t="e">
        <f>#REF!+#REF!</f>
        <v>#REF!</v>
      </c>
      <c r="U60" s="954" t="e">
        <f>#REF!</f>
        <v>#REF!</v>
      </c>
      <c r="V60" s="955">
        <v>0</v>
      </c>
      <c r="W60" s="954" t="e">
        <f>#REF!</f>
        <v>#REF!</v>
      </c>
      <c r="X60" s="956" t="e">
        <f>#REF!+#REF!</f>
        <v>#REF!</v>
      </c>
      <c r="Y60" s="956" t="e">
        <f>#REF!+#REF!</f>
        <v>#REF!</v>
      </c>
      <c r="Z60" s="956"/>
      <c r="AA60" s="954" t="e">
        <f>#REF!</f>
        <v>#REF!</v>
      </c>
      <c r="AB60" s="954" t="e">
        <f t="shared" si="4"/>
        <v>#REF!</v>
      </c>
      <c r="AC60" s="954" t="e">
        <f>#REF!+#REF!</f>
        <v>#REF!</v>
      </c>
      <c r="AD60" s="954">
        <f t="shared" si="5"/>
        <v>6255</v>
      </c>
      <c r="AE60" s="625"/>
    </row>
    <row r="61" spans="1:31" s="620" customFormat="1" ht="18" customHeight="1" x14ac:dyDescent="0.2">
      <c r="A61" s="655" t="s">
        <v>2846</v>
      </c>
      <c r="B61" s="508">
        <f t="shared" si="6"/>
        <v>22</v>
      </c>
      <c r="C61" s="957">
        <f>+NOMINA!C65</f>
        <v>9328157</v>
      </c>
      <c r="D61" s="958" t="str">
        <f>+NOMINA!D65</f>
        <v>Perez Salas Olga Margarita</v>
      </c>
      <c r="E61" s="955" t="s">
        <v>4622</v>
      </c>
      <c r="F61" s="959">
        <v>27081</v>
      </c>
      <c r="G61" s="955" t="s">
        <v>4620</v>
      </c>
      <c r="H61" s="960">
        <f>+NOMINA!H65</f>
        <v>41153</v>
      </c>
      <c r="I61" s="961">
        <f>+NOMINA!I65</f>
        <v>13</v>
      </c>
      <c r="J61" s="962">
        <f>+NOMINA!J65</f>
        <v>0</v>
      </c>
      <c r="K61" s="961">
        <f>+NOMINA!K65</f>
        <v>13</v>
      </c>
      <c r="L61" s="963">
        <f>+NOMINA!CA65</f>
        <v>0</v>
      </c>
      <c r="M61" s="443" t="e">
        <f>#REF!+#REF!-#REF!</f>
        <v>#REF!</v>
      </c>
      <c r="N61" s="952" t="e">
        <f>ROUND((#REF!+#REF!+#REF!+#REF!+#REF!+#REF!+#REF!+#REF!),2)</f>
        <v>#REF!</v>
      </c>
      <c r="Q61" s="620" t="e">
        <f>SUM(#REF!)</f>
        <v>#REF!</v>
      </c>
      <c r="R61" s="953" t="e">
        <f>#REF!+#REF!-#REF!</f>
        <v>#REF!</v>
      </c>
      <c r="S61" s="954">
        <v>200</v>
      </c>
      <c r="T61" s="953" t="e">
        <f>#REF!+#REF!</f>
        <v>#REF!</v>
      </c>
      <c r="U61" s="954" t="e">
        <f>#REF!</f>
        <v>#REF!</v>
      </c>
      <c r="V61" s="955">
        <v>0</v>
      </c>
      <c r="W61" s="954" t="e">
        <f>#REF!</f>
        <v>#REF!</v>
      </c>
      <c r="X61" s="956" t="e">
        <f>#REF!+#REF!</f>
        <v>#REF!</v>
      </c>
      <c r="Y61" s="956" t="e">
        <f>#REF!+#REF!</f>
        <v>#REF!</v>
      </c>
      <c r="Z61" s="956"/>
      <c r="AA61" s="954" t="e">
        <f>#REF!</f>
        <v>#REF!</v>
      </c>
      <c r="AB61" s="954" t="e">
        <f t="shared" si="4"/>
        <v>#REF!</v>
      </c>
      <c r="AC61" s="954" t="e">
        <f>#REF!+#REF!</f>
        <v>#REF!</v>
      </c>
      <c r="AD61" s="954">
        <f t="shared" si="5"/>
        <v>0</v>
      </c>
      <c r="AE61" s="625"/>
    </row>
    <row r="62" spans="1:31" s="620" customFormat="1" ht="18" customHeight="1" x14ac:dyDescent="0.2">
      <c r="A62" s="655" t="s">
        <v>2846</v>
      </c>
      <c r="B62" s="508">
        <f t="shared" si="6"/>
        <v>23</v>
      </c>
      <c r="C62" s="957">
        <f>+NOMINA!C66</f>
        <v>9328224</v>
      </c>
      <c r="D62" s="958" t="str">
        <f>+NOMINA!D66</f>
        <v>Abreu Araujo Omar Antonio</v>
      </c>
      <c r="E62" s="955" t="s">
        <v>4622</v>
      </c>
      <c r="F62" s="959">
        <v>27081</v>
      </c>
      <c r="G62" s="955" t="s">
        <v>4620</v>
      </c>
      <c r="H62" s="960">
        <f>+NOMINA!H66</f>
        <v>39356</v>
      </c>
      <c r="I62" s="961">
        <f>+NOMINA!I66</f>
        <v>17</v>
      </c>
      <c r="J62" s="962">
        <f>+NOMINA!J66</f>
        <v>2</v>
      </c>
      <c r="K62" s="961">
        <f>+NOMINA!K66</f>
        <v>19</v>
      </c>
      <c r="L62" s="963">
        <f>+NOMINA!CA66</f>
        <v>6255</v>
      </c>
      <c r="M62" s="443" t="e">
        <f>#REF!+#REF!-#REF!</f>
        <v>#REF!</v>
      </c>
      <c r="N62" s="952" t="e">
        <f>ROUND((#REF!+#REF!+#REF!+#REF!+#REF!+#REF!+#REF!+#REF!),2)</f>
        <v>#REF!</v>
      </c>
      <c r="Q62" s="620" t="e">
        <f>SUM(#REF!)</f>
        <v>#REF!</v>
      </c>
      <c r="R62" s="953" t="e">
        <f>#REF!+#REF!-#REF!</f>
        <v>#REF!</v>
      </c>
      <c r="S62" s="954">
        <v>200</v>
      </c>
      <c r="T62" s="953" t="e">
        <f>#REF!+#REF!</f>
        <v>#REF!</v>
      </c>
      <c r="U62" s="954" t="e">
        <f>#REF!</f>
        <v>#REF!</v>
      </c>
      <c r="V62" s="955">
        <v>0</v>
      </c>
      <c r="W62" s="954" t="e">
        <f>#REF!</f>
        <v>#REF!</v>
      </c>
      <c r="X62" s="956" t="e">
        <f>#REF!+#REF!</f>
        <v>#REF!</v>
      </c>
      <c r="Y62" s="956" t="e">
        <f>#REF!+#REF!</f>
        <v>#REF!</v>
      </c>
      <c r="Z62" s="956"/>
      <c r="AA62" s="954" t="e">
        <f>#REF!</f>
        <v>#REF!</v>
      </c>
      <c r="AB62" s="954" t="e">
        <f t="shared" si="4"/>
        <v>#REF!</v>
      </c>
      <c r="AC62" s="954" t="e">
        <f>#REF!+#REF!</f>
        <v>#REF!</v>
      </c>
      <c r="AD62" s="954">
        <f t="shared" si="5"/>
        <v>6255</v>
      </c>
      <c r="AE62" s="625"/>
    </row>
    <row r="63" spans="1:31" s="620" customFormat="1" ht="18" customHeight="1" x14ac:dyDescent="0.2">
      <c r="A63" s="655" t="s">
        <v>2846</v>
      </c>
      <c r="B63" s="508">
        <f t="shared" si="6"/>
        <v>24</v>
      </c>
      <c r="C63" s="957">
        <f>+NOMINA!C67</f>
        <v>9495661</v>
      </c>
      <c r="D63" s="958" t="str">
        <f>+NOMINA!D67</f>
        <v>Aguial Carrillo Gregoria Coromoto</v>
      </c>
      <c r="E63" s="955" t="s">
        <v>4622</v>
      </c>
      <c r="F63" s="959">
        <v>27081</v>
      </c>
      <c r="G63" s="955" t="s">
        <v>4620</v>
      </c>
      <c r="H63" s="960">
        <f>+NOMINA!H67</f>
        <v>39692</v>
      </c>
      <c r="I63" s="961">
        <f>+NOMINA!I67</f>
        <v>17</v>
      </c>
      <c r="J63" s="962">
        <f>+NOMINA!J67</f>
        <v>0</v>
      </c>
      <c r="K63" s="961">
        <f>+NOMINA!K67</f>
        <v>17</v>
      </c>
      <c r="L63" s="963">
        <f>+NOMINA!CA67</f>
        <v>0</v>
      </c>
      <c r="M63" s="443" t="e">
        <f>#REF!+#REF!-#REF!</f>
        <v>#REF!</v>
      </c>
      <c r="N63" s="952" t="e">
        <f>ROUND((#REF!+#REF!+#REF!+#REF!+#REF!+#REF!+#REF!+#REF!),2)</f>
        <v>#REF!</v>
      </c>
      <c r="Q63" s="620" t="e">
        <f>SUM(#REF!)</f>
        <v>#REF!</v>
      </c>
      <c r="R63" s="953" t="e">
        <f>#REF!+#REF!-#REF!</f>
        <v>#REF!</v>
      </c>
      <c r="S63" s="954">
        <v>200</v>
      </c>
      <c r="T63" s="953" t="e">
        <f>#REF!+#REF!</f>
        <v>#REF!</v>
      </c>
      <c r="U63" s="954" t="e">
        <f>#REF!</f>
        <v>#REF!</v>
      </c>
      <c r="V63" s="955">
        <v>0</v>
      </c>
      <c r="W63" s="954" t="e">
        <f>#REF!</f>
        <v>#REF!</v>
      </c>
      <c r="X63" s="956" t="e">
        <f>#REF!+#REF!</f>
        <v>#REF!</v>
      </c>
      <c r="Y63" s="956" t="e">
        <f>#REF!+#REF!</f>
        <v>#REF!</v>
      </c>
      <c r="Z63" s="956"/>
      <c r="AA63" s="954" t="e">
        <f>#REF!</f>
        <v>#REF!</v>
      </c>
      <c r="AB63" s="954" t="e">
        <f t="shared" si="4"/>
        <v>#REF!</v>
      </c>
      <c r="AC63" s="954" t="e">
        <f>#REF!+#REF!</f>
        <v>#REF!</v>
      </c>
      <c r="AD63" s="954">
        <f t="shared" si="5"/>
        <v>0</v>
      </c>
      <c r="AE63" s="625"/>
    </row>
    <row r="64" spans="1:31" s="620" customFormat="1" ht="18" customHeight="1" x14ac:dyDescent="0.2">
      <c r="A64" s="655" t="s">
        <v>2846</v>
      </c>
      <c r="B64" s="508">
        <f t="shared" si="6"/>
        <v>25</v>
      </c>
      <c r="C64" s="957">
        <f>+NOMINA!C68</f>
        <v>9496860</v>
      </c>
      <c r="D64" s="958" t="str">
        <f>+NOMINA!D68</f>
        <v>Hernandez Valero Jose Alfredo</v>
      </c>
      <c r="E64" s="955" t="s">
        <v>4622</v>
      </c>
      <c r="F64" s="959">
        <v>27081</v>
      </c>
      <c r="G64" s="955" t="s">
        <v>4620</v>
      </c>
      <c r="H64" s="960">
        <f>+NOMINA!H68</f>
        <v>43877</v>
      </c>
      <c r="I64" s="961">
        <f>+NOMINA!I68</f>
        <v>5</v>
      </c>
      <c r="J64" s="962">
        <f>+NOMINA!J68</f>
        <v>12</v>
      </c>
      <c r="K64" s="961">
        <f>+NOMINA!K68</f>
        <v>17</v>
      </c>
      <c r="L64" s="963">
        <f>+NOMINA!CA68</f>
        <v>6255</v>
      </c>
      <c r="M64" s="443" t="e">
        <f>#REF!+#REF!-#REF!</f>
        <v>#REF!</v>
      </c>
      <c r="N64" s="952" t="e">
        <f>ROUND((#REF!+#REF!+#REF!+#REF!+#REF!+#REF!+#REF!+#REF!),2)</f>
        <v>#REF!</v>
      </c>
      <c r="Q64" s="620" t="e">
        <f>SUM(#REF!)</f>
        <v>#REF!</v>
      </c>
      <c r="R64" s="953" t="e">
        <f>#REF!+#REF!-#REF!</f>
        <v>#REF!</v>
      </c>
      <c r="S64" s="954">
        <v>200</v>
      </c>
      <c r="T64" s="953" t="e">
        <f>#REF!+#REF!</f>
        <v>#REF!</v>
      </c>
      <c r="U64" s="954" t="e">
        <f>#REF!</f>
        <v>#REF!</v>
      </c>
      <c r="V64" s="955">
        <v>0</v>
      </c>
      <c r="W64" s="954" t="e">
        <f>#REF!</f>
        <v>#REF!</v>
      </c>
      <c r="X64" s="956" t="e">
        <f>#REF!+#REF!</f>
        <v>#REF!</v>
      </c>
      <c r="Y64" s="956" t="e">
        <f>#REF!+#REF!</f>
        <v>#REF!</v>
      </c>
      <c r="Z64" s="956"/>
      <c r="AA64" s="954" t="e">
        <f>#REF!</f>
        <v>#REF!</v>
      </c>
      <c r="AB64" s="954" t="e">
        <f t="shared" si="4"/>
        <v>#REF!</v>
      </c>
      <c r="AC64" s="954" t="e">
        <f>#REF!+#REF!</f>
        <v>#REF!</v>
      </c>
      <c r="AD64" s="954">
        <f t="shared" si="5"/>
        <v>6255</v>
      </c>
      <c r="AE64" s="625"/>
    </row>
    <row r="65" spans="1:31" s="620" customFormat="1" ht="18" customHeight="1" x14ac:dyDescent="0.2">
      <c r="A65" s="655" t="s">
        <v>2846</v>
      </c>
      <c r="B65" s="508">
        <f t="shared" si="6"/>
        <v>26</v>
      </c>
      <c r="C65" s="957">
        <f>+NOMINA!C69</f>
        <v>9497151</v>
      </c>
      <c r="D65" s="958" t="str">
        <f>+NOMINA!D69</f>
        <v>Mendoza Vieras Pedro Luis</v>
      </c>
      <c r="E65" s="955" t="s">
        <v>4622</v>
      </c>
      <c r="F65" s="959">
        <v>27081</v>
      </c>
      <c r="G65" s="955" t="s">
        <v>4620</v>
      </c>
      <c r="H65" s="960">
        <f>+NOMINA!H69</f>
        <v>36770</v>
      </c>
      <c r="I65" s="961">
        <f>+NOMINA!I69</f>
        <v>25</v>
      </c>
      <c r="J65" s="962">
        <f>+NOMINA!J69</f>
        <v>0</v>
      </c>
      <c r="K65" s="961">
        <f>+NOMINA!K69</f>
        <v>25</v>
      </c>
      <c r="L65" s="963">
        <f>+NOMINA!CA69</f>
        <v>6255</v>
      </c>
      <c r="M65" s="443" t="e">
        <f>#REF!+#REF!-#REF!</f>
        <v>#REF!</v>
      </c>
      <c r="N65" s="952" t="e">
        <f>ROUND((#REF!+#REF!+#REF!+#REF!+#REF!+#REF!+#REF!+#REF!),2)</f>
        <v>#REF!</v>
      </c>
      <c r="Q65" s="620" t="e">
        <f>SUM(#REF!)</f>
        <v>#REF!</v>
      </c>
      <c r="R65" s="953" t="e">
        <f>#REF!+#REF!-#REF!</f>
        <v>#REF!</v>
      </c>
      <c r="S65" s="954">
        <v>200</v>
      </c>
      <c r="T65" s="953" t="e">
        <f>#REF!+#REF!</f>
        <v>#REF!</v>
      </c>
      <c r="U65" s="954" t="e">
        <f>#REF!</f>
        <v>#REF!</v>
      </c>
      <c r="V65" s="955">
        <v>0</v>
      </c>
      <c r="W65" s="954" t="e">
        <f>#REF!</f>
        <v>#REF!</v>
      </c>
      <c r="X65" s="956" t="e">
        <f>#REF!+#REF!</f>
        <v>#REF!</v>
      </c>
      <c r="Y65" s="956" t="e">
        <f>#REF!+#REF!</f>
        <v>#REF!</v>
      </c>
      <c r="Z65" s="956"/>
      <c r="AA65" s="954" t="e">
        <f>#REF!</f>
        <v>#REF!</v>
      </c>
      <c r="AB65" s="954" t="e">
        <f t="shared" si="4"/>
        <v>#REF!</v>
      </c>
      <c r="AC65" s="954" t="e">
        <f>#REF!+#REF!</f>
        <v>#REF!</v>
      </c>
      <c r="AD65" s="954">
        <f t="shared" si="5"/>
        <v>6255</v>
      </c>
      <c r="AE65" s="625"/>
    </row>
    <row r="66" spans="1:31" s="620" customFormat="1" ht="18" customHeight="1" x14ac:dyDescent="0.2">
      <c r="A66" s="655" t="s">
        <v>2846</v>
      </c>
      <c r="B66" s="508">
        <f t="shared" si="6"/>
        <v>27</v>
      </c>
      <c r="C66" s="957">
        <f>+NOMINA!C70</f>
        <v>9497349</v>
      </c>
      <c r="D66" s="958" t="str">
        <f>+NOMINA!D70</f>
        <v>Cano Blanco Juan Carlos</v>
      </c>
      <c r="E66" s="955" t="s">
        <v>4622</v>
      </c>
      <c r="F66" s="959">
        <v>27081</v>
      </c>
      <c r="G66" s="955" t="s">
        <v>4620</v>
      </c>
      <c r="H66" s="960">
        <f>+NOMINA!H70</f>
        <v>45809</v>
      </c>
      <c r="I66" s="961">
        <f>+NOMINA!I70</f>
        <v>0</v>
      </c>
      <c r="J66" s="962">
        <f>+NOMINA!J70</f>
        <v>0</v>
      </c>
      <c r="K66" s="961">
        <f>+NOMINA!K70</f>
        <v>0</v>
      </c>
      <c r="L66" s="963">
        <f>+NOMINA!CA70</f>
        <v>6255</v>
      </c>
      <c r="M66" s="443" t="e">
        <f>#REF!+#REF!-#REF!</f>
        <v>#REF!</v>
      </c>
      <c r="N66" s="952" t="e">
        <f>ROUND((#REF!+#REF!+#REF!+#REF!+#REF!+#REF!+#REF!+#REF!),2)</f>
        <v>#REF!</v>
      </c>
      <c r="Q66" s="620" t="e">
        <f>SUM(#REF!)</f>
        <v>#REF!</v>
      </c>
      <c r="R66" s="953" t="e">
        <f>#REF!+#REF!-#REF!</f>
        <v>#REF!</v>
      </c>
      <c r="S66" s="954">
        <v>200</v>
      </c>
      <c r="T66" s="953" t="e">
        <f>#REF!+#REF!</f>
        <v>#REF!</v>
      </c>
      <c r="U66" s="954" t="e">
        <f>#REF!</f>
        <v>#REF!</v>
      </c>
      <c r="V66" s="955">
        <v>0</v>
      </c>
      <c r="W66" s="954" t="e">
        <f>#REF!</f>
        <v>#REF!</v>
      </c>
      <c r="X66" s="956" t="e">
        <f>#REF!+#REF!</f>
        <v>#REF!</v>
      </c>
      <c r="Y66" s="956" t="e">
        <f>#REF!+#REF!</f>
        <v>#REF!</v>
      </c>
      <c r="Z66" s="956"/>
      <c r="AA66" s="954" t="e">
        <f>#REF!</f>
        <v>#REF!</v>
      </c>
      <c r="AB66" s="954" t="e">
        <f t="shared" si="4"/>
        <v>#REF!</v>
      </c>
      <c r="AC66" s="954" t="e">
        <f>#REF!+#REF!</f>
        <v>#REF!</v>
      </c>
      <c r="AD66" s="954">
        <f t="shared" si="5"/>
        <v>6255</v>
      </c>
      <c r="AE66" s="625"/>
    </row>
    <row r="67" spans="1:31" s="620" customFormat="1" ht="18" customHeight="1" x14ac:dyDescent="0.2">
      <c r="A67" s="655" t="s">
        <v>2846</v>
      </c>
      <c r="B67" s="508">
        <f t="shared" si="6"/>
        <v>28</v>
      </c>
      <c r="C67" s="957">
        <f>+NOMINA!C71</f>
        <v>10033119</v>
      </c>
      <c r="D67" s="958" t="str">
        <f>+NOMINA!D71</f>
        <v>Artigas de Hernandez Ana Maria</v>
      </c>
      <c r="E67" s="955" t="s">
        <v>4622</v>
      </c>
      <c r="F67" s="959">
        <v>27081</v>
      </c>
      <c r="G67" s="955" t="s">
        <v>4620</v>
      </c>
      <c r="H67" s="960">
        <f>+NOMINA!H71</f>
        <v>43359</v>
      </c>
      <c r="I67" s="961">
        <f>+NOMINA!I71</f>
        <v>7</v>
      </c>
      <c r="J67" s="962">
        <f>+NOMINA!J71</f>
        <v>0</v>
      </c>
      <c r="K67" s="961">
        <f>+NOMINA!K71</f>
        <v>7</v>
      </c>
      <c r="L67" s="963">
        <f>+NOMINA!CA71</f>
        <v>6255</v>
      </c>
      <c r="M67" s="443" t="e">
        <f>#REF!+#REF!-#REF!</f>
        <v>#REF!</v>
      </c>
      <c r="N67" s="952" t="e">
        <f>ROUND((#REF!+#REF!+#REF!+#REF!+#REF!+#REF!+#REF!+#REF!),2)</f>
        <v>#REF!</v>
      </c>
      <c r="Q67" s="620" t="e">
        <f>SUM(#REF!)</f>
        <v>#REF!</v>
      </c>
      <c r="R67" s="953" t="e">
        <f>#REF!+#REF!-#REF!</f>
        <v>#REF!</v>
      </c>
      <c r="S67" s="954">
        <v>200</v>
      </c>
      <c r="T67" s="953" t="e">
        <f>#REF!+#REF!</f>
        <v>#REF!</v>
      </c>
      <c r="U67" s="954" t="e">
        <f>#REF!</f>
        <v>#REF!</v>
      </c>
      <c r="V67" s="955">
        <v>0</v>
      </c>
      <c r="W67" s="954" t="e">
        <f>#REF!</f>
        <v>#REF!</v>
      </c>
      <c r="X67" s="956" t="e">
        <f>#REF!+#REF!</f>
        <v>#REF!</v>
      </c>
      <c r="Y67" s="956" t="e">
        <f>#REF!+#REF!</f>
        <v>#REF!</v>
      </c>
      <c r="Z67" s="956"/>
      <c r="AA67" s="954" t="e">
        <f>#REF!</f>
        <v>#REF!</v>
      </c>
      <c r="AB67" s="954" t="e">
        <f t="shared" si="4"/>
        <v>#REF!</v>
      </c>
      <c r="AC67" s="954" t="e">
        <f>#REF!+#REF!</f>
        <v>#REF!</v>
      </c>
      <c r="AD67" s="954">
        <f t="shared" si="5"/>
        <v>6255</v>
      </c>
      <c r="AE67" s="625"/>
    </row>
    <row r="68" spans="1:31" s="620" customFormat="1" ht="18" customHeight="1" x14ac:dyDescent="0.2">
      <c r="A68" s="655" t="s">
        <v>2846</v>
      </c>
      <c r="B68" s="508">
        <f t="shared" si="6"/>
        <v>29</v>
      </c>
      <c r="C68" s="957">
        <f>+NOMINA!C72</f>
        <v>10035540</v>
      </c>
      <c r="D68" s="958" t="str">
        <f>+NOMINA!D72</f>
        <v>Linares Linares Emma Teresa</v>
      </c>
      <c r="E68" s="955" t="s">
        <v>4622</v>
      </c>
      <c r="F68" s="959">
        <v>27081</v>
      </c>
      <c r="G68" s="955" t="s">
        <v>4620</v>
      </c>
      <c r="H68" s="960">
        <f>+NOMINA!H72</f>
        <v>43236</v>
      </c>
      <c r="I68" s="961">
        <f>+NOMINA!I72</f>
        <v>7</v>
      </c>
      <c r="J68" s="962">
        <f>+NOMINA!J72</f>
        <v>0</v>
      </c>
      <c r="K68" s="961">
        <f>+NOMINA!K72</f>
        <v>7</v>
      </c>
      <c r="L68" s="963">
        <f>+NOMINA!CA72</f>
        <v>6255</v>
      </c>
      <c r="M68" s="443" t="e">
        <f>#REF!+#REF!-#REF!</f>
        <v>#REF!</v>
      </c>
      <c r="N68" s="952" t="e">
        <f>ROUND((#REF!+#REF!+#REF!+#REF!+#REF!+#REF!+#REF!+#REF!),2)</f>
        <v>#REF!</v>
      </c>
      <c r="Q68" s="620" t="e">
        <f>SUM(#REF!)</f>
        <v>#REF!</v>
      </c>
      <c r="R68" s="953" t="e">
        <f>#REF!+#REF!-#REF!</f>
        <v>#REF!</v>
      </c>
      <c r="S68" s="954">
        <v>200</v>
      </c>
      <c r="T68" s="953" t="e">
        <f>#REF!+#REF!</f>
        <v>#REF!</v>
      </c>
      <c r="U68" s="954" t="e">
        <f>#REF!</f>
        <v>#REF!</v>
      </c>
      <c r="V68" s="955">
        <v>0</v>
      </c>
      <c r="W68" s="954" t="e">
        <f>#REF!</f>
        <v>#REF!</v>
      </c>
      <c r="X68" s="956" t="e">
        <f>#REF!+#REF!</f>
        <v>#REF!</v>
      </c>
      <c r="Y68" s="956" t="e">
        <f>#REF!+#REF!</f>
        <v>#REF!</v>
      </c>
      <c r="Z68" s="956"/>
      <c r="AA68" s="954" t="e">
        <f>#REF!</f>
        <v>#REF!</v>
      </c>
      <c r="AB68" s="954" t="e">
        <f t="shared" si="4"/>
        <v>#REF!</v>
      </c>
      <c r="AC68" s="954" t="e">
        <f>#REF!+#REF!</f>
        <v>#REF!</v>
      </c>
      <c r="AD68" s="954">
        <f t="shared" si="5"/>
        <v>6255</v>
      </c>
      <c r="AE68" s="625"/>
    </row>
    <row r="69" spans="1:31" s="620" customFormat="1" ht="18" customHeight="1" x14ac:dyDescent="0.2">
      <c r="A69" s="655" t="s">
        <v>2846</v>
      </c>
      <c r="B69" s="508">
        <f t="shared" si="6"/>
        <v>30</v>
      </c>
      <c r="C69" s="957">
        <f>+NOMINA!C73</f>
        <v>10037054</v>
      </c>
      <c r="D69" s="958" t="str">
        <f>+NOMINA!D73</f>
        <v>Aguial Carrillo Deris Margarita</v>
      </c>
      <c r="E69" s="955" t="s">
        <v>4622</v>
      </c>
      <c r="F69" s="959">
        <v>27081</v>
      </c>
      <c r="G69" s="955" t="s">
        <v>4620</v>
      </c>
      <c r="H69" s="960">
        <f>+NOMINA!H73</f>
        <v>39820</v>
      </c>
      <c r="I69" s="961">
        <f>+NOMINA!I73</f>
        <v>16</v>
      </c>
      <c r="J69" s="962">
        <f>+NOMINA!J73</f>
        <v>0</v>
      </c>
      <c r="K69" s="961">
        <f>+NOMINA!K73</f>
        <v>16</v>
      </c>
      <c r="L69" s="963">
        <f>+NOMINA!CA73</f>
        <v>6255</v>
      </c>
      <c r="M69" s="443" t="e">
        <f>#REF!+#REF!-#REF!</f>
        <v>#REF!</v>
      </c>
      <c r="N69" s="952" t="e">
        <f>ROUND((#REF!+#REF!+#REF!+#REF!+#REF!+#REF!+#REF!+#REF!),2)</f>
        <v>#REF!</v>
      </c>
      <c r="Q69" s="620" t="e">
        <f>SUM(#REF!)</f>
        <v>#REF!</v>
      </c>
      <c r="R69" s="953" t="e">
        <f>#REF!+#REF!-#REF!</f>
        <v>#REF!</v>
      </c>
      <c r="S69" s="954">
        <v>200</v>
      </c>
      <c r="T69" s="953" t="e">
        <f>#REF!+#REF!</f>
        <v>#REF!</v>
      </c>
      <c r="U69" s="954" t="e">
        <f>#REF!</f>
        <v>#REF!</v>
      </c>
      <c r="V69" s="955">
        <v>0</v>
      </c>
      <c r="W69" s="954" t="e">
        <f>#REF!</f>
        <v>#REF!</v>
      </c>
      <c r="X69" s="956" t="e">
        <f>#REF!+#REF!</f>
        <v>#REF!</v>
      </c>
      <c r="Y69" s="956" t="e">
        <f>#REF!+#REF!</f>
        <v>#REF!</v>
      </c>
      <c r="Z69" s="956"/>
      <c r="AA69" s="954" t="e">
        <f>#REF!</f>
        <v>#REF!</v>
      </c>
      <c r="AB69" s="954" t="e">
        <f t="shared" si="4"/>
        <v>#REF!</v>
      </c>
      <c r="AC69" s="954" t="e">
        <f>#REF!+#REF!</f>
        <v>#REF!</v>
      </c>
      <c r="AD69" s="954">
        <f t="shared" si="5"/>
        <v>6255</v>
      </c>
      <c r="AE69" s="625"/>
    </row>
    <row r="70" spans="1:31" s="620" customFormat="1" ht="18" customHeight="1" x14ac:dyDescent="0.2">
      <c r="A70" s="655" t="s">
        <v>2846</v>
      </c>
      <c r="B70" s="508">
        <f t="shared" si="6"/>
        <v>31</v>
      </c>
      <c r="C70" s="957">
        <f>+NOMINA!C74</f>
        <v>10175616</v>
      </c>
      <c r="D70" s="958" t="str">
        <f>+NOMINA!D74</f>
        <v>Carrillo Prato Blanca Isabel</v>
      </c>
      <c r="E70" s="955" t="s">
        <v>4622</v>
      </c>
      <c r="F70" s="959">
        <v>27081</v>
      </c>
      <c r="G70" s="955" t="s">
        <v>4620</v>
      </c>
      <c r="H70" s="960">
        <f>+NOMINA!H74</f>
        <v>44228</v>
      </c>
      <c r="I70" s="961">
        <f>+NOMINA!I74</f>
        <v>4</v>
      </c>
      <c r="J70" s="962">
        <f>+NOMINA!J74</f>
        <v>0</v>
      </c>
      <c r="K70" s="961">
        <f>+NOMINA!K74</f>
        <v>4</v>
      </c>
      <c r="L70" s="963">
        <f>+NOMINA!CA74</f>
        <v>6255</v>
      </c>
      <c r="M70" s="443" t="e">
        <f>#REF!+#REF!-#REF!</f>
        <v>#REF!</v>
      </c>
      <c r="N70" s="952" t="e">
        <f>ROUND((#REF!+#REF!+#REF!+#REF!+#REF!+#REF!+#REF!+#REF!),2)</f>
        <v>#REF!</v>
      </c>
      <c r="Q70" s="620" t="e">
        <f>SUM(#REF!)</f>
        <v>#REF!</v>
      </c>
      <c r="R70" s="953" t="e">
        <f>#REF!+#REF!-#REF!</f>
        <v>#REF!</v>
      </c>
      <c r="S70" s="954">
        <v>200</v>
      </c>
      <c r="T70" s="953" t="e">
        <f>#REF!+#REF!</f>
        <v>#REF!</v>
      </c>
      <c r="U70" s="954" t="e">
        <f>#REF!</f>
        <v>#REF!</v>
      </c>
      <c r="V70" s="955">
        <v>0</v>
      </c>
      <c r="W70" s="954" t="e">
        <f>#REF!</f>
        <v>#REF!</v>
      </c>
      <c r="X70" s="956" t="e">
        <f>#REF!+#REF!</f>
        <v>#REF!</v>
      </c>
      <c r="Y70" s="956" t="e">
        <f>#REF!+#REF!</f>
        <v>#REF!</v>
      </c>
      <c r="Z70" s="956"/>
      <c r="AA70" s="954" t="e">
        <f>#REF!</f>
        <v>#REF!</v>
      </c>
      <c r="AB70" s="954" t="e">
        <f t="shared" si="4"/>
        <v>#REF!</v>
      </c>
      <c r="AC70" s="954" t="e">
        <f>#REF!+#REF!</f>
        <v>#REF!</v>
      </c>
      <c r="AD70" s="954">
        <f t="shared" si="5"/>
        <v>6255</v>
      </c>
      <c r="AE70" s="625"/>
    </row>
    <row r="71" spans="1:31" s="620" customFormat="1" ht="18" customHeight="1" x14ac:dyDescent="0.2">
      <c r="A71" s="655" t="s">
        <v>2846</v>
      </c>
      <c r="B71" s="508">
        <f t="shared" si="6"/>
        <v>32</v>
      </c>
      <c r="C71" s="957">
        <f>+NOMINA!C75</f>
        <v>10257016</v>
      </c>
      <c r="D71" s="958" t="str">
        <f>+NOMINA!D75</f>
        <v>Torres Dulma Ramona</v>
      </c>
      <c r="E71" s="955" t="s">
        <v>4622</v>
      </c>
      <c r="F71" s="959">
        <v>27081</v>
      </c>
      <c r="G71" s="955" t="s">
        <v>4620</v>
      </c>
      <c r="H71" s="960">
        <f>+NOMINA!H75</f>
        <v>35947</v>
      </c>
      <c r="I71" s="961">
        <f>+NOMINA!I75</f>
        <v>27</v>
      </c>
      <c r="J71" s="962">
        <f>+NOMINA!J75</f>
        <v>0</v>
      </c>
      <c r="K71" s="961">
        <f>+NOMINA!K75</f>
        <v>27</v>
      </c>
      <c r="L71" s="963">
        <f>+NOMINA!CA75</f>
        <v>6255</v>
      </c>
      <c r="M71" s="443" t="e">
        <f>#REF!+#REF!-#REF!</f>
        <v>#REF!</v>
      </c>
      <c r="N71" s="952" t="e">
        <f>ROUND((#REF!+#REF!+#REF!+#REF!+#REF!+#REF!+#REF!+#REF!),2)</f>
        <v>#REF!</v>
      </c>
      <c r="Q71" s="620" t="e">
        <f>SUM(#REF!)</f>
        <v>#REF!</v>
      </c>
      <c r="R71" s="953" t="e">
        <f>#REF!+#REF!-#REF!</f>
        <v>#REF!</v>
      </c>
      <c r="S71" s="954">
        <v>200</v>
      </c>
      <c r="T71" s="953" t="e">
        <f>#REF!+#REF!</f>
        <v>#REF!</v>
      </c>
      <c r="U71" s="954" t="e">
        <f>#REF!</f>
        <v>#REF!</v>
      </c>
      <c r="V71" s="955">
        <v>0</v>
      </c>
      <c r="W71" s="954" t="e">
        <f>#REF!</f>
        <v>#REF!</v>
      </c>
      <c r="X71" s="956" t="e">
        <f>#REF!+#REF!</f>
        <v>#REF!</v>
      </c>
      <c r="Y71" s="956" t="e">
        <f>#REF!+#REF!</f>
        <v>#REF!</v>
      </c>
      <c r="Z71" s="956"/>
      <c r="AA71" s="954" t="e">
        <f>#REF!</f>
        <v>#REF!</v>
      </c>
      <c r="AB71" s="954" t="e">
        <f t="shared" si="4"/>
        <v>#REF!</v>
      </c>
      <c r="AC71" s="954" t="e">
        <f>#REF!+#REF!</f>
        <v>#REF!</v>
      </c>
      <c r="AD71" s="954">
        <f t="shared" si="5"/>
        <v>6255</v>
      </c>
      <c r="AE71" s="625"/>
    </row>
    <row r="72" spans="1:31" s="620" customFormat="1" ht="18" customHeight="1" x14ac:dyDescent="0.2">
      <c r="A72" s="655" t="s">
        <v>2846</v>
      </c>
      <c r="B72" s="508">
        <f t="shared" si="6"/>
        <v>33</v>
      </c>
      <c r="C72" s="957">
        <f>+NOMINA!C76</f>
        <v>10315803</v>
      </c>
      <c r="D72" s="958" t="str">
        <f>+NOMINA!D76</f>
        <v>Frias Jacson Daniel</v>
      </c>
      <c r="E72" s="955" t="s">
        <v>4622</v>
      </c>
      <c r="F72" s="959">
        <v>27081</v>
      </c>
      <c r="G72" s="955" t="s">
        <v>4620</v>
      </c>
      <c r="H72" s="960">
        <f>+NOMINA!H76</f>
        <v>35415</v>
      </c>
      <c r="I72" s="961">
        <f>+NOMINA!I76</f>
        <v>28</v>
      </c>
      <c r="J72" s="962">
        <f>+NOMINA!J76</f>
        <v>0</v>
      </c>
      <c r="K72" s="961">
        <f>+NOMINA!K76</f>
        <v>28</v>
      </c>
      <c r="L72" s="963">
        <f>+NOMINA!CA76</f>
        <v>6255</v>
      </c>
      <c r="M72" s="443" t="e">
        <f>#REF!+#REF!-#REF!</f>
        <v>#REF!</v>
      </c>
      <c r="N72" s="952" t="e">
        <f>ROUND((#REF!+#REF!+#REF!+#REF!+#REF!+#REF!+#REF!+#REF!),2)</f>
        <v>#REF!</v>
      </c>
      <c r="Q72" s="620" t="e">
        <f>SUM(#REF!)</f>
        <v>#REF!</v>
      </c>
      <c r="R72" s="953" t="e">
        <f>#REF!+#REF!-#REF!</f>
        <v>#REF!</v>
      </c>
      <c r="S72" s="954">
        <v>200</v>
      </c>
      <c r="T72" s="953" t="e">
        <f>#REF!+#REF!</f>
        <v>#REF!</v>
      </c>
      <c r="U72" s="954" t="e">
        <f>#REF!</f>
        <v>#REF!</v>
      </c>
      <c r="V72" s="955">
        <v>0</v>
      </c>
      <c r="W72" s="954" t="e">
        <f>#REF!</f>
        <v>#REF!</v>
      </c>
      <c r="X72" s="956" t="e">
        <f>#REF!+#REF!</f>
        <v>#REF!</v>
      </c>
      <c r="Y72" s="956" t="e">
        <f>#REF!+#REF!</f>
        <v>#REF!</v>
      </c>
      <c r="Z72" s="956"/>
      <c r="AA72" s="954" t="e">
        <f>#REF!</f>
        <v>#REF!</v>
      </c>
      <c r="AB72" s="954" t="e">
        <f t="shared" si="4"/>
        <v>#REF!</v>
      </c>
      <c r="AC72" s="954" t="e">
        <f>#REF!+#REF!</f>
        <v>#REF!</v>
      </c>
      <c r="AD72" s="954">
        <f t="shared" si="5"/>
        <v>6255</v>
      </c>
      <c r="AE72" s="625"/>
    </row>
    <row r="73" spans="1:31" s="620" customFormat="1" ht="18" customHeight="1" x14ac:dyDescent="0.2">
      <c r="A73" s="655" t="s">
        <v>2846</v>
      </c>
      <c r="B73" s="508">
        <f t="shared" si="6"/>
        <v>34</v>
      </c>
      <c r="C73" s="957">
        <f>+NOMINA!C77</f>
        <v>10319457</v>
      </c>
      <c r="D73" s="958" t="str">
        <f>+NOMINA!D77</f>
        <v>Marquez Marquez Maribel del Valle</v>
      </c>
      <c r="E73" s="955" t="s">
        <v>4622</v>
      </c>
      <c r="F73" s="959">
        <v>27081</v>
      </c>
      <c r="G73" s="955" t="s">
        <v>4620</v>
      </c>
      <c r="H73" s="960">
        <f>+NOMINA!H77</f>
        <v>38831</v>
      </c>
      <c r="I73" s="961">
        <f>+NOMINA!I77</f>
        <v>19</v>
      </c>
      <c r="J73" s="962">
        <f>+NOMINA!J77</f>
        <v>0</v>
      </c>
      <c r="K73" s="961">
        <f>+NOMINA!K77</f>
        <v>19</v>
      </c>
      <c r="L73" s="963">
        <f>+NOMINA!CA77</f>
        <v>6255</v>
      </c>
      <c r="M73" s="443" t="e">
        <f>#REF!+#REF!-#REF!</f>
        <v>#REF!</v>
      </c>
      <c r="N73" s="952" t="e">
        <f>ROUND((#REF!+#REF!+#REF!+#REF!+#REF!+#REF!+#REF!+#REF!),2)</f>
        <v>#REF!</v>
      </c>
      <c r="Q73" s="620" t="e">
        <f>SUM(#REF!)</f>
        <v>#REF!</v>
      </c>
      <c r="R73" s="953" t="e">
        <f>#REF!+#REF!-#REF!</f>
        <v>#REF!</v>
      </c>
      <c r="S73" s="954">
        <v>200</v>
      </c>
      <c r="T73" s="953" t="e">
        <f>#REF!+#REF!</f>
        <v>#REF!</v>
      </c>
      <c r="U73" s="954" t="e">
        <f>#REF!</f>
        <v>#REF!</v>
      </c>
      <c r="V73" s="955">
        <v>0</v>
      </c>
      <c r="W73" s="954" t="e">
        <f>#REF!</f>
        <v>#REF!</v>
      </c>
      <c r="X73" s="956" t="e">
        <f>#REF!+#REF!</f>
        <v>#REF!</v>
      </c>
      <c r="Y73" s="956" t="e">
        <f>#REF!+#REF!</f>
        <v>#REF!</v>
      </c>
      <c r="Z73" s="956"/>
      <c r="AA73" s="954" t="e">
        <f>#REF!</f>
        <v>#REF!</v>
      </c>
      <c r="AB73" s="954" t="e">
        <f t="shared" si="4"/>
        <v>#REF!</v>
      </c>
      <c r="AC73" s="954" t="e">
        <f>#REF!+#REF!</f>
        <v>#REF!</v>
      </c>
      <c r="AD73" s="954">
        <f t="shared" si="5"/>
        <v>6255</v>
      </c>
      <c r="AE73" s="625"/>
    </row>
    <row r="74" spans="1:31" s="620" customFormat="1" ht="18" customHeight="1" x14ac:dyDescent="0.2">
      <c r="A74" s="655" t="s">
        <v>2846</v>
      </c>
      <c r="B74" s="508">
        <f t="shared" si="6"/>
        <v>35</v>
      </c>
      <c r="C74" s="957">
        <f>+NOMINA!C78</f>
        <v>10396379</v>
      </c>
      <c r="D74" s="958" t="str">
        <f>+NOMINA!D78</f>
        <v>Ruiz Luis Alfonzo</v>
      </c>
      <c r="E74" s="955" t="s">
        <v>4622</v>
      </c>
      <c r="F74" s="959">
        <v>27081</v>
      </c>
      <c r="G74" s="955" t="s">
        <v>4620</v>
      </c>
      <c r="H74" s="960">
        <f>+NOMINA!H78</f>
        <v>44743</v>
      </c>
      <c r="I74" s="961">
        <f>+NOMINA!I78</f>
        <v>3</v>
      </c>
      <c r="J74" s="962">
        <f>+NOMINA!J78</f>
        <v>0</v>
      </c>
      <c r="K74" s="961">
        <f>+NOMINA!K78</f>
        <v>3</v>
      </c>
      <c r="L74" s="963">
        <f>+NOMINA!CA78</f>
        <v>6255</v>
      </c>
      <c r="M74" s="443" t="e">
        <f>#REF!+#REF!-#REF!</f>
        <v>#REF!</v>
      </c>
      <c r="N74" s="952" t="e">
        <f>ROUND((#REF!+#REF!+#REF!+#REF!+#REF!+#REF!+#REF!+#REF!),2)</f>
        <v>#REF!</v>
      </c>
      <c r="Q74" s="620" t="e">
        <f>SUM(#REF!)</f>
        <v>#REF!</v>
      </c>
      <c r="R74" s="953" t="e">
        <f>#REF!+#REF!-#REF!</f>
        <v>#REF!</v>
      </c>
      <c r="S74" s="954">
        <v>200</v>
      </c>
      <c r="T74" s="953" t="e">
        <f>#REF!+#REF!</f>
        <v>#REF!</v>
      </c>
      <c r="U74" s="954" t="e">
        <f>#REF!</f>
        <v>#REF!</v>
      </c>
      <c r="V74" s="955">
        <v>0</v>
      </c>
      <c r="W74" s="954" t="e">
        <f>#REF!</f>
        <v>#REF!</v>
      </c>
      <c r="X74" s="956" t="e">
        <f>#REF!+#REF!</f>
        <v>#REF!</v>
      </c>
      <c r="Y74" s="956" t="e">
        <f>#REF!+#REF!</f>
        <v>#REF!</v>
      </c>
      <c r="Z74" s="956"/>
      <c r="AA74" s="954" t="e">
        <f>#REF!</f>
        <v>#REF!</v>
      </c>
      <c r="AB74" s="954" t="e">
        <f t="shared" si="4"/>
        <v>#REF!</v>
      </c>
      <c r="AC74" s="954" t="e">
        <f>#REF!+#REF!</f>
        <v>#REF!</v>
      </c>
      <c r="AD74" s="954">
        <f t="shared" si="5"/>
        <v>6255</v>
      </c>
      <c r="AE74" s="625"/>
    </row>
    <row r="75" spans="1:31" s="620" customFormat="1" ht="18" customHeight="1" x14ac:dyDescent="0.2">
      <c r="A75" s="655" t="s">
        <v>2846</v>
      </c>
      <c r="B75" s="508">
        <f t="shared" si="6"/>
        <v>36</v>
      </c>
      <c r="C75" s="957">
        <f>+NOMINA!C79</f>
        <v>10398694</v>
      </c>
      <c r="D75" s="958" t="str">
        <f>+NOMINA!D79</f>
        <v>Santana Briceño Jose Gregorio</v>
      </c>
      <c r="E75" s="955" t="s">
        <v>4622</v>
      </c>
      <c r="F75" s="959">
        <v>27081</v>
      </c>
      <c r="G75" s="955" t="s">
        <v>4620</v>
      </c>
      <c r="H75" s="960">
        <f>+NOMINA!H79</f>
        <v>44743</v>
      </c>
      <c r="I75" s="961">
        <f>+NOMINA!I79</f>
        <v>3</v>
      </c>
      <c r="J75" s="962">
        <f>+NOMINA!J79</f>
        <v>23</v>
      </c>
      <c r="K75" s="961">
        <f>+NOMINA!K79</f>
        <v>26</v>
      </c>
      <c r="L75" s="963">
        <f>+NOMINA!CA79</f>
        <v>6255</v>
      </c>
      <c r="M75" s="443" t="e">
        <f>#REF!+#REF!-#REF!</f>
        <v>#REF!</v>
      </c>
      <c r="N75" s="952" t="e">
        <f>ROUND((#REF!+#REF!+#REF!+#REF!+#REF!+#REF!+#REF!+#REF!),2)</f>
        <v>#REF!</v>
      </c>
      <c r="Q75" s="620" t="e">
        <f>SUM(#REF!)</f>
        <v>#REF!</v>
      </c>
      <c r="R75" s="953" t="e">
        <f>#REF!+#REF!-#REF!</f>
        <v>#REF!</v>
      </c>
      <c r="S75" s="954">
        <v>200</v>
      </c>
      <c r="T75" s="953" t="e">
        <f>#REF!+#REF!</f>
        <v>#REF!</v>
      </c>
      <c r="U75" s="954" t="e">
        <f>#REF!</f>
        <v>#REF!</v>
      </c>
      <c r="V75" s="955">
        <v>0</v>
      </c>
      <c r="W75" s="954" t="e">
        <f>#REF!</f>
        <v>#REF!</v>
      </c>
      <c r="X75" s="956" t="e">
        <f>#REF!+#REF!</f>
        <v>#REF!</v>
      </c>
      <c r="Y75" s="956" t="e">
        <f>#REF!+#REF!</f>
        <v>#REF!</v>
      </c>
      <c r="Z75" s="956"/>
      <c r="AA75" s="954" t="e">
        <f>#REF!</f>
        <v>#REF!</v>
      </c>
      <c r="AB75" s="954" t="e">
        <f t="shared" si="4"/>
        <v>#REF!</v>
      </c>
      <c r="AC75" s="954" t="e">
        <f>#REF!+#REF!</f>
        <v>#REF!</v>
      </c>
      <c r="AD75" s="954">
        <f t="shared" si="5"/>
        <v>6255</v>
      </c>
      <c r="AE75" s="625"/>
    </row>
    <row r="76" spans="1:31" s="620" customFormat="1" ht="18" customHeight="1" x14ac:dyDescent="0.2">
      <c r="A76" s="655" t="s">
        <v>2846</v>
      </c>
      <c r="B76" s="508">
        <f t="shared" si="6"/>
        <v>37</v>
      </c>
      <c r="C76" s="957">
        <f>+NOMINA!C80</f>
        <v>10399064</v>
      </c>
      <c r="D76" s="958" t="str">
        <f>+NOMINA!D80</f>
        <v>Perdomo Perdomo Angela Aurora</v>
      </c>
      <c r="E76" s="955" t="s">
        <v>4622</v>
      </c>
      <c r="F76" s="959">
        <v>27081</v>
      </c>
      <c r="G76" s="955" t="s">
        <v>4620</v>
      </c>
      <c r="H76" s="960">
        <f>+NOMINA!H80</f>
        <v>39328</v>
      </c>
      <c r="I76" s="961">
        <f>+NOMINA!I80</f>
        <v>18</v>
      </c>
      <c r="J76" s="962">
        <f>+NOMINA!J80</f>
        <v>0</v>
      </c>
      <c r="K76" s="961">
        <f>+NOMINA!K80</f>
        <v>18</v>
      </c>
      <c r="L76" s="963">
        <f>+NOMINA!CA80</f>
        <v>6255</v>
      </c>
      <c r="M76" s="443" t="e">
        <f>#REF!+#REF!-#REF!</f>
        <v>#REF!</v>
      </c>
      <c r="N76" s="952" t="e">
        <f>ROUND((#REF!+#REF!+#REF!+#REF!+#REF!+#REF!+#REF!+#REF!),2)</f>
        <v>#REF!</v>
      </c>
      <c r="Q76" s="620" t="e">
        <f>SUM(#REF!)</f>
        <v>#REF!</v>
      </c>
      <c r="R76" s="953" t="e">
        <f>#REF!+#REF!-#REF!</f>
        <v>#REF!</v>
      </c>
      <c r="S76" s="954">
        <v>200</v>
      </c>
      <c r="T76" s="953" t="e">
        <f>#REF!+#REF!</f>
        <v>#REF!</v>
      </c>
      <c r="U76" s="954" t="e">
        <f>#REF!</f>
        <v>#REF!</v>
      </c>
      <c r="V76" s="955">
        <v>0</v>
      </c>
      <c r="W76" s="954" t="e">
        <f>#REF!</f>
        <v>#REF!</v>
      </c>
      <c r="X76" s="956" t="e">
        <f>#REF!+#REF!</f>
        <v>#REF!</v>
      </c>
      <c r="Y76" s="956" t="e">
        <f>#REF!+#REF!</f>
        <v>#REF!</v>
      </c>
      <c r="Z76" s="956"/>
      <c r="AA76" s="954" t="e">
        <f>#REF!</f>
        <v>#REF!</v>
      </c>
      <c r="AB76" s="954" t="e">
        <f t="shared" si="4"/>
        <v>#REF!</v>
      </c>
      <c r="AC76" s="954" t="e">
        <f>#REF!+#REF!</f>
        <v>#REF!</v>
      </c>
      <c r="AD76" s="954">
        <f t="shared" si="5"/>
        <v>6255</v>
      </c>
      <c r="AE76" s="625"/>
    </row>
    <row r="77" spans="1:31" s="620" customFormat="1" ht="18" customHeight="1" x14ac:dyDescent="0.2">
      <c r="A77" s="655" t="s">
        <v>2846</v>
      </c>
      <c r="B77" s="508">
        <f t="shared" si="6"/>
        <v>38</v>
      </c>
      <c r="C77" s="957">
        <f>+NOMINA!C81</f>
        <v>10400214</v>
      </c>
      <c r="D77" s="958" t="str">
        <f>+NOMINA!D81</f>
        <v>Bastidas Yanitza del Valle</v>
      </c>
      <c r="E77" s="955" t="s">
        <v>4622</v>
      </c>
      <c r="F77" s="959">
        <v>27081</v>
      </c>
      <c r="G77" s="955" t="s">
        <v>4620</v>
      </c>
      <c r="H77" s="960">
        <f>+NOMINA!H81</f>
        <v>41153</v>
      </c>
      <c r="I77" s="961">
        <f>+NOMINA!I81</f>
        <v>13</v>
      </c>
      <c r="J77" s="962">
        <f>+NOMINA!J81</f>
        <v>0</v>
      </c>
      <c r="K77" s="961">
        <f>+NOMINA!K81</f>
        <v>13</v>
      </c>
      <c r="L77" s="963">
        <f>+NOMINA!CA81</f>
        <v>6255</v>
      </c>
      <c r="M77" s="443" t="e">
        <f>#REF!+#REF!-#REF!</f>
        <v>#REF!</v>
      </c>
      <c r="N77" s="952" t="e">
        <f>ROUND((#REF!+#REF!+#REF!+#REF!+#REF!+#REF!+#REF!+#REF!),2)</f>
        <v>#REF!</v>
      </c>
      <c r="Q77" s="620" t="e">
        <f>SUM(#REF!)</f>
        <v>#REF!</v>
      </c>
      <c r="R77" s="953" t="e">
        <f>#REF!+#REF!-#REF!</f>
        <v>#REF!</v>
      </c>
      <c r="S77" s="954">
        <v>200</v>
      </c>
      <c r="T77" s="953" t="e">
        <f>#REF!+#REF!</f>
        <v>#REF!</v>
      </c>
      <c r="U77" s="954" t="e">
        <f>#REF!</f>
        <v>#REF!</v>
      </c>
      <c r="V77" s="955">
        <v>0</v>
      </c>
      <c r="W77" s="954" t="e">
        <f>#REF!</f>
        <v>#REF!</v>
      </c>
      <c r="X77" s="956" t="e">
        <f>#REF!+#REF!</f>
        <v>#REF!</v>
      </c>
      <c r="Y77" s="956" t="e">
        <f>#REF!+#REF!</f>
        <v>#REF!</v>
      </c>
      <c r="Z77" s="956"/>
      <c r="AA77" s="954" t="e">
        <f>#REF!</f>
        <v>#REF!</v>
      </c>
      <c r="AB77" s="954" t="e">
        <f t="shared" si="4"/>
        <v>#REF!</v>
      </c>
      <c r="AC77" s="954" t="e">
        <f>#REF!+#REF!</f>
        <v>#REF!</v>
      </c>
      <c r="AD77" s="954">
        <f t="shared" si="5"/>
        <v>6255</v>
      </c>
      <c r="AE77" s="625"/>
    </row>
    <row r="78" spans="1:31" s="620" customFormat="1" ht="18" customHeight="1" x14ac:dyDescent="0.2">
      <c r="A78" s="655" t="s">
        <v>2846</v>
      </c>
      <c r="B78" s="508">
        <f t="shared" si="6"/>
        <v>39</v>
      </c>
      <c r="C78" s="957">
        <f>+NOMINA!C82</f>
        <v>10400365</v>
      </c>
      <c r="D78" s="958" t="str">
        <f>+NOMINA!D82</f>
        <v>Briceño Ruiz Sara Josefina</v>
      </c>
      <c r="E78" s="955" t="s">
        <v>4622</v>
      </c>
      <c r="F78" s="959">
        <v>27081</v>
      </c>
      <c r="G78" s="955" t="s">
        <v>4620</v>
      </c>
      <c r="H78" s="960">
        <f>+NOMINA!H82</f>
        <v>39328</v>
      </c>
      <c r="I78" s="961">
        <f>+NOMINA!I82</f>
        <v>18</v>
      </c>
      <c r="J78" s="962">
        <f>+NOMINA!J82</f>
        <v>0</v>
      </c>
      <c r="K78" s="961">
        <f>+NOMINA!K82</f>
        <v>18</v>
      </c>
      <c r="L78" s="963">
        <f>+NOMINA!CA82</f>
        <v>6255</v>
      </c>
      <c r="M78" s="443" t="e">
        <f>#REF!+#REF!-#REF!</f>
        <v>#REF!</v>
      </c>
      <c r="N78" s="952" t="e">
        <f>ROUND((#REF!+#REF!+#REF!+#REF!+#REF!+#REF!+#REF!+#REF!),2)</f>
        <v>#REF!</v>
      </c>
      <c r="Q78" s="620" t="e">
        <f>SUM(#REF!)</f>
        <v>#REF!</v>
      </c>
      <c r="R78" s="953" t="e">
        <f>#REF!+#REF!-#REF!</f>
        <v>#REF!</v>
      </c>
      <c r="S78" s="954">
        <v>200</v>
      </c>
      <c r="T78" s="953" t="e">
        <f>#REF!+#REF!</f>
        <v>#REF!</v>
      </c>
      <c r="U78" s="954" t="e">
        <f>#REF!</f>
        <v>#REF!</v>
      </c>
      <c r="V78" s="955">
        <v>0</v>
      </c>
      <c r="W78" s="954" t="e">
        <f>#REF!</f>
        <v>#REF!</v>
      </c>
      <c r="X78" s="956" t="e">
        <f>#REF!+#REF!</f>
        <v>#REF!</v>
      </c>
      <c r="Y78" s="956" t="e">
        <f>#REF!+#REF!</f>
        <v>#REF!</v>
      </c>
      <c r="Z78" s="956"/>
      <c r="AA78" s="954" t="e">
        <f>#REF!</f>
        <v>#REF!</v>
      </c>
      <c r="AB78" s="954" t="e">
        <f t="shared" si="4"/>
        <v>#REF!</v>
      </c>
      <c r="AC78" s="954" t="e">
        <f>#REF!+#REF!</f>
        <v>#REF!</v>
      </c>
      <c r="AD78" s="954">
        <f t="shared" si="5"/>
        <v>6255</v>
      </c>
      <c r="AE78" s="625"/>
    </row>
    <row r="79" spans="1:31" s="620" customFormat="1" ht="18" customHeight="1" x14ac:dyDescent="0.2">
      <c r="A79" s="655" t="s">
        <v>2846</v>
      </c>
      <c r="B79" s="508">
        <f t="shared" si="6"/>
        <v>40</v>
      </c>
      <c r="C79" s="957">
        <f>+NOMINA!C83</f>
        <v>10400876</v>
      </c>
      <c r="D79" s="958" t="str">
        <f>+NOMINA!D83</f>
        <v>Ramirez Vergara Graciela de Jesus</v>
      </c>
      <c r="E79" s="955" t="s">
        <v>4622</v>
      </c>
      <c r="F79" s="959">
        <v>27081</v>
      </c>
      <c r="G79" s="955" t="s">
        <v>4620</v>
      </c>
      <c r="H79" s="960">
        <f>+NOMINA!H83</f>
        <v>43556</v>
      </c>
      <c r="I79" s="961">
        <f>+NOMINA!I83</f>
        <v>6</v>
      </c>
      <c r="J79" s="962">
        <f>+NOMINA!J83</f>
        <v>10</v>
      </c>
      <c r="K79" s="961">
        <f>+NOMINA!K83</f>
        <v>16</v>
      </c>
      <c r="L79" s="963">
        <f>+NOMINA!CA83</f>
        <v>6255</v>
      </c>
      <c r="M79" s="443" t="e">
        <f>#REF!+#REF!-#REF!</f>
        <v>#REF!</v>
      </c>
      <c r="N79" s="952" t="e">
        <f>ROUND((#REF!+#REF!+#REF!+#REF!+#REF!+#REF!+#REF!+#REF!),2)</f>
        <v>#REF!</v>
      </c>
      <c r="Q79" s="620" t="e">
        <f>SUM(#REF!)</f>
        <v>#REF!</v>
      </c>
      <c r="R79" s="953" t="e">
        <f>#REF!+#REF!-#REF!</f>
        <v>#REF!</v>
      </c>
      <c r="S79" s="954">
        <v>200</v>
      </c>
      <c r="T79" s="953" t="e">
        <f>#REF!+#REF!</f>
        <v>#REF!</v>
      </c>
      <c r="U79" s="954" t="e">
        <f>#REF!</f>
        <v>#REF!</v>
      </c>
      <c r="V79" s="955">
        <v>0</v>
      </c>
      <c r="W79" s="954" t="e">
        <f>#REF!</f>
        <v>#REF!</v>
      </c>
      <c r="X79" s="956" t="e">
        <f>#REF!+#REF!</f>
        <v>#REF!</v>
      </c>
      <c r="Y79" s="956" t="e">
        <f>#REF!+#REF!</f>
        <v>#REF!</v>
      </c>
      <c r="Z79" s="956"/>
      <c r="AA79" s="954" t="e">
        <f>#REF!</f>
        <v>#REF!</v>
      </c>
      <c r="AB79" s="954" t="e">
        <f t="shared" si="4"/>
        <v>#REF!</v>
      </c>
      <c r="AC79" s="954" t="e">
        <f>#REF!+#REF!</f>
        <v>#REF!</v>
      </c>
      <c r="AD79" s="954">
        <f t="shared" si="5"/>
        <v>6255</v>
      </c>
      <c r="AE79" s="625"/>
    </row>
    <row r="80" spans="1:31" s="620" customFormat="1" ht="18" customHeight="1" x14ac:dyDescent="0.2">
      <c r="A80" s="655" t="s">
        <v>2846</v>
      </c>
      <c r="B80" s="508">
        <f t="shared" si="6"/>
        <v>41</v>
      </c>
      <c r="C80" s="957">
        <f>+NOMINA!C84</f>
        <v>10404528</v>
      </c>
      <c r="D80" s="958" t="str">
        <f>+NOMINA!D84</f>
        <v>Perez Castellano Javier Horacio</v>
      </c>
      <c r="E80" s="955" t="s">
        <v>4622</v>
      </c>
      <c r="F80" s="959">
        <v>27081</v>
      </c>
      <c r="G80" s="955" t="s">
        <v>4620</v>
      </c>
      <c r="H80" s="960">
        <f>+NOMINA!H84</f>
        <v>37622</v>
      </c>
      <c r="I80" s="961">
        <f>+NOMINA!I84</f>
        <v>22</v>
      </c>
      <c r="J80" s="962">
        <f>+NOMINA!J84</f>
        <v>0</v>
      </c>
      <c r="K80" s="961">
        <f>+NOMINA!K84</f>
        <v>22</v>
      </c>
      <c r="L80" s="963">
        <f>+NOMINA!CA84</f>
        <v>0</v>
      </c>
      <c r="M80" s="443" t="e">
        <f>#REF!+#REF!-#REF!</f>
        <v>#REF!</v>
      </c>
      <c r="N80" s="952" t="e">
        <f>ROUND((#REF!+#REF!+#REF!+#REF!+#REF!+#REF!+#REF!+#REF!),2)</f>
        <v>#REF!</v>
      </c>
      <c r="Q80" s="620" t="e">
        <f>SUM(#REF!)</f>
        <v>#REF!</v>
      </c>
      <c r="R80" s="953" t="e">
        <f>#REF!+#REF!-#REF!</f>
        <v>#REF!</v>
      </c>
      <c r="S80" s="954">
        <v>200</v>
      </c>
      <c r="T80" s="953" t="e">
        <f>#REF!+#REF!</f>
        <v>#REF!</v>
      </c>
      <c r="U80" s="954" t="e">
        <f>#REF!</f>
        <v>#REF!</v>
      </c>
      <c r="V80" s="955">
        <v>0</v>
      </c>
      <c r="W80" s="954" t="e">
        <f>#REF!</f>
        <v>#REF!</v>
      </c>
      <c r="X80" s="956" t="e">
        <f>#REF!+#REF!</f>
        <v>#REF!</v>
      </c>
      <c r="Y80" s="956" t="e">
        <f>#REF!+#REF!</f>
        <v>#REF!</v>
      </c>
      <c r="Z80" s="956"/>
      <c r="AA80" s="954" t="e">
        <f>#REF!</f>
        <v>#REF!</v>
      </c>
      <c r="AB80" s="954" t="e">
        <f t="shared" si="4"/>
        <v>#REF!</v>
      </c>
      <c r="AC80" s="954" t="e">
        <f>#REF!+#REF!</f>
        <v>#REF!</v>
      </c>
      <c r="AD80" s="954">
        <f t="shared" si="5"/>
        <v>0</v>
      </c>
      <c r="AE80" s="625"/>
    </row>
    <row r="81" spans="1:31" s="620" customFormat="1" ht="18" customHeight="1" x14ac:dyDescent="0.2">
      <c r="A81" s="655" t="s">
        <v>2846</v>
      </c>
      <c r="B81" s="508">
        <f t="shared" si="6"/>
        <v>42</v>
      </c>
      <c r="C81" s="957">
        <f>+NOMINA!C85</f>
        <v>10906110</v>
      </c>
      <c r="D81" s="958" t="str">
        <f>+NOMINA!D85</f>
        <v>Linares Prato Yraima Gregoria</v>
      </c>
      <c r="E81" s="955" t="s">
        <v>4622</v>
      </c>
      <c r="F81" s="959">
        <v>27081</v>
      </c>
      <c r="G81" s="955" t="s">
        <v>4620</v>
      </c>
      <c r="H81" s="960">
        <f>+NOMINA!H85</f>
        <v>45292</v>
      </c>
      <c r="I81" s="961">
        <f>+NOMINA!I85</f>
        <v>1</v>
      </c>
      <c r="J81" s="962">
        <f>+NOMINA!J85</f>
        <v>0</v>
      </c>
      <c r="K81" s="961">
        <f>+NOMINA!K85</f>
        <v>1</v>
      </c>
      <c r="L81" s="963">
        <f>+NOMINA!CA85</f>
        <v>6255</v>
      </c>
      <c r="M81" s="443" t="e">
        <f>#REF!+#REF!-#REF!</f>
        <v>#REF!</v>
      </c>
      <c r="N81" s="952" t="e">
        <f>ROUND((#REF!+#REF!+#REF!+#REF!+#REF!+#REF!+#REF!+#REF!),2)</f>
        <v>#REF!</v>
      </c>
      <c r="Q81" s="620" t="e">
        <f>SUM(#REF!)</f>
        <v>#REF!</v>
      </c>
      <c r="R81" s="953" t="e">
        <f>#REF!+#REF!-#REF!</f>
        <v>#REF!</v>
      </c>
      <c r="S81" s="954">
        <v>200</v>
      </c>
      <c r="T81" s="953" t="e">
        <f>#REF!+#REF!</f>
        <v>#REF!</v>
      </c>
      <c r="U81" s="954" t="e">
        <f>#REF!</f>
        <v>#REF!</v>
      </c>
      <c r="V81" s="955">
        <v>0</v>
      </c>
      <c r="W81" s="954" t="e">
        <f>#REF!</f>
        <v>#REF!</v>
      </c>
      <c r="X81" s="956" t="e">
        <f>#REF!+#REF!</f>
        <v>#REF!</v>
      </c>
      <c r="Y81" s="956" t="e">
        <f>#REF!+#REF!</f>
        <v>#REF!</v>
      </c>
      <c r="Z81" s="956"/>
      <c r="AA81" s="954" t="e">
        <f>#REF!</f>
        <v>#REF!</v>
      </c>
      <c r="AB81" s="954" t="e">
        <f t="shared" si="4"/>
        <v>#REF!</v>
      </c>
      <c r="AC81" s="954" t="e">
        <f>#REF!+#REF!</f>
        <v>#REF!</v>
      </c>
      <c r="AD81" s="954">
        <f t="shared" si="5"/>
        <v>6255</v>
      </c>
      <c r="AE81" s="625"/>
    </row>
    <row r="82" spans="1:31" s="620" customFormat="1" ht="18" customHeight="1" x14ac:dyDescent="0.2">
      <c r="A82" s="655" t="s">
        <v>2846</v>
      </c>
      <c r="B82" s="508">
        <f t="shared" si="6"/>
        <v>43</v>
      </c>
      <c r="C82" s="957">
        <f>+NOMINA!C86</f>
        <v>10906923</v>
      </c>
      <c r="D82" s="958" t="str">
        <f>+NOMINA!D86</f>
        <v>Cruz de Rodriguez Yanet Coromoto</v>
      </c>
      <c r="E82" s="955" t="s">
        <v>4622</v>
      </c>
      <c r="F82" s="959">
        <v>27081</v>
      </c>
      <c r="G82" s="955" t="s">
        <v>4620</v>
      </c>
      <c r="H82" s="960">
        <f>+NOMINA!H86</f>
        <v>44636</v>
      </c>
      <c r="I82" s="961">
        <f>+NOMINA!I86</f>
        <v>3</v>
      </c>
      <c r="J82" s="962">
        <f>+NOMINA!J86</f>
        <v>0</v>
      </c>
      <c r="K82" s="961">
        <f>+NOMINA!K86</f>
        <v>3</v>
      </c>
      <c r="L82" s="963">
        <f>+NOMINA!CA86</f>
        <v>6255</v>
      </c>
      <c r="M82" s="443" t="e">
        <f>#REF!+#REF!-#REF!</f>
        <v>#REF!</v>
      </c>
      <c r="N82" s="952" t="e">
        <f>ROUND((#REF!+#REF!+#REF!+#REF!+#REF!+#REF!+#REF!+#REF!),2)</f>
        <v>#REF!</v>
      </c>
      <c r="Q82" s="620" t="e">
        <f>SUM(#REF!)</f>
        <v>#REF!</v>
      </c>
      <c r="R82" s="953" t="e">
        <f>#REF!+#REF!-#REF!</f>
        <v>#REF!</v>
      </c>
      <c r="S82" s="954">
        <v>200</v>
      </c>
      <c r="T82" s="953" t="e">
        <f>#REF!+#REF!</f>
        <v>#REF!</v>
      </c>
      <c r="U82" s="954" t="e">
        <f>#REF!</f>
        <v>#REF!</v>
      </c>
      <c r="V82" s="955">
        <v>0</v>
      </c>
      <c r="W82" s="954" t="e">
        <f>#REF!</f>
        <v>#REF!</v>
      </c>
      <c r="X82" s="956" t="e">
        <f>#REF!+#REF!</f>
        <v>#REF!</v>
      </c>
      <c r="Y82" s="956" t="e">
        <f>#REF!+#REF!</f>
        <v>#REF!</v>
      </c>
      <c r="Z82" s="956"/>
      <c r="AA82" s="954" t="e">
        <f>#REF!</f>
        <v>#REF!</v>
      </c>
      <c r="AB82" s="954" t="e">
        <f t="shared" si="4"/>
        <v>#REF!</v>
      </c>
      <c r="AC82" s="954" t="e">
        <f>#REF!+#REF!</f>
        <v>#REF!</v>
      </c>
      <c r="AD82" s="954">
        <f t="shared" si="5"/>
        <v>6255</v>
      </c>
      <c r="AE82" s="625"/>
    </row>
    <row r="83" spans="1:31" s="620" customFormat="1" ht="18" customHeight="1" x14ac:dyDescent="0.2">
      <c r="A83" s="655" t="s">
        <v>2846</v>
      </c>
      <c r="B83" s="508">
        <f t="shared" si="6"/>
        <v>44</v>
      </c>
      <c r="C83" s="957">
        <f>+NOMINA!C87</f>
        <v>10908510</v>
      </c>
      <c r="D83" s="958" t="str">
        <f>+NOMINA!D87</f>
        <v>Castro de Vielma Yanira Rosa</v>
      </c>
      <c r="E83" s="955" t="s">
        <v>4622</v>
      </c>
      <c r="F83" s="959">
        <v>27081</v>
      </c>
      <c r="G83" s="955" t="s">
        <v>4620</v>
      </c>
      <c r="H83" s="960">
        <f>+NOMINA!H87</f>
        <v>39874</v>
      </c>
      <c r="I83" s="961">
        <f>+NOMINA!I87</f>
        <v>16</v>
      </c>
      <c r="J83" s="962">
        <f>+NOMINA!J87</f>
        <v>6</v>
      </c>
      <c r="K83" s="961">
        <f>+NOMINA!K87</f>
        <v>22</v>
      </c>
      <c r="L83" s="963">
        <f>+NOMINA!CA87</f>
        <v>6255</v>
      </c>
      <c r="M83" s="443" t="e">
        <f>#REF!+#REF!-#REF!</f>
        <v>#REF!</v>
      </c>
      <c r="N83" s="952" t="e">
        <f>ROUND((#REF!+#REF!+#REF!+#REF!+#REF!+#REF!+#REF!+#REF!),2)</f>
        <v>#REF!</v>
      </c>
      <c r="Q83" s="620" t="e">
        <f>SUM(#REF!)</f>
        <v>#REF!</v>
      </c>
      <c r="R83" s="953" t="e">
        <f>#REF!+#REF!-#REF!</f>
        <v>#REF!</v>
      </c>
      <c r="S83" s="954">
        <v>200</v>
      </c>
      <c r="T83" s="953" t="e">
        <f>#REF!+#REF!</f>
        <v>#REF!</v>
      </c>
      <c r="U83" s="954" t="e">
        <f>#REF!</f>
        <v>#REF!</v>
      </c>
      <c r="V83" s="955">
        <v>0</v>
      </c>
      <c r="W83" s="954" t="e">
        <f>#REF!</f>
        <v>#REF!</v>
      </c>
      <c r="X83" s="956" t="e">
        <f>#REF!+#REF!</f>
        <v>#REF!</v>
      </c>
      <c r="Y83" s="956" t="e">
        <f>#REF!+#REF!</f>
        <v>#REF!</v>
      </c>
      <c r="Z83" s="956"/>
      <c r="AA83" s="954" t="e">
        <f>#REF!</f>
        <v>#REF!</v>
      </c>
      <c r="AB83" s="954" t="e">
        <f t="shared" si="4"/>
        <v>#REF!</v>
      </c>
      <c r="AC83" s="954" t="e">
        <f>#REF!+#REF!</f>
        <v>#REF!</v>
      </c>
      <c r="AD83" s="954">
        <f t="shared" si="5"/>
        <v>6255</v>
      </c>
      <c r="AE83" s="625"/>
    </row>
    <row r="84" spans="1:31" s="620" customFormat="1" ht="18" customHeight="1" x14ac:dyDescent="0.2">
      <c r="A84" s="655" t="s">
        <v>2846</v>
      </c>
      <c r="B84" s="508">
        <f t="shared" si="6"/>
        <v>45</v>
      </c>
      <c r="C84" s="957">
        <f>+NOMINA!C88</f>
        <v>10909245</v>
      </c>
      <c r="D84" s="958" t="str">
        <f>+NOMINA!D88</f>
        <v>Delduca Moreno Luisa</v>
      </c>
      <c r="E84" s="955" t="s">
        <v>4622</v>
      </c>
      <c r="F84" s="959">
        <v>27081</v>
      </c>
      <c r="G84" s="955" t="s">
        <v>4620</v>
      </c>
      <c r="H84" s="960">
        <f>+NOMINA!H88</f>
        <v>36054</v>
      </c>
      <c r="I84" s="961">
        <f>+NOMINA!I88</f>
        <v>27</v>
      </c>
      <c r="J84" s="962">
        <f>+NOMINA!J88</f>
        <v>0</v>
      </c>
      <c r="K84" s="961">
        <f>+NOMINA!K88</f>
        <v>27</v>
      </c>
      <c r="L84" s="963">
        <f>+NOMINA!CA88</f>
        <v>6255</v>
      </c>
      <c r="M84" s="443" t="e">
        <f>#REF!+#REF!-#REF!</f>
        <v>#REF!</v>
      </c>
      <c r="N84" s="952" t="e">
        <f>ROUND((#REF!+#REF!+#REF!+#REF!+#REF!+#REF!+#REF!+#REF!),2)</f>
        <v>#REF!</v>
      </c>
      <c r="Q84" s="620" t="e">
        <f>SUM(#REF!)</f>
        <v>#REF!</v>
      </c>
      <c r="R84" s="953" t="e">
        <f>#REF!+#REF!-#REF!</f>
        <v>#REF!</v>
      </c>
      <c r="S84" s="954">
        <v>200</v>
      </c>
      <c r="T84" s="953" t="e">
        <f>#REF!+#REF!</f>
        <v>#REF!</v>
      </c>
      <c r="U84" s="954" t="e">
        <f>#REF!</f>
        <v>#REF!</v>
      </c>
      <c r="V84" s="955">
        <v>0</v>
      </c>
      <c r="W84" s="954" t="e">
        <f>#REF!</f>
        <v>#REF!</v>
      </c>
      <c r="X84" s="956" t="e">
        <f>#REF!+#REF!</f>
        <v>#REF!</v>
      </c>
      <c r="Y84" s="956" t="e">
        <f>#REF!+#REF!</f>
        <v>#REF!</v>
      </c>
      <c r="Z84" s="956"/>
      <c r="AA84" s="954" t="e">
        <f>#REF!</f>
        <v>#REF!</v>
      </c>
      <c r="AB84" s="954" t="e">
        <f t="shared" si="4"/>
        <v>#REF!</v>
      </c>
      <c r="AC84" s="954" t="e">
        <f>#REF!+#REF!</f>
        <v>#REF!</v>
      </c>
      <c r="AD84" s="954">
        <f t="shared" si="5"/>
        <v>6255</v>
      </c>
      <c r="AE84" s="625"/>
    </row>
    <row r="85" spans="1:31" s="620" customFormat="1" ht="18" customHeight="1" x14ac:dyDescent="0.2">
      <c r="A85" s="655" t="s">
        <v>2846</v>
      </c>
      <c r="B85" s="508">
        <f t="shared" si="6"/>
        <v>46</v>
      </c>
      <c r="C85" s="957">
        <f>+NOMINA!C89</f>
        <v>10910698</v>
      </c>
      <c r="D85" s="958" t="str">
        <f>+NOMINA!D89</f>
        <v>Rangel Briceño Marcial Segundo</v>
      </c>
      <c r="E85" s="955" t="s">
        <v>4622</v>
      </c>
      <c r="F85" s="959">
        <v>27081</v>
      </c>
      <c r="G85" s="955" t="s">
        <v>4620</v>
      </c>
      <c r="H85" s="960">
        <f>+NOMINA!H89</f>
        <v>43891</v>
      </c>
      <c r="I85" s="961">
        <f>+NOMINA!I89</f>
        <v>5</v>
      </c>
      <c r="J85" s="962">
        <f>+NOMINA!J89</f>
        <v>0</v>
      </c>
      <c r="K85" s="961">
        <f>+NOMINA!K89</f>
        <v>5</v>
      </c>
      <c r="L85" s="963">
        <f>+NOMINA!CA89</f>
        <v>6255</v>
      </c>
      <c r="M85" s="443" t="e">
        <f>#REF!+#REF!-#REF!</f>
        <v>#REF!</v>
      </c>
      <c r="N85" s="952" t="e">
        <f>ROUND((#REF!+#REF!+#REF!+#REF!+#REF!+#REF!+#REF!+#REF!),2)</f>
        <v>#REF!</v>
      </c>
      <c r="Q85" s="620" t="e">
        <f>SUM(#REF!)</f>
        <v>#REF!</v>
      </c>
      <c r="R85" s="953" t="e">
        <f>#REF!+#REF!-#REF!</f>
        <v>#REF!</v>
      </c>
      <c r="S85" s="954">
        <v>200</v>
      </c>
      <c r="T85" s="953" t="e">
        <f>#REF!+#REF!</f>
        <v>#REF!</v>
      </c>
      <c r="U85" s="954" t="e">
        <f>#REF!</f>
        <v>#REF!</v>
      </c>
      <c r="V85" s="955">
        <v>0</v>
      </c>
      <c r="W85" s="954" t="e">
        <f>#REF!</f>
        <v>#REF!</v>
      </c>
      <c r="X85" s="956" t="e">
        <f>#REF!+#REF!</f>
        <v>#REF!</v>
      </c>
      <c r="Y85" s="956" t="e">
        <f>#REF!+#REF!</f>
        <v>#REF!</v>
      </c>
      <c r="Z85" s="956"/>
      <c r="AA85" s="954" t="e">
        <f>#REF!</f>
        <v>#REF!</v>
      </c>
      <c r="AB85" s="954" t="e">
        <f t="shared" si="4"/>
        <v>#REF!</v>
      </c>
      <c r="AC85" s="954" t="e">
        <f>#REF!+#REF!</f>
        <v>#REF!</v>
      </c>
      <c r="AD85" s="954">
        <f t="shared" si="5"/>
        <v>6255</v>
      </c>
      <c r="AE85" s="625"/>
    </row>
    <row r="86" spans="1:31" s="620" customFormat="1" ht="18" customHeight="1" x14ac:dyDescent="0.2">
      <c r="A86" s="655" t="s">
        <v>2846</v>
      </c>
      <c r="B86" s="508">
        <f t="shared" si="6"/>
        <v>47</v>
      </c>
      <c r="C86" s="957">
        <f>+NOMINA!C90</f>
        <v>10912595</v>
      </c>
      <c r="D86" s="958" t="str">
        <f>+NOMINA!D90</f>
        <v>Delfin Bustos Jose Hercilio</v>
      </c>
      <c r="E86" s="955" t="s">
        <v>4622</v>
      </c>
      <c r="F86" s="959">
        <v>27081</v>
      </c>
      <c r="G86" s="955" t="s">
        <v>4620</v>
      </c>
      <c r="H86" s="960">
        <f>+NOMINA!H90</f>
        <v>36039</v>
      </c>
      <c r="I86" s="961">
        <f>+NOMINA!I90</f>
        <v>27</v>
      </c>
      <c r="J86" s="962">
        <f>+NOMINA!J90</f>
        <v>0</v>
      </c>
      <c r="K86" s="961">
        <f>+NOMINA!K90</f>
        <v>27</v>
      </c>
      <c r="L86" s="963">
        <f>+NOMINA!CA90</f>
        <v>0</v>
      </c>
      <c r="M86" s="443" t="e">
        <f>#REF!+#REF!-#REF!</f>
        <v>#REF!</v>
      </c>
      <c r="N86" s="952" t="e">
        <f>ROUND((#REF!+#REF!+#REF!+#REF!+#REF!+#REF!+#REF!+#REF!),2)</f>
        <v>#REF!</v>
      </c>
      <c r="Q86" s="620" t="e">
        <f>SUM(#REF!)</f>
        <v>#REF!</v>
      </c>
      <c r="R86" s="953" t="e">
        <f>#REF!+#REF!-#REF!</f>
        <v>#REF!</v>
      </c>
      <c r="S86" s="954">
        <v>200</v>
      </c>
      <c r="T86" s="953" t="e">
        <f>#REF!+#REF!</f>
        <v>#REF!</v>
      </c>
      <c r="U86" s="954" t="e">
        <f>#REF!</f>
        <v>#REF!</v>
      </c>
      <c r="V86" s="955">
        <v>0</v>
      </c>
      <c r="W86" s="954" t="e">
        <f>#REF!</f>
        <v>#REF!</v>
      </c>
      <c r="X86" s="956" t="e">
        <f>#REF!+#REF!</f>
        <v>#REF!</v>
      </c>
      <c r="Y86" s="956" t="e">
        <f>#REF!+#REF!</f>
        <v>#REF!</v>
      </c>
      <c r="Z86" s="956"/>
      <c r="AA86" s="954" t="e">
        <f>#REF!</f>
        <v>#REF!</v>
      </c>
      <c r="AB86" s="954" t="e">
        <f t="shared" si="4"/>
        <v>#REF!</v>
      </c>
      <c r="AC86" s="954" t="e">
        <f>#REF!+#REF!</f>
        <v>#REF!</v>
      </c>
      <c r="AD86" s="954">
        <f t="shared" si="5"/>
        <v>0</v>
      </c>
      <c r="AE86" s="625"/>
    </row>
    <row r="87" spans="1:31" s="620" customFormat="1" ht="18" customHeight="1" x14ac:dyDescent="0.2">
      <c r="A87" s="655" t="s">
        <v>2846</v>
      </c>
      <c r="B87" s="508">
        <f t="shared" si="6"/>
        <v>48</v>
      </c>
      <c r="C87" s="957">
        <f>+NOMINA!C91</f>
        <v>10913178</v>
      </c>
      <c r="D87" s="958" t="str">
        <f>+NOMINA!D91</f>
        <v>Garcia Moreno Iris Josefina</v>
      </c>
      <c r="E87" s="955" t="s">
        <v>4622</v>
      </c>
      <c r="F87" s="959">
        <v>27081</v>
      </c>
      <c r="G87" s="955" t="s">
        <v>4620</v>
      </c>
      <c r="H87" s="960">
        <f>+NOMINA!H91</f>
        <v>44805</v>
      </c>
      <c r="I87" s="961">
        <f>+NOMINA!I91</f>
        <v>3</v>
      </c>
      <c r="J87" s="962">
        <f>+NOMINA!J91</f>
        <v>9</v>
      </c>
      <c r="K87" s="961">
        <f>+NOMINA!K91</f>
        <v>12</v>
      </c>
      <c r="L87" s="963">
        <f>+NOMINA!CA91</f>
        <v>6255</v>
      </c>
      <c r="M87" s="443" t="e">
        <f>#REF!+#REF!-#REF!</f>
        <v>#REF!</v>
      </c>
      <c r="N87" s="952" t="e">
        <f>ROUND((#REF!+#REF!+#REF!+#REF!+#REF!+#REF!+#REF!+#REF!),2)</f>
        <v>#REF!</v>
      </c>
      <c r="Q87" s="620" t="e">
        <f>SUM(#REF!)</f>
        <v>#REF!</v>
      </c>
      <c r="R87" s="953" t="e">
        <f>#REF!+#REF!-#REF!</f>
        <v>#REF!</v>
      </c>
      <c r="S87" s="954">
        <v>200</v>
      </c>
      <c r="T87" s="953" t="e">
        <f>#REF!+#REF!</f>
        <v>#REF!</v>
      </c>
      <c r="U87" s="954" t="e">
        <f>#REF!</f>
        <v>#REF!</v>
      </c>
      <c r="V87" s="955">
        <v>0</v>
      </c>
      <c r="W87" s="954" t="e">
        <f>#REF!</f>
        <v>#REF!</v>
      </c>
      <c r="X87" s="956" t="e">
        <f>#REF!+#REF!</f>
        <v>#REF!</v>
      </c>
      <c r="Y87" s="956" t="e">
        <f>#REF!+#REF!</f>
        <v>#REF!</v>
      </c>
      <c r="Z87" s="956"/>
      <c r="AA87" s="954" t="e">
        <f>#REF!</f>
        <v>#REF!</v>
      </c>
      <c r="AB87" s="954" t="e">
        <f t="shared" si="4"/>
        <v>#REF!</v>
      </c>
      <c r="AC87" s="954" t="e">
        <f>#REF!+#REF!</f>
        <v>#REF!</v>
      </c>
      <c r="AD87" s="954">
        <f t="shared" si="5"/>
        <v>6255</v>
      </c>
      <c r="AE87" s="625"/>
    </row>
    <row r="88" spans="1:31" s="620" customFormat="1" ht="18" customHeight="1" x14ac:dyDescent="0.2">
      <c r="A88" s="655" t="s">
        <v>2846</v>
      </c>
      <c r="B88" s="508">
        <f t="shared" si="6"/>
        <v>49</v>
      </c>
      <c r="C88" s="957">
        <f>+NOMINA!C92</f>
        <v>10913637</v>
      </c>
      <c r="D88" s="958" t="str">
        <f>+NOMINA!D92</f>
        <v>Angarita Hernandez Ana del Carmen</v>
      </c>
      <c r="E88" s="955" t="s">
        <v>4622</v>
      </c>
      <c r="F88" s="959">
        <v>27081</v>
      </c>
      <c r="G88" s="955" t="s">
        <v>4620</v>
      </c>
      <c r="H88" s="960">
        <f>+NOMINA!H92</f>
        <v>40664</v>
      </c>
      <c r="I88" s="961">
        <f>+NOMINA!I92</f>
        <v>14</v>
      </c>
      <c r="J88" s="962">
        <f>+NOMINA!J92</f>
        <v>0</v>
      </c>
      <c r="K88" s="961">
        <f>+NOMINA!K92</f>
        <v>14</v>
      </c>
      <c r="L88" s="963">
        <f>+NOMINA!CA92</f>
        <v>6255</v>
      </c>
      <c r="M88" s="443" t="e">
        <f>#REF!+#REF!-#REF!</f>
        <v>#REF!</v>
      </c>
      <c r="N88" s="952" t="e">
        <f>ROUND((#REF!+#REF!+#REF!+#REF!+#REF!+#REF!+#REF!+#REF!),2)</f>
        <v>#REF!</v>
      </c>
      <c r="Q88" s="620" t="e">
        <f>SUM(#REF!)</f>
        <v>#REF!</v>
      </c>
      <c r="R88" s="953" t="e">
        <f>#REF!+#REF!-#REF!</f>
        <v>#REF!</v>
      </c>
      <c r="S88" s="954">
        <v>200</v>
      </c>
      <c r="T88" s="953" t="e">
        <f>#REF!+#REF!</f>
        <v>#REF!</v>
      </c>
      <c r="U88" s="954" t="e">
        <f>#REF!</f>
        <v>#REF!</v>
      </c>
      <c r="V88" s="955">
        <v>0</v>
      </c>
      <c r="W88" s="954" t="e">
        <f>#REF!</f>
        <v>#REF!</v>
      </c>
      <c r="X88" s="956" t="e">
        <f>#REF!+#REF!</f>
        <v>#REF!</v>
      </c>
      <c r="Y88" s="956" t="e">
        <f>#REF!+#REF!</f>
        <v>#REF!</v>
      </c>
      <c r="Z88" s="956"/>
      <c r="AA88" s="954" t="e">
        <f>#REF!</f>
        <v>#REF!</v>
      </c>
      <c r="AB88" s="954" t="e">
        <f t="shared" si="4"/>
        <v>#REF!</v>
      </c>
      <c r="AC88" s="954" t="e">
        <f>#REF!+#REF!</f>
        <v>#REF!</v>
      </c>
      <c r="AD88" s="954">
        <f t="shared" si="5"/>
        <v>6255</v>
      </c>
      <c r="AE88" s="625"/>
    </row>
    <row r="89" spans="1:31" s="620" customFormat="1" ht="18" customHeight="1" x14ac:dyDescent="0.2">
      <c r="A89" s="655" t="s">
        <v>2846</v>
      </c>
      <c r="B89" s="508">
        <f t="shared" si="6"/>
        <v>50</v>
      </c>
      <c r="C89" s="957">
        <f>+NOMINA!C93</f>
        <v>10915223</v>
      </c>
      <c r="D89" s="958" t="str">
        <f>+NOMINA!D93</f>
        <v>Contreras Rojo Gerardo Alexander</v>
      </c>
      <c r="E89" s="955" t="s">
        <v>4622</v>
      </c>
      <c r="F89" s="959">
        <v>27081</v>
      </c>
      <c r="G89" s="955" t="s">
        <v>4620</v>
      </c>
      <c r="H89" s="960">
        <f>+NOMINA!H93</f>
        <v>35339</v>
      </c>
      <c r="I89" s="961">
        <f>+NOMINA!I93</f>
        <v>28</v>
      </c>
      <c r="J89" s="962">
        <f>+NOMINA!J93</f>
        <v>0</v>
      </c>
      <c r="K89" s="961">
        <f>+NOMINA!K93</f>
        <v>28</v>
      </c>
      <c r="L89" s="963">
        <f>+NOMINA!CA93</f>
        <v>6255</v>
      </c>
      <c r="M89" s="443" t="e">
        <f>#REF!+#REF!-#REF!</f>
        <v>#REF!</v>
      </c>
      <c r="N89" s="952" t="e">
        <f>ROUND((#REF!+#REF!+#REF!+#REF!+#REF!+#REF!+#REF!+#REF!),2)</f>
        <v>#REF!</v>
      </c>
      <c r="Q89" s="620" t="e">
        <f>SUM(#REF!)</f>
        <v>#REF!</v>
      </c>
      <c r="R89" s="953" t="e">
        <f>#REF!+#REF!-#REF!</f>
        <v>#REF!</v>
      </c>
      <c r="S89" s="954">
        <v>200</v>
      </c>
      <c r="T89" s="953" t="e">
        <f>#REF!+#REF!</f>
        <v>#REF!</v>
      </c>
      <c r="U89" s="954" t="e">
        <f>#REF!</f>
        <v>#REF!</v>
      </c>
      <c r="V89" s="955">
        <v>0</v>
      </c>
      <c r="W89" s="954" t="e">
        <f>#REF!</f>
        <v>#REF!</v>
      </c>
      <c r="X89" s="956" t="e">
        <f>#REF!+#REF!</f>
        <v>#REF!</v>
      </c>
      <c r="Y89" s="956" t="e">
        <f>#REF!+#REF!</f>
        <v>#REF!</v>
      </c>
      <c r="Z89" s="956"/>
      <c r="AA89" s="954" t="e">
        <f>#REF!</f>
        <v>#REF!</v>
      </c>
      <c r="AB89" s="954" t="e">
        <f t="shared" si="4"/>
        <v>#REF!</v>
      </c>
      <c r="AC89" s="954" t="e">
        <f>#REF!+#REF!</f>
        <v>#REF!</v>
      </c>
      <c r="AD89" s="954">
        <f t="shared" si="5"/>
        <v>6255</v>
      </c>
      <c r="AE89" s="625"/>
    </row>
    <row r="90" spans="1:31" s="620" customFormat="1" ht="18" customHeight="1" x14ac:dyDescent="0.2">
      <c r="A90" s="655" t="s">
        <v>2846</v>
      </c>
      <c r="B90" s="508">
        <f t="shared" si="6"/>
        <v>51</v>
      </c>
      <c r="C90" s="957">
        <f>+NOMINA!C94</f>
        <v>10915384</v>
      </c>
      <c r="D90" s="958" t="str">
        <f>+NOMINA!D94</f>
        <v>Rojas Hernandez Morela del Carmen</v>
      </c>
      <c r="E90" s="955" t="s">
        <v>4622</v>
      </c>
      <c r="F90" s="959">
        <v>27081</v>
      </c>
      <c r="G90" s="955" t="s">
        <v>4620</v>
      </c>
      <c r="H90" s="960">
        <f>+NOMINA!H94</f>
        <v>43147</v>
      </c>
      <c r="I90" s="961">
        <f>+NOMINA!I94</f>
        <v>7</v>
      </c>
      <c r="J90" s="962">
        <f>+NOMINA!J94</f>
        <v>0</v>
      </c>
      <c r="K90" s="961">
        <f>+NOMINA!K94</f>
        <v>7</v>
      </c>
      <c r="L90" s="963">
        <f>+NOMINA!CA94</f>
        <v>6255</v>
      </c>
      <c r="M90" s="443" t="e">
        <f>#REF!+#REF!-#REF!</f>
        <v>#REF!</v>
      </c>
      <c r="N90" s="952" t="e">
        <f>ROUND((#REF!+#REF!+#REF!+#REF!+#REF!+#REF!+#REF!+#REF!),2)</f>
        <v>#REF!</v>
      </c>
      <c r="Q90" s="620" t="e">
        <f>SUM(#REF!)</f>
        <v>#REF!</v>
      </c>
      <c r="R90" s="953" t="e">
        <f>#REF!+#REF!-#REF!</f>
        <v>#REF!</v>
      </c>
      <c r="S90" s="954">
        <v>200</v>
      </c>
      <c r="T90" s="953" t="e">
        <f>#REF!+#REF!</f>
        <v>#REF!</v>
      </c>
      <c r="U90" s="954" t="e">
        <f>#REF!</f>
        <v>#REF!</v>
      </c>
      <c r="V90" s="955">
        <v>0</v>
      </c>
      <c r="W90" s="954" t="e">
        <f>#REF!</f>
        <v>#REF!</v>
      </c>
      <c r="X90" s="956" t="e">
        <f>#REF!+#REF!</f>
        <v>#REF!</v>
      </c>
      <c r="Y90" s="956" t="e">
        <f>#REF!+#REF!</f>
        <v>#REF!</v>
      </c>
      <c r="Z90" s="956"/>
      <c r="AA90" s="954" t="e">
        <f>#REF!</f>
        <v>#REF!</v>
      </c>
      <c r="AB90" s="954" t="e">
        <f t="shared" si="4"/>
        <v>#REF!</v>
      </c>
      <c r="AC90" s="954" t="e">
        <f>#REF!+#REF!</f>
        <v>#REF!</v>
      </c>
      <c r="AD90" s="954">
        <f t="shared" si="5"/>
        <v>6255</v>
      </c>
      <c r="AE90" s="625"/>
    </row>
    <row r="91" spans="1:31" s="620" customFormat="1" ht="18" customHeight="1" x14ac:dyDescent="0.2">
      <c r="A91" s="655" t="s">
        <v>2846</v>
      </c>
      <c r="B91" s="508">
        <f t="shared" si="6"/>
        <v>52</v>
      </c>
      <c r="C91" s="957">
        <f>+NOMINA!C95</f>
        <v>10915597</v>
      </c>
      <c r="D91" s="958" t="str">
        <f>+NOMINA!D95</f>
        <v>Carrillo Altuve Maria Mercedes</v>
      </c>
      <c r="E91" s="955" t="s">
        <v>4622</v>
      </c>
      <c r="F91" s="959">
        <v>27081</v>
      </c>
      <c r="G91" s="955" t="s">
        <v>4620</v>
      </c>
      <c r="H91" s="960">
        <f>+NOMINA!H95</f>
        <v>44501</v>
      </c>
      <c r="I91" s="961">
        <f>+NOMINA!I95</f>
        <v>3</v>
      </c>
      <c r="J91" s="962">
        <f>+NOMINA!J95</f>
        <v>0</v>
      </c>
      <c r="K91" s="961">
        <f>+NOMINA!K95</f>
        <v>3</v>
      </c>
      <c r="L91" s="963">
        <f>+NOMINA!CA95</f>
        <v>6255</v>
      </c>
      <c r="M91" s="443" t="e">
        <f>#REF!+#REF!-#REF!</f>
        <v>#REF!</v>
      </c>
      <c r="N91" s="952" t="e">
        <f>ROUND((#REF!+#REF!+#REF!+#REF!+#REF!+#REF!+#REF!+#REF!),2)</f>
        <v>#REF!</v>
      </c>
      <c r="Q91" s="620" t="e">
        <f>SUM(#REF!)</f>
        <v>#REF!</v>
      </c>
      <c r="R91" s="953" t="e">
        <f>#REF!+#REF!-#REF!</f>
        <v>#REF!</v>
      </c>
      <c r="S91" s="954">
        <v>200</v>
      </c>
      <c r="T91" s="953" t="e">
        <f>#REF!+#REF!</f>
        <v>#REF!</v>
      </c>
      <c r="U91" s="954" t="e">
        <f>#REF!</f>
        <v>#REF!</v>
      </c>
      <c r="V91" s="955">
        <v>0</v>
      </c>
      <c r="W91" s="954" t="e">
        <f>#REF!</f>
        <v>#REF!</v>
      </c>
      <c r="X91" s="956" t="e">
        <f>#REF!+#REF!</f>
        <v>#REF!</v>
      </c>
      <c r="Y91" s="956" t="e">
        <f>#REF!+#REF!</f>
        <v>#REF!</v>
      </c>
      <c r="Z91" s="956"/>
      <c r="AA91" s="954" t="e">
        <f>#REF!</f>
        <v>#REF!</v>
      </c>
      <c r="AB91" s="954" t="e">
        <f t="shared" si="4"/>
        <v>#REF!</v>
      </c>
      <c r="AC91" s="954" t="e">
        <f>#REF!+#REF!</f>
        <v>#REF!</v>
      </c>
      <c r="AD91" s="954">
        <f t="shared" si="5"/>
        <v>6255</v>
      </c>
      <c r="AE91" s="625"/>
    </row>
    <row r="92" spans="1:31" s="620" customFormat="1" ht="18" customHeight="1" x14ac:dyDescent="0.2">
      <c r="A92" s="655" t="s">
        <v>2846</v>
      </c>
      <c r="B92" s="508">
        <f t="shared" si="6"/>
        <v>53</v>
      </c>
      <c r="C92" s="957">
        <f>+NOMINA!C96</f>
        <v>11128954</v>
      </c>
      <c r="D92" s="958" t="str">
        <f>+NOMINA!D96</f>
        <v>Soto Lopez Rafael Maria</v>
      </c>
      <c r="E92" s="955" t="s">
        <v>4622</v>
      </c>
      <c r="F92" s="959">
        <v>27081</v>
      </c>
      <c r="G92" s="955" t="s">
        <v>4620</v>
      </c>
      <c r="H92" s="960">
        <f>+NOMINA!H96</f>
        <v>45170</v>
      </c>
      <c r="I92" s="961">
        <f>+NOMINA!I96</f>
        <v>2</v>
      </c>
      <c r="J92" s="962">
        <f>+NOMINA!J96</f>
        <v>23</v>
      </c>
      <c r="K92" s="961">
        <f>+NOMINA!K96</f>
        <v>25</v>
      </c>
      <c r="L92" s="963">
        <f>+NOMINA!CA96</f>
        <v>6255</v>
      </c>
      <c r="M92" s="443" t="e">
        <f>#REF!+#REF!-#REF!</f>
        <v>#REF!</v>
      </c>
      <c r="N92" s="952" t="e">
        <f>ROUND((#REF!+#REF!+#REF!+#REF!+#REF!+#REF!+#REF!+#REF!),2)</f>
        <v>#REF!</v>
      </c>
      <c r="Q92" s="620" t="e">
        <f>SUM(#REF!)</f>
        <v>#REF!</v>
      </c>
      <c r="R92" s="953" t="e">
        <f>#REF!+#REF!-#REF!</f>
        <v>#REF!</v>
      </c>
      <c r="S92" s="954">
        <v>200</v>
      </c>
      <c r="T92" s="953" t="e">
        <f>#REF!+#REF!</f>
        <v>#REF!</v>
      </c>
      <c r="U92" s="954" t="e">
        <f>#REF!</f>
        <v>#REF!</v>
      </c>
      <c r="V92" s="955">
        <v>0</v>
      </c>
      <c r="W92" s="954" t="e">
        <f>#REF!</f>
        <v>#REF!</v>
      </c>
      <c r="X92" s="956" t="e">
        <f>#REF!+#REF!</f>
        <v>#REF!</v>
      </c>
      <c r="Y92" s="956" t="e">
        <f>#REF!+#REF!</f>
        <v>#REF!</v>
      </c>
      <c r="Z92" s="956"/>
      <c r="AA92" s="954" t="e">
        <f>#REF!</f>
        <v>#REF!</v>
      </c>
      <c r="AB92" s="954" t="e">
        <f t="shared" si="4"/>
        <v>#REF!</v>
      </c>
      <c r="AC92" s="954" t="e">
        <f>#REF!+#REF!</f>
        <v>#REF!</v>
      </c>
      <c r="AD92" s="954">
        <f t="shared" si="5"/>
        <v>6255</v>
      </c>
      <c r="AE92" s="625"/>
    </row>
    <row r="93" spans="1:31" s="620" customFormat="1" ht="18" customHeight="1" x14ac:dyDescent="0.2">
      <c r="A93" s="655" t="s">
        <v>2846</v>
      </c>
      <c r="B93" s="508">
        <f t="shared" si="6"/>
        <v>54</v>
      </c>
      <c r="C93" s="957">
        <f>+NOMINA!C97</f>
        <v>11132900</v>
      </c>
      <c r="D93" s="958" t="str">
        <f>+NOMINA!D97</f>
        <v>Morillo Valero Ender Ramon</v>
      </c>
      <c r="E93" s="955" t="s">
        <v>4622</v>
      </c>
      <c r="F93" s="959">
        <v>27081</v>
      </c>
      <c r="G93" s="955" t="s">
        <v>4620</v>
      </c>
      <c r="H93" s="960">
        <f>+NOMINA!H97</f>
        <v>44866</v>
      </c>
      <c r="I93" s="961">
        <f>+NOMINA!I97</f>
        <v>2</v>
      </c>
      <c r="J93" s="962">
        <f>+NOMINA!J97</f>
        <v>0</v>
      </c>
      <c r="K93" s="961">
        <f>+NOMINA!K97</f>
        <v>2</v>
      </c>
      <c r="L93" s="963">
        <f>+NOMINA!CA97</f>
        <v>6255</v>
      </c>
      <c r="M93" s="443" t="e">
        <f>#REF!+#REF!-#REF!</f>
        <v>#REF!</v>
      </c>
      <c r="N93" s="952" t="e">
        <f>ROUND((#REF!+#REF!+#REF!+#REF!+#REF!+#REF!+#REF!+#REF!),2)</f>
        <v>#REF!</v>
      </c>
      <c r="Q93" s="620" t="e">
        <f>SUM(#REF!)</f>
        <v>#REF!</v>
      </c>
      <c r="R93" s="953" t="e">
        <f>#REF!+#REF!-#REF!</f>
        <v>#REF!</v>
      </c>
      <c r="S93" s="954">
        <v>200</v>
      </c>
      <c r="T93" s="953" t="e">
        <f>#REF!+#REF!</f>
        <v>#REF!</v>
      </c>
      <c r="U93" s="954" t="e">
        <f>#REF!</f>
        <v>#REF!</v>
      </c>
      <c r="V93" s="955">
        <v>0</v>
      </c>
      <c r="W93" s="954" t="e">
        <f>#REF!</f>
        <v>#REF!</v>
      </c>
      <c r="X93" s="956" t="e">
        <f>#REF!+#REF!</f>
        <v>#REF!</v>
      </c>
      <c r="Y93" s="956" t="e">
        <f>#REF!+#REF!</f>
        <v>#REF!</v>
      </c>
      <c r="Z93" s="956"/>
      <c r="AA93" s="954" t="e">
        <f>#REF!</f>
        <v>#REF!</v>
      </c>
      <c r="AB93" s="954" t="e">
        <f t="shared" si="4"/>
        <v>#REF!</v>
      </c>
      <c r="AC93" s="954" t="e">
        <f>#REF!+#REF!</f>
        <v>#REF!</v>
      </c>
      <c r="AD93" s="954">
        <f t="shared" si="5"/>
        <v>6255</v>
      </c>
      <c r="AE93" s="625"/>
    </row>
    <row r="94" spans="1:31" s="620" customFormat="1" ht="18" customHeight="1" x14ac:dyDescent="0.2">
      <c r="A94" s="655" t="s">
        <v>2846</v>
      </c>
      <c r="B94" s="508">
        <f t="shared" si="6"/>
        <v>55</v>
      </c>
      <c r="C94" s="957">
        <f>+NOMINA!C98</f>
        <v>11132943</v>
      </c>
      <c r="D94" s="958" t="str">
        <f>+NOMINA!D98</f>
        <v>Materano Delgado Yoleida Josefina</v>
      </c>
      <c r="E94" s="955" t="s">
        <v>4622</v>
      </c>
      <c r="F94" s="959">
        <v>27081</v>
      </c>
      <c r="G94" s="955" t="s">
        <v>4620</v>
      </c>
      <c r="H94" s="960">
        <f>+NOMINA!H98</f>
        <v>39738</v>
      </c>
      <c r="I94" s="961">
        <f>+NOMINA!I98</f>
        <v>16</v>
      </c>
      <c r="J94" s="962">
        <f>+NOMINA!J98</f>
        <v>0</v>
      </c>
      <c r="K94" s="961">
        <f>+NOMINA!K98</f>
        <v>16</v>
      </c>
      <c r="L94" s="963">
        <f>+NOMINA!CA98</f>
        <v>0</v>
      </c>
      <c r="M94" s="443" t="e">
        <f>#REF!+#REF!-#REF!</f>
        <v>#REF!</v>
      </c>
      <c r="N94" s="952" t="e">
        <f>ROUND((#REF!+#REF!+#REF!+#REF!+#REF!+#REF!+#REF!+#REF!),2)</f>
        <v>#REF!</v>
      </c>
      <c r="Q94" s="620" t="e">
        <f>SUM(#REF!)</f>
        <v>#REF!</v>
      </c>
      <c r="R94" s="953" t="e">
        <f>#REF!+#REF!-#REF!</f>
        <v>#REF!</v>
      </c>
      <c r="S94" s="954">
        <v>200</v>
      </c>
      <c r="T94" s="953" t="e">
        <f>#REF!+#REF!</f>
        <v>#REF!</v>
      </c>
      <c r="U94" s="954" t="e">
        <f>#REF!</f>
        <v>#REF!</v>
      </c>
      <c r="V94" s="955">
        <v>0</v>
      </c>
      <c r="W94" s="954" t="e">
        <f>#REF!</f>
        <v>#REF!</v>
      </c>
      <c r="X94" s="956" t="e">
        <f>#REF!+#REF!</f>
        <v>#REF!</v>
      </c>
      <c r="Y94" s="956" t="e">
        <f>#REF!+#REF!</f>
        <v>#REF!</v>
      </c>
      <c r="Z94" s="956"/>
      <c r="AA94" s="954" t="e">
        <f>#REF!</f>
        <v>#REF!</v>
      </c>
      <c r="AB94" s="954" t="e">
        <f t="shared" ref="AB94:AB157" si="7">SUM(T94:AA94)</f>
        <v>#REF!</v>
      </c>
      <c r="AC94" s="954" t="e">
        <f>#REF!+#REF!</f>
        <v>#REF!</v>
      </c>
      <c r="AD94" s="954">
        <f t="shared" si="5"/>
        <v>0</v>
      </c>
      <c r="AE94" s="625"/>
    </row>
    <row r="95" spans="1:31" s="620" customFormat="1" ht="18" customHeight="1" x14ac:dyDescent="0.2">
      <c r="A95" s="655" t="s">
        <v>2846</v>
      </c>
      <c r="B95" s="508">
        <f t="shared" si="6"/>
        <v>56</v>
      </c>
      <c r="C95" s="957">
        <f>+NOMINA!C99</f>
        <v>11132979</v>
      </c>
      <c r="D95" s="958" t="str">
        <f>+NOMINA!D99</f>
        <v>Olivar Santana Maria Valbina</v>
      </c>
      <c r="E95" s="955" t="s">
        <v>4622</v>
      </c>
      <c r="F95" s="959">
        <v>27081</v>
      </c>
      <c r="G95" s="955" t="s">
        <v>4620</v>
      </c>
      <c r="H95" s="960">
        <f>+NOMINA!H99</f>
        <v>44348</v>
      </c>
      <c r="I95" s="961">
        <f>+NOMINA!I99</f>
        <v>4</v>
      </c>
      <c r="J95" s="962">
        <f>+NOMINA!J99</f>
        <v>12</v>
      </c>
      <c r="K95" s="961">
        <f>+NOMINA!K99</f>
        <v>16</v>
      </c>
      <c r="L95" s="963">
        <f>+NOMINA!CA99</f>
        <v>6255</v>
      </c>
      <c r="M95" s="443" t="e">
        <f>#REF!+#REF!-#REF!</f>
        <v>#REF!</v>
      </c>
      <c r="N95" s="952" t="e">
        <f>ROUND((#REF!+#REF!+#REF!+#REF!+#REF!+#REF!+#REF!+#REF!),2)</f>
        <v>#REF!</v>
      </c>
      <c r="Q95" s="620" t="e">
        <f>SUM(#REF!)</f>
        <v>#REF!</v>
      </c>
      <c r="R95" s="953" t="e">
        <f>#REF!+#REF!-#REF!</f>
        <v>#REF!</v>
      </c>
      <c r="S95" s="954">
        <v>200</v>
      </c>
      <c r="T95" s="953" t="e">
        <f>#REF!+#REF!</f>
        <v>#REF!</v>
      </c>
      <c r="U95" s="954" t="e">
        <f>#REF!</f>
        <v>#REF!</v>
      </c>
      <c r="V95" s="955">
        <v>0</v>
      </c>
      <c r="W95" s="954" t="e">
        <f>#REF!</f>
        <v>#REF!</v>
      </c>
      <c r="X95" s="956" t="e">
        <f>#REF!+#REF!</f>
        <v>#REF!</v>
      </c>
      <c r="Y95" s="956" t="e">
        <f>#REF!+#REF!</f>
        <v>#REF!</v>
      </c>
      <c r="Z95" s="956"/>
      <c r="AA95" s="954" t="e">
        <f>#REF!</f>
        <v>#REF!</v>
      </c>
      <c r="AB95" s="954" t="e">
        <f t="shared" si="7"/>
        <v>#REF!</v>
      </c>
      <c r="AC95" s="954" t="e">
        <f>#REF!+#REF!</f>
        <v>#REF!</v>
      </c>
      <c r="AD95" s="954">
        <f t="shared" si="5"/>
        <v>6255</v>
      </c>
      <c r="AE95" s="625"/>
    </row>
    <row r="96" spans="1:31" s="620" customFormat="1" ht="18" customHeight="1" x14ac:dyDescent="0.2">
      <c r="A96" s="655" t="s">
        <v>2846</v>
      </c>
      <c r="B96" s="508">
        <f t="shared" si="6"/>
        <v>57</v>
      </c>
      <c r="C96" s="957">
        <f>+NOMINA!C100</f>
        <v>11257247</v>
      </c>
      <c r="D96" s="958" t="str">
        <f>+NOMINA!D100</f>
        <v>Chacin Sanchez Eduard Fabian</v>
      </c>
      <c r="E96" s="955" t="s">
        <v>4622</v>
      </c>
      <c r="F96" s="959">
        <v>27081</v>
      </c>
      <c r="G96" s="955" t="s">
        <v>4620</v>
      </c>
      <c r="H96" s="960">
        <f>+NOMINA!H100</f>
        <v>42492</v>
      </c>
      <c r="I96" s="961">
        <f>+NOMINA!I100</f>
        <v>9</v>
      </c>
      <c r="J96" s="962">
        <f>+NOMINA!J100</f>
        <v>0</v>
      </c>
      <c r="K96" s="961">
        <f>+NOMINA!K100</f>
        <v>9</v>
      </c>
      <c r="L96" s="963">
        <f>+NOMINA!CA100</f>
        <v>6255</v>
      </c>
      <c r="M96" s="443" t="e">
        <f>#REF!+#REF!-#REF!</f>
        <v>#REF!</v>
      </c>
      <c r="N96" s="952" t="e">
        <f>ROUND((#REF!+#REF!+#REF!+#REF!+#REF!+#REF!+#REF!+#REF!),2)</f>
        <v>#REF!</v>
      </c>
      <c r="Q96" s="620" t="e">
        <f>SUM(#REF!)</f>
        <v>#REF!</v>
      </c>
      <c r="R96" s="953" t="e">
        <f>#REF!+#REF!-#REF!</f>
        <v>#REF!</v>
      </c>
      <c r="S96" s="954">
        <v>200</v>
      </c>
      <c r="T96" s="953" t="e">
        <f>#REF!+#REF!</f>
        <v>#REF!</v>
      </c>
      <c r="U96" s="954" t="e">
        <f>#REF!</f>
        <v>#REF!</v>
      </c>
      <c r="V96" s="955">
        <v>0</v>
      </c>
      <c r="W96" s="954" t="e">
        <f>#REF!</f>
        <v>#REF!</v>
      </c>
      <c r="X96" s="956" t="e">
        <f>#REF!+#REF!</f>
        <v>#REF!</v>
      </c>
      <c r="Y96" s="956" t="e">
        <f>#REF!+#REF!</f>
        <v>#REF!</v>
      </c>
      <c r="Z96" s="956"/>
      <c r="AA96" s="954" t="e">
        <f>#REF!</f>
        <v>#REF!</v>
      </c>
      <c r="AB96" s="954" t="e">
        <f t="shared" si="7"/>
        <v>#REF!</v>
      </c>
      <c r="AC96" s="954" t="e">
        <f>#REF!+#REF!</f>
        <v>#REF!</v>
      </c>
      <c r="AD96" s="954">
        <f t="shared" si="5"/>
        <v>6255</v>
      </c>
      <c r="AE96" s="625"/>
    </row>
    <row r="97" spans="1:31" s="620" customFormat="1" ht="18" customHeight="1" x14ac:dyDescent="0.2">
      <c r="A97" s="655" t="s">
        <v>2846</v>
      </c>
      <c r="B97" s="508">
        <f t="shared" si="6"/>
        <v>58</v>
      </c>
      <c r="C97" s="957">
        <f>+NOMINA!C101</f>
        <v>11318142</v>
      </c>
      <c r="D97" s="958" t="str">
        <f>+NOMINA!D101</f>
        <v>Perdomo Rosales Modesto Ramon</v>
      </c>
      <c r="E97" s="955" t="s">
        <v>4622</v>
      </c>
      <c r="F97" s="959">
        <v>27081</v>
      </c>
      <c r="G97" s="955" t="s">
        <v>4620</v>
      </c>
      <c r="H97" s="960">
        <f>+NOMINA!H101</f>
        <v>43983</v>
      </c>
      <c r="I97" s="961">
        <f>+NOMINA!I101</f>
        <v>5</v>
      </c>
      <c r="J97" s="962">
        <f>+NOMINA!J101</f>
        <v>0</v>
      </c>
      <c r="K97" s="961">
        <f>+NOMINA!K101</f>
        <v>5</v>
      </c>
      <c r="L97" s="963">
        <f>+NOMINA!CA101</f>
        <v>6255</v>
      </c>
      <c r="M97" s="443" t="e">
        <f>#REF!+#REF!-#REF!</f>
        <v>#REF!</v>
      </c>
      <c r="N97" s="952" t="e">
        <f>ROUND((#REF!+#REF!+#REF!+#REF!+#REF!+#REF!+#REF!+#REF!),2)</f>
        <v>#REF!</v>
      </c>
      <c r="Q97" s="620" t="e">
        <f>SUM(#REF!)</f>
        <v>#REF!</v>
      </c>
      <c r="R97" s="953" t="e">
        <f>#REF!+#REF!-#REF!</f>
        <v>#REF!</v>
      </c>
      <c r="S97" s="954">
        <v>200</v>
      </c>
      <c r="T97" s="953" t="e">
        <f>#REF!+#REF!</f>
        <v>#REF!</v>
      </c>
      <c r="U97" s="954" t="e">
        <f>#REF!</f>
        <v>#REF!</v>
      </c>
      <c r="V97" s="955">
        <v>0</v>
      </c>
      <c r="W97" s="954" t="e">
        <f>#REF!</f>
        <v>#REF!</v>
      </c>
      <c r="X97" s="956" t="e">
        <f>#REF!+#REF!</f>
        <v>#REF!</v>
      </c>
      <c r="Y97" s="956" t="e">
        <f>#REF!+#REF!</f>
        <v>#REF!</v>
      </c>
      <c r="Z97" s="956"/>
      <c r="AA97" s="954" t="e">
        <f>#REF!</f>
        <v>#REF!</v>
      </c>
      <c r="AB97" s="954" t="e">
        <f t="shared" si="7"/>
        <v>#REF!</v>
      </c>
      <c r="AC97" s="954" t="e">
        <f>#REF!+#REF!</f>
        <v>#REF!</v>
      </c>
      <c r="AD97" s="954">
        <f t="shared" si="5"/>
        <v>6255</v>
      </c>
      <c r="AE97" s="625"/>
    </row>
    <row r="98" spans="1:31" s="620" customFormat="1" ht="18" customHeight="1" x14ac:dyDescent="0.2">
      <c r="A98" s="655" t="s">
        <v>2846</v>
      </c>
      <c r="B98" s="508">
        <f t="shared" si="6"/>
        <v>59</v>
      </c>
      <c r="C98" s="957">
        <f>+NOMINA!C102</f>
        <v>11318697</v>
      </c>
      <c r="D98" s="958" t="str">
        <f>+NOMINA!D102</f>
        <v>Sardi Hernandez Gladis Josefina</v>
      </c>
      <c r="E98" s="955" t="s">
        <v>4622</v>
      </c>
      <c r="F98" s="959">
        <v>27081</v>
      </c>
      <c r="G98" s="955" t="s">
        <v>4620</v>
      </c>
      <c r="H98" s="960">
        <f>+NOMINA!H102</f>
        <v>39539</v>
      </c>
      <c r="I98" s="961">
        <f>+NOMINA!I102</f>
        <v>17</v>
      </c>
      <c r="J98" s="962">
        <f>+NOMINA!J102</f>
        <v>0</v>
      </c>
      <c r="K98" s="961">
        <f>+NOMINA!K102</f>
        <v>17</v>
      </c>
      <c r="L98" s="963">
        <f>+NOMINA!CA102</f>
        <v>0</v>
      </c>
      <c r="M98" s="443" t="e">
        <f>#REF!+#REF!-#REF!</f>
        <v>#REF!</v>
      </c>
      <c r="N98" s="952" t="e">
        <f>ROUND((#REF!+#REF!+#REF!+#REF!+#REF!+#REF!+#REF!+#REF!),2)</f>
        <v>#REF!</v>
      </c>
      <c r="Q98" s="620" t="e">
        <f>SUM(#REF!)</f>
        <v>#REF!</v>
      </c>
      <c r="R98" s="953" t="e">
        <f>#REF!+#REF!-#REF!</f>
        <v>#REF!</v>
      </c>
      <c r="S98" s="954">
        <v>200</v>
      </c>
      <c r="T98" s="953" t="e">
        <f>#REF!+#REF!</f>
        <v>#REF!</v>
      </c>
      <c r="U98" s="954" t="e">
        <f>#REF!</f>
        <v>#REF!</v>
      </c>
      <c r="V98" s="955">
        <v>0</v>
      </c>
      <c r="W98" s="954" t="e">
        <f>#REF!</f>
        <v>#REF!</v>
      </c>
      <c r="X98" s="956" t="e">
        <f>#REF!+#REF!</f>
        <v>#REF!</v>
      </c>
      <c r="Y98" s="956" t="e">
        <f>#REF!+#REF!</f>
        <v>#REF!</v>
      </c>
      <c r="Z98" s="956"/>
      <c r="AA98" s="954" t="e">
        <f>#REF!</f>
        <v>#REF!</v>
      </c>
      <c r="AB98" s="954" t="e">
        <f t="shared" si="7"/>
        <v>#REF!</v>
      </c>
      <c r="AC98" s="954" t="e">
        <f>#REF!+#REF!</f>
        <v>#REF!</v>
      </c>
      <c r="AD98" s="954">
        <f t="shared" si="5"/>
        <v>0</v>
      </c>
      <c r="AE98" s="625"/>
    </row>
    <row r="99" spans="1:31" s="620" customFormat="1" ht="18" customHeight="1" x14ac:dyDescent="0.2">
      <c r="A99" s="655" t="s">
        <v>2846</v>
      </c>
      <c r="B99" s="508">
        <f t="shared" si="6"/>
        <v>60</v>
      </c>
      <c r="C99" s="957">
        <f>+NOMINA!C103</f>
        <v>11319154</v>
      </c>
      <c r="D99" s="958" t="str">
        <f>+NOMINA!D103</f>
        <v>Peña Villegas Lisette Carolina</v>
      </c>
      <c r="E99" s="955" t="s">
        <v>4622</v>
      </c>
      <c r="F99" s="959">
        <v>27081</v>
      </c>
      <c r="G99" s="955" t="s">
        <v>4620</v>
      </c>
      <c r="H99" s="960">
        <f>+NOMINA!H103</f>
        <v>34428</v>
      </c>
      <c r="I99" s="961">
        <f>+NOMINA!I103</f>
        <v>31</v>
      </c>
      <c r="J99" s="962">
        <f>+NOMINA!J103</f>
        <v>0</v>
      </c>
      <c r="K99" s="961">
        <f>+NOMINA!K103</f>
        <v>31</v>
      </c>
      <c r="L99" s="963">
        <f>+NOMINA!CA103</f>
        <v>6255</v>
      </c>
      <c r="M99" s="443" t="e">
        <f>#REF!+#REF!-#REF!</f>
        <v>#REF!</v>
      </c>
      <c r="N99" s="952" t="e">
        <f>ROUND((#REF!+#REF!+#REF!+#REF!+#REF!+#REF!+#REF!+#REF!),2)</f>
        <v>#REF!</v>
      </c>
      <c r="Q99" s="620" t="e">
        <f>SUM(#REF!)</f>
        <v>#REF!</v>
      </c>
      <c r="R99" s="953" t="e">
        <f>#REF!+#REF!-#REF!</f>
        <v>#REF!</v>
      </c>
      <c r="S99" s="954">
        <v>200</v>
      </c>
      <c r="T99" s="953" t="e">
        <f>#REF!+#REF!</f>
        <v>#REF!</v>
      </c>
      <c r="U99" s="954" t="e">
        <f>#REF!</f>
        <v>#REF!</v>
      </c>
      <c r="V99" s="955">
        <v>0</v>
      </c>
      <c r="W99" s="954" t="e">
        <f>#REF!</f>
        <v>#REF!</v>
      </c>
      <c r="X99" s="956" t="e">
        <f>#REF!+#REF!</f>
        <v>#REF!</v>
      </c>
      <c r="Y99" s="956" t="e">
        <f>#REF!+#REF!</f>
        <v>#REF!</v>
      </c>
      <c r="Z99" s="956"/>
      <c r="AA99" s="954" t="e">
        <f>#REF!</f>
        <v>#REF!</v>
      </c>
      <c r="AB99" s="954" t="e">
        <f t="shared" si="7"/>
        <v>#REF!</v>
      </c>
      <c r="AC99" s="954" t="e">
        <f>#REF!+#REF!</f>
        <v>#REF!</v>
      </c>
      <c r="AD99" s="954">
        <f t="shared" si="5"/>
        <v>6255</v>
      </c>
      <c r="AE99" s="625"/>
    </row>
    <row r="100" spans="1:31" s="620" customFormat="1" ht="18" customHeight="1" x14ac:dyDescent="0.2">
      <c r="A100" s="655" t="s">
        <v>2846</v>
      </c>
      <c r="B100" s="508">
        <f t="shared" si="6"/>
        <v>61</v>
      </c>
      <c r="C100" s="957">
        <f>+NOMINA!C104</f>
        <v>11320533</v>
      </c>
      <c r="D100" s="958" t="str">
        <f>+NOMINA!D104</f>
        <v>Suarez Chiquin Yaritza Josefina</v>
      </c>
      <c r="E100" s="955" t="s">
        <v>4622</v>
      </c>
      <c r="F100" s="959">
        <v>27081</v>
      </c>
      <c r="G100" s="955" t="s">
        <v>4620</v>
      </c>
      <c r="H100" s="960">
        <f>+NOMINA!H104</f>
        <v>37629</v>
      </c>
      <c r="I100" s="961">
        <f>+NOMINA!I104</f>
        <v>22</v>
      </c>
      <c r="J100" s="962">
        <f>+NOMINA!J104</f>
        <v>0</v>
      </c>
      <c r="K100" s="961">
        <f>+NOMINA!K104</f>
        <v>22</v>
      </c>
      <c r="L100" s="963">
        <f>+NOMINA!CA104</f>
        <v>0</v>
      </c>
      <c r="M100" s="443" t="e">
        <f>#REF!+#REF!-#REF!</f>
        <v>#REF!</v>
      </c>
      <c r="N100" s="952" t="e">
        <f>ROUND((#REF!+#REF!+#REF!+#REF!+#REF!+#REF!+#REF!+#REF!),2)</f>
        <v>#REF!</v>
      </c>
      <c r="Q100" s="620" t="e">
        <f>SUM(#REF!)</f>
        <v>#REF!</v>
      </c>
      <c r="R100" s="953" t="e">
        <f>#REF!+#REF!-#REF!</f>
        <v>#REF!</v>
      </c>
      <c r="S100" s="954">
        <v>200</v>
      </c>
      <c r="T100" s="953" t="e">
        <f>#REF!+#REF!</f>
        <v>#REF!</v>
      </c>
      <c r="U100" s="954" t="e">
        <f>#REF!</f>
        <v>#REF!</v>
      </c>
      <c r="V100" s="955">
        <v>0</v>
      </c>
      <c r="W100" s="954" t="e">
        <f>#REF!</f>
        <v>#REF!</v>
      </c>
      <c r="X100" s="956" t="e">
        <f>#REF!+#REF!</f>
        <v>#REF!</v>
      </c>
      <c r="Y100" s="956" t="e">
        <f>#REF!+#REF!</f>
        <v>#REF!</v>
      </c>
      <c r="Z100" s="956"/>
      <c r="AA100" s="954" t="e">
        <f>#REF!</f>
        <v>#REF!</v>
      </c>
      <c r="AB100" s="954" t="e">
        <f t="shared" si="7"/>
        <v>#REF!</v>
      </c>
      <c r="AC100" s="954" t="e">
        <f>#REF!+#REF!</f>
        <v>#REF!</v>
      </c>
      <c r="AD100" s="954">
        <f t="shared" si="5"/>
        <v>0</v>
      </c>
      <c r="AE100" s="625"/>
    </row>
    <row r="101" spans="1:31" s="620" customFormat="1" ht="18" customHeight="1" x14ac:dyDescent="0.2">
      <c r="A101" s="655" t="s">
        <v>2846</v>
      </c>
      <c r="B101" s="508">
        <f t="shared" si="6"/>
        <v>62</v>
      </c>
      <c r="C101" s="957">
        <f>+NOMINA!C105</f>
        <v>11322871</v>
      </c>
      <c r="D101" s="958" t="str">
        <f>+NOMINA!D105</f>
        <v>Rivas Albarran Martin Antonio</v>
      </c>
      <c r="E101" s="955" t="s">
        <v>4622</v>
      </c>
      <c r="F101" s="959">
        <v>27081</v>
      </c>
      <c r="G101" s="955" t="s">
        <v>4620</v>
      </c>
      <c r="H101" s="960">
        <f>+NOMINA!H105</f>
        <v>38718</v>
      </c>
      <c r="I101" s="961">
        <f>+NOMINA!I105</f>
        <v>19</v>
      </c>
      <c r="J101" s="962">
        <f>+NOMINA!J105</f>
        <v>0</v>
      </c>
      <c r="K101" s="961">
        <f>+NOMINA!K105</f>
        <v>19</v>
      </c>
      <c r="L101" s="963">
        <f>+NOMINA!CA105</f>
        <v>6255</v>
      </c>
      <c r="M101" s="443" t="e">
        <f>#REF!+#REF!-#REF!</f>
        <v>#REF!</v>
      </c>
      <c r="N101" s="952" t="e">
        <f>ROUND((#REF!+#REF!+#REF!+#REF!+#REF!+#REF!+#REF!+#REF!),2)</f>
        <v>#REF!</v>
      </c>
      <c r="Q101" s="620" t="e">
        <f>SUM(#REF!)</f>
        <v>#REF!</v>
      </c>
      <c r="R101" s="953" t="e">
        <f>#REF!+#REF!-#REF!</f>
        <v>#REF!</v>
      </c>
      <c r="S101" s="954">
        <v>200</v>
      </c>
      <c r="T101" s="953" t="e">
        <f>#REF!+#REF!</f>
        <v>#REF!</v>
      </c>
      <c r="U101" s="954" t="e">
        <f>#REF!</f>
        <v>#REF!</v>
      </c>
      <c r="V101" s="955">
        <v>0</v>
      </c>
      <c r="W101" s="954" t="e">
        <f>#REF!</f>
        <v>#REF!</v>
      </c>
      <c r="X101" s="956" t="e">
        <f>#REF!+#REF!</f>
        <v>#REF!</v>
      </c>
      <c r="Y101" s="956" t="e">
        <f>#REF!+#REF!</f>
        <v>#REF!</v>
      </c>
      <c r="Z101" s="956"/>
      <c r="AA101" s="954" t="e">
        <f>#REF!</f>
        <v>#REF!</v>
      </c>
      <c r="AB101" s="954" t="e">
        <f t="shared" si="7"/>
        <v>#REF!</v>
      </c>
      <c r="AC101" s="954" t="e">
        <f>#REF!+#REF!</f>
        <v>#REF!</v>
      </c>
      <c r="AD101" s="954">
        <f t="shared" si="5"/>
        <v>6255</v>
      </c>
      <c r="AE101" s="625"/>
    </row>
    <row r="102" spans="1:31" s="620" customFormat="1" ht="18" customHeight="1" x14ac:dyDescent="0.2">
      <c r="A102" s="655" t="s">
        <v>2846</v>
      </c>
      <c r="B102" s="508">
        <f t="shared" si="6"/>
        <v>63</v>
      </c>
      <c r="C102" s="957">
        <f>+NOMINA!C106</f>
        <v>11616673</v>
      </c>
      <c r="D102" s="958" t="str">
        <f>+NOMINA!D106</f>
        <v>Perdomo Orlando Jose</v>
      </c>
      <c r="E102" s="955" t="s">
        <v>4622</v>
      </c>
      <c r="F102" s="959">
        <v>27081</v>
      </c>
      <c r="G102" s="955" t="s">
        <v>4620</v>
      </c>
      <c r="H102" s="960">
        <f>+NOMINA!H106</f>
        <v>35066</v>
      </c>
      <c r="I102" s="961">
        <f>+NOMINA!I106</f>
        <v>29</v>
      </c>
      <c r="J102" s="962">
        <f>+NOMINA!J106</f>
        <v>0</v>
      </c>
      <c r="K102" s="961">
        <f>+NOMINA!K106</f>
        <v>29</v>
      </c>
      <c r="L102" s="963">
        <f>+NOMINA!CA106</f>
        <v>6255</v>
      </c>
      <c r="M102" s="443" t="e">
        <f>#REF!+#REF!-#REF!</f>
        <v>#REF!</v>
      </c>
      <c r="N102" s="952" t="e">
        <f>ROUND((#REF!+#REF!+#REF!+#REF!+#REF!+#REF!+#REF!+#REF!),2)</f>
        <v>#REF!</v>
      </c>
      <c r="Q102" s="620" t="e">
        <f>SUM(#REF!)</f>
        <v>#REF!</v>
      </c>
      <c r="R102" s="953" t="e">
        <f>#REF!+#REF!-#REF!</f>
        <v>#REF!</v>
      </c>
      <c r="S102" s="954">
        <v>200</v>
      </c>
      <c r="T102" s="953" t="e">
        <f>#REF!+#REF!</f>
        <v>#REF!</v>
      </c>
      <c r="U102" s="954" t="e">
        <f>#REF!</f>
        <v>#REF!</v>
      </c>
      <c r="V102" s="955">
        <v>0</v>
      </c>
      <c r="W102" s="954" t="e">
        <f>#REF!</f>
        <v>#REF!</v>
      </c>
      <c r="X102" s="956" t="e">
        <f>#REF!+#REF!</f>
        <v>#REF!</v>
      </c>
      <c r="Y102" s="956" t="e">
        <f>#REF!+#REF!</f>
        <v>#REF!</v>
      </c>
      <c r="Z102" s="956"/>
      <c r="AA102" s="954" t="e">
        <f>#REF!</f>
        <v>#REF!</v>
      </c>
      <c r="AB102" s="954" t="e">
        <f t="shared" si="7"/>
        <v>#REF!</v>
      </c>
      <c r="AC102" s="954" t="e">
        <f>#REF!+#REF!</f>
        <v>#REF!</v>
      </c>
      <c r="AD102" s="954">
        <f t="shared" ref="AD102:AD165" si="8">L102</f>
        <v>6255</v>
      </c>
      <c r="AE102" s="625"/>
    </row>
    <row r="103" spans="1:31" s="620" customFormat="1" ht="18" customHeight="1" x14ac:dyDescent="0.2">
      <c r="A103" s="655" t="s">
        <v>2846</v>
      </c>
      <c r="B103" s="508">
        <f t="shared" si="6"/>
        <v>64</v>
      </c>
      <c r="C103" s="957">
        <f>+NOMINA!C107</f>
        <v>11734553</v>
      </c>
      <c r="D103" s="958" t="str">
        <f>+NOMINA!D107</f>
        <v>Teran Torres Olga del Carmen</v>
      </c>
      <c r="E103" s="955" t="s">
        <v>4622</v>
      </c>
      <c r="F103" s="959">
        <v>27081</v>
      </c>
      <c r="G103" s="955" t="s">
        <v>4620</v>
      </c>
      <c r="H103" s="960">
        <f>+NOMINA!H107</f>
        <v>43206</v>
      </c>
      <c r="I103" s="961">
        <f>+NOMINA!I107</f>
        <v>7</v>
      </c>
      <c r="J103" s="962">
        <f>+NOMINA!J107</f>
        <v>0</v>
      </c>
      <c r="K103" s="961">
        <f>+NOMINA!K107</f>
        <v>7</v>
      </c>
      <c r="L103" s="963">
        <f>+NOMINA!CA107</f>
        <v>6255</v>
      </c>
      <c r="M103" s="443" t="e">
        <f>#REF!+#REF!-#REF!</f>
        <v>#REF!</v>
      </c>
      <c r="N103" s="952" t="e">
        <f>ROUND((#REF!+#REF!+#REF!+#REF!+#REF!+#REF!+#REF!+#REF!),2)</f>
        <v>#REF!</v>
      </c>
      <c r="Q103" s="620" t="e">
        <f>SUM(#REF!)</f>
        <v>#REF!</v>
      </c>
      <c r="R103" s="953" t="e">
        <f>#REF!+#REF!-#REF!</f>
        <v>#REF!</v>
      </c>
      <c r="S103" s="954">
        <v>200</v>
      </c>
      <c r="T103" s="953" t="e">
        <f>#REF!+#REF!</f>
        <v>#REF!</v>
      </c>
      <c r="U103" s="954" t="e">
        <f>#REF!</f>
        <v>#REF!</v>
      </c>
      <c r="V103" s="955">
        <v>0</v>
      </c>
      <c r="W103" s="954" t="e">
        <f>#REF!</f>
        <v>#REF!</v>
      </c>
      <c r="X103" s="956" t="e">
        <f>#REF!+#REF!</f>
        <v>#REF!</v>
      </c>
      <c r="Y103" s="956" t="e">
        <f>#REF!+#REF!</f>
        <v>#REF!</v>
      </c>
      <c r="Z103" s="956"/>
      <c r="AA103" s="954" t="e">
        <f>#REF!</f>
        <v>#REF!</v>
      </c>
      <c r="AB103" s="954" t="e">
        <f t="shared" si="7"/>
        <v>#REF!</v>
      </c>
      <c r="AC103" s="954" t="e">
        <f>#REF!+#REF!</f>
        <v>#REF!</v>
      </c>
      <c r="AD103" s="954">
        <f t="shared" si="8"/>
        <v>6255</v>
      </c>
      <c r="AE103" s="625"/>
    </row>
    <row r="104" spans="1:31" s="620" customFormat="1" ht="18" customHeight="1" x14ac:dyDescent="0.2">
      <c r="A104" s="655" t="s">
        <v>2846</v>
      </c>
      <c r="B104" s="508">
        <f t="shared" si="6"/>
        <v>65</v>
      </c>
      <c r="C104" s="957">
        <f>+NOMINA!C108</f>
        <v>11894534</v>
      </c>
      <c r="D104" s="958" t="str">
        <f>+NOMINA!D108</f>
        <v>Olmos Rodriguez Eberto de Jesus</v>
      </c>
      <c r="E104" s="955" t="s">
        <v>4622</v>
      </c>
      <c r="F104" s="959">
        <v>27081</v>
      </c>
      <c r="G104" s="955" t="s">
        <v>4620</v>
      </c>
      <c r="H104" s="960">
        <f>+NOMINA!H108</f>
        <v>40909</v>
      </c>
      <c r="I104" s="961">
        <f>+NOMINA!I108</f>
        <v>13</v>
      </c>
      <c r="J104" s="962">
        <f>+NOMINA!J108</f>
        <v>13</v>
      </c>
      <c r="K104" s="961">
        <f>+NOMINA!K108</f>
        <v>26</v>
      </c>
      <c r="L104" s="963">
        <f>+NOMINA!CA108</f>
        <v>0</v>
      </c>
      <c r="M104" s="443" t="e">
        <f>#REF!+#REF!-#REF!</f>
        <v>#REF!</v>
      </c>
      <c r="N104" s="952" t="e">
        <f>ROUND((#REF!+#REF!+#REF!+#REF!+#REF!+#REF!+#REF!+#REF!),2)</f>
        <v>#REF!</v>
      </c>
      <c r="Q104" s="620" t="e">
        <f>SUM(#REF!)</f>
        <v>#REF!</v>
      </c>
      <c r="R104" s="953" t="e">
        <f>#REF!+#REF!-#REF!</f>
        <v>#REF!</v>
      </c>
      <c r="S104" s="954">
        <v>200</v>
      </c>
      <c r="T104" s="953" t="e">
        <f>#REF!+#REF!</f>
        <v>#REF!</v>
      </c>
      <c r="U104" s="954" t="e">
        <f>#REF!</f>
        <v>#REF!</v>
      </c>
      <c r="V104" s="955">
        <v>0</v>
      </c>
      <c r="W104" s="954" t="e">
        <f>#REF!</f>
        <v>#REF!</v>
      </c>
      <c r="X104" s="956" t="e">
        <f>#REF!+#REF!</f>
        <v>#REF!</v>
      </c>
      <c r="Y104" s="956" t="e">
        <f>#REF!+#REF!</f>
        <v>#REF!</v>
      </c>
      <c r="Z104" s="956"/>
      <c r="AA104" s="954" t="e">
        <f>#REF!</f>
        <v>#REF!</v>
      </c>
      <c r="AB104" s="954" t="e">
        <f t="shared" si="7"/>
        <v>#REF!</v>
      </c>
      <c r="AC104" s="954" t="e">
        <f>#REF!+#REF!</f>
        <v>#REF!</v>
      </c>
      <c r="AD104" s="954">
        <f t="shared" si="8"/>
        <v>0</v>
      </c>
      <c r="AE104" s="625"/>
    </row>
    <row r="105" spans="1:31" s="620" customFormat="1" ht="18" customHeight="1" x14ac:dyDescent="0.2">
      <c r="A105" s="655" t="s">
        <v>2846</v>
      </c>
      <c r="B105" s="508">
        <f t="shared" si="6"/>
        <v>66</v>
      </c>
      <c r="C105" s="957">
        <f>+NOMINA!C109</f>
        <v>11895772</v>
      </c>
      <c r="D105" s="958" t="str">
        <f>+NOMINA!D109</f>
        <v>Rangel Rivas Ildemaro</v>
      </c>
      <c r="E105" s="955" t="s">
        <v>4622</v>
      </c>
      <c r="F105" s="959">
        <v>27081</v>
      </c>
      <c r="G105" s="955" t="s">
        <v>4620</v>
      </c>
      <c r="H105" s="960">
        <f>+NOMINA!H109</f>
        <v>44743</v>
      </c>
      <c r="I105" s="961">
        <f>+NOMINA!I109</f>
        <v>3</v>
      </c>
      <c r="J105" s="962">
        <f>+NOMINA!J109</f>
        <v>0</v>
      </c>
      <c r="K105" s="961">
        <f>+NOMINA!K109</f>
        <v>3</v>
      </c>
      <c r="L105" s="963">
        <f>+NOMINA!CA109</f>
        <v>0</v>
      </c>
      <c r="M105" s="443" t="e">
        <f>#REF!+#REF!-#REF!</f>
        <v>#REF!</v>
      </c>
      <c r="N105" s="952" t="e">
        <f>ROUND((#REF!+#REF!+#REF!+#REF!+#REF!+#REF!+#REF!+#REF!),2)</f>
        <v>#REF!</v>
      </c>
      <c r="Q105" s="620" t="e">
        <f>SUM(#REF!)</f>
        <v>#REF!</v>
      </c>
      <c r="R105" s="953" t="e">
        <f>#REF!+#REF!-#REF!</f>
        <v>#REF!</v>
      </c>
      <c r="S105" s="954">
        <v>200</v>
      </c>
      <c r="T105" s="953" t="e">
        <f>#REF!+#REF!</f>
        <v>#REF!</v>
      </c>
      <c r="U105" s="954" t="e">
        <f>#REF!</f>
        <v>#REF!</v>
      </c>
      <c r="V105" s="955">
        <v>0</v>
      </c>
      <c r="W105" s="954" t="e">
        <f>#REF!</f>
        <v>#REF!</v>
      </c>
      <c r="X105" s="956" t="e">
        <f>#REF!+#REF!</f>
        <v>#REF!</v>
      </c>
      <c r="Y105" s="956" t="e">
        <f>#REF!+#REF!</f>
        <v>#REF!</v>
      </c>
      <c r="Z105" s="956"/>
      <c r="AA105" s="954" t="e">
        <f>#REF!</f>
        <v>#REF!</v>
      </c>
      <c r="AB105" s="954" t="e">
        <f t="shared" si="7"/>
        <v>#REF!</v>
      </c>
      <c r="AC105" s="954" t="e">
        <f>#REF!+#REF!</f>
        <v>#REF!</v>
      </c>
      <c r="AD105" s="954">
        <f t="shared" si="8"/>
        <v>0</v>
      </c>
      <c r="AE105" s="625"/>
    </row>
    <row r="106" spans="1:31" s="620" customFormat="1" ht="18" customHeight="1" x14ac:dyDescent="0.2">
      <c r="A106" s="655" t="s">
        <v>2846</v>
      </c>
      <c r="B106" s="508">
        <f t="shared" ref="B106:B169" si="9">B105+1</f>
        <v>67</v>
      </c>
      <c r="C106" s="957">
        <f>+NOMINA!C110</f>
        <v>11898486</v>
      </c>
      <c r="D106" s="958" t="str">
        <f>+NOMINA!D110</f>
        <v>Linares Hernandez Thaiz Yoconda</v>
      </c>
      <c r="E106" s="955" t="s">
        <v>4622</v>
      </c>
      <c r="F106" s="959">
        <v>27081</v>
      </c>
      <c r="G106" s="955" t="s">
        <v>4620</v>
      </c>
      <c r="H106" s="960">
        <f>+NOMINA!H110</f>
        <v>40065</v>
      </c>
      <c r="I106" s="961">
        <f>+NOMINA!I110</f>
        <v>16</v>
      </c>
      <c r="J106" s="962">
        <f>+NOMINA!J110</f>
        <v>0</v>
      </c>
      <c r="K106" s="961">
        <f>+NOMINA!K110</f>
        <v>16</v>
      </c>
      <c r="L106" s="963">
        <f>+NOMINA!CA110</f>
        <v>6255</v>
      </c>
      <c r="M106" s="443" t="e">
        <f>#REF!+#REF!-#REF!</f>
        <v>#REF!</v>
      </c>
      <c r="N106" s="952" t="e">
        <f>ROUND((#REF!+#REF!+#REF!+#REF!+#REF!+#REF!+#REF!+#REF!),2)</f>
        <v>#REF!</v>
      </c>
      <c r="Q106" s="620" t="e">
        <f>SUM(#REF!)</f>
        <v>#REF!</v>
      </c>
      <c r="R106" s="953" t="e">
        <f>#REF!+#REF!-#REF!</f>
        <v>#REF!</v>
      </c>
      <c r="S106" s="954">
        <v>200</v>
      </c>
      <c r="T106" s="953" t="e">
        <f>#REF!+#REF!</f>
        <v>#REF!</v>
      </c>
      <c r="U106" s="954" t="e">
        <f>#REF!</f>
        <v>#REF!</v>
      </c>
      <c r="V106" s="955">
        <v>0</v>
      </c>
      <c r="W106" s="954" t="e">
        <f>#REF!</f>
        <v>#REF!</v>
      </c>
      <c r="X106" s="956" t="e">
        <f>#REF!+#REF!</f>
        <v>#REF!</v>
      </c>
      <c r="Y106" s="956" t="e">
        <f>#REF!+#REF!</f>
        <v>#REF!</v>
      </c>
      <c r="Z106" s="956"/>
      <c r="AA106" s="954" t="e">
        <f>#REF!</f>
        <v>#REF!</v>
      </c>
      <c r="AB106" s="954" t="e">
        <f t="shared" si="7"/>
        <v>#REF!</v>
      </c>
      <c r="AC106" s="954" t="e">
        <f>#REF!+#REF!</f>
        <v>#REF!</v>
      </c>
      <c r="AD106" s="954">
        <f t="shared" si="8"/>
        <v>6255</v>
      </c>
      <c r="AE106" s="625"/>
    </row>
    <row r="107" spans="1:31" s="620" customFormat="1" ht="18" customHeight="1" x14ac:dyDescent="0.2">
      <c r="A107" s="655" t="s">
        <v>2846</v>
      </c>
      <c r="B107" s="508">
        <f t="shared" si="9"/>
        <v>68</v>
      </c>
      <c r="C107" s="957">
        <f>+NOMINA!C111</f>
        <v>12040792</v>
      </c>
      <c r="D107" s="958" t="str">
        <f>+NOMINA!D111</f>
        <v>Sulbaran Campos Jesus Alberto</v>
      </c>
      <c r="E107" s="955" t="s">
        <v>4622</v>
      </c>
      <c r="F107" s="959">
        <v>27081</v>
      </c>
      <c r="G107" s="955" t="s">
        <v>4620</v>
      </c>
      <c r="H107" s="960">
        <f>+NOMINA!H111</f>
        <v>43236</v>
      </c>
      <c r="I107" s="961">
        <f>+NOMINA!I111</f>
        <v>7</v>
      </c>
      <c r="J107" s="962">
        <f>+NOMINA!J111</f>
        <v>0</v>
      </c>
      <c r="K107" s="961">
        <f>+NOMINA!K111</f>
        <v>7</v>
      </c>
      <c r="L107" s="963">
        <f>+NOMINA!CA111</f>
        <v>6255</v>
      </c>
      <c r="M107" s="443" t="e">
        <f>#REF!+#REF!-#REF!</f>
        <v>#REF!</v>
      </c>
      <c r="N107" s="952" t="e">
        <f>ROUND((#REF!+#REF!+#REF!+#REF!+#REF!+#REF!+#REF!+#REF!),2)</f>
        <v>#REF!</v>
      </c>
      <c r="Q107" s="620" t="e">
        <f>SUM(#REF!)</f>
        <v>#REF!</v>
      </c>
      <c r="R107" s="953" t="e">
        <f>#REF!+#REF!-#REF!</f>
        <v>#REF!</v>
      </c>
      <c r="S107" s="954">
        <v>200</v>
      </c>
      <c r="T107" s="953" t="e">
        <f>#REF!+#REF!</f>
        <v>#REF!</v>
      </c>
      <c r="U107" s="954" t="e">
        <f>#REF!</f>
        <v>#REF!</v>
      </c>
      <c r="V107" s="955">
        <v>0</v>
      </c>
      <c r="W107" s="954" t="e">
        <f>#REF!</f>
        <v>#REF!</v>
      </c>
      <c r="X107" s="956" t="e">
        <f>#REF!+#REF!</f>
        <v>#REF!</v>
      </c>
      <c r="Y107" s="956" t="e">
        <f>#REF!+#REF!</f>
        <v>#REF!</v>
      </c>
      <c r="Z107" s="956"/>
      <c r="AA107" s="954" t="e">
        <f>#REF!</f>
        <v>#REF!</v>
      </c>
      <c r="AB107" s="954" t="e">
        <f t="shared" si="7"/>
        <v>#REF!</v>
      </c>
      <c r="AC107" s="954" t="e">
        <f>#REF!+#REF!</f>
        <v>#REF!</v>
      </c>
      <c r="AD107" s="954">
        <f t="shared" si="8"/>
        <v>6255</v>
      </c>
      <c r="AE107" s="625"/>
    </row>
    <row r="108" spans="1:31" s="620" customFormat="1" ht="18" customHeight="1" x14ac:dyDescent="0.2">
      <c r="A108" s="655" t="s">
        <v>2846</v>
      </c>
      <c r="B108" s="508">
        <f t="shared" si="9"/>
        <v>69</v>
      </c>
      <c r="C108" s="957">
        <f>+NOMINA!C112</f>
        <v>12042855</v>
      </c>
      <c r="D108" s="958" t="str">
        <f>+NOMINA!D112</f>
        <v>Alburguez  Manzanilla Neira Josefina</v>
      </c>
      <c r="E108" s="955" t="s">
        <v>4622</v>
      </c>
      <c r="F108" s="959">
        <v>27081</v>
      </c>
      <c r="G108" s="955" t="s">
        <v>4620</v>
      </c>
      <c r="H108" s="960">
        <f>+NOMINA!H112</f>
        <v>44028</v>
      </c>
      <c r="I108" s="961">
        <f>+NOMINA!I112</f>
        <v>5</v>
      </c>
      <c r="J108" s="962">
        <f>+NOMINA!J112</f>
        <v>0</v>
      </c>
      <c r="K108" s="961">
        <f>+NOMINA!K112</f>
        <v>5</v>
      </c>
      <c r="L108" s="963">
        <f>+NOMINA!CA112</f>
        <v>6255</v>
      </c>
      <c r="M108" s="443" t="e">
        <f>#REF!+#REF!-#REF!</f>
        <v>#REF!</v>
      </c>
      <c r="N108" s="952" t="e">
        <f>ROUND((#REF!+#REF!+#REF!+#REF!+#REF!+#REF!+#REF!+#REF!),2)</f>
        <v>#REF!</v>
      </c>
      <c r="Q108" s="620" t="e">
        <f>SUM(#REF!)</f>
        <v>#REF!</v>
      </c>
      <c r="R108" s="953" t="e">
        <f>#REF!+#REF!-#REF!</f>
        <v>#REF!</v>
      </c>
      <c r="S108" s="954">
        <v>200</v>
      </c>
      <c r="T108" s="953" t="e">
        <f>#REF!+#REF!</f>
        <v>#REF!</v>
      </c>
      <c r="U108" s="954" t="e">
        <f>#REF!</f>
        <v>#REF!</v>
      </c>
      <c r="V108" s="955">
        <v>0</v>
      </c>
      <c r="W108" s="954" t="e">
        <f>#REF!</f>
        <v>#REF!</v>
      </c>
      <c r="X108" s="956" t="e">
        <f>#REF!+#REF!</f>
        <v>#REF!</v>
      </c>
      <c r="Y108" s="956" t="e">
        <f>#REF!+#REF!</f>
        <v>#REF!</v>
      </c>
      <c r="Z108" s="956"/>
      <c r="AA108" s="954" t="e">
        <f>#REF!</f>
        <v>#REF!</v>
      </c>
      <c r="AB108" s="954" t="e">
        <f t="shared" si="7"/>
        <v>#REF!</v>
      </c>
      <c r="AC108" s="954" t="e">
        <f>#REF!+#REF!</f>
        <v>#REF!</v>
      </c>
      <c r="AD108" s="954">
        <f t="shared" si="8"/>
        <v>6255</v>
      </c>
      <c r="AE108" s="625"/>
    </row>
    <row r="109" spans="1:31" s="620" customFormat="1" ht="18" customHeight="1" x14ac:dyDescent="0.2">
      <c r="A109" s="655" t="s">
        <v>2846</v>
      </c>
      <c r="B109" s="508">
        <f t="shared" si="9"/>
        <v>70</v>
      </c>
      <c r="C109" s="957">
        <f>+NOMINA!C113</f>
        <v>12045335</v>
      </c>
      <c r="D109" s="958" t="str">
        <f>+NOMINA!D113</f>
        <v>Gonzalez De Briceño Yasmin Coromoto</v>
      </c>
      <c r="E109" s="955" t="s">
        <v>4622</v>
      </c>
      <c r="F109" s="959">
        <v>27081</v>
      </c>
      <c r="G109" s="955" t="s">
        <v>4620</v>
      </c>
      <c r="H109" s="960">
        <f>+NOMINA!H113</f>
        <v>45505</v>
      </c>
      <c r="I109" s="961">
        <f>+NOMINA!I113</f>
        <v>1</v>
      </c>
      <c r="J109" s="962">
        <f>+NOMINA!J113</f>
        <v>0</v>
      </c>
      <c r="K109" s="961">
        <f>+NOMINA!K113</f>
        <v>1</v>
      </c>
      <c r="L109" s="963">
        <f>+NOMINA!CA113</f>
        <v>6255</v>
      </c>
      <c r="M109" s="443" t="e">
        <f>#REF!+#REF!-#REF!</f>
        <v>#REF!</v>
      </c>
      <c r="N109" s="952" t="e">
        <f>ROUND((#REF!+#REF!+#REF!+#REF!+#REF!+#REF!+#REF!+#REF!),2)</f>
        <v>#REF!</v>
      </c>
      <c r="Q109" s="620" t="e">
        <f>SUM(#REF!)</f>
        <v>#REF!</v>
      </c>
      <c r="R109" s="953" t="e">
        <f>#REF!+#REF!-#REF!</f>
        <v>#REF!</v>
      </c>
      <c r="S109" s="954">
        <v>200</v>
      </c>
      <c r="T109" s="953" t="e">
        <f>#REF!+#REF!</f>
        <v>#REF!</v>
      </c>
      <c r="U109" s="954" t="e">
        <f>#REF!</f>
        <v>#REF!</v>
      </c>
      <c r="V109" s="955">
        <v>0</v>
      </c>
      <c r="W109" s="954" t="e">
        <f>#REF!</f>
        <v>#REF!</v>
      </c>
      <c r="X109" s="956" t="e">
        <f>#REF!+#REF!</f>
        <v>#REF!</v>
      </c>
      <c r="Y109" s="956" t="e">
        <f>#REF!+#REF!</f>
        <v>#REF!</v>
      </c>
      <c r="Z109" s="956"/>
      <c r="AA109" s="954" t="e">
        <f>#REF!</f>
        <v>#REF!</v>
      </c>
      <c r="AB109" s="954" t="e">
        <f t="shared" si="7"/>
        <v>#REF!</v>
      </c>
      <c r="AC109" s="954" t="e">
        <f>#REF!+#REF!</f>
        <v>#REF!</v>
      </c>
      <c r="AD109" s="954">
        <f t="shared" si="8"/>
        <v>6255</v>
      </c>
      <c r="AE109" s="625"/>
    </row>
    <row r="110" spans="1:31" s="620" customFormat="1" ht="18" customHeight="1" x14ac:dyDescent="0.2">
      <c r="A110" s="655" t="s">
        <v>2846</v>
      </c>
      <c r="B110" s="508">
        <f t="shared" si="9"/>
        <v>71</v>
      </c>
      <c r="C110" s="957">
        <f>+NOMINA!C114</f>
        <v>12045360</v>
      </c>
      <c r="D110" s="958" t="str">
        <f>+NOMINA!D114</f>
        <v>Montilla Lamus Ana Cristina</v>
      </c>
      <c r="E110" s="955" t="s">
        <v>4622</v>
      </c>
      <c r="F110" s="959">
        <v>27081</v>
      </c>
      <c r="G110" s="955" t="s">
        <v>4620</v>
      </c>
      <c r="H110" s="960">
        <f>+NOMINA!H114</f>
        <v>39238</v>
      </c>
      <c r="I110" s="961">
        <f>+NOMINA!I114</f>
        <v>18</v>
      </c>
      <c r="J110" s="962">
        <f>+NOMINA!J114</f>
        <v>0</v>
      </c>
      <c r="K110" s="961">
        <f>+NOMINA!K114</f>
        <v>18</v>
      </c>
      <c r="L110" s="963">
        <f>+NOMINA!CA114</f>
        <v>6255</v>
      </c>
      <c r="M110" s="443" t="e">
        <f>#REF!+#REF!-#REF!</f>
        <v>#REF!</v>
      </c>
      <c r="N110" s="952" t="e">
        <f>ROUND((#REF!+#REF!+#REF!+#REF!+#REF!+#REF!+#REF!+#REF!),2)</f>
        <v>#REF!</v>
      </c>
      <c r="Q110" s="620" t="e">
        <f>SUM(#REF!)</f>
        <v>#REF!</v>
      </c>
      <c r="R110" s="953" t="e">
        <f>#REF!+#REF!-#REF!</f>
        <v>#REF!</v>
      </c>
      <c r="S110" s="954">
        <v>200</v>
      </c>
      <c r="T110" s="953" t="e">
        <f>#REF!+#REF!</f>
        <v>#REF!</v>
      </c>
      <c r="U110" s="954" t="e">
        <f>#REF!</f>
        <v>#REF!</v>
      </c>
      <c r="V110" s="955">
        <v>0</v>
      </c>
      <c r="W110" s="954" t="e">
        <f>#REF!</f>
        <v>#REF!</v>
      </c>
      <c r="X110" s="956" t="e">
        <f>#REF!+#REF!</f>
        <v>#REF!</v>
      </c>
      <c r="Y110" s="956" t="e">
        <f>#REF!+#REF!</f>
        <v>#REF!</v>
      </c>
      <c r="Z110" s="956"/>
      <c r="AA110" s="954" t="e">
        <f>#REF!</f>
        <v>#REF!</v>
      </c>
      <c r="AB110" s="954" t="e">
        <f t="shared" si="7"/>
        <v>#REF!</v>
      </c>
      <c r="AC110" s="954" t="e">
        <f>#REF!+#REF!</f>
        <v>#REF!</v>
      </c>
      <c r="AD110" s="954">
        <f t="shared" si="8"/>
        <v>6255</v>
      </c>
      <c r="AE110" s="625"/>
    </row>
    <row r="111" spans="1:31" s="620" customFormat="1" ht="18" customHeight="1" x14ac:dyDescent="0.2">
      <c r="A111" s="655" t="s">
        <v>2846</v>
      </c>
      <c r="B111" s="508">
        <f t="shared" si="9"/>
        <v>72</v>
      </c>
      <c r="C111" s="957">
        <f>+NOMINA!C115</f>
        <v>12045504</v>
      </c>
      <c r="D111" s="958" t="str">
        <f>+NOMINA!D115</f>
        <v>Sanchez Olivar Denis Josefina</v>
      </c>
      <c r="E111" s="955" t="s">
        <v>4622</v>
      </c>
      <c r="F111" s="959">
        <v>27081</v>
      </c>
      <c r="G111" s="955" t="s">
        <v>4620</v>
      </c>
      <c r="H111" s="960">
        <f>+NOMINA!H115</f>
        <v>43862</v>
      </c>
      <c r="I111" s="961">
        <f>+NOMINA!I115</f>
        <v>5</v>
      </c>
      <c r="J111" s="962">
        <f>+NOMINA!J115</f>
        <v>0</v>
      </c>
      <c r="K111" s="961">
        <f>+NOMINA!K115</f>
        <v>5</v>
      </c>
      <c r="L111" s="963">
        <f>+NOMINA!CA115</f>
        <v>6255</v>
      </c>
      <c r="M111" s="443" t="e">
        <f>#REF!+#REF!-#REF!</f>
        <v>#REF!</v>
      </c>
      <c r="N111" s="952" t="e">
        <f>ROUND((#REF!+#REF!+#REF!+#REF!+#REF!+#REF!+#REF!+#REF!),2)</f>
        <v>#REF!</v>
      </c>
      <c r="Q111" s="620" t="e">
        <f>SUM(#REF!)</f>
        <v>#REF!</v>
      </c>
      <c r="R111" s="953" t="e">
        <f>#REF!+#REF!-#REF!</f>
        <v>#REF!</v>
      </c>
      <c r="S111" s="954">
        <v>200</v>
      </c>
      <c r="T111" s="953" t="e">
        <f>#REF!+#REF!</f>
        <v>#REF!</v>
      </c>
      <c r="U111" s="954" t="e">
        <f>#REF!</f>
        <v>#REF!</v>
      </c>
      <c r="V111" s="955">
        <v>0</v>
      </c>
      <c r="W111" s="954" t="e">
        <f>#REF!</f>
        <v>#REF!</v>
      </c>
      <c r="X111" s="956" t="e">
        <f>#REF!+#REF!</f>
        <v>#REF!</v>
      </c>
      <c r="Y111" s="956" t="e">
        <f>#REF!+#REF!</f>
        <v>#REF!</v>
      </c>
      <c r="Z111" s="956"/>
      <c r="AA111" s="954" t="e">
        <f>#REF!</f>
        <v>#REF!</v>
      </c>
      <c r="AB111" s="954" t="e">
        <f t="shared" si="7"/>
        <v>#REF!</v>
      </c>
      <c r="AC111" s="954" t="e">
        <f>#REF!+#REF!</f>
        <v>#REF!</v>
      </c>
      <c r="AD111" s="954">
        <f t="shared" si="8"/>
        <v>6255</v>
      </c>
      <c r="AE111" s="625"/>
    </row>
    <row r="112" spans="1:31" s="620" customFormat="1" ht="18" customHeight="1" x14ac:dyDescent="0.2">
      <c r="A112" s="655" t="s">
        <v>2846</v>
      </c>
      <c r="B112" s="508">
        <f t="shared" si="9"/>
        <v>73</v>
      </c>
      <c r="C112" s="957">
        <f>+NOMINA!C116</f>
        <v>12045934</v>
      </c>
      <c r="D112" s="958" t="str">
        <f>+NOMINA!D116</f>
        <v>Mendez Olmos Tulio Enrique</v>
      </c>
      <c r="E112" s="955" t="s">
        <v>4622</v>
      </c>
      <c r="F112" s="959">
        <v>27081</v>
      </c>
      <c r="G112" s="955" t="s">
        <v>4620</v>
      </c>
      <c r="H112" s="960">
        <f>+NOMINA!H116</f>
        <v>36342</v>
      </c>
      <c r="I112" s="961">
        <f>+NOMINA!I116</f>
        <v>26</v>
      </c>
      <c r="J112" s="962">
        <f>+NOMINA!J116</f>
        <v>1</v>
      </c>
      <c r="K112" s="961">
        <f>+NOMINA!K116</f>
        <v>27</v>
      </c>
      <c r="L112" s="963">
        <f>+NOMINA!CA116</f>
        <v>6255</v>
      </c>
      <c r="M112" s="443" t="e">
        <f>#REF!+#REF!-#REF!</f>
        <v>#REF!</v>
      </c>
      <c r="N112" s="952" t="e">
        <f>ROUND((#REF!+#REF!+#REF!+#REF!+#REF!+#REF!+#REF!+#REF!),2)</f>
        <v>#REF!</v>
      </c>
      <c r="Q112" s="620" t="e">
        <f>SUM(#REF!)</f>
        <v>#REF!</v>
      </c>
      <c r="R112" s="953" t="e">
        <f>#REF!+#REF!-#REF!</f>
        <v>#REF!</v>
      </c>
      <c r="S112" s="954">
        <v>200</v>
      </c>
      <c r="T112" s="953" t="e">
        <f>#REF!+#REF!</f>
        <v>#REF!</v>
      </c>
      <c r="U112" s="954" t="e">
        <f>#REF!</f>
        <v>#REF!</v>
      </c>
      <c r="V112" s="955">
        <v>0</v>
      </c>
      <c r="W112" s="954" t="e">
        <f>#REF!</f>
        <v>#REF!</v>
      </c>
      <c r="X112" s="956" t="e">
        <f>#REF!+#REF!</f>
        <v>#REF!</v>
      </c>
      <c r="Y112" s="956" t="e">
        <f>#REF!+#REF!</f>
        <v>#REF!</v>
      </c>
      <c r="Z112" s="956"/>
      <c r="AA112" s="954" t="e">
        <f>#REF!</f>
        <v>#REF!</v>
      </c>
      <c r="AB112" s="954" t="e">
        <f t="shared" si="7"/>
        <v>#REF!</v>
      </c>
      <c r="AC112" s="954" t="e">
        <f>#REF!+#REF!</f>
        <v>#REF!</v>
      </c>
      <c r="AD112" s="954">
        <f t="shared" si="8"/>
        <v>6255</v>
      </c>
      <c r="AE112" s="625"/>
    </row>
    <row r="113" spans="1:31" s="620" customFormat="1" ht="18" customHeight="1" x14ac:dyDescent="0.2">
      <c r="A113" s="655" t="s">
        <v>2846</v>
      </c>
      <c r="B113" s="508">
        <f t="shared" si="9"/>
        <v>74</v>
      </c>
      <c r="C113" s="957">
        <f>+NOMINA!C117</f>
        <v>12457981</v>
      </c>
      <c r="D113" s="958" t="str">
        <f>+NOMINA!D117</f>
        <v>Escalona Ruiz Luis Alberto</v>
      </c>
      <c r="E113" s="955" t="s">
        <v>4622</v>
      </c>
      <c r="F113" s="959">
        <v>27081</v>
      </c>
      <c r="G113" s="955" t="s">
        <v>4620</v>
      </c>
      <c r="H113" s="960">
        <f>+NOMINA!H117</f>
        <v>44348</v>
      </c>
      <c r="I113" s="961">
        <f>+NOMINA!I117</f>
        <v>4</v>
      </c>
      <c r="J113" s="962">
        <f>+NOMINA!J117</f>
        <v>4</v>
      </c>
      <c r="K113" s="961">
        <f>+NOMINA!K117</f>
        <v>8</v>
      </c>
      <c r="L113" s="963">
        <f>+NOMINA!CA117</f>
        <v>6255</v>
      </c>
      <c r="M113" s="443" t="e">
        <f>#REF!+#REF!-#REF!</f>
        <v>#REF!</v>
      </c>
      <c r="N113" s="952" t="e">
        <f>ROUND((#REF!+#REF!+#REF!+#REF!+#REF!+#REF!+#REF!+#REF!),2)</f>
        <v>#REF!</v>
      </c>
      <c r="Q113" s="620" t="e">
        <f>SUM(#REF!)</f>
        <v>#REF!</v>
      </c>
      <c r="R113" s="953" t="e">
        <f>#REF!+#REF!-#REF!</f>
        <v>#REF!</v>
      </c>
      <c r="S113" s="954">
        <v>200</v>
      </c>
      <c r="T113" s="953" t="e">
        <f>#REF!+#REF!</f>
        <v>#REF!</v>
      </c>
      <c r="U113" s="954" t="e">
        <f>#REF!</f>
        <v>#REF!</v>
      </c>
      <c r="V113" s="955">
        <v>0</v>
      </c>
      <c r="W113" s="954" t="e">
        <f>#REF!</f>
        <v>#REF!</v>
      </c>
      <c r="X113" s="956" t="e">
        <f>#REF!+#REF!</f>
        <v>#REF!</v>
      </c>
      <c r="Y113" s="956" t="e">
        <f>#REF!+#REF!</f>
        <v>#REF!</v>
      </c>
      <c r="Z113" s="956"/>
      <c r="AA113" s="954" t="e">
        <f>#REF!</f>
        <v>#REF!</v>
      </c>
      <c r="AB113" s="954" t="e">
        <f t="shared" si="7"/>
        <v>#REF!</v>
      </c>
      <c r="AC113" s="954" t="e">
        <f>#REF!+#REF!</f>
        <v>#REF!</v>
      </c>
      <c r="AD113" s="954">
        <f t="shared" si="8"/>
        <v>6255</v>
      </c>
      <c r="AE113" s="625"/>
    </row>
    <row r="114" spans="1:31" s="620" customFormat="1" ht="18" customHeight="1" x14ac:dyDescent="0.2">
      <c r="A114" s="655" t="s">
        <v>2846</v>
      </c>
      <c r="B114" s="508">
        <f t="shared" si="9"/>
        <v>75</v>
      </c>
      <c r="C114" s="957">
        <f>+NOMINA!C118</f>
        <v>12458811</v>
      </c>
      <c r="D114" s="958" t="str">
        <f>+NOMINA!D118</f>
        <v>Segovia Rondon Milagros del Valle</v>
      </c>
      <c r="E114" s="955" t="s">
        <v>4622</v>
      </c>
      <c r="F114" s="959">
        <v>27081</v>
      </c>
      <c r="G114" s="955" t="s">
        <v>4620</v>
      </c>
      <c r="H114" s="960">
        <f>+NOMINA!H118</f>
        <v>39514</v>
      </c>
      <c r="I114" s="961">
        <f>+NOMINA!I118</f>
        <v>17</v>
      </c>
      <c r="J114" s="962">
        <f>+NOMINA!J118</f>
        <v>7</v>
      </c>
      <c r="K114" s="961">
        <f>+NOMINA!K118</f>
        <v>24</v>
      </c>
      <c r="L114" s="963">
        <f>+NOMINA!CA118</f>
        <v>6255</v>
      </c>
      <c r="M114" s="443" t="e">
        <f>#REF!+#REF!-#REF!</f>
        <v>#REF!</v>
      </c>
      <c r="N114" s="952" t="e">
        <f>ROUND((#REF!+#REF!+#REF!+#REF!+#REF!+#REF!+#REF!+#REF!),2)</f>
        <v>#REF!</v>
      </c>
      <c r="Q114" s="620" t="e">
        <f>SUM(#REF!)</f>
        <v>#REF!</v>
      </c>
      <c r="R114" s="953" t="e">
        <f>#REF!+#REF!-#REF!</f>
        <v>#REF!</v>
      </c>
      <c r="S114" s="954">
        <v>200</v>
      </c>
      <c r="T114" s="953" t="e">
        <f>#REF!+#REF!</f>
        <v>#REF!</v>
      </c>
      <c r="U114" s="954" t="e">
        <f>#REF!</f>
        <v>#REF!</v>
      </c>
      <c r="V114" s="955">
        <v>0</v>
      </c>
      <c r="W114" s="954" t="e">
        <f>#REF!</f>
        <v>#REF!</v>
      </c>
      <c r="X114" s="956" t="e">
        <f>#REF!+#REF!</f>
        <v>#REF!</v>
      </c>
      <c r="Y114" s="956" t="e">
        <f>#REF!+#REF!</f>
        <v>#REF!</v>
      </c>
      <c r="Z114" s="956"/>
      <c r="AA114" s="954" t="e">
        <f>#REF!</f>
        <v>#REF!</v>
      </c>
      <c r="AB114" s="954" t="e">
        <f t="shared" si="7"/>
        <v>#REF!</v>
      </c>
      <c r="AC114" s="954" t="e">
        <f>#REF!+#REF!</f>
        <v>#REF!</v>
      </c>
      <c r="AD114" s="954">
        <f t="shared" si="8"/>
        <v>6255</v>
      </c>
      <c r="AE114" s="625"/>
    </row>
    <row r="115" spans="1:31" s="620" customFormat="1" ht="18" customHeight="1" x14ac:dyDescent="0.2">
      <c r="A115" s="655" t="s">
        <v>2846</v>
      </c>
      <c r="B115" s="508">
        <f t="shared" si="9"/>
        <v>76</v>
      </c>
      <c r="C115" s="957">
        <f>+NOMINA!C119</f>
        <v>12458942</v>
      </c>
      <c r="D115" s="958" t="str">
        <f>+NOMINA!D119</f>
        <v>Mendoza Mendoza Mirian Del Milagro</v>
      </c>
      <c r="E115" s="955" t="s">
        <v>4622</v>
      </c>
      <c r="F115" s="959">
        <v>27081</v>
      </c>
      <c r="G115" s="955" t="s">
        <v>4620</v>
      </c>
      <c r="H115" s="960">
        <f>+NOMINA!H119</f>
        <v>44424</v>
      </c>
      <c r="I115" s="961">
        <f>+NOMINA!I119</f>
        <v>4</v>
      </c>
      <c r="J115" s="962">
        <f>+NOMINA!J119</f>
        <v>19</v>
      </c>
      <c r="K115" s="961">
        <f>+NOMINA!K119</f>
        <v>23</v>
      </c>
      <c r="L115" s="963">
        <f>+NOMINA!CA119</f>
        <v>0</v>
      </c>
      <c r="M115" s="443" t="e">
        <f>#REF!+#REF!-#REF!</f>
        <v>#REF!</v>
      </c>
      <c r="N115" s="952" t="e">
        <f>ROUND((#REF!+#REF!+#REF!+#REF!+#REF!+#REF!+#REF!+#REF!),2)</f>
        <v>#REF!</v>
      </c>
      <c r="Q115" s="620" t="e">
        <f>SUM(#REF!)</f>
        <v>#REF!</v>
      </c>
      <c r="R115" s="953" t="e">
        <f>#REF!+#REF!-#REF!</f>
        <v>#REF!</v>
      </c>
      <c r="S115" s="954">
        <v>200</v>
      </c>
      <c r="T115" s="953" t="e">
        <f>#REF!+#REF!</f>
        <v>#REF!</v>
      </c>
      <c r="U115" s="954" t="e">
        <f>#REF!</f>
        <v>#REF!</v>
      </c>
      <c r="V115" s="955">
        <v>0</v>
      </c>
      <c r="W115" s="954" t="e">
        <f>#REF!</f>
        <v>#REF!</v>
      </c>
      <c r="X115" s="956" t="e">
        <f>#REF!+#REF!</f>
        <v>#REF!</v>
      </c>
      <c r="Y115" s="956" t="e">
        <f>#REF!+#REF!</f>
        <v>#REF!</v>
      </c>
      <c r="Z115" s="956"/>
      <c r="AA115" s="954" t="e">
        <f>#REF!</f>
        <v>#REF!</v>
      </c>
      <c r="AB115" s="954" t="e">
        <f t="shared" si="7"/>
        <v>#REF!</v>
      </c>
      <c r="AC115" s="954" t="e">
        <f>#REF!+#REF!</f>
        <v>#REF!</v>
      </c>
      <c r="AD115" s="954">
        <f t="shared" si="8"/>
        <v>0</v>
      </c>
      <c r="AE115" s="625"/>
    </row>
    <row r="116" spans="1:31" s="620" customFormat="1" ht="18" customHeight="1" x14ac:dyDescent="0.2">
      <c r="A116" s="655" t="s">
        <v>2846</v>
      </c>
      <c r="B116" s="508">
        <f t="shared" si="9"/>
        <v>77</v>
      </c>
      <c r="C116" s="957">
        <f>+NOMINA!C120</f>
        <v>12541044</v>
      </c>
      <c r="D116" s="958" t="str">
        <f>+NOMINA!D120</f>
        <v>Rojas Telles Lisbeth Josefina</v>
      </c>
      <c r="E116" s="955" t="s">
        <v>4622</v>
      </c>
      <c r="F116" s="959">
        <v>27081</v>
      </c>
      <c r="G116" s="955" t="s">
        <v>4620</v>
      </c>
      <c r="H116" s="960">
        <f>+NOMINA!H120</f>
        <v>45597</v>
      </c>
      <c r="I116" s="961">
        <f>+NOMINA!I120</f>
        <v>0</v>
      </c>
      <c r="J116" s="962">
        <f>+NOMINA!J120</f>
        <v>0</v>
      </c>
      <c r="K116" s="961">
        <f>+NOMINA!K120</f>
        <v>0</v>
      </c>
      <c r="L116" s="963">
        <f>+NOMINA!CA120</f>
        <v>6255</v>
      </c>
      <c r="M116" s="443" t="e">
        <f>#REF!+#REF!-#REF!</f>
        <v>#REF!</v>
      </c>
      <c r="N116" s="952" t="e">
        <f>ROUND((#REF!+#REF!+#REF!+#REF!+#REF!+#REF!+#REF!+#REF!),2)</f>
        <v>#REF!</v>
      </c>
      <c r="Q116" s="620" t="e">
        <f>SUM(#REF!)</f>
        <v>#REF!</v>
      </c>
      <c r="R116" s="953" t="e">
        <f>#REF!+#REF!-#REF!</f>
        <v>#REF!</v>
      </c>
      <c r="S116" s="954">
        <v>200</v>
      </c>
      <c r="T116" s="953" t="e">
        <f>#REF!+#REF!</f>
        <v>#REF!</v>
      </c>
      <c r="U116" s="954" t="e">
        <f>#REF!</f>
        <v>#REF!</v>
      </c>
      <c r="V116" s="955">
        <v>0</v>
      </c>
      <c r="W116" s="954" t="e">
        <f>#REF!</f>
        <v>#REF!</v>
      </c>
      <c r="X116" s="956" t="e">
        <f>#REF!+#REF!</f>
        <v>#REF!</v>
      </c>
      <c r="Y116" s="956" t="e">
        <f>#REF!+#REF!</f>
        <v>#REF!</v>
      </c>
      <c r="Z116" s="956"/>
      <c r="AA116" s="954" t="e">
        <f>#REF!</f>
        <v>#REF!</v>
      </c>
      <c r="AB116" s="954" t="e">
        <f t="shared" si="7"/>
        <v>#REF!</v>
      </c>
      <c r="AC116" s="954" t="e">
        <f>#REF!+#REF!</f>
        <v>#REF!</v>
      </c>
      <c r="AD116" s="954">
        <f t="shared" si="8"/>
        <v>6255</v>
      </c>
      <c r="AE116" s="625"/>
    </row>
    <row r="117" spans="1:31" s="620" customFormat="1" ht="18" customHeight="1" x14ac:dyDescent="0.2">
      <c r="A117" s="655" t="s">
        <v>2846</v>
      </c>
      <c r="B117" s="508">
        <f t="shared" si="9"/>
        <v>78</v>
      </c>
      <c r="C117" s="957">
        <f>+NOMINA!C121</f>
        <v>12542413</v>
      </c>
      <c r="D117" s="958" t="str">
        <f>+NOMINA!D121</f>
        <v>Aponte Matheus Richard Alexander</v>
      </c>
      <c r="E117" s="955" t="s">
        <v>4622</v>
      </c>
      <c r="F117" s="959">
        <v>27081</v>
      </c>
      <c r="G117" s="955" t="s">
        <v>4620</v>
      </c>
      <c r="H117" s="960">
        <f>+NOMINA!H121</f>
        <v>36434</v>
      </c>
      <c r="I117" s="961">
        <f>+NOMINA!I121</f>
        <v>25</v>
      </c>
      <c r="J117" s="962">
        <f>+NOMINA!J121</f>
        <v>0</v>
      </c>
      <c r="K117" s="961">
        <f>+NOMINA!K121</f>
        <v>25</v>
      </c>
      <c r="L117" s="963">
        <f>+NOMINA!CA121</f>
        <v>0</v>
      </c>
      <c r="M117" s="443" t="e">
        <f>#REF!+#REF!-#REF!</f>
        <v>#REF!</v>
      </c>
      <c r="N117" s="952" t="e">
        <f>ROUND((#REF!+#REF!+#REF!+#REF!+#REF!+#REF!+#REF!+#REF!),2)</f>
        <v>#REF!</v>
      </c>
      <c r="Q117" s="620" t="e">
        <f>SUM(#REF!)</f>
        <v>#REF!</v>
      </c>
      <c r="R117" s="953" t="e">
        <f>#REF!+#REF!-#REF!</f>
        <v>#REF!</v>
      </c>
      <c r="S117" s="954">
        <v>200</v>
      </c>
      <c r="T117" s="953" t="e">
        <f>#REF!+#REF!</f>
        <v>#REF!</v>
      </c>
      <c r="U117" s="954" t="e">
        <f>#REF!</f>
        <v>#REF!</v>
      </c>
      <c r="V117" s="955">
        <v>0</v>
      </c>
      <c r="W117" s="954" t="e">
        <f>#REF!</f>
        <v>#REF!</v>
      </c>
      <c r="X117" s="956" t="e">
        <f>#REF!+#REF!</f>
        <v>#REF!</v>
      </c>
      <c r="Y117" s="956" t="e">
        <f>#REF!+#REF!</f>
        <v>#REF!</v>
      </c>
      <c r="Z117" s="956"/>
      <c r="AA117" s="954" t="e">
        <f>#REF!</f>
        <v>#REF!</v>
      </c>
      <c r="AB117" s="954" t="e">
        <f t="shared" si="7"/>
        <v>#REF!</v>
      </c>
      <c r="AC117" s="954" t="e">
        <f>#REF!+#REF!</f>
        <v>#REF!</v>
      </c>
      <c r="AD117" s="954">
        <f t="shared" si="8"/>
        <v>0</v>
      </c>
      <c r="AE117" s="625"/>
    </row>
    <row r="118" spans="1:31" s="620" customFormat="1" ht="18" customHeight="1" x14ac:dyDescent="0.2">
      <c r="A118" s="655" t="s">
        <v>2846</v>
      </c>
      <c r="B118" s="508">
        <f t="shared" si="9"/>
        <v>79</v>
      </c>
      <c r="C118" s="957">
        <f>+NOMINA!C122</f>
        <v>12798604</v>
      </c>
      <c r="D118" s="958" t="str">
        <f>+NOMINA!D122</f>
        <v>Camacho Gomez Trina Margarita</v>
      </c>
      <c r="E118" s="955" t="s">
        <v>4622</v>
      </c>
      <c r="F118" s="959">
        <v>27081</v>
      </c>
      <c r="G118" s="955" t="s">
        <v>4620</v>
      </c>
      <c r="H118" s="960">
        <f>+NOMINA!H122</f>
        <v>35384</v>
      </c>
      <c r="I118" s="961">
        <f>+NOMINA!I122</f>
        <v>28</v>
      </c>
      <c r="J118" s="962">
        <f>+NOMINA!J122</f>
        <v>0</v>
      </c>
      <c r="K118" s="961">
        <f>+NOMINA!K122</f>
        <v>28</v>
      </c>
      <c r="L118" s="963">
        <f>+NOMINA!CA122</f>
        <v>6255</v>
      </c>
      <c r="M118" s="443" t="e">
        <f>#REF!+#REF!-#REF!</f>
        <v>#REF!</v>
      </c>
      <c r="N118" s="952" t="e">
        <f>ROUND((#REF!+#REF!+#REF!+#REF!+#REF!+#REF!+#REF!+#REF!),2)</f>
        <v>#REF!</v>
      </c>
      <c r="Q118" s="620" t="e">
        <f>SUM(#REF!)</f>
        <v>#REF!</v>
      </c>
      <c r="R118" s="953" t="e">
        <f>#REF!+#REF!-#REF!</f>
        <v>#REF!</v>
      </c>
      <c r="S118" s="954">
        <v>200</v>
      </c>
      <c r="T118" s="953" t="e">
        <f>#REF!+#REF!</f>
        <v>#REF!</v>
      </c>
      <c r="U118" s="954" t="e">
        <f>#REF!</f>
        <v>#REF!</v>
      </c>
      <c r="V118" s="955">
        <v>0</v>
      </c>
      <c r="W118" s="954" t="e">
        <f>#REF!</f>
        <v>#REF!</v>
      </c>
      <c r="X118" s="956" t="e">
        <f>#REF!+#REF!</f>
        <v>#REF!</v>
      </c>
      <c r="Y118" s="956" t="e">
        <f>#REF!+#REF!</f>
        <v>#REF!</v>
      </c>
      <c r="Z118" s="956"/>
      <c r="AA118" s="954" t="e">
        <f>#REF!</f>
        <v>#REF!</v>
      </c>
      <c r="AB118" s="954" t="e">
        <f t="shared" si="7"/>
        <v>#REF!</v>
      </c>
      <c r="AC118" s="954" t="e">
        <f>#REF!+#REF!</f>
        <v>#REF!</v>
      </c>
      <c r="AD118" s="954">
        <f t="shared" si="8"/>
        <v>6255</v>
      </c>
      <c r="AE118" s="625"/>
    </row>
    <row r="119" spans="1:31" s="620" customFormat="1" ht="18" customHeight="1" x14ac:dyDescent="0.2">
      <c r="A119" s="655" t="s">
        <v>2846</v>
      </c>
      <c r="B119" s="508">
        <f t="shared" si="9"/>
        <v>80</v>
      </c>
      <c r="C119" s="957">
        <f>+NOMINA!C123</f>
        <v>12798736</v>
      </c>
      <c r="D119" s="958" t="str">
        <f>+NOMINA!D123</f>
        <v>Gonzalez Pabon Marianela</v>
      </c>
      <c r="E119" s="955" t="s">
        <v>4622</v>
      </c>
      <c r="F119" s="959">
        <v>27081</v>
      </c>
      <c r="G119" s="955" t="s">
        <v>4620</v>
      </c>
      <c r="H119" s="960">
        <f>+NOMINA!H123</f>
        <v>39479</v>
      </c>
      <c r="I119" s="961">
        <f>+NOMINA!I123</f>
        <v>17</v>
      </c>
      <c r="J119" s="962">
        <f>+NOMINA!J123</f>
        <v>7</v>
      </c>
      <c r="K119" s="961">
        <f>+NOMINA!K123</f>
        <v>24</v>
      </c>
      <c r="L119" s="963">
        <f>+NOMINA!CA123</f>
        <v>6255</v>
      </c>
      <c r="M119" s="443" t="e">
        <f>#REF!+#REF!-#REF!</f>
        <v>#REF!</v>
      </c>
      <c r="N119" s="952" t="e">
        <f>ROUND((#REF!+#REF!+#REF!+#REF!+#REF!+#REF!+#REF!+#REF!),2)</f>
        <v>#REF!</v>
      </c>
      <c r="Q119" s="620" t="e">
        <f>SUM(#REF!)</f>
        <v>#REF!</v>
      </c>
      <c r="R119" s="953" t="e">
        <f>#REF!+#REF!-#REF!</f>
        <v>#REF!</v>
      </c>
      <c r="S119" s="954">
        <v>200</v>
      </c>
      <c r="T119" s="953" t="e">
        <f>#REF!+#REF!</f>
        <v>#REF!</v>
      </c>
      <c r="U119" s="954" t="e">
        <f>#REF!</f>
        <v>#REF!</v>
      </c>
      <c r="V119" s="955">
        <v>0</v>
      </c>
      <c r="W119" s="954" t="e">
        <f>#REF!</f>
        <v>#REF!</v>
      </c>
      <c r="X119" s="956" t="e">
        <f>#REF!+#REF!</f>
        <v>#REF!</v>
      </c>
      <c r="Y119" s="956" t="e">
        <f>#REF!+#REF!</f>
        <v>#REF!</v>
      </c>
      <c r="Z119" s="956"/>
      <c r="AA119" s="954" t="e">
        <f>#REF!</f>
        <v>#REF!</v>
      </c>
      <c r="AB119" s="954" t="e">
        <f t="shared" si="7"/>
        <v>#REF!</v>
      </c>
      <c r="AC119" s="954" t="e">
        <f>#REF!+#REF!</f>
        <v>#REF!</v>
      </c>
      <c r="AD119" s="954">
        <f t="shared" si="8"/>
        <v>6255</v>
      </c>
      <c r="AE119" s="625"/>
    </row>
    <row r="120" spans="1:31" s="620" customFormat="1" ht="18" customHeight="1" x14ac:dyDescent="0.2">
      <c r="A120" s="655" t="s">
        <v>2846</v>
      </c>
      <c r="B120" s="508">
        <f t="shared" si="9"/>
        <v>81</v>
      </c>
      <c r="C120" s="957">
        <f>+NOMINA!C124</f>
        <v>12939010</v>
      </c>
      <c r="D120" s="958" t="str">
        <f>+NOMINA!D124</f>
        <v>Mendez de Viloria Yelitza del Valle</v>
      </c>
      <c r="E120" s="955" t="s">
        <v>4622</v>
      </c>
      <c r="F120" s="959">
        <v>27081</v>
      </c>
      <c r="G120" s="955" t="s">
        <v>4620</v>
      </c>
      <c r="H120" s="960">
        <f>+NOMINA!H124</f>
        <v>42948</v>
      </c>
      <c r="I120" s="961">
        <f>+NOMINA!I124</f>
        <v>8</v>
      </c>
      <c r="J120" s="962">
        <f>+NOMINA!J124</f>
        <v>0</v>
      </c>
      <c r="K120" s="961">
        <f>+NOMINA!K124</f>
        <v>8</v>
      </c>
      <c r="L120" s="963">
        <f>+NOMINA!CA124</f>
        <v>6255</v>
      </c>
      <c r="M120" s="443" t="e">
        <f>#REF!+#REF!-#REF!</f>
        <v>#REF!</v>
      </c>
      <c r="N120" s="952" t="e">
        <f>ROUND((#REF!+#REF!+#REF!+#REF!+#REF!+#REF!+#REF!+#REF!),2)</f>
        <v>#REF!</v>
      </c>
      <c r="Q120" s="620" t="e">
        <f>SUM(#REF!)</f>
        <v>#REF!</v>
      </c>
      <c r="R120" s="953" t="e">
        <f>#REF!+#REF!-#REF!</f>
        <v>#REF!</v>
      </c>
      <c r="S120" s="954">
        <v>200</v>
      </c>
      <c r="T120" s="953" t="e">
        <f>#REF!+#REF!</f>
        <v>#REF!</v>
      </c>
      <c r="U120" s="954" t="e">
        <f>#REF!</f>
        <v>#REF!</v>
      </c>
      <c r="V120" s="955">
        <v>0</v>
      </c>
      <c r="W120" s="954" t="e">
        <f>#REF!</f>
        <v>#REF!</v>
      </c>
      <c r="X120" s="956" t="e">
        <f>#REF!+#REF!</f>
        <v>#REF!</v>
      </c>
      <c r="Y120" s="956" t="e">
        <f>#REF!+#REF!</f>
        <v>#REF!</v>
      </c>
      <c r="Z120" s="956"/>
      <c r="AA120" s="954" t="e">
        <f>#REF!</f>
        <v>#REF!</v>
      </c>
      <c r="AB120" s="954" t="e">
        <f t="shared" si="7"/>
        <v>#REF!</v>
      </c>
      <c r="AC120" s="954" t="e">
        <f>#REF!+#REF!</f>
        <v>#REF!</v>
      </c>
      <c r="AD120" s="954">
        <f t="shared" si="8"/>
        <v>6255</v>
      </c>
      <c r="AE120" s="625"/>
    </row>
    <row r="121" spans="1:31" s="620" customFormat="1" ht="18" customHeight="1" x14ac:dyDescent="0.2">
      <c r="A121" s="655" t="s">
        <v>2846</v>
      </c>
      <c r="B121" s="508">
        <f t="shared" si="9"/>
        <v>82</v>
      </c>
      <c r="C121" s="957">
        <f>+NOMINA!C125</f>
        <v>12941385</v>
      </c>
      <c r="D121" s="958" t="str">
        <f>+NOMINA!D125</f>
        <v>Torres de Gonzalez Milangela Maria</v>
      </c>
      <c r="E121" s="955" t="s">
        <v>4622</v>
      </c>
      <c r="F121" s="959">
        <v>27081</v>
      </c>
      <c r="G121" s="955" t="s">
        <v>4620</v>
      </c>
      <c r="H121" s="960">
        <f>+NOMINA!H125</f>
        <v>42948</v>
      </c>
      <c r="I121" s="961">
        <f>+NOMINA!I125</f>
        <v>8</v>
      </c>
      <c r="J121" s="962">
        <f>+NOMINA!J125</f>
        <v>0</v>
      </c>
      <c r="K121" s="961">
        <f>+NOMINA!K125</f>
        <v>8</v>
      </c>
      <c r="L121" s="963">
        <f>+NOMINA!CA125</f>
        <v>6255</v>
      </c>
      <c r="M121" s="443" t="e">
        <f>#REF!+#REF!-#REF!</f>
        <v>#REF!</v>
      </c>
      <c r="N121" s="952" t="e">
        <f>ROUND((#REF!+#REF!+#REF!+#REF!+#REF!+#REF!+#REF!+#REF!),2)</f>
        <v>#REF!</v>
      </c>
      <c r="Q121" s="620" t="e">
        <f>SUM(#REF!)</f>
        <v>#REF!</v>
      </c>
      <c r="R121" s="953" t="e">
        <f>#REF!+#REF!-#REF!</f>
        <v>#REF!</v>
      </c>
      <c r="S121" s="954">
        <v>200</v>
      </c>
      <c r="T121" s="953" t="e">
        <f>#REF!+#REF!</f>
        <v>#REF!</v>
      </c>
      <c r="U121" s="954" t="e">
        <f>#REF!</f>
        <v>#REF!</v>
      </c>
      <c r="V121" s="955">
        <v>0</v>
      </c>
      <c r="W121" s="954" t="e">
        <f>#REF!</f>
        <v>#REF!</v>
      </c>
      <c r="X121" s="956" t="e">
        <f>#REF!+#REF!</f>
        <v>#REF!</v>
      </c>
      <c r="Y121" s="956" t="e">
        <f>#REF!+#REF!</f>
        <v>#REF!</v>
      </c>
      <c r="Z121" s="956"/>
      <c r="AA121" s="954" t="e">
        <f>#REF!</f>
        <v>#REF!</v>
      </c>
      <c r="AB121" s="954" t="e">
        <f t="shared" si="7"/>
        <v>#REF!</v>
      </c>
      <c r="AC121" s="954" t="e">
        <f>#REF!+#REF!</f>
        <v>#REF!</v>
      </c>
      <c r="AD121" s="954">
        <f t="shared" si="8"/>
        <v>6255</v>
      </c>
      <c r="AE121" s="625"/>
    </row>
    <row r="122" spans="1:31" s="620" customFormat="1" ht="18" customHeight="1" x14ac:dyDescent="0.2">
      <c r="A122" s="655" t="s">
        <v>2846</v>
      </c>
      <c r="B122" s="508">
        <f t="shared" si="9"/>
        <v>83</v>
      </c>
      <c r="C122" s="957">
        <f>+NOMINA!C126</f>
        <v>13117904</v>
      </c>
      <c r="D122" s="958" t="str">
        <f>+NOMINA!D126</f>
        <v>Villegas Jaime Antonio</v>
      </c>
      <c r="E122" s="955" t="s">
        <v>4622</v>
      </c>
      <c r="F122" s="959">
        <v>27081</v>
      </c>
      <c r="G122" s="955" t="s">
        <v>4620</v>
      </c>
      <c r="H122" s="960">
        <f>+NOMINA!H126</f>
        <v>43693</v>
      </c>
      <c r="I122" s="961">
        <f>+NOMINA!I126</f>
        <v>6</v>
      </c>
      <c r="J122" s="962">
        <f>+NOMINA!J126</f>
        <v>0</v>
      </c>
      <c r="K122" s="961">
        <f>+NOMINA!K126</f>
        <v>6</v>
      </c>
      <c r="L122" s="963">
        <f>+NOMINA!CA126</f>
        <v>6255</v>
      </c>
      <c r="M122" s="443" t="e">
        <f>#REF!+#REF!-#REF!</f>
        <v>#REF!</v>
      </c>
      <c r="N122" s="952" t="e">
        <f>ROUND((#REF!+#REF!+#REF!+#REF!+#REF!+#REF!+#REF!+#REF!),2)</f>
        <v>#REF!</v>
      </c>
      <c r="Q122" s="620" t="e">
        <f>SUM(#REF!)</f>
        <v>#REF!</v>
      </c>
      <c r="R122" s="953" t="e">
        <f>#REF!+#REF!-#REF!</f>
        <v>#REF!</v>
      </c>
      <c r="S122" s="954">
        <v>200</v>
      </c>
      <c r="T122" s="953" t="e">
        <f>#REF!+#REF!</f>
        <v>#REF!</v>
      </c>
      <c r="U122" s="954" t="e">
        <f>#REF!</f>
        <v>#REF!</v>
      </c>
      <c r="V122" s="955">
        <v>0</v>
      </c>
      <c r="W122" s="954" t="e">
        <f>#REF!</f>
        <v>#REF!</v>
      </c>
      <c r="X122" s="956" t="e">
        <f>#REF!+#REF!</f>
        <v>#REF!</v>
      </c>
      <c r="Y122" s="956" t="e">
        <f>#REF!+#REF!</f>
        <v>#REF!</v>
      </c>
      <c r="Z122" s="956"/>
      <c r="AA122" s="954" t="e">
        <f>#REF!</f>
        <v>#REF!</v>
      </c>
      <c r="AB122" s="954" t="e">
        <f t="shared" si="7"/>
        <v>#REF!</v>
      </c>
      <c r="AC122" s="954" t="e">
        <f>#REF!+#REF!</f>
        <v>#REF!</v>
      </c>
      <c r="AD122" s="954">
        <f t="shared" si="8"/>
        <v>6255</v>
      </c>
      <c r="AE122" s="625"/>
    </row>
    <row r="123" spans="1:31" s="620" customFormat="1" ht="18" customHeight="1" x14ac:dyDescent="0.2">
      <c r="A123" s="655" t="s">
        <v>2846</v>
      </c>
      <c r="B123" s="508">
        <f t="shared" si="9"/>
        <v>84</v>
      </c>
      <c r="C123" s="957">
        <f>+NOMINA!C127</f>
        <v>13206767</v>
      </c>
      <c r="D123" s="958" t="str">
        <f>+NOMINA!D127</f>
        <v>Bastidas Guerra Soralis del Valle</v>
      </c>
      <c r="E123" s="955" t="s">
        <v>4622</v>
      </c>
      <c r="F123" s="959">
        <v>27081</v>
      </c>
      <c r="G123" s="955" t="s">
        <v>4620</v>
      </c>
      <c r="H123" s="960">
        <f>+NOMINA!H127</f>
        <v>44713</v>
      </c>
      <c r="I123" s="961">
        <f>+NOMINA!I127</f>
        <v>3</v>
      </c>
      <c r="J123" s="962">
        <f>+NOMINA!J127</f>
        <v>0</v>
      </c>
      <c r="K123" s="961">
        <f>+NOMINA!K127</f>
        <v>3</v>
      </c>
      <c r="L123" s="963">
        <f>+NOMINA!CA127</f>
        <v>0</v>
      </c>
      <c r="M123" s="443" t="e">
        <f>#REF!+#REF!-#REF!</f>
        <v>#REF!</v>
      </c>
      <c r="N123" s="952" t="e">
        <f>ROUND((#REF!+#REF!+#REF!+#REF!+#REF!+#REF!+#REF!+#REF!),2)</f>
        <v>#REF!</v>
      </c>
      <c r="Q123" s="620" t="e">
        <f>SUM(#REF!)</f>
        <v>#REF!</v>
      </c>
      <c r="R123" s="953" t="e">
        <f>#REF!+#REF!-#REF!</f>
        <v>#REF!</v>
      </c>
      <c r="S123" s="954">
        <v>200</v>
      </c>
      <c r="T123" s="953" t="e">
        <f>#REF!+#REF!</f>
        <v>#REF!</v>
      </c>
      <c r="U123" s="954" t="e">
        <f>#REF!</f>
        <v>#REF!</v>
      </c>
      <c r="V123" s="955">
        <v>0</v>
      </c>
      <c r="W123" s="954" t="e">
        <f>#REF!</f>
        <v>#REF!</v>
      </c>
      <c r="X123" s="956" t="e">
        <f>#REF!+#REF!</f>
        <v>#REF!</v>
      </c>
      <c r="Y123" s="956" t="e">
        <f>#REF!+#REF!</f>
        <v>#REF!</v>
      </c>
      <c r="Z123" s="956"/>
      <c r="AA123" s="954" t="e">
        <f>#REF!</f>
        <v>#REF!</v>
      </c>
      <c r="AB123" s="954" t="e">
        <f t="shared" si="7"/>
        <v>#REF!</v>
      </c>
      <c r="AC123" s="954" t="e">
        <f>#REF!+#REF!</f>
        <v>#REF!</v>
      </c>
      <c r="AD123" s="954">
        <f t="shared" si="8"/>
        <v>0</v>
      </c>
      <c r="AE123" s="625"/>
    </row>
    <row r="124" spans="1:31" s="620" customFormat="1" ht="18" customHeight="1" x14ac:dyDescent="0.2">
      <c r="A124" s="655" t="s">
        <v>2846</v>
      </c>
      <c r="B124" s="508">
        <f t="shared" si="9"/>
        <v>85</v>
      </c>
      <c r="C124" s="957">
        <f>+NOMINA!C128</f>
        <v>13207692</v>
      </c>
      <c r="D124" s="958" t="str">
        <f>+NOMINA!D128</f>
        <v>Macias Briceño Alejandra Coromoto</v>
      </c>
      <c r="E124" s="955" t="s">
        <v>4622</v>
      </c>
      <c r="F124" s="959">
        <v>27081</v>
      </c>
      <c r="G124" s="955" t="s">
        <v>4620</v>
      </c>
      <c r="H124" s="960">
        <f>+NOMINA!H128</f>
        <v>38504</v>
      </c>
      <c r="I124" s="961">
        <f>+NOMINA!I128</f>
        <v>20</v>
      </c>
      <c r="J124" s="962">
        <f>+NOMINA!J128</f>
        <v>0</v>
      </c>
      <c r="K124" s="961">
        <f>+NOMINA!K128</f>
        <v>20</v>
      </c>
      <c r="L124" s="963">
        <f>+NOMINA!CA128</f>
        <v>6255</v>
      </c>
      <c r="M124" s="443" t="e">
        <f>#REF!+#REF!-#REF!</f>
        <v>#REF!</v>
      </c>
      <c r="N124" s="952" t="e">
        <f>ROUND((#REF!+#REF!+#REF!+#REF!+#REF!+#REF!+#REF!+#REF!),2)</f>
        <v>#REF!</v>
      </c>
      <c r="Q124" s="620" t="e">
        <f>SUM(#REF!)</f>
        <v>#REF!</v>
      </c>
      <c r="R124" s="953" t="e">
        <f>#REF!+#REF!-#REF!</f>
        <v>#REF!</v>
      </c>
      <c r="S124" s="954">
        <v>200</v>
      </c>
      <c r="T124" s="953" t="e">
        <f>#REF!+#REF!</f>
        <v>#REF!</v>
      </c>
      <c r="U124" s="954" t="e">
        <f>#REF!</f>
        <v>#REF!</v>
      </c>
      <c r="V124" s="955">
        <v>0</v>
      </c>
      <c r="W124" s="954" t="e">
        <f>#REF!</f>
        <v>#REF!</v>
      </c>
      <c r="X124" s="956" t="e">
        <f>#REF!+#REF!</f>
        <v>#REF!</v>
      </c>
      <c r="Y124" s="956" t="e">
        <f>#REF!+#REF!</f>
        <v>#REF!</v>
      </c>
      <c r="Z124" s="956"/>
      <c r="AA124" s="954" t="e">
        <f>#REF!</f>
        <v>#REF!</v>
      </c>
      <c r="AB124" s="954" t="e">
        <f t="shared" si="7"/>
        <v>#REF!</v>
      </c>
      <c r="AC124" s="954" t="e">
        <f>#REF!+#REF!</f>
        <v>#REF!</v>
      </c>
      <c r="AD124" s="954">
        <f t="shared" si="8"/>
        <v>6255</v>
      </c>
      <c r="AE124" s="625"/>
    </row>
    <row r="125" spans="1:31" s="620" customFormat="1" ht="18" customHeight="1" x14ac:dyDescent="0.2">
      <c r="A125" s="655" t="s">
        <v>2846</v>
      </c>
      <c r="B125" s="508">
        <f t="shared" si="9"/>
        <v>86</v>
      </c>
      <c r="C125" s="957">
        <f>+NOMINA!C129</f>
        <v>13260050</v>
      </c>
      <c r="D125" s="958" t="str">
        <f>+NOMINA!D129</f>
        <v>Mendoza Vieras Maria Elena</v>
      </c>
      <c r="E125" s="955" t="s">
        <v>4622</v>
      </c>
      <c r="F125" s="959">
        <v>27081</v>
      </c>
      <c r="G125" s="955" t="s">
        <v>4620</v>
      </c>
      <c r="H125" s="960">
        <f>+NOMINA!H129</f>
        <v>45444</v>
      </c>
      <c r="I125" s="961">
        <f>+NOMINA!I129</f>
        <v>1</v>
      </c>
      <c r="J125" s="962">
        <f>+NOMINA!J129</f>
        <v>12</v>
      </c>
      <c r="K125" s="961">
        <f>+NOMINA!K129</f>
        <v>13</v>
      </c>
      <c r="L125" s="963">
        <f>+NOMINA!CA129</f>
        <v>6255</v>
      </c>
      <c r="M125" s="443" t="e">
        <f>#REF!+#REF!-#REF!</f>
        <v>#REF!</v>
      </c>
      <c r="N125" s="952" t="e">
        <f>ROUND((#REF!+#REF!+#REF!+#REF!+#REF!+#REF!+#REF!+#REF!),2)</f>
        <v>#REF!</v>
      </c>
      <c r="Q125" s="620" t="e">
        <f>SUM(#REF!)</f>
        <v>#REF!</v>
      </c>
      <c r="R125" s="953" t="e">
        <f>#REF!+#REF!-#REF!</f>
        <v>#REF!</v>
      </c>
      <c r="S125" s="954">
        <v>200</v>
      </c>
      <c r="T125" s="953" t="e">
        <f>#REF!+#REF!</f>
        <v>#REF!</v>
      </c>
      <c r="U125" s="954" t="e">
        <f>#REF!</f>
        <v>#REF!</v>
      </c>
      <c r="V125" s="955">
        <v>0</v>
      </c>
      <c r="W125" s="954" t="e">
        <f>#REF!</f>
        <v>#REF!</v>
      </c>
      <c r="X125" s="956" t="e">
        <f>#REF!+#REF!</f>
        <v>#REF!</v>
      </c>
      <c r="Y125" s="956" t="e">
        <f>#REF!+#REF!</f>
        <v>#REF!</v>
      </c>
      <c r="Z125" s="956"/>
      <c r="AA125" s="954" t="e">
        <f>#REF!</f>
        <v>#REF!</v>
      </c>
      <c r="AB125" s="954" t="e">
        <f t="shared" si="7"/>
        <v>#REF!</v>
      </c>
      <c r="AC125" s="954" t="e">
        <f>#REF!+#REF!</f>
        <v>#REF!</v>
      </c>
      <c r="AD125" s="954">
        <f t="shared" si="8"/>
        <v>6255</v>
      </c>
      <c r="AE125" s="625"/>
    </row>
    <row r="126" spans="1:31" s="620" customFormat="1" ht="18" customHeight="1" x14ac:dyDescent="0.2">
      <c r="A126" s="655" t="s">
        <v>2846</v>
      </c>
      <c r="B126" s="508">
        <f t="shared" si="9"/>
        <v>87</v>
      </c>
      <c r="C126" s="957">
        <f>+NOMINA!C130</f>
        <v>13261035</v>
      </c>
      <c r="D126" s="958" t="str">
        <f>+NOMINA!D130</f>
        <v>Henry Peña Yokary Nakary</v>
      </c>
      <c r="E126" s="955" t="s">
        <v>4622</v>
      </c>
      <c r="F126" s="959">
        <v>27081</v>
      </c>
      <c r="G126" s="955" t="s">
        <v>4620</v>
      </c>
      <c r="H126" s="960">
        <f>+NOMINA!H130</f>
        <v>43770</v>
      </c>
      <c r="I126" s="961">
        <f>+NOMINA!I130</f>
        <v>5</v>
      </c>
      <c r="J126" s="962">
        <f>+NOMINA!J130</f>
        <v>0</v>
      </c>
      <c r="K126" s="961">
        <f>+NOMINA!K130</f>
        <v>5</v>
      </c>
      <c r="L126" s="963">
        <f>+NOMINA!CA130</f>
        <v>6255</v>
      </c>
      <c r="M126" s="443" t="e">
        <f>#REF!+#REF!-#REF!</f>
        <v>#REF!</v>
      </c>
      <c r="N126" s="952" t="e">
        <f>ROUND((#REF!+#REF!+#REF!+#REF!+#REF!+#REF!+#REF!+#REF!),2)</f>
        <v>#REF!</v>
      </c>
      <c r="Q126" s="620" t="e">
        <f>SUM(#REF!)</f>
        <v>#REF!</v>
      </c>
      <c r="R126" s="953" t="e">
        <f>#REF!+#REF!-#REF!</f>
        <v>#REF!</v>
      </c>
      <c r="S126" s="954">
        <v>200</v>
      </c>
      <c r="T126" s="953" t="e">
        <f>#REF!+#REF!</f>
        <v>#REF!</v>
      </c>
      <c r="U126" s="954" t="e">
        <f>#REF!</f>
        <v>#REF!</v>
      </c>
      <c r="V126" s="955">
        <v>0</v>
      </c>
      <c r="W126" s="954" t="e">
        <f>#REF!</f>
        <v>#REF!</v>
      </c>
      <c r="X126" s="956" t="e">
        <f>#REF!+#REF!</f>
        <v>#REF!</v>
      </c>
      <c r="Y126" s="956" t="e">
        <f>#REF!+#REF!</f>
        <v>#REF!</v>
      </c>
      <c r="Z126" s="956"/>
      <c r="AA126" s="954" t="e">
        <f>#REF!</f>
        <v>#REF!</v>
      </c>
      <c r="AB126" s="954" t="e">
        <f t="shared" si="7"/>
        <v>#REF!</v>
      </c>
      <c r="AC126" s="954" t="e">
        <f>#REF!+#REF!</f>
        <v>#REF!</v>
      </c>
      <c r="AD126" s="954">
        <f t="shared" si="8"/>
        <v>6255</v>
      </c>
      <c r="AE126" s="625"/>
    </row>
    <row r="127" spans="1:31" s="620" customFormat="1" ht="18" customHeight="1" x14ac:dyDescent="0.2">
      <c r="A127" s="655" t="s">
        <v>2846</v>
      </c>
      <c r="B127" s="508">
        <f t="shared" si="9"/>
        <v>88</v>
      </c>
      <c r="C127" s="957">
        <f>+NOMINA!C131</f>
        <v>13261229</v>
      </c>
      <c r="D127" s="958" t="str">
        <f>+NOMINA!D131</f>
        <v>Abreu Rodriguez Eva del Carmen</v>
      </c>
      <c r="E127" s="955" t="s">
        <v>4622</v>
      </c>
      <c r="F127" s="959">
        <v>27081</v>
      </c>
      <c r="G127" s="955" t="s">
        <v>4620</v>
      </c>
      <c r="H127" s="960">
        <f>+NOMINA!H131</f>
        <v>42644</v>
      </c>
      <c r="I127" s="961">
        <f>+NOMINA!I131</f>
        <v>8</v>
      </c>
      <c r="J127" s="962">
        <f>+NOMINA!J131</f>
        <v>0</v>
      </c>
      <c r="K127" s="961">
        <f>+NOMINA!K131</f>
        <v>8</v>
      </c>
      <c r="L127" s="963">
        <f>+NOMINA!CA131</f>
        <v>6255</v>
      </c>
      <c r="M127" s="443" t="e">
        <f>#REF!+#REF!-#REF!</f>
        <v>#REF!</v>
      </c>
      <c r="N127" s="952" t="e">
        <f>ROUND((#REF!+#REF!+#REF!+#REF!+#REF!+#REF!+#REF!+#REF!),2)</f>
        <v>#REF!</v>
      </c>
      <c r="Q127" s="620" t="e">
        <f>SUM(#REF!)</f>
        <v>#REF!</v>
      </c>
      <c r="R127" s="953" t="e">
        <f>#REF!+#REF!-#REF!</f>
        <v>#REF!</v>
      </c>
      <c r="S127" s="954">
        <v>200</v>
      </c>
      <c r="T127" s="953" t="e">
        <f>#REF!+#REF!</f>
        <v>#REF!</v>
      </c>
      <c r="U127" s="954" t="e">
        <f>#REF!</f>
        <v>#REF!</v>
      </c>
      <c r="V127" s="955">
        <v>0</v>
      </c>
      <c r="W127" s="954" t="e">
        <f>#REF!</f>
        <v>#REF!</v>
      </c>
      <c r="X127" s="956" t="e">
        <f>#REF!+#REF!</f>
        <v>#REF!</v>
      </c>
      <c r="Y127" s="956" t="e">
        <f>#REF!+#REF!</f>
        <v>#REF!</v>
      </c>
      <c r="Z127" s="956"/>
      <c r="AA127" s="954" t="e">
        <f>#REF!</f>
        <v>#REF!</v>
      </c>
      <c r="AB127" s="954" t="e">
        <f t="shared" si="7"/>
        <v>#REF!</v>
      </c>
      <c r="AC127" s="954" t="e">
        <f>#REF!+#REF!</f>
        <v>#REF!</v>
      </c>
      <c r="AD127" s="954">
        <f t="shared" si="8"/>
        <v>6255</v>
      </c>
      <c r="AE127" s="625"/>
    </row>
    <row r="128" spans="1:31" s="620" customFormat="1" ht="18" customHeight="1" x14ac:dyDescent="0.2">
      <c r="A128" s="655" t="s">
        <v>2846</v>
      </c>
      <c r="B128" s="508">
        <f t="shared" si="9"/>
        <v>89</v>
      </c>
      <c r="C128" s="957">
        <f>+NOMINA!C132</f>
        <v>13461934</v>
      </c>
      <c r="D128" s="958" t="str">
        <f>+NOMINA!D132</f>
        <v>Ramirez Ayala Jenny Marisela</v>
      </c>
      <c r="E128" s="955" t="s">
        <v>4622</v>
      </c>
      <c r="F128" s="959">
        <v>27081</v>
      </c>
      <c r="G128" s="955" t="s">
        <v>4620</v>
      </c>
      <c r="H128" s="960">
        <f>+NOMINA!H132</f>
        <v>43252</v>
      </c>
      <c r="I128" s="961">
        <f>+NOMINA!I132</f>
        <v>7</v>
      </c>
      <c r="J128" s="962">
        <f>+NOMINA!J132</f>
        <v>0</v>
      </c>
      <c r="K128" s="961">
        <f>+NOMINA!K132</f>
        <v>7</v>
      </c>
      <c r="L128" s="963">
        <f>+NOMINA!CA132</f>
        <v>6255</v>
      </c>
      <c r="M128" s="443" t="e">
        <f>#REF!+#REF!-#REF!</f>
        <v>#REF!</v>
      </c>
      <c r="N128" s="952" t="e">
        <f>ROUND((#REF!+#REF!+#REF!+#REF!+#REF!+#REF!+#REF!+#REF!),2)</f>
        <v>#REF!</v>
      </c>
      <c r="Q128" s="620" t="e">
        <f>SUM(#REF!)</f>
        <v>#REF!</v>
      </c>
      <c r="R128" s="953" t="e">
        <f>#REF!+#REF!-#REF!</f>
        <v>#REF!</v>
      </c>
      <c r="S128" s="954">
        <v>200</v>
      </c>
      <c r="T128" s="953" t="e">
        <f>#REF!+#REF!</f>
        <v>#REF!</v>
      </c>
      <c r="U128" s="954" t="e">
        <f>#REF!</f>
        <v>#REF!</v>
      </c>
      <c r="V128" s="955">
        <v>0</v>
      </c>
      <c r="W128" s="954" t="e">
        <f>#REF!</f>
        <v>#REF!</v>
      </c>
      <c r="X128" s="956" t="e">
        <f>#REF!+#REF!</f>
        <v>#REF!</v>
      </c>
      <c r="Y128" s="956" t="e">
        <f>#REF!+#REF!</f>
        <v>#REF!</v>
      </c>
      <c r="Z128" s="956"/>
      <c r="AA128" s="954" t="e">
        <f>#REF!</f>
        <v>#REF!</v>
      </c>
      <c r="AB128" s="954" t="e">
        <f t="shared" si="7"/>
        <v>#REF!</v>
      </c>
      <c r="AC128" s="954" t="e">
        <f>#REF!+#REF!</f>
        <v>#REF!</v>
      </c>
      <c r="AD128" s="954">
        <f t="shared" si="8"/>
        <v>6255</v>
      </c>
      <c r="AE128" s="625"/>
    </row>
    <row r="129" spans="1:31" s="620" customFormat="1" ht="18" customHeight="1" x14ac:dyDescent="0.2">
      <c r="A129" s="655" t="s">
        <v>2846</v>
      </c>
      <c r="B129" s="508">
        <f t="shared" si="9"/>
        <v>90</v>
      </c>
      <c r="C129" s="957">
        <f>+NOMINA!C133</f>
        <v>13462933</v>
      </c>
      <c r="D129" s="958" t="str">
        <f>+NOMINA!D133</f>
        <v>Frias Aldana Maria Yaritza</v>
      </c>
      <c r="E129" s="955" t="s">
        <v>4622</v>
      </c>
      <c r="F129" s="959">
        <v>27081</v>
      </c>
      <c r="G129" s="955" t="s">
        <v>4620</v>
      </c>
      <c r="H129" s="960">
        <f>+NOMINA!H133</f>
        <v>39454</v>
      </c>
      <c r="I129" s="961">
        <f>+NOMINA!I133</f>
        <v>17</v>
      </c>
      <c r="J129" s="962">
        <f>+NOMINA!J133</f>
        <v>6</v>
      </c>
      <c r="K129" s="961">
        <f>+NOMINA!K133</f>
        <v>23</v>
      </c>
      <c r="L129" s="963">
        <f>+NOMINA!CA133</f>
        <v>0</v>
      </c>
      <c r="M129" s="443" t="e">
        <f>#REF!+#REF!-#REF!</f>
        <v>#REF!</v>
      </c>
      <c r="N129" s="952" t="e">
        <f>ROUND((#REF!+#REF!+#REF!+#REF!+#REF!+#REF!+#REF!+#REF!),2)</f>
        <v>#REF!</v>
      </c>
      <c r="Q129" s="620" t="e">
        <f>SUM(#REF!)</f>
        <v>#REF!</v>
      </c>
      <c r="R129" s="953" t="e">
        <f>#REF!+#REF!-#REF!</f>
        <v>#REF!</v>
      </c>
      <c r="S129" s="954">
        <v>200</v>
      </c>
      <c r="T129" s="953" t="e">
        <f>#REF!+#REF!</f>
        <v>#REF!</v>
      </c>
      <c r="U129" s="954" t="e">
        <f>#REF!</f>
        <v>#REF!</v>
      </c>
      <c r="V129" s="955">
        <v>0</v>
      </c>
      <c r="W129" s="954" t="e">
        <f>#REF!</f>
        <v>#REF!</v>
      </c>
      <c r="X129" s="956" t="e">
        <f>#REF!+#REF!</f>
        <v>#REF!</v>
      </c>
      <c r="Y129" s="956" t="e">
        <f>#REF!+#REF!</f>
        <v>#REF!</v>
      </c>
      <c r="Z129" s="956"/>
      <c r="AA129" s="954" t="e">
        <f>#REF!</f>
        <v>#REF!</v>
      </c>
      <c r="AB129" s="954" t="e">
        <f t="shared" si="7"/>
        <v>#REF!</v>
      </c>
      <c r="AC129" s="954" t="e">
        <f>#REF!+#REF!</f>
        <v>#REF!</v>
      </c>
      <c r="AD129" s="954">
        <f t="shared" si="8"/>
        <v>0</v>
      </c>
      <c r="AE129" s="625"/>
    </row>
    <row r="130" spans="1:31" s="620" customFormat="1" ht="18" customHeight="1" x14ac:dyDescent="0.2">
      <c r="A130" s="655" t="s">
        <v>2846</v>
      </c>
      <c r="B130" s="508">
        <f t="shared" si="9"/>
        <v>91</v>
      </c>
      <c r="C130" s="957">
        <f>+NOMINA!C134</f>
        <v>13462511</v>
      </c>
      <c r="D130" s="958" t="str">
        <f>+NOMINA!D134</f>
        <v>Vielma Jenifer</v>
      </c>
      <c r="E130" s="955" t="s">
        <v>4622</v>
      </c>
      <c r="F130" s="959">
        <v>27081</v>
      </c>
      <c r="G130" s="955" t="s">
        <v>4620</v>
      </c>
      <c r="H130" s="960">
        <f>+NOMINA!H134</f>
        <v>43738</v>
      </c>
      <c r="I130" s="961">
        <f>+NOMINA!I134</f>
        <v>6</v>
      </c>
      <c r="J130" s="962">
        <f>+NOMINA!J134</f>
        <v>8</v>
      </c>
      <c r="K130" s="961">
        <f>+NOMINA!K134</f>
        <v>14</v>
      </c>
      <c r="L130" s="963">
        <f>+NOMINA!CA134</f>
        <v>6255</v>
      </c>
      <c r="M130" s="443" t="e">
        <f>#REF!+#REF!-#REF!</f>
        <v>#REF!</v>
      </c>
      <c r="N130" s="952" t="e">
        <f>ROUND((#REF!+#REF!+#REF!+#REF!+#REF!+#REF!+#REF!+#REF!),2)</f>
        <v>#REF!</v>
      </c>
      <c r="Q130" s="620" t="e">
        <f>SUM(#REF!)</f>
        <v>#REF!</v>
      </c>
      <c r="R130" s="953" t="e">
        <f>#REF!+#REF!-#REF!</f>
        <v>#REF!</v>
      </c>
      <c r="S130" s="954">
        <v>200</v>
      </c>
      <c r="T130" s="953" t="e">
        <f>#REF!+#REF!</f>
        <v>#REF!</v>
      </c>
      <c r="U130" s="954" t="e">
        <f>#REF!</f>
        <v>#REF!</v>
      </c>
      <c r="V130" s="955">
        <v>0</v>
      </c>
      <c r="W130" s="954" t="e">
        <f>#REF!</f>
        <v>#REF!</v>
      </c>
      <c r="X130" s="956" t="e">
        <f>#REF!+#REF!</f>
        <v>#REF!</v>
      </c>
      <c r="Y130" s="956" t="e">
        <f>#REF!+#REF!</f>
        <v>#REF!</v>
      </c>
      <c r="Z130" s="956"/>
      <c r="AA130" s="954" t="e">
        <f>#REF!</f>
        <v>#REF!</v>
      </c>
      <c r="AB130" s="954" t="e">
        <f t="shared" si="7"/>
        <v>#REF!</v>
      </c>
      <c r="AC130" s="954" t="e">
        <f>#REF!+#REF!</f>
        <v>#REF!</v>
      </c>
      <c r="AD130" s="954">
        <f t="shared" si="8"/>
        <v>6255</v>
      </c>
      <c r="AE130" s="625"/>
    </row>
    <row r="131" spans="1:31" s="620" customFormat="1" ht="18" customHeight="1" x14ac:dyDescent="0.2">
      <c r="A131" s="655" t="s">
        <v>2846</v>
      </c>
      <c r="B131" s="508">
        <f t="shared" si="9"/>
        <v>92</v>
      </c>
      <c r="C131" s="957">
        <f>+NOMINA!C135</f>
        <v>13522518</v>
      </c>
      <c r="D131" s="958" t="str">
        <f>+NOMINA!D135</f>
        <v>Altuve Diaz Jose Antonio</v>
      </c>
      <c r="E131" s="955" t="s">
        <v>4622</v>
      </c>
      <c r="F131" s="959">
        <v>27081</v>
      </c>
      <c r="G131" s="955" t="s">
        <v>4620</v>
      </c>
      <c r="H131" s="960">
        <f>+NOMINA!H135</f>
        <v>43739</v>
      </c>
      <c r="I131" s="961">
        <f>+NOMINA!I135</f>
        <v>5</v>
      </c>
      <c r="J131" s="962">
        <f>+NOMINA!J135</f>
        <v>0</v>
      </c>
      <c r="K131" s="961">
        <f>+NOMINA!K135</f>
        <v>5</v>
      </c>
      <c r="L131" s="963">
        <f>+NOMINA!CA135</f>
        <v>6255</v>
      </c>
      <c r="M131" s="443" t="e">
        <f>#REF!+#REF!-#REF!</f>
        <v>#REF!</v>
      </c>
      <c r="N131" s="952" t="e">
        <f>ROUND((#REF!+#REF!+#REF!+#REF!+#REF!+#REF!+#REF!+#REF!),2)</f>
        <v>#REF!</v>
      </c>
      <c r="Q131" s="620" t="e">
        <f>SUM(#REF!)</f>
        <v>#REF!</v>
      </c>
      <c r="R131" s="953" t="e">
        <f>#REF!+#REF!-#REF!</f>
        <v>#REF!</v>
      </c>
      <c r="S131" s="954">
        <v>200</v>
      </c>
      <c r="T131" s="953" t="e">
        <f>#REF!+#REF!</f>
        <v>#REF!</v>
      </c>
      <c r="U131" s="954" t="e">
        <f>#REF!</f>
        <v>#REF!</v>
      </c>
      <c r="V131" s="955">
        <v>0</v>
      </c>
      <c r="W131" s="954" t="e">
        <f>#REF!</f>
        <v>#REF!</v>
      </c>
      <c r="X131" s="956" t="e">
        <f>#REF!+#REF!</f>
        <v>#REF!</v>
      </c>
      <c r="Y131" s="956" t="e">
        <f>#REF!+#REF!</f>
        <v>#REF!</v>
      </c>
      <c r="Z131" s="956"/>
      <c r="AA131" s="954" t="e">
        <f>#REF!</f>
        <v>#REF!</v>
      </c>
      <c r="AB131" s="954" t="e">
        <f t="shared" si="7"/>
        <v>#REF!</v>
      </c>
      <c r="AC131" s="954" t="e">
        <f>#REF!+#REF!</f>
        <v>#REF!</v>
      </c>
      <c r="AD131" s="954">
        <f t="shared" si="8"/>
        <v>6255</v>
      </c>
      <c r="AE131" s="625"/>
    </row>
    <row r="132" spans="1:31" s="620" customFormat="1" ht="18" customHeight="1" x14ac:dyDescent="0.2">
      <c r="A132" s="655" t="s">
        <v>2846</v>
      </c>
      <c r="B132" s="508">
        <f t="shared" si="9"/>
        <v>93</v>
      </c>
      <c r="C132" s="957">
        <f>+NOMINA!C136</f>
        <v>13523075</v>
      </c>
      <c r="D132" s="958" t="str">
        <f>+NOMINA!D136</f>
        <v>Zambrano Castellanos Maria Alejandra</v>
      </c>
      <c r="E132" s="955" t="s">
        <v>4622</v>
      </c>
      <c r="F132" s="959">
        <v>27081</v>
      </c>
      <c r="G132" s="955" t="s">
        <v>4620</v>
      </c>
      <c r="H132" s="960">
        <f>+NOMINA!H136</f>
        <v>37718</v>
      </c>
      <c r="I132" s="961">
        <f>+NOMINA!I136</f>
        <v>22</v>
      </c>
      <c r="J132" s="962">
        <f>+NOMINA!J136</f>
        <v>0</v>
      </c>
      <c r="K132" s="961">
        <f>+NOMINA!K136</f>
        <v>22</v>
      </c>
      <c r="L132" s="963">
        <f>+NOMINA!CA136</f>
        <v>6255</v>
      </c>
      <c r="M132" s="443" t="e">
        <f>#REF!+#REF!-#REF!</f>
        <v>#REF!</v>
      </c>
      <c r="N132" s="952" t="e">
        <f>ROUND((#REF!+#REF!+#REF!+#REF!+#REF!+#REF!+#REF!+#REF!),2)</f>
        <v>#REF!</v>
      </c>
      <c r="Q132" s="620" t="e">
        <f>SUM(#REF!)</f>
        <v>#REF!</v>
      </c>
      <c r="R132" s="953" t="e">
        <f>#REF!+#REF!-#REF!</f>
        <v>#REF!</v>
      </c>
      <c r="S132" s="954">
        <v>200</v>
      </c>
      <c r="T132" s="953" t="e">
        <f>#REF!+#REF!</f>
        <v>#REF!</v>
      </c>
      <c r="U132" s="954" t="e">
        <f>#REF!</f>
        <v>#REF!</v>
      </c>
      <c r="V132" s="955">
        <v>0</v>
      </c>
      <c r="W132" s="954" t="e">
        <f>#REF!</f>
        <v>#REF!</v>
      </c>
      <c r="X132" s="956" t="e">
        <f>#REF!+#REF!</f>
        <v>#REF!</v>
      </c>
      <c r="Y132" s="956" t="e">
        <f>#REF!+#REF!</f>
        <v>#REF!</v>
      </c>
      <c r="Z132" s="956"/>
      <c r="AA132" s="954" t="e">
        <f>#REF!</f>
        <v>#REF!</v>
      </c>
      <c r="AB132" s="954" t="e">
        <f t="shared" si="7"/>
        <v>#REF!</v>
      </c>
      <c r="AC132" s="954" t="e">
        <f>#REF!+#REF!</f>
        <v>#REF!</v>
      </c>
      <c r="AD132" s="954">
        <f t="shared" si="8"/>
        <v>6255</v>
      </c>
      <c r="AE132" s="625"/>
    </row>
    <row r="133" spans="1:31" s="620" customFormat="1" ht="18" customHeight="1" x14ac:dyDescent="0.2">
      <c r="A133" s="655" t="s">
        <v>2846</v>
      </c>
      <c r="B133" s="508">
        <f t="shared" si="9"/>
        <v>94</v>
      </c>
      <c r="C133" s="957">
        <f>+NOMINA!C137</f>
        <v>13765028</v>
      </c>
      <c r="D133" s="958" t="str">
        <f>+NOMINA!D137</f>
        <v>Diaz Ramirez Mileyda del Valle</v>
      </c>
      <c r="E133" s="955" t="s">
        <v>4622</v>
      </c>
      <c r="F133" s="959">
        <v>27081</v>
      </c>
      <c r="G133" s="955" t="s">
        <v>4620</v>
      </c>
      <c r="H133" s="960">
        <f>+NOMINA!H137</f>
        <v>44348</v>
      </c>
      <c r="I133" s="961">
        <f>+NOMINA!I137</f>
        <v>4</v>
      </c>
      <c r="J133" s="962">
        <f>+NOMINA!J137</f>
        <v>7</v>
      </c>
      <c r="K133" s="961">
        <f>+NOMINA!K137</f>
        <v>11</v>
      </c>
      <c r="L133" s="963">
        <f>+NOMINA!CA137</f>
        <v>6255</v>
      </c>
      <c r="M133" s="443" t="e">
        <f>#REF!+#REF!-#REF!</f>
        <v>#REF!</v>
      </c>
      <c r="N133" s="952" t="e">
        <f>ROUND((#REF!+#REF!+#REF!+#REF!+#REF!+#REF!+#REF!+#REF!),2)</f>
        <v>#REF!</v>
      </c>
      <c r="Q133" s="620" t="e">
        <f>SUM(#REF!)</f>
        <v>#REF!</v>
      </c>
      <c r="R133" s="953" t="e">
        <f>#REF!+#REF!-#REF!</f>
        <v>#REF!</v>
      </c>
      <c r="S133" s="954">
        <v>200</v>
      </c>
      <c r="T133" s="953" t="e">
        <f>#REF!+#REF!</f>
        <v>#REF!</v>
      </c>
      <c r="U133" s="954" t="e">
        <f>#REF!</f>
        <v>#REF!</v>
      </c>
      <c r="V133" s="955">
        <v>0</v>
      </c>
      <c r="W133" s="954" t="e">
        <f>#REF!</f>
        <v>#REF!</v>
      </c>
      <c r="X133" s="956" t="e">
        <f>#REF!+#REF!</f>
        <v>#REF!</v>
      </c>
      <c r="Y133" s="956" t="e">
        <f>#REF!+#REF!</f>
        <v>#REF!</v>
      </c>
      <c r="Z133" s="956"/>
      <c r="AA133" s="954" t="e">
        <f>#REF!</f>
        <v>#REF!</v>
      </c>
      <c r="AB133" s="954" t="e">
        <f t="shared" si="7"/>
        <v>#REF!</v>
      </c>
      <c r="AC133" s="954" t="e">
        <f>#REF!+#REF!</f>
        <v>#REF!</v>
      </c>
      <c r="AD133" s="954">
        <f t="shared" si="8"/>
        <v>6255</v>
      </c>
      <c r="AE133" s="625"/>
    </row>
    <row r="134" spans="1:31" s="620" customFormat="1" ht="18" customHeight="1" x14ac:dyDescent="0.2">
      <c r="A134" s="655" t="s">
        <v>2846</v>
      </c>
      <c r="B134" s="508">
        <f t="shared" si="9"/>
        <v>95</v>
      </c>
      <c r="C134" s="957">
        <f>+NOMINA!C138</f>
        <v>13896147</v>
      </c>
      <c r="D134" s="958" t="str">
        <f>+NOMINA!D138</f>
        <v>Carrizo Blanco Belquis Cecilia</v>
      </c>
      <c r="E134" s="955" t="s">
        <v>4622</v>
      </c>
      <c r="F134" s="959">
        <v>27081</v>
      </c>
      <c r="G134" s="955" t="s">
        <v>4620</v>
      </c>
      <c r="H134" s="960">
        <f>+NOMINA!H138</f>
        <v>41334</v>
      </c>
      <c r="I134" s="961">
        <f>+NOMINA!I138</f>
        <v>12</v>
      </c>
      <c r="J134" s="962">
        <f>+NOMINA!J138</f>
        <v>0</v>
      </c>
      <c r="K134" s="961">
        <f>+NOMINA!K138</f>
        <v>12</v>
      </c>
      <c r="L134" s="963">
        <f>+NOMINA!CA138</f>
        <v>6255</v>
      </c>
      <c r="M134" s="443" t="e">
        <f>#REF!+#REF!-#REF!</f>
        <v>#REF!</v>
      </c>
      <c r="N134" s="952" t="e">
        <f>ROUND((#REF!+#REF!+#REF!+#REF!+#REF!+#REF!+#REF!+#REF!),2)</f>
        <v>#REF!</v>
      </c>
      <c r="Q134" s="620" t="e">
        <f>SUM(#REF!)</f>
        <v>#REF!</v>
      </c>
      <c r="R134" s="953" t="e">
        <f>#REF!+#REF!-#REF!</f>
        <v>#REF!</v>
      </c>
      <c r="S134" s="954">
        <v>200</v>
      </c>
      <c r="T134" s="953" t="e">
        <f>#REF!+#REF!</f>
        <v>#REF!</v>
      </c>
      <c r="U134" s="954" t="e">
        <f>#REF!</f>
        <v>#REF!</v>
      </c>
      <c r="V134" s="955">
        <v>0</v>
      </c>
      <c r="W134" s="954" t="e">
        <f>#REF!</f>
        <v>#REF!</v>
      </c>
      <c r="X134" s="956" t="e">
        <f>#REF!+#REF!</f>
        <v>#REF!</v>
      </c>
      <c r="Y134" s="956" t="e">
        <f>#REF!+#REF!</f>
        <v>#REF!</v>
      </c>
      <c r="Z134" s="956"/>
      <c r="AA134" s="954" t="e">
        <f>#REF!</f>
        <v>#REF!</v>
      </c>
      <c r="AB134" s="954" t="e">
        <f t="shared" si="7"/>
        <v>#REF!</v>
      </c>
      <c r="AC134" s="954" t="e">
        <f>#REF!+#REF!</f>
        <v>#REF!</v>
      </c>
      <c r="AD134" s="954">
        <f t="shared" si="8"/>
        <v>6255</v>
      </c>
      <c r="AE134" s="625"/>
    </row>
    <row r="135" spans="1:31" s="620" customFormat="1" ht="18" customHeight="1" x14ac:dyDescent="0.2">
      <c r="A135" s="655" t="s">
        <v>2846</v>
      </c>
      <c r="B135" s="508">
        <f t="shared" si="9"/>
        <v>96</v>
      </c>
      <c r="C135" s="957">
        <f>+NOMINA!C139</f>
        <v>13896239</v>
      </c>
      <c r="D135" s="958" t="str">
        <f>+NOMINA!D139</f>
        <v>Sulbaran Campos Yusneida Ayarith</v>
      </c>
      <c r="E135" s="955" t="s">
        <v>4622</v>
      </c>
      <c r="F135" s="959">
        <v>27081</v>
      </c>
      <c r="G135" s="955" t="s">
        <v>4620</v>
      </c>
      <c r="H135" s="960">
        <f>+NOMINA!H139</f>
        <v>42416</v>
      </c>
      <c r="I135" s="961">
        <f>+NOMINA!I139</f>
        <v>9</v>
      </c>
      <c r="J135" s="962">
        <f>+NOMINA!J139</f>
        <v>0</v>
      </c>
      <c r="K135" s="961">
        <f>+NOMINA!K139</f>
        <v>9</v>
      </c>
      <c r="L135" s="963">
        <f>+NOMINA!CA139</f>
        <v>6255</v>
      </c>
      <c r="M135" s="443" t="e">
        <f>#REF!+#REF!-#REF!</f>
        <v>#REF!</v>
      </c>
      <c r="N135" s="952" t="e">
        <f>ROUND((#REF!+#REF!+#REF!+#REF!+#REF!+#REF!+#REF!+#REF!),2)</f>
        <v>#REF!</v>
      </c>
      <c r="Q135" s="620" t="e">
        <f>SUM(#REF!)</f>
        <v>#REF!</v>
      </c>
      <c r="R135" s="953" t="e">
        <f>#REF!+#REF!-#REF!</f>
        <v>#REF!</v>
      </c>
      <c r="S135" s="954">
        <v>200</v>
      </c>
      <c r="T135" s="953" t="e">
        <f>#REF!+#REF!</f>
        <v>#REF!</v>
      </c>
      <c r="U135" s="954" t="e">
        <f>#REF!</f>
        <v>#REF!</v>
      </c>
      <c r="V135" s="955">
        <v>0</v>
      </c>
      <c r="W135" s="954" t="e">
        <f>#REF!</f>
        <v>#REF!</v>
      </c>
      <c r="X135" s="956" t="e">
        <f>#REF!+#REF!</f>
        <v>#REF!</v>
      </c>
      <c r="Y135" s="956" t="e">
        <f>#REF!+#REF!</f>
        <v>#REF!</v>
      </c>
      <c r="Z135" s="956"/>
      <c r="AA135" s="954" t="e">
        <f>#REF!</f>
        <v>#REF!</v>
      </c>
      <c r="AB135" s="954" t="e">
        <f t="shared" si="7"/>
        <v>#REF!</v>
      </c>
      <c r="AC135" s="954" t="e">
        <f>#REF!+#REF!</f>
        <v>#REF!</v>
      </c>
      <c r="AD135" s="954">
        <f t="shared" si="8"/>
        <v>6255</v>
      </c>
      <c r="AE135" s="625"/>
    </row>
    <row r="136" spans="1:31" s="620" customFormat="1" ht="18" customHeight="1" x14ac:dyDescent="0.2">
      <c r="A136" s="655" t="s">
        <v>2846</v>
      </c>
      <c r="B136" s="508">
        <f t="shared" si="9"/>
        <v>97</v>
      </c>
      <c r="C136" s="957">
        <f>+NOMINA!C140</f>
        <v>13897046</v>
      </c>
      <c r="D136" s="958" t="str">
        <f>+NOMINA!D140</f>
        <v>Artigas Sanchez Mireya Carolina</v>
      </c>
      <c r="E136" s="955" t="s">
        <v>4622</v>
      </c>
      <c r="F136" s="959">
        <v>27081</v>
      </c>
      <c r="G136" s="955" t="s">
        <v>4620</v>
      </c>
      <c r="H136" s="960">
        <f>+NOMINA!H140</f>
        <v>42384</v>
      </c>
      <c r="I136" s="961">
        <f>+NOMINA!I140</f>
        <v>9</v>
      </c>
      <c r="J136" s="962">
        <f>+NOMINA!J140</f>
        <v>0</v>
      </c>
      <c r="K136" s="961">
        <f>+NOMINA!K140</f>
        <v>9</v>
      </c>
      <c r="L136" s="963">
        <f>+NOMINA!CA140</f>
        <v>6255</v>
      </c>
      <c r="M136" s="443" t="e">
        <f>#REF!+#REF!-#REF!</f>
        <v>#REF!</v>
      </c>
      <c r="N136" s="952" t="e">
        <f>ROUND((#REF!+#REF!+#REF!+#REF!+#REF!+#REF!+#REF!+#REF!),2)</f>
        <v>#REF!</v>
      </c>
      <c r="Q136" s="620" t="e">
        <f>SUM(#REF!)</f>
        <v>#REF!</v>
      </c>
      <c r="R136" s="953" t="e">
        <f>#REF!+#REF!-#REF!</f>
        <v>#REF!</v>
      </c>
      <c r="S136" s="954">
        <v>200</v>
      </c>
      <c r="T136" s="953" t="e">
        <f>#REF!+#REF!</f>
        <v>#REF!</v>
      </c>
      <c r="U136" s="954" t="e">
        <f>#REF!</f>
        <v>#REF!</v>
      </c>
      <c r="V136" s="955">
        <v>0</v>
      </c>
      <c r="W136" s="954" t="e">
        <f>#REF!</f>
        <v>#REF!</v>
      </c>
      <c r="X136" s="956" t="e">
        <f>#REF!+#REF!</f>
        <v>#REF!</v>
      </c>
      <c r="Y136" s="956" t="e">
        <f>#REF!+#REF!</f>
        <v>#REF!</v>
      </c>
      <c r="Z136" s="956"/>
      <c r="AA136" s="954" t="e">
        <f>#REF!</f>
        <v>#REF!</v>
      </c>
      <c r="AB136" s="954" t="e">
        <f t="shared" si="7"/>
        <v>#REF!</v>
      </c>
      <c r="AC136" s="954" t="e">
        <f>#REF!+#REF!</f>
        <v>#REF!</v>
      </c>
      <c r="AD136" s="954">
        <f t="shared" si="8"/>
        <v>6255</v>
      </c>
      <c r="AE136" s="625"/>
    </row>
    <row r="137" spans="1:31" s="620" customFormat="1" ht="18" customHeight="1" x14ac:dyDescent="0.2">
      <c r="A137" s="655" t="s">
        <v>2846</v>
      </c>
      <c r="B137" s="508">
        <f t="shared" si="9"/>
        <v>98</v>
      </c>
      <c r="C137" s="957">
        <f>+NOMINA!C141</f>
        <v>13897695</v>
      </c>
      <c r="D137" s="958" t="str">
        <f>+NOMINA!D141</f>
        <v>Araujo Matheus Alba Mariela</v>
      </c>
      <c r="E137" s="955" t="s">
        <v>4622</v>
      </c>
      <c r="F137" s="959">
        <v>27081</v>
      </c>
      <c r="G137" s="955" t="s">
        <v>4620</v>
      </c>
      <c r="H137" s="960">
        <f>+NOMINA!H141</f>
        <v>39496</v>
      </c>
      <c r="I137" s="961">
        <f>+NOMINA!I141</f>
        <v>17</v>
      </c>
      <c r="J137" s="962">
        <f>+NOMINA!J141</f>
        <v>3</v>
      </c>
      <c r="K137" s="961">
        <f>+NOMINA!K141</f>
        <v>20</v>
      </c>
      <c r="L137" s="963">
        <f>+NOMINA!CA141</f>
        <v>6255</v>
      </c>
      <c r="M137" s="443" t="e">
        <f>#REF!+#REF!-#REF!</f>
        <v>#REF!</v>
      </c>
      <c r="N137" s="952" t="e">
        <f>ROUND((#REF!+#REF!+#REF!+#REF!+#REF!+#REF!+#REF!+#REF!),2)</f>
        <v>#REF!</v>
      </c>
      <c r="Q137" s="620" t="e">
        <f>SUM(#REF!)</f>
        <v>#REF!</v>
      </c>
      <c r="R137" s="953" t="e">
        <f>#REF!+#REF!-#REF!</f>
        <v>#REF!</v>
      </c>
      <c r="S137" s="954">
        <v>200</v>
      </c>
      <c r="T137" s="953" t="e">
        <f>#REF!+#REF!</f>
        <v>#REF!</v>
      </c>
      <c r="U137" s="954" t="e">
        <f>#REF!</f>
        <v>#REF!</v>
      </c>
      <c r="V137" s="955">
        <v>0</v>
      </c>
      <c r="W137" s="954" t="e">
        <f>#REF!</f>
        <v>#REF!</v>
      </c>
      <c r="X137" s="956" t="e">
        <f>#REF!+#REF!</f>
        <v>#REF!</v>
      </c>
      <c r="Y137" s="956" t="e">
        <f>#REF!+#REF!</f>
        <v>#REF!</v>
      </c>
      <c r="Z137" s="956"/>
      <c r="AA137" s="954" t="e">
        <f>#REF!</f>
        <v>#REF!</v>
      </c>
      <c r="AB137" s="954" t="e">
        <f t="shared" si="7"/>
        <v>#REF!</v>
      </c>
      <c r="AC137" s="954" t="e">
        <f>#REF!+#REF!</f>
        <v>#REF!</v>
      </c>
      <c r="AD137" s="954">
        <f t="shared" si="8"/>
        <v>6255</v>
      </c>
      <c r="AE137" s="625"/>
    </row>
    <row r="138" spans="1:31" s="620" customFormat="1" ht="18" customHeight="1" x14ac:dyDescent="0.2">
      <c r="A138" s="655" t="s">
        <v>2846</v>
      </c>
      <c r="B138" s="508">
        <f t="shared" si="9"/>
        <v>99</v>
      </c>
      <c r="C138" s="957">
        <f>+NOMINA!C142</f>
        <v>13996024</v>
      </c>
      <c r="D138" s="958" t="str">
        <f>+NOMINA!D142</f>
        <v>Perez Barrios Helenmar</v>
      </c>
      <c r="E138" s="955" t="s">
        <v>4622</v>
      </c>
      <c r="F138" s="959">
        <v>27081</v>
      </c>
      <c r="G138" s="955" t="s">
        <v>4620</v>
      </c>
      <c r="H138" s="960">
        <f>+NOMINA!H142</f>
        <v>40028</v>
      </c>
      <c r="I138" s="961">
        <f>+NOMINA!I142</f>
        <v>16</v>
      </c>
      <c r="J138" s="962">
        <f>+NOMINA!J142</f>
        <v>0</v>
      </c>
      <c r="K138" s="961">
        <f>+NOMINA!K142</f>
        <v>16</v>
      </c>
      <c r="L138" s="963">
        <f>+NOMINA!CA142</f>
        <v>6255</v>
      </c>
      <c r="M138" s="443" t="e">
        <f>#REF!+#REF!-#REF!</f>
        <v>#REF!</v>
      </c>
      <c r="N138" s="952" t="e">
        <f>ROUND((#REF!+#REF!+#REF!+#REF!+#REF!+#REF!+#REF!+#REF!),2)</f>
        <v>#REF!</v>
      </c>
      <c r="Q138" s="620" t="e">
        <f>SUM(#REF!)</f>
        <v>#REF!</v>
      </c>
      <c r="R138" s="953" t="e">
        <f>#REF!+#REF!-#REF!</f>
        <v>#REF!</v>
      </c>
      <c r="S138" s="954">
        <v>200</v>
      </c>
      <c r="T138" s="953" t="e">
        <f>#REF!+#REF!</f>
        <v>#REF!</v>
      </c>
      <c r="U138" s="954" t="e">
        <f>#REF!</f>
        <v>#REF!</v>
      </c>
      <c r="V138" s="955">
        <v>0</v>
      </c>
      <c r="W138" s="954" t="e">
        <f>#REF!</f>
        <v>#REF!</v>
      </c>
      <c r="X138" s="956" t="e">
        <f>#REF!+#REF!</f>
        <v>#REF!</v>
      </c>
      <c r="Y138" s="956" t="e">
        <f>#REF!+#REF!</f>
        <v>#REF!</v>
      </c>
      <c r="Z138" s="956"/>
      <c r="AA138" s="954" t="e">
        <f>#REF!</f>
        <v>#REF!</v>
      </c>
      <c r="AB138" s="954" t="e">
        <f t="shared" si="7"/>
        <v>#REF!</v>
      </c>
      <c r="AC138" s="954" t="e">
        <f>#REF!+#REF!</f>
        <v>#REF!</v>
      </c>
      <c r="AD138" s="954">
        <f t="shared" si="8"/>
        <v>6255</v>
      </c>
      <c r="AE138" s="625"/>
    </row>
    <row r="139" spans="1:31" s="620" customFormat="1" ht="18" customHeight="1" x14ac:dyDescent="0.2">
      <c r="A139" s="655" t="s">
        <v>2846</v>
      </c>
      <c r="B139" s="508">
        <f t="shared" si="9"/>
        <v>100</v>
      </c>
      <c r="C139" s="957">
        <f>+NOMINA!C143</f>
        <v>13997965</v>
      </c>
      <c r="D139" s="958" t="str">
        <f>+NOMINA!D143</f>
        <v>Sulbaran Baptista Yenny del Carmen</v>
      </c>
      <c r="E139" s="955" t="s">
        <v>4622</v>
      </c>
      <c r="F139" s="959">
        <v>27081</v>
      </c>
      <c r="G139" s="955" t="s">
        <v>4620</v>
      </c>
      <c r="H139" s="960">
        <f>+NOMINA!H143</f>
        <v>45839</v>
      </c>
      <c r="I139" s="961">
        <f>+NOMINA!I143</f>
        <v>0</v>
      </c>
      <c r="J139" s="962">
        <f>+NOMINA!J143</f>
        <v>0</v>
      </c>
      <c r="K139" s="961">
        <f>+NOMINA!K143</f>
        <v>0</v>
      </c>
      <c r="L139" s="963">
        <f>+NOMINA!CA143</f>
        <v>6255</v>
      </c>
      <c r="M139" s="443" t="e">
        <f>#REF!+#REF!-#REF!</f>
        <v>#REF!</v>
      </c>
      <c r="N139" s="952" t="e">
        <f>ROUND((#REF!+#REF!+#REF!+#REF!+#REF!+#REF!+#REF!+#REF!),2)</f>
        <v>#REF!</v>
      </c>
      <c r="Q139" s="620" t="e">
        <f>SUM(#REF!)</f>
        <v>#REF!</v>
      </c>
      <c r="R139" s="953" t="e">
        <f>#REF!+#REF!-#REF!</f>
        <v>#REF!</v>
      </c>
      <c r="S139" s="954">
        <v>200</v>
      </c>
      <c r="T139" s="953" t="e">
        <f>#REF!+#REF!</f>
        <v>#REF!</v>
      </c>
      <c r="U139" s="954" t="e">
        <f>#REF!</f>
        <v>#REF!</v>
      </c>
      <c r="V139" s="955">
        <v>0</v>
      </c>
      <c r="W139" s="954" t="e">
        <f>#REF!</f>
        <v>#REF!</v>
      </c>
      <c r="X139" s="956" t="e">
        <f>#REF!+#REF!</f>
        <v>#REF!</v>
      </c>
      <c r="Y139" s="956" t="e">
        <f>#REF!+#REF!</f>
        <v>#REF!</v>
      </c>
      <c r="Z139" s="956"/>
      <c r="AA139" s="954" t="e">
        <f>#REF!</f>
        <v>#REF!</v>
      </c>
      <c r="AB139" s="954" t="e">
        <f t="shared" si="7"/>
        <v>#REF!</v>
      </c>
      <c r="AC139" s="954" t="e">
        <f>#REF!+#REF!</f>
        <v>#REF!</v>
      </c>
      <c r="AD139" s="954">
        <f t="shared" si="8"/>
        <v>6255</v>
      </c>
      <c r="AE139" s="625"/>
    </row>
    <row r="140" spans="1:31" s="620" customFormat="1" ht="18" customHeight="1" x14ac:dyDescent="0.2">
      <c r="A140" s="655" t="s">
        <v>2846</v>
      </c>
      <c r="B140" s="508">
        <f t="shared" si="9"/>
        <v>101</v>
      </c>
      <c r="C140" s="957">
        <f>+NOMINA!C144</f>
        <v>14106648</v>
      </c>
      <c r="D140" s="958" t="str">
        <f>+NOMINA!D144</f>
        <v>Aguilar Flores Heidy Coromoto</v>
      </c>
      <c r="E140" s="955" t="s">
        <v>4622</v>
      </c>
      <c r="F140" s="959">
        <v>27081</v>
      </c>
      <c r="G140" s="955" t="s">
        <v>4620</v>
      </c>
      <c r="H140" s="960">
        <f>+NOMINA!H144</f>
        <v>40787</v>
      </c>
      <c r="I140" s="961">
        <f>+NOMINA!I144</f>
        <v>14</v>
      </c>
      <c r="J140" s="962">
        <f>+NOMINA!J144</f>
        <v>6</v>
      </c>
      <c r="K140" s="961">
        <f>+NOMINA!K144</f>
        <v>20</v>
      </c>
      <c r="L140" s="963">
        <f>+NOMINA!CA144</f>
        <v>6255</v>
      </c>
      <c r="M140" s="443" t="e">
        <f>#REF!+#REF!-#REF!</f>
        <v>#REF!</v>
      </c>
      <c r="N140" s="952" t="e">
        <f>ROUND((#REF!+#REF!+#REF!+#REF!+#REF!+#REF!+#REF!+#REF!),2)</f>
        <v>#REF!</v>
      </c>
      <c r="Q140" s="620" t="e">
        <f>SUM(#REF!)</f>
        <v>#REF!</v>
      </c>
      <c r="R140" s="953" t="e">
        <f>#REF!+#REF!-#REF!</f>
        <v>#REF!</v>
      </c>
      <c r="S140" s="954">
        <v>200</v>
      </c>
      <c r="T140" s="953" t="e">
        <f>#REF!+#REF!</f>
        <v>#REF!</v>
      </c>
      <c r="U140" s="954" t="e">
        <f>#REF!</f>
        <v>#REF!</v>
      </c>
      <c r="V140" s="955">
        <v>0</v>
      </c>
      <c r="W140" s="954" t="e">
        <f>#REF!</f>
        <v>#REF!</v>
      </c>
      <c r="X140" s="956" t="e">
        <f>#REF!+#REF!</f>
        <v>#REF!</v>
      </c>
      <c r="Y140" s="956" t="e">
        <f>#REF!+#REF!</f>
        <v>#REF!</v>
      </c>
      <c r="Z140" s="956"/>
      <c r="AA140" s="954" t="e">
        <f>#REF!</f>
        <v>#REF!</v>
      </c>
      <c r="AB140" s="954" t="e">
        <f t="shared" si="7"/>
        <v>#REF!</v>
      </c>
      <c r="AC140" s="954" t="e">
        <f>#REF!+#REF!</f>
        <v>#REF!</v>
      </c>
      <c r="AD140" s="954">
        <f t="shared" si="8"/>
        <v>6255</v>
      </c>
      <c r="AE140" s="625"/>
    </row>
    <row r="141" spans="1:31" s="620" customFormat="1" ht="18" customHeight="1" x14ac:dyDescent="0.2">
      <c r="A141" s="655" t="s">
        <v>2846</v>
      </c>
      <c r="B141" s="508">
        <f t="shared" si="9"/>
        <v>102</v>
      </c>
      <c r="C141" s="957">
        <f>+NOMINA!C145</f>
        <v>14329448</v>
      </c>
      <c r="D141" s="958" t="str">
        <f>+NOMINA!D145</f>
        <v>Leal Mejia Jociany Trinny</v>
      </c>
      <c r="E141" s="955" t="s">
        <v>4622</v>
      </c>
      <c r="F141" s="959">
        <v>27081</v>
      </c>
      <c r="G141" s="955" t="s">
        <v>4620</v>
      </c>
      <c r="H141" s="960">
        <f>+NOMINA!H145</f>
        <v>44743</v>
      </c>
      <c r="I141" s="961">
        <f>+NOMINA!I145</f>
        <v>3</v>
      </c>
      <c r="J141" s="962">
        <f>+NOMINA!J145</f>
        <v>0</v>
      </c>
      <c r="K141" s="961">
        <f>+NOMINA!K145</f>
        <v>3</v>
      </c>
      <c r="L141" s="963">
        <f>+NOMINA!CA145</f>
        <v>6255</v>
      </c>
      <c r="M141" s="443" t="e">
        <f>#REF!+#REF!-#REF!</f>
        <v>#REF!</v>
      </c>
      <c r="N141" s="952" t="e">
        <f>ROUND((#REF!+#REF!+#REF!+#REF!+#REF!+#REF!+#REF!+#REF!),2)</f>
        <v>#REF!</v>
      </c>
      <c r="Q141" s="620" t="e">
        <f>SUM(#REF!)</f>
        <v>#REF!</v>
      </c>
      <c r="R141" s="953" t="e">
        <f>#REF!+#REF!-#REF!</f>
        <v>#REF!</v>
      </c>
      <c r="S141" s="954">
        <v>200</v>
      </c>
      <c r="T141" s="953" t="e">
        <f>#REF!+#REF!</f>
        <v>#REF!</v>
      </c>
      <c r="U141" s="954" t="e">
        <f>#REF!</f>
        <v>#REF!</v>
      </c>
      <c r="V141" s="955">
        <v>0</v>
      </c>
      <c r="W141" s="954" t="e">
        <f>#REF!</f>
        <v>#REF!</v>
      </c>
      <c r="X141" s="956" t="e">
        <f>#REF!+#REF!</f>
        <v>#REF!</v>
      </c>
      <c r="Y141" s="956" t="e">
        <f>#REF!+#REF!</f>
        <v>#REF!</v>
      </c>
      <c r="Z141" s="956"/>
      <c r="AA141" s="954" t="e">
        <f>#REF!</f>
        <v>#REF!</v>
      </c>
      <c r="AB141" s="954" t="e">
        <f t="shared" si="7"/>
        <v>#REF!</v>
      </c>
      <c r="AC141" s="954" t="e">
        <f>#REF!+#REF!</f>
        <v>#REF!</v>
      </c>
      <c r="AD141" s="954">
        <f t="shared" si="8"/>
        <v>6255</v>
      </c>
      <c r="AE141" s="625"/>
    </row>
    <row r="142" spans="1:31" s="620" customFormat="1" ht="18" customHeight="1" x14ac:dyDescent="0.2">
      <c r="A142" s="655" t="s">
        <v>2846</v>
      </c>
      <c r="B142" s="508">
        <f t="shared" si="9"/>
        <v>103</v>
      </c>
      <c r="C142" s="957">
        <f>+NOMINA!C146</f>
        <v>14406240</v>
      </c>
      <c r="D142" s="958" t="str">
        <f>+NOMINA!D146</f>
        <v>Sarmiento Suarez Karem Yanira</v>
      </c>
      <c r="E142" s="955" t="s">
        <v>4622</v>
      </c>
      <c r="F142" s="959">
        <v>27081</v>
      </c>
      <c r="G142" s="955" t="s">
        <v>4620</v>
      </c>
      <c r="H142" s="960">
        <f>+NOMINA!H146</f>
        <v>43785</v>
      </c>
      <c r="I142" s="961">
        <f>+NOMINA!I146</f>
        <v>5</v>
      </c>
      <c r="J142" s="962">
        <f>+NOMINA!J146</f>
        <v>11</v>
      </c>
      <c r="K142" s="961">
        <f>+NOMINA!K146</f>
        <v>16</v>
      </c>
      <c r="L142" s="963">
        <f>+NOMINA!CA146</f>
        <v>6255</v>
      </c>
      <c r="M142" s="443" t="e">
        <f>#REF!+#REF!-#REF!</f>
        <v>#REF!</v>
      </c>
      <c r="N142" s="952" t="e">
        <f>ROUND((#REF!+#REF!+#REF!+#REF!+#REF!+#REF!+#REF!+#REF!),2)</f>
        <v>#REF!</v>
      </c>
      <c r="Q142" s="620" t="e">
        <f>SUM(#REF!)</f>
        <v>#REF!</v>
      </c>
      <c r="R142" s="953" t="e">
        <f>#REF!+#REF!-#REF!</f>
        <v>#REF!</v>
      </c>
      <c r="S142" s="954">
        <v>200</v>
      </c>
      <c r="T142" s="953" t="e">
        <f>#REF!+#REF!</f>
        <v>#REF!</v>
      </c>
      <c r="U142" s="954" t="e">
        <f>#REF!</f>
        <v>#REF!</v>
      </c>
      <c r="V142" s="955">
        <v>0</v>
      </c>
      <c r="W142" s="954" t="e">
        <f>#REF!</f>
        <v>#REF!</v>
      </c>
      <c r="X142" s="956" t="e">
        <f>#REF!+#REF!</f>
        <v>#REF!</v>
      </c>
      <c r="Y142" s="956" t="e">
        <f>#REF!+#REF!</f>
        <v>#REF!</v>
      </c>
      <c r="Z142" s="956"/>
      <c r="AA142" s="954" t="e">
        <f>#REF!</f>
        <v>#REF!</v>
      </c>
      <c r="AB142" s="954" t="e">
        <f t="shared" si="7"/>
        <v>#REF!</v>
      </c>
      <c r="AC142" s="954" t="e">
        <f>#REF!+#REF!</f>
        <v>#REF!</v>
      </c>
      <c r="AD142" s="954">
        <f t="shared" si="8"/>
        <v>6255</v>
      </c>
      <c r="AE142" s="625"/>
    </row>
    <row r="143" spans="1:31" s="620" customFormat="1" ht="18" customHeight="1" x14ac:dyDescent="0.2">
      <c r="A143" s="655" t="s">
        <v>2846</v>
      </c>
      <c r="B143" s="508">
        <f t="shared" si="9"/>
        <v>104</v>
      </c>
      <c r="C143" s="957">
        <f>+NOMINA!C147</f>
        <v>14459607</v>
      </c>
      <c r="D143" s="958" t="str">
        <f>+NOMINA!D147</f>
        <v>Martinez Leal Deyanira Yusissan</v>
      </c>
      <c r="E143" s="955" t="s">
        <v>4622</v>
      </c>
      <c r="F143" s="959">
        <v>27081</v>
      </c>
      <c r="G143" s="955" t="s">
        <v>4620</v>
      </c>
      <c r="H143" s="960">
        <f>+NOMINA!H147</f>
        <v>43116</v>
      </c>
      <c r="I143" s="961">
        <f>+NOMINA!I147</f>
        <v>7</v>
      </c>
      <c r="J143" s="962">
        <f>+NOMINA!J147</f>
        <v>0</v>
      </c>
      <c r="K143" s="961">
        <f>+NOMINA!K147</f>
        <v>7</v>
      </c>
      <c r="L143" s="963">
        <f>+NOMINA!CA147</f>
        <v>6255</v>
      </c>
      <c r="M143" s="443" t="e">
        <f>#REF!+#REF!-#REF!</f>
        <v>#REF!</v>
      </c>
      <c r="N143" s="952" t="e">
        <f>ROUND((#REF!+#REF!+#REF!+#REF!+#REF!+#REF!+#REF!+#REF!),2)</f>
        <v>#REF!</v>
      </c>
      <c r="Q143" s="620" t="e">
        <f>SUM(#REF!)</f>
        <v>#REF!</v>
      </c>
      <c r="R143" s="953" t="e">
        <f>#REF!+#REF!-#REF!</f>
        <v>#REF!</v>
      </c>
      <c r="S143" s="954">
        <v>200</v>
      </c>
      <c r="T143" s="953" t="e">
        <f>#REF!+#REF!</f>
        <v>#REF!</v>
      </c>
      <c r="U143" s="954" t="e">
        <f>#REF!</f>
        <v>#REF!</v>
      </c>
      <c r="V143" s="955">
        <v>0</v>
      </c>
      <c r="W143" s="954" t="e">
        <f>#REF!</f>
        <v>#REF!</v>
      </c>
      <c r="X143" s="956" t="e">
        <f>#REF!+#REF!</f>
        <v>#REF!</v>
      </c>
      <c r="Y143" s="956" t="e">
        <f>#REF!+#REF!</f>
        <v>#REF!</v>
      </c>
      <c r="Z143" s="956"/>
      <c r="AA143" s="954" t="e">
        <f>#REF!</f>
        <v>#REF!</v>
      </c>
      <c r="AB143" s="954" t="e">
        <f t="shared" si="7"/>
        <v>#REF!</v>
      </c>
      <c r="AC143" s="954" t="e">
        <f>#REF!+#REF!</f>
        <v>#REF!</v>
      </c>
      <c r="AD143" s="954">
        <f t="shared" si="8"/>
        <v>6255</v>
      </c>
      <c r="AE143" s="625"/>
    </row>
    <row r="144" spans="1:31" s="620" customFormat="1" ht="18" customHeight="1" x14ac:dyDescent="0.2">
      <c r="A144" s="655" t="s">
        <v>2846</v>
      </c>
      <c r="B144" s="508">
        <f t="shared" si="9"/>
        <v>105</v>
      </c>
      <c r="C144" s="957">
        <f>+NOMINA!C148</f>
        <v>14598170</v>
      </c>
      <c r="D144" s="958" t="str">
        <f>+NOMINA!D148</f>
        <v>Rendon Utrilla Gerson Paul</v>
      </c>
      <c r="E144" s="955" t="s">
        <v>4622</v>
      </c>
      <c r="F144" s="959">
        <v>27081</v>
      </c>
      <c r="G144" s="955" t="s">
        <v>4620</v>
      </c>
      <c r="H144" s="960">
        <f>+NOMINA!H148</f>
        <v>43435</v>
      </c>
      <c r="I144" s="961">
        <f>+NOMINA!I148</f>
        <v>6</v>
      </c>
      <c r="J144" s="962">
        <f>+NOMINA!J148</f>
        <v>0</v>
      </c>
      <c r="K144" s="961">
        <f>+NOMINA!K148</f>
        <v>6</v>
      </c>
      <c r="L144" s="963">
        <f>+NOMINA!CA148</f>
        <v>6255</v>
      </c>
      <c r="M144" s="443" t="e">
        <f>#REF!+#REF!-#REF!</f>
        <v>#REF!</v>
      </c>
      <c r="N144" s="952" t="e">
        <f>ROUND((#REF!+#REF!+#REF!+#REF!+#REF!+#REF!+#REF!+#REF!),2)</f>
        <v>#REF!</v>
      </c>
      <c r="Q144" s="620" t="e">
        <f>SUM(#REF!)</f>
        <v>#REF!</v>
      </c>
      <c r="R144" s="953" t="e">
        <f>#REF!+#REF!-#REF!</f>
        <v>#REF!</v>
      </c>
      <c r="S144" s="954">
        <v>200</v>
      </c>
      <c r="T144" s="953" t="e">
        <f>#REF!+#REF!</f>
        <v>#REF!</v>
      </c>
      <c r="U144" s="954" t="e">
        <f>#REF!</f>
        <v>#REF!</v>
      </c>
      <c r="V144" s="955">
        <v>0</v>
      </c>
      <c r="W144" s="954" t="e">
        <f>#REF!</f>
        <v>#REF!</v>
      </c>
      <c r="X144" s="956" t="e">
        <f>#REF!+#REF!</f>
        <v>#REF!</v>
      </c>
      <c r="Y144" s="956" t="e">
        <f>#REF!+#REF!</f>
        <v>#REF!</v>
      </c>
      <c r="Z144" s="956"/>
      <c r="AA144" s="954" t="e">
        <f>#REF!</f>
        <v>#REF!</v>
      </c>
      <c r="AB144" s="954" t="e">
        <f t="shared" si="7"/>
        <v>#REF!</v>
      </c>
      <c r="AC144" s="954" t="e">
        <f>#REF!+#REF!</f>
        <v>#REF!</v>
      </c>
      <c r="AD144" s="954">
        <f t="shared" si="8"/>
        <v>6255</v>
      </c>
      <c r="AE144" s="625"/>
    </row>
    <row r="145" spans="1:31" s="620" customFormat="1" ht="18" customHeight="1" x14ac:dyDescent="0.2">
      <c r="A145" s="655" t="s">
        <v>2846</v>
      </c>
      <c r="B145" s="508">
        <f t="shared" si="9"/>
        <v>106</v>
      </c>
      <c r="C145" s="957">
        <f>+NOMINA!C149</f>
        <v>14598687</v>
      </c>
      <c r="D145" s="958" t="str">
        <f>+NOMINA!D149</f>
        <v>Godoy Bracamonte Juan Carlos</v>
      </c>
      <c r="E145" s="955" t="s">
        <v>4622</v>
      </c>
      <c r="F145" s="959">
        <v>27081</v>
      </c>
      <c r="G145" s="955" t="s">
        <v>4620</v>
      </c>
      <c r="H145" s="960">
        <f>+NOMINA!H149</f>
        <v>44332</v>
      </c>
      <c r="I145" s="961">
        <f>+NOMINA!I149</f>
        <v>4</v>
      </c>
      <c r="J145" s="962">
        <f>+NOMINA!J149</f>
        <v>0</v>
      </c>
      <c r="K145" s="961">
        <f>+NOMINA!K149</f>
        <v>4</v>
      </c>
      <c r="L145" s="963">
        <f>+NOMINA!CA149</f>
        <v>6255</v>
      </c>
      <c r="M145" s="443" t="e">
        <f>#REF!+#REF!-#REF!</f>
        <v>#REF!</v>
      </c>
      <c r="N145" s="952" t="e">
        <f>ROUND((#REF!+#REF!+#REF!+#REF!+#REF!+#REF!+#REF!+#REF!),2)</f>
        <v>#REF!</v>
      </c>
      <c r="Q145" s="620" t="e">
        <f>SUM(#REF!)</f>
        <v>#REF!</v>
      </c>
      <c r="R145" s="953" t="e">
        <f>#REF!+#REF!-#REF!</f>
        <v>#REF!</v>
      </c>
      <c r="S145" s="954">
        <v>200</v>
      </c>
      <c r="T145" s="953" t="e">
        <f>#REF!+#REF!</f>
        <v>#REF!</v>
      </c>
      <c r="U145" s="954" t="e">
        <f>#REF!</f>
        <v>#REF!</v>
      </c>
      <c r="V145" s="955">
        <v>0</v>
      </c>
      <c r="W145" s="954" t="e">
        <f>#REF!</f>
        <v>#REF!</v>
      </c>
      <c r="X145" s="956" t="e">
        <f>#REF!+#REF!</f>
        <v>#REF!</v>
      </c>
      <c r="Y145" s="956" t="e">
        <f>#REF!+#REF!</f>
        <v>#REF!</v>
      </c>
      <c r="Z145" s="956"/>
      <c r="AA145" s="954" t="e">
        <f>#REF!</f>
        <v>#REF!</v>
      </c>
      <c r="AB145" s="954" t="e">
        <f t="shared" si="7"/>
        <v>#REF!</v>
      </c>
      <c r="AC145" s="954" t="e">
        <f>#REF!+#REF!</f>
        <v>#REF!</v>
      </c>
      <c r="AD145" s="954">
        <f t="shared" si="8"/>
        <v>6255</v>
      </c>
      <c r="AE145" s="625"/>
    </row>
    <row r="146" spans="1:31" s="620" customFormat="1" ht="18" customHeight="1" x14ac:dyDescent="0.2">
      <c r="A146" s="655" t="s">
        <v>2846</v>
      </c>
      <c r="B146" s="508">
        <f t="shared" si="9"/>
        <v>107</v>
      </c>
      <c r="C146" s="957">
        <f>+NOMINA!C150</f>
        <v>14719639</v>
      </c>
      <c r="D146" s="958" t="str">
        <f>+NOMINA!D150</f>
        <v>Coy de Dorante Sandra Liliana</v>
      </c>
      <c r="E146" s="955" t="s">
        <v>4622</v>
      </c>
      <c r="F146" s="959">
        <v>27081</v>
      </c>
      <c r="G146" s="955" t="s">
        <v>4620</v>
      </c>
      <c r="H146" s="960">
        <f>+NOMINA!H150</f>
        <v>44896</v>
      </c>
      <c r="I146" s="961">
        <f>+NOMINA!I150</f>
        <v>2</v>
      </c>
      <c r="J146" s="962">
        <f>+NOMINA!J150</f>
        <v>0</v>
      </c>
      <c r="K146" s="961">
        <f>+NOMINA!K150</f>
        <v>2</v>
      </c>
      <c r="L146" s="963">
        <f>+NOMINA!CA150</f>
        <v>6255</v>
      </c>
      <c r="M146" s="443" t="e">
        <f>#REF!+#REF!-#REF!</f>
        <v>#REF!</v>
      </c>
      <c r="N146" s="952" t="e">
        <f>ROUND((#REF!+#REF!+#REF!+#REF!+#REF!+#REF!+#REF!+#REF!),2)</f>
        <v>#REF!</v>
      </c>
      <c r="Q146" s="620" t="e">
        <f>SUM(#REF!)</f>
        <v>#REF!</v>
      </c>
      <c r="R146" s="953" t="e">
        <f>#REF!+#REF!-#REF!</f>
        <v>#REF!</v>
      </c>
      <c r="S146" s="954">
        <v>200</v>
      </c>
      <c r="T146" s="953" t="e">
        <f>#REF!+#REF!</f>
        <v>#REF!</v>
      </c>
      <c r="U146" s="954" t="e">
        <f>#REF!</f>
        <v>#REF!</v>
      </c>
      <c r="V146" s="955">
        <v>0</v>
      </c>
      <c r="W146" s="954" t="e">
        <f>#REF!</f>
        <v>#REF!</v>
      </c>
      <c r="X146" s="956" t="e">
        <f>#REF!+#REF!</f>
        <v>#REF!</v>
      </c>
      <c r="Y146" s="956" t="e">
        <f>#REF!+#REF!</f>
        <v>#REF!</v>
      </c>
      <c r="Z146" s="956"/>
      <c r="AA146" s="954" t="e">
        <f>#REF!</f>
        <v>#REF!</v>
      </c>
      <c r="AB146" s="954" t="e">
        <f t="shared" si="7"/>
        <v>#REF!</v>
      </c>
      <c r="AC146" s="954" t="e">
        <f>#REF!+#REF!</f>
        <v>#REF!</v>
      </c>
      <c r="AD146" s="954">
        <f t="shared" si="8"/>
        <v>6255</v>
      </c>
      <c r="AE146" s="625"/>
    </row>
    <row r="147" spans="1:31" s="620" customFormat="1" ht="18" customHeight="1" x14ac:dyDescent="0.2">
      <c r="A147" s="655" t="s">
        <v>2846</v>
      </c>
      <c r="B147" s="508">
        <f t="shared" si="9"/>
        <v>108</v>
      </c>
      <c r="C147" s="957">
        <f>+NOMINA!C151</f>
        <v>14739168</v>
      </c>
      <c r="D147" s="958" t="str">
        <f>+NOMINA!D151</f>
        <v>Briceño Hernandez Yeny del Carmen</v>
      </c>
      <c r="E147" s="955" t="s">
        <v>4622</v>
      </c>
      <c r="F147" s="959">
        <v>27081</v>
      </c>
      <c r="G147" s="955" t="s">
        <v>4620</v>
      </c>
      <c r="H147" s="960">
        <f>+NOMINA!H151</f>
        <v>38841</v>
      </c>
      <c r="I147" s="961">
        <f>+NOMINA!I151</f>
        <v>19</v>
      </c>
      <c r="J147" s="962">
        <f>+NOMINA!J151</f>
        <v>0</v>
      </c>
      <c r="K147" s="961">
        <f>+NOMINA!K151</f>
        <v>19</v>
      </c>
      <c r="L147" s="963">
        <f>+NOMINA!CA151</f>
        <v>6255</v>
      </c>
      <c r="M147" s="443" t="e">
        <f>#REF!+#REF!-#REF!</f>
        <v>#REF!</v>
      </c>
      <c r="N147" s="952" t="e">
        <f>ROUND((#REF!+#REF!+#REF!+#REF!+#REF!+#REF!+#REF!+#REF!),2)</f>
        <v>#REF!</v>
      </c>
      <c r="Q147" s="620" t="e">
        <f>SUM(#REF!)</f>
        <v>#REF!</v>
      </c>
      <c r="R147" s="953" t="e">
        <f>#REF!+#REF!-#REF!</f>
        <v>#REF!</v>
      </c>
      <c r="S147" s="954">
        <v>200</v>
      </c>
      <c r="T147" s="953" t="e">
        <f>#REF!+#REF!</f>
        <v>#REF!</v>
      </c>
      <c r="U147" s="954" t="e">
        <f>#REF!</f>
        <v>#REF!</v>
      </c>
      <c r="V147" s="955">
        <v>0</v>
      </c>
      <c r="W147" s="954" t="e">
        <f>#REF!</f>
        <v>#REF!</v>
      </c>
      <c r="X147" s="956" t="e">
        <f>#REF!+#REF!</f>
        <v>#REF!</v>
      </c>
      <c r="Y147" s="956" t="e">
        <f>#REF!+#REF!</f>
        <v>#REF!</v>
      </c>
      <c r="Z147" s="956"/>
      <c r="AA147" s="954" t="e">
        <f>#REF!</f>
        <v>#REF!</v>
      </c>
      <c r="AB147" s="954" t="e">
        <f t="shared" si="7"/>
        <v>#REF!</v>
      </c>
      <c r="AC147" s="954" t="e">
        <f>#REF!+#REF!</f>
        <v>#REF!</v>
      </c>
      <c r="AD147" s="954">
        <f t="shared" si="8"/>
        <v>6255</v>
      </c>
      <c r="AE147" s="625"/>
    </row>
    <row r="148" spans="1:31" s="620" customFormat="1" ht="18" customHeight="1" x14ac:dyDescent="0.2">
      <c r="A148" s="655" t="s">
        <v>2846</v>
      </c>
      <c r="B148" s="508">
        <f t="shared" si="9"/>
        <v>109</v>
      </c>
      <c r="C148" s="957">
        <f>+NOMINA!C152</f>
        <v>14928034</v>
      </c>
      <c r="D148" s="958" t="str">
        <f>+NOMINA!D152</f>
        <v>Ramirez Palomares Mariana Teresa</v>
      </c>
      <c r="E148" s="955" t="s">
        <v>4622</v>
      </c>
      <c r="F148" s="959">
        <v>27081</v>
      </c>
      <c r="G148" s="955" t="s">
        <v>4620</v>
      </c>
      <c r="H148" s="960">
        <f>+NOMINA!H152</f>
        <v>44302</v>
      </c>
      <c r="I148" s="961">
        <f>+NOMINA!I152</f>
        <v>4</v>
      </c>
      <c r="J148" s="962">
        <f>+NOMINA!J152</f>
        <v>11</v>
      </c>
      <c r="K148" s="961">
        <f>+NOMINA!K152</f>
        <v>15</v>
      </c>
      <c r="L148" s="963">
        <f>+NOMINA!CA152</f>
        <v>6255</v>
      </c>
      <c r="M148" s="443" t="e">
        <f>#REF!+#REF!-#REF!</f>
        <v>#REF!</v>
      </c>
      <c r="N148" s="952" t="e">
        <f>ROUND((#REF!+#REF!+#REF!+#REF!+#REF!+#REF!+#REF!+#REF!),2)</f>
        <v>#REF!</v>
      </c>
      <c r="Q148" s="620" t="e">
        <f>SUM(#REF!)</f>
        <v>#REF!</v>
      </c>
      <c r="R148" s="953" t="e">
        <f>#REF!+#REF!-#REF!</f>
        <v>#REF!</v>
      </c>
      <c r="S148" s="954">
        <v>200</v>
      </c>
      <c r="T148" s="953" t="e">
        <f>#REF!+#REF!</f>
        <v>#REF!</v>
      </c>
      <c r="U148" s="954" t="e">
        <f>#REF!</f>
        <v>#REF!</v>
      </c>
      <c r="V148" s="955">
        <v>0</v>
      </c>
      <c r="W148" s="954" t="e">
        <f>#REF!</f>
        <v>#REF!</v>
      </c>
      <c r="X148" s="956" t="e">
        <f>#REF!+#REF!</f>
        <v>#REF!</v>
      </c>
      <c r="Y148" s="956" t="e">
        <f>#REF!+#REF!</f>
        <v>#REF!</v>
      </c>
      <c r="Z148" s="956"/>
      <c r="AA148" s="954" t="e">
        <f>#REF!</f>
        <v>#REF!</v>
      </c>
      <c r="AB148" s="954" t="e">
        <f t="shared" si="7"/>
        <v>#REF!</v>
      </c>
      <c r="AC148" s="954" t="e">
        <f>#REF!+#REF!</f>
        <v>#REF!</v>
      </c>
      <c r="AD148" s="954">
        <f t="shared" si="8"/>
        <v>6255</v>
      </c>
      <c r="AE148" s="625"/>
    </row>
    <row r="149" spans="1:31" s="620" customFormat="1" ht="18" customHeight="1" x14ac:dyDescent="0.2">
      <c r="A149" s="655" t="s">
        <v>2846</v>
      </c>
      <c r="B149" s="508">
        <f t="shared" si="9"/>
        <v>110</v>
      </c>
      <c r="C149" s="957">
        <f>+NOMINA!C153</f>
        <v>14928260</v>
      </c>
      <c r="D149" s="958" t="str">
        <f>+NOMINA!D153</f>
        <v>Rivas Ana Lucila</v>
      </c>
      <c r="E149" s="955" t="s">
        <v>4622</v>
      </c>
      <c r="F149" s="959">
        <v>27081</v>
      </c>
      <c r="G149" s="955" t="s">
        <v>4620</v>
      </c>
      <c r="H149" s="960">
        <f>+NOMINA!H153</f>
        <v>39104</v>
      </c>
      <c r="I149" s="961">
        <f>+NOMINA!I153</f>
        <v>18</v>
      </c>
      <c r="J149" s="962">
        <f>+NOMINA!J153</f>
        <v>0</v>
      </c>
      <c r="K149" s="961">
        <f>+NOMINA!K153</f>
        <v>18</v>
      </c>
      <c r="L149" s="963">
        <f>+NOMINA!CA153</f>
        <v>6255</v>
      </c>
      <c r="M149" s="443" t="e">
        <f>#REF!+#REF!-#REF!</f>
        <v>#REF!</v>
      </c>
      <c r="N149" s="952" t="e">
        <f>ROUND((#REF!+#REF!+#REF!+#REF!+#REF!+#REF!+#REF!+#REF!),2)</f>
        <v>#REF!</v>
      </c>
      <c r="Q149" s="620" t="e">
        <f>SUM(#REF!)</f>
        <v>#REF!</v>
      </c>
      <c r="R149" s="953" t="e">
        <f>#REF!+#REF!-#REF!</f>
        <v>#REF!</v>
      </c>
      <c r="S149" s="954">
        <v>200</v>
      </c>
      <c r="T149" s="953" t="e">
        <f>#REF!+#REF!</f>
        <v>#REF!</v>
      </c>
      <c r="U149" s="954" t="e">
        <f>#REF!</f>
        <v>#REF!</v>
      </c>
      <c r="V149" s="955">
        <v>0</v>
      </c>
      <c r="W149" s="954" t="e">
        <f>#REF!</f>
        <v>#REF!</v>
      </c>
      <c r="X149" s="956" t="e">
        <f>#REF!+#REF!</f>
        <v>#REF!</v>
      </c>
      <c r="Y149" s="956" t="e">
        <f>#REF!+#REF!</f>
        <v>#REF!</v>
      </c>
      <c r="Z149" s="956"/>
      <c r="AA149" s="954" t="e">
        <f>#REF!</f>
        <v>#REF!</v>
      </c>
      <c r="AB149" s="954" t="e">
        <f t="shared" si="7"/>
        <v>#REF!</v>
      </c>
      <c r="AC149" s="954" t="e">
        <f>#REF!+#REF!</f>
        <v>#REF!</v>
      </c>
      <c r="AD149" s="954">
        <f t="shared" si="8"/>
        <v>6255</v>
      </c>
      <c r="AE149" s="625"/>
    </row>
    <row r="150" spans="1:31" s="620" customFormat="1" ht="18" customHeight="1" x14ac:dyDescent="0.2">
      <c r="A150" s="655" t="s">
        <v>2846</v>
      </c>
      <c r="B150" s="508">
        <f t="shared" si="9"/>
        <v>111</v>
      </c>
      <c r="C150" s="957">
        <f>+NOMINA!C154</f>
        <v>14929642</v>
      </c>
      <c r="D150" s="958" t="str">
        <f>+NOMINA!D154</f>
        <v>Alvarran Arjona Ismenia del Carmen</v>
      </c>
      <c r="E150" s="955" t="s">
        <v>4622</v>
      </c>
      <c r="F150" s="959">
        <v>27081</v>
      </c>
      <c r="G150" s="955" t="s">
        <v>4620</v>
      </c>
      <c r="H150" s="960">
        <f>+NOMINA!H154</f>
        <v>43419</v>
      </c>
      <c r="I150" s="961">
        <f>+NOMINA!I154</f>
        <v>6</v>
      </c>
      <c r="J150" s="962">
        <f>+NOMINA!J154</f>
        <v>0</v>
      </c>
      <c r="K150" s="961">
        <f>+NOMINA!K154</f>
        <v>6</v>
      </c>
      <c r="L150" s="963">
        <f>+NOMINA!CA154</f>
        <v>6255</v>
      </c>
      <c r="M150" s="443" t="e">
        <f>#REF!+#REF!-#REF!</f>
        <v>#REF!</v>
      </c>
      <c r="N150" s="952" t="e">
        <f>ROUND((#REF!+#REF!+#REF!+#REF!+#REF!+#REF!+#REF!+#REF!),2)</f>
        <v>#REF!</v>
      </c>
      <c r="Q150" s="620" t="e">
        <f>SUM(#REF!)</f>
        <v>#REF!</v>
      </c>
      <c r="R150" s="953" t="e">
        <f>#REF!+#REF!-#REF!</f>
        <v>#REF!</v>
      </c>
      <c r="S150" s="954">
        <v>200</v>
      </c>
      <c r="T150" s="953" t="e">
        <f>#REF!+#REF!</f>
        <v>#REF!</v>
      </c>
      <c r="U150" s="954" t="e">
        <f>#REF!</f>
        <v>#REF!</v>
      </c>
      <c r="V150" s="955">
        <v>0</v>
      </c>
      <c r="W150" s="954" t="e">
        <f>#REF!</f>
        <v>#REF!</v>
      </c>
      <c r="X150" s="956" t="e">
        <f>#REF!+#REF!</f>
        <v>#REF!</v>
      </c>
      <c r="Y150" s="956" t="e">
        <f>#REF!+#REF!</f>
        <v>#REF!</v>
      </c>
      <c r="Z150" s="956"/>
      <c r="AA150" s="954" t="e">
        <f>#REF!</f>
        <v>#REF!</v>
      </c>
      <c r="AB150" s="954" t="e">
        <f t="shared" si="7"/>
        <v>#REF!</v>
      </c>
      <c r="AC150" s="954" t="e">
        <f>#REF!+#REF!</f>
        <v>#REF!</v>
      </c>
      <c r="AD150" s="954">
        <f t="shared" si="8"/>
        <v>6255</v>
      </c>
      <c r="AE150" s="625"/>
    </row>
    <row r="151" spans="1:31" s="620" customFormat="1" ht="18" customHeight="1" x14ac:dyDescent="0.2">
      <c r="A151" s="655" t="s">
        <v>2846</v>
      </c>
      <c r="B151" s="508">
        <f t="shared" si="9"/>
        <v>112</v>
      </c>
      <c r="C151" s="957">
        <f>+NOMINA!C155</f>
        <v>14986675</v>
      </c>
      <c r="D151" s="958" t="str">
        <f>+NOMINA!D155</f>
        <v>Mecias Nuñez Shirly Ygnacia</v>
      </c>
      <c r="E151" s="955" t="s">
        <v>4622</v>
      </c>
      <c r="F151" s="959">
        <v>27081</v>
      </c>
      <c r="G151" s="955" t="s">
        <v>4620</v>
      </c>
      <c r="H151" s="960">
        <f>+NOMINA!H155</f>
        <v>44805</v>
      </c>
      <c r="I151" s="961">
        <f>+NOMINA!I155</f>
        <v>3</v>
      </c>
      <c r="J151" s="962">
        <f>+NOMINA!J155</f>
        <v>0</v>
      </c>
      <c r="K151" s="961">
        <f>+NOMINA!K155</f>
        <v>3</v>
      </c>
      <c r="L151" s="963">
        <f>+NOMINA!CA155</f>
        <v>6255</v>
      </c>
      <c r="M151" s="443" t="e">
        <f>#REF!+#REF!-#REF!</f>
        <v>#REF!</v>
      </c>
      <c r="N151" s="952" t="e">
        <f>ROUND((#REF!+#REF!+#REF!+#REF!+#REF!+#REF!+#REF!+#REF!),2)</f>
        <v>#REF!</v>
      </c>
      <c r="Q151" s="620" t="e">
        <f>SUM(#REF!)</f>
        <v>#REF!</v>
      </c>
      <c r="R151" s="953" t="e">
        <f>#REF!+#REF!-#REF!</f>
        <v>#REF!</v>
      </c>
      <c r="S151" s="954">
        <v>200</v>
      </c>
      <c r="T151" s="953" t="e">
        <f>#REF!+#REF!</f>
        <v>#REF!</v>
      </c>
      <c r="U151" s="954" t="e">
        <f>#REF!</f>
        <v>#REF!</v>
      </c>
      <c r="V151" s="955">
        <v>0</v>
      </c>
      <c r="W151" s="954" t="e">
        <f>#REF!</f>
        <v>#REF!</v>
      </c>
      <c r="X151" s="956" t="e">
        <f>#REF!+#REF!</f>
        <v>#REF!</v>
      </c>
      <c r="Y151" s="956" t="e">
        <f>#REF!+#REF!</f>
        <v>#REF!</v>
      </c>
      <c r="Z151" s="956"/>
      <c r="AA151" s="954" t="e">
        <f>#REF!</f>
        <v>#REF!</v>
      </c>
      <c r="AB151" s="954" t="e">
        <f t="shared" si="7"/>
        <v>#REF!</v>
      </c>
      <c r="AC151" s="954" t="e">
        <f>#REF!+#REF!</f>
        <v>#REF!</v>
      </c>
      <c r="AD151" s="954">
        <f t="shared" si="8"/>
        <v>6255</v>
      </c>
      <c r="AE151" s="625"/>
    </row>
    <row r="152" spans="1:31" s="620" customFormat="1" ht="18" customHeight="1" x14ac:dyDescent="0.2">
      <c r="A152" s="655" t="s">
        <v>2846</v>
      </c>
      <c r="B152" s="508">
        <f t="shared" si="9"/>
        <v>113</v>
      </c>
      <c r="C152" s="957">
        <f>+NOMINA!C156</f>
        <v>15188927</v>
      </c>
      <c r="D152" s="958" t="str">
        <f>+NOMINA!D156</f>
        <v>Linares Villarreal Rosmely del Carmen</v>
      </c>
      <c r="E152" s="955" t="s">
        <v>4622</v>
      </c>
      <c r="F152" s="959">
        <v>27081</v>
      </c>
      <c r="G152" s="955" t="s">
        <v>4620</v>
      </c>
      <c r="H152" s="960">
        <f>+NOMINA!H156</f>
        <v>44409</v>
      </c>
      <c r="I152" s="961">
        <f>+NOMINA!I156</f>
        <v>4</v>
      </c>
      <c r="J152" s="962">
        <f>+NOMINA!J156</f>
        <v>0</v>
      </c>
      <c r="K152" s="961">
        <f>+NOMINA!K156</f>
        <v>4</v>
      </c>
      <c r="L152" s="963">
        <f>+NOMINA!CA156</f>
        <v>6255</v>
      </c>
      <c r="M152" s="443" t="e">
        <f>#REF!+#REF!-#REF!</f>
        <v>#REF!</v>
      </c>
      <c r="N152" s="952" t="e">
        <f>ROUND((#REF!+#REF!+#REF!+#REF!+#REF!+#REF!+#REF!+#REF!),2)</f>
        <v>#REF!</v>
      </c>
      <c r="Q152" s="620" t="e">
        <f>SUM(#REF!)</f>
        <v>#REF!</v>
      </c>
      <c r="R152" s="953" t="e">
        <f>#REF!+#REF!-#REF!</f>
        <v>#REF!</v>
      </c>
      <c r="S152" s="954">
        <v>200</v>
      </c>
      <c r="T152" s="953" t="e">
        <f>#REF!+#REF!</f>
        <v>#REF!</v>
      </c>
      <c r="U152" s="954" t="e">
        <f>#REF!</f>
        <v>#REF!</v>
      </c>
      <c r="V152" s="955">
        <v>0</v>
      </c>
      <c r="W152" s="954" t="e">
        <f>#REF!</f>
        <v>#REF!</v>
      </c>
      <c r="X152" s="956" t="e">
        <f>#REF!+#REF!</f>
        <v>#REF!</v>
      </c>
      <c r="Y152" s="956" t="e">
        <f>#REF!+#REF!</f>
        <v>#REF!</v>
      </c>
      <c r="Z152" s="956"/>
      <c r="AA152" s="954" t="e">
        <f>#REF!</f>
        <v>#REF!</v>
      </c>
      <c r="AB152" s="954" t="e">
        <f t="shared" si="7"/>
        <v>#REF!</v>
      </c>
      <c r="AC152" s="954" t="e">
        <f>#REF!+#REF!</f>
        <v>#REF!</v>
      </c>
      <c r="AD152" s="954">
        <f t="shared" si="8"/>
        <v>6255</v>
      </c>
      <c r="AE152" s="625"/>
    </row>
    <row r="153" spans="1:31" s="620" customFormat="1" ht="18" customHeight="1" x14ac:dyDescent="0.2">
      <c r="A153" s="655" t="s">
        <v>2846</v>
      </c>
      <c r="B153" s="508">
        <f t="shared" si="9"/>
        <v>114</v>
      </c>
      <c r="C153" s="957">
        <f>+NOMINA!C157</f>
        <v>15560762</v>
      </c>
      <c r="D153" s="958" t="str">
        <f>+NOMINA!D157</f>
        <v>Villalobos Javier Jose</v>
      </c>
      <c r="E153" s="955" t="s">
        <v>4622</v>
      </c>
      <c r="F153" s="959">
        <v>27081</v>
      </c>
      <c r="G153" s="955" t="s">
        <v>4620</v>
      </c>
      <c r="H153" s="960">
        <f>+NOMINA!H157</f>
        <v>45474</v>
      </c>
      <c r="I153" s="961">
        <f>+NOMINA!I157</f>
        <v>1</v>
      </c>
      <c r="J153" s="962">
        <f>+NOMINA!J157</f>
        <v>0</v>
      </c>
      <c r="K153" s="961">
        <f>+NOMINA!K157</f>
        <v>1</v>
      </c>
      <c r="L153" s="963">
        <f>+NOMINA!CA157</f>
        <v>6255</v>
      </c>
      <c r="M153" s="443" t="e">
        <f>#REF!+#REF!-#REF!</f>
        <v>#REF!</v>
      </c>
      <c r="N153" s="952" t="e">
        <f>ROUND((#REF!+#REF!+#REF!+#REF!+#REF!+#REF!+#REF!+#REF!),2)</f>
        <v>#REF!</v>
      </c>
      <c r="Q153" s="620" t="e">
        <f>SUM(#REF!)</f>
        <v>#REF!</v>
      </c>
      <c r="R153" s="953" t="e">
        <f>#REF!+#REF!-#REF!</f>
        <v>#REF!</v>
      </c>
      <c r="S153" s="954">
        <v>200</v>
      </c>
      <c r="T153" s="953" t="e">
        <f>#REF!+#REF!</f>
        <v>#REF!</v>
      </c>
      <c r="U153" s="954" t="e">
        <f>#REF!</f>
        <v>#REF!</v>
      </c>
      <c r="V153" s="955">
        <v>0</v>
      </c>
      <c r="W153" s="954" t="e">
        <f>#REF!</f>
        <v>#REF!</v>
      </c>
      <c r="X153" s="956" t="e">
        <f>#REF!+#REF!</f>
        <v>#REF!</v>
      </c>
      <c r="Y153" s="956" t="e">
        <f>#REF!+#REF!</f>
        <v>#REF!</v>
      </c>
      <c r="Z153" s="956"/>
      <c r="AA153" s="954" t="e">
        <f>#REF!</f>
        <v>#REF!</v>
      </c>
      <c r="AB153" s="954" t="e">
        <f t="shared" si="7"/>
        <v>#REF!</v>
      </c>
      <c r="AC153" s="954" t="e">
        <f>#REF!+#REF!</f>
        <v>#REF!</v>
      </c>
      <c r="AD153" s="954">
        <f t="shared" si="8"/>
        <v>6255</v>
      </c>
      <c r="AE153" s="625"/>
    </row>
    <row r="154" spans="1:31" s="620" customFormat="1" ht="18" customHeight="1" x14ac:dyDescent="0.2">
      <c r="A154" s="655" t="s">
        <v>2846</v>
      </c>
      <c r="B154" s="508">
        <f t="shared" si="9"/>
        <v>115</v>
      </c>
      <c r="C154" s="957">
        <f>+NOMINA!C158</f>
        <v>15583745</v>
      </c>
      <c r="D154" s="958" t="str">
        <f>+NOMINA!D158</f>
        <v>Briceño Araujo Alexander Javier</v>
      </c>
      <c r="E154" s="955" t="s">
        <v>4622</v>
      </c>
      <c r="F154" s="959">
        <v>27081</v>
      </c>
      <c r="G154" s="955" t="s">
        <v>4620</v>
      </c>
      <c r="H154" s="960">
        <f>+NOMINA!H158</f>
        <v>43481</v>
      </c>
      <c r="I154" s="961">
        <f>+NOMINA!I158</f>
        <v>6</v>
      </c>
      <c r="J154" s="962">
        <f>+NOMINA!J158</f>
        <v>0</v>
      </c>
      <c r="K154" s="961">
        <f>+NOMINA!K158</f>
        <v>6</v>
      </c>
      <c r="L154" s="963">
        <f>+NOMINA!CA158</f>
        <v>6255</v>
      </c>
      <c r="M154" s="443" t="e">
        <f>#REF!+#REF!-#REF!</f>
        <v>#REF!</v>
      </c>
      <c r="N154" s="952" t="e">
        <f>ROUND((#REF!+#REF!+#REF!+#REF!+#REF!+#REF!+#REF!+#REF!),2)</f>
        <v>#REF!</v>
      </c>
      <c r="Q154" s="620" t="e">
        <f>SUM(#REF!)</f>
        <v>#REF!</v>
      </c>
      <c r="R154" s="953" t="e">
        <f>#REF!+#REF!-#REF!</f>
        <v>#REF!</v>
      </c>
      <c r="S154" s="954">
        <v>200</v>
      </c>
      <c r="T154" s="953" t="e">
        <f>#REF!+#REF!</f>
        <v>#REF!</v>
      </c>
      <c r="U154" s="954" t="e">
        <f>#REF!</f>
        <v>#REF!</v>
      </c>
      <c r="V154" s="955">
        <v>0</v>
      </c>
      <c r="W154" s="954" t="e">
        <f>#REF!</f>
        <v>#REF!</v>
      </c>
      <c r="X154" s="956" t="e">
        <f>#REF!+#REF!</f>
        <v>#REF!</v>
      </c>
      <c r="Y154" s="956" t="e">
        <f>#REF!+#REF!</f>
        <v>#REF!</v>
      </c>
      <c r="Z154" s="956"/>
      <c r="AA154" s="954" t="e">
        <f>#REF!</f>
        <v>#REF!</v>
      </c>
      <c r="AB154" s="954" t="e">
        <f t="shared" si="7"/>
        <v>#REF!</v>
      </c>
      <c r="AC154" s="954" t="e">
        <f>#REF!+#REF!</f>
        <v>#REF!</v>
      </c>
      <c r="AD154" s="954">
        <f t="shared" si="8"/>
        <v>6255</v>
      </c>
      <c r="AE154" s="625"/>
    </row>
    <row r="155" spans="1:31" s="620" customFormat="1" ht="18" customHeight="1" x14ac:dyDescent="0.2">
      <c r="A155" s="655" t="s">
        <v>2846</v>
      </c>
      <c r="B155" s="508">
        <f t="shared" si="9"/>
        <v>116</v>
      </c>
      <c r="C155" s="957">
        <f>+NOMINA!C159</f>
        <v>15588470</v>
      </c>
      <c r="D155" s="958" t="str">
        <f>+NOMINA!D159</f>
        <v>Briceño Lozada Maraiby Coromoto</v>
      </c>
      <c r="E155" s="955" t="s">
        <v>4622</v>
      </c>
      <c r="F155" s="959">
        <v>27081</v>
      </c>
      <c r="G155" s="955" t="s">
        <v>4620</v>
      </c>
      <c r="H155" s="960">
        <f>+NOMINA!H159</f>
        <v>39098</v>
      </c>
      <c r="I155" s="961">
        <f>+NOMINA!I159</f>
        <v>18</v>
      </c>
      <c r="J155" s="962">
        <f>+NOMINA!J159</f>
        <v>0</v>
      </c>
      <c r="K155" s="961">
        <f>+NOMINA!K159</f>
        <v>18</v>
      </c>
      <c r="L155" s="963">
        <f>+NOMINA!CA159</f>
        <v>6255</v>
      </c>
      <c r="M155" s="443" t="e">
        <f>#REF!+#REF!-#REF!</f>
        <v>#REF!</v>
      </c>
      <c r="N155" s="952" t="e">
        <f>ROUND((#REF!+#REF!+#REF!+#REF!+#REF!+#REF!+#REF!+#REF!),2)</f>
        <v>#REF!</v>
      </c>
      <c r="Q155" s="620" t="e">
        <f>SUM(#REF!)</f>
        <v>#REF!</v>
      </c>
      <c r="R155" s="953" t="e">
        <f>#REF!+#REF!-#REF!</f>
        <v>#REF!</v>
      </c>
      <c r="S155" s="954">
        <v>200</v>
      </c>
      <c r="T155" s="953" t="e">
        <f>#REF!+#REF!</f>
        <v>#REF!</v>
      </c>
      <c r="U155" s="954" t="e">
        <f>#REF!</f>
        <v>#REF!</v>
      </c>
      <c r="V155" s="955">
        <v>0</v>
      </c>
      <c r="W155" s="954" t="e">
        <f>#REF!</f>
        <v>#REF!</v>
      </c>
      <c r="X155" s="956" t="e">
        <f>#REF!+#REF!</f>
        <v>#REF!</v>
      </c>
      <c r="Y155" s="956" t="e">
        <f>#REF!+#REF!</f>
        <v>#REF!</v>
      </c>
      <c r="Z155" s="956"/>
      <c r="AA155" s="954" t="e">
        <f>#REF!</f>
        <v>#REF!</v>
      </c>
      <c r="AB155" s="954" t="e">
        <f t="shared" si="7"/>
        <v>#REF!</v>
      </c>
      <c r="AC155" s="954" t="e">
        <f>#REF!+#REF!</f>
        <v>#REF!</v>
      </c>
      <c r="AD155" s="954">
        <f t="shared" si="8"/>
        <v>6255</v>
      </c>
      <c r="AE155" s="625"/>
    </row>
    <row r="156" spans="1:31" s="620" customFormat="1" ht="18" customHeight="1" x14ac:dyDescent="0.2">
      <c r="A156" s="655" t="s">
        <v>2846</v>
      </c>
      <c r="B156" s="508">
        <f t="shared" si="9"/>
        <v>117</v>
      </c>
      <c r="C156" s="957">
        <f>+NOMINA!C160</f>
        <v>15752048</v>
      </c>
      <c r="D156" s="958" t="str">
        <f>+NOMINA!D160</f>
        <v>Briceño Rangel Sudney Dayan</v>
      </c>
      <c r="E156" s="955" t="s">
        <v>4622</v>
      </c>
      <c r="F156" s="959">
        <v>27081</v>
      </c>
      <c r="G156" s="955" t="s">
        <v>4620</v>
      </c>
      <c r="H156" s="960">
        <f>+NOMINA!H160</f>
        <v>39679</v>
      </c>
      <c r="I156" s="961">
        <f>+NOMINA!I160</f>
        <v>17</v>
      </c>
      <c r="J156" s="962">
        <f>+NOMINA!J160</f>
        <v>0</v>
      </c>
      <c r="K156" s="961">
        <f>+NOMINA!K160</f>
        <v>17</v>
      </c>
      <c r="L156" s="963">
        <f>+NOMINA!CA160</f>
        <v>6255</v>
      </c>
      <c r="M156" s="443" t="e">
        <f>#REF!+#REF!-#REF!</f>
        <v>#REF!</v>
      </c>
      <c r="N156" s="952" t="e">
        <f>ROUND((#REF!+#REF!+#REF!+#REF!+#REF!+#REF!+#REF!+#REF!),2)</f>
        <v>#REF!</v>
      </c>
      <c r="Q156" s="620" t="e">
        <f>SUM(#REF!)</f>
        <v>#REF!</v>
      </c>
      <c r="R156" s="953" t="e">
        <f>#REF!+#REF!-#REF!</f>
        <v>#REF!</v>
      </c>
      <c r="S156" s="954">
        <v>200</v>
      </c>
      <c r="T156" s="953" t="e">
        <f>#REF!+#REF!</f>
        <v>#REF!</v>
      </c>
      <c r="U156" s="954" t="e">
        <f>#REF!</f>
        <v>#REF!</v>
      </c>
      <c r="V156" s="955">
        <v>0</v>
      </c>
      <c r="W156" s="954" t="e">
        <f>#REF!</f>
        <v>#REF!</v>
      </c>
      <c r="X156" s="956" t="e">
        <f>#REF!+#REF!</f>
        <v>#REF!</v>
      </c>
      <c r="Y156" s="956" t="e">
        <f>#REF!+#REF!</f>
        <v>#REF!</v>
      </c>
      <c r="Z156" s="956"/>
      <c r="AA156" s="954" t="e">
        <f>#REF!</f>
        <v>#REF!</v>
      </c>
      <c r="AB156" s="954" t="e">
        <f t="shared" si="7"/>
        <v>#REF!</v>
      </c>
      <c r="AC156" s="954" t="e">
        <f>#REF!+#REF!</f>
        <v>#REF!</v>
      </c>
      <c r="AD156" s="954">
        <f t="shared" si="8"/>
        <v>6255</v>
      </c>
      <c r="AE156" s="625"/>
    </row>
    <row r="157" spans="1:31" s="620" customFormat="1" ht="18" customHeight="1" x14ac:dyDescent="0.2">
      <c r="A157" s="655" t="s">
        <v>2846</v>
      </c>
      <c r="B157" s="508">
        <f t="shared" si="9"/>
        <v>118</v>
      </c>
      <c r="C157" s="957">
        <f>+NOMINA!C161</f>
        <v>15752183</v>
      </c>
      <c r="D157" s="958" t="str">
        <f>+NOMINA!D161</f>
        <v>Delduca Adriana del Valle</v>
      </c>
      <c r="E157" s="955" t="s">
        <v>4622</v>
      </c>
      <c r="F157" s="959">
        <v>27081</v>
      </c>
      <c r="G157" s="955" t="s">
        <v>4620</v>
      </c>
      <c r="H157" s="960">
        <f>+NOMINA!H161</f>
        <v>38930</v>
      </c>
      <c r="I157" s="961">
        <f>+NOMINA!I161</f>
        <v>19</v>
      </c>
      <c r="J157" s="962">
        <f>+NOMINA!J161</f>
        <v>0</v>
      </c>
      <c r="K157" s="961">
        <f>+NOMINA!K161</f>
        <v>19</v>
      </c>
      <c r="L157" s="963">
        <f>+NOMINA!CA161</f>
        <v>0</v>
      </c>
      <c r="M157" s="443" t="e">
        <f>#REF!+#REF!-#REF!</f>
        <v>#REF!</v>
      </c>
      <c r="N157" s="952" t="e">
        <f>ROUND((#REF!+#REF!+#REF!+#REF!+#REF!+#REF!+#REF!+#REF!),2)</f>
        <v>#REF!</v>
      </c>
      <c r="Q157" s="620" t="e">
        <f>SUM(#REF!)</f>
        <v>#REF!</v>
      </c>
      <c r="R157" s="953" t="e">
        <f>#REF!+#REF!-#REF!</f>
        <v>#REF!</v>
      </c>
      <c r="S157" s="954">
        <v>200</v>
      </c>
      <c r="T157" s="953" t="e">
        <f>#REF!+#REF!</f>
        <v>#REF!</v>
      </c>
      <c r="U157" s="954" t="e">
        <f>#REF!</f>
        <v>#REF!</v>
      </c>
      <c r="V157" s="955">
        <v>0</v>
      </c>
      <c r="W157" s="954" t="e">
        <f>#REF!</f>
        <v>#REF!</v>
      </c>
      <c r="X157" s="956" t="e">
        <f>#REF!+#REF!</f>
        <v>#REF!</v>
      </c>
      <c r="Y157" s="956" t="e">
        <f>#REF!+#REF!</f>
        <v>#REF!</v>
      </c>
      <c r="Z157" s="956"/>
      <c r="AA157" s="954" t="e">
        <f>#REF!</f>
        <v>#REF!</v>
      </c>
      <c r="AB157" s="954" t="e">
        <f t="shared" si="7"/>
        <v>#REF!</v>
      </c>
      <c r="AC157" s="954" t="e">
        <f>#REF!+#REF!</f>
        <v>#REF!</v>
      </c>
      <c r="AD157" s="954">
        <f t="shared" si="8"/>
        <v>0</v>
      </c>
      <c r="AE157" s="625"/>
    </row>
    <row r="158" spans="1:31" s="620" customFormat="1" ht="18" customHeight="1" x14ac:dyDescent="0.2">
      <c r="A158" s="655" t="s">
        <v>2846</v>
      </c>
      <c r="B158" s="508">
        <f t="shared" si="9"/>
        <v>119</v>
      </c>
      <c r="C158" s="957">
        <f>+NOMINA!C162</f>
        <v>15752386</v>
      </c>
      <c r="D158" s="958" t="str">
        <f>+NOMINA!D162</f>
        <v>Villegas Gonzalez Mileide Karine</v>
      </c>
      <c r="E158" s="955" t="s">
        <v>4622</v>
      </c>
      <c r="F158" s="959">
        <v>27081</v>
      </c>
      <c r="G158" s="955" t="s">
        <v>4620</v>
      </c>
      <c r="H158" s="960">
        <f>+NOMINA!H162</f>
        <v>38930</v>
      </c>
      <c r="I158" s="961">
        <f>+NOMINA!I162</f>
        <v>19</v>
      </c>
      <c r="J158" s="962">
        <f>+NOMINA!J162</f>
        <v>0</v>
      </c>
      <c r="K158" s="961">
        <f>+NOMINA!K162</f>
        <v>19</v>
      </c>
      <c r="L158" s="963">
        <f>+NOMINA!CA162</f>
        <v>6255</v>
      </c>
      <c r="M158" s="443" t="e">
        <f>#REF!+#REF!-#REF!</f>
        <v>#REF!</v>
      </c>
      <c r="N158" s="952" t="e">
        <f>ROUND((#REF!+#REF!+#REF!+#REF!+#REF!+#REF!+#REF!+#REF!),2)</f>
        <v>#REF!</v>
      </c>
      <c r="Q158" s="620" t="e">
        <f>SUM(#REF!)</f>
        <v>#REF!</v>
      </c>
      <c r="R158" s="953" t="e">
        <f>#REF!+#REF!-#REF!</f>
        <v>#REF!</v>
      </c>
      <c r="S158" s="954">
        <v>200</v>
      </c>
      <c r="T158" s="953" t="e">
        <f>#REF!+#REF!</f>
        <v>#REF!</v>
      </c>
      <c r="U158" s="954" t="e">
        <f>#REF!</f>
        <v>#REF!</v>
      </c>
      <c r="V158" s="955">
        <v>0</v>
      </c>
      <c r="W158" s="954" t="e">
        <f>#REF!</f>
        <v>#REF!</v>
      </c>
      <c r="X158" s="956" t="e">
        <f>#REF!+#REF!</f>
        <v>#REF!</v>
      </c>
      <c r="Y158" s="956" t="e">
        <f>#REF!+#REF!</f>
        <v>#REF!</v>
      </c>
      <c r="Z158" s="956"/>
      <c r="AA158" s="954" t="e">
        <f>#REF!</f>
        <v>#REF!</v>
      </c>
      <c r="AB158" s="954" t="e">
        <f t="shared" ref="AB158:AB221" si="10">SUM(T158:AA158)</f>
        <v>#REF!</v>
      </c>
      <c r="AC158" s="954" t="e">
        <f>#REF!+#REF!</f>
        <v>#REF!</v>
      </c>
      <c r="AD158" s="954">
        <f t="shared" si="8"/>
        <v>6255</v>
      </c>
      <c r="AE158" s="625"/>
    </row>
    <row r="159" spans="1:31" s="620" customFormat="1" ht="18" customHeight="1" x14ac:dyDescent="0.2">
      <c r="A159" s="655" t="s">
        <v>2846</v>
      </c>
      <c r="B159" s="508">
        <f t="shared" si="9"/>
        <v>120</v>
      </c>
      <c r="C159" s="957">
        <f>+NOMINA!C163</f>
        <v>15752435</v>
      </c>
      <c r="D159" s="958" t="str">
        <f>+NOMINA!D163</f>
        <v>Gonzalez de Sayago Damarys Coromoto</v>
      </c>
      <c r="E159" s="955" t="s">
        <v>4622</v>
      </c>
      <c r="F159" s="959">
        <v>27081</v>
      </c>
      <c r="G159" s="955" t="s">
        <v>4620</v>
      </c>
      <c r="H159" s="960">
        <f>+NOMINA!H163</f>
        <v>38930</v>
      </c>
      <c r="I159" s="961">
        <f>+NOMINA!I163</f>
        <v>19</v>
      </c>
      <c r="J159" s="962">
        <f>+NOMINA!J163</f>
        <v>0</v>
      </c>
      <c r="K159" s="961">
        <f>+NOMINA!K163</f>
        <v>19</v>
      </c>
      <c r="L159" s="963">
        <f>+NOMINA!CA163</f>
        <v>6255</v>
      </c>
      <c r="M159" s="443" t="e">
        <f>#REF!+#REF!-#REF!</f>
        <v>#REF!</v>
      </c>
      <c r="N159" s="952" t="e">
        <f>ROUND((#REF!+#REF!+#REF!+#REF!+#REF!+#REF!+#REF!+#REF!),2)</f>
        <v>#REF!</v>
      </c>
      <c r="Q159" s="620" t="e">
        <f>SUM(#REF!)</f>
        <v>#REF!</v>
      </c>
      <c r="R159" s="953" t="e">
        <f>#REF!+#REF!-#REF!</f>
        <v>#REF!</v>
      </c>
      <c r="S159" s="954">
        <v>200</v>
      </c>
      <c r="T159" s="953" t="e">
        <f>#REF!+#REF!</f>
        <v>#REF!</v>
      </c>
      <c r="U159" s="954" t="e">
        <f>#REF!</f>
        <v>#REF!</v>
      </c>
      <c r="V159" s="955">
        <v>0</v>
      </c>
      <c r="W159" s="954" t="e">
        <f>#REF!</f>
        <v>#REF!</v>
      </c>
      <c r="X159" s="956" t="e">
        <f>#REF!+#REF!</f>
        <v>#REF!</v>
      </c>
      <c r="Y159" s="956" t="e">
        <f>#REF!+#REF!</f>
        <v>#REF!</v>
      </c>
      <c r="Z159" s="956"/>
      <c r="AA159" s="954" t="e">
        <f>#REF!</f>
        <v>#REF!</v>
      </c>
      <c r="AB159" s="954" t="e">
        <f t="shared" si="10"/>
        <v>#REF!</v>
      </c>
      <c r="AC159" s="954" t="e">
        <f>#REF!+#REF!</f>
        <v>#REF!</v>
      </c>
      <c r="AD159" s="954">
        <f t="shared" si="8"/>
        <v>6255</v>
      </c>
      <c r="AE159" s="625"/>
    </row>
    <row r="160" spans="1:31" s="620" customFormat="1" ht="18" customHeight="1" x14ac:dyDescent="0.2">
      <c r="A160" s="655" t="s">
        <v>2846</v>
      </c>
      <c r="B160" s="508">
        <f t="shared" si="9"/>
        <v>121</v>
      </c>
      <c r="C160" s="957">
        <f>+NOMINA!C164</f>
        <v>15780354</v>
      </c>
      <c r="D160" s="958" t="str">
        <f>+NOMINA!D164</f>
        <v>Yndriago Blanco Lismiley Andreina</v>
      </c>
      <c r="E160" s="955" t="s">
        <v>4622</v>
      </c>
      <c r="F160" s="959">
        <v>27081</v>
      </c>
      <c r="G160" s="955" t="s">
        <v>4620</v>
      </c>
      <c r="H160" s="960">
        <f>+NOMINA!H164</f>
        <v>44409</v>
      </c>
      <c r="I160" s="961">
        <f>+NOMINA!I164</f>
        <v>4</v>
      </c>
      <c r="J160" s="962">
        <f>+NOMINA!J164</f>
        <v>0</v>
      </c>
      <c r="K160" s="961">
        <f>+NOMINA!K164</f>
        <v>4</v>
      </c>
      <c r="L160" s="963">
        <f>+NOMINA!CA164</f>
        <v>6255</v>
      </c>
      <c r="M160" s="443" t="e">
        <f>#REF!+#REF!-#REF!</f>
        <v>#REF!</v>
      </c>
      <c r="N160" s="952" t="e">
        <f>ROUND((#REF!+#REF!+#REF!+#REF!+#REF!+#REF!+#REF!+#REF!),2)</f>
        <v>#REF!</v>
      </c>
      <c r="Q160" s="620" t="e">
        <f>SUM(#REF!)</f>
        <v>#REF!</v>
      </c>
      <c r="R160" s="953" t="e">
        <f>#REF!+#REF!-#REF!</f>
        <v>#REF!</v>
      </c>
      <c r="S160" s="954">
        <v>200</v>
      </c>
      <c r="T160" s="953" t="e">
        <f>#REF!+#REF!</f>
        <v>#REF!</v>
      </c>
      <c r="U160" s="954" t="e">
        <f>#REF!</f>
        <v>#REF!</v>
      </c>
      <c r="V160" s="955">
        <v>0</v>
      </c>
      <c r="W160" s="954" t="e">
        <f>#REF!</f>
        <v>#REF!</v>
      </c>
      <c r="X160" s="956" t="e">
        <f>#REF!+#REF!</f>
        <v>#REF!</v>
      </c>
      <c r="Y160" s="956" t="e">
        <f>#REF!+#REF!</f>
        <v>#REF!</v>
      </c>
      <c r="Z160" s="956"/>
      <c r="AA160" s="954" t="e">
        <f>#REF!</f>
        <v>#REF!</v>
      </c>
      <c r="AB160" s="954" t="e">
        <f t="shared" si="10"/>
        <v>#REF!</v>
      </c>
      <c r="AC160" s="954" t="e">
        <f>#REF!+#REF!</f>
        <v>#REF!</v>
      </c>
      <c r="AD160" s="954">
        <f t="shared" si="8"/>
        <v>6255</v>
      </c>
      <c r="AE160" s="625"/>
    </row>
    <row r="161" spans="1:31" s="620" customFormat="1" ht="18" customHeight="1" x14ac:dyDescent="0.2">
      <c r="A161" s="655" t="s">
        <v>2846</v>
      </c>
      <c r="B161" s="508">
        <f t="shared" si="9"/>
        <v>122</v>
      </c>
      <c r="C161" s="957">
        <f>+NOMINA!C165</f>
        <v>15824548</v>
      </c>
      <c r="D161" s="958" t="str">
        <f>+NOMINA!D165</f>
        <v>Moreno Maria Angelica</v>
      </c>
      <c r="E161" s="955" t="s">
        <v>4622</v>
      </c>
      <c r="F161" s="959">
        <v>27081</v>
      </c>
      <c r="G161" s="955" t="s">
        <v>4620</v>
      </c>
      <c r="H161" s="960">
        <f>+NOMINA!H165</f>
        <v>44317</v>
      </c>
      <c r="I161" s="961">
        <f>+NOMINA!I165</f>
        <v>4</v>
      </c>
      <c r="J161" s="962">
        <f>+NOMINA!J165</f>
        <v>0</v>
      </c>
      <c r="K161" s="961">
        <f>+NOMINA!K165</f>
        <v>4</v>
      </c>
      <c r="L161" s="963">
        <f>+NOMINA!CA165</f>
        <v>6255</v>
      </c>
      <c r="M161" s="443" t="e">
        <f>#REF!+#REF!-#REF!</f>
        <v>#REF!</v>
      </c>
      <c r="N161" s="952" t="e">
        <f>ROUND((#REF!+#REF!+#REF!+#REF!+#REF!+#REF!+#REF!+#REF!),2)</f>
        <v>#REF!</v>
      </c>
      <c r="Q161" s="620" t="e">
        <f>SUM(#REF!)</f>
        <v>#REF!</v>
      </c>
      <c r="R161" s="953" t="e">
        <f>#REF!+#REF!-#REF!</f>
        <v>#REF!</v>
      </c>
      <c r="S161" s="954">
        <v>200</v>
      </c>
      <c r="T161" s="953" t="e">
        <f>#REF!+#REF!</f>
        <v>#REF!</v>
      </c>
      <c r="U161" s="954" t="e">
        <f>#REF!</f>
        <v>#REF!</v>
      </c>
      <c r="V161" s="955">
        <v>0</v>
      </c>
      <c r="W161" s="954" t="e">
        <f>#REF!</f>
        <v>#REF!</v>
      </c>
      <c r="X161" s="956" t="e">
        <f>#REF!+#REF!</f>
        <v>#REF!</v>
      </c>
      <c r="Y161" s="956" t="e">
        <f>#REF!+#REF!</f>
        <v>#REF!</v>
      </c>
      <c r="Z161" s="956"/>
      <c r="AA161" s="954" t="e">
        <f>#REF!</f>
        <v>#REF!</v>
      </c>
      <c r="AB161" s="954" t="e">
        <f t="shared" si="10"/>
        <v>#REF!</v>
      </c>
      <c r="AC161" s="954" t="e">
        <f>#REF!+#REF!</f>
        <v>#REF!</v>
      </c>
      <c r="AD161" s="954">
        <f t="shared" si="8"/>
        <v>6255</v>
      </c>
      <c r="AE161" s="625"/>
    </row>
    <row r="162" spans="1:31" s="620" customFormat="1" ht="18" customHeight="1" x14ac:dyDescent="0.2">
      <c r="A162" s="655" t="s">
        <v>2846</v>
      </c>
      <c r="B162" s="508">
        <f t="shared" si="9"/>
        <v>123</v>
      </c>
      <c r="C162" s="957">
        <f>+NOMINA!C166</f>
        <v>15904692</v>
      </c>
      <c r="D162" s="958" t="str">
        <f>+NOMINA!D166</f>
        <v>Sifontes Sosa Mayulis Dayana</v>
      </c>
      <c r="E162" s="955" t="s">
        <v>4622</v>
      </c>
      <c r="F162" s="959">
        <v>27081</v>
      </c>
      <c r="G162" s="955" t="s">
        <v>4620</v>
      </c>
      <c r="H162" s="960">
        <f>+NOMINA!H166</f>
        <v>39756</v>
      </c>
      <c r="I162" s="961">
        <f>+NOMINA!I166</f>
        <v>16</v>
      </c>
      <c r="J162" s="962">
        <f>+NOMINA!J166</f>
        <v>0</v>
      </c>
      <c r="K162" s="961">
        <f>+NOMINA!K166</f>
        <v>16</v>
      </c>
      <c r="L162" s="963">
        <f>+NOMINA!CA166</f>
        <v>6255</v>
      </c>
      <c r="M162" s="443" t="e">
        <f>#REF!+#REF!-#REF!</f>
        <v>#REF!</v>
      </c>
      <c r="N162" s="952" t="e">
        <f>ROUND((#REF!+#REF!+#REF!+#REF!+#REF!+#REF!+#REF!+#REF!),2)</f>
        <v>#REF!</v>
      </c>
      <c r="Q162" s="620" t="e">
        <f>SUM(#REF!)</f>
        <v>#REF!</v>
      </c>
      <c r="R162" s="953" t="e">
        <f>#REF!+#REF!-#REF!</f>
        <v>#REF!</v>
      </c>
      <c r="S162" s="954">
        <v>200</v>
      </c>
      <c r="T162" s="953" t="e">
        <f>#REF!+#REF!</f>
        <v>#REF!</v>
      </c>
      <c r="U162" s="954" t="e">
        <f>#REF!</f>
        <v>#REF!</v>
      </c>
      <c r="V162" s="955">
        <v>0</v>
      </c>
      <c r="W162" s="954" t="e">
        <f>#REF!</f>
        <v>#REF!</v>
      </c>
      <c r="X162" s="956" t="e">
        <f>#REF!+#REF!</f>
        <v>#REF!</v>
      </c>
      <c r="Y162" s="956" t="e">
        <f>#REF!+#REF!</f>
        <v>#REF!</v>
      </c>
      <c r="Z162" s="956"/>
      <c r="AA162" s="954" t="e">
        <f>#REF!</f>
        <v>#REF!</v>
      </c>
      <c r="AB162" s="954" t="e">
        <f t="shared" si="10"/>
        <v>#REF!</v>
      </c>
      <c r="AC162" s="954" t="e">
        <f>#REF!+#REF!</f>
        <v>#REF!</v>
      </c>
      <c r="AD162" s="954">
        <f t="shared" si="8"/>
        <v>6255</v>
      </c>
      <c r="AE162" s="625"/>
    </row>
    <row r="163" spans="1:31" s="620" customFormat="1" ht="18" customHeight="1" x14ac:dyDescent="0.2">
      <c r="A163" s="655" t="s">
        <v>2846</v>
      </c>
      <c r="B163" s="508">
        <f t="shared" si="9"/>
        <v>124</v>
      </c>
      <c r="C163" s="957">
        <f>+NOMINA!C167</f>
        <v>16015833</v>
      </c>
      <c r="D163" s="958" t="str">
        <f>+NOMINA!D167</f>
        <v>Briceño Doris Elena</v>
      </c>
      <c r="E163" s="955" t="s">
        <v>4622</v>
      </c>
      <c r="F163" s="959">
        <v>27081</v>
      </c>
      <c r="G163" s="955" t="s">
        <v>4620</v>
      </c>
      <c r="H163" s="960">
        <f>+NOMINA!H167</f>
        <v>42948</v>
      </c>
      <c r="I163" s="961">
        <f>+NOMINA!I167</f>
        <v>8</v>
      </c>
      <c r="J163" s="962">
        <f>+NOMINA!J167</f>
        <v>0</v>
      </c>
      <c r="K163" s="961">
        <f>+NOMINA!K167</f>
        <v>8</v>
      </c>
      <c r="L163" s="963">
        <f>+NOMINA!CA167</f>
        <v>6255</v>
      </c>
      <c r="M163" s="443" t="e">
        <f>#REF!+#REF!-#REF!</f>
        <v>#REF!</v>
      </c>
      <c r="N163" s="952" t="e">
        <f>ROUND((#REF!+#REF!+#REF!+#REF!+#REF!+#REF!+#REF!+#REF!),2)</f>
        <v>#REF!</v>
      </c>
      <c r="Q163" s="620" t="e">
        <f>SUM(#REF!)</f>
        <v>#REF!</v>
      </c>
      <c r="R163" s="953" t="e">
        <f>#REF!+#REF!-#REF!</f>
        <v>#REF!</v>
      </c>
      <c r="S163" s="954">
        <v>200</v>
      </c>
      <c r="T163" s="953" t="e">
        <f>#REF!+#REF!</f>
        <v>#REF!</v>
      </c>
      <c r="U163" s="954" t="e">
        <f>#REF!</f>
        <v>#REF!</v>
      </c>
      <c r="V163" s="955">
        <v>0</v>
      </c>
      <c r="W163" s="954" t="e">
        <f>#REF!</f>
        <v>#REF!</v>
      </c>
      <c r="X163" s="956" t="e">
        <f>#REF!+#REF!</f>
        <v>#REF!</v>
      </c>
      <c r="Y163" s="956" t="e">
        <f>#REF!+#REF!</f>
        <v>#REF!</v>
      </c>
      <c r="Z163" s="956"/>
      <c r="AA163" s="954" t="e">
        <f>#REF!</f>
        <v>#REF!</v>
      </c>
      <c r="AB163" s="954" t="e">
        <f t="shared" si="10"/>
        <v>#REF!</v>
      </c>
      <c r="AC163" s="954" t="e">
        <f>#REF!+#REF!</f>
        <v>#REF!</v>
      </c>
      <c r="AD163" s="954">
        <f t="shared" si="8"/>
        <v>6255</v>
      </c>
      <c r="AE163" s="625"/>
    </row>
    <row r="164" spans="1:31" s="620" customFormat="1" ht="18" customHeight="1" x14ac:dyDescent="0.2">
      <c r="A164" s="655" t="s">
        <v>2846</v>
      </c>
      <c r="B164" s="508">
        <f t="shared" si="9"/>
        <v>125</v>
      </c>
      <c r="C164" s="957">
        <f>+NOMINA!C168</f>
        <v>16065580</v>
      </c>
      <c r="D164" s="958" t="str">
        <f>+NOMINA!D168</f>
        <v>Paredes de Rendon Zuly Josefina</v>
      </c>
      <c r="E164" s="955" t="s">
        <v>4622</v>
      </c>
      <c r="F164" s="959">
        <v>27081</v>
      </c>
      <c r="G164" s="955" t="s">
        <v>4620</v>
      </c>
      <c r="H164" s="960">
        <f>+NOMINA!H168</f>
        <v>44363</v>
      </c>
      <c r="I164" s="961">
        <f>+NOMINA!I168</f>
        <v>4</v>
      </c>
      <c r="J164" s="962">
        <f>+NOMINA!J168</f>
        <v>0</v>
      </c>
      <c r="K164" s="961">
        <f>+NOMINA!K168</f>
        <v>4</v>
      </c>
      <c r="L164" s="963">
        <f>+NOMINA!CA168</f>
        <v>6255</v>
      </c>
      <c r="M164" s="443" t="e">
        <f>#REF!+#REF!-#REF!</f>
        <v>#REF!</v>
      </c>
      <c r="N164" s="952" t="e">
        <f>ROUND((#REF!+#REF!+#REF!+#REF!+#REF!+#REF!+#REF!+#REF!),2)</f>
        <v>#REF!</v>
      </c>
      <c r="Q164" s="620" t="e">
        <f>SUM(#REF!)</f>
        <v>#REF!</v>
      </c>
      <c r="R164" s="953" t="e">
        <f>#REF!+#REF!-#REF!</f>
        <v>#REF!</v>
      </c>
      <c r="S164" s="954">
        <v>200</v>
      </c>
      <c r="T164" s="953" t="e">
        <f>#REF!+#REF!</f>
        <v>#REF!</v>
      </c>
      <c r="U164" s="954" t="e">
        <f>#REF!</f>
        <v>#REF!</v>
      </c>
      <c r="V164" s="955">
        <v>0</v>
      </c>
      <c r="W164" s="954" t="e">
        <f>#REF!</f>
        <v>#REF!</v>
      </c>
      <c r="X164" s="956" t="e">
        <f>#REF!+#REF!</f>
        <v>#REF!</v>
      </c>
      <c r="Y164" s="956" t="e">
        <f>#REF!+#REF!</f>
        <v>#REF!</v>
      </c>
      <c r="Z164" s="956"/>
      <c r="AA164" s="954" t="e">
        <f>#REF!</f>
        <v>#REF!</v>
      </c>
      <c r="AB164" s="954" t="e">
        <f t="shared" si="10"/>
        <v>#REF!</v>
      </c>
      <c r="AC164" s="954" t="e">
        <f>#REF!+#REF!</f>
        <v>#REF!</v>
      </c>
      <c r="AD164" s="954">
        <f t="shared" si="8"/>
        <v>6255</v>
      </c>
      <c r="AE164" s="625"/>
    </row>
    <row r="165" spans="1:31" s="620" customFormat="1" ht="18" customHeight="1" x14ac:dyDescent="0.2">
      <c r="A165" s="655" t="s">
        <v>2846</v>
      </c>
      <c r="B165" s="508">
        <f t="shared" si="9"/>
        <v>126</v>
      </c>
      <c r="C165" s="957">
        <f>+NOMINA!C169</f>
        <v>16065861</v>
      </c>
      <c r="D165" s="958" t="str">
        <f>+NOMINA!D169</f>
        <v>Gonzalez Pineda Eduardo Manuel</v>
      </c>
      <c r="E165" s="955" t="s">
        <v>4622</v>
      </c>
      <c r="F165" s="959">
        <v>27081</v>
      </c>
      <c r="G165" s="955" t="s">
        <v>4620</v>
      </c>
      <c r="H165" s="960">
        <f>+NOMINA!H169</f>
        <v>43906</v>
      </c>
      <c r="I165" s="961">
        <f>+NOMINA!I169</f>
        <v>5</v>
      </c>
      <c r="J165" s="962">
        <f>+NOMINA!J169</f>
        <v>13</v>
      </c>
      <c r="K165" s="961">
        <f>+NOMINA!K169</f>
        <v>18</v>
      </c>
      <c r="L165" s="963">
        <f>+NOMINA!CA169</f>
        <v>6255</v>
      </c>
      <c r="M165" s="443" t="e">
        <f>#REF!+#REF!-#REF!</f>
        <v>#REF!</v>
      </c>
      <c r="N165" s="952" t="e">
        <f>ROUND((#REF!+#REF!+#REF!+#REF!+#REF!+#REF!+#REF!+#REF!),2)</f>
        <v>#REF!</v>
      </c>
      <c r="Q165" s="620" t="e">
        <f>SUM(#REF!)</f>
        <v>#REF!</v>
      </c>
      <c r="R165" s="953" t="e">
        <f>#REF!+#REF!-#REF!</f>
        <v>#REF!</v>
      </c>
      <c r="S165" s="954">
        <v>200</v>
      </c>
      <c r="T165" s="953" t="e">
        <f>#REF!+#REF!</f>
        <v>#REF!</v>
      </c>
      <c r="U165" s="954" t="e">
        <f>#REF!</f>
        <v>#REF!</v>
      </c>
      <c r="V165" s="955">
        <v>0</v>
      </c>
      <c r="W165" s="954" t="e">
        <f>#REF!</f>
        <v>#REF!</v>
      </c>
      <c r="X165" s="956" t="e">
        <f>#REF!+#REF!</f>
        <v>#REF!</v>
      </c>
      <c r="Y165" s="956" t="e">
        <f>#REF!+#REF!</f>
        <v>#REF!</v>
      </c>
      <c r="Z165" s="956"/>
      <c r="AA165" s="954" t="e">
        <f>#REF!</f>
        <v>#REF!</v>
      </c>
      <c r="AB165" s="954" t="e">
        <f t="shared" si="10"/>
        <v>#REF!</v>
      </c>
      <c r="AC165" s="954" t="e">
        <f>#REF!+#REF!</f>
        <v>#REF!</v>
      </c>
      <c r="AD165" s="954">
        <f t="shared" si="8"/>
        <v>6255</v>
      </c>
      <c r="AE165" s="625"/>
    </row>
    <row r="166" spans="1:31" s="620" customFormat="1" ht="18" customHeight="1" x14ac:dyDescent="0.2">
      <c r="A166" s="655" t="s">
        <v>2846</v>
      </c>
      <c r="B166" s="508">
        <f t="shared" si="9"/>
        <v>127</v>
      </c>
      <c r="C166" s="957">
        <f>+NOMINA!C170</f>
        <v>16066524</v>
      </c>
      <c r="D166" s="958" t="str">
        <f>+NOMINA!D170</f>
        <v>Carmona Peñaloza Yaneth Coromoto</v>
      </c>
      <c r="E166" s="955" t="s">
        <v>4622</v>
      </c>
      <c r="F166" s="959">
        <v>27081</v>
      </c>
      <c r="G166" s="955" t="s">
        <v>4620</v>
      </c>
      <c r="H166" s="960">
        <f>+NOMINA!H170</f>
        <v>41456</v>
      </c>
      <c r="I166" s="961">
        <f>+NOMINA!I170</f>
        <v>12</v>
      </c>
      <c r="J166" s="962">
        <f>+NOMINA!J170</f>
        <v>0</v>
      </c>
      <c r="K166" s="961">
        <f>+NOMINA!K170</f>
        <v>12</v>
      </c>
      <c r="L166" s="963">
        <f>+NOMINA!CA170</f>
        <v>0</v>
      </c>
      <c r="M166" s="443" t="e">
        <f>#REF!+#REF!-#REF!</f>
        <v>#REF!</v>
      </c>
      <c r="N166" s="952" t="e">
        <f>ROUND((#REF!+#REF!+#REF!+#REF!+#REF!+#REF!+#REF!+#REF!),2)</f>
        <v>#REF!</v>
      </c>
      <c r="Q166" s="620" t="e">
        <f>SUM(#REF!)</f>
        <v>#REF!</v>
      </c>
      <c r="R166" s="953" t="e">
        <f>#REF!+#REF!-#REF!</f>
        <v>#REF!</v>
      </c>
      <c r="S166" s="954">
        <v>200</v>
      </c>
      <c r="T166" s="953" t="e">
        <f>#REF!+#REF!</f>
        <v>#REF!</v>
      </c>
      <c r="U166" s="954" t="e">
        <f>#REF!</f>
        <v>#REF!</v>
      </c>
      <c r="V166" s="955">
        <v>0</v>
      </c>
      <c r="W166" s="954" t="e">
        <f>#REF!</f>
        <v>#REF!</v>
      </c>
      <c r="X166" s="956" t="e">
        <f>#REF!+#REF!</f>
        <v>#REF!</v>
      </c>
      <c r="Y166" s="956" t="e">
        <f>#REF!+#REF!</f>
        <v>#REF!</v>
      </c>
      <c r="Z166" s="956"/>
      <c r="AA166" s="954" t="e">
        <f>#REF!</f>
        <v>#REF!</v>
      </c>
      <c r="AB166" s="954" t="e">
        <f t="shared" si="10"/>
        <v>#REF!</v>
      </c>
      <c r="AC166" s="954" t="e">
        <f>#REF!+#REF!</f>
        <v>#REF!</v>
      </c>
      <c r="AD166" s="954">
        <f t="shared" ref="AD166:AD229" si="11">L166</f>
        <v>0</v>
      </c>
      <c r="AE166" s="625"/>
    </row>
    <row r="167" spans="1:31" s="620" customFormat="1" ht="18" customHeight="1" x14ac:dyDescent="0.2">
      <c r="A167" s="655" t="s">
        <v>2846</v>
      </c>
      <c r="B167" s="508">
        <f t="shared" si="9"/>
        <v>128</v>
      </c>
      <c r="C167" s="957">
        <f>+NOMINA!C171</f>
        <v>16066554</v>
      </c>
      <c r="D167" s="958" t="str">
        <f>+NOMINA!D171</f>
        <v>Gonzalez Huerta Maria Josefina</v>
      </c>
      <c r="E167" s="955" t="s">
        <v>4622</v>
      </c>
      <c r="F167" s="959">
        <v>27081</v>
      </c>
      <c r="G167" s="955" t="s">
        <v>4620</v>
      </c>
      <c r="H167" s="960">
        <f>+NOMINA!H171</f>
        <v>38797</v>
      </c>
      <c r="I167" s="961">
        <f>+NOMINA!I171</f>
        <v>19</v>
      </c>
      <c r="J167" s="962">
        <f>+NOMINA!J171</f>
        <v>0</v>
      </c>
      <c r="K167" s="961">
        <f>+NOMINA!K171</f>
        <v>19</v>
      </c>
      <c r="L167" s="963">
        <f>+NOMINA!CA171</f>
        <v>6255</v>
      </c>
      <c r="M167" s="443" t="e">
        <f>#REF!+#REF!-#REF!</f>
        <v>#REF!</v>
      </c>
      <c r="N167" s="952" t="e">
        <f>ROUND((#REF!+#REF!+#REF!+#REF!+#REF!+#REF!+#REF!+#REF!),2)</f>
        <v>#REF!</v>
      </c>
      <c r="Q167" s="620" t="e">
        <f>SUM(#REF!)</f>
        <v>#REF!</v>
      </c>
      <c r="R167" s="953" t="e">
        <f>#REF!+#REF!-#REF!</f>
        <v>#REF!</v>
      </c>
      <c r="S167" s="954">
        <v>200</v>
      </c>
      <c r="T167" s="953" t="e">
        <f>#REF!+#REF!</f>
        <v>#REF!</v>
      </c>
      <c r="U167" s="954" t="e">
        <f>#REF!</f>
        <v>#REF!</v>
      </c>
      <c r="V167" s="955">
        <v>0</v>
      </c>
      <c r="W167" s="954" t="e">
        <f>#REF!</f>
        <v>#REF!</v>
      </c>
      <c r="X167" s="956" t="e">
        <f>#REF!+#REF!</f>
        <v>#REF!</v>
      </c>
      <c r="Y167" s="956" t="e">
        <f>#REF!+#REF!</f>
        <v>#REF!</v>
      </c>
      <c r="Z167" s="956"/>
      <c r="AA167" s="954" t="e">
        <f>#REF!</f>
        <v>#REF!</v>
      </c>
      <c r="AB167" s="954" t="e">
        <f t="shared" si="10"/>
        <v>#REF!</v>
      </c>
      <c r="AC167" s="954" t="e">
        <f>#REF!+#REF!</f>
        <v>#REF!</v>
      </c>
      <c r="AD167" s="954">
        <f t="shared" si="11"/>
        <v>6255</v>
      </c>
      <c r="AE167" s="625"/>
    </row>
    <row r="168" spans="1:31" s="620" customFormat="1" ht="18" customHeight="1" x14ac:dyDescent="0.2">
      <c r="A168" s="655" t="s">
        <v>2846</v>
      </c>
      <c r="B168" s="508">
        <f t="shared" si="9"/>
        <v>129</v>
      </c>
      <c r="C168" s="957">
        <f>+NOMINA!C172</f>
        <v>16266033</v>
      </c>
      <c r="D168" s="958" t="str">
        <f>+NOMINA!D172</f>
        <v>Montilla de Davila Nileidy del Valle</v>
      </c>
      <c r="E168" s="955" t="s">
        <v>4622</v>
      </c>
      <c r="F168" s="959">
        <v>27081</v>
      </c>
      <c r="G168" s="955" t="s">
        <v>4620</v>
      </c>
      <c r="H168" s="960">
        <f>+NOMINA!H172</f>
        <v>44713</v>
      </c>
      <c r="I168" s="961">
        <f>+NOMINA!I172</f>
        <v>3</v>
      </c>
      <c r="J168" s="962">
        <f>+NOMINA!J172</f>
        <v>0</v>
      </c>
      <c r="K168" s="961">
        <f>+NOMINA!K172</f>
        <v>3</v>
      </c>
      <c r="L168" s="963">
        <f>+NOMINA!CA172</f>
        <v>6255</v>
      </c>
      <c r="M168" s="443" t="e">
        <f>#REF!+#REF!-#REF!</f>
        <v>#REF!</v>
      </c>
      <c r="N168" s="952" t="e">
        <f>ROUND((#REF!+#REF!+#REF!+#REF!+#REF!+#REF!+#REF!+#REF!),2)</f>
        <v>#REF!</v>
      </c>
      <c r="Q168" s="620" t="e">
        <f>SUM(#REF!)</f>
        <v>#REF!</v>
      </c>
      <c r="R168" s="953" t="e">
        <f>#REF!+#REF!-#REF!</f>
        <v>#REF!</v>
      </c>
      <c r="S168" s="954">
        <v>200</v>
      </c>
      <c r="T168" s="953" t="e">
        <f>#REF!+#REF!</f>
        <v>#REF!</v>
      </c>
      <c r="U168" s="954" t="e">
        <f>#REF!</f>
        <v>#REF!</v>
      </c>
      <c r="V168" s="955">
        <v>0</v>
      </c>
      <c r="W168" s="954" t="e">
        <f>#REF!</f>
        <v>#REF!</v>
      </c>
      <c r="X168" s="956" t="e">
        <f>#REF!+#REF!</f>
        <v>#REF!</v>
      </c>
      <c r="Y168" s="956" t="e">
        <f>#REF!+#REF!</f>
        <v>#REF!</v>
      </c>
      <c r="Z168" s="956"/>
      <c r="AA168" s="954" t="e">
        <f>#REF!</f>
        <v>#REF!</v>
      </c>
      <c r="AB168" s="954" t="e">
        <f t="shared" si="10"/>
        <v>#REF!</v>
      </c>
      <c r="AC168" s="954" t="e">
        <f>#REF!+#REF!</f>
        <v>#REF!</v>
      </c>
      <c r="AD168" s="954">
        <f t="shared" si="11"/>
        <v>6255</v>
      </c>
      <c r="AE168" s="625"/>
    </row>
    <row r="169" spans="1:31" s="620" customFormat="1" ht="18" customHeight="1" x14ac:dyDescent="0.2">
      <c r="A169" s="655" t="s">
        <v>2846</v>
      </c>
      <c r="B169" s="508">
        <f t="shared" si="9"/>
        <v>130</v>
      </c>
      <c r="C169" s="957">
        <f>+NOMINA!C173</f>
        <v>16266989</v>
      </c>
      <c r="D169" s="958" t="str">
        <f>+NOMINA!D173</f>
        <v>Rincon Quevedo Angela Adriana</v>
      </c>
      <c r="E169" s="955" t="s">
        <v>4622</v>
      </c>
      <c r="F169" s="959">
        <v>27081</v>
      </c>
      <c r="G169" s="955" t="s">
        <v>4620</v>
      </c>
      <c r="H169" s="960">
        <f>+NOMINA!H173</f>
        <v>43040</v>
      </c>
      <c r="I169" s="961">
        <f>+NOMINA!I173</f>
        <v>7</v>
      </c>
      <c r="J169" s="962">
        <f>+NOMINA!J173</f>
        <v>0</v>
      </c>
      <c r="K169" s="961">
        <f>+NOMINA!K173</f>
        <v>7</v>
      </c>
      <c r="L169" s="963">
        <f>+NOMINA!CA173</f>
        <v>6255</v>
      </c>
      <c r="M169" s="443" t="e">
        <f>#REF!+#REF!-#REF!</f>
        <v>#REF!</v>
      </c>
      <c r="N169" s="952" t="e">
        <f>ROUND((#REF!+#REF!+#REF!+#REF!+#REF!+#REF!+#REF!+#REF!),2)</f>
        <v>#REF!</v>
      </c>
      <c r="Q169" s="620" t="e">
        <f>SUM(#REF!)</f>
        <v>#REF!</v>
      </c>
      <c r="R169" s="953" t="e">
        <f>#REF!+#REF!-#REF!</f>
        <v>#REF!</v>
      </c>
      <c r="S169" s="954">
        <v>200</v>
      </c>
      <c r="T169" s="953" t="e">
        <f>#REF!+#REF!</f>
        <v>#REF!</v>
      </c>
      <c r="U169" s="954" t="e">
        <f>#REF!</f>
        <v>#REF!</v>
      </c>
      <c r="V169" s="955">
        <v>0</v>
      </c>
      <c r="W169" s="954" t="e">
        <f>#REF!</f>
        <v>#REF!</v>
      </c>
      <c r="X169" s="956" t="e">
        <f>#REF!+#REF!</f>
        <v>#REF!</v>
      </c>
      <c r="Y169" s="956" t="e">
        <f>#REF!+#REF!</f>
        <v>#REF!</v>
      </c>
      <c r="Z169" s="956"/>
      <c r="AA169" s="954" t="e">
        <f>#REF!</f>
        <v>#REF!</v>
      </c>
      <c r="AB169" s="954" t="e">
        <f t="shared" si="10"/>
        <v>#REF!</v>
      </c>
      <c r="AC169" s="954" t="e">
        <f>#REF!+#REF!</f>
        <v>#REF!</v>
      </c>
      <c r="AD169" s="954">
        <f t="shared" si="11"/>
        <v>6255</v>
      </c>
      <c r="AE169" s="625"/>
    </row>
    <row r="170" spans="1:31" s="620" customFormat="1" ht="18" customHeight="1" x14ac:dyDescent="0.2">
      <c r="A170" s="655" t="s">
        <v>2846</v>
      </c>
      <c r="B170" s="508">
        <f t="shared" ref="B170:B233" si="12">B169+1</f>
        <v>131</v>
      </c>
      <c r="C170" s="957">
        <f>+NOMINA!C174</f>
        <v>16267940</v>
      </c>
      <c r="D170" s="958" t="str">
        <f>+NOMINA!D174</f>
        <v>Araujo Moreno Elisaelith</v>
      </c>
      <c r="E170" s="955" t="s">
        <v>4622</v>
      </c>
      <c r="F170" s="959">
        <v>27081</v>
      </c>
      <c r="G170" s="955" t="s">
        <v>4620</v>
      </c>
      <c r="H170" s="960">
        <f>+NOMINA!H174</f>
        <v>44600</v>
      </c>
      <c r="I170" s="961">
        <f>+NOMINA!I174</f>
        <v>3</v>
      </c>
      <c r="J170" s="962">
        <f>+NOMINA!J174</f>
        <v>0</v>
      </c>
      <c r="K170" s="961">
        <f>+NOMINA!K174</f>
        <v>3</v>
      </c>
      <c r="L170" s="963">
        <f>+NOMINA!CA174</f>
        <v>6255</v>
      </c>
      <c r="M170" s="443" t="e">
        <f>#REF!+#REF!-#REF!</f>
        <v>#REF!</v>
      </c>
      <c r="N170" s="952" t="e">
        <f>ROUND((#REF!+#REF!+#REF!+#REF!+#REF!+#REF!+#REF!+#REF!),2)</f>
        <v>#REF!</v>
      </c>
      <c r="Q170" s="620" t="e">
        <f>SUM(#REF!)</f>
        <v>#REF!</v>
      </c>
      <c r="R170" s="953" t="e">
        <f>#REF!+#REF!-#REF!</f>
        <v>#REF!</v>
      </c>
      <c r="S170" s="954">
        <v>200</v>
      </c>
      <c r="T170" s="953" t="e">
        <f>#REF!+#REF!</f>
        <v>#REF!</v>
      </c>
      <c r="U170" s="954" t="e">
        <f>#REF!</f>
        <v>#REF!</v>
      </c>
      <c r="V170" s="955">
        <v>0</v>
      </c>
      <c r="W170" s="954" t="e">
        <f>#REF!</f>
        <v>#REF!</v>
      </c>
      <c r="X170" s="956" t="e">
        <f>#REF!+#REF!</f>
        <v>#REF!</v>
      </c>
      <c r="Y170" s="956" t="e">
        <f>#REF!+#REF!</f>
        <v>#REF!</v>
      </c>
      <c r="Z170" s="956"/>
      <c r="AA170" s="954" t="e">
        <f>#REF!</f>
        <v>#REF!</v>
      </c>
      <c r="AB170" s="954" t="e">
        <f t="shared" si="10"/>
        <v>#REF!</v>
      </c>
      <c r="AC170" s="954" t="e">
        <f>#REF!+#REF!</f>
        <v>#REF!</v>
      </c>
      <c r="AD170" s="954">
        <f t="shared" si="11"/>
        <v>6255</v>
      </c>
      <c r="AE170" s="625"/>
    </row>
    <row r="171" spans="1:31" s="620" customFormat="1" ht="18" customHeight="1" x14ac:dyDescent="0.2">
      <c r="A171" s="655" t="s">
        <v>2846</v>
      </c>
      <c r="B171" s="508">
        <f t="shared" si="12"/>
        <v>132</v>
      </c>
      <c r="C171" s="957">
        <f>+NOMINA!C175</f>
        <v>16376534</v>
      </c>
      <c r="D171" s="958" t="str">
        <f>+NOMINA!D175</f>
        <v>Lugo Moreno Yenny Katiuska</v>
      </c>
      <c r="E171" s="955" t="s">
        <v>4622</v>
      </c>
      <c r="F171" s="959">
        <v>27081</v>
      </c>
      <c r="G171" s="955" t="s">
        <v>4620</v>
      </c>
      <c r="H171" s="960">
        <f>+NOMINA!H175</f>
        <v>43754</v>
      </c>
      <c r="I171" s="961">
        <f>+NOMINA!I175</f>
        <v>5</v>
      </c>
      <c r="J171" s="962">
        <f>+NOMINA!J175</f>
        <v>0</v>
      </c>
      <c r="K171" s="961">
        <f>+NOMINA!K175</f>
        <v>5</v>
      </c>
      <c r="L171" s="963">
        <f>+NOMINA!CA175</f>
        <v>6255</v>
      </c>
      <c r="M171" s="443" t="e">
        <f>#REF!+#REF!-#REF!</f>
        <v>#REF!</v>
      </c>
      <c r="N171" s="952" t="e">
        <f>ROUND((#REF!+#REF!+#REF!+#REF!+#REF!+#REF!+#REF!+#REF!),2)</f>
        <v>#REF!</v>
      </c>
      <c r="Q171" s="620" t="e">
        <f>SUM(#REF!)</f>
        <v>#REF!</v>
      </c>
      <c r="R171" s="953" t="e">
        <f>#REF!+#REF!-#REF!</f>
        <v>#REF!</v>
      </c>
      <c r="S171" s="954">
        <v>200</v>
      </c>
      <c r="T171" s="953" t="e">
        <f>#REF!+#REF!</f>
        <v>#REF!</v>
      </c>
      <c r="U171" s="954" t="e">
        <f>#REF!</f>
        <v>#REF!</v>
      </c>
      <c r="V171" s="955">
        <v>0</v>
      </c>
      <c r="W171" s="954" t="e">
        <f>#REF!</f>
        <v>#REF!</v>
      </c>
      <c r="X171" s="956" t="e">
        <f>#REF!+#REF!</f>
        <v>#REF!</v>
      </c>
      <c r="Y171" s="956" t="e">
        <f>#REF!+#REF!</f>
        <v>#REF!</v>
      </c>
      <c r="Z171" s="956"/>
      <c r="AA171" s="954" t="e">
        <f>#REF!</f>
        <v>#REF!</v>
      </c>
      <c r="AB171" s="954" t="e">
        <f t="shared" si="10"/>
        <v>#REF!</v>
      </c>
      <c r="AC171" s="954" t="e">
        <f>#REF!+#REF!</f>
        <v>#REF!</v>
      </c>
      <c r="AD171" s="954">
        <f t="shared" si="11"/>
        <v>6255</v>
      </c>
      <c r="AE171" s="625"/>
    </row>
    <row r="172" spans="1:31" s="620" customFormat="1" ht="18" customHeight="1" x14ac:dyDescent="0.2">
      <c r="A172" s="655" t="s">
        <v>2846</v>
      </c>
      <c r="B172" s="508">
        <f t="shared" si="12"/>
        <v>133</v>
      </c>
      <c r="C172" s="957">
        <f>+NOMINA!C176</f>
        <v>16376698</v>
      </c>
      <c r="D172" s="958" t="str">
        <f>+NOMINA!D176</f>
        <v>Barreto Maldonado Jose Luis</v>
      </c>
      <c r="E172" s="955" t="s">
        <v>4622</v>
      </c>
      <c r="F172" s="959">
        <v>27081</v>
      </c>
      <c r="G172" s="955" t="s">
        <v>4620</v>
      </c>
      <c r="H172" s="960">
        <f>+NOMINA!H176</f>
        <v>40909</v>
      </c>
      <c r="I172" s="961">
        <f>+NOMINA!I176</f>
        <v>13</v>
      </c>
      <c r="J172" s="962">
        <f>+NOMINA!J176</f>
        <v>0</v>
      </c>
      <c r="K172" s="961">
        <f>+NOMINA!K176</f>
        <v>13</v>
      </c>
      <c r="L172" s="963">
        <f>+NOMINA!CA176</f>
        <v>6255</v>
      </c>
      <c r="M172" s="443" t="e">
        <f>#REF!+#REF!-#REF!</f>
        <v>#REF!</v>
      </c>
      <c r="N172" s="952" t="e">
        <f>ROUND((#REF!+#REF!+#REF!+#REF!+#REF!+#REF!+#REF!+#REF!),2)</f>
        <v>#REF!</v>
      </c>
      <c r="Q172" s="620" t="e">
        <f>SUM(#REF!)</f>
        <v>#REF!</v>
      </c>
      <c r="R172" s="953" t="e">
        <f>#REF!+#REF!-#REF!</f>
        <v>#REF!</v>
      </c>
      <c r="S172" s="954">
        <v>200</v>
      </c>
      <c r="T172" s="953" t="e">
        <f>#REF!+#REF!</f>
        <v>#REF!</v>
      </c>
      <c r="U172" s="954" t="e">
        <f>#REF!</f>
        <v>#REF!</v>
      </c>
      <c r="V172" s="955">
        <v>0</v>
      </c>
      <c r="W172" s="954" t="e">
        <f>#REF!</f>
        <v>#REF!</v>
      </c>
      <c r="X172" s="956" t="e">
        <f>#REF!+#REF!</f>
        <v>#REF!</v>
      </c>
      <c r="Y172" s="956" t="e">
        <f>#REF!+#REF!</f>
        <v>#REF!</v>
      </c>
      <c r="Z172" s="956"/>
      <c r="AA172" s="954" t="e">
        <f>#REF!</f>
        <v>#REF!</v>
      </c>
      <c r="AB172" s="954" t="e">
        <f t="shared" si="10"/>
        <v>#REF!</v>
      </c>
      <c r="AC172" s="954" t="e">
        <f>#REF!+#REF!</f>
        <v>#REF!</v>
      </c>
      <c r="AD172" s="954">
        <f t="shared" si="11"/>
        <v>6255</v>
      </c>
      <c r="AE172" s="625"/>
    </row>
    <row r="173" spans="1:31" s="620" customFormat="1" ht="18" customHeight="1" x14ac:dyDescent="0.2">
      <c r="A173" s="655" t="s">
        <v>2846</v>
      </c>
      <c r="B173" s="508">
        <f t="shared" si="12"/>
        <v>134</v>
      </c>
      <c r="C173" s="957">
        <f>+NOMINA!C177</f>
        <v>16377159</v>
      </c>
      <c r="D173" s="958" t="str">
        <f>+NOMINA!D177</f>
        <v>Carrillo Uzcategui Tahiyuani Carolina</v>
      </c>
      <c r="E173" s="955" t="s">
        <v>4622</v>
      </c>
      <c r="F173" s="959">
        <v>27081</v>
      </c>
      <c r="G173" s="955" t="s">
        <v>4620</v>
      </c>
      <c r="H173" s="960">
        <f>+NOMINA!H177</f>
        <v>44743</v>
      </c>
      <c r="I173" s="961">
        <f>+NOMINA!I177</f>
        <v>3</v>
      </c>
      <c r="J173" s="962">
        <f>+NOMINA!J177</f>
        <v>0</v>
      </c>
      <c r="K173" s="961">
        <f>+NOMINA!K177</f>
        <v>3</v>
      </c>
      <c r="L173" s="963">
        <f>+NOMINA!CA177</f>
        <v>6255</v>
      </c>
      <c r="M173" s="443" t="e">
        <f>#REF!+#REF!-#REF!</f>
        <v>#REF!</v>
      </c>
      <c r="N173" s="952" t="e">
        <f>ROUND((#REF!+#REF!+#REF!+#REF!+#REF!+#REF!+#REF!+#REF!),2)</f>
        <v>#REF!</v>
      </c>
      <c r="Q173" s="620" t="e">
        <f>SUM(#REF!)</f>
        <v>#REF!</v>
      </c>
      <c r="R173" s="953" t="e">
        <f>#REF!+#REF!-#REF!</f>
        <v>#REF!</v>
      </c>
      <c r="S173" s="954">
        <v>200</v>
      </c>
      <c r="T173" s="953" t="e">
        <f>#REF!+#REF!</f>
        <v>#REF!</v>
      </c>
      <c r="U173" s="954" t="e">
        <f>#REF!</f>
        <v>#REF!</v>
      </c>
      <c r="V173" s="955">
        <v>0</v>
      </c>
      <c r="W173" s="954" t="e">
        <f>#REF!</f>
        <v>#REF!</v>
      </c>
      <c r="X173" s="956" t="e">
        <f>#REF!+#REF!</f>
        <v>#REF!</v>
      </c>
      <c r="Y173" s="956" t="e">
        <f>#REF!+#REF!</f>
        <v>#REF!</v>
      </c>
      <c r="Z173" s="956"/>
      <c r="AA173" s="954" t="e">
        <f>#REF!</f>
        <v>#REF!</v>
      </c>
      <c r="AB173" s="954" t="e">
        <f t="shared" si="10"/>
        <v>#REF!</v>
      </c>
      <c r="AC173" s="954" t="e">
        <f>#REF!+#REF!</f>
        <v>#REF!</v>
      </c>
      <c r="AD173" s="954">
        <f t="shared" si="11"/>
        <v>6255</v>
      </c>
      <c r="AE173" s="625"/>
    </row>
    <row r="174" spans="1:31" s="620" customFormat="1" ht="18" customHeight="1" x14ac:dyDescent="0.2">
      <c r="A174" s="655" t="s">
        <v>2846</v>
      </c>
      <c r="B174" s="508">
        <f t="shared" si="12"/>
        <v>135</v>
      </c>
      <c r="C174" s="957">
        <f>+NOMINA!C178</f>
        <v>16377588</v>
      </c>
      <c r="D174" s="958" t="str">
        <f>+NOMINA!D178</f>
        <v>Perdomo Linares Alejandra Carolina</v>
      </c>
      <c r="E174" s="955" t="s">
        <v>4622</v>
      </c>
      <c r="F174" s="959">
        <v>27081</v>
      </c>
      <c r="G174" s="955" t="s">
        <v>4620</v>
      </c>
      <c r="H174" s="960">
        <f>+NOMINA!H178</f>
        <v>44059</v>
      </c>
      <c r="I174" s="961">
        <f>+NOMINA!I178</f>
        <v>5</v>
      </c>
      <c r="J174" s="962">
        <f>+NOMINA!J178</f>
        <v>0</v>
      </c>
      <c r="K174" s="961">
        <f>+NOMINA!K178</f>
        <v>5</v>
      </c>
      <c r="L174" s="963">
        <f>+NOMINA!CA178</f>
        <v>6255</v>
      </c>
      <c r="M174" s="443" t="e">
        <f>#REF!+#REF!-#REF!</f>
        <v>#REF!</v>
      </c>
      <c r="N174" s="952" t="e">
        <f>ROUND((#REF!+#REF!+#REF!+#REF!+#REF!+#REF!+#REF!+#REF!),2)</f>
        <v>#REF!</v>
      </c>
      <c r="Q174" s="620" t="e">
        <f>SUM(#REF!)</f>
        <v>#REF!</v>
      </c>
      <c r="R174" s="953" t="e">
        <f>#REF!+#REF!-#REF!</f>
        <v>#REF!</v>
      </c>
      <c r="S174" s="954">
        <v>200</v>
      </c>
      <c r="T174" s="953" t="e">
        <f>#REF!+#REF!</f>
        <v>#REF!</v>
      </c>
      <c r="U174" s="954" t="e">
        <f>#REF!</f>
        <v>#REF!</v>
      </c>
      <c r="V174" s="955">
        <v>0</v>
      </c>
      <c r="W174" s="954" t="e">
        <f>#REF!</f>
        <v>#REF!</v>
      </c>
      <c r="X174" s="956" t="e">
        <f>#REF!+#REF!</f>
        <v>#REF!</v>
      </c>
      <c r="Y174" s="956" t="e">
        <f>#REF!+#REF!</f>
        <v>#REF!</v>
      </c>
      <c r="Z174" s="956"/>
      <c r="AA174" s="954" t="e">
        <f>#REF!</f>
        <v>#REF!</v>
      </c>
      <c r="AB174" s="954" t="e">
        <f t="shared" si="10"/>
        <v>#REF!</v>
      </c>
      <c r="AC174" s="954" t="e">
        <f>#REF!+#REF!</f>
        <v>#REF!</v>
      </c>
      <c r="AD174" s="954">
        <f t="shared" si="11"/>
        <v>6255</v>
      </c>
      <c r="AE174" s="625"/>
    </row>
    <row r="175" spans="1:31" s="620" customFormat="1" ht="18" customHeight="1" x14ac:dyDescent="0.2">
      <c r="A175" s="655" t="s">
        <v>2846</v>
      </c>
      <c r="B175" s="508">
        <f t="shared" si="12"/>
        <v>136</v>
      </c>
      <c r="C175" s="957">
        <f>+NOMINA!C179</f>
        <v>16377628</v>
      </c>
      <c r="D175" s="958" t="str">
        <f>+NOMINA!D179</f>
        <v>Peña Nava Maria Gabriela</v>
      </c>
      <c r="E175" s="955" t="s">
        <v>4622</v>
      </c>
      <c r="F175" s="959">
        <v>27081</v>
      </c>
      <c r="G175" s="955" t="s">
        <v>4620</v>
      </c>
      <c r="H175" s="960">
        <f>+NOMINA!H179</f>
        <v>44743</v>
      </c>
      <c r="I175" s="961">
        <f>+NOMINA!I179</f>
        <v>3</v>
      </c>
      <c r="J175" s="962">
        <f>+NOMINA!J179</f>
        <v>9</v>
      </c>
      <c r="K175" s="961">
        <f>+NOMINA!K179</f>
        <v>12</v>
      </c>
      <c r="L175" s="963">
        <f>+NOMINA!CA179</f>
        <v>6255</v>
      </c>
      <c r="M175" s="443" t="e">
        <f>#REF!+#REF!-#REF!</f>
        <v>#REF!</v>
      </c>
      <c r="N175" s="952" t="e">
        <f>ROUND((#REF!+#REF!+#REF!+#REF!+#REF!+#REF!+#REF!+#REF!),2)</f>
        <v>#REF!</v>
      </c>
      <c r="Q175" s="620" t="e">
        <f>SUM(#REF!)</f>
        <v>#REF!</v>
      </c>
      <c r="R175" s="953" t="e">
        <f>#REF!+#REF!-#REF!</f>
        <v>#REF!</v>
      </c>
      <c r="S175" s="954">
        <v>200</v>
      </c>
      <c r="T175" s="953" t="e">
        <f>#REF!+#REF!</f>
        <v>#REF!</v>
      </c>
      <c r="U175" s="954" t="e">
        <f>#REF!</f>
        <v>#REF!</v>
      </c>
      <c r="V175" s="955">
        <v>0</v>
      </c>
      <c r="W175" s="954" t="e">
        <f>#REF!</f>
        <v>#REF!</v>
      </c>
      <c r="X175" s="956" t="e">
        <f>#REF!+#REF!</f>
        <v>#REF!</v>
      </c>
      <c r="Y175" s="956" t="e">
        <f>#REF!+#REF!</f>
        <v>#REF!</v>
      </c>
      <c r="Z175" s="956"/>
      <c r="AA175" s="954" t="e">
        <f>#REF!</f>
        <v>#REF!</v>
      </c>
      <c r="AB175" s="954" t="e">
        <f t="shared" si="10"/>
        <v>#REF!</v>
      </c>
      <c r="AC175" s="954" t="e">
        <f>#REF!+#REF!</f>
        <v>#REF!</v>
      </c>
      <c r="AD175" s="954">
        <f t="shared" si="11"/>
        <v>6255</v>
      </c>
      <c r="AE175" s="625"/>
    </row>
    <row r="176" spans="1:31" s="620" customFormat="1" ht="18" customHeight="1" x14ac:dyDescent="0.2">
      <c r="A176" s="655" t="s">
        <v>2846</v>
      </c>
      <c r="B176" s="508">
        <f t="shared" si="12"/>
        <v>137</v>
      </c>
      <c r="C176" s="957">
        <f>+NOMINA!C180</f>
        <v>16533566</v>
      </c>
      <c r="D176" s="958" t="str">
        <f>+NOMINA!D180</f>
        <v>Materan Gallardo Vivian Katiana</v>
      </c>
      <c r="E176" s="955" t="s">
        <v>4622</v>
      </c>
      <c r="F176" s="959">
        <v>27081</v>
      </c>
      <c r="G176" s="955" t="s">
        <v>4620</v>
      </c>
      <c r="H176" s="960">
        <f>+NOMINA!H180</f>
        <v>44683</v>
      </c>
      <c r="I176" s="961">
        <f>+NOMINA!I180</f>
        <v>3</v>
      </c>
      <c r="J176" s="962">
        <f>+NOMINA!J180</f>
        <v>0</v>
      </c>
      <c r="K176" s="961">
        <f>+NOMINA!K180</f>
        <v>3</v>
      </c>
      <c r="L176" s="963">
        <f>+NOMINA!CA180</f>
        <v>6255</v>
      </c>
      <c r="M176" s="443" t="e">
        <f>#REF!+#REF!-#REF!</f>
        <v>#REF!</v>
      </c>
      <c r="N176" s="952" t="e">
        <f>ROUND((#REF!+#REF!+#REF!+#REF!+#REF!+#REF!+#REF!+#REF!),2)</f>
        <v>#REF!</v>
      </c>
      <c r="Q176" s="620" t="e">
        <f>SUM(#REF!)</f>
        <v>#REF!</v>
      </c>
      <c r="R176" s="953" t="e">
        <f>#REF!+#REF!-#REF!</f>
        <v>#REF!</v>
      </c>
      <c r="S176" s="954">
        <v>200</v>
      </c>
      <c r="T176" s="953" t="e">
        <f>#REF!+#REF!</f>
        <v>#REF!</v>
      </c>
      <c r="U176" s="954" t="e">
        <f>#REF!</f>
        <v>#REF!</v>
      </c>
      <c r="V176" s="955">
        <v>0</v>
      </c>
      <c r="W176" s="954" t="e">
        <f>#REF!</f>
        <v>#REF!</v>
      </c>
      <c r="X176" s="956" t="e">
        <f>#REF!+#REF!</f>
        <v>#REF!</v>
      </c>
      <c r="Y176" s="956" t="e">
        <f>#REF!+#REF!</f>
        <v>#REF!</v>
      </c>
      <c r="Z176" s="956"/>
      <c r="AA176" s="954" t="e">
        <f>#REF!</f>
        <v>#REF!</v>
      </c>
      <c r="AB176" s="954" t="e">
        <f t="shared" si="10"/>
        <v>#REF!</v>
      </c>
      <c r="AC176" s="954" t="e">
        <f>#REF!+#REF!</f>
        <v>#REF!</v>
      </c>
      <c r="AD176" s="954">
        <f t="shared" si="11"/>
        <v>6255</v>
      </c>
      <c r="AE176" s="625"/>
    </row>
    <row r="177" spans="1:31" s="620" customFormat="1" ht="18" customHeight="1" x14ac:dyDescent="0.2">
      <c r="A177" s="655" t="s">
        <v>2846</v>
      </c>
      <c r="B177" s="508">
        <f t="shared" si="12"/>
        <v>138</v>
      </c>
      <c r="C177" s="957">
        <f>+NOMINA!C181</f>
        <v>16533615</v>
      </c>
      <c r="D177" s="958" t="str">
        <f>+NOMINA!D181</f>
        <v>Valero Sulbaran Urquia Del Mar</v>
      </c>
      <c r="E177" s="955" t="s">
        <v>4622</v>
      </c>
      <c r="F177" s="959">
        <v>27081</v>
      </c>
      <c r="G177" s="955" t="s">
        <v>4620</v>
      </c>
      <c r="H177" s="960">
        <f>+NOMINA!H181</f>
        <v>45474</v>
      </c>
      <c r="I177" s="961">
        <f>+NOMINA!I181</f>
        <v>1</v>
      </c>
      <c r="J177" s="962">
        <f>+NOMINA!J181</f>
        <v>0</v>
      </c>
      <c r="K177" s="961">
        <f>+NOMINA!K181</f>
        <v>1</v>
      </c>
      <c r="L177" s="963">
        <f>+NOMINA!CA181</f>
        <v>6255</v>
      </c>
      <c r="M177" s="443" t="e">
        <f>#REF!+#REF!-#REF!</f>
        <v>#REF!</v>
      </c>
      <c r="N177" s="952" t="e">
        <f>ROUND((#REF!+#REF!+#REF!+#REF!+#REF!+#REF!+#REF!+#REF!),2)</f>
        <v>#REF!</v>
      </c>
      <c r="Q177" s="620" t="e">
        <f>SUM(#REF!)</f>
        <v>#REF!</v>
      </c>
      <c r="R177" s="953" t="e">
        <f>#REF!+#REF!-#REF!</f>
        <v>#REF!</v>
      </c>
      <c r="S177" s="954">
        <v>200</v>
      </c>
      <c r="T177" s="953" t="e">
        <f>#REF!+#REF!</f>
        <v>#REF!</v>
      </c>
      <c r="U177" s="954" t="e">
        <f>#REF!</f>
        <v>#REF!</v>
      </c>
      <c r="V177" s="955">
        <v>0</v>
      </c>
      <c r="W177" s="954" t="e">
        <f>#REF!</f>
        <v>#REF!</v>
      </c>
      <c r="X177" s="956" t="e">
        <f>#REF!+#REF!</f>
        <v>#REF!</v>
      </c>
      <c r="Y177" s="956" t="e">
        <f>#REF!+#REF!</f>
        <v>#REF!</v>
      </c>
      <c r="Z177" s="956"/>
      <c r="AA177" s="954" t="e">
        <f>#REF!</f>
        <v>#REF!</v>
      </c>
      <c r="AB177" s="954" t="e">
        <f t="shared" si="10"/>
        <v>#REF!</v>
      </c>
      <c r="AC177" s="954" t="e">
        <f>#REF!+#REF!</f>
        <v>#REF!</v>
      </c>
      <c r="AD177" s="954">
        <f t="shared" si="11"/>
        <v>6255</v>
      </c>
      <c r="AE177" s="625"/>
    </row>
    <row r="178" spans="1:31" s="620" customFormat="1" ht="18" customHeight="1" x14ac:dyDescent="0.2">
      <c r="A178" s="655" t="s">
        <v>2846</v>
      </c>
      <c r="B178" s="508">
        <f t="shared" si="12"/>
        <v>139</v>
      </c>
      <c r="C178" s="957">
        <f>+NOMINA!C182</f>
        <v>16533986</v>
      </c>
      <c r="D178" s="958" t="str">
        <f>+NOMINA!D182</f>
        <v>Serrada Bustos Gladys Magaly</v>
      </c>
      <c r="E178" s="955" t="s">
        <v>4622</v>
      </c>
      <c r="F178" s="959">
        <v>27081</v>
      </c>
      <c r="G178" s="955" t="s">
        <v>4620</v>
      </c>
      <c r="H178" s="960">
        <f>+NOMINA!H182</f>
        <v>42948</v>
      </c>
      <c r="I178" s="961">
        <f>+NOMINA!I182</f>
        <v>8</v>
      </c>
      <c r="J178" s="962">
        <f>+NOMINA!J182</f>
        <v>0</v>
      </c>
      <c r="K178" s="961">
        <f>+NOMINA!K182</f>
        <v>8</v>
      </c>
      <c r="L178" s="963">
        <f>+NOMINA!CA182</f>
        <v>6255</v>
      </c>
      <c r="M178" s="443" t="e">
        <f>#REF!+#REF!-#REF!</f>
        <v>#REF!</v>
      </c>
      <c r="N178" s="952" t="e">
        <f>ROUND((#REF!+#REF!+#REF!+#REF!+#REF!+#REF!+#REF!+#REF!),2)</f>
        <v>#REF!</v>
      </c>
      <c r="Q178" s="620" t="e">
        <f>SUM(#REF!)</f>
        <v>#REF!</v>
      </c>
      <c r="R178" s="953" t="e">
        <f>#REF!+#REF!-#REF!</f>
        <v>#REF!</v>
      </c>
      <c r="S178" s="954">
        <v>200</v>
      </c>
      <c r="T178" s="953" t="e">
        <f>#REF!+#REF!</f>
        <v>#REF!</v>
      </c>
      <c r="U178" s="954" t="e">
        <f>#REF!</f>
        <v>#REF!</v>
      </c>
      <c r="V178" s="955">
        <v>0</v>
      </c>
      <c r="W178" s="954" t="e">
        <f>#REF!</f>
        <v>#REF!</v>
      </c>
      <c r="X178" s="956" t="e">
        <f>#REF!+#REF!</f>
        <v>#REF!</v>
      </c>
      <c r="Y178" s="956" t="e">
        <f>#REF!+#REF!</f>
        <v>#REF!</v>
      </c>
      <c r="Z178" s="956"/>
      <c r="AA178" s="954" t="e">
        <f>#REF!</f>
        <v>#REF!</v>
      </c>
      <c r="AB178" s="954" t="e">
        <f t="shared" si="10"/>
        <v>#REF!</v>
      </c>
      <c r="AC178" s="954" t="e">
        <f>#REF!+#REF!</f>
        <v>#REF!</v>
      </c>
      <c r="AD178" s="954">
        <f t="shared" si="11"/>
        <v>6255</v>
      </c>
      <c r="AE178" s="625"/>
    </row>
    <row r="179" spans="1:31" s="620" customFormat="1" ht="18" customHeight="1" x14ac:dyDescent="0.2">
      <c r="A179" s="655" t="s">
        <v>2846</v>
      </c>
      <c r="B179" s="508">
        <f t="shared" si="12"/>
        <v>140</v>
      </c>
      <c r="C179" s="957">
        <f>+NOMINA!C183</f>
        <v>16739081</v>
      </c>
      <c r="D179" s="958" t="str">
        <f>+NOMINA!D183</f>
        <v>Albarran Araujo Yely Coromoto</v>
      </c>
      <c r="E179" s="955" t="s">
        <v>4622</v>
      </c>
      <c r="F179" s="959">
        <v>27081</v>
      </c>
      <c r="G179" s="955" t="s">
        <v>4620</v>
      </c>
      <c r="H179" s="960">
        <f>+NOMINA!H183</f>
        <v>42948</v>
      </c>
      <c r="I179" s="961">
        <f>+NOMINA!I183</f>
        <v>8</v>
      </c>
      <c r="J179" s="962">
        <f>+NOMINA!J183</f>
        <v>0</v>
      </c>
      <c r="K179" s="961">
        <f>+NOMINA!K183</f>
        <v>8</v>
      </c>
      <c r="L179" s="963">
        <f>+NOMINA!CA183</f>
        <v>0</v>
      </c>
      <c r="M179" s="443" t="e">
        <f>#REF!+#REF!-#REF!</f>
        <v>#REF!</v>
      </c>
      <c r="N179" s="952" t="e">
        <f>ROUND((#REF!+#REF!+#REF!+#REF!+#REF!+#REF!+#REF!+#REF!),2)</f>
        <v>#REF!</v>
      </c>
      <c r="Q179" s="620" t="e">
        <f>SUM(#REF!)</f>
        <v>#REF!</v>
      </c>
      <c r="R179" s="953" t="e">
        <f>#REF!+#REF!-#REF!</f>
        <v>#REF!</v>
      </c>
      <c r="S179" s="954">
        <v>200</v>
      </c>
      <c r="T179" s="953" t="e">
        <f>#REF!+#REF!</f>
        <v>#REF!</v>
      </c>
      <c r="U179" s="954" t="e">
        <f>#REF!</f>
        <v>#REF!</v>
      </c>
      <c r="V179" s="955">
        <v>0</v>
      </c>
      <c r="W179" s="954" t="e">
        <f>#REF!</f>
        <v>#REF!</v>
      </c>
      <c r="X179" s="956" t="e">
        <f>#REF!+#REF!</f>
        <v>#REF!</v>
      </c>
      <c r="Y179" s="956" t="e">
        <f>#REF!+#REF!</f>
        <v>#REF!</v>
      </c>
      <c r="Z179" s="956"/>
      <c r="AA179" s="954" t="e">
        <f>#REF!</f>
        <v>#REF!</v>
      </c>
      <c r="AB179" s="954" t="e">
        <f t="shared" si="10"/>
        <v>#REF!</v>
      </c>
      <c r="AC179" s="954" t="e">
        <f>#REF!+#REF!</f>
        <v>#REF!</v>
      </c>
      <c r="AD179" s="954">
        <f t="shared" si="11"/>
        <v>0</v>
      </c>
      <c r="AE179" s="625"/>
    </row>
    <row r="180" spans="1:31" s="620" customFormat="1" ht="18" customHeight="1" x14ac:dyDescent="0.2">
      <c r="A180" s="655" t="s">
        <v>2846</v>
      </c>
      <c r="B180" s="508">
        <f t="shared" si="12"/>
        <v>141</v>
      </c>
      <c r="C180" s="957">
        <f>+NOMINA!C184</f>
        <v>16740261</v>
      </c>
      <c r="D180" s="958" t="str">
        <f>+NOMINA!D184</f>
        <v>Rivas Briceño Nathaly Del Carmen</v>
      </c>
      <c r="E180" s="955" t="s">
        <v>4622</v>
      </c>
      <c r="F180" s="959">
        <v>27081</v>
      </c>
      <c r="G180" s="955" t="s">
        <v>4620</v>
      </c>
      <c r="H180" s="960">
        <f>+NOMINA!H184</f>
        <v>45505</v>
      </c>
      <c r="I180" s="961">
        <f>+NOMINA!I184</f>
        <v>1</v>
      </c>
      <c r="J180" s="962">
        <f>+NOMINA!J184</f>
        <v>0</v>
      </c>
      <c r="K180" s="961">
        <f>+NOMINA!K184</f>
        <v>1</v>
      </c>
      <c r="L180" s="963">
        <f>+NOMINA!CA184</f>
        <v>6255</v>
      </c>
      <c r="M180" s="443" t="e">
        <f>#REF!+#REF!-#REF!</f>
        <v>#REF!</v>
      </c>
      <c r="N180" s="952" t="e">
        <f>ROUND((#REF!+#REF!+#REF!+#REF!+#REF!+#REF!+#REF!+#REF!),2)</f>
        <v>#REF!</v>
      </c>
      <c r="Q180" s="620" t="e">
        <f>SUM(#REF!)</f>
        <v>#REF!</v>
      </c>
      <c r="R180" s="953" t="e">
        <f>#REF!+#REF!-#REF!</f>
        <v>#REF!</v>
      </c>
      <c r="S180" s="954">
        <v>200</v>
      </c>
      <c r="T180" s="953" t="e">
        <f>#REF!+#REF!</f>
        <v>#REF!</v>
      </c>
      <c r="U180" s="954" t="e">
        <f>#REF!</f>
        <v>#REF!</v>
      </c>
      <c r="V180" s="955">
        <v>0</v>
      </c>
      <c r="W180" s="954" t="e">
        <f>#REF!</f>
        <v>#REF!</v>
      </c>
      <c r="X180" s="956" t="e">
        <f>#REF!+#REF!</f>
        <v>#REF!</v>
      </c>
      <c r="Y180" s="956" t="e">
        <f>#REF!+#REF!</f>
        <v>#REF!</v>
      </c>
      <c r="Z180" s="956"/>
      <c r="AA180" s="954" t="e">
        <f>#REF!</f>
        <v>#REF!</v>
      </c>
      <c r="AB180" s="954" t="e">
        <f t="shared" si="10"/>
        <v>#REF!</v>
      </c>
      <c r="AC180" s="954" t="e">
        <f>#REF!+#REF!</f>
        <v>#REF!</v>
      </c>
      <c r="AD180" s="954">
        <f t="shared" si="11"/>
        <v>6255</v>
      </c>
      <c r="AE180" s="625"/>
    </row>
    <row r="181" spans="1:31" s="620" customFormat="1" ht="18" customHeight="1" x14ac:dyDescent="0.2">
      <c r="A181" s="655" t="s">
        <v>2846</v>
      </c>
      <c r="B181" s="508">
        <f t="shared" si="12"/>
        <v>142</v>
      </c>
      <c r="C181" s="957">
        <f>+NOMINA!C185</f>
        <v>16881384</v>
      </c>
      <c r="D181" s="958" t="str">
        <f>+NOMINA!D185</f>
        <v>Perez Ramirez Yonathan Jesus</v>
      </c>
      <c r="E181" s="955" t="s">
        <v>4622</v>
      </c>
      <c r="F181" s="959">
        <v>27081</v>
      </c>
      <c r="G181" s="955" t="s">
        <v>4620</v>
      </c>
      <c r="H181" s="960">
        <f>+NOMINA!H185</f>
        <v>43906</v>
      </c>
      <c r="I181" s="961">
        <f>+NOMINA!I185</f>
        <v>5</v>
      </c>
      <c r="J181" s="962">
        <f>+NOMINA!J185</f>
        <v>9</v>
      </c>
      <c r="K181" s="961">
        <f>+NOMINA!K185</f>
        <v>14</v>
      </c>
      <c r="L181" s="963">
        <f>+NOMINA!CA185</f>
        <v>6255</v>
      </c>
      <c r="M181" s="443" t="e">
        <f>#REF!+#REF!-#REF!</f>
        <v>#REF!</v>
      </c>
      <c r="N181" s="952" t="e">
        <f>ROUND((#REF!+#REF!+#REF!+#REF!+#REF!+#REF!+#REF!+#REF!),2)</f>
        <v>#REF!</v>
      </c>
      <c r="Q181" s="620" t="e">
        <f>SUM(#REF!)</f>
        <v>#REF!</v>
      </c>
      <c r="R181" s="953" t="e">
        <f>#REF!+#REF!-#REF!</f>
        <v>#REF!</v>
      </c>
      <c r="S181" s="954">
        <v>200</v>
      </c>
      <c r="T181" s="953" t="e">
        <f>#REF!+#REF!</f>
        <v>#REF!</v>
      </c>
      <c r="U181" s="954" t="e">
        <f>#REF!</f>
        <v>#REF!</v>
      </c>
      <c r="V181" s="955">
        <v>0</v>
      </c>
      <c r="W181" s="954" t="e">
        <f>#REF!</f>
        <v>#REF!</v>
      </c>
      <c r="X181" s="956" t="e">
        <f>#REF!+#REF!</f>
        <v>#REF!</v>
      </c>
      <c r="Y181" s="956" t="e">
        <f>#REF!+#REF!</f>
        <v>#REF!</v>
      </c>
      <c r="Z181" s="956"/>
      <c r="AA181" s="954" t="e">
        <f>#REF!</f>
        <v>#REF!</v>
      </c>
      <c r="AB181" s="954" t="e">
        <f t="shared" si="10"/>
        <v>#REF!</v>
      </c>
      <c r="AC181" s="954" t="e">
        <f>#REF!+#REF!</f>
        <v>#REF!</v>
      </c>
      <c r="AD181" s="954">
        <f t="shared" si="11"/>
        <v>6255</v>
      </c>
      <c r="AE181" s="625"/>
    </row>
    <row r="182" spans="1:31" s="620" customFormat="1" ht="18" customHeight="1" x14ac:dyDescent="0.2">
      <c r="A182" s="655" t="s">
        <v>2846</v>
      </c>
      <c r="B182" s="508">
        <f t="shared" si="12"/>
        <v>143</v>
      </c>
      <c r="C182" s="957">
        <f>+NOMINA!C186</f>
        <v>16882467</v>
      </c>
      <c r="D182" s="958" t="str">
        <f>+NOMINA!D186</f>
        <v>Mejia Araujo Sandra Coromoto</v>
      </c>
      <c r="E182" s="955" t="s">
        <v>4622</v>
      </c>
      <c r="F182" s="959">
        <v>27081</v>
      </c>
      <c r="G182" s="955" t="s">
        <v>4620</v>
      </c>
      <c r="H182" s="960">
        <f>+NOMINA!H186</f>
        <v>42948</v>
      </c>
      <c r="I182" s="961">
        <f>+NOMINA!I186</f>
        <v>8</v>
      </c>
      <c r="J182" s="962">
        <f>+NOMINA!J186</f>
        <v>7</v>
      </c>
      <c r="K182" s="961">
        <f>+NOMINA!K186</f>
        <v>15</v>
      </c>
      <c r="L182" s="963">
        <f>+NOMINA!CA186</f>
        <v>6255</v>
      </c>
      <c r="M182" s="443" t="e">
        <f>#REF!+#REF!-#REF!</f>
        <v>#REF!</v>
      </c>
      <c r="N182" s="952" t="e">
        <f>ROUND((#REF!+#REF!+#REF!+#REF!+#REF!+#REF!+#REF!+#REF!),2)</f>
        <v>#REF!</v>
      </c>
      <c r="Q182" s="620" t="e">
        <f>SUM(#REF!)</f>
        <v>#REF!</v>
      </c>
      <c r="R182" s="953" t="e">
        <f>#REF!+#REF!-#REF!</f>
        <v>#REF!</v>
      </c>
      <c r="S182" s="954">
        <v>200</v>
      </c>
      <c r="T182" s="953" t="e">
        <f>#REF!+#REF!</f>
        <v>#REF!</v>
      </c>
      <c r="U182" s="954" t="e">
        <f>#REF!</f>
        <v>#REF!</v>
      </c>
      <c r="V182" s="955">
        <v>0</v>
      </c>
      <c r="W182" s="954" t="e">
        <f>#REF!</f>
        <v>#REF!</v>
      </c>
      <c r="X182" s="956" t="e">
        <f>#REF!+#REF!</f>
        <v>#REF!</v>
      </c>
      <c r="Y182" s="956" t="e">
        <f>#REF!+#REF!</f>
        <v>#REF!</v>
      </c>
      <c r="Z182" s="956"/>
      <c r="AA182" s="954" t="e">
        <f>#REF!</f>
        <v>#REF!</v>
      </c>
      <c r="AB182" s="954" t="e">
        <f t="shared" si="10"/>
        <v>#REF!</v>
      </c>
      <c r="AC182" s="954" t="e">
        <f>#REF!+#REF!</f>
        <v>#REF!</v>
      </c>
      <c r="AD182" s="954">
        <f t="shared" si="11"/>
        <v>6255</v>
      </c>
      <c r="AE182" s="625"/>
    </row>
    <row r="183" spans="1:31" s="620" customFormat="1" ht="18" customHeight="1" x14ac:dyDescent="0.2">
      <c r="A183" s="655" t="s">
        <v>2846</v>
      </c>
      <c r="B183" s="508">
        <f t="shared" si="12"/>
        <v>144</v>
      </c>
      <c r="C183" s="957">
        <f>+NOMINA!C187</f>
        <v>16883267</v>
      </c>
      <c r="D183" s="958" t="str">
        <f>+NOMINA!D187</f>
        <v>Matheus Rondon Aida</v>
      </c>
      <c r="E183" s="955" t="s">
        <v>4622</v>
      </c>
      <c r="F183" s="959">
        <v>27081</v>
      </c>
      <c r="G183" s="955" t="s">
        <v>4620</v>
      </c>
      <c r="H183" s="960">
        <f>+NOMINA!H187</f>
        <v>38930</v>
      </c>
      <c r="I183" s="961">
        <f>+NOMINA!I187</f>
        <v>19</v>
      </c>
      <c r="J183" s="962">
        <f>+NOMINA!J187</f>
        <v>0</v>
      </c>
      <c r="K183" s="961">
        <f>+NOMINA!K187</f>
        <v>19</v>
      </c>
      <c r="L183" s="963">
        <f>+NOMINA!CA187</f>
        <v>0</v>
      </c>
      <c r="M183" s="443" t="e">
        <f>#REF!+#REF!-#REF!</f>
        <v>#REF!</v>
      </c>
      <c r="N183" s="952" t="e">
        <f>ROUND((#REF!+#REF!+#REF!+#REF!+#REF!+#REF!+#REF!+#REF!),2)</f>
        <v>#REF!</v>
      </c>
      <c r="Q183" s="620" t="e">
        <f>SUM(#REF!)</f>
        <v>#REF!</v>
      </c>
      <c r="R183" s="953" t="e">
        <f>#REF!+#REF!-#REF!</f>
        <v>#REF!</v>
      </c>
      <c r="S183" s="954">
        <v>200</v>
      </c>
      <c r="T183" s="953" t="e">
        <f>#REF!+#REF!</f>
        <v>#REF!</v>
      </c>
      <c r="U183" s="954" t="e">
        <f>#REF!</f>
        <v>#REF!</v>
      </c>
      <c r="V183" s="955">
        <v>0</v>
      </c>
      <c r="W183" s="954" t="e">
        <f>#REF!</f>
        <v>#REF!</v>
      </c>
      <c r="X183" s="956" t="e">
        <f>#REF!+#REF!</f>
        <v>#REF!</v>
      </c>
      <c r="Y183" s="956" t="e">
        <f>#REF!+#REF!</f>
        <v>#REF!</v>
      </c>
      <c r="Z183" s="956"/>
      <c r="AA183" s="954" t="e">
        <f>#REF!</f>
        <v>#REF!</v>
      </c>
      <c r="AB183" s="954" t="e">
        <f t="shared" si="10"/>
        <v>#REF!</v>
      </c>
      <c r="AC183" s="954" t="e">
        <f>#REF!+#REF!</f>
        <v>#REF!</v>
      </c>
      <c r="AD183" s="954">
        <f t="shared" si="11"/>
        <v>0</v>
      </c>
      <c r="AE183" s="625"/>
    </row>
    <row r="184" spans="1:31" s="620" customFormat="1" ht="18" customHeight="1" x14ac:dyDescent="0.2">
      <c r="A184" s="655" t="s">
        <v>2846</v>
      </c>
      <c r="B184" s="508">
        <f t="shared" si="12"/>
        <v>145</v>
      </c>
      <c r="C184" s="957">
        <f>+NOMINA!C188</f>
        <v>17037244</v>
      </c>
      <c r="D184" s="958" t="str">
        <f>+NOMINA!D188</f>
        <v>Bastidas Yelitza del Carmen</v>
      </c>
      <c r="E184" s="955" t="s">
        <v>4622</v>
      </c>
      <c r="F184" s="959">
        <v>27081</v>
      </c>
      <c r="G184" s="955" t="s">
        <v>4620</v>
      </c>
      <c r="H184" s="960">
        <f>+NOMINA!H188</f>
        <v>40087</v>
      </c>
      <c r="I184" s="961">
        <f>+NOMINA!I188</f>
        <v>15</v>
      </c>
      <c r="J184" s="962">
        <f>+NOMINA!J188</f>
        <v>0</v>
      </c>
      <c r="K184" s="961">
        <f>+NOMINA!K188</f>
        <v>15</v>
      </c>
      <c r="L184" s="963">
        <f>+NOMINA!CA188</f>
        <v>6255</v>
      </c>
      <c r="M184" s="443" t="e">
        <f>#REF!+#REF!-#REF!</f>
        <v>#REF!</v>
      </c>
      <c r="N184" s="952" t="e">
        <f>ROUND((#REF!+#REF!+#REF!+#REF!+#REF!+#REF!+#REF!+#REF!),2)</f>
        <v>#REF!</v>
      </c>
      <c r="Q184" s="620" t="e">
        <f>SUM(#REF!)</f>
        <v>#REF!</v>
      </c>
      <c r="R184" s="953" t="e">
        <f>#REF!+#REF!-#REF!</f>
        <v>#REF!</v>
      </c>
      <c r="S184" s="954">
        <v>200</v>
      </c>
      <c r="T184" s="953" t="e">
        <f>#REF!+#REF!</f>
        <v>#REF!</v>
      </c>
      <c r="U184" s="954" t="e">
        <f>#REF!</f>
        <v>#REF!</v>
      </c>
      <c r="V184" s="955">
        <v>0</v>
      </c>
      <c r="W184" s="954" t="e">
        <f>#REF!</f>
        <v>#REF!</v>
      </c>
      <c r="X184" s="956" t="e">
        <f>#REF!+#REF!</f>
        <v>#REF!</v>
      </c>
      <c r="Y184" s="956" t="e">
        <f>#REF!+#REF!</f>
        <v>#REF!</v>
      </c>
      <c r="Z184" s="956"/>
      <c r="AA184" s="954" t="e">
        <f>#REF!</f>
        <v>#REF!</v>
      </c>
      <c r="AB184" s="954" t="e">
        <f t="shared" si="10"/>
        <v>#REF!</v>
      </c>
      <c r="AC184" s="954" t="e">
        <f>#REF!+#REF!</f>
        <v>#REF!</v>
      </c>
      <c r="AD184" s="954">
        <f t="shared" si="11"/>
        <v>6255</v>
      </c>
      <c r="AE184" s="625"/>
    </row>
    <row r="185" spans="1:31" s="620" customFormat="1" ht="18" customHeight="1" x14ac:dyDescent="0.2">
      <c r="A185" s="655" t="s">
        <v>2846</v>
      </c>
      <c r="B185" s="508">
        <f t="shared" si="12"/>
        <v>146</v>
      </c>
      <c r="C185" s="957">
        <f>+NOMINA!C189</f>
        <v>17038061</v>
      </c>
      <c r="D185" s="958" t="str">
        <f>+NOMINA!D189</f>
        <v>Ruendez Araujo Omaira del Carmen</v>
      </c>
      <c r="E185" s="955" t="s">
        <v>4622</v>
      </c>
      <c r="F185" s="959">
        <v>27081</v>
      </c>
      <c r="G185" s="955" t="s">
        <v>4620</v>
      </c>
      <c r="H185" s="960">
        <f>+NOMINA!H189</f>
        <v>45809</v>
      </c>
      <c r="I185" s="961">
        <f>+NOMINA!I189</f>
        <v>0</v>
      </c>
      <c r="J185" s="962">
        <f>+NOMINA!J189</f>
        <v>1</v>
      </c>
      <c r="K185" s="961">
        <f>+NOMINA!K189</f>
        <v>1</v>
      </c>
      <c r="L185" s="963">
        <f>+NOMINA!CA189</f>
        <v>6255</v>
      </c>
      <c r="M185" s="443" t="e">
        <f>#REF!+#REF!-#REF!</f>
        <v>#REF!</v>
      </c>
      <c r="N185" s="952" t="e">
        <f>ROUND((#REF!+#REF!+#REF!+#REF!+#REF!+#REF!+#REF!+#REF!),2)</f>
        <v>#REF!</v>
      </c>
      <c r="Q185" s="620" t="e">
        <f>SUM(#REF!)</f>
        <v>#REF!</v>
      </c>
      <c r="R185" s="953" t="e">
        <f>#REF!+#REF!-#REF!</f>
        <v>#REF!</v>
      </c>
      <c r="S185" s="954">
        <v>200</v>
      </c>
      <c r="T185" s="953" t="e">
        <f>#REF!+#REF!</f>
        <v>#REF!</v>
      </c>
      <c r="U185" s="954" t="e">
        <f>#REF!</f>
        <v>#REF!</v>
      </c>
      <c r="V185" s="955">
        <v>0</v>
      </c>
      <c r="W185" s="954" t="e">
        <f>#REF!</f>
        <v>#REF!</v>
      </c>
      <c r="X185" s="956" t="e">
        <f>#REF!+#REF!</f>
        <v>#REF!</v>
      </c>
      <c r="Y185" s="956" t="e">
        <f>#REF!+#REF!</f>
        <v>#REF!</v>
      </c>
      <c r="Z185" s="956"/>
      <c r="AA185" s="954" t="e">
        <f>#REF!</f>
        <v>#REF!</v>
      </c>
      <c r="AB185" s="954" t="e">
        <f t="shared" si="10"/>
        <v>#REF!</v>
      </c>
      <c r="AC185" s="954" t="e">
        <f>#REF!+#REF!</f>
        <v>#REF!</v>
      </c>
      <c r="AD185" s="954">
        <f t="shared" si="11"/>
        <v>6255</v>
      </c>
      <c r="AE185" s="625"/>
    </row>
    <row r="186" spans="1:31" s="620" customFormat="1" ht="18" customHeight="1" x14ac:dyDescent="0.2">
      <c r="A186" s="655" t="s">
        <v>2846</v>
      </c>
      <c r="B186" s="508">
        <f t="shared" si="12"/>
        <v>147</v>
      </c>
      <c r="C186" s="957">
        <f>+NOMINA!C190</f>
        <v>17094419</v>
      </c>
      <c r="D186" s="958" t="str">
        <f>+NOMINA!D190</f>
        <v>Aponte Rivera Lenismar del Valle</v>
      </c>
      <c r="E186" s="955" t="s">
        <v>4622</v>
      </c>
      <c r="F186" s="959">
        <v>27081</v>
      </c>
      <c r="G186" s="955" t="s">
        <v>4620</v>
      </c>
      <c r="H186" s="960">
        <f>+NOMINA!H190</f>
        <v>44409</v>
      </c>
      <c r="I186" s="961">
        <f>+NOMINA!I190</f>
        <v>4</v>
      </c>
      <c r="J186" s="962">
        <f>+NOMINA!J190</f>
        <v>0</v>
      </c>
      <c r="K186" s="961">
        <f>+NOMINA!K190</f>
        <v>4</v>
      </c>
      <c r="L186" s="963">
        <f>+NOMINA!CA190</f>
        <v>6255</v>
      </c>
      <c r="M186" s="443" t="e">
        <f>#REF!+#REF!-#REF!</f>
        <v>#REF!</v>
      </c>
      <c r="N186" s="952" t="e">
        <f>ROUND((#REF!+#REF!+#REF!+#REF!+#REF!+#REF!+#REF!+#REF!),2)</f>
        <v>#REF!</v>
      </c>
      <c r="Q186" s="620" t="e">
        <f>SUM(#REF!)</f>
        <v>#REF!</v>
      </c>
      <c r="R186" s="953" t="e">
        <f>#REF!+#REF!-#REF!</f>
        <v>#REF!</v>
      </c>
      <c r="S186" s="954">
        <v>200</v>
      </c>
      <c r="T186" s="953" t="e">
        <f>#REF!+#REF!</f>
        <v>#REF!</v>
      </c>
      <c r="U186" s="954" t="e">
        <f>#REF!</f>
        <v>#REF!</v>
      </c>
      <c r="V186" s="955">
        <v>0</v>
      </c>
      <c r="W186" s="954" t="e">
        <f>#REF!</f>
        <v>#REF!</v>
      </c>
      <c r="X186" s="956" t="e">
        <f>#REF!+#REF!</f>
        <v>#REF!</v>
      </c>
      <c r="Y186" s="956" t="e">
        <f>#REF!+#REF!</f>
        <v>#REF!</v>
      </c>
      <c r="Z186" s="956"/>
      <c r="AA186" s="954" t="e">
        <f>#REF!</f>
        <v>#REF!</v>
      </c>
      <c r="AB186" s="954" t="e">
        <f t="shared" si="10"/>
        <v>#REF!</v>
      </c>
      <c r="AC186" s="954" t="e">
        <f>#REF!+#REF!</f>
        <v>#REF!</v>
      </c>
      <c r="AD186" s="954">
        <f t="shared" si="11"/>
        <v>6255</v>
      </c>
      <c r="AE186" s="625"/>
    </row>
    <row r="187" spans="1:31" s="620" customFormat="1" ht="18" customHeight="1" x14ac:dyDescent="0.2">
      <c r="A187" s="655" t="s">
        <v>2846</v>
      </c>
      <c r="B187" s="508">
        <f t="shared" si="12"/>
        <v>148</v>
      </c>
      <c r="C187" s="957">
        <f>+NOMINA!C191</f>
        <v>17094426</v>
      </c>
      <c r="D187" s="958" t="str">
        <f>+NOMINA!D191</f>
        <v>Manzanilla Araujo Richard Jose</v>
      </c>
      <c r="E187" s="955" t="s">
        <v>4622</v>
      </c>
      <c r="F187" s="959">
        <v>27081</v>
      </c>
      <c r="G187" s="955" t="s">
        <v>4620</v>
      </c>
      <c r="H187" s="960">
        <f>+NOMINA!H191</f>
        <v>43344</v>
      </c>
      <c r="I187" s="961">
        <f>+NOMINA!I191</f>
        <v>7</v>
      </c>
      <c r="J187" s="962">
        <f>+NOMINA!J191</f>
        <v>0</v>
      </c>
      <c r="K187" s="961">
        <f>+NOMINA!K191</f>
        <v>7</v>
      </c>
      <c r="L187" s="963">
        <f>+NOMINA!CA191</f>
        <v>6255</v>
      </c>
      <c r="M187" s="443" t="e">
        <f>#REF!+#REF!-#REF!</f>
        <v>#REF!</v>
      </c>
      <c r="N187" s="952" t="e">
        <f>ROUND((#REF!+#REF!+#REF!+#REF!+#REF!+#REF!+#REF!+#REF!),2)</f>
        <v>#REF!</v>
      </c>
      <c r="Q187" s="620" t="e">
        <f>SUM(#REF!)</f>
        <v>#REF!</v>
      </c>
      <c r="R187" s="953" t="e">
        <f>#REF!+#REF!-#REF!</f>
        <v>#REF!</v>
      </c>
      <c r="S187" s="954">
        <v>200</v>
      </c>
      <c r="T187" s="953" t="e">
        <f>#REF!+#REF!</f>
        <v>#REF!</v>
      </c>
      <c r="U187" s="954" t="e">
        <f>#REF!</f>
        <v>#REF!</v>
      </c>
      <c r="V187" s="955">
        <v>0</v>
      </c>
      <c r="W187" s="954" t="e">
        <f>#REF!</f>
        <v>#REF!</v>
      </c>
      <c r="X187" s="956" t="e">
        <f>#REF!+#REF!</f>
        <v>#REF!</v>
      </c>
      <c r="Y187" s="956" t="e">
        <f>#REF!+#REF!</f>
        <v>#REF!</v>
      </c>
      <c r="Z187" s="956"/>
      <c r="AA187" s="954" t="e">
        <f>#REF!</f>
        <v>#REF!</v>
      </c>
      <c r="AB187" s="954" t="e">
        <f t="shared" si="10"/>
        <v>#REF!</v>
      </c>
      <c r="AC187" s="954" t="e">
        <f>#REF!+#REF!</f>
        <v>#REF!</v>
      </c>
      <c r="AD187" s="954">
        <f t="shared" si="11"/>
        <v>6255</v>
      </c>
      <c r="AE187" s="625"/>
    </row>
    <row r="188" spans="1:31" s="620" customFormat="1" ht="18" customHeight="1" x14ac:dyDescent="0.2">
      <c r="A188" s="655" t="s">
        <v>2846</v>
      </c>
      <c r="B188" s="508">
        <f t="shared" si="12"/>
        <v>149</v>
      </c>
      <c r="C188" s="957">
        <f>+NOMINA!C192</f>
        <v>17130893</v>
      </c>
      <c r="D188" s="958" t="str">
        <f>+NOMINA!D192</f>
        <v>Leon Valero Ceila Maria</v>
      </c>
      <c r="E188" s="955" t="s">
        <v>4622</v>
      </c>
      <c r="F188" s="959">
        <v>27081</v>
      </c>
      <c r="G188" s="955" t="s">
        <v>4620</v>
      </c>
      <c r="H188" s="960">
        <f>+NOMINA!H192</f>
        <v>39602</v>
      </c>
      <c r="I188" s="961">
        <f>+NOMINA!I192</f>
        <v>17</v>
      </c>
      <c r="J188" s="962">
        <f>+NOMINA!J192</f>
        <v>0</v>
      </c>
      <c r="K188" s="961">
        <f>+NOMINA!K192</f>
        <v>17</v>
      </c>
      <c r="L188" s="963">
        <f>+NOMINA!CA192</f>
        <v>6255</v>
      </c>
      <c r="M188" s="443" t="e">
        <f>#REF!+#REF!-#REF!</f>
        <v>#REF!</v>
      </c>
      <c r="N188" s="952" t="e">
        <f>ROUND((#REF!+#REF!+#REF!+#REF!+#REF!+#REF!+#REF!+#REF!),2)</f>
        <v>#REF!</v>
      </c>
      <c r="Q188" s="620" t="e">
        <f>SUM(#REF!)</f>
        <v>#REF!</v>
      </c>
      <c r="R188" s="953" t="e">
        <f>#REF!+#REF!-#REF!</f>
        <v>#REF!</v>
      </c>
      <c r="S188" s="954">
        <v>200</v>
      </c>
      <c r="T188" s="953" t="e">
        <f>#REF!+#REF!</f>
        <v>#REF!</v>
      </c>
      <c r="U188" s="954" t="e">
        <f>#REF!</f>
        <v>#REF!</v>
      </c>
      <c r="V188" s="955">
        <v>0</v>
      </c>
      <c r="W188" s="954" t="e">
        <f>#REF!</f>
        <v>#REF!</v>
      </c>
      <c r="X188" s="956" t="e">
        <f>#REF!+#REF!</f>
        <v>#REF!</v>
      </c>
      <c r="Y188" s="956" t="e">
        <f>#REF!+#REF!</f>
        <v>#REF!</v>
      </c>
      <c r="Z188" s="956"/>
      <c r="AA188" s="954" t="e">
        <f>#REF!</f>
        <v>#REF!</v>
      </c>
      <c r="AB188" s="954" t="e">
        <f t="shared" si="10"/>
        <v>#REF!</v>
      </c>
      <c r="AC188" s="954" t="e">
        <f>#REF!+#REF!</f>
        <v>#REF!</v>
      </c>
      <c r="AD188" s="954">
        <f t="shared" si="11"/>
        <v>6255</v>
      </c>
      <c r="AE188" s="625"/>
    </row>
    <row r="189" spans="1:31" s="620" customFormat="1" ht="18" customHeight="1" x14ac:dyDescent="0.2">
      <c r="A189" s="655" t="s">
        <v>2846</v>
      </c>
      <c r="B189" s="508">
        <f t="shared" si="12"/>
        <v>150</v>
      </c>
      <c r="C189" s="957">
        <f>+NOMINA!C193</f>
        <v>17265578</v>
      </c>
      <c r="D189" s="958" t="str">
        <f>+NOMINA!D193</f>
        <v>Briceño Aguilar Rebeca Andreina</v>
      </c>
      <c r="E189" s="955" t="s">
        <v>4622</v>
      </c>
      <c r="F189" s="959">
        <v>27081</v>
      </c>
      <c r="G189" s="955" t="s">
        <v>4620</v>
      </c>
      <c r="H189" s="960">
        <f>+NOMINA!H193</f>
        <v>45047</v>
      </c>
      <c r="I189" s="961">
        <f>+NOMINA!I193</f>
        <v>2</v>
      </c>
      <c r="J189" s="962">
        <f>+NOMINA!J193</f>
        <v>2</v>
      </c>
      <c r="K189" s="961">
        <f>+NOMINA!K193</f>
        <v>4</v>
      </c>
      <c r="L189" s="963">
        <f>+NOMINA!CA193</f>
        <v>6255</v>
      </c>
      <c r="M189" s="443" t="e">
        <f>#REF!+#REF!-#REF!</f>
        <v>#REF!</v>
      </c>
      <c r="N189" s="952" t="e">
        <f>ROUND((#REF!+#REF!+#REF!+#REF!+#REF!+#REF!+#REF!+#REF!),2)</f>
        <v>#REF!</v>
      </c>
      <c r="Q189" s="620" t="e">
        <f>SUM(#REF!)</f>
        <v>#REF!</v>
      </c>
      <c r="R189" s="953" t="e">
        <f>#REF!+#REF!-#REF!</f>
        <v>#REF!</v>
      </c>
      <c r="S189" s="954">
        <v>200</v>
      </c>
      <c r="T189" s="953" t="e">
        <f>#REF!+#REF!</f>
        <v>#REF!</v>
      </c>
      <c r="U189" s="954" t="e">
        <f>#REF!</f>
        <v>#REF!</v>
      </c>
      <c r="V189" s="955">
        <v>0</v>
      </c>
      <c r="W189" s="954" t="e">
        <f>#REF!</f>
        <v>#REF!</v>
      </c>
      <c r="X189" s="956" t="e">
        <f>#REF!+#REF!</f>
        <v>#REF!</v>
      </c>
      <c r="Y189" s="956" t="e">
        <f>#REF!+#REF!</f>
        <v>#REF!</v>
      </c>
      <c r="Z189" s="956"/>
      <c r="AA189" s="954" t="e">
        <f>#REF!</f>
        <v>#REF!</v>
      </c>
      <c r="AB189" s="954" t="e">
        <f t="shared" si="10"/>
        <v>#REF!</v>
      </c>
      <c r="AC189" s="954" t="e">
        <f>#REF!+#REF!</f>
        <v>#REF!</v>
      </c>
      <c r="AD189" s="954">
        <f t="shared" si="11"/>
        <v>6255</v>
      </c>
      <c r="AE189" s="625"/>
    </row>
    <row r="190" spans="1:31" s="620" customFormat="1" ht="18" customHeight="1" x14ac:dyDescent="0.2">
      <c r="A190" s="655" t="s">
        <v>2846</v>
      </c>
      <c r="B190" s="508">
        <f t="shared" si="12"/>
        <v>151</v>
      </c>
      <c r="C190" s="957">
        <f>+NOMINA!C194</f>
        <v>17265648</v>
      </c>
      <c r="D190" s="958" t="str">
        <f>+NOMINA!D194</f>
        <v>Carrizo Mary Alejandra</v>
      </c>
      <c r="E190" s="955" t="s">
        <v>4622</v>
      </c>
      <c r="F190" s="959">
        <v>27081</v>
      </c>
      <c r="G190" s="955" t="s">
        <v>4620</v>
      </c>
      <c r="H190" s="960">
        <f>+NOMINA!H194</f>
        <v>43709</v>
      </c>
      <c r="I190" s="961">
        <f>+NOMINA!I194</f>
        <v>6</v>
      </c>
      <c r="J190" s="962">
        <f>+NOMINA!J194</f>
        <v>0</v>
      </c>
      <c r="K190" s="961">
        <f>+NOMINA!K194</f>
        <v>6</v>
      </c>
      <c r="L190" s="963">
        <f>+NOMINA!CA194</f>
        <v>6255</v>
      </c>
      <c r="M190" s="443" t="e">
        <f>#REF!+#REF!-#REF!</f>
        <v>#REF!</v>
      </c>
      <c r="N190" s="952" t="e">
        <f>ROUND((#REF!+#REF!+#REF!+#REF!+#REF!+#REF!+#REF!+#REF!),2)</f>
        <v>#REF!</v>
      </c>
      <c r="Q190" s="620" t="e">
        <f>SUM(#REF!)</f>
        <v>#REF!</v>
      </c>
      <c r="R190" s="953" t="e">
        <f>#REF!+#REF!-#REF!</f>
        <v>#REF!</v>
      </c>
      <c r="S190" s="954">
        <v>200</v>
      </c>
      <c r="T190" s="953" t="e">
        <f>#REF!+#REF!</f>
        <v>#REF!</v>
      </c>
      <c r="U190" s="954" t="e">
        <f>#REF!</f>
        <v>#REF!</v>
      </c>
      <c r="V190" s="955">
        <v>0</v>
      </c>
      <c r="W190" s="954" t="e">
        <f>#REF!</f>
        <v>#REF!</v>
      </c>
      <c r="X190" s="956" t="e">
        <f>#REF!+#REF!</f>
        <v>#REF!</v>
      </c>
      <c r="Y190" s="956" t="e">
        <f>#REF!+#REF!</f>
        <v>#REF!</v>
      </c>
      <c r="Z190" s="956"/>
      <c r="AA190" s="954" t="e">
        <f>#REF!</f>
        <v>#REF!</v>
      </c>
      <c r="AB190" s="954" t="e">
        <f t="shared" si="10"/>
        <v>#REF!</v>
      </c>
      <c r="AC190" s="954" t="e">
        <f>#REF!+#REF!</f>
        <v>#REF!</v>
      </c>
      <c r="AD190" s="954">
        <f t="shared" si="11"/>
        <v>6255</v>
      </c>
      <c r="AE190" s="625"/>
    </row>
    <row r="191" spans="1:31" s="620" customFormat="1" ht="18" customHeight="1" x14ac:dyDescent="0.2">
      <c r="A191" s="655" t="s">
        <v>2846</v>
      </c>
      <c r="B191" s="508">
        <f t="shared" si="12"/>
        <v>152</v>
      </c>
      <c r="C191" s="957">
        <f>+NOMINA!C195</f>
        <v>17267324</v>
      </c>
      <c r="D191" s="958" t="str">
        <f>+NOMINA!D195</f>
        <v>Urdaneta Soto Katherine Esther</v>
      </c>
      <c r="E191" s="955" t="s">
        <v>4622</v>
      </c>
      <c r="F191" s="959">
        <v>27081</v>
      </c>
      <c r="G191" s="955" t="s">
        <v>4620</v>
      </c>
      <c r="H191" s="960">
        <f>+NOMINA!H195</f>
        <v>43785</v>
      </c>
      <c r="I191" s="961">
        <f>+NOMINA!I195</f>
        <v>5</v>
      </c>
      <c r="J191" s="962">
        <f>+NOMINA!J195</f>
        <v>0</v>
      </c>
      <c r="K191" s="961">
        <f>+NOMINA!K195</f>
        <v>5</v>
      </c>
      <c r="L191" s="963">
        <f>+NOMINA!CA195</f>
        <v>6255</v>
      </c>
      <c r="M191" s="443" t="e">
        <f>#REF!+#REF!-#REF!</f>
        <v>#REF!</v>
      </c>
      <c r="N191" s="952" t="e">
        <f>ROUND((#REF!+#REF!+#REF!+#REF!+#REF!+#REF!+#REF!+#REF!),2)</f>
        <v>#REF!</v>
      </c>
      <c r="Q191" s="620" t="e">
        <f>SUM(#REF!)</f>
        <v>#REF!</v>
      </c>
      <c r="R191" s="953" t="e">
        <f>#REF!+#REF!-#REF!</f>
        <v>#REF!</v>
      </c>
      <c r="S191" s="954">
        <v>200</v>
      </c>
      <c r="T191" s="953" t="e">
        <f>#REF!+#REF!</f>
        <v>#REF!</v>
      </c>
      <c r="U191" s="954" t="e">
        <f>#REF!</f>
        <v>#REF!</v>
      </c>
      <c r="V191" s="955">
        <v>0</v>
      </c>
      <c r="W191" s="954" t="e">
        <f>#REF!</f>
        <v>#REF!</v>
      </c>
      <c r="X191" s="956" t="e">
        <f>#REF!+#REF!</f>
        <v>#REF!</v>
      </c>
      <c r="Y191" s="956" t="e">
        <f>#REF!+#REF!</f>
        <v>#REF!</v>
      </c>
      <c r="Z191" s="956"/>
      <c r="AA191" s="954" t="e">
        <f>#REF!</f>
        <v>#REF!</v>
      </c>
      <c r="AB191" s="954" t="e">
        <f t="shared" si="10"/>
        <v>#REF!</v>
      </c>
      <c r="AC191" s="954" t="e">
        <f>#REF!+#REF!</f>
        <v>#REF!</v>
      </c>
      <c r="AD191" s="954">
        <f t="shared" si="11"/>
        <v>6255</v>
      </c>
      <c r="AE191" s="625"/>
    </row>
    <row r="192" spans="1:31" s="620" customFormat="1" ht="18" customHeight="1" x14ac:dyDescent="0.2">
      <c r="A192" s="655" t="s">
        <v>2846</v>
      </c>
      <c r="B192" s="508">
        <f t="shared" si="12"/>
        <v>153</v>
      </c>
      <c r="C192" s="957">
        <f>+NOMINA!C196</f>
        <v>17391316</v>
      </c>
      <c r="D192" s="958" t="str">
        <f>+NOMINA!D196</f>
        <v>Torres Aranguren Lilibeth del Valle</v>
      </c>
      <c r="E192" s="955" t="s">
        <v>4622</v>
      </c>
      <c r="F192" s="959">
        <v>27081</v>
      </c>
      <c r="G192" s="955" t="s">
        <v>4620</v>
      </c>
      <c r="H192" s="960">
        <f>+NOMINA!H196</f>
        <v>44713</v>
      </c>
      <c r="I192" s="961">
        <f>+NOMINA!I196</f>
        <v>3</v>
      </c>
      <c r="J192" s="962">
        <f>+NOMINA!J196</f>
        <v>0</v>
      </c>
      <c r="K192" s="961">
        <f>+NOMINA!K196</f>
        <v>3</v>
      </c>
      <c r="L192" s="963">
        <f>+NOMINA!CA196</f>
        <v>6255</v>
      </c>
      <c r="M192" s="443" t="e">
        <f>#REF!+#REF!-#REF!</f>
        <v>#REF!</v>
      </c>
      <c r="N192" s="952" t="e">
        <f>ROUND((#REF!+#REF!+#REF!+#REF!+#REF!+#REF!+#REF!+#REF!),2)</f>
        <v>#REF!</v>
      </c>
      <c r="Q192" s="620" t="e">
        <f>SUM(#REF!)</f>
        <v>#REF!</v>
      </c>
      <c r="R192" s="953" t="e">
        <f>#REF!+#REF!-#REF!</f>
        <v>#REF!</v>
      </c>
      <c r="S192" s="954">
        <v>200</v>
      </c>
      <c r="T192" s="953" t="e">
        <f>#REF!+#REF!</f>
        <v>#REF!</v>
      </c>
      <c r="U192" s="954" t="e">
        <f>#REF!</f>
        <v>#REF!</v>
      </c>
      <c r="V192" s="955">
        <v>0</v>
      </c>
      <c r="W192" s="954" t="e">
        <f>#REF!</f>
        <v>#REF!</v>
      </c>
      <c r="X192" s="956" t="e">
        <f>#REF!+#REF!</f>
        <v>#REF!</v>
      </c>
      <c r="Y192" s="956" t="e">
        <f>#REF!+#REF!</f>
        <v>#REF!</v>
      </c>
      <c r="Z192" s="956"/>
      <c r="AA192" s="954" t="e">
        <f>#REF!</f>
        <v>#REF!</v>
      </c>
      <c r="AB192" s="954" t="e">
        <f t="shared" si="10"/>
        <v>#REF!</v>
      </c>
      <c r="AC192" s="954" t="e">
        <f>#REF!+#REF!</f>
        <v>#REF!</v>
      </c>
      <c r="AD192" s="954">
        <f t="shared" si="11"/>
        <v>6255</v>
      </c>
      <c r="AE192" s="625"/>
    </row>
    <row r="193" spans="1:31" s="620" customFormat="1" ht="18" customHeight="1" x14ac:dyDescent="0.2">
      <c r="A193" s="655" t="s">
        <v>2846</v>
      </c>
      <c r="B193" s="508">
        <f t="shared" si="12"/>
        <v>154</v>
      </c>
      <c r="C193" s="957">
        <f>+NOMINA!C197</f>
        <v>17391892</v>
      </c>
      <c r="D193" s="958" t="str">
        <f>+NOMINA!D197</f>
        <v>Godoy Padilla Darcy Yaneth</v>
      </c>
      <c r="E193" s="955" t="s">
        <v>4622</v>
      </c>
      <c r="F193" s="959">
        <v>27081</v>
      </c>
      <c r="G193" s="955" t="s">
        <v>4620</v>
      </c>
      <c r="H193" s="960">
        <f>+NOMINA!H197</f>
        <v>45323</v>
      </c>
      <c r="I193" s="961">
        <f>+NOMINA!I197</f>
        <v>1</v>
      </c>
      <c r="J193" s="962">
        <f>+NOMINA!J197</f>
        <v>2</v>
      </c>
      <c r="K193" s="961">
        <f>+NOMINA!K197</f>
        <v>3</v>
      </c>
      <c r="L193" s="963">
        <f>+NOMINA!CA197</f>
        <v>6255</v>
      </c>
      <c r="M193" s="443" t="e">
        <f>#REF!+#REF!-#REF!</f>
        <v>#REF!</v>
      </c>
      <c r="N193" s="952" t="e">
        <f>ROUND((#REF!+#REF!+#REF!+#REF!+#REF!+#REF!+#REF!+#REF!),2)</f>
        <v>#REF!</v>
      </c>
      <c r="Q193" s="620" t="e">
        <f>SUM(#REF!)</f>
        <v>#REF!</v>
      </c>
      <c r="R193" s="953" t="e">
        <f>#REF!+#REF!-#REF!</f>
        <v>#REF!</v>
      </c>
      <c r="S193" s="954">
        <v>200</v>
      </c>
      <c r="T193" s="953" t="e">
        <f>#REF!+#REF!</f>
        <v>#REF!</v>
      </c>
      <c r="U193" s="954" t="e">
        <f>#REF!</f>
        <v>#REF!</v>
      </c>
      <c r="V193" s="955">
        <v>0</v>
      </c>
      <c r="W193" s="954" t="e">
        <f>#REF!</f>
        <v>#REF!</v>
      </c>
      <c r="X193" s="956" t="e">
        <f>#REF!+#REF!</f>
        <v>#REF!</v>
      </c>
      <c r="Y193" s="956" t="e">
        <f>#REF!+#REF!</f>
        <v>#REF!</v>
      </c>
      <c r="Z193" s="956"/>
      <c r="AA193" s="954" t="e">
        <f>#REF!</f>
        <v>#REF!</v>
      </c>
      <c r="AB193" s="954" t="e">
        <f t="shared" si="10"/>
        <v>#REF!</v>
      </c>
      <c r="AC193" s="954" t="e">
        <f>#REF!+#REF!</f>
        <v>#REF!</v>
      </c>
      <c r="AD193" s="954">
        <f t="shared" si="11"/>
        <v>6255</v>
      </c>
      <c r="AE193" s="625"/>
    </row>
    <row r="194" spans="1:31" s="620" customFormat="1" ht="18" customHeight="1" x14ac:dyDescent="0.2">
      <c r="A194" s="655" t="s">
        <v>2846</v>
      </c>
      <c r="B194" s="508">
        <f t="shared" si="12"/>
        <v>155</v>
      </c>
      <c r="C194" s="957">
        <f>+NOMINA!C198</f>
        <v>17392309</v>
      </c>
      <c r="D194" s="958" t="str">
        <f>+NOMINA!D198</f>
        <v>Torres Briceño Yarelis del Carmen</v>
      </c>
      <c r="E194" s="955" t="s">
        <v>4622</v>
      </c>
      <c r="F194" s="959">
        <v>27081</v>
      </c>
      <c r="G194" s="955" t="s">
        <v>4620</v>
      </c>
      <c r="H194" s="960">
        <f>+NOMINA!H198</f>
        <v>43116</v>
      </c>
      <c r="I194" s="961">
        <f>+NOMINA!I198</f>
        <v>7</v>
      </c>
      <c r="J194" s="962">
        <f>+NOMINA!J198</f>
        <v>0</v>
      </c>
      <c r="K194" s="961">
        <f>+NOMINA!K198</f>
        <v>7</v>
      </c>
      <c r="L194" s="963">
        <f>+NOMINA!CA198</f>
        <v>6255</v>
      </c>
      <c r="M194" s="443" t="e">
        <f>#REF!+#REF!-#REF!</f>
        <v>#REF!</v>
      </c>
      <c r="N194" s="952" t="e">
        <f>ROUND((#REF!+#REF!+#REF!+#REF!+#REF!+#REF!+#REF!+#REF!),2)</f>
        <v>#REF!</v>
      </c>
      <c r="Q194" s="620" t="e">
        <f>SUM(#REF!)</f>
        <v>#REF!</v>
      </c>
      <c r="R194" s="953" t="e">
        <f>#REF!+#REF!-#REF!</f>
        <v>#REF!</v>
      </c>
      <c r="S194" s="954">
        <v>200</v>
      </c>
      <c r="T194" s="953" t="e">
        <f>#REF!+#REF!</f>
        <v>#REF!</v>
      </c>
      <c r="U194" s="954" t="e">
        <f>#REF!</f>
        <v>#REF!</v>
      </c>
      <c r="V194" s="955">
        <v>0</v>
      </c>
      <c r="W194" s="954" t="e">
        <f>#REF!</f>
        <v>#REF!</v>
      </c>
      <c r="X194" s="956" t="e">
        <f>#REF!+#REF!</f>
        <v>#REF!</v>
      </c>
      <c r="Y194" s="956" t="e">
        <f>#REF!+#REF!</f>
        <v>#REF!</v>
      </c>
      <c r="Z194" s="956"/>
      <c r="AA194" s="954" t="e">
        <f>#REF!</f>
        <v>#REF!</v>
      </c>
      <c r="AB194" s="954" t="e">
        <f t="shared" si="10"/>
        <v>#REF!</v>
      </c>
      <c r="AC194" s="954" t="e">
        <f>#REF!+#REF!</f>
        <v>#REF!</v>
      </c>
      <c r="AD194" s="954">
        <f t="shared" si="11"/>
        <v>6255</v>
      </c>
      <c r="AE194" s="625"/>
    </row>
    <row r="195" spans="1:31" s="620" customFormat="1" ht="18" customHeight="1" x14ac:dyDescent="0.2">
      <c r="A195" s="655" t="s">
        <v>2846</v>
      </c>
      <c r="B195" s="508">
        <f t="shared" si="12"/>
        <v>156</v>
      </c>
      <c r="C195" s="957">
        <f>+NOMINA!C199</f>
        <v>17393693</v>
      </c>
      <c r="D195" s="958" t="str">
        <f>+NOMINA!D199</f>
        <v>Nuñez Maria Gusmara</v>
      </c>
      <c r="E195" s="955" t="s">
        <v>4622</v>
      </c>
      <c r="F195" s="959">
        <v>27081</v>
      </c>
      <c r="G195" s="955" t="s">
        <v>4620</v>
      </c>
      <c r="H195" s="960">
        <f>+NOMINA!H199</f>
        <v>44516</v>
      </c>
      <c r="I195" s="961">
        <f>+NOMINA!I199</f>
        <v>3</v>
      </c>
      <c r="J195" s="962">
        <f>+NOMINA!J199</f>
        <v>0</v>
      </c>
      <c r="K195" s="961">
        <f>+NOMINA!K199</f>
        <v>3</v>
      </c>
      <c r="L195" s="963">
        <f>+NOMINA!CA199</f>
        <v>6255</v>
      </c>
      <c r="M195" s="443" t="e">
        <f>#REF!+#REF!-#REF!</f>
        <v>#REF!</v>
      </c>
      <c r="N195" s="952" t="e">
        <f>ROUND((#REF!+#REF!+#REF!+#REF!+#REF!+#REF!+#REF!+#REF!),2)</f>
        <v>#REF!</v>
      </c>
      <c r="Q195" s="620" t="e">
        <f>SUM(#REF!)</f>
        <v>#REF!</v>
      </c>
      <c r="R195" s="953" t="e">
        <f>#REF!+#REF!-#REF!</f>
        <v>#REF!</v>
      </c>
      <c r="S195" s="954">
        <v>200</v>
      </c>
      <c r="T195" s="953" t="e">
        <f>#REF!+#REF!</f>
        <v>#REF!</v>
      </c>
      <c r="U195" s="954" t="e">
        <f>#REF!</f>
        <v>#REF!</v>
      </c>
      <c r="V195" s="955">
        <v>0</v>
      </c>
      <c r="W195" s="954" t="e">
        <f>#REF!</f>
        <v>#REF!</v>
      </c>
      <c r="X195" s="956" t="e">
        <f>#REF!+#REF!</f>
        <v>#REF!</v>
      </c>
      <c r="Y195" s="956" t="e">
        <f>#REF!+#REF!</f>
        <v>#REF!</v>
      </c>
      <c r="Z195" s="956"/>
      <c r="AA195" s="954" t="e">
        <f>#REF!</f>
        <v>#REF!</v>
      </c>
      <c r="AB195" s="954" t="e">
        <f t="shared" si="10"/>
        <v>#REF!</v>
      </c>
      <c r="AC195" s="954" t="e">
        <f>#REF!+#REF!</f>
        <v>#REF!</v>
      </c>
      <c r="AD195" s="954">
        <f t="shared" si="11"/>
        <v>6255</v>
      </c>
      <c r="AE195" s="625"/>
    </row>
    <row r="196" spans="1:31" s="620" customFormat="1" ht="18" customHeight="1" x14ac:dyDescent="0.2">
      <c r="A196" s="655" t="s">
        <v>2846</v>
      </c>
      <c r="B196" s="508">
        <f t="shared" si="12"/>
        <v>157</v>
      </c>
      <c r="C196" s="957">
        <f>+NOMINA!C200</f>
        <v>17596844</v>
      </c>
      <c r="D196" s="958" t="str">
        <f>+NOMINA!D200</f>
        <v>Colmenares Jorge Luis</v>
      </c>
      <c r="E196" s="955" t="s">
        <v>4622</v>
      </c>
      <c r="F196" s="959">
        <v>27081</v>
      </c>
      <c r="G196" s="955" t="s">
        <v>4620</v>
      </c>
      <c r="H196" s="960">
        <f>+NOMINA!H200</f>
        <v>45474</v>
      </c>
      <c r="I196" s="961">
        <f>+NOMINA!I200</f>
        <v>1</v>
      </c>
      <c r="J196" s="962">
        <f>+NOMINA!J200</f>
        <v>0</v>
      </c>
      <c r="K196" s="961">
        <f>+NOMINA!K200</f>
        <v>1</v>
      </c>
      <c r="L196" s="963">
        <f>+NOMINA!CA200</f>
        <v>6255</v>
      </c>
      <c r="M196" s="443" t="e">
        <f>#REF!+#REF!-#REF!</f>
        <v>#REF!</v>
      </c>
      <c r="N196" s="952" t="e">
        <f>ROUND((#REF!+#REF!+#REF!+#REF!+#REF!+#REF!+#REF!+#REF!),2)</f>
        <v>#REF!</v>
      </c>
      <c r="Q196" s="620" t="e">
        <f>SUM(#REF!)</f>
        <v>#REF!</v>
      </c>
      <c r="R196" s="953" t="e">
        <f>#REF!+#REF!-#REF!</f>
        <v>#REF!</v>
      </c>
      <c r="S196" s="954">
        <v>200</v>
      </c>
      <c r="T196" s="953" t="e">
        <f>#REF!+#REF!</f>
        <v>#REF!</v>
      </c>
      <c r="U196" s="954" t="e">
        <f>#REF!</f>
        <v>#REF!</v>
      </c>
      <c r="V196" s="955">
        <v>0</v>
      </c>
      <c r="W196" s="954" t="e">
        <f>#REF!</f>
        <v>#REF!</v>
      </c>
      <c r="X196" s="956" t="e">
        <f>#REF!+#REF!</f>
        <v>#REF!</v>
      </c>
      <c r="Y196" s="956" t="e">
        <f>#REF!+#REF!</f>
        <v>#REF!</v>
      </c>
      <c r="Z196" s="956"/>
      <c r="AA196" s="954" t="e">
        <f>#REF!</f>
        <v>#REF!</v>
      </c>
      <c r="AB196" s="954" t="e">
        <f t="shared" si="10"/>
        <v>#REF!</v>
      </c>
      <c r="AC196" s="954" t="e">
        <f>#REF!+#REF!</f>
        <v>#REF!</v>
      </c>
      <c r="AD196" s="954">
        <f t="shared" si="11"/>
        <v>6255</v>
      </c>
      <c r="AE196" s="625"/>
    </row>
    <row r="197" spans="1:31" s="620" customFormat="1" ht="18" customHeight="1" x14ac:dyDescent="0.2">
      <c r="A197" s="655" t="s">
        <v>2846</v>
      </c>
      <c r="B197" s="508">
        <f t="shared" si="12"/>
        <v>158</v>
      </c>
      <c r="C197" s="957">
        <f>+NOMINA!C201</f>
        <v>17597257</v>
      </c>
      <c r="D197" s="958" t="str">
        <f>+NOMINA!D201</f>
        <v>Linares Barreto Jorge Luis</v>
      </c>
      <c r="E197" s="955" t="s">
        <v>4622</v>
      </c>
      <c r="F197" s="959">
        <v>27081</v>
      </c>
      <c r="G197" s="955" t="s">
        <v>4620</v>
      </c>
      <c r="H197" s="960">
        <f>+NOMINA!H201</f>
        <v>45536</v>
      </c>
      <c r="I197" s="961">
        <f>+NOMINA!I201</f>
        <v>1</v>
      </c>
      <c r="J197" s="962">
        <f>+NOMINA!J201</f>
        <v>0</v>
      </c>
      <c r="K197" s="961">
        <f>+NOMINA!K201</f>
        <v>1</v>
      </c>
      <c r="L197" s="963">
        <f>+NOMINA!CA201</f>
        <v>6255</v>
      </c>
      <c r="M197" s="443" t="e">
        <f>#REF!+#REF!-#REF!</f>
        <v>#REF!</v>
      </c>
      <c r="N197" s="952" t="e">
        <f>ROUND((#REF!+#REF!+#REF!+#REF!+#REF!+#REF!+#REF!+#REF!),2)</f>
        <v>#REF!</v>
      </c>
      <c r="Q197" s="620" t="e">
        <f>SUM(#REF!)</f>
        <v>#REF!</v>
      </c>
      <c r="R197" s="953" t="e">
        <f>#REF!+#REF!-#REF!</f>
        <v>#REF!</v>
      </c>
      <c r="S197" s="954">
        <v>200</v>
      </c>
      <c r="T197" s="953" t="e">
        <f>#REF!+#REF!</f>
        <v>#REF!</v>
      </c>
      <c r="U197" s="954" t="e">
        <f>#REF!</f>
        <v>#REF!</v>
      </c>
      <c r="V197" s="955">
        <v>0</v>
      </c>
      <c r="W197" s="954" t="e">
        <f>#REF!</f>
        <v>#REF!</v>
      </c>
      <c r="X197" s="956" t="e">
        <f>#REF!+#REF!</f>
        <v>#REF!</v>
      </c>
      <c r="Y197" s="956" t="e">
        <f>#REF!+#REF!</f>
        <v>#REF!</v>
      </c>
      <c r="Z197" s="956"/>
      <c r="AA197" s="954" t="e">
        <f>#REF!</f>
        <v>#REF!</v>
      </c>
      <c r="AB197" s="954" t="e">
        <f t="shared" si="10"/>
        <v>#REF!</v>
      </c>
      <c r="AC197" s="954" t="e">
        <f>#REF!+#REF!</f>
        <v>#REF!</v>
      </c>
      <c r="AD197" s="954">
        <f t="shared" si="11"/>
        <v>6255</v>
      </c>
      <c r="AE197" s="625"/>
    </row>
    <row r="198" spans="1:31" s="620" customFormat="1" ht="18" customHeight="1" x14ac:dyDescent="0.2">
      <c r="A198" s="655" t="s">
        <v>2846</v>
      </c>
      <c r="B198" s="508">
        <f t="shared" si="12"/>
        <v>159</v>
      </c>
      <c r="C198" s="957">
        <f>+NOMINA!C202</f>
        <v>17597285</v>
      </c>
      <c r="D198" s="958" t="str">
        <f>+NOMINA!D202</f>
        <v>Duarte Portillo Dani Vicente</v>
      </c>
      <c r="E198" s="955" t="s">
        <v>4622</v>
      </c>
      <c r="F198" s="959">
        <v>27081</v>
      </c>
      <c r="G198" s="955" t="s">
        <v>4620</v>
      </c>
      <c r="H198" s="960">
        <f>+NOMINA!H202</f>
        <v>42782</v>
      </c>
      <c r="I198" s="961">
        <f>+NOMINA!I202</f>
        <v>8</v>
      </c>
      <c r="J198" s="962">
        <f>+NOMINA!J202</f>
        <v>0</v>
      </c>
      <c r="K198" s="961">
        <f>+NOMINA!K202</f>
        <v>8</v>
      </c>
      <c r="L198" s="963">
        <f>+NOMINA!CA202</f>
        <v>6255</v>
      </c>
      <c r="M198" s="443" t="e">
        <f>#REF!+#REF!-#REF!</f>
        <v>#REF!</v>
      </c>
      <c r="N198" s="952" t="e">
        <f>ROUND((#REF!+#REF!+#REF!+#REF!+#REF!+#REF!+#REF!+#REF!),2)</f>
        <v>#REF!</v>
      </c>
      <c r="Q198" s="620" t="e">
        <f>SUM(#REF!)</f>
        <v>#REF!</v>
      </c>
      <c r="R198" s="953" t="e">
        <f>#REF!+#REF!-#REF!</f>
        <v>#REF!</v>
      </c>
      <c r="S198" s="954">
        <v>200</v>
      </c>
      <c r="T198" s="953" t="e">
        <f>#REF!+#REF!</f>
        <v>#REF!</v>
      </c>
      <c r="U198" s="954" t="e">
        <f>#REF!</f>
        <v>#REF!</v>
      </c>
      <c r="V198" s="955">
        <v>0</v>
      </c>
      <c r="W198" s="954" t="e">
        <f>#REF!</f>
        <v>#REF!</v>
      </c>
      <c r="X198" s="956" t="e">
        <f>#REF!+#REF!</f>
        <v>#REF!</v>
      </c>
      <c r="Y198" s="956" t="e">
        <f>#REF!+#REF!</f>
        <v>#REF!</v>
      </c>
      <c r="Z198" s="956"/>
      <c r="AA198" s="954" t="e">
        <f>#REF!</f>
        <v>#REF!</v>
      </c>
      <c r="AB198" s="954" t="e">
        <f t="shared" si="10"/>
        <v>#REF!</v>
      </c>
      <c r="AC198" s="954" t="e">
        <f>#REF!+#REF!</f>
        <v>#REF!</v>
      </c>
      <c r="AD198" s="954">
        <f t="shared" si="11"/>
        <v>6255</v>
      </c>
      <c r="AE198" s="625"/>
    </row>
    <row r="199" spans="1:31" s="620" customFormat="1" ht="18" customHeight="1" x14ac:dyDescent="0.2">
      <c r="A199" s="655" t="s">
        <v>2846</v>
      </c>
      <c r="B199" s="508">
        <f t="shared" si="12"/>
        <v>160</v>
      </c>
      <c r="C199" s="957">
        <f>+NOMINA!C203</f>
        <v>17604568</v>
      </c>
      <c r="D199" s="958" t="str">
        <f>+NOMINA!D203</f>
        <v>Rivera Gil Christian Rafael</v>
      </c>
      <c r="E199" s="955" t="s">
        <v>4622</v>
      </c>
      <c r="F199" s="959">
        <v>27081</v>
      </c>
      <c r="G199" s="955" t="s">
        <v>4620</v>
      </c>
      <c r="H199" s="960">
        <f>+NOMINA!H203</f>
        <v>43831</v>
      </c>
      <c r="I199" s="961">
        <f>+NOMINA!I203</f>
        <v>5</v>
      </c>
      <c r="J199" s="962">
        <f>+NOMINA!J203</f>
        <v>0</v>
      </c>
      <c r="K199" s="961">
        <f>+NOMINA!K203</f>
        <v>5</v>
      </c>
      <c r="L199" s="963">
        <f>+NOMINA!CA203</f>
        <v>6255</v>
      </c>
      <c r="M199" s="443" t="e">
        <f>#REF!+#REF!-#REF!</f>
        <v>#REF!</v>
      </c>
      <c r="N199" s="952" t="e">
        <f>ROUND((#REF!+#REF!+#REF!+#REF!+#REF!+#REF!+#REF!+#REF!),2)</f>
        <v>#REF!</v>
      </c>
      <c r="Q199" s="620" t="e">
        <f>SUM(#REF!)</f>
        <v>#REF!</v>
      </c>
      <c r="R199" s="953" t="e">
        <f>#REF!+#REF!-#REF!</f>
        <v>#REF!</v>
      </c>
      <c r="S199" s="954">
        <v>200</v>
      </c>
      <c r="T199" s="953" t="e">
        <f>#REF!+#REF!</f>
        <v>#REF!</v>
      </c>
      <c r="U199" s="954" t="e">
        <f>#REF!</f>
        <v>#REF!</v>
      </c>
      <c r="V199" s="955">
        <v>0</v>
      </c>
      <c r="W199" s="954" t="e">
        <f>#REF!</f>
        <v>#REF!</v>
      </c>
      <c r="X199" s="956" t="e">
        <f>#REF!+#REF!</f>
        <v>#REF!</v>
      </c>
      <c r="Y199" s="956" t="e">
        <f>#REF!+#REF!</f>
        <v>#REF!</v>
      </c>
      <c r="Z199" s="956"/>
      <c r="AA199" s="954" t="e">
        <f>#REF!</f>
        <v>#REF!</v>
      </c>
      <c r="AB199" s="954" t="e">
        <f t="shared" si="10"/>
        <v>#REF!</v>
      </c>
      <c r="AC199" s="954" t="e">
        <f>#REF!+#REF!</f>
        <v>#REF!</v>
      </c>
      <c r="AD199" s="954">
        <f t="shared" si="11"/>
        <v>6255</v>
      </c>
      <c r="AE199" s="625"/>
    </row>
    <row r="200" spans="1:31" s="620" customFormat="1" ht="18" customHeight="1" x14ac:dyDescent="0.2">
      <c r="A200" s="655" t="s">
        <v>2846</v>
      </c>
      <c r="B200" s="508">
        <f t="shared" si="12"/>
        <v>161</v>
      </c>
      <c r="C200" s="957">
        <f>+NOMINA!C204</f>
        <v>17605222</v>
      </c>
      <c r="D200" s="958" t="str">
        <f>+NOMINA!D204</f>
        <v>Aguial Dayana Carolina</v>
      </c>
      <c r="E200" s="955" t="s">
        <v>4622</v>
      </c>
      <c r="F200" s="959">
        <v>27081</v>
      </c>
      <c r="G200" s="955" t="s">
        <v>4620</v>
      </c>
      <c r="H200" s="960">
        <f>+NOMINA!H204</f>
        <v>42737</v>
      </c>
      <c r="I200" s="961">
        <f>+NOMINA!I204</f>
        <v>8</v>
      </c>
      <c r="J200" s="962">
        <f>+NOMINA!J204</f>
        <v>0</v>
      </c>
      <c r="K200" s="961">
        <f>+NOMINA!K204</f>
        <v>8</v>
      </c>
      <c r="L200" s="963">
        <f>+NOMINA!CA204</f>
        <v>6255</v>
      </c>
      <c r="M200" s="443" t="e">
        <f>#REF!+#REF!-#REF!</f>
        <v>#REF!</v>
      </c>
      <c r="N200" s="952" t="e">
        <f>ROUND((#REF!+#REF!+#REF!+#REF!+#REF!+#REF!+#REF!+#REF!),2)</f>
        <v>#REF!</v>
      </c>
      <c r="Q200" s="620" t="e">
        <f>SUM(#REF!)</f>
        <v>#REF!</v>
      </c>
      <c r="R200" s="953" t="e">
        <f>#REF!+#REF!-#REF!</f>
        <v>#REF!</v>
      </c>
      <c r="S200" s="954">
        <v>200</v>
      </c>
      <c r="T200" s="953" t="e">
        <f>#REF!+#REF!</f>
        <v>#REF!</v>
      </c>
      <c r="U200" s="954" t="e">
        <f>#REF!</f>
        <v>#REF!</v>
      </c>
      <c r="V200" s="955">
        <v>0</v>
      </c>
      <c r="W200" s="954" t="e">
        <f>#REF!</f>
        <v>#REF!</v>
      </c>
      <c r="X200" s="956" t="e">
        <f>#REF!+#REF!</f>
        <v>#REF!</v>
      </c>
      <c r="Y200" s="956" t="e">
        <f>#REF!+#REF!</f>
        <v>#REF!</v>
      </c>
      <c r="Z200" s="956"/>
      <c r="AA200" s="954" t="e">
        <f>#REF!</f>
        <v>#REF!</v>
      </c>
      <c r="AB200" s="954" t="e">
        <f t="shared" si="10"/>
        <v>#REF!</v>
      </c>
      <c r="AC200" s="954" t="e">
        <f>#REF!+#REF!</f>
        <v>#REF!</v>
      </c>
      <c r="AD200" s="954">
        <f t="shared" si="11"/>
        <v>6255</v>
      </c>
      <c r="AE200" s="625"/>
    </row>
    <row r="201" spans="1:31" s="620" customFormat="1" ht="18" customHeight="1" x14ac:dyDescent="0.2">
      <c r="A201" s="655" t="s">
        <v>2846</v>
      </c>
      <c r="B201" s="508">
        <f t="shared" si="12"/>
        <v>162</v>
      </c>
      <c r="C201" s="957">
        <f>+NOMINA!C205</f>
        <v>17605492</v>
      </c>
      <c r="D201" s="958" t="str">
        <f>+NOMINA!D205</f>
        <v>Briceño Briceño Naibely Carolina</v>
      </c>
      <c r="E201" s="955" t="s">
        <v>4622</v>
      </c>
      <c r="F201" s="959">
        <v>27081</v>
      </c>
      <c r="G201" s="955" t="s">
        <v>4620</v>
      </c>
      <c r="H201" s="960">
        <f>+NOMINA!H205</f>
        <v>43967</v>
      </c>
      <c r="I201" s="961">
        <f>+NOMINA!I205</f>
        <v>5</v>
      </c>
      <c r="J201" s="962">
        <f>+NOMINA!J205</f>
        <v>0</v>
      </c>
      <c r="K201" s="961">
        <f>+NOMINA!K205</f>
        <v>5</v>
      </c>
      <c r="L201" s="963">
        <f>+NOMINA!CA205</f>
        <v>6255</v>
      </c>
      <c r="M201" s="443" t="e">
        <f>#REF!+#REF!-#REF!</f>
        <v>#REF!</v>
      </c>
      <c r="N201" s="952" t="e">
        <f>ROUND((#REF!+#REF!+#REF!+#REF!+#REF!+#REF!+#REF!+#REF!),2)</f>
        <v>#REF!</v>
      </c>
      <c r="Q201" s="620" t="e">
        <f>SUM(#REF!)</f>
        <v>#REF!</v>
      </c>
      <c r="R201" s="953" t="e">
        <f>#REF!+#REF!-#REF!</f>
        <v>#REF!</v>
      </c>
      <c r="S201" s="954">
        <v>200</v>
      </c>
      <c r="T201" s="953" t="e">
        <f>#REF!+#REF!</f>
        <v>#REF!</v>
      </c>
      <c r="U201" s="954" t="e">
        <f>#REF!</f>
        <v>#REF!</v>
      </c>
      <c r="V201" s="955">
        <v>0</v>
      </c>
      <c r="W201" s="954" t="e">
        <f>#REF!</f>
        <v>#REF!</v>
      </c>
      <c r="X201" s="956" t="e">
        <f>#REF!+#REF!</f>
        <v>#REF!</v>
      </c>
      <c r="Y201" s="956" t="e">
        <f>#REF!+#REF!</f>
        <v>#REF!</v>
      </c>
      <c r="Z201" s="956"/>
      <c r="AA201" s="954" t="e">
        <f>#REF!</f>
        <v>#REF!</v>
      </c>
      <c r="AB201" s="954" t="e">
        <f t="shared" si="10"/>
        <v>#REF!</v>
      </c>
      <c r="AC201" s="954" t="e">
        <f>#REF!+#REF!</f>
        <v>#REF!</v>
      </c>
      <c r="AD201" s="954">
        <f t="shared" si="11"/>
        <v>6255</v>
      </c>
      <c r="AE201" s="625"/>
    </row>
    <row r="202" spans="1:31" s="620" customFormat="1" ht="18" customHeight="1" x14ac:dyDescent="0.2">
      <c r="A202" s="655" t="s">
        <v>2846</v>
      </c>
      <c r="B202" s="508">
        <f t="shared" si="12"/>
        <v>163</v>
      </c>
      <c r="C202" s="957">
        <f>+NOMINA!C206</f>
        <v>17606237</v>
      </c>
      <c r="D202" s="958" t="str">
        <f>+NOMINA!D206</f>
        <v>Castellano Rivera Maria Antonina</v>
      </c>
      <c r="E202" s="955" t="s">
        <v>4622</v>
      </c>
      <c r="F202" s="959">
        <v>27081</v>
      </c>
      <c r="G202" s="955" t="s">
        <v>4620</v>
      </c>
      <c r="H202" s="960">
        <f>+NOMINA!H206</f>
        <v>40909</v>
      </c>
      <c r="I202" s="961">
        <f>+NOMINA!I206</f>
        <v>13</v>
      </c>
      <c r="J202" s="962">
        <f>+NOMINA!J206</f>
        <v>0</v>
      </c>
      <c r="K202" s="961">
        <f>+NOMINA!K206</f>
        <v>13</v>
      </c>
      <c r="L202" s="963">
        <f>+NOMINA!CA206</f>
        <v>6255</v>
      </c>
      <c r="M202" s="443" t="e">
        <f>#REF!+#REF!-#REF!</f>
        <v>#REF!</v>
      </c>
      <c r="N202" s="952" t="e">
        <f>ROUND((#REF!+#REF!+#REF!+#REF!+#REF!+#REF!+#REF!+#REF!),2)</f>
        <v>#REF!</v>
      </c>
      <c r="Q202" s="620" t="e">
        <f>SUM(#REF!)</f>
        <v>#REF!</v>
      </c>
      <c r="R202" s="953" t="e">
        <f>#REF!+#REF!-#REF!</f>
        <v>#REF!</v>
      </c>
      <c r="S202" s="954">
        <v>200</v>
      </c>
      <c r="T202" s="953" t="e">
        <f>#REF!+#REF!</f>
        <v>#REF!</v>
      </c>
      <c r="U202" s="954" t="e">
        <f>#REF!</f>
        <v>#REF!</v>
      </c>
      <c r="V202" s="955">
        <v>0</v>
      </c>
      <c r="W202" s="954" t="e">
        <f>#REF!</f>
        <v>#REF!</v>
      </c>
      <c r="X202" s="956" t="e">
        <f>#REF!+#REF!</f>
        <v>#REF!</v>
      </c>
      <c r="Y202" s="956" t="e">
        <f>#REF!+#REF!</f>
        <v>#REF!</v>
      </c>
      <c r="Z202" s="956"/>
      <c r="AA202" s="954" t="e">
        <f>#REF!</f>
        <v>#REF!</v>
      </c>
      <c r="AB202" s="954" t="e">
        <f t="shared" si="10"/>
        <v>#REF!</v>
      </c>
      <c r="AC202" s="954" t="e">
        <f>#REF!+#REF!</f>
        <v>#REF!</v>
      </c>
      <c r="AD202" s="954">
        <f t="shared" si="11"/>
        <v>6255</v>
      </c>
      <c r="AE202" s="625"/>
    </row>
    <row r="203" spans="1:31" s="620" customFormat="1" ht="18" customHeight="1" x14ac:dyDescent="0.2">
      <c r="A203" s="655" t="s">
        <v>2846</v>
      </c>
      <c r="B203" s="508">
        <f t="shared" si="12"/>
        <v>164</v>
      </c>
      <c r="C203" s="957">
        <f>+NOMINA!C207</f>
        <v>17830972</v>
      </c>
      <c r="D203" s="958" t="str">
        <f>+NOMINA!D207</f>
        <v>Bastidas Franco Dianellys Sarain</v>
      </c>
      <c r="E203" s="955" t="s">
        <v>4622</v>
      </c>
      <c r="F203" s="959">
        <v>27081</v>
      </c>
      <c r="G203" s="955" t="s">
        <v>4620</v>
      </c>
      <c r="H203" s="960">
        <f>+NOMINA!H207</f>
        <v>44713</v>
      </c>
      <c r="I203" s="961">
        <f>+NOMINA!I207</f>
        <v>3</v>
      </c>
      <c r="J203" s="962">
        <f>+NOMINA!J207</f>
        <v>0</v>
      </c>
      <c r="K203" s="961">
        <f>+NOMINA!K207</f>
        <v>3</v>
      </c>
      <c r="L203" s="963">
        <f>+NOMINA!CA207</f>
        <v>6255</v>
      </c>
      <c r="M203" s="443" t="e">
        <f>#REF!+#REF!-#REF!</f>
        <v>#REF!</v>
      </c>
      <c r="N203" s="952" t="e">
        <f>ROUND((#REF!+#REF!+#REF!+#REF!+#REF!+#REF!+#REF!+#REF!),2)</f>
        <v>#REF!</v>
      </c>
      <c r="Q203" s="620" t="e">
        <f>SUM(#REF!)</f>
        <v>#REF!</v>
      </c>
      <c r="R203" s="953" t="e">
        <f>#REF!+#REF!-#REF!</f>
        <v>#REF!</v>
      </c>
      <c r="S203" s="954">
        <v>200</v>
      </c>
      <c r="T203" s="953" t="e">
        <f>#REF!+#REF!</f>
        <v>#REF!</v>
      </c>
      <c r="U203" s="954" t="e">
        <f>#REF!</f>
        <v>#REF!</v>
      </c>
      <c r="V203" s="955">
        <v>0</v>
      </c>
      <c r="W203" s="954" t="e">
        <f>#REF!</f>
        <v>#REF!</v>
      </c>
      <c r="X203" s="956" t="e">
        <f>#REF!+#REF!</f>
        <v>#REF!</v>
      </c>
      <c r="Y203" s="956" t="e">
        <f>#REF!+#REF!</f>
        <v>#REF!</v>
      </c>
      <c r="Z203" s="956"/>
      <c r="AA203" s="954" t="e">
        <f>#REF!</f>
        <v>#REF!</v>
      </c>
      <c r="AB203" s="954" t="e">
        <f t="shared" si="10"/>
        <v>#REF!</v>
      </c>
      <c r="AC203" s="954" t="e">
        <f>#REF!+#REF!</f>
        <v>#REF!</v>
      </c>
      <c r="AD203" s="954">
        <f t="shared" si="11"/>
        <v>6255</v>
      </c>
      <c r="AE203" s="625"/>
    </row>
    <row r="204" spans="1:31" s="620" customFormat="1" ht="18" customHeight="1" x14ac:dyDescent="0.2">
      <c r="A204" s="655" t="s">
        <v>2846</v>
      </c>
      <c r="B204" s="508">
        <f t="shared" si="12"/>
        <v>165</v>
      </c>
      <c r="C204" s="957">
        <f>+NOMINA!C208</f>
        <v>17831012</v>
      </c>
      <c r="D204" s="958" t="str">
        <f>+NOMINA!D208</f>
        <v>Valera Briceño Jesus Enrique</v>
      </c>
      <c r="E204" s="955" t="s">
        <v>4622</v>
      </c>
      <c r="F204" s="959">
        <v>27081</v>
      </c>
      <c r="G204" s="955" t="s">
        <v>4620</v>
      </c>
      <c r="H204" s="960">
        <f>+NOMINA!H208</f>
        <v>45474</v>
      </c>
      <c r="I204" s="961">
        <f>+NOMINA!I208</f>
        <v>1</v>
      </c>
      <c r="J204" s="962">
        <f>+NOMINA!J208</f>
        <v>5</v>
      </c>
      <c r="K204" s="961">
        <f>+NOMINA!K208</f>
        <v>6</v>
      </c>
      <c r="L204" s="963">
        <f>+NOMINA!CA208</f>
        <v>6255</v>
      </c>
      <c r="M204" s="443" t="e">
        <f>#REF!+#REF!-#REF!</f>
        <v>#REF!</v>
      </c>
      <c r="N204" s="952" t="e">
        <f>ROUND((#REF!+#REF!+#REF!+#REF!+#REF!+#REF!+#REF!+#REF!),2)</f>
        <v>#REF!</v>
      </c>
      <c r="Q204" s="620" t="e">
        <f>SUM(#REF!)</f>
        <v>#REF!</v>
      </c>
      <c r="R204" s="953" t="e">
        <f>#REF!+#REF!-#REF!</f>
        <v>#REF!</v>
      </c>
      <c r="S204" s="954">
        <v>200</v>
      </c>
      <c r="T204" s="953" t="e">
        <f>#REF!+#REF!</f>
        <v>#REF!</v>
      </c>
      <c r="U204" s="954" t="e">
        <f>#REF!</f>
        <v>#REF!</v>
      </c>
      <c r="V204" s="955">
        <v>0</v>
      </c>
      <c r="W204" s="954" t="e">
        <f>#REF!</f>
        <v>#REF!</v>
      </c>
      <c r="X204" s="956" t="e">
        <f>#REF!+#REF!</f>
        <v>#REF!</v>
      </c>
      <c r="Y204" s="956" t="e">
        <f>#REF!+#REF!</f>
        <v>#REF!</v>
      </c>
      <c r="Z204" s="956"/>
      <c r="AA204" s="954" t="e">
        <f>#REF!</f>
        <v>#REF!</v>
      </c>
      <c r="AB204" s="954" t="e">
        <f t="shared" si="10"/>
        <v>#REF!</v>
      </c>
      <c r="AC204" s="954" t="e">
        <f>#REF!+#REF!</f>
        <v>#REF!</v>
      </c>
      <c r="AD204" s="954">
        <f t="shared" si="11"/>
        <v>6255</v>
      </c>
      <c r="AE204" s="625"/>
    </row>
    <row r="205" spans="1:31" s="620" customFormat="1" ht="18" customHeight="1" x14ac:dyDescent="0.2">
      <c r="A205" s="655" t="s">
        <v>2846</v>
      </c>
      <c r="B205" s="508">
        <f t="shared" si="12"/>
        <v>166</v>
      </c>
      <c r="C205" s="957">
        <f>+NOMINA!C209</f>
        <v>17832396</v>
      </c>
      <c r="D205" s="958" t="str">
        <f>+NOMINA!D209</f>
        <v>Pulido Sanchez Joalina Vanessa</v>
      </c>
      <c r="E205" s="955" t="s">
        <v>4622</v>
      </c>
      <c r="F205" s="959">
        <v>27081</v>
      </c>
      <c r="G205" s="955" t="s">
        <v>4620</v>
      </c>
      <c r="H205" s="960">
        <f>+NOMINA!H209</f>
        <v>43191</v>
      </c>
      <c r="I205" s="961">
        <f>+NOMINA!I209</f>
        <v>7</v>
      </c>
      <c r="J205" s="962">
        <f>+NOMINA!J209</f>
        <v>0</v>
      </c>
      <c r="K205" s="961">
        <f>+NOMINA!K209</f>
        <v>7</v>
      </c>
      <c r="L205" s="963">
        <f>+NOMINA!CA209</f>
        <v>6255</v>
      </c>
      <c r="M205" s="443" t="e">
        <f>#REF!+#REF!-#REF!</f>
        <v>#REF!</v>
      </c>
      <c r="N205" s="952" t="e">
        <f>ROUND((#REF!+#REF!+#REF!+#REF!+#REF!+#REF!+#REF!+#REF!),2)</f>
        <v>#REF!</v>
      </c>
      <c r="Q205" s="620" t="e">
        <f>SUM(#REF!)</f>
        <v>#REF!</v>
      </c>
      <c r="R205" s="953" t="e">
        <f>#REF!+#REF!-#REF!</f>
        <v>#REF!</v>
      </c>
      <c r="S205" s="954">
        <v>200</v>
      </c>
      <c r="T205" s="953" t="e">
        <f>#REF!+#REF!</f>
        <v>#REF!</v>
      </c>
      <c r="U205" s="954" t="e">
        <f>#REF!</f>
        <v>#REF!</v>
      </c>
      <c r="V205" s="955">
        <v>0</v>
      </c>
      <c r="W205" s="954" t="e">
        <f>#REF!</f>
        <v>#REF!</v>
      </c>
      <c r="X205" s="956" t="e">
        <f>#REF!+#REF!</f>
        <v>#REF!</v>
      </c>
      <c r="Y205" s="956" t="e">
        <f>#REF!+#REF!</f>
        <v>#REF!</v>
      </c>
      <c r="Z205" s="956"/>
      <c r="AA205" s="954" t="e">
        <f>#REF!</f>
        <v>#REF!</v>
      </c>
      <c r="AB205" s="954" t="e">
        <f t="shared" si="10"/>
        <v>#REF!</v>
      </c>
      <c r="AC205" s="954" t="e">
        <f>#REF!+#REF!</f>
        <v>#REF!</v>
      </c>
      <c r="AD205" s="954">
        <f t="shared" si="11"/>
        <v>6255</v>
      </c>
      <c r="AE205" s="625"/>
    </row>
    <row r="206" spans="1:31" s="620" customFormat="1" ht="18" customHeight="1" x14ac:dyDescent="0.2">
      <c r="A206" s="655" t="s">
        <v>2846</v>
      </c>
      <c r="B206" s="508">
        <f t="shared" si="12"/>
        <v>167</v>
      </c>
      <c r="C206" s="957">
        <f>+NOMINA!C210</f>
        <v>17865154</v>
      </c>
      <c r="D206" s="958" t="str">
        <f>+NOMINA!D210</f>
        <v>Serrano Ingrid Maria</v>
      </c>
      <c r="E206" s="955" t="s">
        <v>4622</v>
      </c>
      <c r="F206" s="959">
        <v>27081</v>
      </c>
      <c r="G206" s="955" t="s">
        <v>4620</v>
      </c>
      <c r="H206" s="960">
        <f>+NOMINA!H210</f>
        <v>43846</v>
      </c>
      <c r="I206" s="961">
        <f>+NOMINA!I210</f>
        <v>5</v>
      </c>
      <c r="J206" s="962">
        <f>+NOMINA!J210</f>
        <v>0</v>
      </c>
      <c r="K206" s="961">
        <f>+NOMINA!K210</f>
        <v>5</v>
      </c>
      <c r="L206" s="963">
        <f>+NOMINA!CA210</f>
        <v>6255</v>
      </c>
      <c r="M206" s="443" t="e">
        <f>#REF!+#REF!-#REF!</f>
        <v>#REF!</v>
      </c>
      <c r="N206" s="952" t="e">
        <f>ROUND((#REF!+#REF!+#REF!+#REF!+#REF!+#REF!+#REF!+#REF!),2)</f>
        <v>#REF!</v>
      </c>
      <c r="Q206" s="620" t="e">
        <f>SUM(#REF!)</f>
        <v>#REF!</v>
      </c>
      <c r="R206" s="953" t="e">
        <f>#REF!+#REF!-#REF!</f>
        <v>#REF!</v>
      </c>
      <c r="S206" s="954">
        <v>200</v>
      </c>
      <c r="T206" s="953" t="e">
        <f>#REF!+#REF!</f>
        <v>#REF!</v>
      </c>
      <c r="U206" s="954" t="e">
        <f>#REF!</f>
        <v>#REF!</v>
      </c>
      <c r="V206" s="955">
        <v>0</v>
      </c>
      <c r="W206" s="954" t="e">
        <f>#REF!</f>
        <v>#REF!</v>
      </c>
      <c r="X206" s="956" t="e">
        <f>#REF!+#REF!</f>
        <v>#REF!</v>
      </c>
      <c r="Y206" s="956" t="e">
        <f>#REF!+#REF!</f>
        <v>#REF!</v>
      </c>
      <c r="Z206" s="956"/>
      <c r="AA206" s="954" t="e">
        <f>#REF!</f>
        <v>#REF!</v>
      </c>
      <c r="AB206" s="954" t="e">
        <f t="shared" si="10"/>
        <v>#REF!</v>
      </c>
      <c r="AC206" s="954" t="e">
        <f>#REF!+#REF!</f>
        <v>#REF!</v>
      </c>
      <c r="AD206" s="954">
        <f t="shared" si="11"/>
        <v>6255</v>
      </c>
      <c r="AE206" s="625"/>
    </row>
    <row r="207" spans="1:31" s="620" customFormat="1" ht="18" customHeight="1" x14ac:dyDescent="0.2">
      <c r="A207" s="655" t="s">
        <v>2846</v>
      </c>
      <c r="B207" s="508">
        <f t="shared" si="12"/>
        <v>168</v>
      </c>
      <c r="C207" s="957">
        <f>+NOMINA!C211</f>
        <v>18036203</v>
      </c>
      <c r="D207" s="958" t="str">
        <f>+NOMINA!D211</f>
        <v>Yepes Caceres Mervis Javier</v>
      </c>
      <c r="E207" s="955" t="s">
        <v>4622</v>
      </c>
      <c r="F207" s="959">
        <v>27081</v>
      </c>
      <c r="G207" s="955" t="s">
        <v>4620</v>
      </c>
      <c r="H207" s="960">
        <f>+NOMINA!H211</f>
        <v>45505</v>
      </c>
      <c r="I207" s="961">
        <f>+NOMINA!I211</f>
        <v>1</v>
      </c>
      <c r="J207" s="962">
        <f>+NOMINA!J211</f>
        <v>0</v>
      </c>
      <c r="K207" s="961">
        <f>+NOMINA!K211</f>
        <v>1</v>
      </c>
      <c r="L207" s="963">
        <f>+NOMINA!CA211</f>
        <v>6255</v>
      </c>
      <c r="M207" s="443" t="e">
        <f>#REF!+#REF!-#REF!</f>
        <v>#REF!</v>
      </c>
      <c r="N207" s="952" t="e">
        <f>ROUND((#REF!+#REF!+#REF!+#REF!+#REF!+#REF!+#REF!+#REF!),2)</f>
        <v>#REF!</v>
      </c>
      <c r="Q207" s="620" t="e">
        <f>SUM(#REF!)</f>
        <v>#REF!</v>
      </c>
      <c r="R207" s="953" t="e">
        <f>#REF!+#REF!-#REF!</f>
        <v>#REF!</v>
      </c>
      <c r="S207" s="954">
        <v>200</v>
      </c>
      <c r="T207" s="953" t="e">
        <f>#REF!+#REF!</f>
        <v>#REF!</v>
      </c>
      <c r="U207" s="954" t="e">
        <f>#REF!</f>
        <v>#REF!</v>
      </c>
      <c r="V207" s="955">
        <v>0</v>
      </c>
      <c r="W207" s="954" t="e">
        <f>#REF!</f>
        <v>#REF!</v>
      </c>
      <c r="X207" s="956" t="e">
        <f>#REF!+#REF!</f>
        <v>#REF!</v>
      </c>
      <c r="Y207" s="956" t="e">
        <f>#REF!+#REF!</f>
        <v>#REF!</v>
      </c>
      <c r="Z207" s="956"/>
      <c r="AA207" s="954" t="e">
        <f>#REF!</f>
        <v>#REF!</v>
      </c>
      <c r="AB207" s="954" t="e">
        <f t="shared" si="10"/>
        <v>#REF!</v>
      </c>
      <c r="AC207" s="954" t="e">
        <f>#REF!+#REF!</f>
        <v>#REF!</v>
      </c>
      <c r="AD207" s="954">
        <f t="shared" si="11"/>
        <v>6255</v>
      </c>
      <c r="AE207" s="625"/>
    </row>
    <row r="208" spans="1:31" s="620" customFormat="1" ht="18" customHeight="1" x14ac:dyDescent="0.2">
      <c r="A208" s="655" t="s">
        <v>2846</v>
      </c>
      <c r="B208" s="508">
        <f t="shared" si="12"/>
        <v>169</v>
      </c>
      <c r="C208" s="957">
        <f>+NOMINA!C212</f>
        <v>18036156</v>
      </c>
      <c r="D208" s="958" t="str">
        <f>+NOMINA!D212</f>
        <v>Ruiz Vasquez Endri Ramon</v>
      </c>
      <c r="E208" s="955" t="s">
        <v>4622</v>
      </c>
      <c r="F208" s="959">
        <v>27081</v>
      </c>
      <c r="G208" s="955" t="s">
        <v>4620</v>
      </c>
      <c r="H208" s="960">
        <f>+NOMINA!H212</f>
        <v>45597</v>
      </c>
      <c r="I208" s="961">
        <f>+NOMINA!I212</f>
        <v>0</v>
      </c>
      <c r="J208" s="962">
        <f>+NOMINA!J212</f>
        <v>0</v>
      </c>
      <c r="K208" s="961">
        <f>+NOMINA!K212</f>
        <v>0</v>
      </c>
      <c r="L208" s="963">
        <f>+NOMINA!CA212</f>
        <v>6255</v>
      </c>
      <c r="M208" s="443" t="e">
        <f>#REF!+#REF!-#REF!</f>
        <v>#REF!</v>
      </c>
      <c r="N208" s="952" t="e">
        <f>ROUND((#REF!+#REF!+#REF!+#REF!+#REF!+#REF!+#REF!+#REF!),2)</f>
        <v>#REF!</v>
      </c>
      <c r="Q208" s="620" t="e">
        <f>SUM(#REF!)</f>
        <v>#REF!</v>
      </c>
      <c r="R208" s="953" t="e">
        <f>#REF!+#REF!-#REF!</f>
        <v>#REF!</v>
      </c>
      <c r="S208" s="954">
        <v>200</v>
      </c>
      <c r="T208" s="953" t="e">
        <f>#REF!+#REF!</f>
        <v>#REF!</v>
      </c>
      <c r="U208" s="954" t="e">
        <f>#REF!</f>
        <v>#REF!</v>
      </c>
      <c r="V208" s="955">
        <v>0</v>
      </c>
      <c r="W208" s="954" t="e">
        <f>#REF!</f>
        <v>#REF!</v>
      </c>
      <c r="X208" s="956" t="e">
        <f>#REF!+#REF!</f>
        <v>#REF!</v>
      </c>
      <c r="Y208" s="956" t="e">
        <f>#REF!+#REF!</f>
        <v>#REF!</v>
      </c>
      <c r="Z208" s="956"/>
      <c r="AA208" s="954" t="e">
        <f>#REF!</f>
        <v>#REF!</v>
      </c>
      <c r="AB208" s="954" t="e">
        <f t="shared" si="10"/>
        <v>#REF!</v>
      </c>
      <c r="AC208" s="954" t="e">
        <f>#REF!+#REF!</f>
        <v>#REF!</v>
      </c>
      <c r="AD208" s="954">
        <f t="shared" si="11"/>
        <v>6255</v>
      </c>
      <c r="AE208" s="625"/>
    </row>
    <row r="209" spans="1:31" s="620" customFormat="1" ht="18" customHeight="1" x14ac:dyDescent="0.2">
      <c r="A209" s="655" t="s">
        <v>2846</v>
      </c>
      <c r="B209" s="508">
        <f t="shared" si="12"/>
        <v>170</v>
      </c>
      <c r="C209" s="957">
        <f>+NOMINA!C213</f>
        <v>18095603</v>
      </c>
      <c r="D209" s="958" t="str">
        <f>+NOMINA!D213</f>
        <v>Lozada Bencomo Daniela Carolina</v>
      </c>
      <c r="E209" s="955" t="s">
        <v>4622</v>
      </c>
      <c r="F209" s="959">
        <v>27081</v>
      </c>
      <c r="G209" s="955" t="s">
        <v>4620</v>
      </c>
      <c r="H209" s="960">
        <f>+NOMINA!H213</f>
        <v>42963</v>
      </c>
      <c r="I209" s="961">
        <f>+NOMINA!I213</f>
        <v>8</v>
      </c>
      <c r="J209" s="962">
        <f>+NOMINA!J213</f>
        <v>0</v>
      </c>
      <c r="K209" s="961">
        <f>+NOMINA!K213</f>
        <v>8</v>
      </c>
      <c r="L209" s="963">
        <f>+NOMINA!CA213</f>
        <v>6255</v>
      </c>
      <c r="M209" s="443" t="e">
        <f>#REF!+#REF!-#REF!</f>
        <v>#REF!</v>
      </c>
      <c r="N209" s="952" t="e">
        <f>ROUND((#REF!+#REF!+#REF!+#REF!+#REF!+#REF!+#REF!+#REF!),2)</f>
        <v>#REF!</v>
      </c>
      <c r="Q209" s="620" t="e">
        <f>SUM(#REF!)</f>
        <v>#REF!</v>
      </c>
      <c r="R209" s="953" t="e">
        <f>#REF!+#REF!-#REF!</f>
        <v>#REF!</v>
      </c>
      <c r="S209" s="954">
        <v>200</v>
      </c>
      <c r="T209" s="953" t="e">
        <f>#REF!+#REF!</f>
        <v>#REF!</v>
      </c>
      <c r="U209" s="954" t="e">
        <f>#REF!</f>
        <v>#REF!</v>
      </c>
      <c r="V209" s="955">
        <v>0</v>
      </c>
      <c r="W209" s="954" t="e">
        <f>#REF!</f>
        <v>#REF!</v>
      </c>
      <c r="X209" s="956" t="e">
        <f>#REF!+#REF!</f>
        <v>#REF!</v>
      </c>
      <c r="Y209" s="956" t="e">
        <f>#REF!+#REF!</f>
        <v>#REF!</v>
      </c>
      <c r="Z209" s="956"/>
      <c r="AA209" s="954" t="e">
        <f>#REF!</f>
        <v>#REF!</v>
      </c>
      <c r="AB209" s="954" t="e">
        <f t="shared" si="10"/>
        <v>#REF!</v>
      </c>
      <c r="AC209" s="954" t="e">
        <f>#REF!+#REF!</f>
        <v>#REF!</v>
      </c>
      <c r="AD209" s="954">
        <f t="shared" si="11"/>
        <v>6255</v>
      </c>
      <c r="AE209" s="625"/>
    </row>
    <row r="210" spans="1:31" s="620" customFormat="1" ht="18" customHeight="1" x14ac:dyDescent="0.2">
      <c r="A210" s="655" t="s">
        <v>2846</v>
      </c>
      <c r="B210" s="508">
        <f t="shared" si="12"/>
        <v>171</v>
      </c>
      <c r="C210" s="957">
        <f>+NOMINA!C214</f>
        <v>18096996</v>
      </c>
      <c r="D210" s="958" t="str">
        <f>+NOMINA!D214</f>
        <v>Diaz Maldonado Anny Jackeline</v>
      </c>
      <c r="E210" s="955" t="s">
        <v>4622</v>
      </c>
      <c r="F210" s="959">
        <v>27081</v>
      </c>
      <c r="G210" s="955" t="s">
        <v>4620</v>
      </c>
      <c r="H210" s="960">
        <f>+NOMINA!H214</f>
        <v>44743</v>
      </c>
      <c r="I210" s="961">
        <f>+NOMINA!I214</f>
        <v>3</v>
      </c>
      <c r="J210" s="962">
        <f>+NOMINA!J214</f>
        <v>0</v>
      </c>
      <c r="K210" s="961">
        <f>+NOMINA!K214</f>
        <v>3</v>
      </c>
      <c r="L210" s="963">
        <f>+NOMINA!CA214</f>
        <v>6255</v>
      </c>
      <c r="M210" s="443" t="e">
        <f>#REF!+#REF!-#REF!</f>
        <v>#REF!</v>
      </c>
      <c r="N210" s="952" t="e">
        <f>ROUND((#REF!+#REF!+#REF!+#REF!+#REF!+#REF!+#REF!+#REF!),2)</f>
        <v>#REF!</v>
      </c>
      <c r="Q210" s="620" t="e">
        <f>SUM(#REF!)</f>
        <v>#REF!</v>
      </c>
      <c r="R210" s="953" t="e">
        <f>#REF!+#REF!-#REF!</f>
        <v>#REF!</v>
      </c>
      <c r="S210" s="954">
        <v>200</v>
      </c>
      <c r="T210" s="953" t="e">
        <f>#REF!+#REF!</f>
        <v>#REF!</v>
      </c>
      <c r="U210" s="954" t="e">
        <f>#REF!</f>
        <v>#REF!</v>
      </c>
      <c r="V210" s="955">
        <v>0</v>
      </c>
      <c r="W210" s="954" t="e">
        <f>#REF!</f>
        <v>#REF!</v>
      </c>
      <c r="X210" s="956" t="e">
        <f>#REF!+#REF!</f>
        <v>#REF!</v>
      </c>
      <c r="Y210" s="956" t="e">
        <f>#REF!+#REF!</f>
        <v>#REF!</v>
      </c>
      <c r="Z210" s="956"/>
      <c r="AA210" s="954" t="e">
        <f>#REF!</f>
        <v>#REF!</v>
      </c>
      <c r="AB210" s="954" t="e">
        <f t="shared" si="10"/>
        <v>#REF!</v>
      </c>
      <c r="AC210" s="954" t="e">
        <f>#REF!+#REF!</f>
        <v>#REF!</v>
      </c>
      <c r="AD210" s="954">
        <f t="shared" si="11"/>
        <v>6255</v>
      </c>
      <c r="AE210" s="625"/>
    </row>
    <row r="211" spans="1:31" s="620" customFormat="1" ht="18" customHeight="1" x14ac:dyDescent="0.2">
      <c r="A211" s="655" t="s">
        <v>2846</v>
      </c>
      <c r="B211" s="508">
        <f t="shared" si="12"/>
        <v>172</v>
      </c>
      <c r="C211" s="957">
        <f>+NOMINA!C215</f>
        <v>18097528</v>
      </c>
      <c r="D211" s="958" t="str">
        <f>+NOMINA!D215</f>
        <v>Godoy Suarez Nelson Jose</v>
      </c>
      <c r="E211" s="955" t="s">
        <v>4622</v>
      </c>
      <c r="F211" s="959">
        <v>27081</v>
      </c>
      <c r="G211" s="955" t="s">
        <v>4620</v>
      </c>
      <c r="H211" s="960">
        <f>+NOMINA!H215</f>
        <v>45536</v>
      </c>
      <c r="I211" s="961">
        <f>+NOMINA!I215</f>
        <v>1</v>
      </c>
      <c r="J211" s="962">
        <f>+NOMINA!J215</f>
        <v>0</v>
      </c>
      <c r="K211" s="961">
        <f>+NOMINA!K215</f>
        <v>1</v>
      </c>
      <c r="L211" s="963">
        <f>+NOMINA!CA215</f>
        <v>6255</v>
      </c>
      <c r="M211" s="443" t="e">
        <f>#REF!+#REF!-#REF!</f>
        <v>#REF!</v>
      </c>
      <c r="N211" s="952" t="e">
        <f>ROUND((#REF!+#REF!+#REF!+#REF!+#REF!+#REF!+#REF!+#REF!),2)</f>
        <v>#REF!</v>
      </c>
      <c r="Q211" s="620" t="e">
        <f>SUM(#REF!)</f>
        <v>#REF!</v>
      </c>
      <c r="R211" s="953" t="e">
        <f>#REF!+#REF!-#REF!</f>
        <v>#REF!</v>
      </c>
      <c r="S211" s="954">
        <v>200</v>
      </c>
      <c r="T211" s="953" t="e">
        <f>#REF!+#REF!</f>
        <v>#REF!</v>
      </c>
      <c r="U211" s="954" t="e">
        <f>#REF!</f>
        <v>#REF!</v>
      </c>
      <c r="V211" s="955">
        <v>0</v>
      </c>
      <c r="W211" s="954" t="e">
        <f>#REF!</f>
        <v>#REF!</v>
      </c>
      <c r="X211" s="956" t="e">
        <f>#REF!+#REF!</f>
        <v>#REF!</v>
      </c>
      <c r="Y211" s="956" t="e">
        <f>#REF!+#REF!</f>
        <v>#REF!</v>
      </c>
      <c r="Z211" s="956"/>
      <c r="AA211" s="954" t="e">
        <f>#REF!</f>
        <v>#REF!</v>
      </c>
      <c r="AB211" s="954" t="e">
        <f t="shared" si="10"/>
        <v>#REF!</v>
      </c>
      <c r="AC211" s="954" t="e">
        <f>#REF!+#REF!</f>
        <v>#REF!</v>
      </c>
      <c r="AD211" s="954">
        <f t="shared" si="11"/>
        <v>6255</v>
      </c>
      <c r="AE211" s="625"/>
    </row>
    <row r="212" spans="1:31" s="620" customFormat="1" ht="18" customHeight="1" x14ac:dyDescent="0.2">
      <c r="A212" s="655" t="s">
        <v>2846</v>
      </c>
      <c r="B212" s="508">
        <f t="shared" si="12"/>
        <v>173</v>
      </c>
      <c r="C212" s="957">
        <f>+NOMINA!C216</f>
        <v>18097873</v>
      </c>
      <c r="D212" s="958" t="str">
        <f>+NOMINA!D216</f>
        <v>Villarreal Prada Yoriangela Nataly</v>
      </c>
      <c r="E212" s="955" t="s">
        <v>4622</v>
      </c>
      <c r="F212" s="959">
        <v>27081</v>
      </c>
      <c r="G212" s="955" t="s">
        <v>4620</v>
      </c>
      <c r="H212" s="960">
        <f>+NOMINA!H216</f>
        <v>44531</v>
      </c>
      <c r="I212" s="961">
        <f>+NOMINA!I216</f>
        <v>3</v>
      </c>
      <c r="J212" s="962">
        <f>+NOMINA!J216</f>
        <v>0</v>
      </c>
      <c r="K212" s="961">
        <f>+NOMINA!K216</f>
        <v>3</v>
      </c>
      <c r="L212" s="963">
        <f>+NOMINA!CA216</f>
        <v>6255</v>
      </c>
      <c r="M212" s="443" t="e">
        <f>#REF!+#REF!-#REF!</f>
        <v>#REF!</v>
      </c>
      <c r="N212" s="952" t="e">
        <f>ROUND((#REF!+#REF!+#REF!+#REF!+#REF!+#REF!+#REF!+#REF!),2)</f>
        <v>#REF!</v>
      </c>
      <c r="Q212" s="620" t="e">
        <f>SUM(#REF!)</f>
        <v>#REF!</v>
      </c>
      <c r="R212" s="953" t="e">
        <f>#REF!+#REF!-#REF!</f>
        <v>#REF!</v>
      </c>
      <c r="S212" s="954">
        <v>200</v>
      </c>
      <c r="T212" s="953" t="e">
        <f>#REF!+#REF!</f>
        <v>#REF!</v>
      </c>
      <c r="U212" s="954" t="e">
        <f>#REF!</f>
        <v>#REF!</v>
      </c>
      <c r="V212" s="955">
        <v>0</v>
      </c>
      <c r="W212" s="954" t="e">
        <f>#REF!</f>
        <v>#REF!</v>
      </c>
      <c r="X212" s="956" t="e">
        <f>#REF!+#REF!</f>
        <v>#REF!</v>
      </c>
      <c r="Y212" s="956" t="e">
        <f>#REF!+#REF!</f>
        <v>#REF!</v>
      </c>
      <c r="Z212" s="956"/>
      <c r="AA212" s="954" t="e">
        <f>#REF!</f>
        <v>#REF!</v>
      </c>
      <c r="AB212" s="954" t="e">
        <f t="shared" si="10"/>
        <v>#REF!</v>
      </c>
      <c r="AC212" s="954" t="e">
        <f>#REF!+#REF!</f>
        <v>#REF!</v>
      </c>
      <c r="AD212" s="954">
        <f t="shared" si="11"/>
        <v>6255</v>
      </c>
      <c r="AE212" s="625"/>
    </row>
    <row r="213" spans="1:31" s="620" customFormat="1" ht="18" customHeight="1" x14ac:dyDescent="0.2">
      <c r="A213" s="655" t="s">
        <v>2846</v>
      </c>
      <c r="B213" s="508">
        <f t="shared" si="12"/>
        <v>174</v>
      </c>
      <c r="C213" s="957">
        <f>+NOMINA!C217</f>
        <v>18348317</v>
      </c>
      <c r="D213" s="958" t="str">
        <f>+NOMINA!D217</f>
        <v>Abreu Araujo Gilmer Francisco</v>
      </c>
      <c r="E213" s="955" t="s">
        <v>4622</v>
      </c>
      <c r="F213" s="959">
        <v>27081</v>
      </c>
      <c r="G213" s="955" t="s">
        <v>4620</v>
      </c>
      <c r="H213" s="960">
        <f>+NOMINA!H217</f>
        <v>43160</v>
      </c>
      <c r="I213" s="961">
        <f>+NOMINA!I217</f>
        <v>7</v>
      </c>
      <c r="J213" s="962">
        <f>+NOMINA!J217</f>
        <v>0</v>
      </c>
      <c r="K213" s="961">
        <f>+NOMINA!K217</f>
        <v>7</v>
      </c>
      <c r="L213" s="963">
        <f>+NOMINA!CA217</f>
        <v>6255</v>
      </c>
      <c r="M213" s="443" t="e">
        <f>#REF!+#REF!-#REF!</f>
        <v>#REF!</v>
      </c>
      <c r="N213" s="952" t="e">
        <f>ROUND((#REF!+#REF!+#REF!+#REF!+#REF!+#REF!+#REF!+#REF!),2)</f>
        <v>#REF!</v>
      </c>
      <c r="Q213" s="620" t="e">
        <f>SUM(#REF!)</f>
        <v>#REF!</v>
      </c>
      <c r="R213" s="953" t="e">
        <f>#REF!+#REF!-#REF!</f>
        <v>#REF!</v>
      </c>
      <c r="S213" s="954">
        <v>200</v>
      </c>
      <c r="T213" s="953" t="e">
        <f>#REF!+#REF!</f>
        <v>#REF!</v>
      </c>
      <c r="U213" s="954" t="e">
        <f>#REF!</f>
        <v>#REF!</v>
      </c>
      <c r="V213" s="955">
        <v>0</v>
      </c>
      <c r="W213" s="954" t="e">
        <f>#REF!</f>
        <v>#REF!</v>
      </c>
      <c r="X213" s="956" t="e">
        <f>#REF!+#REF!</f>
        <v>#REF!</v>
      </c>
      <c r="Y213" s="956" t="e">
        <f>#REF!+#REF!</f>
        <v>#REF!</v>
      </c>
      <c r="Z213" s="956"/>
      <c r="AA213" s="954" t="e">
        <f>#REF!</f>
        <v>#REF!</v>
      </c>
      <c r="AB213" s="954" t="e">
        <f t="shared" si="10"/>
        <v>#REF!</v>
      </c>
      <c r="AC213" s="954" t="e">
        <f>#REF!+#REF!</f>
        <v>#REF!</v>
      </c>
      <c r="AD213" s="954">
        <f t="shared" si="11"/>
        <v>6255</v>
      </c>
      <c r="AE213" s="625"/>
    </row>
    <row r="214" spans="1:31" s="620" customFormat="1" ht="18" customHeight="1" x14ac:dyDescent="0.2">
      <c r="A214" s="655" t="s">
        <v>2846</v>
      </c>
      <c r="B214" s="508">
        <f t="shared" si="12"/>
        <v>175</v>
      </c>
      <c r="C214" s="957">
        <f>+NOMINA!C218</f>
        <v>18348721</v>
      </c>
      <c r="D214" s="958" t="str">
        <f>+NOMINA!D218</f>
        <v>Villarreal Lusana Carolina</v>
      </c>
      <c r="E214" s="955" t="s">
        <v>4622</v>
      </c>
      <c r="F214" s="959">
        <v>27081</v>
      </c>
      <c r="G214" s="955" t="s">
        <v>4620</v>
      </c>
      <c r="H214" s="960">
        <f>+NOMINA!H218</f>
        <v>42948</v>
      </c>
      <c r="I214" s="961">
        <f>+NOMINA!I218</f>
        <v>8</v>
      </c>
      <c r="J214" s="962">
        <f>+NOMINA!J218</f>
        <v>0</v>
      </c>
      <c r="K214" s="961">
        <f>+NOMINA!K218</f>
        <v>8</v>
      </c>
      <c r="L214" s="963">
        <f>+NOMINA!CA218</f>
        <v>6255</v>
      </c>
      <c r="M214" s="443" t="e">
        <f>#REF!+#REF!-#REF!</f>
        <v>#REF!</v>
      </c>
      <c r="N214" s="952" t="e">
        <f>ROUND((#REF!+#REF!+#REF!+#REF!+#REF!+#REF!+#REF!+#REF!),2)</f>
        <v>#REF!</v>
      </c>
      <c r="Q214" s="620" t="e">
        <f>SUM(#REF!)</f>
        <v>#REF!</v>
      </c>
      <c r="R214" s="953" t="e">
        <f>#REF!+#REF!-#REF!</f>
        <v>#REF!</v>
      </c>
      <c r="S214" s="954">
        <v>200</v>
      </c>
      <c r="T214" s="953" t="e">
        <f>#REF!+#REF!</f>
        <v>#REF!</v>
      </c>
      <c r="U214" s="954" t="e">
        <f>#REF!</f>
        <v>#REF!</v>
      </c>
      <c r="V214" s="955">
        <v>0</v>
      </c>
      <c r="W214" s="954" t="e">
        <f>#REF!</f>
        <v>#REF!</v>
      </c>
      <c r="X214" s="956" t="e">
        <f>#REF!+#REF!</f>
        <v>#REF!</v>
      </c>
      <c r="Y214" s="956" t="e">
        <f>#REF!+#REF!</f>
        <v>#REF!</v>
      </c>
      <c r="Z214" s="956"/>
      <c r="AA214" s="954" t="e">
        <f>#REF!</f>
        <v>#REF!</v>
      </c>
      <c r="AB214" s="954" t="e">
        <f t="shared" si="10"/>
        <v>#REF!</v>
      </c>
      <c r="AC214" s="954" t="e">
        <f>#REF!+#REF!</f>
        <v>#REF!</v>
      </c>
      <c r="AD214" s="954">
        <f t="shared" si="11"/>
        <v>6255</v>
      </c>
      <c r="AE214" s="625"/>
    </row>
    <row r="215" spans="1:31" s="620" customFormat="1" ht="18" customHeight="1" x14ac:dyDescent="0.2">
      <c r="A215" s="655" t="s">
        <v>2846</v>
      </c>
      <c r="B215" s="508">
        <f t="shared" si="12"/>
        <v>176</v>
      </c>
      <c r="C215" s="957">
        <f>+NOMINA!C219</f>
        <v>18349021</v>
      </c>
      <c r="D215" s="958" t="str">
        <f>+NOMINA!D219</f>
        <v>Godoy Linares Amenaida del Valle</v>
      </c>
      <c r="E215" s="955" t="s">
        <v>4622</v>
      </c>
      <c r="F215" s="959">
        <v>27081</v>
      </c>
      <c r="G215" s="955" t="s">
        <v>4620</v>
      </c>
      <c r="H215" s="960">
        <f>+NOMINA!H219</f>
        <v>44683</v>
      </c>
      <c r="I215" s="961">
        <f>+NOMINA!I219</f>
        <v>3</v>
      </c>
      <c r="J215" s="962">
        <f>+NOMINA!J219</f>
        <v>0</v>
      </c>
      <c r="K215" s="961">
        <f>+NOMINA!K219</f>
        <v>3</v>
      </c>
      <c r="L215" s="963">
        <f>+NOMINA!CA219</f>
        <v>6255</v>
      </c>
      <c r="M215" s="443" t="e">
        <f>#REF!+#REF!-#REF!</f>
        <v>#REF!</v>
      </c>
      <c r="N215" s="952" t="e">
        <f>ROUND((#REF!+#REF!+#REF!+#REF!+#REF!+#REF!+#REF!+#REF!),2)</f>
        <v>#REF!</v>
      </c>
      <c r="Q215" s="620" t="e">
        <f>SUM(#REF!)</f>
        <v>#REF!</v>
      </c>
      <c r="R215" s="953" t="e">
        <f>#REF!+#REF!-#REF!</f>
        <v>#REF!</v>
      </c>
      <c r="S215" s="954">
        <v>200</v>
      </c>
      <c r="T215" s="953" t="e">
        <f>#REF!+#REF!</f>
        <v>#REF!</v>
      </c>
      <c r="U215" s="954" t="e">
        <f>#REF!</f>
        <v>#REF!</v>
      </c>
      <c r="V215" s="955">
        <v>0</v>
      </c>
      <c r="W215" s="954" t="e">
        <f>#REF!</f>
        <v>#REF!</v>
      </c>
      <c r="X215" s="956" t="e">
        <f>#REF!+#REF!</f>
        <v>#REF!</v>
      </c>
      <c r="Y215" s="956" t="e">
        <f>#REF!+#REF!</f>
        <v>#REF!</v>
      </c>
      <c r="Z215" s="956"/>
      <c r="AA215" s="954" t="e">
        <f>#REF!</f>
        <v>#REF!</v>
      </c>
      <c r="AB215" s="954" t="e">
        <f t="shared" si="10"/>
        <v>#REF!</v>
      </c>
      <c r="AC215" s="954" t="e">
        <f>#REF!+#REF!</f>
        <v>#REF!</v>
      </c>
      <c r="AD215" s="954">
        <f t="shared" si="11"/>
        <v>6255</v>
      </c>
      <c r="AE215" s="625"/>
    </row>
    <row r="216" spans="1:31" s="620" customFormat="1" ht="18" customHeight="1" x14ac:dyDescent="0.2">
      <c r="A216" s="655" t="s">
        <v>2846</v>
      </c>
      <c r="B216" s="508">
        <f t="shared" si="12"/>
        <v>177</v>
      </c>
      <c r="C216" s="957">
        <f>+NOMINA!C220</f>
        <v>18349409</v>
      </c>
      <c r="D216" s="958" t="str">
        <f>+NOMINA!D220</f>
        <v>Fernandez Mendoza Maria Alejandra</v>
      </c>
      <c r="E216" s="955" t="s">
        <v>4622</v>
      </c>
      <c r="F216" s="959">
        <v>27081</v>
      </c>
      <c r="G216" s="955" t="s">
        <v>4620</v>
      </c>
      <c r="H216" s="960">
        <f>+NOMINA!H220</f>
        <v>45839</v>
      </c>
      <c r="I216" s="961">
        <f>+NOMINA!I220</f>
        <v>0</v>
      </c>
      <c r="J216" s="962">
        <f>+NOMINA!J220</f>
        <v>0</v>
      </c>
      <c r="K216" s="961">
        <f>+NOMINA!K220</f>
        <v>0</v>
      </c>
      <c r="L216" s="963">
        <f>+NOMINA!CA220</f>
        <v>6255</v>
      </c>
      <c r="M216" s="443" t="e">
        <f>#REF!+#REF!-#REF!</f>
        <v>#REF!</v>
      </c>
      <c r="N216" s="952" t="e">
        <f>ROUND((#REF!+#REF!+#REF!+#REF!+#REF!+#REF!+#REF!+#REF!),2)</f>
        <v>#REF!</v>
      </c>
      <c r="Q216" s="620" t="e">
        <f>SUM(#REF!)</f>
        <v>#REF!</v>
      </c>
      <c r="R216" s="953" t="e">
        <f>#REF!+#REF!-#REF!</f>
        <v>#REF!</v>
      </c>
      <c r="S216" s="954">
        <v>200</v>
      </c>
      <c r="T216" s="953" t="e">
        <f>#REF!+#REF!</f>
        <v>#REF!</v>
      </c>
      <c r="U216" s="954" t="e">
        <f>#REF!</f>
        <v>#REF!</v>
      </c>
      <c r="V216" s="955">
        <v>0</v>
      </c>
      <c r="W216" s="954" t="e">
        <f>#REF!</f>
        <v>#REF!</v>
      </c>
      <c r="X216" s="956" t="e">
        <f>#REF!+#REF!</f>
        <v>#REF!</v>
      </c>
      <c r="Y216" s="956" t="e">
        <f>#REF!+#REF!</f>
        <v>#REF!</v>
      </c>
      <c r="Z216" s="956"/>
      <c r="AA216" s="954" t="e">
        <f>#REF!</f>
        <v>#REF!</v>
      </c>
      <c r="AB216" s="954" t="e">
        <f t="shared" si="10"/>
        <v>#REF!</v>
      </c>
      <c r="AC216" s="954" t="e">
        <f>#REF!+#REF!</f>
        <v>#REF!</v>
      </c>
      <c r="AD216" s="954">
        <f t="shared" si="11"/>
        <v>6255</v>
      </c>
      <c r="AE216" s="625"/>
    </row>
    <row r="217" spans="1:31" s="620" customFormat="1" ht="18" customHeight="1" x14ac:dyDescent="0.2">
      <c r="A217" s="655" t="s">
        <v>2846</v>
      </c>
      <c r="B217" s="508">
        <f t="shared" si="12"/>
        <v>178</v>
      </c>
      <c r="C217" s="957">
        <f>+NOMINA!C221</f>
        <v>18349653</v>
      </c>
      <c r="D217" s="958" t="str">
        <f>+NOMINA!D221</f>
        <v>Baptista Finol Violexy del Valle</v>
      </c>
      <c r="E217" s="955" t="s">
        <v>4622</v>
      </c>
      <c r="F217" s="959">
        <v>27081</v>
      </c>
      <c r="G217" s="955" t="s">
        <v>4620</v>
      </c>
      <c r="H217" s="960">
        <f>+NOMINA!H221</f>
        <v>45627</v>
      </c>
      <c r="I217" s="961">
        <f>+NOMINA!I221</f>
        <v>0</v>
      </c>
      <c r="J217" s="962">
        <f>+NOMINA!J221</f>
        <v>0</v>
      </c>
      <c r="K217" s="961">
        <f>+NOMINA!K221</f>
        <v>0</v>
      </c>
      <c r="L217" s="963">
        <f>+NOMINA!CA221</f>
        <v>6255</v>
      </c>
      <c r="M217" s="443" t="e">
        <f>#REF!+#REF!-#REF!</f>
        <v>#REF!</v>
      </c>
      <c r="N217" s="952" t="e">
        <f>ROUND((#REF!+#REF!+#REF!+#REF!+#REF!+#REF!+#REF!+#REF!),2)</f>
        <v>#REF!</v>
      </c>
      <c r="Q217" s="620" t="e">
        <f>SUM(#REF!)</f>
        <v>#REF!</v>
      </c>
      <c r="R217" s="953" t="e">
        <f>#REF!+#REF!-#REF!</f>
        <v>#REF!</v>
      </c>
      <c r="S217" s="954">
        <v>200</v>
      </c>
      <c r="T217" s="953" t="e">
        <f>#REF!+#REF!</f>
        <v>#REF!</v>
      </c>
      <c r="U217" s="954" t="e">
        <f>#REF!</f>
        <v>#REF!</v>
      </c>
      <c r="V217" s="955">
        <v>0</v>
      </c>
      <c r="W217" s="954" t="e">
        <f>#REF!</f>
        <v>#REF!</v>
      </c>
      <c r="X217" s="956" t="e">
        <f>#REF!+#REF!</f>
        <v>#REF!</v>
      </c>
      <c r="Y217" s="956" t="e">
        <f>#REF!+#REF!</f>
        <v>#REF!</v>
      </c>
      <c r="Z217" s="956"/>
      <c r="AA217" s="954" t="e">
        <f>#REF!</f>
        <v>#REF!</v>
      </c>
      <c r="AB217" s="954" t="e">
        <f t="shared" si="10"/>
        <v>#REF!</v>
      </c>
      <c r="AC217" s="954" t="e">
        <f>#REF!+#REF!</f>
        <v>#REF!</v>
      </c>
      <c r="AD217" s="954">
        <f t="shared" si="11"/>
        <v>6255</v>
      </c>
      <c r="AE217" s="625"/>
    </row>
    <row r="218" spans="1:31" s="620" customFormat="1" ht="18" customHeight="1" x14ac:dyDescent="0.2">
      <c r="A218" s="655" t="s">
        <v>2846</v>
      </c>
      <c r="B218" s="508">
        <f t="shared" si="12"/>
        <v>179</v>
      </c>
      <c r="C218" s="957">
        <f>+NOMINA!C222</f>
        <v>18350884</v>
      </c>
      <c r="D218" s="958" t="str">
        <f>+NOMINA!D222</f>
        <v>Araujo Mendoza Mirelis Carolina</v>
      </c>
      <c r="E218" s="955" t="s">
        <v>4622</v>
      </c>
      <c r="F218" s="959">
        <v>27081</v>
      </c>
      <c r="G218" s="955" t="s">
        <v>4620</v>
      </c>
      <c r="H218" s="960">
        <f>+NOMINA!H222</f>
        <v>45474</v>
      </c>
      <c r="I218" s="961">
        <f>+NOMINA!I222</f>
        <v>1</v>
      </c>
      <c r="J218" s="962">
        <f>+NOMINA!J222</f>
        <v>0</v>
      </c>
      <c r="K218" s="961">
        <f>+NOMINA!K222</f>
        <v>1</v>
      </c>
      <c r="L218" s="963">
        <f>+NOMINA!CA222</f>
        <v>6255</v>
      </c>
      <c r="M218" s="443" t="e">
        <f>#REF!+#REF!-#REF!</f>
        <v>#REF!</v>
      </c>
      <c r="N218" s="952" t="e">
        <f>ROUND((#REF!+#REF!+#REF!+#REF!+#REF!+#REF!+#REF!+#REF!),2)</f>
        <v>#REF!</v>
      </c>
      <c r="Q218" s="620" t="e">
        <f>SUM(#REF!)</f>
        <v>#REF!</v>
      </c>
      <c r="R218" s="953" t="e">
        <f>#REF!+#REF!-#REF!</f>
        <v>#REF!</v>
      </c>
      <c r="S218" s="954">
        <v>200</v>
      </c>
      <c r="T218" s="953" t="e">
        <f>#REF!+#REF!</f>
        <v>#REF!</v>
      </c>
      <c r="U218" s="954" t="e">
        <f>#REF!</f>
        <v>#REF!</v>
      </c>
      <c r="V218" s="955">
        <v>0</v>
      </c>
      <c r="W218" s="954" t="e">
        <f>#REF!</f>
        <v>#REF!</v>
      </c>
      <c r="X218" s="956" t="e">
        <f>#REF!+#REF!</f>
        <v>#REF!</v>
      </c>
      <c r="Y218" s="956" t="e">
        <f>#REF!+#REF!</f>
        <v>#REF!</v>
      </c>
      <c r="Z218" s="956"/>
      <c r="AA218" s="954" t="e">
        <f>#REF!</f>
        <v>#REF!</v>
      </c>
      <c r="AB218" s="954" t="e">
        <f t="shared" si="10"/>
        <v>#REF!</v>
      </c>
      <c r="AC218" s="954" t="e">
        <f>#REF!+#REF!</f>
        <v>#REF!</v>
      </c>
      <c r="AD218" s="954">
        <f t="shared" si="11"/>
        <v>6255</v>
      </c>
      <c r="AE218" s="625"/>
    </row>
    <row r="219" spans="1:31" s="620" customFormat="1" ht="18" customHeight="1" x14ac:dyDescent="0.2">
      <c r="A219" s="655" t="s">
        <v>2846</v>
      </c>
      <c r="B219" s="508">
        <f t="shared" si="12"/>
        <v>180</v>
      </c>
      <c r="C219" s="957">
        <f>+NOMINA!C223</f>
        <v>18378985</v>
      </c>
      <c r="D219" s="958" t="str">
        <f>+NOMINA!D223</f>
        <v>Quintero Paradas Ilse Maria</v>
      </c>
      <c r="E219" s="955" t="s">
        <v>4622</v>
      </c>
      <c r="F219" s="959">
        <v>27081</v>
      </c>
      <c r="G219" s="955" t="s">
        <v>4620</v>
      </c>
      <c r="H219" s="960">
        <f>+NOMINA!H223</f>
        <v>43147</v>
      </c>
      <c r="I219" s="961">
        <f>+NOMINA!I223</f>
        <v>7</v>
      </c>
      <c r="J219" s="962">
        <f>+NOMINA!J223</f>
        <v>0</v>
      </c>
      <c r="K219" s="961">
        <f>+NOMINA!K223</f>
        <v>7</v>
      </c>
      <c r="L219" s="963">
        <f>+NOMINA!CA223</f>
        <v>6255</v>
      </c>
      <c r="M219" s="443" t="e">
        <f>#REF!+#REF!-#REF!</f>
        <v>#REF!</v>
      </c>
      <c r="N219" s="952" t="e">
        <f>ROUND((#REF!+#REF!+#REF!+#REF!+#REF!+#REF!+#REF!+#REF!),2)</f>
        <v>#REF!</v>
      </c>
      <c r="Q219" s="620" t="e">
        <f>SUM(#REF!)</f>
        <v>#REF!</v>
      </c>
      <c r="R219" s="953" t="e">
        <f>#REF!+#REF!-#REF!</f>
        <v>#REF!</v>
      </c>
      <c r="S219" s="954">
        <v>200</v>
      </c>
      <c r="T219" s="953" t="e">
        <f>#REF!+#REF!</f>
        <v>#REF!</v>
      </c>
      <c r="U219" s="954" t="e">
        <f>#REF!</f>
        <v>#REF!</v>
      </c>
      <c r="V219" s="955">
        <v>0</v>
      </c>
      <c r="W219" s="954" t="e">
        <f>#REF!</f>
        <v>#REF!</v>
      </c>
      <c r="X219" s="956" t="e">
        <f>#REF!+#REF!</f>
        <v>#REF!</v>
      </c>
      <c r="Y219" s="956" t="e">
        <f>#REF!+#REF!</f>
        <v>#REF!</v>
      </c>
      <c r="Z219" s="956"/>
      <c r="AA219" s="954" t="e">
        <f>#REF!</f>
        <v>#REF!</v>
      </c>
      <c r="AB219" s="954" t="e">
        <f t="shared" si="10"/>
        <v>#REF!</v>
      </c>
      <c r="AC219" s="954" t="e">
        <f>#REF!+#REF!</f>
        <v>#REF!</v>
      </c>
      <c r="AD219" s="954">
        <f t="shared" si="11"/>
        <v>6255</v>
      </c>
      <c r="AE219" s="625"/>
    </row>
    <row r="220" spans="1:31" s="620" customFormat="1" ht="18" customHeight="1" x14ac:dyDescent="0.2">
      <c r="A220" s="655" t="s">
        <v>2846</v>
      </c>
      <c r="B220" s="508">
        <f t="shared" si="12"/>
        <v>181</v>
      </c>
      <c r="C220" s="957">
        <f>+NOMINA!C224</f>
        <v>18456345</v>
      </c>
      <c r="D220" s="958" t="str">
        <f>+NOMINA!D224</f>
        <v>Peñaloza Olmos Eduardo Jose</v>
      </c>
      <c r="E220" s="955" t="s">
        <v>4622</v>
      </c>
      <c r="F220" s="959">
        <v>27081</v>
      </c>
      <c r="G220" s="955" t="s">
        <v>4620</v>
      </c>
      <c r="H220" s="960">
        <f>+NOMINA!H224</f>
        <v>44774</v>
      </c>
      <c r="I220" s="961">
        <f>+NOMINA!I224</f>
        <v>3</v>
      </c>
      <c r="J220" s="962">
        <f>+NOMINA!J224</f>
        <v>0</v>
      </c>
      <c r="K220" s="961">
        <f>+NOMINA!K224</f>
        <v>3</v>
      </c>
      <c r="L220" s="963">
        <f>+NOMINA!CA224</f>
        <v>6255</v>
      </c>
      <c r="M220" s="443" t="e">
        <f>#REF!+#REF!-#REF!</f>
        <v>#REF!</v>
      </c>
      <c r="N220" s="952" t="e">
        <f>ROUND((#REF!+#REF!+#REF!+#REF!+#REF!+#REF!+#REF!+#REF!),2)</f>
        <v>#REF!</v>
      </c>
      <c r="Q220" s="620" t="e">
        <f>SUM(#REF!)</f>
        <v>#REF!</v>
      </c>
      <c r="R220" s="953" t="e">
        <f>#REF!+#REF!-#REF!</f>
        <v>#REF!</v>
      </c>
      <c r="S220" s="954">
        <v>200</v>
      </c>
      <c r="T220" s="953" t="e">
        <f>#REF!+#REF!</f>
        <v>#REF!</v>
      </c>
      <c r="U220" s="954" t="e">
        <f>#REF!</f>
        <v>#REF!</v>
      </c>
      <c r="V220" s="955">
        <v>0</v>
      </c>
      <c r="W220" s="954" t="e">
        <f>#REF!</f>
        <v>#REF!</v>
      </c>
      <c r="X220" s="956" t="e">
        <f>#REF!+#REF!</f>
        <v>#REF!</v>
      </c>
      <c r="Y220" s="956" t="e">
        <f>#REF!+#REF!</f>
        <v>#REF!</v>
      </c>
      <c r="Z220" s="956"/>
      <c r="AA220" s="954" t="e">
        <f>#REF!</f>
        <v>#REF!</v>
      </c>
      <c r="AB220" s="954" t="e">
        <f t="shared" si="10"/>
        <v>#REF!</v>
      </c>
      <c r="AC220" s="954" t="e">
        <f>#REF!+#REF!</f>
        <v>#REF!</v>
      </c>
      <c r="AD220" s="954">
        <f t="shared" si="11"/>
        <v>6255</v>
      </c>
      <c r="AE220" s="625"/>
    </row>
    <row r="221" spans="1:31" s="620" customFormat="1" ht="18" customHeight="1" x14ac:dyDescent="0.2">
      <c r="A221" s="655" t="s">
        <v>2846</v>
      </c>
      <c r="B221" s="508">
        <f t="shared" si="12"/>
        <v>182</v>
      </c>
      <c r="C221" s="957">
        <f>+NOMINA!C225</f>
        <v>18457406</v>
      </c>
      <c r="D221" s="958" t="str">
        <f>+NOMINA!D225</f>
        <v>Rivero Zambrano Herluis Jose</v>
      </c>
      <c r="E221" s="955" t="s">
        <v>4622</v>
      </c>
      <c r="F221" s="959">
        <v>27081</v>
      </c>
      <c r="G221" s="955" t="s">
        <v>4620</v>
      </c>
      <c r="H221" s="960">
        <f>+NOMINA!H225</f>
        <v>41548</v>
      </c>
      <c r="I221" s="961">
        <f>+NOMINA!I225</f>
        <v>11</v>
      </c>
      <c r="J221" s="962">
        <f>+NOMINA!J225</f>
        <v>0</v>
      </c>
      <c r="K221" s="961">
        <f>+NOMINA!K225</f>
        <v>11</v>
      </c>
      <c r="L221" s="963">
        <f>+NOMINA!CA225</f>
        <v>0</v>
      </c>
      <c r="M221" s="443" t="e">
        <f>#REF!+#REF!-#REF!</f>
        <v>#REF!</v>
      </c>
      <c r="N221" s="952" t="e">
        <f>ROUND((#REF!+#REF!+#REF!+#REF!+#REF!+#REF!+#REF!+#REF!),2)</f>
        <v>#REF!</v>
      </c>
      <c r="Q221" s="620" t="e">
        <f>SUM(#REF!)</f>
        <v>#REF!</v>
      </c>
      <c r="R221" s="953" t="e">
        <f>#REF!+#REF!-#REF!</f>
        <v>#REF!</v>
      </c>
      <c r="S221" s="954">
        <v>200</v>
      </c>
      <c r="T221" s="953" t="e">
        <f>#REF!+#REF!</f>
        <v>#REF!</v>
      </c>
      <c r="U221" s="954" t="e">
        <f>#REF!</f>
        <v>#REF!</v>
      </c>
      <c r="V221" s="955">
        <v>0</v>
      </c>
      <c r="W221" s="954" t="e">
        <f>#REF!</f>
        <v>#REF!</v>
      </c>
      <c r="X221" s="956" t="e">
        <f>#REF!+#REF!</f>
        <v>#REF!</v>
      </c>
      <c r="Y221" s="956" t="e">
        <f>#REF!+#REF!</f>
        <v>#REF!</v>
      </c>
      <c r="Z221" s="956"/>
      <c r="AA221" s="954" t="e">
        <f>#REF!</f>
        <v>#REF!</v>
      </c>
      <c r="AB221" s="954" t="e">
        <f t="shared" si="10"/>
        <v>#REF!</v>
      </c>
      <c r="AC221" s="954" t="e">
        <f>#REF!+#REF!</f>
        <v>#REF!</v>
      </c>
      <c r="AD221" s="954">
        <f t="shared" si="11"/>
        <v>0</v>
      </c>
      <c r="AE221" s="625"/>
    </row>
    <row r="222" spans="1:31" s="620" customFormat="1" ht="18" customHeight="1" x14ac:dyDescent="0.2">
      <c r="A222" s="655" t="s">
        <v>2846</v>
      </c>
      <c r="B222" s="508">
        <f t="shared" si="12"/>
        <v>183</v>
      </c>
      <c r="C222" s="957">
        <f>+NOMINA!C226</f>
        <v>18458012</v>
      </c>
      <c r="D222" s="958" t="str">
        <f>+NOMINA!D226</f>
        <v>Briceño Uzcategui Maria Esperanza</v>
      </c>
      <c r="E222" s="955" t="s">
        <v>4622</v>
      </c>
      <c r="F222" s="959">
        <v>27081</v>
      </c>
      <c r="G222" s="955" t="s">
        <v>4620</v>
      </c>
      <c r="H222" s="960">
        <f>+NOMINA!H226</f>
        <v>44636</v>
      </c>
      <c r="I222" s="961">
        <f>+NOMINA!I226</f>
        <v>3</v>
      </c>
      <c r="J222" s="962">
        <f>+NOMINA!J226</f>
        <v>0</v>
      </c>
      <c r="K222" s="961">
        <f>+NOMINA!K226</f>
        <v>3</v>
      </c>
      <c r="L222" s="963">
        <f>+NOMINA!CA226</f>
        <v>6255</v>
      </c>
      <c r="M222" s="443" t="e">
        <f>#REF!+#REF!-#REF!</f>
        <v>#REF!</v>
      </c>
      <c r="N222" s="952" t="e">
        <f>ROUND((#REF!+#REF!+#REF!+#REF!+#REF!+#REF!+#REF!+#REF!),2)</f>
        <v>#REF!</v>
      </c>
      <c r="Q222" s="620" t="e">
        <f>SUM(#REF!)</f>
        <v>#REF!</v>
      </c>
      <c r="R222" s="953" t="e">
        <f>#REF!+#REF!-#REF!</f>
        <v>#REF!</v>
      </c>
      <c r="S222" s="954">
        <v>200</v>
      </c>
      <c r="T222" s="953" t="e">
        <f>#REF!+#REF!</f>
        <v>#REF!</v>
      </c>
      <c r="U222" s="954" t="e">
        <f>#REF!</f>
        <v>#REF!</v>
      </c>
      <c r="V222" s="955">
        <v>0</v>
      </c>
      <c r="W222" s="954" t="e">
        <f>#REF!</f>
        <v>#REF!</v>
      </c>
      <c r="X222" s="956" t="e">
        <f>#REF!+#REF!</f>
        <v>#REF!</v>
      </c>
      <c r="Y222" s="956" t="e">
        <f>#REF!+#REF!</f>
        <v>#REF!</v>
      </c>
      <c r="Z222" s="956"/>
      <c r="AA222" s="954" t="e">
        <f>#REF!</f>
        <v>#REF!</v>
      </c>
      <c r="AB222" s="954" t="e">
        <f t="shared" ref="AB222:AB298" si="13">SUM(T222:AA222)</f>
        <v>#REF!</v>
      </c>
      <c r="AC222" s="954" t="e">
        <f>#REF!+#REF!</f>
        <v>#REF!</v>
      </c>
      <c r="AD222" s="954">
        <f t="shared" si="11"/>
        <v>6255</v>
      </c>
      <c r="AE222" s="625"/>
    </row>
    <row r="223" spans="1:31" s="620" customFormat="1" ht="18" customHeight="1" x14ac:dyDescent="0.2">
      <c r="A223" s="655" t="s">
        <v>2846</v>
      </c>
      <c r="B223" s="508">
        <f t="shared" si="12"/>
        <v>184</v>
      </c>
      <c r="C223" s="957">
        <f>+NOMINA!C227</f>
        <v>18733682</v>
      </c>
      <c r="D223" s="958" t="str">
        <f>+NOMINA!D227</f>
        <v>Ocanto Ramirez Maria Alejandra</v>
      </c>
      <c r="E223" s="955" t="s">
        <v>4622</v>
      </c>
      <c r="F223" s="959">
        <v>27081</v>
      </c>
      <c r="G223" s="955" t="s">
        <v>4620</v>
      </c>
      <c r="H223" s="960">
        <f>+NOMINA!H227</f>
        <v>45474</v>
      </c>
      <c r="I223" s="961">
        <f>+NOMINA!I227</f>
        <v>1</v>
      </c>
      <c r="J223" s="962">
        <f>+NOMINA!J227</f>
        <v>0</v>
      </c>
      <c r="K223" s="961">
        <f>+NOMINA!K227</f>
        <v>1</v>
      </c>
      <c r="L223" s="963">
        <f>+NOMINA!CA227</f>
        <v>6255</v>
      </c>
      <c r="M223" s="443" t="e">
        <f>#REF!+#REF!-#REF!</f>
        <v>#REF!</v>
      </c>
      <c r="N223" s="952" t="e">
        <f>ROUND((#REF!+#REF!+#REF!+#REF!+#REF!+#REF!+#REF!+#REF!),2)</f>
        <v>#REF!</v>
      </c>
      <c r="Q223" s="620" t="e">
        <f>SUM(#REF!)</f>
        <v>#REF!</v>
      </c>
      <c r="R223" s="953" t="e">
        <f>#REF!+#REF!-#REF!</f>
        <v>#REF!</v>
      </c>
      <c r="S223" s="954">
        <v>200</v>
      </c>
      <c r="T223" s="953" t="e">
        <f>#REF!+#REF!</f>
        <v>#REF!</v>
      </c>
      <c r="U223" s="954" t="e">
        <f>#REF!</f>
        <v>#REF!</v>
      </c>
      <c r="V223" s="955">
        <v>0</v>
      </c>
      <c r="W223" s="954" t="e">
        <f>#REF!</f>
        <v>#REF!</v>
      </c>
      <c r="X223" s="956" t="e">
        <f>#REF!+#REF!</f>
        <v>#REF!</v>
      </c>
      <c r="Y223" s="956" t="e">
        <f>#REF!+#REF!</f>
        <v>#REF!</v>
      </c>
      <c r="Z223" s="956"/>
      <c r="AA223" s="954" t="e">
        <f>#REF!</f>
        <v>#REF!</v>
      </c>
      <c r="AB223" s="954" t="e">
        <f t="shared" si="13"/>
        <v>#REF!</v>
      </c>
      <c r="AC223" s="954" t="e">
        <f>#REF!+#REF!</f>
        <v>#REF!</v>
      </c>
      <c r="AD223" s="954">
        <f t="shared" si="11"/>
        <v>6255</v>
      </c>
      <c r="AE223" s="625"/>
    </row>
    <row r="224" spans="1:31" s="620" customFormat="1" ht="18" customHeight="1" x14ac:dyDescent="0.2">
      <c r="A224" s="655" t="s">
        <v>2846</v>
      </c>
      <c r="B224" s="508">
        <f t="shared" si="12"/>
        <v>185</v>
      </c>
      <c r="C224" s="957">
        <f>+NOMINA!C228</f>
        <v>18801597</v>
      </c>
      <c r="D224" s="958" t="str">
        <f>+NOMINA!D228</f>
        <v>Rodriguez Salas Mary Carmen</v>
      </c>
      <c r="E224" s="955" t="s">
        <v>4622</v>
      </c>
      <c r="F224" s="959">
        <v>27081</v>
      </c>
      <c r="G224" s="955" t="s">
        <v>4620</v>
      </c>
      <c r="H224" s="960">
        <f>+NOMINA!H228</f>
        <v>43359</v>
      </c>
      <c r="I224" s="961">
        <f>+NOMINA!I228</f>
        <v>7</v>
      </c>
      <c r="J224" s="962">
        <f>+NOMINA!J228</f>
        <v>0</v>
      </c>
      <c r="K224" s="961">
        <f>+NOMINA!K228</f>
        <v>7</v>
      </c>
      <c r="L224" s="963">
        <f>+NOMINA!CA228</f>
        <v>6255</v>
      </c>
      <c r="M224" s="443" t="e">
        <f>#REF!+#REF!-#REF!</f>
        <v>#REF!</v>
      </c>
      <c r="N224" s="952" t="e">
        <f>ROUND((#REF!+#REF!+#REF!+#REF!+#REF!+#REF!+#REF!+#REF!),2)</f>
        <v>#REF!</v>
      </c>
      <c r="Q224" s="620" t="e">
        <f>SUM(#REF!)</f>
        <v>#REF!</v>
      </c>
      <c r="R224" s="953" t="e">
        <f>#REF!+#REF!-#REF!</f>
        <v>#REF!</v>
      </c>
      <c r="S224" s="954">
        <v>200</v>
      </c>
      <c r="T224" s="953" t="e">
        <f>#REF!+#REF!</f>
        <v>#REF!</v>
      </c>
      <c r="U224" s="954" t="e">
        <f>#REF!</f>
        <v>#REF!</v>
      </c>
      <c r="V224" s="955">
        <v>0</v>
      </c>
      <c r="W224" s="954" t="e">
        <f>#REF!</f>
        <v>#REF!</v>
      </c>
      <c r="X224" s="956" t="e">
        <f>#REF!+#REF!</f>
        <v>#REF!</v>
      </c>
      <c r="Y224" s="956" t="e">
        <f>#REF!+#REF!</f>
        <v>#REF!</v>
      </c>
      <c r="Z224" s="956"/>
      <c r="AA224" s="954" t="e">
        <f>#REF!</f>
        <v>#REF!</v>
      </c>
      <c r="AB224" s="954" t="e">
        <f t="shared" si="13"/>
        <v>#REF!</v>
      </c>
      <c r="AC224" s="954" t="e">
        <f>#REF!+#REF!</f>
        <v>#REF!</v>
      </c>
      <c r="AD224" s="954">
        <f t="shared" si="11"/>
        <v>6255</v>
      </c>
      <c r="AE224" s="625"/>
    </row>
    <row r="225" spans="1:31" s="620" customFormat="1" ht="18" customHeight="1" x14ac:dyDescent="0.2">
      <c r="A225" s="655" t="s">
        <v>2846</v>
      </c>
      <c r="B225" s="508">
        <f t="shared" si="12"/>
        <v>186</v>
      </c>
      <c r="C225" s="957">
        <f>+NOMINA!C229</f>
        <v>18802405</v>
      </c>
      <c r="D225" s="958" t="str">
        <f>+NOMINA!D229</f>
        <v>Ramirez Rodriguez Rudys Arelys</v>
      </c>
      <c r="E225" s="955" t="s">
        <v>4622</v>
      </c>
      <c r="F225" s="959">
        <v>27081</v>
      </c>
      <c r="G225" s="955" t="s">
        <v>4620</v>
      </c>
      <c r="H225" s="960">
        <f>+NOMINA!H229</f>
        <v>44332</v>
      </c>
      <c r="I225" s="961">
        <f>+NOMINA!I229</f>
        <v>4</v>
      </c>
      <c r="J225" s="962">
        <f>+NOMINA!J229</f>
        <v>0</v>
      </c>
      <c r="K225" s="961">
        <f>+NOMINA!K229</f>
        <v>4</v>
      </c>
      <c r="L225" s="963">
        <f>+NOMINA!CA229</f>
        <v>6255</v>
      </c>
      <c r="M225" s="443" t="e">
        <f>#REF!+#REF!-#REF!</f>
        <v>#REF!</v>
      </c>
      <c r="N225" s="952" t="e">
        <f>ROUND((#REF!+#REF!+#REF!+#REF!+#REF!+#REF!+#REF!+#REF!),2)</f>
        <v>#REF!</v>
      </c>
      <c r="Q225" s="620" t="e">
        <f>SUM(#REF!)</f>
        <v>#REF!</v>
      </c>
      <c r="R225" s="953" t="e">
        <f>#REF!+#REF!-#REF!</f>
        <v>#REF!</v>
      </c>
      <c r="S225" s="954">
        <v>200</v>
      </c>
      <c r="T225" s="953" t="e">
        <f>#REF!+#REF!</f>
        <v>#REF!</v>
      </c>
      <c r="U225" s="954" t="e">
        <f>#REF!</f>
        <v>#REF!</v>
      </c>
      <c r="V225" s="955">
        <v>0</v>
      </c>
      <c r="W225" s="954" t="e">
        <f>#REF!</f>
        <v>#REF!</v>
      </c>
      <c r="X225" s="956" t="e">
        <f>#REF!+#REF!</f>
        <v>#REF!</v>
      </c>
      <c r="Y225" s="956" t="e">
        <f>#REF!+#REF!</f>
        <v>#REF!</v>
      </c>
      <c r="Z225" s="956"/>
      <c r="AA225" s="954" t="e">
        <f>#REF!</f>
        <v>#REF!</v>
      </c>
      <c r="AB225" s="954" t="e">
        <f t="shared" si="13"/>
        <v>#REF!</v>
      </c>
      <c r="AC225" s="954" t="e">
        <f>#REF!+#REF!</f>
        <v>#REF!</v>
      </c>
      <c r="AD225" s="954">
        <f t="shared" si="11"/>
        <v>6255</v>
      </c>
      <c r="AE225" s="625"/>
    </row>
    <row r="226" spans="1:31" s="620" customFormat="1" ht="18" customHeight="1" x14ac:dyDescent="0.2">
      <c r="A226" s="655" t="s">
        <v>2846</v>
      </c>
      <c r="B226" s="508">
        <f t="shared" si="12"/>
        <v>187</v>
      </c>
      <c r="C226" s="957">
        <f>+NOMINA!C230</f>
        <v>18984406</v>
      </c>
      <c r="D226" s="958" t="str">
        <f>+NOMINA!D230</f>
        <v>Torres Santiago Eduardo David</v>
      </c>
      <c r="E226" s="955" t="s">
        <v>4622</v>
      </c>
      <c r="F226" s="959">
        <v>27081</v>
      </c>
      <c r="G226" s="955" t="s">
        <v>4620</v>
      </c>
      <c r="H226" s="960">
        <f>+NOMINA!H230</f>
        <v>45200</v>
      </c>
      <c r="I226" s="961">
        <f>+NOMINA!I230</f>
        <v>1</v>
      </c>
      <c r="J226" s="962">
        <f>+NOMINA!J230</f>
        <v>0</v>
      </c>
      <c r="K226" s="961">
        <f>+NOMINA!K230</f>
        <v>1</v>
      </c>
      <c r="L226" s="963">
        <f>+NOMINA!CA230</f>
        <v>6255</v>
      </c>
      <c r="M226" s="443" t="e">
        <f>#REF!+#REF!-#REF!</f>
        <v>#REF!</v>
      </c>
      <c r="N226" s="952" t="e">
        <f>ROUND((#REF!+#REF!+#REF!+#REF!+#REF!+#REF!+#REF!+#REF!),2)</f>
        <v>#REF!</v>
      </c>
      <c r="Q226" s="620" t="e">
        <f>SUM(#REF!)</f>
        <v>#REF!</v>
      </c>
      <c r="R226" s="953" t="e">
        <f>#REF!+#REF!-#REF!</f>
        <v>#REF!</v>
      </c>
      <c r="S226" s="954">
        <v>200</v>
      </c>
      <c r="T226" s="953" t="e">
        <f>#REF!+#REF!</f>
        <v>#REF!</v>
      </c>
      <c r="U226" s="954" t="e">
        <f>#REF!</f>
        <v>#REF!</v>
      </c>
      <c r="V226" s="955">
        <v>0</v>
      </c>
      <c r="W226" s="954" t="e">
        <f>#REF!</f>
        <v>#REF!</v>
      </c>
      <c r="X226" s="956" t="e">
        <f>#REF!+#REF!</f>
        <v>#REF!</v>
      </c>
      <c r="Y226" s="956" t="e">
        <f>#REF!+#REF!</f>
        <v>#REF!</v>
      </c>
      <c r="Z226" s="956"/>
      <c r="AA226" s="954" t="e">
        <f>#REF!</f>
        <v>#REF!</v>
      </c>
      <c r="AB226" s="954" t="e">
        <f t="shared" si="13"/>
        <v>#REF!</v>
      </c>
      <c r="AC226" s="954" t="e">
        <f>#REF!+#REF!</f>
        <v>#REF!</v>
      </c>
      <c r="AD226" s="954">
        <f t="shared" si="11"/>
        <v>6255</v>
      </c>
      <c r="AE226" s="625"/>
    </row>
    <row r="227" spans="1:31" s="620" customFormat="1" ht="18" customHeight="1" x14ac:dyDescent="0.2">
      <c r="A227" s="655" t="s">
        <v>2846</v>
      </c>
      <c r="B227" s="508">
        <f t="shared" si="12"/>
        <v>188</v>
      </c>
      <c r="C227" s="957">
        <f>+NOMINA!C231</f>
        <v>19101647</v>
      </c>
      <c r="D227" s="958" t="str">
        <f>+NOMINA!D231</f>
        <v>Uzcategui Urbina Madeley Tatiana</v>
      </c>
      <c r="E227" s="955" t="s">
        <v>4622</v>
      </c>
      <c r="F227" s="959">
        <v>27081</v>
      </c>
      <c r="G227" s="955" t="s">
        <v>4620</v>
      </c>
      <c r="H227" s="960">
        <f>+NOMINA!H231</f>
        <v>43845</v>
      </c>
      <c r="I227" s="961">
        <f>+NOMINA!I231</f>
        <v>5</v>
      </c>
      <c r="J227" s="962">
        <f>+NOMINA!J231</f>
        <v>0</v>
      </c>
      <c r="K227" s="961">
        <f>+NOMINA!K231</f>
        <v>5</v>
      </c>
      <c r="L227" s="963">
        <f>+NOMINA!CA231</f>
        <v>6255</v>
      </c>
      <c r="M227" s="443" t="e">
        <f>#REF!+#REF!-#REF!</f>
        <v>#REF!</v>
      </c>
      <c r="N227" s="952" t="e">
        <f>ROUND((#REF!+#REF!+#REF!+#REF!+#REF!+#REF!+#REF!+#REF!),2)</f>
        <v>#REF!</v>
      </c>
      <c r="Q227" s="620" t="e">
        <f>SUM(#REF!)</f>
        <v>#REF!</v>
      </c>
      <c r="R227" s="953" t="e">
        <f>#REF!+#REF!-#REF!</f>
        <v>#REF!</v>
      </c>
      <c r="S227" s="954">
        <v>200</v>
      </c>
      <c r="T227" s="953" t="e">
        <f>#REF!+#REF!</f>
        <v>#REF!</v>
      </c>
      <c r="U227" s="954" t="e">
        <f>#REF!</f>
        <v>#REF!</v>
      </c>
      <c r="V227" s="955">
        <v>0</v>
      </c>
      <c r="W227" s="954" t="e">
        <f>#REF!</f>
        <v>#REF!</v>
      </c>
      <c r="X227" s="956" t="e">
        <f>#REF!+#REF!</f>
        <v>#REF!</v>
      </c>
      <c r="Y227" s="956" t="e">
        <f>#REF!+#REF!</f>
        <v>#REF!</v>
      </c>
      <c r="Z227" s="956"/>
      <c r="AA227" s="954" t="e">
        <f>#REF!</f>
        <v>#REF!</v>
      </c>
      <c r="AB227" s="954" t="e">
        <f t="shared" si="13"/>
        <v>#REF!</v>
      </c>
      <c r="AC227" s="954" t="e">
        <f>#REF!+#REF!</f>
        <v>#REF!</v>
      </c>
      <c r="AD227" s="954">
        <f t="shared" si="11"/>
        <v>6255</v>
      </c>
      <c r="AE227" s="625"/>
    </row>
    <row r="228" spans="1:31" s="620" customFormat="1" ht="18" customHeight="1" x14ac:dyDescent="0.2">
      <c r="A228" s="655" t="s">
        <v>2846</v>
      </c>
      <c r="B228" s="508">
        <f t="shared" si="12"/>
        <v>189</v>
      </c>
      <c r="C228" s="957">
        <f>+NOMINA!C232</f>
        <v>19101773</v>
      </c>
      <c r="D228" s="958" t="str">
        <f>+NOMINA!D232</f>
        <v>Gil Molina Maite Karina</v>
      </c>
      <c r="E228" s="955" t="s">
        <v>4622</v>
      </c>
      <c r="F228" s="959">
        <v>27081</v>
      </c>
      <c r="G228" s="955" t="s">
        <v>4620</v>
      </c>
      <c r="H228" s="960">
        <f>+NOMINA!H232</f>
        <v>45200</v>
      </c>
      <c r="I228" s="961">
        <f>+NOMINA!I232</f>
        <v>1</v>
      </c>
      <c r="J228" s="962">
        <f>+NOMINA!J232</f>
        <v>0</v>
      </c>
      <c r="K228" s="961">
        <f>+NOMINA!K232</f>
        <v>1</v>
      </c>
      <c r="L228" s="963">
        <f>+NOMINA!CA232</f>
        <v>6255</v>
      </c>
      <c r="M228" s="443" t="e">
        <f>#REF!+#REF!-#REF!</f>
        <v>#REF!</v>
      </c>
      <c r="N228" s="952" t="e">
        <f>ROUND((#REF!+#REF!+#REF!+#REF!+#REF!+#REF!+#REF!+#REF!),2)</f>
        <v>#REF!</v>
      </c>
      <c r="Q228" s="620" t="e">
        <f>SUM(#REF!)</f>
        <v>#REF!</v>
      </c>
      <c r="R228" s="953" t="e">
        <f>#REF!+#REF!-#REF!</f>
        <v>#REF!</v>
      </c>
      <c r="S228" s="954">
        <v>200</v>
      </c>
      <c r="T228" s="953" t="e">
        <f>#REF!+#REF!</f>
        <v>#REF!</v>
      </c>
      <c r="U228" s="954" t="e">
        <f>#REF!</f>
        <v>#REF!</v>
      </c>
      <c r="V228" s="955">
        <v>0</v>
      </c>
      <c r="W228" s="954" t="e">
        <f>#REF!</f>
        <v>#REF!</v>
      </c>
      <c r="X228" s="956" t="e">
        <f>#REF!+#REF!</f>
        <v>#REF!</v>
      </c>
      <c r="Y228" s="956" t="e">
        <f>#REF!+#REF!</f>
        <v>#REF!</v>
      </c>
      <c r="Z228" s="956"/>
      <c r="AA228" s="954" t="e">
        <f>#REF!</f>
        <v>#REF!</v>
      </c>
      <c r="AB228" s="954" t="e">
        <f t="shared" si="13"/>
        <v>#REF!</v>
      </c>
      <c r="AC228" s="954" t="e">
        <f>#REF!+#REF!</f>
        <v>#REF!</v>
      </c>
      <c r="AD228" s="954">
        <f t="shared" si="11"/>
        <v>6255</v>
      </c>
      <c r="AE228" s="625"/>
    </row>
    <row r="229" spans="1:31" s="620" customFormat="1" ht="18" customHeight="1" x14ac:dyDescent="0.2">
      <c r="A229" s="655" t="s">
        <v>2846</v>
      </c>
      <c r="B229" s="508">
        <f t="shared" si="12"/>
        <v>190</v>
      </c>
      <c r="C229" s="957">
        <f>+NOMINA!C233</f>
        <v>19103118</v>
      </c>
      <c r="D229" s="958" t="str">
        <f>+NOMINA!D233</f>
        <v>Plaza Quintero Orelis Maria</v>
      </c>
      <c r="E229" s="955" t="s">
        <v>4622</v>
      </c>
      <c r="F229" s="959">
        <v>27081</v>
      </c>
      <c r="G229" s="955" t="s">
        <v>4620</v>
      </c>
      <c r="H229" s="960">
        <f>+NOMINA!H233</f>
        <v>43724</v>
      </c>
      <c r="I229" s="961">
        <f>+NOMINA!I233</f>
        <v>6</v>
      </c>
      <c r="J229" s="962">
        <f>+NOMINA!J233</f>
        <v>0</v>
      </c>
      <c r="K229" s="961">
        <f>+NOMINA!K233</f>
        <v>6</v>
      </c>
      <c r="L229" s="963">
        <f>+NOMINA!CA233</f>
        <v>6255</v>
      </c>
      <c r="M229" s="443" t="e">
        <f>#REF!+#REF!-#REF!</f>
        <v>#REF!</v>
      </c>
      <c r="N229" s="952" t="e">
        <f>ROUND((#REF!+#REF!+#REF!+#REF!+#REF!+#REF!+#REF!+#REF!),2)</f>
        <v>#REF!</v>
      </c>
      <c r="Q229" s="620" t="e">
        <f>SUM(#REF!)</f>
        <v>#REF!</v>
      </c>
      <c r="R229" s="953" t="e">
        <f>#REF!+#REF!-#REF!</f>
        <v>#REF!</v>
      </c>
      <c r="S229" s="954">
        <v>200</v>
      </c>
      <c r="T229" s="953" t="e">
        <f>#REF!+#REF!</f>
        <v>#REF!</v>
      </c>
      <c r="U229" s="954" t="e">
        <f>#REF!</f>
        <v>#REF!</v>
      </c>
      <c r="V229" s="955">
        <v>0</v>
      </c>
      <c r="W229" s="954" t="e">
        <f>#REF!</f>
        <v>#REF!</v>
      </c>
      <c r="X229" s="956" t="e">
        <f>#REF!+#REF!</f>
        <v>#REF!</v>
      </c>
      <c r="Y229" s="956" t="e">
        <f>#REF!+#REF!</f>
        <v>#REF!</v>
      </c>
      <c r="Z229" s="956"/>
      <c r="AA229" s="954" t="e">
        <f>#REF!</f>
        <v>#REF!</v>
      </c>
      <c r="AB229" s="954" t="e">
        <f t="shared" si="13"/>
        <v>#REF!</v>
      </c>
      <c r="AC229" s="954" t="e">
        <f>#REF!+#REF!</f>
        <v>#REF!</v>
      </c>
      <c r="AD229" s="954">
        <f t="shared" si="11"/>
        <v>6255</v>
      </c>
      <c r="AE229" s="625"/>
    </row>
    <row r="230" spans="1:31" s="620" customFormat="1" ht="18" customHeight="1" x14ac:dyDescent="0.2">
      <c r="A230" s="655" t="s">
        <v>2846</v>
      </c>
      <c r="B230" s="508">
        <f t="shared" si="12"/>
        <v>191</v>
      </c>
      <c r="C230" s="957">
        <f>+NOMINA!C234</f>
        <v>19103604</v>
      </c>
      <c r="D230" s="958" t="str">
        <f>+NOMINA!D234</f>
        <v>Hernandez Graterol Gleidys Coromoto</v>
      </c>
      <c r="E230" s="955" t="s">
        <v>4622</v>
      </c>
      <c r="F230" s="959">
        <v>27081</v>
      </c>
      <c r="G230" s="955" t="s">
        <v>4620</v>
      </c>
      <c r="H230" s="960">
        <f>+NOMINA!H234</f>
        <v>44600</v>
      </c>
      <c r="I230" s="961">
        <f>+NOMINA!I234</f>
        <v>3</v>
      </c>
      <c r="J230" s="962">
        <f>+NOMINA!J234</f>
        <v>0</v>
      </c>
      <c r="K230" s="961">
        <f>+NOMINA!K234</f>
        <v>3</v>
      </c>
      <c r="L230" s="963">
        <f>+NOMINA!CA234</f>
        <v>6255</v>
      </c>
      <c r="M230" s="443" t="e">
        <f>#REF!+#REF!-#REF!</f>
        <v>#REF!</v>
      </c>
      <c r="N230" s="952" t="e">
        <f>ROUND((#REF!+#REF!+#REF!+#REF!+#REF!+#REF!+#REF!+#REF!),2)</f>
        <v>#REF!</v>
      </c>
      <c r="Q230" s="620" t="e">
        <f>SUM(#REF!)</f>
        <v>#REF!</v>
      </c>
      <c r="R230" s="953" t="e">
        <f>#REF!+#REF!-#REF!</f>
        <v>#REF!</v>
      </c>
      <c r="S230" s="954">
        <v>200</v>
      </c>
      <c r="T230" s="953" t="e">
        <f>#REF!+#REF!</f>
        <v>#REF!</v>
      </c>
      <c r="U230" s="954" t="e">
        <f>#REF!</f>
        <v>#REF!</v>
      </c>
      <c r="V230" s="955">
        <v>0</v>
      </c>
      <c r="W230" s="954" t="e">
        <f>#REF!</f>
        <v>#REF!</v>
      </c>
      <c r="X230" s="956" t="e">
        <f>#REF!+#REF!</f>
        <v>#REF!</v>
      </c>
      <c r="Y230" s="956" t="e">
        <f>#REF!+#REF!</f>
        <v>#REF!</v>
      </c>
      <c r="Z230" s="956"/>
      <c r="AA230" s="954" t="e">
        <f>#REF!</f>
        <v>#REF!</v>
      </c>
      <c r="AB230" s="954" t="e">
        <f t="shared" si="13"/>
        <v>#REF!</v>
      </c>
      <c r="AC230" s="954" t="e">
        <f>#REF!+#REF!</f>
        <v>#REF!</v>
      </c>
      <c r="AD230" s="954">
        <f t="shared" ref="AD230:AD298" si="14">L230</f>
        <v>6255</v>
      </c>
      <c r="AE230" s="625"/>
    </row>
    <row r="231" spans="1:31" s="620" customFormat="1" ht="18" customHeight="1" x14ac:dyDescent="0.2">
      <c r="A231" s="655" t="s">
        <v>2846</v>
      </c>
      <c r="B231" s="508">
        <f t="shared" si="12"/>
        <v>192</v>
      </c>
      <c r="C231" s="957">
        <f>+NOMINA!C235</f>
        <v>19103823</v>
      </c>
      <c r="D231" s="958" t="str">
        <f>+NOMINA!D235</f>
        <v>Valero Sanchez Zulay del Valle</v>
      </c>
      <c r="E231" s="955" t="s">
        <v>4622</v>
      </c>
      <c r="F231" s="959">
        <v>27081</v>
      </c>
      <c r="G231" s="955" t="s">
        <v>4620</v>
      </c>
      <c r="H231" s="960">
        <f>+NOMINA!H235</f>
        <v>42795</v>
      </c>
      <c r="I231" s="961">
        <f>+NOMINA!I235</f>
        <v>8</v>
      </c>
      <c r="J231" s="962">
        <f>+NOMINA!J235</f>
        <v>0</v>
      </c>
      <c r="K231" s="961">
        <f>+NOMINA!K235</f>
        <v>8</v>
      </c>
      <c r="L231" s="963">
        <f>+NOMINA!CA235</f>
        <v>6255</v>
      </c>
      <c r="M231" s="443" t="e">
        <f>#REF!+#REF!-#REF!</f>
        <v>#REF!</v>
      </c>
      <c r="N231" s="952" t="e">
        <f>ROUND((#REF!+#REF!+#REF!+#REF!+#REF!+#REF!+#REF!+#REF!),2)</f>
        <v>#REF!</v>
      </c>
      <c r="Q231" s="620" t="e">
        <f>SUM(#REF!)</f>
        <v>#REF!</v>
      </c>
      <c r="R231" s="953" t="e">
        <f>#REF!+#REF!-#REF!</f>
        <v>#REF!</v>
      </c>
      <c r="S231" s="954">
        <v>200</v>
      </c>
      <c r="T231" s="953" t="e">
        <f>#REF!+#REF!</f>
        <v>#REF!</v>
      </c>
      <c r="U231" s="954" t="e">
        <f>#REF!</f>
        <v>#REF!</v>
      </c>
      <c r="V231" s="955">
        <v>0</v>
      </c>
      <c r="W231" s="954" t="e">
        <f>#REF!</f>
        <v>#REF!</v>
      </c>
      <c r="X231" s="956" t="e">
        <f>#REF!+#REF!</f>
        <v>#REF!</v>
      </c>
      <c r="Y231" s="956" t="e">
        <f>#REF!+#REF!</f>
        <v>#REF!</v>
      </c>
      <c r="Z231" s="956"/>
      <c r="AA231" s="954" t="e">
        <f>#REF!</f>
        <v>#REF!</v>
      </c>
      <c r="AB231" s="954" t="e">
        <f t="shared" si="13"/>
        <v>#REF!</v>
      </c>
      <c r="AC231" s="954" t="e">
        <f>#REF!+#REF!</f>
        <v>#REF!</v>
      </c>
      <c r="AD231" s="954">
        <f t="shared" si="14"/>
        <v>6255</v>
      </c>
      <c r="AE231" s="625"/>
    </row>
    <row r="232" spans="1:31" s="620" customFormat="1" ht="18" customHeight="1" x14ac:dyDescent="0.2">
      <c r="A232" s="655" t="s">
        <v>2846</v>
      </c>
      <c r="B232" s="508">
        <f t="shared" si="12"/>
        <v>193</v>
      </c>
      <c r="C232" s="957">
        <f>+NOMINA!C236</f>
        <v>19286780</v>
      </c>
      <c r="D232" s="958" t="str">
        <f>+NOMINA!D236</f>
        <v>Mejia Rosales Katiusca Josefina</v>
      </c>
      <c r="E232" s="955" t="s">
        <v>4622</v>
      </c>
      <c r="F232" s="959">
        <v>27081</v>
      </c>
      <c r="G232" s="955" t="s">
        <v>4620</v>
      </c>
      <c r="H232" s="960">
        <f>+NOMINA!H236</f>
        <v>42492</v>
      </c>
      <c r="I232" s="961">
        <f>+NOMINA!I236</f>
        <v>9</v>
      </c>
      <c r="J232" s="962">
        <f>+NOMINA!J236</f>
        <v>0</v>
      </c>
      <c r="K232" s="961">
        <f>+NOMINA!K236</f>
        <v>9</v>
      </c>
      <c r="L232" s="963">
        <f>+NOMINA!CA236</f>
        <v>6255</v>
      </c>
      <c r="M232" s="443" t="e">
        <f>#REF!+#REF!-#REF!</f>
        <v>#REF!</v>
      </c>
      <c r="N232" s="952" t="e">
        <f>ROUND((#REF!+#REF!+#REF!+#REF!+#REF!+#REF!+#REF!+#REF!),2)</f>
        <v>#REF!</v>
      </c>
      <c r="Q232" s="620" t="e">
        <f>SUM(#REF!)</f>
        <v>#REF!</v>
      </c>
      <c r="R232" s="953" t="e">
        <f>#REF!+#REF!-#REF!</f>
        <v>#REF!</v>
      </c>
      <c r="S232" s="954">
        <v>200</v>
      </c>
      <c r="T232" s="953" t="e">
        <f>#REF!+#REF!</f>
        <v>#REF!</v>
      </c>
      <c r="U232" s="954" t="e">
        <f>#REF!</f>
        <v>#REF!</v>
      </c>
      <c r="V232" s="955">
        <v>0</v>
      </c>
      <c r="W232" s="954" t="e">
        <f>#REF!</f>
        <v>#REF!</v>
      </c>
      <c r="X232" s="956" t="e">
        <f>#REF!+#REF!</f>
        <v>#REF!</v>
      </c>
      <c r="Y232" s="956" t="e">
        <f>#REF!+#REF!</f>
        <v>#REF!</v>
      </c>
      <c r="Z232" s="956"/>
      <c r="AA232" s="954" t="e">
        <f>#REF!</f>
        <v>#REF!</v>
      </c>
      <c r="AB232" s="954" t="e">
        <f t="shared" si="13"/>
        <v>#REF!</v>
      </c>
      <c r="AC232" s="954" t="e">
        <f>#REF!+#REF!</f>
        <v>#REF!</v>
      </c>
      <c r="AD232" s="954">
        <f t="shared" si="14"/>
        <v>6255</v>
      </c>
      <c r="AE232" s="625"/>
    </row>
    <row r="233" spans="1:31" s="620" customFormat="1" ht="18" customHeight="1" x14ac:dyDescent="0.2">
      <c r="A233" s="655" t="s">
        <v>2846</v>
      </c>
      <c r="B233" s="508">
        <f t="shared" si="12"/>
        <v>194</v>
      </c>
      <c r="C233" s="957">
        <f>+NOMINA!C237</f>
        <v>19287100</v>
      </c>
      <c r="D233" s="958" t="str">
        <f>+NOMINA!D237</f>
        <v>Leal Mejia Fraineli Yoset</v>
      </c>
      <c r="E233" s="955" t="s">
        <v>4622</v>
      </c>
      <c r="F233" s="959">
        <v>27081</v>
      </c>
      <c r="G233" s="955" t="s">
        <v>4620</v>
      </c>
      <c r="H233" s="960">
        <f>+NOMINA!H237</f>
        <v>44713</v>
      </c>
      <c r="I233" s="961">
        <f>+NOMINA!I237</f>
        <v>3</v>
      </c>
      <c r="J233" s="962">
        <f>+NOMINA!J237</f>
        <v>0</v>
      </c>
      <c r="K233" s="961">
        <f>+NOMINA!K237</f>
        <v>3</v>
      </c>
      <c r="L233" s="963">
        <f>+NOMINA!CA237</f>
        <v>6255</v>
      </c>
      <c r="M233" s="443" t="e">
        <f>#REF!+#REF!-#REF!</f>
        <v>#REF!</v>
      </c>
      <c r="N233" s="952" t="e">
        <f>ROUND((#REF!+#REF!+#REF!+#REF!+#REF!+#REF!+#REF!+#REF!),2)</f>
        <v>#REF!</v>
      </c>
      <c r="Q233" s="620" t="e">
        <f>SUM(#REF!)</f>
        <v>#REF!</v>
      </c>
      <c r="R233" s="953" t="e">
        <f>#REF!+#REF!-#REF!</f>
        <v>#REF!</v>
      </c>
      <c r="S233" s="954">
        <v>200</v>
      </c>
      <c r="T233" s="953" t="e">
        <f>#REF!+#REF!</f>
        <v>#REF!</v>
      </c>
      <c r="U233" s="954" t="e">
        <f>#REF!</f>
        <v>#REF!</v>
      </c>
      <c r="V233" s="955">
        <v>0</v>
      </c>
      <c r="W233" s="954" t="e">
        <f>#REF!</f>
        <v>#REF!</v>
      </c>
      <c r="X233" s="956" t="e">
        <f>#REF!+#REF!</f>
        <v>#REF!</v>
      </c>
      <c r="Y233" s="956" t="e">
        <f>#REF!+#REF!</f>
        <v>#REF!</v>
      </c>
      <c r="Z233" s="956"/>
      <c r="AA233" s="954" t="e">
        <f>#REF!</f>
        <v>#REF!</v>
      </c>
      <c r="AB233" s="954" t="e">
        <f t="shared" si="13"/>
        <v>#REF!</v>
      </c>
      <c r="AC233" s="954" t="e">
        <f>#REF!+#REF!</f>
        <v>#REF!</v>
      </c>
      <c r="AD233" s="954">
        <f t="shared" si="14"/>
        <v>6255</v>
      </c>
      <c r="AE233" s="625"/>
    </row>
    <row r="234" spans="1:31" s="620" customFormat="1" ht="18" customHeight="1" x14ac:dyDescent="0.2">
      <c r="A234" s="655" t="s">
        <v>2846</v>
      </c>
      <c r="B234" s="508">
        <f t="shared" ref="B234:B298" si="15">B233+1</f>
        <v>195</v>
      </c>
      <c r="C234" s="957">
        <f>+NOMINA!C238</f>
        <v>19610534</v>
      </c>
      <c r="D234" s="958" t="str">
        <f>+NOMINA!D238</f>
        <v>Santos Saavedra Greosmar Johan</v>
      </c>
      <c r="E234" s="955" t="s">
        <v>4622</v>
      </c>
      <c r="F234" s="959">
        <v>27081</v>
      </c>
      <c r="G234" s="955" t="s">
        <v>4620</v>
      </c>
      <c r="H234" s="960">
        <f>+NOMINA!H238</f>
        <v>44713</v>
      </c>
      <c r="I234" s="961">
        <f>+NOMINA!I238</f>
        <v>3</v>
      </c>
      <c r="J234" s="962">
        <f>+NOMINA!J238</f>
        <v>0</v>
      </c>
      <c r="K234" s="961">
        <f>+NOMINA!K238</f>
        <v>3</v>
      </c>
      <c r="L234" s="963">
        <f>+NOMINA!CA238</f>
        <v>6255</v>
      </c>
      <c r="M234" s="443" t="e">
        <f>#REF!+#REF!-#REF!</f>
        <v>#REF!</v>
      </c>
      <c r="N234" s="952" t="e">
        <f>ROUND((#REF!+#REF!+#REF!+#REF!+#REF!+#REF!+#REF!+#REF!),2)</f>
        <v>#REF!</v>
      </c>
      <c r="Q234" s="620" t="e">
        <f>SUM(#REF!)</f>
        <v>#REF!</v>
      </c>
      <c r="R234" s="953" t="e">
        <f>#REF!+#REF!-#REF!</f>
        <v>#REF!</v>
      </c>
      <c r="S234" s="954">
        <v>200</v>
      </c>
      <c r="T234" s="953" t="e">
        <f>#REF!+#REF!</f>
        <v>#REF!</v>
      </c>
      <c r="U234" s="954" t="e">
        <f>#REF!</f>
        <v>#REF!</v>
      </c>
      <c r="V234" s="955">
        <v>0</v>
      </c>
      <c r="W234" s="954" t="e">
        <f>#REF!</f>
        <v>#REF!</v>
      </c>
      <c r="X234" s="956" t="e">
        <f>#REF!+#REF!</f>
        <v>#REF!</v>
      </c>
      <c r="Y234" s="956" t="e">
        <f>#REF!+#REF!</f>
        <v>#REF!</v>
      </c>
      <c r="Z234" s="956"/>
      <c r="AA234" s="954" t="e">
        <f>#REF!</f>
        <v>#REF!</v>
      </c>
      <c r="AB234" s="954" t="e">
        <f t="shared" si="13"/>
        <v>#REF!</v>
      </c>
      <c r="AC234" s="954" t="e">
        <f>#REF!+#REF!</f>
        <v>#REF!</v>
      </c>
      <c r="AD234" s="954">
        <f t="shared" si="14"/>
        <v>6255</v>
      </c>
      <c r="AE234" s="625"/>
    </row>
    <row r="235" spans="1:31" s="620" customFormat="1" ht="18" customHeight="1" x14ac:dyDescent="0.2">
      <c r="A235" s="655" t="s">
        <v>2846</v>
      </c>
      <c r="B235" s="508">
        <f t="shared" si="15"/>
        <v>196</v>
      </c>
      <c r="C235" s="957">
        <f>+NOMINA!C239</f>
        <v>19610565</v>
      </c>
      <c r="D235" s="958" t="str">
        <f>+NOMINA!D239</f>
        <v>Uzcategui Uzcategui Saray Cristina</v>
      </c>
      <c r="E235" s="955" t="s">
        <v>4622</v>
      </c>
      <c r="F235" s="959">
        <v>27081</v>
      </c>
      <c r="G235" s="955" t="s">
        <v>4620</v>
      </c>
      <c r="H235" s="960">
        <f>+NOMINA!H239</f>
        <v>44713</v>
      </c>
      <c r="I235" s="961">
        <f>+NOMINA!I239</f>
        <v>3</v>
      </c>
      <c r="J235" s="962">
        <f>+NOMINA!J239</f>
        <v>0</v>
      </c>
      <c r="K235" s="961">
        <f>+NOMINA!K239</f>
        <v>3</v>
      </c>
      <c r="L235" s="963">
        <f>+NOMINA!CA239</f>
        <v>6255</v>
      </c>
      <c r="M235" s="443" t="e">
        <f>#REF!+#REF!-#REF!</f>
        <v>#REF!</v>
      </c>
      <c r="N235" s="952" t="e">
        <f>ROUND((#REF!+#REF!+#REF!+#REF!+#REF!+#REF!+#REF!+#REF!),2)</f>
        <v>#REF!</v>
      </c>
      <c r="Q235" s="620" t="e">
        <f>SUM(#REF!)</f>
        <v>#REF!</v>
      </c>
      <c r="R235" s="953" t="e">
        <f>#REF!+#REF!-#REF!</f>
        <v>#REF!</v>
      </c>
      <c r="S235" s="954">
        <v>200</v>
      </c>
      <c r="T235" s="953" t="e">
        <f>#REF!+#REF!</f>
        <v>#REF!</v>
      </c>
      <c r="U235" s="954" t="e">
        <f>#REF!</f>
        <v>#REF!</v>
      </c>
      <c r="V235" s="955">
        <v>0</v>
      </c>
      <c r="W235" s="954" t="e">
        <f>#REF!</f>
        <v>#REF!</v>
      </c>
      <c r="X235" s="956" t="e">
        <f>#REF!+#REF!</f>
        <v>#REF!</v>
      </c>
      <c r="Y235" s="956" t="e">
        <f>#REF!+#REF!</f>
        <v>#REF!</v>
      </c>
      <c r="Z235" s="956"/>
      <c r="AA235" s="954" t="e">
        <f>#REF!</f>
        <v>#REF!</v>
      </c>
      <c r="AB235" s="954" t="e">
        <f t="shared" si="13"/>
        <v>#REF!</v>
      </c>
      <c r="AC235" s="954" t="e">
        <f>#REF!+#REF!</f>
        <v>#REF!</v>
      </c>
      <c r="AD235" s="954">
        <f t="shared" si="14"/>
        <v>6255</v>
      </c>
      <c r="AE235" s="625"/>
    </row>
    <row r="236" spans="1:31" s="620" customFormat="1" ht="18" customHeight="1" x14ac:dyDescent="0.2">
      <c r="A236" s="655" t="s">
        <v>2846</v>
      </c>
      <c r="B236" s="508">
        <f t="shared" si="15"/>
        <v>197</v>
      </c>
      <c r="C236" s="957">
        <f>+NOMINA!C240</f>
        <v>19643405</v>
      </c>
      <c r="D236" s="958" t="str">
        <f>+NOMINA!D240</f>
        <v>Valero Mejia Aleidy Rosana</v>
      </c>
      <c r="E236" s="955" t="s">
        <v>4622</v>
      </c>
      <c r="F236" s="959">
        <v>27081</v>
      </c>
      <c r="G236" s="955" t="s">
        <v>4620</v>
      </c>
      <c r="H236" s="960">
        <f>+NOMINA!H240</f>
        <v>43221</v>
      </c>
      <c r="I236" s="961">
        <f>+NOMINA!I240</f>
        <v>7</v>
      </c>
      <c r="J236" s="962">
        <f>+NOMINA!J240</f>
        <v>0</v>
      </c>
      <c r="K236" s="961">
        <f>+NOMINA!K240</f>
        <v>7</v>
      </c>
      <c r="L236" s="963">
        <f>+NOMINA!CA240</f>
        <v>6255</v>
      </c>
      <c r="M236" s="443" t="e">
        <f>#REF!+#REF!-#REF!</f>
        <v>#REF!</v>
      </c>
      <c r="N236" s="952" t="e">
        <f>ROUND((#REF!+#REF!+#REF!+#REF!+#REF!+#REF!+#REF!+#REF!),2)</f>
        <v>#REF!</v>
      </c>
      <c r="Q236" s="620" t="e">
        <f>SUM(#REF!)</f>
        <v>#REF!</v>
      </c>
      <c r="R236" s="953" t="e">
        <f>#REF!+#REF!-#REF!</f>
        <v>#REF!</v>
      </c>
      <c r="S236" s="954">
        <v>200</v>
      </c>
      <c r="T236" s="953" t="e">
        <f>#REF!+#REF!</f>
        <v>#REF!</v>
      </c>
      <c r="U236" s="954" t="e">
        <f>#REF!</f>
        <v>#REF!</v>
      </c>
      <c r="V236" s="955">
        <v>0</v>
      </c>
      <c r="W236" s="954" t="e">
        <f>#REF!</f>
        <v>#REF!</v>
      </c>
      <c r="X236" s="956" t="e">
        <f>#REF!+#REF!</f>
        <v>#REF!</v>
      </c>
      <c r="Y236" s="956" t="e">
        <f>#REF!+#REF!</f>
        <v>#REF!</v>
      </c>
      <c r="Z236" s="956"/>
      <c r="AA236" s="954" t="e">
        <f>#REF!</f>
        <v>#REF!</v>
      </c>
      <c r="AB236" s="954" t="e">
        <f t="shared" si="13"/>
        <v>#REF!</v>
      </c>
      <c r="AC236" s="954" t="e">
        <f>#REF!+#REF!</f>
        <v>#REF!</v>
      </c>
      <c r="AD236" s="954">
        <f t="shared" si="14"/>
        <v>6255</v>
      </c>
      <c r="AE236" s="625"/>
    </row>
    <row r="237" spans="1:31" s="620" customFormat="1" ht="18" customHeight="1" x14ac:dyDescent="0.2">
      <c r="A237" s="655" t="s">
        <v>2846</v>
      </c>
      <c r="B237" s="508">
        <f t="shared" si="15"/>
        <v>198</v>
      </c>
      <c r="C237" s="957">
        <f>+NOMINA!C241</f>
        <v>19643806</v>
      </c>
      <c r="D237" s="958" t="str">
        <f>+NOMINA!D241</f>
        <v>Vazquez Hernandez Doris Mercedes</v>
      </c>
      <c r="E237" s="955" t="s">
        <v>4622</v>
      </c>
      <c r="F237" s="959">
        <v>27081</v>
      </c>
      <c r="G237" s="955" t="s">
        <v>4620</v>
      </c>
      <c r="H237" s="960">
        <f>+NOMINA!H241</f>
        <v>45505</v>
      </c>
      <c r="I237" s="961">
        <f>+NOMINA!I241</f>
        <v>1</v>
      </c>
      <c r="J237" s="962">
        <f>+NOMINA!J241</f>
        <v>0</v>
      </c>
      <c r="K237" s="961">
        <f>+NOMINA!K241</f>
        <v>1</v>
      </c>
      <c r="L237" s="963">
        <f>+NOMINA!CA241</f>
        <v>6255</v>
      </c>
      <c r="M237" s="443" t="e">
        <f>#REF!+#REF!-#REF!</f>
        <v>#REF!</v>
      </c>
      <c r="N237" s="952" t="e">
        <f>ROUND((#REF!+#REF!+#REF!+#REF!+#REF!+#REF!+#REF!+#REF!),2)</f>
        <v>#REF!</v>
      </c>
      <c r="Q237" s="620" t="e">
        <f>SUM(#REF!)</f>
        <v>#REF!</v>
      </c>
      <c r="R237" s="953" t="e">
        <f>#REF!+#REF!-#REF!</f>
        <v>#REF!</v>
      </c>
      <c r="S237" s="954">
        <v>200</v>
      </c>
      <c r="T237" s="953" t="e">
        <f>#REF!+#REF!</f>
        <v>#REF!</v>
      </c>
      <c r="U237" s="954" t="e">
        <f>#REF!</f>
        <v>#REF!</v>
      </c>
      <c r="V237" s="955">
        <v>0</v>
      </c>
      <c r="W237" s="954" t="e">
        <f>#REF!</f>
        <v>#REF!</v>
      </c>
      <c r="X237" s="956" t="e">
        <f>#REF!+#REF!</f>
        <v>#REF!</v>
      </c>
      <c r="Y237" s="956" t="e">
        <f>#REF!+#REF!</f>
        <v>#REF!</v>
      </c>
      <c r="Z237" s="956"/>
      <c r="AA237" s="954" t="e">
        <f>#REF!</f>
        <v>#REF!</v>
      </c>
      <c r="AB237" s="954" t="e">
        <f t="shared" si="13"/>
        <v>#REF!</v>
      </c>
      <c r="AC237" s="954" t="e">
        <f>#REF!+#REF!</f>
        <v>#REF!</v>
      </c>
      <c r="AD237" s="954">
        <f t="shared" si="14"/>
        <v>6255</v>
      </c>
      <c r="AE237" s="625"/>
    </row>
    <row r="238" spans="1:31" s="620" customFormat="1" ht="18" customHeight="1" x14ac:dyDescent="0.2">
      <c r="A238" s="655" t="s">
        <v>2846</v>
      </c>
      <c r="B238" s="508">
        <f t="shared" si="15"/>
        <v>199</v>
      </c>
      <c r="C238" s="957">
        <f>+NOMINA!C242</f>
        <v>19644743</v>
      </c>
      <c r="D238" s="958" t="str">
        <f>+NOMINA!D242</f>
        <v>Villa Daniela Carolina</v>
      </c>
      <c r="E238" s="955" t="s">
        <v>4622</v>
      </c>
      <c r="F238" s="959">
        <v>27081</v>
      </c>
      <c r="G238" s="955" t="s">
        <v>4620</v>
      </c>
      <c r="H238" s="960">
        <f>+NOMINA!H242</f>
        <v>43967</v>
      </c>
      <c r="I238" s="961">
        <f>+NOMINA!I242</f>
        <v>5</v>
      </c>
      <c r="J238" s="962">
        <f>+NOMINA!J242</f>
        <v>0</v>
      </c>
      <c r="K238" s="961">
        <f>+NOMINA!K242</f>
        <v>5</v>
      </c>
      <c r="L238" s="963">
        <f>+NOMINA!CA242</f>
        <v>6255</v>
      </c>
      <c r="M238" s="443" t="e">
        <f>#REF!+#REF!-#REF!</f>
        <v>#REF!</v>
      </c>
      <c r="N238" s="952" t="e">
        <f>ROUND((#REF!+#REF!+#REF!+#REF!+#REF!+#REF!+#REF!+#REF!),2)</f>
        <v>#REF!</v>
      </c>
      <c r="Q238" s="620" t="e">
        <f>SUM(#REF!)</f>
        <v>#REF!</v>
      </c>
      <c r="R238" s="953" t="e">
        <f>#REF!+#REF!-#REF!</f>
        <v>#REF!</v>
      </c>
      <c r="S238" s="954">
        <v>200</v>
      </c>
      <c r="T238" s="953" t="e">
        <f>#REF!+#REF!</f>
        <v>#REF!</v>
      </c>
      <c r="U238" s="954" t="e">
        <f>#REF!</f>
        <v>#REF!</v>
      </c>
      <c r="V238" s="955">
        <v>0</v>
      </c>
      <c r="W238" s="954" t="e">
        <f>#REF!</f>
        <v>#REF!</v>
      </c>
      <c r="X238" s="956" t="e">
        <f>#REF!+#REF!</f>
        <v>#REF!</v>
      </c>
      <c r="Y238" s="956" t="e">
        <f>#REF!+#REF!</f>
        <v>#REF!</v>
      </c>
      <c r="Z238" s="956"/>
      <c r="AA238" s="954" t="e">
        <f>#REF!</f>
        <v>#REF!</v>
      </c>
      <c r="AB238" s="954" t="e">
        <f t="shared" si="13"/>
        <v>#REF!</v>
      </c>
      <c r="AC238" s="954" t="e">
        <f>#REF!+#REF!</f>
        <v>#REF!</v>
      </c>
      <c r="AD238" s="954">
        <f t="shared" si="14"/>
        <v>6255</v>
      </c>
      <c r="AE238" s="625"/>
    </row>
    <row r="239" spans="1:31" s="620" customFormat="1" ht="18" customHeight="1" x14ac:dyDescent="0.2">
      <c r="A239" s="655" t="s">
        <v>2846</v>
      </c>
      <c r="B239" s="508">
        <f t="shared" si="15"/>
        <v>200</v>
      </c>
      <c r="C239" s="957">
        <f>+NOMINA!C243</f>
        <v>19644756</v>
      </c>
      <c r="D239" s="958" t="str">
        <f>+NOMINA!D243</f>
        <v>Mejia Aldana Norbelys Carolina</v>
      </c>
      <c r="E239" s="955" t="s">
        <v>4622</v>
      </c>
      <c r="F239" s="959">
        <v>27081</v>
      </c>
      <c r="G239" s="955" t="s">
        <v>4620</v>
      </c>
      <c r="H239" s="960">
        <f>+NOMINA!H243</f>
        <v>44470</v>
      </c>
      <c r="I239" s="961">
        <f>+NOMINA!I243</f>
        <v>3</v>
      </c>
      <c r="J239" s="962">
        <f>+NOMINA!J243</f>
        <v>0</v>
      </c>
      <c r="K239" s="961">
        <f>+NOMINA!K243</f>
        <v>3</v>
      </c>
      <c r="L239" s="963">
        <f>+NOMINA!CA243</f>
        <v>6255</v>
      </c>
      <c r="M239" s="443" t="e">
        <f>#REF!+#REF!-#REF!</f>
        <v>#REF!</v>
      </c>
      <c r="N239" s="952" t="e">
        <f>ROUND((#REF!+#REF!+#REF!+#REF!+#REF!+#REF!+#REF!+#REF!),2)</f>
        <v>#REF!</v>
      </c>
      <c r="Q239" s="620" t="e">
        <f>SUM(#REF!)</f>
        <v>#REF!</v>
      </c>
      <c r="R239" s="953" t="e">
        <f>#REF!+#REF!-#REF!</f>
        <v>#REF!</v>
      </c>
      <c r="S239" s="954">
        <v>200</v>
      </c>
      <c r="T239" s="953" t="e">
        <f>#REF!+#REF!</f>
        <v>#REF!</v>
      </c>
      <c r="U239" s="954" t="e">
        <f>#REF!</f>
        <v>#REF!</v>
      </c>
      <c r="V239" s="955">
        <v>0</v>
      </c>
      <c r="W239" s="954" t="e">
        <f>#REF!</f>
        <v>#REF!</v>
      </c>
      <c r="X239" s="956" t="e">
        <f>#REF!+#REF!</f>
        <v>#REF!</v>
      </c>
      <c r="Y239" s="956" t="e">
        <f>#REF!+#REF!</f>
        <v>#REF!</v>
      </c>
      <c r="Z239" s="956"/>
      <c r="AA239" s="954" t="e">
        <f>#REF!</f>
        <v>#REF!</v>
      </c>
      <c r="AB239" s="954" t="e">
        <f t="shared" si="13"/>
        <v>#REF!</v>
      </c>
      <c r="AC239" s="954" t="e">
        <f>#REF!+#REF!</f>
        <v>#REF!</v>
      </c>
      <c r="AD239" s="954">
        <f t="shared" si="14"/>
        <v>6255</v>
      </c>
      <c r="AE239" s="625"/>
    </row>
    <row r="240" spans="1:31" s="620" customFormat="1" ht="18" customHeight="1" x14ac:dyDescent="0.2">
      <c r="A240" s="655" t="s">
        <v>2846</v>
      </c>
      <c r="B240" s="508">
        <f t="shared" si="15"/>
        <v>201</v>
      </c>
      <c r="C240" s="957">
        <f>+NOMINA!C244</f>
        <v>19794217</v>
      </c>
      <c r="D240" s="958" t="str">
        <f>+NOMINA!D244</f>
        <v>Suarez Leal Betzabeth Daimar</v>
      </c>
      <c r="E240" s="955" t="s">
        <v>4622</v>
      </c>
      <c r="F240" s="959">
        <v>27081</v>
      </c>
      <c r="G240" s="955" t="s">
        <v>4620</v>
      </c>
      <c r="H240" s="960">
        <f>+NOMINA!H244</f>
        <v>44683</v>
      </c>
      <c r="I240" s="961">
        <f>+NOMINA!I244</f>
        <v>3</v>
      </c>
      <c r="J240" s="962">
        <f>+NOMINA!J244</f>
        <v>0</v>
      </c>
      <c r="K240" s="961">
        <f>+NOMINA!K244</f>
        <v>3</v>
      </c>
      <c r="L240" s="963">
        <f>+NOMINA!CA244</f>
        <v>6255</v>
      </c>
      <c r="M240" s="443" t="e">
        <f>#REF!+#REF!-#REF!</f>
        <v>#REF!</v>
      </c>
      <c r="N240" s="952" t="e">
        <f>ROUND((#REF!+#REF!+#REF!+#REF!+#REF!+#REF!+#REF!+#REF!),2)</f>
        <v>#REF!</v>
      </c>
      <c r="Q240" s="620" t="e">
        <f>SUM(#REF!)</f>
        <v>#REF!</v>
      </c>
      <c r="R240" s="953" t="e">
        <f>#REF!+#REF!-#REF!</f>
        <v>#REF!</v>
      </c>
      <c r="S240" s="954">
        <v>200</v>
      </c>
      <c r="T240" s="953" t="e">
        <f>#REF!+#REF!</f>
        <v>#REF!</v>
      </c>
      <c r="U240" s="954" t="e">
        <f>#REF!</f>
        <v>#REF!</v>
      </c>
      <c r="V240" s="955">
        <v>0</v>
      </c>
      <c r="W240" s="954" t="e">
        <f>#REF!</f>
        <v>#REF!</v>
      </c>
      <c r="X240" s="956" t="e">
        <f>#REF!+#REF!</f>
        <v>#REF!</v>
      </c>
      <c r="Y240" s="956" t="e">
        <f>#REF!+#REF!</f>
        <v>#REF!</v>
      </c>
      <c r="Z240" s="956"/>
      <c r="AA240" s="954" t="e">
        <f>#REF!</f>
        <v>#REF!</v>
      </c>
      <c r="AB240" s="954" t="e">
        <f t="shared" si="13"/>
        <v>#REF!</v>
      </c>
      <c r="AC240" s="954" t="e">
        <f>#REF!+#REF!</f>
        <v>#REF!</v>
      </c>
      <c r="AD240" s="954">
        <f t="shared" si="14"/>
        <v>6255</v>
      </c>
      <c r="AE240" s="625"/>
    </row>
    <row r="241" spans="1:31" s="620" customFormat="1" ht="18" customHeight="1" x14ac:dyDescent="0.2">
      <c r="A241" s="655"/>
      <c r="B241" s="508">
        <f t="shared" si="15"/>
        <v>202</v>
      </c>
      <c r="C241" s="957">
        <f>+NOMINA!C245</f>
        <v>20038162</v>
      </c>
      <c r="D241" s="958" t="str">
        <f>+NOMINA!D245</f>
        <v>Jerez Rangel Gleidy Andreina</v>
      </c>
      <c r="E241" s="955" t="s">
        <v>4622</v>
      </c>
      <c r="F241" s="959">
        <v>27081</v>
      </c>
      <c r="G241" s="955" t="s">
        <v>4620</v>
      </c>
      <c r="H241" s="960">
        <f>+NOMINA!H245</f>
        <v>45597</v>
      </c>
      <c r="I241" s="961">
        <f>+NOMINA!I245</f>
        <v>0</v>
      </c>
      <c r="J241" s="962">
        <f>+NOMINA!J245</f>
        <v>0</v>
      </c>
      <c r="K241" s="961">
        <f>+NOMINA!K245</f>
        <v>0</v>
      </c>
      <c r="L241" s="963">
        <f>+NOMINA!CA245</f>
        <v>6255</v>
      </c>
      <c r="M241" s="443"/>
      <c r="N241" s="952"/>
      <c r="R241" s="953"/>
      <c r="S241" s="954"/>
      <c r="T241" s="953"/>
      <c r="U241" s="954"/>
      <c r="V241" s="955"/>
      <c r="W241" s="954"/>
      <c r="X241" s="956"/>
      <c r="Y241" s="956"/>
      <c r="Z241" s="956"/>
      <c r="AA241" s="954"/>
      <c r="AB241" s="954"/>
      <c r="AC241" s="954"/>
      <c r="AD241" s="954"/>
      <c r="AE241" s="625"/>
    </row>
    <row r="242" spans="1:31" s="620" customFormat="1" ht="18" customHeight="1" x14ac:dyDescent="0.2">
      <c r="A242" s="655"/>
      <c r="B242" s="508">
        <f t="shared" si="15"/>
        <v>203</v>
      </c>
      <c r="C242" s="957">
        <f>+NOMINA!C246</f>
        <v>20040405</v>
      </c>
      <c r="D242" s="958" t="str">
        <f>+NOMINA!D246</f>
        <v>Lopez Padilla Angela Maria</v>
      </c>
      <c r="E242" s="955" t="s">
        <v>4622</v>
      </c>
      <c r="F242" s="959">
        <v>27081</v>
      </c>
      <c r="G242" s="955" t="s">
        <v>4620</v>
      </c>
      <c r="H242" s="960">
        <f>+NOMINA!H246</f>
        <v>45717</v>
      </c>
      <c r="I242" s="961">
        <f>+NOMINA!I246</f>
        <v>0</v>
      </c>
      <c r="J242" s="962">
        <f>+NOMINA!J246</f>
        <v>0</v>
      </c>
      <c r="K242" s="961">
        <f>+NOMINA!K246</f>
        <v>0</v>
      </c>
      <c r="L242" s="963">
        <f>+NOMINA!CA246</f>
        <v>6255</v>
      </c>
      <c r="M242" s="443"/>
      <c r="N242" s="952"/>
      <c r="R242" s="953"/>
      <c r="S242" s="954"/>
      <c r="T242" s="953"/>
      <c r="U242" s="954"/>
      <c r="V242" s="955"/>
      <c r="W242" s="954"/>
      <c r="X242" s="956"/>
      <c r="Y242" s="956"/>
      <c r="Z242" s="956"/>
      <c r="AA242" s="954"/>
      <c r="AB242" s="954"/>
      <c r="AC242" s="954"/>
      <c r="AD242" s="954"/>
      <c r="AE242" s="625"/>
    </row>
    <row r="243" spans="1:31" s="620" customFormat="1" ht="18" customHeight="1" x14ac:dyDescent="0.2">
      <c r="A243" s="655"/>
      <c r="B243" s="508">
        <f t="shared" si="15"/>
        <v>204</v>
      </c>
      <c r="C243" s="957">
        <f>+NOMINA!C247</f>
        <v>20655363</v>
      </c>
      <c r="D243" s="958" t="str">
        <f>+NOMINA!D247</f>
        <v>Sarache Ramirez Maryelis Stefani</v>
      </c>
      <c r="E243" s="955" t="s">
        <v>4622</v>
      </c>
      <c r="F243" s="959">
        <v>27081</v>
      </c>
      <c r="G243" s="955" t="s">
        <v>4620</v>
      </c>
      <c r="H243" s="960">
        <f>+NOMINA!H247</f>
        <v>45323</v>
      </c>
      <c r="I243" s="961">
        <f>+NOMINA!I247</f>
        <v>1</v>
      </c>
      <c r="J243" s="962">
        <f>+NOMINA!J247</f>
        <v>0</v>
      </c>
      <c r="K243" s="961">
        <f>+NOMINA!K247</f>
        <v>1</v>
      </c>
      <c r="L243" s="963">
        <f>+NOMINA!CA247</f>
        <v>6255</v>
      </c>
      <c r="M243" s="443"/>
      <c r="N243" s="952"/>
      <c r="R243" s="953"/>
      <c r="S243" s="954"/>
      <c r="T243" s="953"/>
      <c r="U243" s="954"/>
      <c r="V243" s="955"/>
      <c r="W243" s="954"/>
      <c r="X243" s="956"/>
      <c r="Y243" s="956"/>
      <c r="Z243" s="956"/>
      <c r="AA243" s="954"/>
      <c r="AB243" s="954"/>
      <c r="AC243" s="954"/>
      <c r="AD243" s="954"/>
      <c r="AE243" s="625"/>
    </row>
    <row r="244" spans="1:31" s="620" customFormat="1" ht="18" customHeight="1" x14ac:dyDescent="0.2">
      <c r="A244" s="655"/>
      <c r="B244" s="508">
        <f t="shared" si="15"/>
        <v>205</v>
      </c>
      <c r="C244" s="957">
        <f>+NOMINA!C248</f>
        <v>20401711</v>
      </c>
      <c r="D244" s="958" t="str">
        <f>+NOMINA!D248</f>
        <v>Mendez Giro Maryely Roxana</v>
      </c>
      <c r="E244" s="955" t="s">
        <v>4622</v>
      </c>
      <c r="F244" s="959">
        <v>27081</v>
      </c>
      <c r="G244" s="955" t="s">
        <v>4620</v>
      </c>
      <c r="H244" s="960">
        <f>+NOMINA!H248</f>
        <v>44363</v>
      </c>
      <c r="I244" s="961">
        <f>+NOMINA!I248</f>
        <v>4</v>
      </c>
      <c r="J244" s="962">
        <f>+NOMINA!J248</f>
        <v>2</v>
      </c>
      <c r="K244" s="961">
        <f>+NOMINA!K248</f>
        <v>6</v>
      </c>
      <c r="L244" s="963">
        <f>+NOMINA!CA248</f>
        <v>6255</v>
      </c>
      <c r="M244" s="443"/>
      <c r="N244" s="952"/>
      <c r="R244" s="953"/>
      <c r="S244" s="954"/>
      <c r="T244" s="953"/>
      <c r="U244" s="954"/>
      <c r="V244" s="955"/>
      <c r="W244" s="954"/>
      <c r="X244" s="956"/>
      <c r="Y244" s="956"/>
      <c r="Z244" s="956"/>
      <c r="AA244" s="954"/>
      <c r="AB244" s="954"/>
      <c r="AC244" s="954"/>
      <c r="AD244" s="954"/>
      <c r="AE244" s="625"/>
    </row>
    <row r="245" spans="1:31" s="620" customFormat="1" ht="18" customHeight="1" x14ac:dyDescent="0.2">
      <c r="A245" s="655"/>
      <c r="B245" s="508">
        <f t="shared" si="15"/>
        <v>206</v>
      </c>
      <c r="C245" s="957">
        <f>+NOMINA!C249</f>
        <v>20428039</v>
      </c>
      <c r="D245" s="958" t="str">
        <f>+NOMINA!D249</f>
        <v>Manzanilla Juan Roberto Antonio</v>
      </c>
      <c r="E245" s="955" t="s">
        <v>4622</v>
      </c>
      <c r="F245" s="959">
        <v>27081</v>
      </c>
      <c r="G245" s="955" t="s">
        <v>4620</v>
      </c>
      <c r="H245" s="960">
        <f>+NOMINA!H249</f>
        <v>45566</v>
      </c>
      <c r="I245" s="961">
        <f>+NOMINA!I249</f>
        <v>0</v>
      </c>
      <c r="J245" s="962">
        <f>+NOMINA!J249</f>
        <v>4</v>
      </c>
      <c r="K245" s="961">
        <f>+NOMINA!K249</f>
        <v>4</v>
      </c>
      <c r="L245" s="963">
        <f>+NOMINA!CA249</f>
        <v>6255</v>
      </c>
      <c r="M245" s="443"/>
      <c r="N245" s="952"/>
      <c r="R245" s="953"/>
      <c r="S245" s="954"/>
      <c r="T245" s="953"/>
      <c r="U245" s="954"/>
      <c r="V245" s="955"/>
      <c r="W245" s="954"/>
      <c r="X245" s="956"/>
      <c r="Y245" s="956"/>
      <c r="Z245" s="956"/>
      <c r="AA245" s="954"/>
      <c r="AB245" s="954"/>
      <c r="AC245" s="954"/>
      <c r="AD245" s="954"/>
      <c r="AE245" s="625"/>
    </row>
    <row r="246" spans="1:31" s="620" customFormat="1" ht="18" customHeight="1" x14ac:dyDescent="0.2">
      <c r="A246" s="655"/>
      <c r="B246" s="508">
        <f t="shared" si="15"/>
        <v>207</v>
      </c>
      <c r="C246" s="957">
        <f>+NOMINA!C250</f>
        <v>20603227</v>
      </c>
      <c r="D246" s="958" t="str">
        <f>+NOMINA!D250</f>
        <v>Morillo Garces Yeniree Lourdes</v>
      </c>
      <c r="E246" s="955" t="s">
        <v>4622</v>
      </c>
      <c r="F246" s="959">
        <v>27081</v>
      </c>
      <c r="G246" s="955" t="s">
        <v>4620</v>
      </c>
      <c r="H246" s="960">
        <f>+NOMINA!H250</f>
        <v>44470</v>
      </c>
      <c r="I246" s="961">
        <f>+NOMINA!I250</f>
        <v>3</v>
      </c>
      <c r="J246" s="962">
        <f>+NOMINA!J250</f>
        <v>0</v>
      </c>
      <c r="K246" s="961">
        <f>+NOMINA!K250</f>
        <v>3</v>
      </c>
      <c r="L246" s="963">
        <f>+NOMINA!CA250</f>
        <v>6255</v>
      </c>
      <c r="M246" s="443"/>
      <c r="N246" s="952"/>
      <c r="R246" s="953"/>
      <c r="S246" s="954"/>
      <c r="T246" s="953"/>
      <c r="U246" s="954"/>
      <c r="V246" s="955"/>
      <c r="W246" s="954"/>
      <c r="X246" s="956"/>
      <c r="Y246" s="956"/>
      <c r="Z246" s="956"/>
      <c r="AA246" s="954"/>
      <c r="AB246" s="954"/>
      <c r="AC246" s="954"/>
      <c r="AD246" s="954"/>
      <c r="AE246" s="625"/>
    </row>
    <row r="247" spans="1:31" s="620" customFormat="1" ht="18" customHeight="1" x14ac:dyDescent="0.2">
      <c r="A247" s="655"/>
      <c r="B247" s="508">
        <f t="shared" si="15"/>
        <v>208</v>
      </c>
      <c r="C247" s="957">
        <f>+NOMINA!C251</f>
        <v>20707490</v>
      </c>
      <c r="D247" s="958" t="str">
        <f>+NOMINA!D251</f>
        <v>Saavedra Valera Keila Andreina</v>
      </c>
      <c r="E247" s="955" t="s">
        <v>4622</v>
      </c>
      <c r="F247" s="959">
        <v>27081</v>
      </c>
      <c r="G247" s="955" t="s">
        <v>4620</v>
      </c>
      <c r="H247" s="960">
        <f>+NOMINA!H251</f>
        <v>42751</v>
      </c>
      <c r="I247" s="961">
        <f>+NOMINA!I251</f>
        <v>8</v>
      </c>
      <c r="J247" s="962">
        <f>+NOMINA!J251</f>
        <v>0</v>
      </c>
      <c r="K247" s="961">
        <f>+NOMINA!K251</f>
        <v>8</v>
      </c>
      <c r="L247" s="963">
        <f>+NOMINA!CA251</f>
        <v>6255</v>
      </c>
      <c r="M247" s="443"/>
      <c r="N247" s="952"/>
      <c r="R247" s="953"/>
      <c r="S247" s="954"/>
      <c r="T247" s="953"/>
      <c r="U247" s="954"/>
      <c r="V247" s="955"/>
      <c r="W247" s="954"/>
      <c r="X247" s="956"/>
      <c r="Y247" s="956"/>
      <c r="Z247" s="956"/>
      <c r="AA247" s="954"/>
      <c r="AB247" s="954"/>
      <c r="AC247" s="954"/>
      <c r="AD247" s="954"/>
      <c r="AE247" s="625"/>
    </row>
    <row r="248" spans="1:31" s="620" customFormat="1" ht="18" customHeight="1" x14ac:dyDescent="0.2">
      <c r="A248" s="655"/>
      <c r="B248" s="508">
        <f t="shared" si="15"/>
        <v>209</v>
      </c>
      <c r="C248" s="957">
        <f>+NOMINA!C252</f>
        <v>20789286</v>
      </c>
      <c r="D248" s="958" t="str">
        <f>+NOMINA!D252</f>
        <v>Viloria Jessica del Carmen</v>
      </c>
      <c r="E248" s="955" t="s">
        <v>4622</v>
      </c>
      <c r="F248" s="959">
        <v>27081</v>
      </c>
      <c r="G248" s="955" t="s">
        <v>4620</v>
      </c>
      <c r="H248" s="960">
        <f>+NOMINA!H252</f>
        <v>44713</v>
      </c>
      <c r="I248" s="961">
        <f>+NOMINA!I252</f>
        <v>3</v>
      </c>
      <c r="J248" s="962">
        <f>+NOMINA!J252</f>
        <v>0</v>
      </c>
      <c r="K248" s="961">
        <f>+NOMINA!K252</f>
        <v>3</v>
      </c>
      <c r="L248" s="963">
        <f>+NOMINA!CA252</f>
        <v>6255</v>
      </c>
      <c r="M248" s="443"/>
      <c r="N248" s="952"/>
      <c r="R248" s="953"/>
      <c r="S248" s="954"/>
      <c r="T248" s="953"/>
      <c r="U248" s="954"/>
      <c r="V248" s="955"/>
      <c r="W248" s="954"/>
      <c r="X248" s="956"/>
      <c r="Y248" s="956"/>
      <c r="Z248" s="956"/>
      <c r="AA248" s="954"/>
      <c r="AB248" s="954"/>
      <c r="AC248" s="954"/>
      <c r="AD248" s="954"/>
      <c r="AE248" s="625"/>
    </row>
    <row r="249" spans="1:31" s="620" customFormat="1" ht="18" customHeight="1" x14ac:dyDescent="0.2">
      <c r="A249" s="655"/>
      <c r="B249" s="508">
        <f t="shared" si="15"/>
        <v>210</v>
      </c>
      <c r="C249" s="957">
        <f>+NOMINA!C253</f>
        <v>20790947</v>
      </c>
      <c r="D249" s="958" t="str">
        <f>+NOMINA!D253</f>
        <v>Urbina Cuellar Tannessy Lenery</v>
      </c>
      <c r="E249" s="955" t="s">
        <v>4622</v>
      </c>
      <c r="F249" s="959">
        <v>27081</v>
      </c>
      <c r="G249" s="955" t="s">
        <v>4620</v>
      </c>
      <c r="H249" s="960">
        <f>+NOMINA!H253</f>
        <v>43967</v>
      </c>
      <c r="I249" s="961">
        <f>+NOMINA!I253</f>
        <v>5</v>
      </c>
      <c r="J249" s="962">
        <f>+NOMINA!J253</f>
        <v>0</v>
      </c>
      <c r="K249" s="961">
        <f>+NOMINA!K253</f>
        <v>5</v>
      </c>
      <c r="L249" s="963">
        <f>+NOMINA!CA253</f>
        <v>0</v>
      </c>
      <c r="M249" s="443"/>
      <c r="N249" s="952"/>
      <c r="R249" s="953"/>
      <c r="S249" s="954"/>
      <c r="T249" s="953"/>
      <c r="U249" s="954"/>
      <c r="V249" s="955"/>
      <c r="W249" s="954"/>
      <c r="X249" s="956"/>
      <c r="Y249" s="956"/>
      <c r="Z249" s="956"/>
      <c r="AA249" s="954"/>
      <c r="AB249" s="954"/>
      <c r="AC249" s="954"/>
      <c r="AD249" s="954"/>
      <c r="AE249" s="625"/>
    </row>
    <row r="250" spans="1:31" s="620" customFormat="1" ht="18" customHeight="1" x14ac:dyDescent="0.2">
      <c r="A250" s="655"/>
      <c r="B250" s="508">
        <f t="shared" si="15"/>
        <v>211</v>
      </c>
      <c r="C250" s="957">
        <f>+NOMINA!C254</f>
        <v>21061126</v>
      </c>
      <c r="D250" s="958" t="str">
        <f>+NOMINA!D254</f>
        <v>Olivar Nava Robinson de Jesus</v>
      </c>
      <c r="E250" s="955" t="s">
        <v>4622</v>
      </c>
      <c r="F250" s="959">
        <v>27081</v>
      </c>
      <c r="G250" s="955" t="s">
        <v>4620</v>
      </c>
      <c r="H250" s="960">
        <f>+NOMINA!H254</f>
        <v>45047</v>
      </c>
      <c r="I250" s="961">
        <f>+NOMINA!I254</f>
        <v>2</v>
      </c>
      <c r="J250" s="962">
        <f>+NOMINA!J254</f>
        <v>0</v>
      </c>
      <c r="K250" s="961">
        <f>+NOMINA!K254</f>
        <v>2</v>
      </c>
      <c r="L250" s="963">
        <f>+NOMINA!CA254</f>
        <v>6255</v>
      </c>
      <c r="M250" s="443"/>
      <c r="N250" s="952"/>
      <c r="R250" s="953"/>
      <c r="S250" s="954"/>
      <c r="T250" s="953"/>
      <c r="U250" s="954"/>
      <c r="V250" s="955"/>
      <c r="W250" s="954"/>
      <c r="X250" s="956"/>
      <c r="Y250" s="956"/>
      <c r="Z250" s="956"/>
      <c r="AA250" s="954"/>
      <c r="AB250" s="954"/>
      <c r="AC250" s="954"/>
      <c r="AD250" s="954"/>
      <c r="AE250" s="625"/>
    </row>
    <row r="251" spans="1:31" s="620" customFormat="1" ht="18" customHeight="1" x14ac:dyDescent="0.2">
      <c r="A251" s="655"/>
      <c r="B251" s="508">
        <f t="shared" si="15"/>
        <v>212</v>
      </c>
      <c r="C251" s="957">
        <f>+NOMINA!C255</f>
        <v>21061789</v>
      </c>
      <c r="D251" s="958" t="str">
        <f>+NOMINA!D255</f>
        <v>Suarez Briceño Daiver Jose</v>
      </c>
      <c r="E251" s="955" t="s">
        <v>4622</v>
      </c>
      <c r="F251" s="959">
        <v>27081</v>
      </c>
      <c r="G251" s="955" t="s">
        <v>4620</v>
      </c>
      <c r="H251" s="960">
        <f>+NOMINA!H255</f>
        <v>44713</v>
      </c>
      <c r="I251" s="961">
        <f>+NOMINA!I255</f>
        <v>3</v>
      </c>
      <c r="J251" s="962">
        <f>+NOMINA!J255</f>
        <v>0</v>
      </c>
      <c r="K251" s="961">
        <f>+NOMINA!K255</f>
        <v>3</v>
      </c>
      <c r="L251" s="963">
        <f>+NOMINA!CA255</f>
        <v>6255</v>
      </c>
      <c r="M251" s="443"/>
      <c r="N251" s="952"/>
      <c r="R251" s="953"/>
      <c r="S251" s="954"/>
      <c r="T251" s="953"/>
      <c r="U251" s="954"/>
      <c r="V251" s="955"/>
      <c r="W251" s="954"/>
      <c r="X251" s="956"/>
      <c r="Y251" s="956"/>
      <c r="Z251" s="956"/>
      <c r="AA251" s="954"/>
      <c r="AB251" s="954"/>
      <c r="AC251" s="954"/>
      <c r="AD251" s="954"/>
      <c r="AE251" s="625"/>
    </row>
    <row r="252" spans="1:31" s="620" customFormat="1" ht="18" customHeight="1" x14ac:dyDescent="0.2">
      <c r="A252" s="655"/>
      <c r="B252" s="508">
        <f t="shared" si="15"/>
        <v>213</v>
      </c>
      <c r="C252" s="957">
        <f>+NOMINA!C256</f>
        <v>21365212</v>
      </c>
      <c r="D252" s="958" t="str">
        <f>+NOMINA!D256</f>
        <v>Manzanilla Gonzalez Landkler Josue</v>
      </c>
      <c r="E252" s="955" t="s">
        <v>4622</v>
      </c>
      <c r="F252" s="959">
        <v>27081</v>
      </c>
      <c r="G252" s="955" t="s">
        <v>4620</v>
      </c>
      <c r="H252" s="960">
        <f>+NOMINA!H256</f>
        <v>44317</v>
      </c>
      <c r="I252" s="961">
        <f>+NOMINA!I256</f>
        <v>4</v>
      </c>
      <c r="J252" s="962">
        <f>+NOMINA!J256</f>
        <v>0</v>
      </c>
      <c r="K252" s="961">
        <f>+NOMINA!K256</f>
        <v>4</v>
      </c>
      <c r="L252" s="963">
        <f>+NOMINA!CA256</f>
        <v>6255</v>
      </c>
      <c r="M252" s="443"/>
      <c r="N252" s="952"/>
      <c r="R252" s="953"/>
      <c r="S252" s="954"/>
      <c r="T252" s="953"/>
      <c r="U252" s="954"/>
      <c r="V252" s="955"/>
      <c r="W252" s="954"/>
      <c r="X252" s="956"/>
      <c r="Y252" s="956"/>
      <c r="Z252" s="956"/>
      <c r="AA252" s="954"/>
      <c r="AB252" s="954"/>
      <c r="AC252" s="954"/>
      <c r="AD252" s="954"/>
      <c r="AE252" s="625"/>
    </row>
    <row r="253" spans="1:31" s="620" customFormat="1" ht="18" customHeight="1" x14ac:dyDescent="0.2">
      <c r="A253" s="655"/>
      <c r="B253" s="508">
        <f t="shared" si="15"/>
        <v>214</v>
      </c>
      <c r="C253" s="957">
        <f>+NOMINA!C257</f>
        <v>21592108</v>
      </c>
      <c r="D253" s="958" t="str">
        <f>+NOMINA!D257</f>
        <v>Coy Andara Darlin Gabriela</v>
      </c>
      <c r="E253" s="955" t="s">
        <v>4622</v>
      </c>
      <c r="F253" s="959">
        <v>27081</v>
      </c>
      <c r="G253" s="955" t="s">
        <v>4620</v>
      </c>
      <c r="H253" s="960">
        <f>+NOMINA!H257</f>
        <v>43024</v>
      </c>
      <c r="I253" s="961">
        <f>+NOMINA!I257</f>
        <v>7</v>
      </c>
      <c r="J253" s="962">
        <f>+NOMINA!J257</f>
        <v>0</v>
      </c>
      <c r="K253" s="961">
        <f>+NOMINA!K257</f>
        <v>7</v>
      </c>
      <c r="L253" s="963">
        <f>+NOMINA!CA257</f>
        <v>0</v>
      </c>
      <c r="M253" s="443"/>
      <c r="N253" s="952"/>
      <c r="R253" s="953"/>
      <c r="S253" s="954"/>
      <c r="T253" s="953"/>
      <c r="U253" s="954"/>
      <c r="V253" s="955"/>
      <c r="W253" s="954"/>
      <c r="X253" s="956"/>
      <c r="Y253" s="956"/>
      <c r="Z253" s="956"/>
      <c r="AA253" s="954"/>
      <c r="AB253" s="954"/>
      <c r="AC253" s="954"/>
      <c r="AD253" s="954"/>
      <c r="AE253" s="625"/>
    </row>
    <row r="254" spans="1:31" s="620" customFormat="1" ht="18" customHeight="1" x14ac:dyDescent="0.2">
      <c r="A254" s="655"/>
      <c r="B254" s="508">
        <f t="shared" si="15"/>
        <v>215</v>
      </c>
      <c r="C254" s="957">
        <f>+NOMINA!C258</f>
        <v>22622493</v>
      </c>
      <c r="D254" s="958" t="str">
        <f>+NOMINA!D258</f>
        <v>Barrios Olivar Geraldine Katiusca</v>
      </c>
      <c r="E254" s="955" t="s">
        <v>4622</v>
      </c>
      <c r="F254" s="959">
        <v>27081</v>
      </c>
      <c r="G254" s="955" t="s">
        <v>4620</v>
      </c>
      <c r="H254" s="960">
        <f>+NOMINA!H258</f>
        <v>44363</v>
      </c>
      <c r="I254" s="961">
        <f>+NOMINA!I258</f>
        <v>4</v>
      </c>
      <c r="J254" s="962">
        <f>+NOMINA!J258</f>
        <v>0</v>
      </c>
      <c r="K254" s="961">
        <f>+NOMINA!K258</f>
        <v>4</v>
      </c>
      <c r="L254" s="963">
        <f>+NOMINA!CA258</f>
        <v>6255</v>
      </c>
      <c r="M254" s="443"/>
      <c r="N254" s="952"/>
      <c r="R254" s="953"/>
      <c r="S254" s="954"/>
      <c r="T254" s="953"/>
      <c r="U254" s="954"/>
      <c r="V254" s="955"/>
      <c r="W254" s="954"/>
      <c r="X254" s="956"/>
      <c r="Y254" s="956"/>
      <c r="Z254" s="956"/>
      <c r="AA254" s="954"/>
      <c r="AB254" s="954"/>
      <c r="AC254" s="954"/>
      <c r="AD254" s="954"/>
      <c r="AE254" s="625"/>
    </row>
    <row r="255" spans="1:31" s="620" customFormat="1" ht="18" customHeight="1" x14ac:dyDescent="0.2">
      <c r="A255" s="655"/>
      <c r="B255" s="508">
        <f t="shared" si="15"/>
        <v>216</v>
      </c>
      <c r="C255" s="957">
        <f>+NOMINA!C259</f>
        <v>22892886</v>
      </c>
      <c r="D255" s="958" t="str">
        <f>+NOMINA!D259</f>
        <v>Rivas Gonzalez Eddy Carolina</v>
      </c>
      <c r="E255" s="955" t="s">
        <v>4622</v>
      </c>
      <c r="F255" s="959">
        <v>27081</v>
      </c>
      <c r="G255" s="955" t="s">
        <v>4620</v>
      </c>
      <c r="H255" s="960">
        <f>+NOMINA!H259</f>
        <v>45748</v>
      </c>
      <c r="I255" s="961">
        <f>+NOMINA!I259</f>
        <v>0</v>
      </c>
      <c r="J255" s="962">
        <f>+NOMINA!J259</f>
        <v>0</v>
      </c>
      <c r="K255" s="961">
        <f>+NOMINA!K259</f>
        <v>0</v>
      </c>
      <c r="L255" s="963">
        <f>+NOMINA!CA259</f>
        <v>6255</v>
      </c>
      <c r="M255" s="443"/>
      <c r="N255" s="952"/>
      <c r="R255" s="953"/>
      <c r="S255" s="954"/>
      <c r="T255" s="953"/>
      <c r="U255" s="954"/>
      <c r="V255" s="955"/>
      <c r="W255" s="954"/>
      <c r="X255" s="956"/>
      <c r="Y255" s="956"/>
      <c r="Z255" s="956"/>
      <c r="AA255" s="954"/>
      <c r="AB255" s="954"/>
      <c r="AC255" s="954"/>
      <c r="AD255" s="954"/>
      <c r="AE255" s="625"/>
    </row>
    <row r="256" spans="1:31" s="620" customFormat="1" ht="18" customHeight="1" x14ac:dyDescent="0.2">
      <c r="A256" s="655"/>
      <c r="B256" s="508">
        <f t="shared" si="15"/>
        <v>217</v>
      </c>
      <c r="C256" s="957">
        <f>+NOMINA!C260</f>
        <v>23254359</v>
      </c>
      <c r="D256" s="958" t="str">
        <f>+NOMINA!D260</f>
        <v>Calles Villarreal Jose Bertilio</v>
      </c>
      <c r="E256" s="955" t="s">
        <v>4622</v>
      </c>
      <c r="F256" s="959">
        <v>27081</v>
      </c>
      <c r="G256" s="955" t="s">
        <v>4620</v>
      </c>
      <c r="H256" s="960">
        <f>+NOMINA!H260</f>
        <v>45748</v>
      </c>
      <c r="I256" s="961">
        <f>+NOMINA!I260</f>
        <v>0</v>
      </c>
      <c r="J256" s="962">
        <f>+NOMINA!J260</f>
        <v>0</v>
      </c>
      <c r="K256" s="961">
        <f>+NOMINA!K260</f>
        <v>0</v>
      </c>
      <c r="L256" s="963">
        <f>+NOMINA!CA260</f>
        <v>6255</v>
      </c>
      <c r="M256" s="443"/>
      <c r="N256" s="952"/>
      <c r="R256" s="953"/>
      <c r="S256" s="954"/>
      <c r="T256" s="953"/>
      <c r="U256" s="954"/>
      <c r="V256" s="955"/>
      <c r="W256" s="954"/>
      <c r="X256" s="956"/>
      <c r="Y256" s="956"/>
      <c r="Z256" s="956"/>
      <c r="AA256" s="954"/>
      <c r="AB256" s="954"/>
      <c r="AC256" s="954"/>
      <c r="AD256" s="954"/>
      <c r="AE256" s="625"/>
    </row>
    <row r="257" spans="1:31" s="620" customFormat="1" ht="18" customHeight="1" x14ac:dyDescent="0.2">
      <c r="A257" s="655"/>
      <c r="B257" s="508">
        <f t="shared" si="15"/>
        <v>218</v>
      </c>
      <c r="C257" s="957">
        <f>+NOMINA!C261</f>
        <v>23782360</v>
      </c>
      <c r="D257" s="958" t="str">
        <f>+NOMINA!D261</f>
        <v>Rivera Sandoval Ilva Azucena</v>
      </c>
      <c r="E257" s="955" t="s">
        <v>4622</v>
      </c>
      <c r="F257" s="959">
        <v>27081</v>
      </c>
      <c r="G257" s="955" t="s">
        <v>4620</v>
      </c>
      <c r="H257" s="960">
        <f>+NOMINA!H261</f>
        <v>39203</v>
      </c>
      <c r="I257" s="961">
        <f>+NOMINA!I261</f>
        <v>18</v>
      </c>
      <c r="J257" s="962">
        <f>+NOMINA!J261</f>
        <v>0</v>
      </c>
      <c r="K257" s="961">
        <f>+NOMINA!K261</f>
        <v>18</v>
      </c>
      <c r="L257" s="963">
        <f>+NOMINA!CA261</f>
        <v>0</v>
      </c>
      <c r="M257" s="443"/>
      <c r="N257" s="952"/>
      <c r="R257" s="953"/>
      <c r="S257" s="954"/>
      <c r="T257" s="953"/>
      <c r="U257" s="954"/>
      <c r="V257" s="955"/>
      <c r="W257" s="954"/>
      <c r="X257" s="956"/>
      <c r="Y257" s="956"/>
      <c r="Z257" s="956"/>
      <c r="AA257" s="954"/>
      <c r="AB257" s="954"/>
      <c r="AC257" s="954"/>
      <c r="AD257" s="954"/>
      <c r="AE257" s="625"/>
    </row>
    <row r="258" spans="1:31" s="620" customFormat="1" ht="18" customHeight="1" x14ac:dyDescent="0.2">
      <c r="A258" s="655"/>
      <c r="B258" s="508">
        <f t="shared" si="15"/>
        <v>219</v>
      </c>
      <c r="C258" s="957">
        <f>+NOMINA!C262</f>
        <v>23960738</v>
      </c>
      <c r="D258" s="958" t="str">
        <f>+NOMINA!D262</f>
        <v>Molina Briceño Maria de los Angeles</v>
      </c>
      <c r="E258" s="955" t="s">
        <v>4622</v>
      </c>
      <c r="F258" s="959">
        <v>27081</v>
      </c>
      <c r="G258" s="955" t="s">
        <v>4620</v>
      </c>
      <c r="H258" s="960">
        <f>+NOMINA!H262</f>
        <v>43497</v>
      </c>
      <c r="I258" s="961">
        <f>+NOMINA!I262</f>
        <v>6</v>
      </c>
      <c r="J258" s="962">
        <f>+NOMINA!J262</f>
        <v>0</v>
      </c>
      <c r="K258" s="961">
        <f>+NOMINA!K262</f>
        <v>6</v>
      </c>
      <c r="L258" s="963">
        <f>+NOMINA!CA262</f>
        <v>6255</v>
      </c>
      <c r="M258" s="443"/>
      <c r="N258" s="952"/>
      <c r="R258" s="953"/>
      <c r="S258" s="954"/>
      <c r="T258" s="953"/>
      <c r="U258" s="954"/>
      <c r="V258" s="955"/>
      <c r="W258" s="954"/>
      <c r="X258" s="956"/>
      <c r="Y258" s="956"/>
      <c r="Z258" s="956"/>
      <c r="AA258" s="954"/>
      <c r="AB258" s="954"/>
      <c r="AC258" s="954"/>
      <c r="AD258" s="954"/>
      <c r="AE258" s="625"/>
    </row>
    <row r="259" spans="1:31" s="620" customFormat="1" ht="18" customHeight="1" x14ac:dyDescent="0.2">
      <c r="A259" s="655"/>
      <c r="B259" s="508">
        <f t="shared" si="15"/>
        <v>220</v>
      </c>
      <c r="C259" s="957">
        <f>+NOMINA!C263</f>
        <v>24135378</v>
      </c>
      <c r="D259" s="958" t="str">
        <f>+NOMINA!D263</f>
        <v>Rivas Hurtado Orleidys Betania</v>
      </c>
      <c r="E259" s="955" t="s">
        <v>4622</v>
      </c>
      <c r="F259" s="959">
        <v>27081</v>
      </c>
      <c r="G259" s="955" t="s">
        <v>4620</v>
      </c>
      <c r="H259" s="960">
        <f>+NOMINA!H263</f>
        <v>43862</v>
      </c>
      <c r="I259" s="961">
        <f>+NOMINA!I263</f>
        <v>5</v>
      </c>
      <c r="J259" s="962">
        <f>+NOMINA!J263</f>
        <v>0</v>
      </c>
      <c r="K259" s="961">
        <f>+NOMINA!K263</f>
        <v>5</v>
      </c>
      <c r="L259" s="963">
        <f>+NOMINA!CA263</f>
        <v>6255</v>
      </c>
      <c r="M259" s="443"/>
      <c r="N259" s="952"/>
      <c r="R259" s="953"/>
      <c r="S259" s="954"/>
      <c r="T259" s="953"/>
      <c r="U259" s="954"/>
      <c r="V259" s="955"/>
      <c r="W259" s="954"/>
      <c r="X259" s="956"/>
      <c r="Y259" s="956"/>
      <c r="Z259" s="956"/>
      <c r="AA259" s="954"/>
      <c r="AB259" s="954"/>
      <c r="AC259" s="954"/>
      <c r="AD259" s="954"/>
      <c r="AE259" s="625"/>
    </row>
    <row r="260" spans="1:31" s="620" customFormat="1" ht="18" customHeight="1" x14ac:dyDescent="0.2">
      <c r="A260" s="655"/>
      <c r="B260" s="508">
        <f t="shared" si="15"/>
        <v>221</v>
      </c>
      <c r="C260" s="957">
        <f>+NOMINA!C264</f>
        <v>24136795</v>
      </c>
      <c r="D260" s="958" t="str">
        <f>+NOMINA!D264</f>
        <v>Viloria Maldonado Gerardo Jesus</v>
      </c>
      <c r="E260" s="955" t="s">
        <v>4622</v>
      </c>
      <c r="F260" s="959">
        <v>27081</v>
      </c>
      <c r="G260" s="955" t="s">
        <v>4620</v>
      </c>
      <c r="H260" s="960">
        <f>+NOMINA!H264</f>
        <v>44600</v>
      </c>
      <c r="I260" s="961">
        <f>+NOMINA!I264</f>
        <v>3</v>
      </c>
      <c r="J260" s="962">
        <f>+NOMINA!J264</f>
        <v>0</v>
      </c>
      <c r="K260" s="961">
        <f>+NOMINA!K264</f>
        <v>3</v>
      </c>
      <c r="L260" s="963">
        <f>+NOMINA!CA264</f>
        <v>6255</v>
      </c>
      <c r="M260" s="443"/>
      <c r="N260" s="952"/>
      <c r="R260" s="953"/>
      <c r="S260" s="954"/>
      <c r="T260" s="953"/>
      <c r="U260" s="954"/>
      <c r="V260" s="955"/>
      <c r="W260" s="954"/>
      <c r="X260" s="956"/>
      <c r="Y260" s="956"/>
      <c r="Z260" s="956"/>
      <c r="AA260" s="954"/>
      <c r="AB260" s="954"/>
      <c r="AC260" s="954"/>
      <c r="AD260" s="954"/>
      <c r="AE260" s="625"/>
    </row>
    <row r="261" spans="1:31" s="620" customFormat="1" ht="18" customHeight="1" x14ac:dyDescent="0.2">
      <c r="A261" s="655"/>
      <c r="B261" s="508">
        <f t="shared" si="15"/>
        <v>222</v>
      </c>
      <c r="C261" s="957">
        <f>+NOMINA!C265</f>
        <v>23254845</v>
      </c>
      <c r="D261" s="958" t="str">
        <f>+NOMINA!D265</f>
        <v>Castellanos Paredes Luis Gregorio</v>
      </c>
      <c r="E261" s="955" t="s">
        <v>4622</v>
      </c>
      <c r="F261" s="959">
        <v>27081</v>
      </c>
      <c r="G261" s="955" t="s">
        <v>4620</v>
      </c>
      <c r="H261" s="960">
        <f>+NOMINA!H265</f>
        <v>44332</v>
      </c>
      <c r="I261" s="961">
        <f>+NOMINA!I265</f>
        <v>4</v>
      </c>
      <c r="J261" s="962">
        <f>+NOMINA!J265</f>
        <v>0</v>
      </c>
      <c r="K261" s="961">
        <f>+NOMINA!K265</f>
        <v>4</v>
      </c>
      <c r="L261" s="963">
        <f>+NOMINA!CA265</f>
        <v>6255</v>
      </c>
      <c r="M261" s="443"/>
      <c r="N261" s="952"/>
      <c r="R261" s="953"/>
      <c r="S261" s="954"/>
      <c r="T261" s="953"/>
      <c r="U261" s="954"/>
      <c r="V261" s="955"/>
      <c r="W261" s="954"/>
      <c r="X261" s="956"/>
      <c r="Y261" s="956"/>
      <c r="Z261" s="956"/>
      <c r="AA261" s="954"/>
      <c r="AB261" s="954"/>
      <c r="AC261" s="954"/>
      <c r="AD261" s="954"/>
      <c r="AE261" s="625"/>
    </row>
    <row r="262" spans="1:31" s="620" customFormat="1" ht="18" customHeight="1" x14ac:dyDescent="0.2">
      <c r="A262" s="655"/>
      <c r="B262" s="508">
        <f t="shared" si="15"/>
        <v>223</v>
      </c>
      <c r="C262" s="957">
        <f>+NOMINA!C266</f>
        <v>23594366</v>
      </c>
      <c r="D262" s="958" t="str">
        <f>+NOMINA!D266</f>
        <v>Quintero Montilla Merly Paula</v>
      </c>
      <c r="E262" s="955" t="s">
        <v>4622</v>
      </c>
      <c r="F262" s="959">
        <v>27081</v>
      </c>
      <c r="G262" s="955" t="s">
        <v>4620</v>
      </c>
      <c r="H262" s="960">
        <f>+NOMINA!H266</f>
        <v>45413</v>
      </c>
      <c r="I262" s="961">
        <f>+NOMINA!I266</f>
        <v>1</v>
      </c>
      <c r="J262" s="962">
        <f>+NOMINA!J266</f>
        <v>0</v>
      </c>
      <c r="K262" s="961">
        <f>+NOMINA!K266</f>
        <v>1</v>
      </c>
      <c r="L262" s="963">
        <f>+NOMINA!CA266</f>
        <v>6255</v>
      </c>
      <c r="M262" s="443"/>
      <c r="N262" s="952"/>
      <c r="R262" s="953"/>
      <c r="S262" s="954"/>
      <c r="T262" s="953"/>
      <c r="U262" s="954"/>
      <c r="V262" s="955"/>
      <c r="W262" s="954"/>
      <c r="X262" s="956"/>
      <c r="Y262" s="956"/>
      <c r="Z262" s="956"/>
      <c r="AA262" s="954"/>
      <c r="AB262" s="954"/>
      <c r="AC262" s="954"/>
      <c r="AD262" s="954"/>
      <c r="AE262" s="625"/>
    </row>
    <row r="263" spans="1:31" s="620" customFormat="1" ht="18" customHeight="1" x14ac:dyDescent="0.2">
      <c r="A263" s="655"/>
      <c r="B263" s="508">
        <f t="shared" si="15"/>
        <v>224</v>
      </c>
      <c r="C263" s="957">
        <f>+NOMINA!C267</f>
        <v>23775734</v>
      </c>
      <c r="D263" s="958" t="str">
        <f>+NOMINA!D267</f>
        <v>Gonzalez Torres Klerwin Alfonso</v>
      </c>
      <c r="E263" s="955" t="s">
        <v>4622</v>
      </c>
      <c r="F263" s="959">
        <v>27081</v>
      </c>
      <c r="G263" s="955" t="s">
        <v>4620</v>
      </c>
      <c r="H263" s="960">
        <f>+NOMINA!H267</f>
        <v>45627</v>
      </c>
      <c r="I263" s="961">
        <f>+NOMINA!I267</f>
        <v>0</v>
      </c>
      <c r="J263" s="962">
        <f>+NOMINA!J267</f>
        <v>5</v>
      </c>
      <c r="K263" s="961">
        <f>+NOMINA!K267</f>
        <v>5</v>
      </c>
      <c r="L263" s="963">
        <f>+NOMINA!CA267</f>
        <v>6255</v>
      </c>
      <c r="M263" s="443"/>
      <c r="N263" s="952"/>
      <c r="R263" s="953"/>
      <c r="S263" s="954"/>
      <c r="T263" s="953"/>
      <c r="U263" s="954"/>
      <c r="V263" s="955"/>
      <c r="W263" s="954"/>
      <c r="X263" s="956"/>
      <c r="Y263" s="956"/>
      <c r="Z263" s="956"/>
      <c r="AA263" s="954"/>
      <c r="AB263" s="954"/>
      <c r="AC263" s="954"/>
      <c r="AD263" s="954"/>
      <c r="AE263" s="625"/>
    </row>
    <row r="264" spans="1:31" s="620" customFormat="1" ht="18" customHeight="1" x14ac:dyDescent="0.2">
      <c r="A264" s="655"/>
      <c r="B264" s="508">
        <f t="shared" si="15"/>
        <v>225</v>
      </c>
      <c r="C264" s="957">
        <f>+NOMINA!C268</f>
        <v>24565372</v>
      </c>
      <c r="D264" s="958" t="str">
        <f>+NOMINA!D268</f>
        <v>Moreno Silva Alfredy Jose</v>
      </c>
      <c r="E264" s="955" t="s">
        <v>4622</v>
      </c>
      <c r="F264" s="959">
        <v>27081</v>
      </c>
      <c r="G264" s="955" t="s">
        <v>4620</v>
      </c>
      <c r="H264" s="960">
        <f>+NOMINA!H268</f>
        <v>40360</v>
      </c>
      <c r="I264" s="961">
        <f>+NOMINA!I268</f>
        <v>15</v>
      </c>
      <c r="J264" s="962">
        <f>+NOMINA!J268</f>
        <v>0</v>
      </c>
      <c r="K264" s="961">
        <f>+NOMINA!K268</f>
        <v>15</v>
      </c>
      <c r="L264" s="963">
        <f>+NOMINA!CA268</f>
        <v>0</v>
      </c>
      <c r="M264" s="443"/>
      <c r="N264" s="952"/>
      <c r="R264" s="953"/>
      <c r="S264" s="954"/>
      <c r="T264" s="953"/>
      <c r="U264" s="954"/>
      <c r="V264" s="955"/>
      <c r="W264" s="954"/>
      <c r="X264" s="956"/>
      <c r="Y264" s="956"/>
      <c r="Z264" s="956"/>
      <c r="AA264" s="954"/>
      <c r="AB264" s="954"/>
      <c r="AC264" s="954"/>
      <c r="AD264" s="954"/>
      <c r="AE264" s="625"/>
    </row>
    <row r="265" spans="1:31" s="620" customFormat="1" ht="18" customHeight="1" x14ac:dyDescent="0.2">
      <c r="A265" s="655"/>
      <c r="B265" s="508">
        <f t="shared" si="15"/>
        <v>226</v>
      </c>
      <c r="C265" s="957">
        <f>+NOMINA!C269</f>
        <v>25006139</v>
      </c>
      <c r="D265" s="958" t="str">
        <f>+NOMINA!D269</f>
        <v>Ramirez Palomares Carmen Beatriz</v>
      </c>
      <c r="E265" s="955" t="s">
        <v>4622</v>
      </c>
      <c r="F265" s="959">
        <v>27081</v>
      </c>
      <c r="G265" s="955" t="s">
        <v>4620</v>
      </c>
      <c r="H265" s="960">
        <f>+NOMINA!H269</f>
        <v>43512</v>
      </c>
      <c r="I265" s="961">
        <f>+NOMINA!I269</f>
        <v>6</v>
      </c>
      <c r="J265" s="962">
        <f>+NOMINA!J269</f>
        <v>0</v>
      </c>
      <c r="K265" s="961">
        <f>+NOMINA!K269</f>
        <v>6</v>
      </c>
      <c r="L265" s="963">
        <f>+NOMINA!CA269</f>
        <v>6255</v>
      </c>
      <c r="M265" s="443"/>
      <c r="N265" s="952"/>
      <c r="R265" s="953"/>
      <c r="S265" s="954"/>
      <c r="T265" s="953"/>
      <c r="U265" s="954"/>
      <c r="V265" s="955"/>
      <c r="W265" s="954"/>
      <c r="X265" s="956"/>
      <c r="Y265" s="956"/>
      <c r="Z265" s="956"/>
      <c r="AA265" s="954"/>
      <c r="AB265" s="954"/>
      <c r="AC265" s="954"/>
      <c r="AD265" s="954"/>
      <c r="AE265" s="625"/>
    </row>
    <row r="266" spans="1:31" s="620" customFormat="1" ht="18" customHeight="1" x14ac:dyDescent="0.2">
      <c r="A266" s="655"/>
      <c r="B266" s="508">
        <f t="shared" si="15"/>
        <v>227</v>
      </c>
      <c r="C266" s="957">
        <f>+NOMINA!C270</f>
        <v>25006878</v>
      </c>
      <c r="D266" s="958" t="str">
        <f>+NOMINA!D270</f>
        <v>Fernandez Garcia Rafael Ramon</v>
      </c>
      <c r="E266" s="955" t="s">
        <v>4622</v>
      </c>
      <c r="F266" s="959">
        <v>27081</v>
      </c>
      <c r="G266" s="955" t="s">
        <v>4620</v>
      </c>
      <c r="H266" s="960">
        <f>+NOMINA!H270</f>
        <v>44986</v>
      </c>
      <c r="I266" s="961">
        <f>+NOMINA!I270</f>
        <v>2</v>
      </c>
      <c r="J266" s="962">
        <f>+NOMINA!J270</f>
        <v>7</v>
      </c>
      <c r="K266" s="961">
        <f>+NOMINA!K270</f>
        <v>9</v>
      </c>
      <c r="L266" s="963">
        <f>+NOMINA!CA270</f>
        <v>6255</v>
      </c>
      <c r="M266" s="443"/>
      <c r="N266" s="952"/>
      <c r="R266" s="953"/>
      <c r="S266" s="954"/>
      <c r="T266" s="953"/>
      <c r="U266" s="954"/>
      <c r="V266" s="955"/>
      <c r="W266" s="954"/>
      <c r="X266" s="956"/>
      <c r="Y266" s="956"/>
      <c r="Z266" s="956"/>
      <c r="AA266" s="954"/>
      <c r="AB266" s="954"/>
      <c r="AC266" s="954"/>
      <c r="AD266" s="954"/>
      <c r="AE266" s="625"/>
    </row>
    <row r="267" spans="1:31" s="620" customFormat="1" ht="18" customHeight="1" x14ac:dyDescent="0.2">
      <c r="A267" s="655"/>
      <c r="B267" s="508">
        <f t="shared" si="15"/>
        <v>228</v>
      </c>
      <c r="C267" s="957">
        <f>+NOMINA!C271</f>
        <v>25096069</v>
      </c>
      <c r="D267" s="958" t="str">
        <f>+NOMINA!D271</f>
        <v>Coello Diaz Yormileidys del Carmen</v>
      </c>
      <c r="E267" s="955" t="s">
        <v>4622</v>
      </c>
      <c r="F267" s="959">
        <v>27081</v>
      </c>
      <c r="G267" s="955" t="s">
        <v>4620</v>
      </c>
      <c r="H267" s="960">
        <f>+NOMINA!H271</f>
        <v>44599</v>
      </c>
      <c r="I267" s="961">
        <f>+NOMINA!I271</f>
        <v>3</v>
      </c>
      <c r="J267" s="962">
        <f>+NOMINA!J271</f>
        <v>0</v>
      </c>
      <c r="K267" s="961">
        <f>+NOMINA!K271</f>
        <v>3</v>
      </c>
      <c r="L267" s="963">
        <f>+NOMINA!CA271</f>
        <v>6255</v>
      </c>
      <c r="M267" s="443"/>
      <c r="N267" s="952"/>
      <c r="R267" s="953"/>
      <c r="S267" s="954"/>
      <c r="T267" s="953"/>
      <c r="U267" s="954"/>
      <c r="V267" s="955"/>
      <c r="W267" s="954"/>
      <c r="X267" s="956"/>
      <c r="Y267" s="956"/>
      <c r="Z267" s="956"/>
      <c r="AA267" s="954"/>
      <c r="AB267" s="954"/>
      <c r="AC267" s="954"/>
      <c r="AD267" s="954"/>
      <c r="AE267" s="625"/>
    </row>
    <row r="268" spans="1:31" s="620" customFormat="1" ht="18" customHeight="1" x14ac:dyDescent="0.2">
      <c r="A268" s="655"/>
      <c r="B268" s="508">
        <f t="shared" si="15"/>
        <v>229</v>
      </c>
      <c r="C268" s="957">
        <f>+NOMINA!C272</f>
        <v>25173983</v>
      </c>
      <c r="D268" s="958" t="str">
        <f>+NOMINA!D272</f>
        <v>Guanda Barazarte Roxely Andreina</v>
      </c>
      <c r="E268" s="955" t="s">
        <v>4622</v>
      </c>
      <c r="F268" s="959">
        <v>27081</v>
      </c>
      <c r="G268" s="955" t="s">
        <v>4620</v>
      </c>
      <c r="H268" s="960">
        <f>+NOMINA!H272</f>
        <v>44363</v>
      </c>
      <c r="I268" s="961">
        <f>+NOMINA!I272</f>
        <v>4</v>
      </c>
      <c r="J268" s="962">
        <f>+NOMINA!J272</f>
        <v>0</v>
      </c>
      <c r="K268" s="961">
        <f>+NOMINA!K272</f>
        <v>4</v>
      </c>
      <c r="L268" s="963">
        <f>+NOMINA!CA272</f>
        <v>6255</v>
      </c>
      <c r="M268" s="443"/>
      <c r="N268" s="952"/>
      <c r="R268" s="953"/>
      <c r="S268" s="954"/>
      <c r="T268" s="953"/>
      <c r="U268" s="954"/>
      <c r="V268" s="955"/>
      <c r="W268" s="954"/>
      <c r="X268" s="956"/>
      <c r="Y268" s="956"/>
      <c r="Z268" s="956"/>
      <c r="AA268" s="954"/>
      <c r="AB268" s="954"/>
      <c r="AC268" s="954"/>
      <c r="AD268" s="954"/>
      <c r="AE268" s="625"/>
    </row>
    <row r="269" spans="1:31" s="620" customFormat="1" ht="18" customHeight="1" x14ac:dyDescent="0.2">
      <c r="A269" s="655"/>
      <c r="B269" s="508">
        <f t="shared" si="15"/>
        <v>230</v>
      </c>
      <c r="C269" s="957">
        <f>+NOMINA!C273</f>
        <v>25303390</v>
      </c>
      <c r="D269" s="958" t="str">
        <f>+NOMINA!D273</f>
        <v>Graterol Castillo Yoselyn Zunedy</v>
      </c>
      <c r="E269" s="955" t="s">
        <v>4622</v>
      </c>
      <c r="F269" s="959">
        <v>27081</v>
      </c>
      <c r="G269" s="955" t="s">
        <v>4620</v>
      </c>
      <c r="H269" s="960">
        <f>+NOMINA!H273</f>
        <v>43862</v>
      </c>
      <c r="I269" s="961">
        <f>+NOMINA!I273</f>
        <v>5</v>
      </c>
      <c r="J269" s="962">
        <f>+NOMINA!J273</f>
        <v>0</v>
      </c>
      <c r="K269" s="961">
        <f>+NOMINA!K273</f>
        <v>5</v>
      </c>
      <c r="L269" s="963">
        <f>+NOMINA!CA273</f>
        <v>6255</v>
      </c>
      <c r="M269" s="443"/>
      <c r="N269" s="952"/>
      <c r="R269" s="953"/>
      <c r="S269" s="954"/>
      <c r="T269" s="953"/>
      <c r="U269" s="954"/>
      <c r="V269" s="955"/>
      <c r="W269" s="954"/>
      <c r="X269" s="956"/>
      <c r="Y269" s="956"/>
      <c r="Z269" s="956"/>
      <c r="AA269" s="954"/>
      <c r="AB269" s="954"/>
      <c r="AC269" s="954"/>
      <c r="AD269" s="954"/>
      <c r="AE269" s="625"/>
    </row>
    <row r="270" spans="1:31" s="620" customFormat="1" ht="18" customHeight="1" x14ac:dyDescent="0.2">
      <c r="A270" s="655"/>
      <c r="B270" s="508">
        <f t="shared" si="15"/>
        <v>231</v>
      </c>
      <c r="C270" s="957">
        <f>+NOMINA!C274</f>
        <v>25454143</v>
      </c>
      <c r="D270" s="958" t="str">
        <f>+NOMINA!D274</f>
        <v>Briceño Ana Beatriz</v>
      </c>
      <c r="E270" s="955" t="s">
        <v>4622</v>
      </c>
      <c r="F270" s="959">
        <v>27081</v>
      </c>
      <c r="G270" s="955" t="s">
        <v>4620</v>
      </c>
      <c r="H270" s="960">
        <f>+NOMINA!H274</f>
        <v>45536</v>
      </c>
      <c r="I270" s="961">
        <f>+NOMINA!I274</f>
        <v>1</v>
      </c>
      <c r="J270" s="962">
        <f>+NOMINA!J274</f>
        <v>0</v>
      </c>
      <c r="K270" s="961">
        <f>+NOMINA!K274</f>
        <v>1</v>
      </c>
      <c r="L270" s="963">
        <f>+NOMINA!CA274</f>
        <v>6255</v>
      </c>
      <c r="M270" s="443"/>
      <c r="N270" s="952"/>
      <c r="R270" s="953"/>
      <c r="S270" s="954"/>
      <c r="T270" s="953"/>
      <c r="U270" s="954"/>
      <c r="V270" s="955"/>
      <c r="W270" s="954"/>
      <c r="X270" s="956"/>
      <c r="Y270" s="956"/>
      <c r="Z270" s="956"/>
      <c r="AA270" s="954"/>
      <c r="AB270" s="954"/>
      <c r="AC270" s="954"/>
      <c r="AD270" s="954"/>
      <c r="AE270" s="625"/>
    </row>
    <row r="271" spans="1:31" s="620" customFormat="1" ht="18" customHeight="1" x14ac:dyDescent="0.2">
      <c r="A271" s="655"/>
      <c r="B271" s="508">
        <f t="shared" si="15"/>
        <v>232</v>
      </c>
      <c r="C271" s="957">
        <f>+NOMINA!C275</f>
        <v>25604733</v>
      </c>
      <c r="D271" s="958" t="str">
        <f>+NOMINA!D275</f>
        <v>Nava Carrillo Oriana Daniela</v>
      </c>
      <c r="E271" s="955" t="s">
        <v>4622</v>
      </c>
      <c r="F271" s="959">
        <v>27081</v>
      </c>
      <c r="G271" s="955" t="s">
        <v>4620</v>
      </c>
      <c r="H271" s="960">
        <f>+NOMINA!H275</f>
        <v>43754</v>
      </c>
      <c r="I271" s="961">
        <f>+NOMINA!I275</f>
        <v>5</v>
      </c>
      <c r="J271" s="962">
        <f>+NOMINA!J275</f>
        <v>0</v>
      </c>
      <c r="K271" s="961">
        <f>+NOMINA!K275</f>
        <v>5</v>
      </c>
      <c r="L271" s="963">
        <f>+NOMINA!CA275</f>
        <v>6255</v>
      </c>
      <c r="M271" s="443"/>
      <c r="N271" s="952"/>
      <c r="R271" s="953"/>
      <c r="S271" s="954"/>
      <c r="T271" s="953"/>
      <c r="U271" s="954"/>
      <c r="V271" s="955"/>
      <c r="W271" s="954"/>
      <c r="X271" s="956"/>
      <c r="Y271" s="956"/>
      <c r="Z271" s="956"/>
      <c r="AA271" s="954"/>
      <c r="AB271" s="954"/>
      <c r="AC271" s="954"/>
      <c r="AD271" s="954"/>
      <c r="AE271" s="625"/>
    </row>
    <row r="272" spans="1:31" s="620" customFormat="1" ht="18" customHeight="1" x14ac:dyDescent="0.2">
      <c r="A272" s="655"/>
      <c r="B272" s="508">
        <f t="shared" si="15"/>
        <v>233</v>
      </c>
      <c r="C272" s="957">
        <f>+NOMINA!C276</f>
        <v>25619540</v>
      </c>
      <c r="D272" s="958" t="str">
        <f>+NOMINA!D276</f>
        <v>Balza Vetencourt Maria Gabriela</v>
      </c>
      <c r="E272" s="955" t="s">
        <v>4622</v>
      </c>
      <c r="F272" s="959">
        <v>27081</v>
      </c>
      <c r="G272" s="955" t="s">
        <v>4620</v>
      </c>
      <c r="H272" s="960">
        <f>+NOMINA!H276</f>
        <v>44743</v>
      </c>
      <c r="I272" s="961">
        <f>+NOMINA!I276</f>
        <v>3</v>
      </c>
      <c r="J272" s="962">
        <f>+NOMINA!J276</f>
        <v>0</v>
      </c>
      <c r="K272" s="961">
        <f>+NOMINA!K276</f>
        <v>3</v>
      </c>
      <c r="L272" s="963">
        <f>+NOMINA!CA276</f>
        <v>6255</v>
      </c>
      <c r="M272" s="443"/>
      <c r="N272" s="952"/>
      <c r="R272" s="953"/>
      <c r="S272" s="954"/>
      <c r="T272" s="953"/>
      <c r="U272" s="954"/>
      <c r="V272" s="955"/>
      <c r="W272" s="954"/>
      <c r="X272" s="956"/>
      <c r="Y272" s="956"/>
      <c r="Z272" s="956"/>
      <c r="AA272" s="954"/>
      <c r="AB272" s="954"/>
      <c r="AC272" s="954"/>
      <c r="AD272" s="954"/>
      <c r="AE272" s="625"/>
    </row>
    <row r="273" spans="1:31" s="620" customFormat="1" ht="18" customHeight="1" x14ac:dyDescent="0.2">
      <c r="A273" s="655"/>
      <c r="B273" s="508">
        <f t="shared" si="15"/>
        <v>234</v>
      </c>
      <c r="C273" s="957">
        <f>+NOMINA!C277</f>
        <v>26094609</v>
      </c>
      <c r="D273" s="958" t="str">
        <f>+NOMINA!D277</f>
        <v>Andara Moreno Marielena Nathaly</v>
      </c>
      <c r="E273" s="955" t="s">
        <v>4622</v>
      </c>
      <c r="F273" s="959">
        <v>27081</v>
      </c>
      <c r="G273" s="955" t="s">
        <v>4620</v>
      </c>
      <c r="H273" s="960">
        <f>+NOMINA!H277</f>
        <v>44713</v>
      </c>
      <c r="I273" s="961">
        <f>+NOMINA!I277</f>
        <v>3</v>
      </c>
      <c r="J273" s="962">
        <f>+NOMINA!J277</f>
        <v>0</v>
      </c>
      <c r="K273" s="961">
        <f>+NOMINA!K277</f>
        <v>3</v>
      </c>
      <c r="L273" s="963">
        <f>+NOMINA!CA277</f>
        <v>6255</v>
      </c>
      <c r="M273" s="443"/>
      <c r="N273" s="952"/>
      <c r="R273" s="953"/>
      <c r="S273" s="954"/>
      <c r="T273" s="953"/>
      <c r="U273" s="954"/>
      <c r="V273" s="955"/>
      <c r="W273" s="954"/>
      <c r="X273" s="956"/>
      <c r="Y273" s="956"/>
      <c r="Z273" s="956"/>
      <c r="AA273" s="954"/>
      <c r="AB273" s="954"/>
      <c r="AC273" s="954"/>
      <c r="AD273" s="954"/>
      <c r="AE273" s="625"/>
    </row>
    <row r="274" spans="1:31" s="620" customFormat="1" ht="18" customHeight="1" x14ac:dyDescent="0.2">
      <c r="A274" s="655"/>
      <c r="B274" s="508">
        <f t="shared" si="15"/>
        <v>235</v>
      </c>
      <c r="C274" s="957">
        <f>+NOMINA!C278</f>
        <v>26094690</v>
      </c>
      <c r="D274" s="958" t="str">
        <f>+NOMINA!D278</f>
        <v>Fernandez Romero Numa Manuel</v>
      </c>
      <c r="E274" s="955" t="s">
        <v>4622</v>
      </c>
      <c r="F274" s="959">
        <v>27081</v>
      </c>
      <c r="G274" s="955" t="s">
        <v>4620</v>
      </c>
      <c r="H274" s="960">
        <f>+NOMINA!H278</f>
        <v>45017</v>
      </c>
      <c r="I274" s="961">
        <f>+NOMINA!I278</f>
        <v>2</v>
      </c>
      <c r="J274" s="962">
        <f>+NOMINA!J278</f>
        <v>0</v>
      </c>
      <c r="K274" s="961">
        <f>+NOMINA!K278</f>
        <v>2</v>
      </c>
      <c r="L274" s="963">
        <f>+NOMINA!CA278</f>
        <v>6255</v>
      </c>
      <c r="M274" s="443"/>
      <c r="N274" s="952"/>
      <c r="R274" s="953"/>
      <c r="S274" s="954"/>
      <c r="T274" s="953"/>
      <c r="U274" s="954"/>
      <c r="V274" s="955"/>
      <c r="W274" s="954"/>
      <c r="X274" s="956"/>
      <c r="Y274" s="956"/>
      <c r="Z274" s="956"/>
      <c r="AA274" s="954"/>
      <c r="AB274" s="954"/>
      <c r="AC274" s="954"/>
      <c r="AD274" s="954"/>
      <c r="AE274" s="625"/>
    </row>
    <row r="275" spans="1:31" s="620" customFormat="1" ht="18" customHeight="1" x14ac:dyDescent="0.2">
      <c r="A275" s="1117"/>
      <c r="B275" s="508">
        <f t="shared" si="15"/>
        <v>236</v>
      </c>
      <c r="C275" s="957">
        <f>+NOMINA!C279</f>
        <v>26114271</v>
      </c>
      <c r="D275" s="958" t="str">
        <f>+NOMINA!D279</f>
        <v>Moncayo Perez Ruddy Bellaliz</v>
      </c>
      <c r="E275" s="955" t="s">
        <v>4622</v>
      </c>
      <c r="F275" s="959">
        <v>27081</v>
      </c>
      <c r="G275" s="955" t="s">
        <v>4620</v>
      </c>
      <c r="H275" s="960">
        <f>+NOMINA!H279</f>
        <v>44636</v>
      </c>
      <c r="I275" s="961">
        <f>+NOMINA!I279</f>
        <v>3</v>
      </c>
      <c r="J275" s="962">
        <f>+NOMINA!J279</f>
        <v>0</v>
      </c>
      <c r="K275" s="961">
        <f>+NOMINA!K279</f>
        <v>3</v>
      </c>
      <c r="L275" s="963">
        <f>+NOMINA!CA279</f>
        <v>6255</v>
      </c>
      <c r="M275" s="1113"/>
      <c r="N275" s="1114"/>
      <c r="R275" s="1076"/>
      <c r="S275" s="1115"/>
      <c r="T275" s="1076"/>
      <c r="U275" s="1115"/>
      <c r="V275" s="1104"/>
      <c r="W275" s="1115"/>
      <c r="X275" s="1116"/>
      <c r="Y275" s="1116"/>
      <c r="Z275" s="1116"/>
      <c r="AA275" s="1115"/>
      <c r="AB275" s="1115"/>
      <c r="AC275" s="1115"/>
      <c r="AD275" s="1115"/>
      <c r="AE275" s="625"/>
    </row>
    <row r="276" spans="1:31" s="620" customFormat="1" ht="18" customHeight="1" x14ac:dyDescent="0.2">
      <c r="A276" s="1117"/>
      <c r="B276" s="508">
        <f t="shared" si="15"/>
        <v>237</v>
      </c>
      <c r="C276" s="957">
        <f>+NOMINA!C280</f>
        <v>26191823</v>
      </c>
      <c r="D276" s="958" t="str">
        <f>+NOMINA!D280</f>
        <v>Briceño Espinoza Brayhan Jose</v>
      </c>
      <c r="E276" s="955" t="s">
        <v>4622</v>
      </c>
      <c r="F276" s="959">
        <v>27081</v>
      </c>
      <c r="G276" s="955" t="s">
        <v>4620</v>
      </c>
      <c r="H276" s="960">
        <f>+NOMINA!H280</f>
        <v>44470</v>
      </c>
      <c r="I276" s="961">
        <f>+NOMINA!I280</f>
        <v>3</v>
      </c>
      <c r="J276" s="962">
        <f>+NOMINA!J280</f>
        <v>0</v>
      </c>
      <c r="K276" s="961">
        <f>+NOMINA!K280</f>
        <v>3</v>
      </c>
      <c r="L276" s="963">
        <f>+NOMINA!CA280</f>
        <v>6255</v>
      </c>
      <c r="M276" s="1113"/>
      <c r="N276" s="1114"/>
      <c r="R276" s="1076"/>
      <c r="S276" s="1115"/>
      <c r="T276" s="1076"/>
      <c r="U276" s="1115"/>
      <c r="V276" s="1104"/>
      <c r="W276" s="1115"/>
      <c r="X276" s="1116"/>
      <c r="Y276" s="1116"/>
      <c r="Z276" s="1116"/>
      <c r="AA276" s="1115"/>
      <c r="AB276" s="1115"/>
      <c r="AC276" s="1115"/>
      <c r="AD276" s="1115"/>
      <c r="AE276" s="625"/>
    </row>
    <row r="277" spans="1:31" s="620" customFormat="1" ht="18" customHeight="1" x14ac:dyDescent="0.2">
      <c r="A277" s="1117"/>
      <c r="B277" s="508">
        <f t="shared" si="15"/>
        <v>238</v>
      </c>
      <c r="C277" s="957">
        <f>+NOMINA!C281</f>
        <v>26235963</v>
      </c>
      <c r="D277" s="958" t="str">
        <f>+NOMINA!D281</f>
        <v>Segovia Segovia Freylu Margarita</v>
      </c>
      <c r="E277" s="955" t="s">
        <v>4622</v>
      </c>
      <c r="F277" s="959">
        <v>27081</v>
      </c>
      <c r="G277" s="955" t="s">
        <v>4620</v>
      </c>
      <c r="H277" s="960">
        <f>+NOMINA!H281</f>
        <v>45383</v>
      </c>
      <c r="I277" s="961">
        <f>+NOMINA!I281</f>
        <v>1</v>
      </c>
      <c r="J277" s="962">
        <f>+NOMINA!J281</f>
        <v>0</v>
      </c>
      <c r="K277" s="961">
        <f>+NOMINA!K281</f>
        <v>1</v>
      </c>
      <c r="L277" s="963">
        <f>+NOMINA!CA281</f>
        <v>6255</v>
      </c>
      <c r="M277" s="1113"/>
      <c r="N277" s="1114"/>
      <c r="R277" s="1076"/>
      <c r="S277" s="1115"/>
      <c r="T277" s="1076"/>
      <c r="U277" s="1115"/>
      <c r="V277" s="1104"/>
      <c r="W277" s="1115"/>
      <c r="X277" s="1116"/>
      <c r="Y277" s="1116"/>
      <c r="Z277" s="1116"/>
      <c r="AA277" s="1115"/>
      <c r="AB277" s="1115"/>
      <c r="AC277" s="1115"/>
      <c r="AD277" s="1115"/>
      <c r="AE277" s="625"/>
    </row>
    <row r="278" spans="1:31" s="620" customFormat="1" ht="18" customHeight="1" x14ac:dyDescent="0.2">
      <c r="A278" s="1117"/>
      <c r="B278" s="508">
        <f t="shared" si="15"/>
        <v>239</v>
      </c>
      <c r="C278" s="957">
        <f>+NOMINA!C282</f>
        <v>26413871</v>
      </c>
      <c r="D278" s="958" t="str">
        <f>+NOMINA!D282</f>
        <v>Molina Rojas Genesis Angely</v>
      </c>
      <c r="E278" s="955" t="s">
        <v>4622</v>
      </c>
      <c r="F278" s="959">
        <v>27081</v>
      </c>
      <c r="G278" s="955" t="s">
        <v>4620</v>
      </c>
      <c r="H278" s="960">
        <f>+NOMINA!H282</f>
        <v>44228</v>
      </c>
      <c r="I278" s="961">
        <f>+NOMINA!I282</f>
        <v>4</v>
      </c>
      <c r="J278" s="962">
        <f>+NOMINA!J282</f>
        <v>0</v>
      </c>
      <c r="K278" s="961">
        <f>+NOMINA!K282</f>
        <v>4</v>
      </c>
      <c r="L278" s="963">
        <f>+NOMINA!CA282</f>
        <v>6255</v>
      </c>
      <c r="M278" s="1113"/>
      <c r="N278" s="1114"/>
      <c r="R278" s="1076"/>
      <c r="S278" s="1115"/>
      <c r="T278" s="1076"/>
      <c r="U278" s="1115"/>
      <c r="V278" s="1104"/>
      <c r="W278" s="1115"/>
      <c r="X278" s="1116"/>
      <c r="Y278" s="1116"/>
      <c r="Z278" s="1116"/>
      <c r="AA278" s="1115"/>
      <c r="AB278" s="1115"/>
      <c r="AC278" s="1115"/>
      <c r="AD278" s="1115"/>
      <c r="AE278" s="625"/>
    </row>
    <row r="279" spans="1:31" s="620" customFormat="1" ht="18" customHeight="1" x14ac:dyDescent="0.2">
      <c r="A279" s="1117"/>
      <c r="B279" s="508">
        <f t="shared" si="15"/>
        <v>240</v>
      </c>
      <c r="C279" s="957">
        <f>+NOMINA!C283</f>
        <v>26591879</v>
      </c>
      <c r="D279" s="958" t="str">
        <f>+NOMINA!D283</f>
        <v>Delgado Cabezas Rosa Magdalena</v>
      </c>
      <c r="E279" s="955" t="s">
        <v>4622</v>
      </c>
      <c r="F279" s="959">
        <v>27081</v>
      </c>
      <c r="G279" s="955" t="s">
        <v>4620</v>
      </c>
      <c r="H279" s="960">
        <f>+NOMINA!H283</f>
        <v>43587</v>
      </c>
      <c r="I279" s="961">
        <f>+NOMINA!I283</f>
        <v>6</v>
      </c>
      <c r="J279" s="962">
        <f>+NOMINA!J283</f>
        <v>0</v>
      </c>
      <c r="K279" s="961">
        <f>+NOMINA!K283</f>
        <v>6</v>
      </c>
      <c r="L279" s="963">
        <f>+NOMINA!CA283</f>
        <v>6255</v>
      </c>
      <c r="M279" s="1113"/>
      <c r="N279" s="1114"/>
      <c r="R279" s="1076"/>
      <c r="S279" s="1115"/>
      <c r="T279" s="1076"/>
      <c r="U279" s="1115"/>
      <c r="V279" s="1104"/>
      <c r="W279" s="1115"/>
      <c r="X279" s="1116"/>
      <c r="Y279" s="1116"/>
      <c r="Z279" s="1116"/>
      <c r="AA279" s="1115"/>
      <c r="AB279" s="1115"/>
      <c r="AC279" s="1115"/>
      <c r="AD279" s="1115"/>
      <c r="AE279" s="625"/>
    </row>
    <row r="280" spans="1:31" s="620" customFormat="1" ht="18" customHeight="1" x14ac:dyDescent="0.2">
      <c r="A280" s="1117"/>
      <c r="B280" s="508">
        <f t="shared" si="15"/>
        <v>241</v>
      </c>
      <c r="C280" s="957">
        <f>+NOMINA!C284</f>
        <v>26690908</v>
      </c>
      <c r="D280" s="958" t="str">
        <f>+NOMINA!D284</f>
        <v>Segovia Lisbeira del Carmen</v>
      </c>
      <c r="E280" s="955" t="s">
        <v>4622</v>
      </c>
      <c r="F280" s="959">
        <v>27081</v>
      </c>
      <c r="G280" s="955" t="s">
        <v>4620</v>
      </c>
      <c r="H280" s="960">
        <f>+NOMINA!H284</f>
        <v>44228</v>
      </c>
      <c r="I280" s="961">
        <f>+NOMINA!I284</f>
        <v>4</v>
      </c>
      <c r="J280" s="962">
        <f>+NOMINA!J284</f>
        <v>0</v>
      </c>
      <c r="K280" s="961">
        <f>+NOMINA!K284</f>
        <v>4</v>
      </c>
      <c r="L280" s="963">
        <f>+NOMINA!CA284</f>
        <v>6255</v>
      </c>
      <c r="M280" s="1113"/>
      <c r="N280" s="1114"/>
      <c r="R280" s="1076"/>
      <c r="S280" s="1115"/>
      <c r="T280" s="1076"/>
      <c r="U280" s="1115"/>
      <c r="V280" s="1104"/>
      <c r="W280" s="1115"/>
      <c r="X280" s="1116"/>
      <c r="Y280" s="1116"/>
      <c r="Z280" s="1116"/>
      <c r="AA280" s="1115"/>
      <c r="AB280" s="1115"/>
      <c r="AC280" s="1115"/>
      <c r="AD280" s="1115"/>
      <c r="AE280" s="625"/>
    </row>
    <row r="281" spans="1:31" s="620" customFormat="1" ht="18" customHeight="1" x14ac:dyDescent="0.2">
      <c r="A281" s="1117"/>
      <c r="B281" s="508">
        <f t="shared" si="15"/>
        <v>242</v>
      </c>
      <c r="C281" s="957">
        <f>+NOMINA!C285</f>
        <v>26962104</v>
      </c>
      <c r="D281" s="958" t="str">
        <f>+NOMINA!D285</f>
        <v>Rubio Briceño Diana Carolina</v>
      </c>
      <c r="E281" s="955" t="s">
        <v>4622</v>
      </c>
      <c r="F281" s="959">
        <v>27081</v>
      </c>
      <c r="G281" s="955" t="s">
        <v>4620</v>
      </c>
      <c r="H281" s="960">
        <f>+NOMINA!H285</f>
        <v>44393</v>
      </c>
      <c r="I281" s="961">
        <f>+NOMINA!I285</f>
        <v>4</v>
      </c>
      <c r="J281" s="962">
        <f>+NOMINA!J285</f>
        <v>0</v>
      </c>
      <c r="K281" s="961">
        <f>+NOMINA!K285</f>
        <v>4</v>
      </c>
      <c r="L281" s="963">
        <f>+NOMINA!CA285</f>
        <v>6255</v>
      </c>
      <c r="M281" s="1113"/>
      <c r="N281" s="1114"/>
      <c r="R281" s="1076"/>
      <c r="S281" s="1115"/>
      <c r="T281" s="1076"/>
      <c r="U281" s="1115"/>
      <c r="V281" s="1104"/>
      <c r="W281" s="1115"/>
      <c r="X281" s="1116"/>
      <c r="Y281" s="1116"/>
      <c r="Z281" s="1116"/>
      <c r="AA281" s="1115"/>
      <c r="AB281" s="1115"/>
      <c r="AC281" s="1115"/>
      <c r="AD281" s="1115"/>
      <c r="AE281" s="625"/>
    </row>
    <row r="282" spans="1:31" s="620" customFormat="1" ht="18" customHeight="1" x14ac:dyDescent="0.2">
      <c r="A282" s="1117"/>
      <c r="B282" s="508">
        <f t="shared" si="15"/>
        <v>243</v>
      </c>
      <c r="C282" s="957">
        <f>+NOMINA!C286</f>
        <v>27022450</v>
      </c>
      <c r="D282" s="958" t="str">
        <f>+NOMINA!D286</f>
        <v>Montilla Gonzalez Maria Alexandra</v>
      </c>
      <c r="E282" s="955" t="s">
        <v>4622</v>
      </c>
      <c r="F282" s="959">
        <v>27081</v>
      </c>
      <c r="G282" s="955" t="s">
        <v>4620</v>
      </c>
      <c r="H282" s="960">
        <f>+NOMINA!H286</f>
        <v>45717</v>
      </c>
      <c r="I282" s="961">
        <f>+NOMINA!I286</f>
        <v>0</v>
      </c>
      <c r="J282" s="962">
        <f>+NOMINA!J286</f>
        <v>0</v>
      </c>
      <c r="K282" s="961">
        <f>+NOMINA!K286</f>
        <v>0</v>
      </c>
      <c r="L282" s="963">
        <f>+NOMINA!CA286</f>
        <v>6255</v>
      </c>
      <c r="M282" s="1113"/>
      <c r="N282" s="1114"/>
      <c r="R282" s="1076"/>
      <c r="S282" s="1115"/>
      <c r="T282" s="1076"/>
      <c r="U282" s="1115"/>
      <c r="V282" s="1104"/>
      <c r="W282" s="1115"/>
      <c r="X282" s="1116"/>
      <c r="Y282" s="1116"/>
      <c r="Z282" s="1116"/>
      <c r="AA282" s="1115"/>
      <c r="AB282" s="1115"/>
      <c r="AC282" s="1115"/>
      <c r="AD282" s="1115"/>
      <c r="AE282" s="625"/>
    </row>
    <row r="283" spans="1:31" s="620" customFormat="1" ht="18" customHeight="1" x14ac:dyDescent="0.2">
      <c r="A283" s="1117"/>
      <c r="B283" s="508">
        <f t="shared" si="15"/>
        <v>244</v>
      </c>
      <c r="C283" s="957">
        <f>+NOMINA!C287</f>
        <v>27251885</v>
      </c>
      <c r="D283" s="958" t="str">
        <f>+NOMINA!D287</f>
        <v>Barrozo Godoy Kellem Daniela</v>
      </c>
      <c r="E283" s="955" t="s">
        <v>4622</v>
      </c>
      <c r="F283" s="959">
        <v>27081</v>
      </c>
      <c r="G283" s="955" t="s">
        <v>4620</v>
      </c>
      <c r="H283" s="960">
        <f>+NOMINA!H287</f>
        <v>45474</v>
      </c>
      <c r="I283" s="961">
        <f>+NOMINA!I287</f>
        <v>1</v>
      </c>
      <c r="J283" s="962">
        <f>+NOMINA!J287</f>
        <v>0</v>
      </c>
      <c r="K283" s="961">
        <f>+NOMINA!K287</f>
        <v>1</v>
      </c>
      <c r="L283" s="963">
        <f>+NOMINA!CA287</f>
        <v>6255</v>
      </c>
      <c r="M283" s="1113"/>
      <c r="N283" s="1114"/>
      <c r="R283" s="1076"/>
      <c r="S283" s="1115"/>
      <c r="T283" s="1076"/>
      <c r="U283" s="1115"/>
      <c r="V283" s="1104"/>
      <c r="W283" s="1115"/>
      <c r="X283" s="1116"/>
      <c r="Y283" s="1116"/>
      <c r="Z283" s="1116"/>
      <c r="AA283" s="1115"/>
      <c r="AB283" s="1115"/>
      <c r="AC283" s="1115"/>
      <c r="AD283" s="1115"/>
      <c r="AE283" s="625"/>
    </row>
    <row r="284" spans="1:31" s="620" customFormat="1" ht="18" customHeight="1" x14ac:dyDescent="0.2">
      <c r="A284" s="1117"/>
      <c r="B284" s="508">
        <f t="shared" si="15"/>
        <v>245</v>
      </c>
      <c r="C284" s="957">
        <f>+NOMINA!C288</f>
        <v>27251899</v>
      </c>
      <c r="D284" s="958" t="str">
        <f>+NOMINA!D288</f>
        <v>Perez Gonzalez Maria Ines</v>
      </c>
      <c r="E284" s="955" t="s">
        <v>4622</v>
      </c>
      <c r="F284" s="959">
        <v>27081</v>
      </c>
      <c r="G284" s="955" t="s">
        <v>4620</v>
      </c>
      <c r="H284" s="960">
        <f>+NOMINA!H288</f>
        <v>45474</v>
      </c>
      <c r="I284" s="961">
        <f>+NOMINA!I288</f>
        <v>1</v>
      </c>
      <c r="J284" s="962">
        <f>+NOMINA!J288</f>
        <v>0</v>
      </c>
      <c r="K284" s="961">
        <f>+NOMINA!K288</f>
        <v>1</v>
      </c>
      <c r="L284" s="963">
        <f>+NOMINA!CA288</f>
        <v>6255</v>
      </c>
      <c r="M284" s="1113"/>
      <c r="N284" s="1114"/>
      <c r="R284" s="1076"/>
      <c r="S284" s="1115"/>
      <c r="T284" s="1076"/>
      <c r="U284" s="1115"/>
      <c r="V284" s="1104"/>
      <c r="W284" s="1115"/>
      <c r="X284" s="1116"/>
      <c r="Y284" s="1116"/>
      <c r="Z284" s="1116"/>
      <c r="AA284" s="1115"/>
      <c r="AB284" s="1115"/>
      <c r="AC284" s="1115"/>
      <c r="AD284" s="1115"/>
      <c r="AE284" s="625"/>
    </row>
    <row r="285" spans="1:31" s="620" customFormat="1" ht="18" customHeight="1" x14ac:dyDescent="0.2">
      <c r="A285" s="1117"/>
      <c r="B285" s="508">
        <f t="shared" si="15"/>
        <v>246</v>
      </c>
      <c r="C285" s="957">
        <f>+NOMINA!C289</f>
        <v>27363633</v>
      </c>
      <c r="D285" s="958" t="str">
        <f>+NOMINA!D289</f>
        <v>Padilla Blanco Melany Marian</v>
      </c>
      <c r="E285" s="955" t="s">
        <v>4622</v>
      </c>
      <c r="F285" s="959">
        <v>27081</v>
      </c>
      <c r="G285" s="955" t="s">
        <v>4620</v>
      </c>
      <c r="H285" s="960">
        <f>+NOMINA!H289</f>
        <v>45627</v>
      </c>
      <c r="I285" s="961">
        <f>+NOMINA!I289</f>
        <v>0</v>
      </c>
      <c r="J285" s="962">
        <f>+NOMINA!J289</f>
        <v>0</v>
      </c>
      <c r="K285" s="961">
        <f>+NOMINA!K289</f>
        <v>0</v>
      </c>
      <c r="L285" s="963">
        <f>+NOMINA!CA289</f>
        <v>6255</v>
      </c>
      <c r="M285" s="1113"/>
      <c r="N285" s="1114"/>
      <c r="R285" s="1076"/>
      <c r="S285" s="1115"/>
      <c r="T285" s="1076"/>
      <c r="U285" s="1115"/>
      <c r="V285" s="1104"/>
      <c r="W285" s="1115"/>
      <c r="X285" s="1116"/>
      <c r="Y285" s="1116"/>
      <c r="Z285" s="1116"/>
      <c r="AA285" s="1115"/>
      <c r="AB285" s="1115"/>
      <c r="AC285" s="1115"/>
      <c r="AD285" s="1115"/>
      <c r="AE285" s="625"/>
    </row>
    <row r="286" spans="1:31" s="620" customFormat="1" ht="18" customHeight="1" x14ac:dyDescent="0.2">
      <c r="A286" s="1117"/>
      <c r="B286" s="508">
        <f t="shared" si="15"/>
        <v>247</v>
      </c>
      <c r="C286" s="957">
        <f>+NOMINA!C290</f>
        <v>27415737</v>
      </c>
      <c r="D286" s="958" t="str">
        <f>+NOMINA!D290</f>
        <v>Rivas Torres Rosa Alba</v>
      </c>
      <c r="E286" s="955" t="s">
        <v>4622</v>
      </c>
      <c r="F286" s="959">
        <v>27081</v>
      </c>
      <c r="G286" s="955" t="s">
        <v>4620</v>
      </c>
      <c r="H286" s="960">
        <f>+NOMINA!H290</f>
        <v>44363</v>
      </c>
      <c r="I286" s="961">
        <f>+NOMINA!I290</f>
        <v>4</v>
      </c>
      <c r="J286" s="962">
        <f>+NOMINA!J290</f>
        <v>0</v>
      </c>
      <c r="K286" s="961">
        <f>+NOMINA!K290</f>
        <v>4</v>
      </c>
      <c r="L286" s="963">
        <f>+NOMINA!CA290</f>
        <v>6255</v>
      </c>
      <c r="M286" s="1113"/>
      <c r="N286" s="1114"/>
      <c r="R286" s="1076"/>
      <c r="S286" s="1115"/>
      <c r="T286" s="1076"/>
      <c r="U286" s="1115"/>
      <c r="V286" s="1104"/>
      <c r="W286" s="1115"/>
      <c r="X286" s="1116"/>
      <c r="Y286" s="1116"/>
      <c r="Z286" s="1116"/>
      <c r="AA286" s="1115"/>
      <c r="AB286" s="1115"/>
      <c r="AC286" s="1115"/>
      <c r="AD286" s="1115"/>
      <c r="AE286" s="625"/>
    </row>
    <row r="287" spans="1:31" s="620" customFormat="1" ht="18" customHeight="1" x14ac:dyDescent="0.2">
      <c r="A287" s="1117"/>
      <c r="B287" s="508">
        <f t="shared" si="15"/>
        <v>248</v>
      </c>
      <c r="C287" s="957">
        <f>+NOMINA!C291</f>
        <v>27415888</v>
      </c>
      <c r="D287" s="958" t="str">
        <f>+NOMINA!D291</f>
        <v>Perdomo Juarez Jose de Jesus</v>
      </c>
      <c r="E287" s="955" t="s">
        <v>4622</v>
      </c>
      <c r="F287" s="959">
        <v>27081</v>
      </c>
      <c r="G287" s="955" t="s">
        <v>4620</v>
      </c>
      <c r="H287" s="960">
        <f>+NOMINA!H291</f>
        <v>44713</v>
      </c>
      <c r="I287" s="961">
        <f>+NOMINA!I291</f>
        <v>3</v>
      </c>
      <c r="J287" s="962">
        <f>+NOMINA!J291</f>
        <v>3</v>
      </c>
      <c r="K287" s="961">
        <f>+NOMINA!K291</f>
        <v>6</v>
      </c>
      <c r="L287" s="963">
        <f>+NOMINA!CA291</f>
        <v>6255</v>
      </c>
      <c r="M287" s="1113"/>
      <c r="N287" s="1114"/>
      <c r="R287" s="1076"/>
      <c r="S287" s="1115"/>
      <c r="T287" s="1076"/>
      <c r="U287" s="1115"/>
      <c r="V287" s="1104"/>
      <c r="W287" s="1115"/>
      <c r="X287" s="1116"/>
      <c r="Y287" s="1116"/>
      <c r="Z287" s="1116"/>
      <c r="AA287" s="1115"/>
      <c r="AB287" s="1115"/>
      <c r="AC287" s="1115"/>
      <c r="AD287" s="1115"/>
      <c r="AE287" s="625"/>
    </row>
    <row r="288" spans="1:31" s="620" customFormat="1" ht="18" customHeight="1" x14ac:dyDescent="0.2">
      <c r="A288" s="1117"/>
      <c r="B288" s="508">
        <f t="shared" si="15"/>
        <v>249</v>
      </c>
      <c r="C288" s="957">
        <f>+NOMINA!C292</f>
        <v>27628603</v>
      </c>
      <c r="D288" s="958" t="str">
        <f>+NOMINA!D292</f>
        <v>Mendoza Mendoza Kelasky Kixuy</v>
      </c>
      <c r="E288" s="955" t="s">
        <v>4622</v>
      </c>
      <c r="F288" s="959">
        <v>27081</v>
      </c>
      <c r="G288" s="955" t="s">
        <v>4620</v>
      </c>
      <c r="H288" s="960">
        <f>+NOMINA!H292</f>
        <v>45139</v>
      </c>
      <c r="I288" s="961">
        <f>+NOMINA!I292</f>
        <v>2</v>
      </c>
      <c r="J288" s="962">
        <f>+NOMINA!J292</f>
        <v>0</v>
      </c>
      <c r="K288" s="961">
        <f>+NOMINA!K292</f>
        <v>2</v>
      </c>
      <c r="L288" s="963">
        <f>+NOMINA!CA292</f>
        <v>6255</v>
      </c>
      <c r="M288" s="1113"/>
      <c r="N288" s="1114"/>
      <c r="R288" s="1076"/>
      <c r="S288" s="1115"/>
      <c r="T288" s="1076"/>
      <c r="U288" s="1115"/>
      <c r="V288" s="1104"/>
      <c r="W288" s="1115"/>
      <c r="X288" s="1116"/>
      <c r="Y288" s="1116"/>
      <c r="Z288" s="1116"/>
      <c r="AA288" s="1115"/>
      <c r="AB288" s="1115"/>
      <c r="AC288" s="1115"/>
      <c r="AD288" s="1115"/>
      <c r="AE288" s="625"/>
    </row>
    <row r="289" spans="1:35" s="620" customFormat="1" ht="18" customHeight="1" x14ac:dyDescent="0.2">
      <c r="A289" s="1117"/>
      <c r="B289" s="508">
        <f t="shared" si="15"/>
        <v>250</v>
      </c>
      <c r="C289" s="957">
        <f>+NOMINA!C293</f>
        <v>27677242</v>
      </c>
      <c r="D289" s="958" t="str">
        <f>+NOMINA!D293</f>
        <v>Ramirez Torres Darwin Jose</v>
      </c>
      <c r="E289" s="955" t="s">
        <v>4622</v>
      </c>
      <c r="F289" s="959">
        <v>27081</v>
      </c>
      <c r="G289" s="955" t="s">
        <v>4620</v>
      </c>
      <c r="H289" s="960">
        <f>+NOMINA!H293</f>
        <v>45139</v>
      </c>
      <c r="I289" s="961">
        <f>+NOMINA!I293</f>
        <v>2</v>
      </c>
      <c r="J289" s="962">
        <f>+NOMINA!J293</f>
        <v>0</v>
      </c>
      <c r="K289" s="961">
        <f>+NOMINA!K293</f>
        <v>2</v>
      </c>
      <c r="L289" s="963">
        <f>+NOMINA!CA293</f>
        <v>6255</v>
      </c>
      <c r="M289" s="1113"/>
      <c r="N289" s="1114"/>
      <c r="R289" s="1076"/>
      <c r="S289" s="1115"/>
      <c r="T289" s="1076"/>
      <c r="U289" s="1115"/>
      <c r="V289" s="1104"/>
      <c r="W289" s="1115"/>
      <c r="X289" s="1116"/>
      <c r="Y289" s="1116"/>
      <c r="Z289" s="1116"/>
      <c r="AA289" s="1115"/>
      <c r="AB289" s="1115"/>
      <c r="AC289" s="1115"/>
      <c r="AD289" s="1115"/>
      <c r="AE289" s="625"/>
    </row>
    <row r="290" spans="1:35" s="620" customFormat="1" ht="18" customHeight="1" x14ac:dyDescent="0.2">
      <c r="A290" s="1117"/>
      <c r="B290" s="508">
        <f t="shared" si="15"/>
        <v>251</v>
      </c>
      <c r="C290" s="957">
        <f>+NOMINA!C294</f>
        <v>27889180</v>
      </c>
      <c r="D290" s="958" t="str">
        <f>+NOMINA!D294</f>
        <v>Moreno Andreina del Valle</v>
      </c>
      <c r="E290" s="955" t="s">
        <v>4622</v>
      </c>
      <c r="F290" s="959">
        <v>27081</v>
      </c>
      <c r="G290" s="955" t="s">
        <v>4620</v>
      </c>
      <c r="H290" s="960">
        <f>+NOMINA!H294</f>
        <v>44393</v>
      </c>
      <c r="I290" s="961">
        <f>+NOMINA!I294</f>
        <v>4</v>
      </c>
      <c r="J290" s="962">
        <f>+NOMINA!J294</f>
        <v>0</v>
      </c>
      <c r="K290" s="961">
        <f>+NOMINA!K294</f>
        <v>4</v>
      </c>
      <c r="L290" s="963">
        <f>+NOMINA!CA294</f>
        <v>0</v>
      </c>
      <c r="M290" s="1113"/>
      <c r="N290" s="1114"/>
      <c r="R290" s="1076"/>
      <c r="S290" s="1115"/>
      <c r="T290" s="1076"/>
      <c r="U290" s="1115"/>
      <c r="V290" s="1104"/>
      <c r="W290" s="1115"/>
      <c r="X290" s="1116"/>
      <c r="Y290" s="1116"/>
      <c r="Z290" s="1116"/>
      <c r="AA290" s="1115"/>
      <c r="AB290" s="1115"/>
      <c r="AC290" s="1115"/>
      <c r="AD290" s="1115"/>
      <c r="AE290" s="625"/>
    </row>
    <row r="291" spans="1:35" s="620" customFormat="1" ht="18" customHeight="1" x14ac:dyDescent="0.2">
      <c r="A291" s="1117"/>
      <c r="B291" s="508">
        <f t="shared" si="15"/>
        <v>252</v>
      </c>
      <c r="C291" s="957">
        <f>+NOMINA!C295</f>
        <v>28079765</v>
      </c>
      <c r="D291" s="958" t="str">
        <f>+NOMINA!D295</f>
        <v>Mendoza Cardozo Josue Vicensio</v>
      </c>
      <c r="E291" s="955" t="s">
        <v>4622</v>
      </c>
      <c r="F291" s="959">
        <v>27081</v>
      </c>
      <c r="G291" s="955" t="s">
        <v>4620</v>
      </c>
      <c r="H291" s="960">
        <f>+NOMINA!H295</f>
        <v>44348</v>
      </c>
      <c r="I291" s="961">
        <f>+NOMINA!I295</f>
        <v>4</v>
      </c>
      <c r="J291" s="962">
        <f>+NOMINA!J295</f>
        <v>0</v>
      </c>
      <c r="K291" s="961">
        <f>+NOMINA!K295</f>
        <v>4</v>
      </c>
      <c r="L291" s="963">
        <f>+NOMINA!CA295</f>
        <v>6255</v>
      </c>
      <c r="M291" s="1113"/>
      <c r="N291" s="1114"/>
      <c r="R291" s="1076"/>
      <c r="S291" s="1115"/>
      <c r="T291" s="1076"/>
      <c r="U291" s="1115"/>
      <c r="V291" s="1104"/>
      <c r="W291" s="1115"/>
      <c r="X291" s="1116"/>
      <c r="Y291" s="1116"/>
      <c r="Z291" s="1116"/>
      <c r="AA291" s="1115"/>
      <c r="AB291" s="1115"/>
      <c r="AC291" s="1115"/>
      <c r="AD291" s="1115"/>
      <c r="AE291" s="625"/>
    </row>
    <row r="292" spans="1:35" s="620" customFormat="1" ht="18" customHeight="1" x14ac:dyDescent="0.2">
      <c r="A292" s="1117"/>
      <c r="B292" s="508">
        <f t="shared" si="15"/>
        <v>253</v>
      </c>
      <c r="C292" s="957">
        <f>+NOMINA!C296</f>
        <v>28096003</v>
      </c>
      <c r="D292" s="958" t="str">
        <f>+NOMINA!D296</f>
        <v>Quintero Peña Maria Alejandra</v>
      </c>
      <c r="E292" s="955" t="s">
        <v>4622</v>
      </c>
      <c r="F292" s="959">
        <v>27081</v>
      </c>
      <c r="G292" s="955" t="s">
        <v>4620</v>
      </c>
      <c r="H292" s="960">
        <f>+NOMINA!H296</f>
        <v>44228</v>
      </c>
      <c r="I292" s="961">
        <f>+NOMINA!I296</f>
        <v>4</v>
      </c>
      <c r="J292" s="962">
        <f>+NOMINA!J296</f>
        <v>0</v>
      </c>
      <c r="K292" s="961">
        <f>+NOMINA!K296</f>
        <v>4</v>
      </c>
      <c r="L292" s="963">
        <f>+NOMINA!CA296</f>
        <v>6255</v>
      </c>
      <c r="M292" s="1113"/>
      <c r="N292" s="1114"/>
      <c r="R292" s="1076"/>
      <c r="S292" s="1115"/>
      <c r="T292" s="1076"/>
      <c r="U292" s="1115"/>
      <c r="V292" s="1104"/>
      <c r="W292" s="1115"/>
      <c r="X292" s="1116"/>
      <c r="Y292" s="1116"/>
      <c r="Z292" s="1116"/>
      <c r="AA292" s="1115"/>
      <c r="AB292" s="1115"/>
      <c r="AC292" s="1115"/>
      <c r="AD292" s="1115"/>
      <c r="AE292" s="625"/>
    </row>
    <row r="293" spans="1:35" s="620" customFormat="1" ht="18" customHeight="1" x14ac:dyDescent="0.2">
      <c r="A293" s="1117"/>
      <c r="B293" s="508">
        <f t="shared" si="15"/>
        <v>254</v>
      </c>
      <c r="C293" s="957">
        <f>+NOMINA!C297</f>
        <v>28096576</v>
      </c>
      <c r="D293" s="958" t="str">
        <f>+NOMINA!D297</f>
        <v>Gutierrez Betania Belsally</v>
      </c>
      <c r="E293" s="955" t="s">
        <v>4622</v>
      </c>
      <c r="F293" s="959">
        <v>27081</v>
      </c>
      <c r="G293" s="955" t="s">
        <v>4620</v>
      </c>
      <c r="H293" s="960">
        <f>+NOMINA!H297</f>
        <v>45017</v>
      </c>
      <c r="I293" s="961">
        <f>+NOMINA!I297</f>
        <v>2</v>
      </c>
      <c r="J293" s="962">
        <f>+NOMINA!J297</f>
        <v>0</v>
      </c>
      <c r="K293" s="961">
        <f>+NOMINA!K297</f>
        <v>2</v>
      </c>
      <c r="L293" s="963">
        <f>+NOMINA!CA297</f>
        <v>6255</v>
      </c>
      <c r="M293" s="1113"/>
      <c r="N293" s="1114"/>
      <c r="R293" s="1076"/>
      <c r="S293" s="1115"/>
      <c r="T293" s="1076"/>
      <c r="U293" s="1115"/>
      <c r="V293" s="1104"/>
      <c r="W293" s="1115"/>
      <c r="X293" s="1116"/>
      <c r="Y293" s="1116"/>
      <c r="Z293" s="1116"/>
      <c r="AA293" s="1115"/>
      <c r="AB293" s="1115"/>
      <c r="AC293" s="1115"/>
      <c r="AD293" s="1115"/>
      <c r="AE293" s="625"/>
    </row>
    <row r="294" spans="1:35" s="620" customFormat="1" ht="18" customHeight="1" x14ac:dyDescent="0.2">
      <c r="A294" s="1117"/>
      <c r="B294" s="508">
        <f t="shared" si="15"/>
        <v>255</v>
      </c>
      <c r="C294" s="957">
        <f>+NOMINA!C298</f>
        <v>28445465</v>
      </c>
      <c r="D294" s="958" t="str">
        <f>+NOMINA!D298</f>
        <v>Castillo Carrizo Katherine Cecilia</v>
      </c>
      <c r="E294" s="955" t="s">
        <v>4622</v>
      </c>
      <c r="F294" s="959">
        <v>27081</v>
      </c>
      <c r="G294" s="955" t="s">
        <v>4620</v>
      </c>
      <c r="H294" s="960">
        <f>+NOMINA!H298</f>
        <v>43770</v>
      </c>
      <c r="I294" s="961">
        <f>+NOMINA!I298</f>
        <v>5</v>
      </c>
      <c r="J294" s="962">
        <f>+NOMINA!J298</f>
        <v>0</v>
      </c>
      <c r="K294" s="961">
        <f>+NOMINA!K298</f>
        <v>5</v>
      </c>
      <c r="L294" s="963">
        <f>+NOMINA!CA298</f>
        <v>6255</v>
      </c>
      <c r="M294" s="1113"/>
      <c r="N294" s="1114"/>
      <c r="R294" s="1076"/>
      <c r="S294" s="1115"/>
      <c r="T294" s="1076"/>
      <c r="U294" s="1115"/>
      <c r="V294" s="1104"/>
      <c r="W294" s="1115"/>
      <c r="X294" s="1116"/>
      <c r="Y294" s="1116"/>
      <c r="Z294" s="1116"/>
      <c r="AA294" s="1115"/>
      <c r="AB294" s="1115"/>
      <c r="AC294" s="1115"/>
      <c r="AD294" s="1115"/>
      <c r="AE294" s="625"/>
    </row>
    <row r="295" spans="1:35" s="620" customFormat="1" ht="18" customHeight="1" x14ac:dyDescent="0.2">
      <c r="A295" s="1117"/>
      <c r="B295" s="508">
        <f t="shared" si="15"/>
        <v>256</v>
      </c>
      <c r="C295" s="957">
        <f>+NOMINA!C299</f>
        <v>29539827</v>
      </c>
      <c r="D295" s="958" t="str">
        <f>+NOMINA!D299</f>
        <v>Rivero Fajardo Nohely Gabriela</v>
      </c>
      <c r="E295" s="955" t="s">
        <v>4622</v>
      </c>
      <c r="F295" s="959">
        <v>27081</v>
      </c>
      <c r="G295" s="955" t="s">
        <v>4620</v>
      </c>
      <c r="H295" s="960">
        <f>+NOMINA!H299</f>
        <v>45901</v>
      </c>
      <c r="I295" s="961">
        <f>+NOMINA!I299</f>
        <v>0</v>
      </c>
      <c r="J295" s="962">
        <f>+NOMINA!J299</f>
        <v>0</v>
      </c>
      <c r="K295" s="961">
        <f>+NOMINA!K299</f>
        <v>0</v>
      </c>
      <c r="L295" s="963">
        <f>+NOMINA!CA299</f>
        <v>6255</v>
      </c>
      <c r="M295" s="1113"/>
      <c r="N295" s="1114"/>
      <c r="R295" s="1076"/>
      <c r="S295" s="1115"/>
      <c r="T295" s="1076"/>
      <c r="U295" s="1115"/>
      <c r="V295" s="1104"/>
      <c r="W295" s="1115"/>
      <c r="X295" s="1116"/>
      <c r="Y295" s="1116"/>
      <c r="Z295" s="1116"/>
      <c r="AA295" s="1115"/>
      <c r="AB295" s="1115"/>
      <c r="AC295" s="1115"/>
      <c r="AD295" s="1115"/>
      <c r="AE295" s="625"/>
    </row>
    <row r="296" spans="1:35" s="620" customFormat="1" ht="18" customHeight="1" x14ac:dyDescent="0.2">
      <c r="A296" s="1117"/>
      <c r="B296" s="508">
        <f t="shared" si="15"/>
        <v>257</v>
      </c>
      <c r="C296" s="957">
        <f>+NOMINA!C300</f>
        <v>29585477</v>
      </c>
      <c r="D296" s="958" t="str">
        <f>+NOMINA!D300</f>
        <v>Gil Ruiz Marianyeli Sarait</v>
      </c>
      <c r="E296" s="955" t="s">
        <v>4622</v>
      </c>
      <c r="F296" s="959">
        <v>27081</v>
      </c>
      <c r="G296" s="955" t="s">
        <v>4620</v>
      </c>
      <c r="H296" s="960">
        <f>+NOMINA!H300</f>
        <v>43512</v>
      </c>
      <c r="I296" s="961">
        <f>+NOMINA!I300</f>
        <v>6</v>
      </c>
      <c r="J296" s="962">
        <f>+NOMINA!J300</f>
        <v>0</v>
      </c>
      <c r="K296" s="961">
        <f>+NOMINA!K300</f>
        <v>6</v>
      </c>
      <c r="L296" s="963">
        <f>+NOMINA!CA300</f>
        <v>6255</v>
      </c>
      <c r="M296" s="1113"/>
      <c r="N296" s="1114"/>
      <c r="R296" s="1076"/>
      <c r="S296" s="1115"/>
      <c r="T296" s="1076"/>
      <c r="U296" s="1115"/>
      <c r="V296" s="1104"/>
      <c r="W296" s="1115"/>
      <c r="X296" s="1116"/>
      <c r="Y296" s="1116"/>
      <c r="Z296" s="1116"/>
      <c r="AA296" s="1115"/>
      <c r="AB296" s="1115"/>
      <c r="AC296" s="1115"/>
      <c r="AD296" s="1115"/>
      <c r="AE296" s="625"/>
    </row>
    <row r="297" spans="1:35" s="620" customFormat="1" ht="18" customHeight="1" x14ac:dyDescent="0.2">
      <c r="A297" s="1117"/>
      <c r="B297" s="508">
        <f t="shared" si="15"/>
        <v>258</v>
      </c>
      <c r="C297" s="957">
        <f>+NOMINA!C301</f>
        <v>30190238</v>
      </c>
      <c r="D297" s="958" t="str">
        <f>+NOMINA!D301</f>
        <v>Mendoza Osuna Zaida Liseth</v>
      </c>
      <c r="E297" s="955" t="s">
        <v>4622</v>
      </c>
      <c r="F297" s="959">
        <v>27081</v>
      </c>
      <c r="G297" s="955" t="s">
        <v>4620</v>
      </c>
      <c r="H297" s="960">
        <f>+NOMINA!H301</f>
        <v>45200</v>
      </c>
      <c r="I297" s="961">
        <f>+NOMINA!I301</f>
        <v>1</v>
      </c>
      <c r="J297" s="962">
        <f>+NOMINA!J301</f>
        <v>0</v>
      </c>
      <c r="K297" s="961">
        <f>+NOMINA!K301</f>
        <v>1</v>
      </c>
      <c r="L297" s="963">
        <f>+NOMINA!CA301</f>
        <v>6255</v>
      </c>
      <c r="M297" s="1113"/>
      <c r="N297" s="1114"/>
      <c r="R297" s="1076"/>
      <c r="S297" s="1115"/>
      <c r="T297" s="1076"/>
      <c r="U297" s="1115"/>
      <c r="V297" s="1104"/>
      <c r="W297" s="1115"/>
      <c r="X297" s="1116"/>
      <c r="Y297" s="1116"/>
      <c r="Z297" s="1116"/>
      <c r="AA297" s="1115"/>
      <c r="AB297" s="1115"/>
      <c r="AC297" s="1115"/>
      <c r="AD297" s="1115"/>
      <c r="AE297" s="625"/>
    </row>
    <row r="298" spans="1:35" s="620" customFormat="1" ht="18" customHeight="1" thickBot="1" x14ac:dyDescent="0.25">
      <c r="A298" s="655" t="s">
        <v>2846</v>
      </c>
      <c r="B298" s="508">
        <f t="shared" si="15"/>
        <v>259</v>
      </c>
      <c r="C298" s="957">
        <f>+NOMINA!C302</f>
        <v>30438508</v>
      </c>
      <c r="D298" s="958" t="str">
        <f>+NOMINA!D302</f>
        <v>Teran Araujo Marihangeli Nicoll</v>
      </c>
      <c r="E298" s="955" t="s">
        <v>4622</v>
      </c>
      <c r="F298" s="959">
        <v>27081</v>
      </c>
      <c r="G298" s="955" t="s">
        <v>4620</v>
      </c>
      <c r="H298" s="960">
        <f>+NOMINA!H302</f>
        <v>45200</v>
      </c>
      <c r="I298" s="961">
        <f>+NOMINA!I302</f>
        <v>1</v>
      </c>
      <c r="J298" s="962">
        <f>+NOMINA!J302</f>
        <v>4</v>
      </c>
      <c r="K298" s="961">
        <f>+NOMINA!K302</f>
        <v>5</v>
      </c>
      <c r="L298" s="963">
        <f>+NOMINA!CA302</f>
        <v>6255</v>
      </c>
      <c r="M298" s="443" t="e">
        <f>#REF!+#REF!-#REF!</f>
        <v>#REF!</v>
      </c>
      <c r="N298" s="952" t="e">
        <f>ROUND((#REF!+#REF!+#REF!+#REF!+#REF!+#REF!+#REF!+#REF!),2)</f>
        <v>#REF!</v>
      </c>
      <c r="Q298" s="620" t="e">
        <f>SUM(#REF!)</f>
        <v>#REF!</v>
      </c>
      <c r="R298" s="953" t="e">
        <f>#REF!+#REF!-#REF!</f>
        <v>#REF!</v>
      </c>
      <c r="S298" s="954">
        <v>200</v>
      </c>
      <c r="T298" s="953" t="e">
        <f>#REF!+#REF!</f>
        <v>#REF!</v>
      </c>
      <c r="U298" s="954" t="e">
        <f>#REF!</f>
        <v>#REF!</v>
      </c>
      <c r="V298" s="955">
        <v>0</v>
      </c>
      <c r="W298" s="954" t="e">
        <f>#REF!</f>
        <v>#REF!</v>
      </c>
      <c r="X298" s="956" t="e">
        <f>#REF!+#REF!</f>
        <v>#REF!</v>
      </c>
      <c r="Y298" s="956" t="e">
        <f>#REF!+#REF!</f>
        <v>#REF!</v>
      </c>
      <c r="Z298" s="956"/>
      <c r="AA298" s="954" t="e">
        <f>#REF!</f>
        <v>#REF!</v>
      </c>
      <c r="AB298" s="954" t="e">
        <f t="shared" si="13"/>
        <v>#REF!</v>
      </c>
      <c r="AC298" s="954" t="e">
        <f>#REF!+#REF!</f>
        <v>#REF!</v>
      </c>
      <c r="AD298" s="954">
        <f t="shared" si="14"/>
        <v>6255</v>
      </c>
      <c r="AE298" s="625"/>
    </row>
    <row r="299" spans="1:35" s="620" customFormat="1" ht="19.5" customHeight="1" thickBot="1" x14ac:dyDescent="0.3">
      <c r="A299" s="684"/>
      <c r="B299" s="1161"/>
      <c r="C299" s="1162"/>
      <c r="D299" s="1163"/>
      <c r="E299" s="950" t="s">
        <v>4622</v>
      </c>
      <c r="F299" s="1160">
        <v>27081</v>
      </c>
      <c r="G299" s="950" t="s">
        <v>4620</v>
      </c>
      <c r="H299" s="1165"/>
      <c r="I299" s="1166"/>
      <c r="J299" s="1166"/>
      <c r="K299" s="1100" t="s">
        <v>4562</v>
      </c>
      <c r="L299" s="670">
        <f>SUM(L40:L298)</f>
        <v>1457415</v>
      </c>
      <c r="M299" s="625"/>
      <c r="N299" s="625"/>
      <c r="O299" s="625"/>
      <c r="P299" s="625"/>
      <c r="Q299" s="625"/>
      <c r="R299" s="625"/>
      <c r="S299" s="625"/>
      <c r="T299" s="625"/>
      <c r="U299" s="625"/>
      <c r="V299" s="625"/>
      <c r="W299" s="625"/>
      <c r="X299" s="625"/>
      <c r="Y299" s="625"/>
      <c r="Z299" s="625"/>
      <c r="AA299" s="625"/>
      <c r="AB299" s="625"/>
      <c r="AC299" s="625"/>
      <c r="AD299" s="625"/>
      <c r="AE299" s="625"/>
      <c r="AF299" s="625"/>
      <c r="AG299" s="673"/>
      <c r="AH299" s="688"/>
      <c r="AI299" s="688"/>
    </row>
    <row r="300" spans="1:35" s="698" customFormat="1" ht="18.75" thickBot="1" x14ac:dyDescent="0.3">
      <c r="A300" s="689" t="s">
        <v>4563</v>
      </c>
      <c r="B300" s="656" t="str">
        <f>+"OBREROS FIJOS_NOMINA_"&amp;NOMINA!F9&amp;"_"&amp;NOMINA!H9&amp;"-CESTA TICKET"</f>
        <v>OBREROS FIJOS_NOMINA_SEPTIEMBRE_2025-CESTA TICKET</v>
      </c>
      <c r="C300" s="957"/>
      <c r="D300" s="958"/>
      <c r="E300" s="955" t="s">
        <v>4622</v>
      </c>
      <c r="F300" s="959">
        <v>27081</v>
      </c>
      <c r="G300" s="955" t="s">
        <v>4620</v>
      </c>
      <c r="H300" s="960"/>
      <c r="I300" s="961"/>
      <c r="J300" s="962"/>
      <c r="K300" s="961"/>
      <c r="L300" s="963"/>
      <c r="M300" s="697"/>
      <c r="N300" s="697"/>
      <c r="O300" s="697"/>
      <c r="P300" s="697"/>
      <c r="Q300" s="697"/>
      <c r="R300" s="953"/>
      <c r="S300" s="697"/>
      <c r="T300" s="697"/>
      <c r="U300" s="697"/>
      <c r="V300" s="697"/>
      <c r="W300" s="697"/>
      <c r="X300" s="697"/>
      <c r="Y300" s="697">
        <f>X299+Y299</f>
        <v>0</v>
      </c>
      <c r="Z300" s="697"/>
      <c r="AA300" s="697"/>
      <c r="AB300" s="697"/>
      <c r="AC300" s="697"/>
      <c r="AD300" s="697"/>
      <c r="AE300" s="697"/>
      <c r="AG300" s="697"/>
      <c r="AH300" s="697"/>
      <c r="AI300" s="697"/>
    </row>
    <row r="301" spans="1:35" s="620" customFormat="1" ht="18" customHeight="1" x14ac:dyDescent="0.2">
      <c r="A301" s="655" t="s">
        <v>2846</v>
      </c>
      <c r="B301" s="508">
        <v>1</v>
      </c>
      <c r="C301" s="957">
        <f>+NOMINA!C305</f>
        <v>5505183</v>
      </c>
      <c r="D301" s="958" t="str">
        <f>+NOMINA!D305</f>
        <v>Paredes Marquez Eduardo Jesus</v>
      </c>
      <c r="E301" s="955" t="s">
        <v>4622</v>
      </c>
      <c r="F301" s="959">
        <v>27081</v>
      </c>
      <c r="G301" s="955" t="s">
        <v>4620</v>
      </c>
      <c r="H301" s="960">
        <f>+NOMINA!H305</f>
        <v>44562</v>
      </c>
      <c r="I301" s="961">
        <f>+NOMINA!I305</f>
        <v>3</v>
      </c>
      <c r="J301" s="962">
        <f>+NOMINA!J305</f>
        <v>9</v>
      </c>
      <c r="K301" s="961">
        <f>+NOMINA!K305</f>
        <v>12</v>
      </c>
      <c r="L301" s="963">
        <f>+NOMINA!CA305</f>
        <v>6255</v>
      </c>
      <c r="M301" s="443" t="e">
        <f>#REF!+#REF!-#REF!</f>
        <v>#REF!</v>
      </c>
      <c r="N301" s="952" t="e">
        <f>ROUND((#REF!+#REF!+#REF!+#REF!+#REF!+#REF!+#REF!+#REF!),2)</f>
        <v>#REF!</v>
      </c>
      <c r="Q301" s="620" t="e">
        <f>SUM(#REF!)</f>
        <v>#REF!</v>
      </c>
      <c r="R301" s="953" t="e">
        <f>#REF!+#REF!-#REF!</f>
        <v>#REF!</v>
      </c>
      <c r="S301" s="954">
        <v>200</v>
      </c>
      <c r="T301" s="953" t="e">
        <f>#REF!+#REF!</f>
        <v>#REF!</v>
      </c>
      <c r="U301" s="954" t="e">
        <f>#REF!</f>
        <v>#REF!</v>
      </c>
      <c r="V301" s="955">
        <v>0</v>
      </c>
      <c r="W301" s="954" t="e">
        <f>#REF!</f>
        <v>#REF!</v>
      </c>
      <c r="X301" s="956" t="e">
        <f>#REF!+#REF!</f>
        <v>#REF!</v>
      </c>
      <c r="Y301" s="956" t="e">
        <f>#REF!+#REF!</f>
        <v>#REF!</v>
      </c>
      <c r="Z301" s="956"/>
      <c r="AA301" s="954" t="e">
        <f>#REF!</f>
        <v>#REF!</v>
      </c>
      <c r="AB301" s="954" t="e">
        <f t="shared" ref="AB301:AB361" si="16">SUM(T301:AA301)</f>
        <v>#REF!</v>
      </c>
      <c r="AC301" s="954" t="e">
        <f>#REF!+#REF!</f>
        <v>#REF!</v>
      </c>
      <c r="AD301" s="954">
        <f t="shared" ref="AD301:AD365" si="17">L301</f>
        <v>6255</v>
      </c>
      <c r="AE301" s="625"/>
    </row>
    <row r="302" spans="1:35" s="620" customFormat="1" ht="18" customHeight="1" x14ac:dyDescent="0.2">
      <c r="A302" s="655" t="s">
        <v>2846</v>
      </c>
      <c r="B302" s="508">
        <f t="shared" ref="B302:B366" si="18">+B301+1</f>
        <v>2</v>
      </c>
      <c r="C302" s="957">
        <f>+NOMINA!C306</f>
        <v>5757455</v>
      </c>
      <c r="D302" s="958" t="str">
        <f>+NOMINA!D306</f>
        <v>Ramirez Garcia Maria Perpetua</v>
      </c>
      <c r="E302" s="955" t="s">
        <v>4622</v>
      </c>
      <c r="F302" s="959">
        <v>27081</v>
      </c>
      <c r="G302" s="955" t="s">
        <v>4620</v>
      </c>
      <c r="H302" s="960">
        <f>+NOMINA!H306</f>
        <v>39409</v>
      </c>
      <c r="I302" s="961">
        <f>+NOMINA!I306</f>
        <v>17</v>
      </c>
      <c r="J302" s="962">
        <f>+NOMINA!J306</f>
        <v>0</v>
      </c>
      <c r="K302" s="961">
        <f>+NOMINA!K306</f>
        <v>17</v>
      </c>
      <c r="L302" s="963">
        <f>+NOMINA!CA306</f>
        <v>6255</v>
      </c>
      <c r="M302" s="443" t="e">
        <f>#REF!+#REF!-#REF!</f>
        <v>#REF!</v>
      </c>
      <c r="N302" s="952" t="e">
        <f>ROUND((#REF!+#REF!+#REF!+#REF!+#REF!+#REF!+#REF!+#REF!),2)</f>
        <v>#REF!</v>
      </c>
      <c r="Q302" s="620" t="e">
        <f>SUM(#REF!)</f>
        <v>#REF!</v>
      </c>
      <c r="R302" s="953" t="e">
        <f>#REF!+#REF!-#REF!</f>
        <v>#REF!</v>
      </c>
      <c r="S302" s="954">
        <v>200</v>
      </c>
      <c r="T302" s="953" t="e">
        <f>#REF!+#REF!</f>
        <v>#REF!</v>
      </c>
      <c r="U302" s="954" t="e">
        <f>#REF!</f>
        <v>#REF!</v>
      </c>
      <c r="V302" s="955">
        <v>0</v>
      </c>
      <c r="W302" s="954" t="e">
        <f>#REF!</f>
        <v>#REF!</v>
      </c>
      <c r="X302" s="956" t="e">
        <f>#REF!+#REF!</f>
        <v>#REF!</v>
      </c>
      <c r="Y302" s="956" t="e">
        <f>#REF!+#REF!</f>
        <v>#REF!</v>
      </c>
      <c r="Z302" s="956"/>
      <c r="AA302" s="954" t="e">
        <f>#REF!</f>
        <v>#REF!</v>
      </c>
      <c r="AB302" s="954" t="e">
        <f t="shared" si="16"/>
        <v>#REF!</v>
      </c>
      <c r="AC302" s="954" t="e">
        <f>#REF!+#REF!</f>
        <v>#REF!</v>
      </c>
      <c r="AD302" s="954">
        <f t="shared" si="17"/>
        <v>6255</v>
      </c>
      <c r="AE302" s="625"/>
    </row>
    <row r="303" spans="1:35" s="620" customFormat="1" ht="18" customHeight="1" x14ac:dyDescent="0.2">
      <c r="A303" s="655" t="s">
        <v>2846</v>
      </c>
      <c r="B303" s="508">
        <f t="shared" si="18"/>
        <v>3</v>
      </c>
      <c r="C303" s="957">
        <f>+NOMINA!C307</f>
        <v>5762185</v>
      </c>
      <c r="D303" s="958" t="str">
        <f>+NOMINA!D307</f>
        <v>Salas Quintero Jose Gregorio</v>
      </c>
      <c r="E303" s="955" t="s">
        <v>4622</v>
      </c>
      <c r="F303" s="959">
        <v>27081</v>
      </c>
      <c r="G303" s="955" t="s">
        <v>4620</v>
      </c>
      <c r="H303" s="960">
        <f>+NOMINA!H307</f>
        <v>37622</v>
      </c>
      <c r="I303" s="961">
        <f>+NOMINA!I307</f>
        <v>22</v>
      </c>
      <c r="J303" s="962">
        <f>+NOMINA!J307</f>
        <v>0</v>
      </c>
      <c r="K303" s="961">
        <f>+NOMINA!K307</f>
        <v>22</v>
      </c>
      <c r="L303" s="963">
        <f>+NOMINA!CA307</f>
        <v>6255</v>
      </c>
      <c r="M303" s="443" t="e">
        <f>#REF!+#REF!-#REF!</f>
        <v>#REF!</v>
      </c>
      <c r="N303" s="952" t="e">
        <f>ROUND((#REF!+#REF!+#REF!+#REF!+#REF!+#REF!+#REF!+#REF!),2)</f>
        <v>#REF!</v>
      </c>
      <c r="Q303" s="620" t="e">
        <f>SUM(#REF!)</f>
        <v>#REF!</v>
      </c>
      <c r="R303" s="953" t="e">
        <f>#REF!+#REF!-#REF!</f>
        <v>#REF!</v>
      </c>
      <c r="S303" s="954">
        <v>200</v>
      </c>
      <c r="T303" s="953" t="e">
        <f>#REF!+#REF!</f>
        <v>#REF!</v>
      </c>
      <c r="U303" s="954" t="e">
        <f>#REF!</f>
        <v>#REF!</v>
      </c>
      <c r="V303" s="955">
        <v>0</v>
      </c>
      <c r="W303" s="954" t="e">
        <f>#REF!</f>
        <v>#REF!</v>
      </c>
      <c r="X303" s="956" t="e">
        <f>#REF!+#REF!</f>
        <v>#REF!</v>
      </c>
      <c r="Y303" s="956" t="e">
        <f>#REF!+#REF!</f>
        <v>#REF!</v>
      </c>
      <c r="Z303" s="956"/>
      <c r="AA303" s="954" t="e">
        <f>#REF!</f>
        <v>#REF!</v>
      </c>
      <c r="AB303" s="954" t="e">
        <f t="shared" si="16"/>
        <v>#REF!</v>
      </c>
      <c r="AC303" s="954" t="e">
        <f>#REF!+#REF!</f>
        <v>#REF!</v>
      </c>
      <c r="AD303" s="954">
        <f t="shared" si="17"/>
        <v>6255</v>
      </c>
      <c r="AE303" s="625"/>
    </row>
    <row r="304" spans="1:35" s="620" customFormat="1" ht="18" customHeight="1" x14ac:dyDescent="0.2">
      <c r="A304" s="655" t="s">
        <v>2846</v>
      </c>
      <c r="B304" s="508">
        <f t="shared" si="18"/>
        <v>4</v>
      </c>
      <c r="C304" s="957">
        <f>+NOMINA!C308</f>
        <v>6332524</v>
      </c>
      <c r="D304" s="958" t="str">
        <f>+NOMINA!D308</f>
        <v>Flores Diana Yamilet</v>
      </c>
      <c r="E304" s="955" t="s">
        <v>4622</v>
      </c>
      <c r="F304" s="959">
        <v>27081</v>
      </c>
      <c r="G304" s="955" t="s">
        <v>4620</v>
      </c>
      <c r="H304" s="960">
        <f>+NOMINA!H308</f>
        <v>42948</v>
      </c>
      <c r="I304" s="961">
        <f>+NOMINA!I308</f>
        <v>8</v>
      </c>
      <c r="J304" s="962">
        <f>+NOMINA!J308</f>
        <v>0</v>
      </c>
      <c r="K304" s="961">
        <f>+NOMINA!K308</f>
        <v>8</v>
      </c>
      <c r="L304" s="963">
        <f>+NOMINA!CA308</f>
        <v>6255</v>
      </c>
      <c r="M304" s="443" t="e">
        <f>#REF!+#REF!-#REF!</f>
        <v>#REF!</v>
      </c>
      <c r="N304" s="952" t="e">
        <f>ROUND((#REF!+#REF!+#REF!+#REF!+#REF!+#REF!+#REF!+#REF!),2)</f>
        <v>#REF!</v>
      </c>
      <c r="Q304" s="620" t="e">
        <f>SUM(#REF!)</f>
        <v>#REF!</v>
      </c>
      <c r="R304" s="953" t="e">
        <f>#REF!+#REF!-#REF!</f>
        <v>#REF!</v>
      </c>
      <c r="S304" s="954">
        <v>200</v>
      </c>
      <c r="T304" s="953" t="e">
        <f>#REF!+#REF!</f>
        <v>#REF!</v>
      </c>
      <c r="U304" s="954" t="e">
        <f>#REF!</f>
        <v>#REF!</v>
      </c>
      <c r="V304" s="955">
        <v>0</v>
      </c>
      <c r="W304" s="954" t="e">
        <f>#REF!</f>
        <v>#REF!</v>
      </c>
      <c r="X304" s="956" t="e">
        <f>#REF!+#REF!</f>
        <v>#REF!</v>
      </c>
      <c r="Y304" s="956" t="e">
        <f>#REF!+#REF!</f>
        <v>#REF!</v>
      </c>
      <c r="Z304" s="956"/>
      <c r="AA304" s="954" t="e">
        <f>#REF!</f>
        <v>#REF!</v>
      </c>
      <c r="AB304" s="954" t="e">
        <f t="shared" si="16"/>
        <v>#REF!</v>
      </c>
      <c r="AC304" s="954" t="e">
        <f>#REF!+#REF!</f>
        <v>#REF!</v>
      </c>
      <c r="AD304" s="954">
        <f t="shared" si="17"/>
        <v>6255</v>
      </c>
      <c r="AE304" s="625"/>
    </row>
    <row r="305" spans="1:31" s="620" customFormat="1" ht="18" customHeight="1" x14ac:dyDescent="0.2">
      <c r="A305" s="655" t="s">
        <v>2846</v>
      </c>
      <c r="B305" s="508">
        <f t="shared" si="18"/>
        <v>5</v>
      </c>
      <c r="C305" s="957">
        <f>+NOMINA!C309</f>
        <v>6902701</v>
      </c>
      <c r="D305" s="958" t="str">
        <f>+NOMINA!D309</f>
        <v>Santiago Torres Jose Ramon</v>
      </c>
      <c r="E305" s="955" t="s">
        <v>4622</v>
      </c>
      <c r="F305" s="959">
        <v>27081</v>
      </c>
      <c r="G305" s="955" t="s">
        <v>4620</v>
      </c>
      <c r="H305" s="960">
        <f>+NOMINA!H309</f>
        <v>44228</v>
      </c>
      <c r="I305" s="961">
        <f>+NOMINA!I309</f>
        <v>4</v>
      </c>
      <c r="J305" s="962">
        <f>+NOMINA!J309</f>
        <v>0</v>
      </c>
      <c r="K305" s="961">
        <f>+NOMINA!K309</f>
        <v>4</v>
      </c>
      <c r="L305" s="963">
        <f>+NOMINA!CA309</f>
        <v>6255</v>
      </c>
      <c r="M305" s="443" t="e">
        <f>#REF!+#REF!-#REF!</f>
        <v>#REF!</v>
      </c>
      <c r="N305" s="952" t="e">
        <f>ROUND((#REF!+#REF!+#REF!+#REF!+#REF!+#REF!+#REF!+#REF!),2)</f>
        <v>#REF!</v>
      </c>
      <c r="Q305" s="620" t="e">
        <f>SUM(#REF!)</f>
        <v>#REF!</v>
      </c>
      <c r="R305" s="953" t="e">
        <f>#REF!+#REF!-#REF!</f>
        <v>#REF!</v>
      </c>
      <c r="S305" s="954">
        <v>200</v>
      </c>
      <c r="T305" s="953" t="e">
        <f>#REF!+#REF!</f>
        <v>#REF!</v>
      </c>
      <c r="U305" s="954" t="e">
        <f>#REF!</f>
        <v>#REF!</v>
      </c>
      <c r="V305" s="955">
        <v>0</v>
      </c>
      <c r="W305" s="954" t="e">
        <f>#REF!</f>
        <v>#REF!</v>
      </c>
      <c r="X305" s="956" t="e">
        <f>#REF!+#REF!</f>
        <v>#REF!</v>
      </c>
      <c r="Y305" s="956" t="e">
        <f>#REF!+#REF!</f>
        <v>#REF!</v>
      </c>
      <c r="Z305" s="956"/>
      <c r="AA305" s="954" t="e">
        <f>#REF!</f>
        <v>#REF!</v>
      </c>
      <c r="AB305" s="954" t="e">
        <f t="shared" si="16"/>
        <v>#REF!</v>
      </c>
      <c r="AC305" s="954" t="e">
        <f>#REF!+#REF!</f>
        <v>#REF!</v>
      </c>
      <c r="AD305" s="954">
        <f t="shared" si="17"/>
        <v>6255</v>
      </c>
      <c r="AE305" s="625"/>
    </row>
    <row r="306" spans="1:31" s="620" customFormat="1" ht="18" customHeight="1" x14ac:dyDescent="0.2">
      <c r="A306" s="655" t="s">
        <v>2846</v>
      </c>
      <c r="B306" s="508">
        <f t="shared" si="18"/>
        <v>6</v>
      </c>
      <c r="C306" s="957">
        <f>+NOMINA!C310</f>
        <v>7252065</v>
      </c>
      <c r="D306" s="958" t="str">
        <f>+NOMINA!D310</f>
        <v>Rivas Rivas Jose Gerardo</v>
      </c>
      <c r="E306" s="955" t="s">
        <v>4622</v>
      </c>
      <c r="F306" s="959">
        <v>27081</v>
      </c>
      <c r="G306" s="955" t="s">
        <v>4620</v>
      </c>
      <c r="H306" s="960">
        <f>+NOMINA!H310</f>
        <v>43891</v>
      </c>
      <c r="I306" s="961">
        <f>+NOMINA!I310</f>
        <v>5</v>
      </c>
      <c r="J306" s="962">
        <f>+NOMINA!J310</f>
        <v>0</v>
      </c>
      <c r="K306" s="961">
        <f>+NOMINA!K310</f>
        <v>5</v>
      </c>
      <c r="L306" s="963">
        <f>+NOMINA!CA310</f>
        <v>6255</v>
      </c>
      <c r="M306" s="443" t="e">
        <f>#REF!+#REF!-#REF!</f>
        <v>#REF!</v>
      </c>
      <c r="N306" s="952" t="e">
        <f>ROUND((#REF!+#REF!+#REF!+#REF!+#REF!+#REF!+#REF!+#REF!),2)</f>
        <v>#REF!</v>
      </c>
      <c r="Q306" s="620" t="e">
        <f>SUM(#REF!)</f>
        <v>#REF!</v>
      </c>
      <c r="R306" s="953" t="e">
        <f>#REF!+#REF!-#REF!</f>
        <v>#REF!</v>
      </c>
      <c r="S306" s="954">
        <v>200</v>
      </c>
      <c r="T306" s="953" t="e">
        <f>#REF!+#REF!</f>
        <v>#REF!</v>
      </c>
      <c r="U306" s="954" t="e">
        <f>#REF!</f>
        <v>#REF!</v>
      </c>
      <c r="V306" s="955">
        <v>0</v>
      </c>
      <c r="W306" s="954" t="e">
        <f>#REF!</f>
        <v>#REF!</v>
      </c>
      <c r="X306" s="956" t="e">
        <f>#REF!+#REF!</f>
        <v>#REF!</v>
      </c>
      <c r="Y306" s="956" t="e">
        <f>#REF!+#REF!</f>
        <v>#REF!</v>
      </c>
      <c r="Z306" s="956"/>
      <c r="AA306" s="954" t="e">
        <f>#REF!</f>
        <v>#REF!</v>
      </c>
      <c r="AB306" s="954" t="e">
        <f t="shared" si="16"/>
        <v>#REF!</v>
      </c>
      <c r="AC306" s="954" t="e">
        <f>#REF!+#REF!</f>
        <v>#REF!</v>
      </c>
      <c r="AD306" s="954">
        <f t="shared" si="17"/>
        <v>6255</v>
      </c>
      <c r="AE306" s="625"/>
    </row>
    <row r="307" spans="1:31" s="620" customFormat="1" ht="18" customHeight="1" x14ac:dyDescent="0.2">
      <c r="A307" s="655" t="s">
        <v>2846</v>
      </c>
      <c r="B307" s="508">
        <f t="shared" si="18"/>
        <v>7</v>
      </c>
      <c r="C307" s="957">
        <f>+NOMINA!C311</f>
        <v>9008311</v>
      </c>
      <c r="D307" s="958" t="str">
        <f>+NOMINA!D311</f>
        <v>Toro Margi Enrique</v>
      </c>
      <c r="E307" s="955" t="s">
        <v>4622</v>
      </c>
      <c r="F307" s="959">
        <v>27081</v>
      </c>
      <c r="G307" s="955" t="s">
        <v>4620</v>
      </c>
      <c r="H307" s="960">
        <f>+NOMINA!H311</f>
        <v>39265</v>
      </c>
      <c r="I307" s="961">
        <f>+NOMINA!I311</f>
        <v>18</v>
      </c>
      <c r="J307" s="962">
        <f>+NOMINA!J311</f>
        <v>0</v>
      </c>
      <c r="K307" s="961">
        <f>+NOMINA!K311</f>
        <v>18</v>
      </c>
      <c r="L307" s="963">
        <f>+NOMINA!CA311</f>
        <v>6255</v>
      </c>
      <c r="M307" s="443" t="e">
        <f>#REF!+#REF!-#REF!</f>
        <v>#REF!</v>
      </c>
      <c r="N307" s="952" t="e">
        <f>ROUND((#REF!+#REF!+#REF!+#REF!+#REF!+#REF!+#REF!+#REF!),2)</f>
        <v>#REF!</v>
      </c>
      <c r="Q307" s="620" t="e">
        <f>SUM(#REF!)</f>
        <v>#REF!</v>
      </c>
      <c r="R307" s="953" t="e">
        <f>#REF!+#REF!-#REF!</f>
        <v>#REF!</v>
      </c>
      <c r="S307" s="954">
        <v>200</v>
      </c>
      <c r="T307" s="953" t="e">
        <f>#REF!+#REF!</f>
        <v>#REF!</v>
      </c>
      <c r="U307" s="954" t="e">
        <f>#REF!</f>
        <v>#REF!</v>
      </c>
      <c r="V307" s="955">
        <v>0</v>
      </c>
      <c r="W307" s="954" t="e">
        <f>#REF!</f>
        <v>#REF!</v>
      </c>
      <c r="X307" s="956" t="e">
        <f>#REF!+#REF!</f>
        <v>#REF!</v>
      </c>
      <c r="Y307" s="956" t="e">
        <f>#REF!+#REF!</f>
        <v>#REF!</v>
      </c>
      <c r="Z307" s="956"/>
      <c r="AA307" s="954" t="e">
        <f>#REF!</f>
        <v>#REF!</v>
      </c>
      <c r="AB307" s="954" t="e">
        <f t="shared" si="16"/>
        <v>#REF!</v>
      </c>
      <c r="AC307" s="954" t="e">
        <f>#REF!+#REF!</f>
        <v>#REF!</v>
      </c>
      <c r="AD307" s="954">
        <f t="shared" si="17"/>
        <v>6255</v>
      </c>
      <c r="AE307" s="625"/>
    </row>
    <row r="308" spans="1:31" s="620" customFormat="1" ht="18" customHeight="1" x14ac:dyDescent="0.2">
      <c r="A308" s="655" t="s">
        <v>2846</v>
      </c>
      <c r="B308" s="508">
        <f t="shared" si="18"/>
        <v>8</v>
      </c>
      <c r="C308" s="957">
        <f>+NOMINA!C312</f>
        <v>9011963</v>
      </c>
      <c r="D308" s="958" t="str">
        <f>+NOMINA!D312</f>
        <v>Alarcon Argenio</v>
      </c>
      <c r="E308" s="955" t="s">
        <v>4622</v>
      </c>
      <c r="F308" s="959">
        <v>27081</v>
      </c>
      <c r="G308" s="955" t="s">
        <v>4620</v>
      </c>
      <c r="H308" s="960">
        <f>+NOMINA!H312</f>
        <v>39820</v>
      </c>
      <c r="I308" s="961">
        <f>+NOMINA!I312</f>
        <v>16</v>
      </c>
      <c r="J308" s="962">
        <f>+NOMINA!J312</f>
        <v>0</v>
      </c>
      <c r="K308" s="961">
        <f>+NOMINA!K312</f>
        <v>16</v>
      </c>
      <c r="L308" s="963">
        <f>+NOMINA!CA312</f>
        <v>6255</v>
      </c>
      <c r="M308" s="443" t="e">
        <f>#REF!+#REF!-#REF!</f>
        <v>#REF!</v>
      </c>
      <c r="N308" s="952" t="e">
        <f>ROUND((#REF!+#REF!+#REF!+#REF!+#REF!+#REF!+#REF!+#REF!),2)</f>
        <v>#REF!</v>
      </c>
      <c r="Q308" s="620" t="e">
        <f>SUM(#REF!)</f>
        <v>#REF!</v>
      </c>
      <c r="R308" s="953" t="e">
        <f>#REF!+#REF!-#REF!</f>
        <v>#REF!</v>
      </c>
      <c r="S308" s="954">
        <v>200</v>
      </c>
      <c r="T308" s="953" t="e">
        <f>#REF!+#REF!</f>
        <v>#REF!</v>
      </c>
      <c r="U308" s="954" t="e">
        <f>#REF!</f>
        <v>#REF!</v>
      </c>
      <c r="V308" s="955">
        <v>0</v>
      </c>
      <c r="W308" s="954" t="e">
        <f>#REF!</f>
        <v>#REF!</v>
      </c>
      <c r="X308" s="956" t="e">
        <f>#REF!+#REF!</f>
        <v>#REF!</v>
      </c>
      <c r="Y308" s="956" t="e">
        <f>#REF!+#REF!</f>
        <v>#REF!</v>
      </c>
      <c r="Z308" s="956"/>
      <c r="AA308" s="954" t="e">
        <f>#REF!</f>
        <v>#REF!</v>
      </c>
      <c r="AB308" s="954" t="e">
        <f t="shared" si="16"/>
        <v>#REF!</v>
      </c>
      <c r="AC308" s="954" t="e">
        <f>#REF!+#REF!</f>
        <v>#REF!</v>
      </c>
      <c r="AD308" s="954">
        <f t="shared" si="17"/>
        <v>6255</v>
      </c>
      <c r="AE308" s="625"/>
    </row>
    <row r="309" spans="1:31" s="620" customFormat="1" ht="18" customHeight="1" x14ac:dyDescent="0.2">
      <c r="A309" s="655" t="s">
        <v>2846</v>
      </c>
      <c r="B309" s="508">
        <f t="shared" si="18"/>
        <v>9</v>
      </c>
      <c r="C309" s="957">
        <f>+NOMINA!C313</f>
        <v>9100500</v>
      </c>
      <c r="D309" s="958" t="str">
        <f>+NOMINA!D313</f>
        <v>Hernandez de Villegas Zoraida Elodia</v>
      </c>
      <c r="E309" s="955" t="s">
        <v>4622</v>
      </c>
      <c r="F309" s="959">
        <v>27081</v>
      </c>
      <c r="G309" s="955" t="s">
        <v>4620</v>
      </c>
      <c r="H309" s="960">
        <f>+NOMINA!H313</f>
        <v>39496</v>
      </c>
      <c r="I309" s="961">
        <f>+NOMINA!I313</f>
        <v>17</v>
      </c>
      <c r="J309" s="962">
        <f>+NOMINA!J313</f>
        <v>0</v>
      </c>
      <c r="K309" s="961">
        <f>+NOMINA!K313</f>
        <v>17</v>
      </c>
      <c r="L309" s="963">
        <f>+NOMINA!CA313</f>
        <v>6255</v>
      </c>
      <c r="M309" s="443" t="e">
        <f>#REF!+#REF!-#REF!</f>
        <v>#REF!</v>
      </c>
      <c r="N309" s="952" t="e">
        <f>ROUND((#REF!+#REF!+#REF!+#REF!+#REF!+#REF!+#REF!+#REF!),2)</f>
        <v>#REF!</v>
      </c>
      <c r="Q309" s="620" t="e">
        <f>SUM(#REF!)</f>
        <v>#REF!</v>
      </c>
      <c r="R309" s="953" t="e">
        <f>#REF!+#REF!-#REF!</f>
        <v>#REF!</v>
      </c>
      <c r="S309" s="954">
        <v>200</v>
      </c>
      <c r="T309" s="953" t="e">
        <f>#REF!+#REF!</f>
        <v>#REF!</v>
      </c>
      <c r="U309" s="954" t="e">
        <f>#REF!</f>
        <v>#REF!</v>
      </c>
      <c r="V309" s="955">
        <v>0</v>
      </c>
      <c r="W309" s="954" t="e">
        <f>#REF!</f>
        <v>#REF!</v>
      </c>
      <c r="X309" s="956" t="e">
        <f>#REF!+#REF!</f>
        <v>#REF!</v>
      </c>
      <c r="Y309" s="956" t="e">
        <f>#REF!+#REF!</f>
        <v>#REF!</v>
      </c>
      <c r="Z309" s="956"/>
      <c r="AA309" s="954" t="e">
        <f>#REF!</f>
        <v>#REF!</v>
      </c>
      <c r="AB309" s="954" t="e">
        <f t="shared" si="16"/>
        <v>#REF!</v>
      </c>
      <c r="AC309" s="954" t="e">
        <f>#REF!+#REF!</f>
        <v>#REF!</v>
      </c>
      <c r="AD309" s="954">
        <f t="shared" si="17"/>
        <v>6255</v>
      </c>
      <c r="AE309" s="625"/>
    </row>
    <row r="310" spans="1:31" s="620" customFormat="1" ht="18" customHeight="1" x14ac:dyDescent="0.2">
      <c r="A310" s="655" t="s">
        <v>2846</v>
      </c>
      <c r="B310" s="508">
        <f t="shared" si="18"/>
        <v>10</v>
      </c>
      <c r="C310" s="957">
        <f>+NOMINA!C314</f>
        <v>9110498</v>
      </c>
      <c r="D310" s="958" t="str">
        <f>+NOMINA!D314</f>
        <v>Ruiz Alberto Jose</v>
      </c>
      <c r="E310" s="955" t="s">
        <v>4622</v>
      </c>
      <c r="F310" s="959">
        <v>27081</v>
      </c>
      <c r="G310" s="955" t="s">
        <v>4620</v>
      </c>
      <c r="H310" s="960">
        <f>+NOMINA!H314</f>
        <v>37508</v>
      </c>
      <c r="I310" s="961">
        <f>+NOMINA!I314</f>
        <v>23</v>
      </c>
      <c r="J310" s="962">
        <f>+NOMINA!J314</f>
        <v>0</v>
      </c>
      <c r="K310" s="961">
        <f>+NOMINA!K314</f>
        <v>23</v>
      </c>
      <c r="L310" s="963">
        <f>+NOMINA!CA314</f>
        <v>6255</v>
      </c>
      <c r="M310" s="443" t="e">
        <f>#REF!+#REF!-#REF!</f>
        <v>#REF!</v>
      </c>
      <c r="N310" s="952" t="e">
        <f>ROUND((#REF!+#REF!+#REF!+#REF!+#REF!+#REF!+#REF!+#REF!),2)</f>
        <v>#REF!</v>
      </c>
      <c r="Q310" s="620" t="e">
        <f>SUM(#REF!)</f>
        <v>#REF!</v>
      </c>
      <c r="R310" s="953" t="e">
        <f>#REF!+#REF!-#REF!</f>
        <v>#REF!</v>
      </c>
      <c r="S310" s="954">
        <v>200</v>
      </c>
      <c r="T310" s="953" t="e">
        <f>#REF!+#REF!</f>
        <v>#REF!</v>
      </c>
      <c r="U310" s="954" t="e">
        <f>#REF!</f>
        <v>#REF!</v>
      </c>
      <c r="V310" s="955">
        <v>0</v>
      </c>
      <c r="W310" s="954" t="e">
        <f>#REF!</f>
        <v>#REF!</v>
      </c>
      <c r="X310" s="956" t="e">
        <f>#REF!+#REF!</f>
        <v>#REF!</v>
      </c>
      <c r="Y310" s="956" t="e">
        <f>#REF!+#REF!</f>
        <v>#REF!</v>
      </c>
      <c r="Z310" s="956"/>
      <c r="AA310" s="954" t="e">
        <f>#REF!</f>
        <v>#REF!</v>
      </c>
      <c r="AB310" s="954" t="e">
        <f t="shared" si="16"/>
        <v>#REF!</v>
      </c>
      <c r="AC310" s="954" t="e">
        <f>#REF!+#REF!</f>
        <v>#REF!</v>
      </c>
      <c r="AD310" s="954">
        <f t="shared" si="17"/>
        <v>6255</v>
      </c>
      <c r="AE310" s="625"/>
    </row>
    <row r="311" spans="1:31" s="620" customFormat="1" ht="18" customHeight="1" x14ac:dyDescent="0.2">
      <c r="A311" s="655" t="s">
        <v>2846</v>
      </c>
      <c r="B311" s="508">
        <f t="shared" si="18"/>
        <v>11</v>
      </c>
      <c r="C311" s="957">
        <f>+NOMINA!C315</f>
        <v>9163994</v>
      </c>
      <c r="D311" s="958" t="str">
        <f>+NOMINA!D315</f>
        <v>Rodriguez Fernandez Carlos Eduardo</v>
      </c>
      <c r="E311" s="955" t="s">
        <v>4622</v>
      </c>
      <c r="F311" s="959">
        <v>27081</v>
      </c>
      <c r="G311" s="955" t="s">
        <v>4620</v>
      </c>
      <c r="H311" s="960">
        <f>+NOMINA!H315</f>
        <v>43770</v>
      </c>
      <c r="I311" s="961">
        <f>+NOMINA!I315</f>
        <v>5</v>
      </c>
      <c r="J311" s="962">
        <f>+NOMINA!J315</f>
        <v>0</v>
      </c>
      <c r="K311" s="961">
        <f>+NOMINA!K315</f>
        <v>5</v>
      </c>
      <c r="L311" s="963">
        <f>+NOMINA!CA315</f>
        <v>6255</v>
      </c>
      <c r="M311" s="443" t="e">
        <f>#REF!+#REF!-#REF!</f>
        <v>#REF!</v>
      </c>
      <c r="N311" s="952" t="e">
        <f>ROUND((#REF!+#REF!+#REF!+#REF!+#REF!+#REF!+#REF!+#REF!),2)</f>
        <v>#REF!</v>
      </c>
      <c r="Q311" s="620" t="e">
        <f>SUM(#REF!)</f>
        <v>#REF!</v>
      </c>
      <c r="R311" s="953" t="e">
        <f>#REF!+#REF!-#REF!</f>
        <v>#REF!</v>
      </c>
      <c r="S311" s="954">
        <v>200</v>
      </c>
      <c r="T311" s="953" t="e">
        <f>#REF!+#REF!</f>
        <v>#REF!</v>
      </c>
      <c r="U311" s="954" t="e">
        <f>#REF!</f>
        <v>#REF!</v>
      </c>
      <c r="V311" s="955">
        <v>0</v>
      </c>
      <c r="W311" s="954" t="e">
        <f>#REF!</f>
        <v>#REF!</v>
      </c>
      <c r="X311" s="956" t="e">
        <f>#REF!+#REF!</f>
        <v>#REF!</v>
      </c>
      <c r="Y311" s="956" t="e">
        <f>#REF!+#REF!</f>
        <v>#REF!</v>
      </c>
      <c r="Z311" s="956"/>
      <c r="AA311" s="954" t="e">
        <f>#REF!</f>
        <v>#REF!</v>
      </c>
      <c r="AB311" s="954" t="e">
        <f t="shared" si="16"/>
        <v>#REF!</v>
      </c>
      <c r="AC311" s="954" t="e">
        <f>#REF!+#REF!</f>
        <v>#REF!</v>
      </c>
      <c r="AD311" s="954">
        <f t="shared" si="17"/>
        <v>6255</v>
      </c>
      <c r="AE311" s="625"/>
    </row>
    <row r="312" spans="1:31" s="620" customFormat="1" ht="18" customHeight="1" x14ac:dyDescent="0.2">
      <c r="A312" s="655" t="s">
        <v>2846</v>
      </c>
      <c r="B312" s="508">
        <f t="shared" si="18"/>
        <v>12</v>
      </c>
      <c r="C312" s="957">
        <f>+NOMINA!C316</f>
        <v>9167342</v>
      </c>
      <c r="D312" s="958" t="str">
        <f>+NOMINA!D316</f>
        <v>Gutierrez Briceño Jose Justimiano</v>
      </c>
      <c r="E312" s="955" t="s">
        <v>4622</v>
      </c>
      <c r="F312" s="959">
        <v>27081</v>
      </c>
      <c r="G312" s="955" t="s">
        <v>4620</v>
      </c>
      <c r="H312" s="960">
        <f>+NOMINA!H316</f>
        <v>43845</v>
      </c>
      <c r="I312" s="961">
        <f>+NOMINA!I316</f>
        <v>5</v>
      </c>
      <c r="J312" s="962">
        <f>+NOMINA!J316</f>
        <v>0</v>
      </c>
      <c r="K312" s="961">
        <f>+NOMINA!K316</f>
        <v>5</v>
      </c>
      <c r="L312" s="963">
        <f>+NOMINA!CA316</f>
        <v>6255</v>
      </c>
      <c r="M312" s="443" t="e">
        <f>#REF!+#REF!-#REF!</f>
        <v>#REF!</v>
      </c>
      <c r="N312" s="952" t="e">
        <f>ROUND((#REF!+#REF!+#REF!+#REF!+#REF!+#REF!+#REF!+#REF!),2)</f>
        <v>#REF!</v>
      </c>
      <c r="Q312" s="620" t="e">
        <f>SUM(#REF!)</f>
        <v>#REF!</v>
      </c>
      <c r="R312" s="953" t="e">
        <f>#REF!+#REF!-#REF!</f>
        <v>#REF!</v>
      </c>
      <c r="S312" s="954">
        <v>200</v>
      </c>
      <c r="T312" s="953" t="e">
        <f>#REF!+#REF!</f>
        <v>#REF!</v>
      </c>
      <c r="U312" s="954" t="e">
        <f>#REF!</f>
        <v>#REF!</v>
      </c>
      <c r="V312" s="955">
        <v>0</v>
      </c>
      <c r="W312" s="954" t="e">
        <f>#REF!</f>
        <v>#REF!</v>
      </c>
      <c r="X312" s="956" t="e">
        <f>#REF!+#REF!</f>
        <v>#REF!</v>
      </c>
      <c r="Y312" s="956" t="e">
        <f>#REF!+#REF!</f>
        <v>#REF!</v>
      </c>
      <c r="Z312" s="956"/>
      <c r="AA312" s="954" t="e">
        <f>#REF!</f>
        <v>#REF!</v>
      </c>
      <c r="AB312" s="954" t="e">
        <f t="shared" si="16"/>
        <v>#REF!</v>
      </c>
      <c r="AC312" s="954" t="e">
        <f>#REF!+#REF!</f>
        <v>#REF!</v>
      </c>
      <c r="AD312" s="954">
        <f t="shared" si="17"/>
        <v>6255</v>
      </c>
      <c r="AE312" s="625"/>
    </row>
    <row r="313" spans="1:31" s="620" customFormat="1" ht="18" customHeight="1" x14ac:dyDescent="0.2">
      <c r="A313" s="655" t="s">
        <v>2846</v>
      </c>
      <c r="B313" s="508">
        <f t="shared" si="18"/>
        <v>13</v>
      </c>
      <c r="C313" s="957">
        <f>+NOMINA!C317</f>
        <v>9310477</v>
      </c>
      <c r="D313" s="958" t="str">
        <f>+NOMINA!D317</f>
        <v>Campos Muchacho Rafael Angel</v>
      </c>
      <c r="E313" s="955" t="s">
        <v>4622</v>
      </c>
      <c r="F313" s="959">
        <v>27081</v>
      </c>
      <c r="G313" s="955" t="s">
        <v>4620</v>
      </c>
      <c r="H313" s="960">
        <f>+NOMINA!H317</f>
        <v>44075</v>
      </c>
      <c r="I313" s="961">
        <f>+NOMINA!I317</f>
        <v>5</v>
      </c>
      <c r="J313" s="962">
        <f>+NOMINA!J317</f>
        <v>0</v>
      </c>
      <c r="K313" s="961">
        <f>+NOMINA!K317</f>
        <v>5</v>
      </c>
      <c r="L313" s="963">
        <f>+NOMINA!CA317</f>
        <v>6255</v>
      </c>
      <c r="M313" s="443" t="e">
        <f>#REF!+#REF!-#REF!</f>
        <v>#REF!</v>
      </c>
      <c r="N313" s="952" t="e">
        <f>ROUND((#REF!+#REF!+#REF!+#REF!+#REF!+#REF!+#REF!+#REF!),2)</f>
        <v>#REF!</v>
      </c>
      <c r="Q313" s="620" t="e">
        <f>SUM(#REF!)</f>
        <v>#REF!</v>
      </c>
      <c r="R313" s="953" t="e">
        <f>#REF!+#REF!-#REF!</f>
        <v>#REF!</v>
      </c>
      <c r="S313" s="954">
        <v>200</v>
      </c>
      <c r="T313" s="953" t="e">
        <f>#REF!+#REF!</f>
        <v>#REF!</v>
      </c>
      <c r="U313" s="954" t="e">
        <f>#REF!</f>
        <v>#REF!</v>
      </c>
      <c r="V313" s="955">
        <v>0</v>
      </c>
      <c r="W313" s="954" t="e">
        <f>#REF!</f>
        <v>#REF!</v>
      </c>
      <c r="X313" s="956" t="e">
        <f>#REF!+#REF!</f>
        <v>#REF!</v>
      </c>
      <c r="Y313" s="956" t="e">
        <f>#REF!+#REF!</f>
        <v>#REF!</v>
      </c>
      <c r="Z313" s="956"/>
      <c r="AA313" s="954" t="e">
        <f>#REF!</f>
        <v>#REF!</v>
      </c>
      <c r="AB313" s="954" t="e">
        <f t="shared" si="16"/>
        <v>#REF!</v>
      </c>
      <c r="AC313" s="954" t="e">
        <f>#REF!+#REF!</f>
        <v>#REF!</v>
      </c>
      <c r="AD313" s="954">
        <f t="shared" si="17"/>
        <v>6255</v>
      </c>
      <c r="AE313" s="625"/>
    </row>
    <row r="314" spans="1:31" s="620" customFormat="1" ht="18" customHeight="1" x14ac:dyDescent="0.2">
      <c r="A314" s="655" t="s">
        <v>2846</v>
      </c>
      <c r="B314" s="508">
        <f t="shared" si="18"/>
        <v>14</v>
      </c>
      <c r="C314" s="957">
        <f>+NOMINA!C318</f>
        <v>9323739</v>
      </c>
      <c r="D314" s="958" t="str">
        <f>+NOMINA!D318</f>
        <v>Vargas Benitez Jose Nerio</v>
      </c>
      <c r="E314" s="955" t="s">
        <v>4622</v>
      </c>
      <c r="F314" s="959">
        <v>27081</v>
      </c>
      <c r="G314" s="955" t="s">
        <v>4620</v>
      </c>
      <c r="H314" s="960">
        <f>+NOMINA!H318</f>
        <v>39300</v>
      </c>
      <c r="I314" s="961">
        <f>+NOMINA!I318</f>
        <v>18</v>
      </c>
      <c r="J314" s="962">
        <f>+NOMINA!J318</f>
        <v>0</v>
      </c>
      <c r="K314" s="961">
        <f>+NOMINA!K318</f>
        <v>18</v>
      </c>
      <c r="L314" s="963">
        <f>+NOMINA!CA318</f>
        <v>6255</v>
      </c>
      <c r="M314" s="443" t="e">
        <f>#REF!+#REF!-#REF!</f>
        <v>#REF!</v>
      </c>
      <c r="N314" s="952" t="e">
        <f>ROUND((#REF!+#REF!+#REF!+#REF!+#REF!+#REF!+#REF!+#REF!),2)</f>
        <v>#REF!</v>
      </c>
      <c r="Q314" s="620" t="e">
        <f>SUM(#REF!)</f>
        <v>#REF!</v>
      </c>
      <c r="R314" s="953" t="e">
        <f>#REF!+#REF!-#REF!</f>
        <v>#REF!</v>
      </c>
      <c r="S314" s="954">
        <v>200</v>
      </c>
      <c r="T314" s="953" t="e">
        <f>#REF!+#REF!</f>
        <v>#REF!</v>
      </c>
      <c r="U314" s="954" t="e">
        <f>#REF!</f>
        <v>#REF!</v>
      </c>
      <c r="V314" s="955">
        <v>0</v>
      </c>
      <c r="W314" s="954" t="e">
        <f>#REF!</f>
        <v>#REF!</v>
      </c>
      <c r="X314" s="956" t="e">
        <f>#REF!+#REF!</f>
        <v>#REF!</v>
      </c>
      <c r="Y314" s="956" t="e">
        <f>#REF!+#REF!</f>
        <v>#REF!</v>
      </c>
      <c r="Z314" s="956"/>
      <c r="AA314" s="954" t="e">
        <f>#REF!</f>
        <v>#REF!</v>
      </c>
      <c r="AB314" s="954" t="e">
        <f t="shared" si="16"/>
        <v>#REF!</v>
      </c>
      <c r="AC314" s="954" t="e">
        <f>#REF!+#REF!</f>
        <v>#REF!</v>
      </c>
      <c r="AD314" s="954">
        <f t="shared" si="17"/>
        <v>6255</v>
      </c>
      <c r="AE314" s="625"/>
    </row>
    <row r="315" spans="1:31" s="620" customFormat="1" ht="18" customHeight="1" x14ac:dyDescent="0.2">
      <c r="A315" s="655" t="s">
        <v>2846</v>
      </c>
      <c r="B315" s="508">
        <f t="shared" si="18"/>
        <v>15</v>
      </c>
      <c r="C315" s="957">
        <f>+NOMINA!C319</f>
        <v>9325664</v>
      </c>
      <c r="D315" s="958" t="str">
        <f>+NOMINA!D319</f>
        <v>Lobo Mendoza Luz Marina</v>
      </c>
      <c r="E315" s="955" t="s">
        <v>4622</v>
      </c>
      <c r="F315" s="959">
        <v>27081</v>
      </c>
      <c r="G315" s="955" t="s">
        <v>4620</v>
      </c>
      <c r="H315" s="960">
        <f>+NOMINA!H319</f>
        <v>42948</v>
      </c>
      <c r="I315" s="961">
        <f>+NOMINA!I319</f>
        <v>8</v>
      </c>
      <c r="J315" s="962">
        <f>+NOMINA!J319</f>
        <v>0</v>
      </c>
      <c r="K315" s="961">
        <f>+NOMINA!K319</f>
        <v>8</v>
      </c>
      <c r="L315" s="963">
        <f>+NOMINA!CA319</f>
        <v>6255</v>
      </c>
      <c r="M315" s="443" t="e">
        <f>#REF!+#REF!-#REF!</f>
        <v>#REF!</v>
      </c>
      <c r="N315" s="952" t="e">
        <f>ROUND((#REF!+#REF!+#REF!+#REF!+#REF!+#REF!+#REF!+#REF!),2)</f>
        <v>#REF!</v>
      </c>
      <c r="Q315" s="620" t="e">
        <f>SUM(#REF!)</f>
        <v>#REF!</v>
      </c>
      <c r="R315" s="953" t="e">
        <f>#REF!+#REF!-#REF!</f>
        <v>#REF!</v>
      </c>
      <c r="S315" s="954">
        <v>200</v>
      </c>
      <c r="T315" s="953" t="e">
        <f>#REF!+#REF!</f>
        <v>#REF!</v>
      </c>
      <c r="U315" s="954" t="e">
        <f>#REF!</f>
        <v>#REF!</v>
      </c>
      <c r="V315" s="955">
        <v>0</v>
      </c>
      <c r="W315" s="954" t="e">
        <f>#REF!</f>
        <v>#REF!</v>
      </c>
      <c r="X315" s="956" t="e">
        <f>#REF!+#REF!</f>
        <v>#REF!</v>
      </c>
      <c r="Y315" s="956" t="e">
        <f>#REF!+#REF!</f>
        <v>#REF!</v>
      </c>
      <c r="Z315" s="956"/>
      <c r="AA315" s="954" t="e">
        <f>#REF!</f>
        <v>#REF!</v>
      </c>
      <c r="AB315" s="954" t="e">
        <f t="shared" si="16"/>
        <v>#REF!</v>
      </c>
      <c r="AC315" s="954" t="e">
        <f>#REF!+#REF!</f>
        <v>#REF!</v>
      </c>
      <c r="AD315" s="954">
        <f t="shared" si="17"/>
        <v>6255</v>
      </c>
      <c r="AE315" s="625"/>
    </row>
    <row r="316" spans="1:31" s="620" customFormat="1" ht="18" customHeight="1" x14ac:dyDescent="0.2">
      <c r="A316" s="655" t="s">
        <v>2846</v>
      </c>
      <c r="B316" s="508">
        <f t="shared" si="18"/>
        <v>16</v>
      </c>
      <c r="C316" s="957">
        <f>+NOMINA!C320</f>
        <v>9328045</v>
      </c>
      <c r="D316" s="958" t="str">
        <f>+NOMINA!D320</f>
        <v>Paredes Quintero Jose Benigno</v>
      </c>
      <c r="E316" s="955" t="s">
        <v>4622</v>
      </c>
      <c r="F316" s="959">
        <v>27081</v>
      </c>
      <c r="G316" s="955" t="s">
        <v>4620</v>
      </c>
      <c r="H316" s="960">
        <f>+NOMINA!H320</f>
        <v>44212</v>
      </c>
      <c r="I316" s="961">
        <f>+NOMINA!I320</f>
        <v>4</v>
      </c>
      <c r="J316" s="962">
        <f>+NOMINA!J320</f>
        <v>0</v>
      </c>
      <c r="K316" s="961">
        <f>+NOMINA!K320</f>
        <v>4</v>
      </c>
      <c r="L316" s="963">
        <f>+NOMINA!CA320</f>
        <v>6255</v>
      </c>
      <c r="M316" s="443" t="e">
        <f>#REF!+#REF!-#REF!</f>
        <v>#REF!</v>
      </c>
      <c r="N316" s="952" t="e">
        <f>ROUND((#REF!+#REF!+#REF!+#REF!+#REF!+#REF!+#REF!+#REF!),2)</f>
        <v>#REF!</v>
      </c>
      <c r="Q316" s="620" t="e">
        <f>SUM(#REF!)</f>
        <v>#REF!</v>
      </c>
      <c r="R316" s="953" t="e">
        <f>#REF!+#REF!-#REF!</f>
        <v>#REF!</v>
      </c>
      <c r="S316" s="954">
        <v>200</v>
      </c>
      <c r="T316" s="953" t="e">
        <f>#REF!+#REF!</f>
        <v>#REF!</v>
      </c>
      <c r="U316" s="954" t="e">
        <f>#REF!</f>
        <v>#REF!</v>
      </c>
      <c r="V316" s="955">
        <v>0</v>
      </c>
      <c r="W316" s="954" t="e">
        <f>#REF!</f>
        <v>#REF!</v>
      </c>
      <c r="X316" s="956" t="e">
        <f>#REF!+#REF!</f>
        <v>#REF!</v>
      </c>
      <c r="Y316" s="956" t="e">
        <f>#REF!+#REF!</f>
        <v>#REF!</v>
      </c>
      <c r="Z316" s="956"/>
      <c r="AA316" s="954" t="e">
        <f>#REF!</f>
        <v>#REF!</v>
      </c>
      <c r="AB316" s="954" t="e">
        <f t="shared" si="16"/>
        <v>#REF!</v>
      </c>
      <c r="AC316" s="954" t="e">
        <f>#REF!+#REF!</f>
        <v>#REF!</v>
      </c>
      <c r="AD316" s="954">
        <f t="shared" si="17"/>
        <v>6255</v>
      </c>
      <c r="AE316" s="625"/>
    </row>
    <row r="317" spans="1:31" s="620" customFormat="1" ht="18" customHeight="1" x14ac:dyDescent="0.2">
      <c r="A317" s="655" t="s">
        <v>2846</v>
      </c>
      <c r="B317" s="508">
        <f t="shared" si="18"/>
        <v>17</v>
      </c>
      <c r="C317" s="957">
        <f>+NOMINA!C321</f>
        <v>10178456</v>
      </c>
      <c r="D317" s="958" t="str">
        <f>+NOMINA!D321</f>
        <v>Figueroa Roa Yudith Griselda</v>
      </c>
      <c r="E317" s="955" t="s">
        <v>4622</v>
      </c>
      <c r="F317" s="959">
        <v>27081</v>
      </c>
      <c r="G317" s="955" t="s">
        <v>4620</v>
      </c>
      <c r="H317" s="960">
        <f>+NOMINA!H321</f>
        <v>44287</v>
      </c>
      <c r="I317" s="961">
        <f>+NOMINA!I321</f>
        <v>4</v>
      </c>
      <c r="J317" s="962">
        <f>+NOMINA!J321</f>
        <v>0</v>
      </c>
      <c r="K317" s="961">
        <f>+NOMINA!K321</f>
        <v>4</v>
      </c>
      <c r="L317" s="963">
        <f>+NOMINA!CA321</f>
        <v>6255</v>
      </c>
      <c r="M317" s="443" t="e">
        <f>#REF!+#REF!-#REF!</f>
        <v>#REF!</v>
      </c>
      <c r="N317" s="952" t="e">
        <f>ROUND((#REF!+#REF!+#REF!+#REF!+#REF!+#REF!+#REF!+#REF!),2)</f>
        <v>#REF!</v>
      </c>
      <c r="Q317" s="620" t="e">
        <f>SUM(#REF!)</f>
        <v>#REF!</v>
      </c>
      <c r="R317" s="953" t="e">
        <f>#REF!+#REF!-#REF!</f>
        <v>#REF!</v>
      </c>
      <c r="S317" s="954">
        <v>200</v>
      </c>
      <c r="T317" s="953" t="e">
        <f>#REF!+#REF!</f>
        <v>#REF!</v>
      </c>
      <c r="U317" s="954" t="e">
        <f>#REF!</f>
        <v>#REF!</v>
      </c>
      <c r="V317" s="955">
        <v>0</v>
      </c>
      <c r="W317" s="954" t="e">
        <f>#REF!</f>
        <v>#REF!</v>
      </c>
      <c r="X317" s="956" t="e">
        <f>#REF!+#REF!</f>
        <v>#REF!</v>
      </c>
      <c r="Y317" s="956" t="e">
        <f>#REF!+#REF!</f>
        <v>#REF!</v>
      </c>
      <c r="Z317" s="956"/>
      <c r="AA317" s="954" t="e">
        <f>#REF!</f>
        <v>#REF!</v>
      </c>
      <c r="AB317" s="954" t="e">
        <f t="shared" si="16"/>
        <v>#REF!</v>
      </c>
      <c r="AC317" s="954" t="e">
        <f>#REF!+#REF!</f>
        <v>#REF!</v>
      </c>
      <c r="AD317" s="954">
        <f t="shared" si="17"/>
        <v>6255</v>
      </c>
      <c r="AE317" s="625"/>
    </row>
    <row r="318" spans="1:31" s="620" customFormat="1" ht="18" customHeight="1" x14ac:dyDescent="0.2">
      <c r="A318" s="655" t="s">
        <v>2846</v>
      </c>
      <c r="B318" s="508">
        <f t="shared" si="18"/>
        <v>18</v>
      </c>
      <c r="C318" s="957">
        <f>+NOMINA!C322</f>
        <v>10317435</v>
      </c>
      <c r="D318" s="958" t="str">
        <f>+NOMINA!D322</f>
        <v>Milla Ana Julia</v>
      </c>
      <c r="E318" s="955" t="s">
        <v>4622</v>
      </c>
      <c r="F318" s="959">
        <v>27081</v>
      </c>
      <c r="G318" s="955" t="s">
        <v>4620</v>
      </c>
      <c r="H318" s="960">
        <f>+NOMINA!H322</f>
        <v>39559</v>
      </c>
      <c r="I318" s="961">
        <f>+NOMINA!I322</f>
        <v>17</v>
      </c>
      <c r="J318" s="962">
        <f>+NOMINA!J322</f>
        <v>0</v>
      </c>
      <c r="K318" s="961">
        <f>+NOMINA!K322</f>
        <v>17</v>
      </c>
      <c r="L318" s="963">
        <f>+NOMINA!CA322</f>
        <v>6255</v>
      </c>
      <c r="M318" s="443" t="e">
        <f>#REF!+#REF!-#REF!</f>
        <v>#REF!</v>
      </c>
      <c r="N318" s="952" t="e">
        <f>ROUND((#REF!+#REF!+#REF!+#REF!+#REF!+#REF!+#REF!+#REF!),2)</f>
        <v>#REF!</v>
      </c>
      <c r="Q318" s="620" t="e">
        <f>SUM(#REF!)</f>
        <v>#REF!</v>
      </c>
      <c r="R318" s="953" t="e">
        <f>#REF!+#REF!-#REF!</f>
        <v>#REF!</v>
      </c>
      <c r="S318" s="954">
        <v>200</v>
      </c>
      <c r="T318" s="953" t="e">
        <f>#REF!+#REF!</f>
        <v>#REF!</v>
      </c>
      <c r="U318" s="954" t="e">
        <f>#REF!</f>
        <v>#REF!</v>
      </c>
      <c r="V318" s="955">
        <v>0</v>
      </c>
      <c r="W318" s="954" t="e">
        <f>#REF!</f>
        <v>#REF!</v>
      </c>
      <c r="X318" s="956" t="e">
        <f>#REF!+#REF!</f>
        <v>#REF!</v>
      </c>
      <c r="Y318" s="956" t="e">
        <f>#REF!+#REF!</f>
        <v>#REF!</v>
      </c>
      <c r="Z318" s="956"/>
      <c r="AA318" s="954" t="e">
        <f>#REF!</f>
        <v>#REF!</v>
      </c>
      <c r="AB318" s="954" t="e">
        <f t="shared" si="16"/>
        <v>#REF!</v>
      </c>
      <c r="AC318" s="954" t="e">
        <f>#REF!+#REF!</f>
        <v>#REF!</v>
      </c>
      <c r="AD318" s="954">
        <f t="shared" si="17"/>
        <v>6255</v>
      </c>
      <c r="AE318" s="625"/>
    </row>
    <row r="319" spans="1:31" s="620" customFormat="1" ht="18" customHeight="1" x14ac:dyDescent="0.2">
      <c r="A319" s="655" t="s">
        <v>2846</v>
      </c>
      <c r="B319" s="508">
        <f t="shared" si="18"/>
        <v>19</v>
      </c>
      <c r="C319" s="957">
        <f>+NOMINA!C323</f>
        <v>10396367</v>
      </c>
      <c r="D319" s="958" t="str">
        <f>+NOMINA!D323</f>
        <v>Hidalgo Linares Gloria Margarita</v>
      </c>
      <c r="E319" s="955" t="s">
        <v>4622</v>
      </c>
      <c r="F319" s="959">
        <v>27081</v>
      </c>
      <c r="G319" s="955" t="s">
        <v>4620</v>
      </c>
      <c r="H319" s="960">
        <f>+NOMINA!H323</f>
        <v>39722</v>
      </c>
      <c r="I319" s="961">
        <f>+NOMINA!I323</f>
        <v>16</v>
      </c>
      <c r="J319" s="962">
        <f>+NOMINA!J323</f>
        <v>0</v>
      </c>
      <c r="K319" s="961">
        <f>+NOMINA!K323</f>
        <v>16</v>
      </c>
      <c r="L319" s="963">
        <f>+NOMINA!CA323</f>
        <v>6255</v>
      </c>
      <c r="M319" s="443" t="e">
        <f>#REF!+#REF!-#REF!</f>
        <v>#REF!</v>
      </c>
      <c r="N319" s="952" t="e">
        <f>ROUND((#REF!+#REF!+#REF!+#REF!+#REF!+#REF!+#REF!+#REF!),2)</f>
        <v>#REF!</v>
      </c>
      <c r="Q319" s="620" t="e">
        <f>SUM(#REF!)</f>
        <v>#REF!</v>
      </c>
      <c r="R319" s="953" t="e">
        <f>#REF!+#REF!-#REF!</f>
        <v>#REF!</v>
      </c>
      <c r="S319" s="954">
        <v>200</v>
      </c>
      <c r="T319" s="953" t="e">
        <f>#REF!+#REF!</f>
        <v>#REF!</v>
      </c>
      <c r="U319" s="954" t="e">
        <f>#REF!</f>
        <v>#REF!</v>
      </c>
      <c r="V319" s="955">
        <v>0</v>
      </c>
      <c r="W319" s="954" t="e">
        <f>#REF!</f>
        <v>#REF!</v>
      </c>
      <c r="X319" s="956" t="e">
        <f>#REF!+#REF!</f>
        <v>#REF!</v>
      </c>
      <c r="Y319" s="956" t="e">
        <f>#REF!+#REF!</f>
        <v>#REF!</v>
      </c>
      <c r="Z319" s="956"/>
      <c r="AA319" s="954" t="e">
        <f>#REF!</f>
        <v>#REF!</v>
      </c>
      <c r="AB319" s="954" t="e">
        <f t="shared" si="16"/>
        <v>#REF!</v>
      </c>
      <c r="AC319" s="954" t="e">
        <f>#REF!+#REF!</f>
        <v>#REF!</v>
      </c>
      <c r="AD319" s="954">
        <f t="shared" si="17"/>
        <v>6255</v>
      </c>
      <c r="AE319" s="625"/>
    </row>
    <row r="320" spans="1:31" s="620" customFormat="1" ht="18" customHeight="1" x14ac:dyDescent="0.2">
      <c r="A320" s="655" t="s">
        <v>2846</v>
      </c>
      <c r="B320" s="508">
        <f t="shared" si="18"/>
        <v>20</v>
      </c>
      <c r="C320" s="957">
        <f>+NOMINA!C324</f>
        <v>10399474</v>
      </c>
      <c r="D320" s="958" t="str">
        <f>+NOMINA!D324</f>
        <v>Ramirez Araujo Teresa Maria</v>
      </c>
      <c r="E320" s="955" t="s">
        <v>4622</v>
      </c>
      <c r="F320" s="959">
        <v>27081</v>
      </c>
      <c r="G320" s="955" t="s">
        <v>4620</v>
      </c>
      <c r="H320" s="960">
        <f>+NOMINA!H324</f>
        <v>45597</v>
      </c>
      <c r="I320" s="961">
        <f>+NOMINA!I324</f>
        <v>0</v>
      </c>
      <c r="J320" s="962">
        <f>+NOMINA!J324</f>
        <v>0</v>
      </c>
      <c r="K320" s="961">
        <f>+NOMINA!K324</f>
        <v>0</v>
      </c>
      <c r="L320" s="963">
        <f>+NOMINA!CA324</f>
        <v>6255</v>
      </c>
      <c r="M320" s="443" t="e">
        <f>#REF!+#REF!-#REF!</f>
        <v>#REF!</v>
      </c>
      <c r="N320" s="952" t="e">
        <f>ROUND((#REF!+#REF!+#REF!+#REF!+#REF!+#REF!+#REF!+#REF!),2)</f>
        <v>#REF!</v>
      </c>
      <c r="Q320" s="620" t="e">
        <f>SUM(#REF!)</f>
        <v>#REF!</v>
      </c>
      <c r="R320" s="953" t="e">
        <f>#REF!+#REF!-#REF!</f>
        <v>#REF!</v>
      </c>
      <c r="S320" s="954">
        <v>200</v>
      </c>
      <c r="T320" s="953" t="e">
        <f>#REF!+#REF!</f>
        <v>#REF!</v>
      </c>
      <c r="U320" s="954" t="e">
        <f>#REF!</f>
        <v>#REF!</v>
      </c>
      <c r="V320" s="955">
        <v>0</v>
      </c>
      <c r="W320" s="954" t="e">
        <f>#REF!</f>
        <v>#REF!</v>
      </c>
      <c r="X320" s="956" t="e">
        <f>#REF!+#REF!</f>
        <v>#REF!</v>
      </c>
      <c r="Y320" s="956" t="e">
        <f>#REF!+#REF!</f>
        <v>#REF!</v>
      </c>
      <c r="Z320" s="956"/>
      <c r="AA320" s="954" t="e">
        <f>#REF!</f>
        <v>#REF!</v>
      </c>
      <c r="AB320" s="954" t="e">
        <f t="shared" si="16"/>
        <v>#REF!</v>
      </c>
      <c r="AC320" s="954" t="e">
        <f>#REF!+#REF!</f>
        <v>#REF!</v>
      </c>
      <c r="AD320" s="954">
        <f t="shared" si="17"/>
        <v>6255</v>
      </c>
      <c r="AE320" s="625"/>
    </row>
    <row r="321" spans="1:31" s="620" customFormat="1" ht="18" customHeight="1" x14ac:dyDescent="0.2">
      <c r="A321" s="655" t="s">
        <v>2846</v>
      </c>
      <c r="B321" s="508">
        <f t="shared" si="18"/>
        <v>21</v>
      </c>
      <c r="C321" s="957">
        <f>+NOMINA!C325</f>
        <v>10401329</v>
      </c>
      <c r="D321" s="958" t="str">
        <f>+NOMINA!D325</f>
        <v>Gonzalez Torres Orangel Ramon</v>
      </c>
      <c r="E321" s="955" t="s">
        <v>4622</v>
      </c>
      <c r="F321" s="959">
        <v>27081</v>
      </c>
      <c r="G321" s="955" t="s">
        <v>4620</v>
      </c>
      <c r="H321" s="960">
        <f>+NOMINA!H325</f>
        <v>39539</v>
      </c>
      <c r="I321" s="961">
        <f>+NOMINA!I325</f>
        <v>17</v>
      </c>
      <c r="J321" s="962">
        <f>+NOMINA!J325</f>
        <v>0</v>
      </c>
      <c r="K321" s="961">
        <f>+NOMINA!K325</f>
        <v>17</v>
      </c>
      <c r="L321" s="963">
        <f>+NOMINA!CA325</f>
        <v>6255</v>
      </c>
      <c r="M321" s="443" t="e">
        <f>#REF!+#REF!-#REF!</f>
        <v>#REF!</v>
      </c>
      <c r="N321" s="952" t="e">
        <f>ROUND((#REF!+#REF!+#REF!+#REF!+#REF!+#REF!+#REF!+#REF!),2)</f>
        <v>#REF!</v>
      </c>
      <c r="Q321" s="620" t="e">
        <f>SUM(#REF!)</f>
        <v>#REF!</v>
      </c>
      <c r="R321" s="953" t="e">
        <f>#REF!+#REF!-#REF!</f>
        <v>#REF!</v>
      </c>
      <c r="S321" s="954">
        <v>200</v>
      </c>
      <c r="T321" s="953" t="e">
        <f>#REF!+#REF!</f>
        <v>#REF!</v>
      </c>
      <c r="U321" s="954" t="e">
        <f>#REF!</f>
        <v>#REF!</v>
      </c>
      <c r="V321" s="955">
        <v>0</v>
      </c>
      <c r="W321" s="954" t="e">
        <f>#REF!</f>
        <v>#REF!</v>
      </c>
      <c r="X321" s="956" t="e">
        <f>#REF!+#REF!</f>
        <v>#REF!</v>
      </c>
      <c r="Y321" s="956" t="e">
        <f>#REF!+#REF!</f>
        <v>#REF!</v>
      </c>
      <c r="Z321" s="956"/>
      <c r="AA321" s="954" t="e">
        <f>#REF!</f>
        <v>#REF!</v>
      </c>
      <c r="AB321" s="954" t="e">
        <f t="shared" si="16"/>
        <v>#REF!</v>
      </c>
      <c r="AC321" s="954" t="e">
        <f>#REF!+#REF!</f>
        <v>#REF!</v>
      </c>
      <c r="AD321" s="954">
        <f t="shared" si="17"/>
        <v>6255</v>
      </c>
      <c r="AE321" s="625"/>
    </row>
    <row r="322" spans="1:31" s="620" customFormat="1" ht="18" customHeight="1" x14ac:dyDescent="0.2">
      <c r="A322" s="655" t="s">
        <v>2846</v>
      </c>
      <c r="B322" s="508">
        <f t="shared" si="18"/>
        <v>22</v>
      </c>
      <c r="C322" s="957">
        <f>+NOMINA!C326</f>
        <v>10907687</v>
      </c>
      <c r="D322" s="958" t="str">
        <f>+NOMINA!D326</f>
        <v>Viloria Garcia Karina Liseth</v>
      </c>
      <c r="E322" s="955" t="s">
        <v>4622</v>
      </c>
      <c r="F322" s="959">
        <v>27081</v>
      </c>
      <c r="G322" s="955" t="s">
        <v>4620</v>
      </c>
      <c r="H322" s="960">
        <f>+NOMINA!H326</f>
        <v>38749</v>
      </c>
      <c r="I322" s="961">
        <f>+NOMINA!I326</f>
        <v>19</v>
      </c>
      <c r="J322" s="962">
        <f>+NOMINA!J326</f>
        <v>0</v>
      </c>
      <c r="K322" s="961">
        <f>+NOMINA!K326</f>
        <v>19</v>
      </c>
      <c r="L322" s="963">
        <f>+NOMINA!CA326</f>
        <v>6255</v>
      </c>
      <c r="M322" s="443" t="e">
        <f>#REF!+#REF!-#REF!</f>
        <v>#REF!</v>
      </c>
      <c r="N322" s="952" t="e">
        <f>ROUND((#REF!+#REF!+#REF!+#REF!+#REF!+#REF!+#REF!+#REF!),2)</f>
        <v>#REF!</v>
      </c>
      <c r="Q322" s="620" t="e">
        <f>SUM(#REF!)</f>
        <v>#REF!</v>
      </c>
      <c r="R322" s="953" t="e">
        <f>#REF!+#REF!-#REF!</f>
        <v>#REF!</v>
      </c>
      <c r="S322" s="954">
        <v>200</v>
      </c>
      <c r="T322" s="953" t="e">
        <f>#REF!+#REF!</f>
        <v>#REF!</v>
      </c>
      <c r="U322" s="954" t="e">
        <f>#REF!</f>
        <v>#REF!</v>
      </c>
      <c r="V322" s="955">
        <v>0</v>
      </c>
      <c r="W322" s="954" t="e">
        <f>#REF!</f>
        <v>#REF!</v>
      </c>
      <c r="X322" s="956" t="e">
        <f>#REF!+#REF!</f>
        <v>#REF!</v>
      </c>
      <c r="Y322" s="956" t="e">
        <f>#REF!+#REF!</f>
        <v>#REF!</v>
      </c>
      <c r="Z322" s="956"/>
      <c r="AA322" s="954" t="e">
        <f>#REF!</f>
        <v>#REF!</v>
      </c>
      <c r="AB322" s="954" t="e">
        <f t="shared" si="16"/>
        <v>#REF!</v>
      </c>
      <c r="AC322" s="954" t="e">
        <f>#REF!+#REF!</f>
        <v>#REF!</v>
      </c>
      <c r="AD322" s="954">
        <f t="shared" si="17"/>
        <v>6255</v>
      </c>
      <c r="AE322" s="625"/>
    </row>
    <row r="323" spans="1:31" s="620" customFormat="1" ht="18" customHeight="1" x14ac:dyDescent="0.2">
      <c r="A323" s="655" t="s">
        <v>2846</v>
      </c>
      <c r="B323" s="508">
        <f t="shared" si="18"/>
        <v>23</v>
      </c>
      <c r="C323" s="957">
        <f>+NOMINA!C327</f>
        <v>10908543</v>
      </c>
      <c r="D323" s="958" t="str">
        <f>+NOMINA!D327</f>
        <v>Quintero Eric Ludwig</v>
      </c>
      <c r="E323" s="955" t="s">
        <v>4622</v>
      </c>
      <c r="F323" s="959">
        <v>27081</v>
      </c>
      <c r="G323" s="955" t="s">
        <v>4620</v>
      </c>
      <c r="H323" s="960">
        <f>+NOMINA!H327</f>
        <v>42751</v>
      </c>
      <c r="I323" s="961">
        <f>+NOMINA!I327</f>
        <v>8</v>
      </c>
      <c r="J323" s="962">
        <f>+NOMINA!J327</f>
        <v>0</v>
      </c>
      <c r="K323" s="961">
        <f>+NOMINA!K327</f>
        <v>8</v>
      </c>
      <c r="L323" s="963">
        <f>+NOMINA!CA327</f>
        <v>6255</v>
      </c>
      <c r="M323" s="443" t="e">
        <f>#REF!+#REF!-#REF!</f>
        <v>#REF!</v>
      </c>
      <c r="N323" s="952" t="e">
        <f>ROUND((#REF!+#REF!+#REF!+#REF!+#REF!+#REF!+#REF!+#REF!),2)</f>
        <v>#REF!</v>
      </c>
      <c r="Q323" s="620" t="e">
        <f>SUM(#REF!)</f>
        <v>#REF!</v>
      </c>
      <c r="R323" s="953" t="e">
        <f>#REF!+#REF!-#REF!</f>
        <v>#REF!</v>
      </c>
      <c r="S323" s="954">
        <v>200</v>
      </c>
      <c r="T323" s="953" t="e">
        <f>#REF!+#REF!</f>
        <v>#REF!</v>
      </c>
      <c r="U323" s="954" t="e">
        <f>#REF!</f>
        <v>#REF!</v>
      </c>
      <c r="V323" s="955">
        <v>0</v>
      </c>
      <c r="W323" s="954" t="e">
        <f>#REF!</f>
        <v>#REF!</v>
      </c>
      <c r="X323" s="956" t="e">
        <f>#REF!+#REF!</f>
        <v>#REF!</v>
      </c>
      <c r="Y323" s="956" t="e">
        <f>#REF!+#REF!</f>
        <v>#REF!</v>
      </c>
      <c r="Z323" s="956"/>
      <c r="AA323" s="954" t="e">
        <f>#REF!</f>
        <v>#REF!</v>
      </c>
      <c r="AB323" s="954" t="e">
        <f t="shared" si="16"/>
        <v>#REF!</v>
      </c>
      <c r="AC323" s="954" t="e">
        <f>#REF!+#REF!</f>
        <v>#REF!</v>
      </c>
      <c r="AD323" s="954">
        <f t="shared" si="17"/>
        <v>6255</v>
      </c>
      <c r="AE323" s="625"/>
    </row>
    <row r="324" spans="1:31" s="620" customFormat="1" ht="18" customHeight="1" x14ac:dyDescent="0.2">
      <c r="A324" s="655" t="s">
        <v>2846</v>
      </c>
      <c r="B324" s="508">
        <f t="shared" si="18"/>
        <v>24</v>
      </c>
      <c r="C324" s="957">
        <f>+NOMINA!C328</f>
        <v>10909678</v>
      </c>
      <c r="D324" s="958" t="str">
        <f>+NOMINA!D328</f>
        <v>Delgado Jose Argenis</v>
      </c>
      <c r="E324" s="955" t="s">
        <v>4622</v>
      </c>
      <c r="F324" s="959">
        <v>27081</v>
      </c>
      <c r="G324" s="955" t="s">
        <v>4620</v>
      </c>
      <c r="H324" s="960">
        <f>+NOMINA!H328</f>
        <v>43952</v>
      </c>
      <c r="I324" s="961">
        <f>+NOMINA!I328</f>
        <v>5</v>
      </c>
      <c r="J324" s="962">
        <f>+NOMINA!J328</f>
        <v>0</v>
      </c>
      <c r="K324" s="961">
        <f>+NOMINA!K328</f>
        <v>5</v>
      </c>
      <c r="L324" s="963">
        <f>+NOMINA!CA328</f>
        <v>6255</v>
      </c>
      <c r="M324" s="443" t="e">
        <f>#REF!+#REF!-#REF!</f>
        <v>#REF!</v>
      </c>
      <c r="N324" s="952" t="e">
        <f>ROUND((#REF!+#REF!+#REF!+#REF!+#REF!+#REF!+#REF!+#REF!),2)</f>
        <v>#REF!</v>
      </c>
      <c r="Q324" s="620" t="e">
        <f>SUM(#REF!)</f>
        <v>#REF!</v>
      </c>
      <c r="R324" s="953" t="e">
        <f>#REF!+#REF!-#REF!</f>
        <v>#REF!</v>
      </c>
      <c r="S324" s="954">
        <v>200</v>
      </c>
      <c r="T324" s="953" t="e">
        <f>#REF!+#REF!</f>
        <v>#REF!</v>
      </c>
      <c r="U324" s="954" t="e">
        <f>#REF!</f>
        <v>#REF!</v>
      </c>
      <c r="V324" s="955">
        <v>0</v>
      </c>
      <c r="W324" s="954" t="e">
        <f>#REF!</f>
        <v>#REF!</v>
      </c>
      <c r="X324" s="956" t="e">
        <f>#REF!+#REF!</f>
        <v>#REF!</v>
      </c>
      <c r="Y324" s="956" t="e">
        <f>#REF!+#REF!</f>
        <v>#REF!</v>
      </c>
      <c r="Z324" s="956"/>
      <c r="AA324" s="954" t="e">
        <f>#REF!</f>
        <v>#REF!</v>
      </c>
      <c r="AB324" s="954" t="e">
        <f t="shared" si="16"/>
        <v>#REF!</v>
      </c>
      <c r="AC324" s="954" t="e">
        <f>#REF!+#REF!</f>
        <v>#REF!</v>
      </c>
      <c r="AD324" s="954">
        <f t="shared" si="17"/>
        <v>6255</v>
      </c>
      <c r="AE324" s="625"/>
    </row>
    <row r="325" spans="1:31" s="620" customFormat="1" ht="18" customHeight="1" x14ac:dyDescent="0.2">
      <c r="A325" s="655" t="s">
        <v>2846</v>
      </c>
      <c r="B325" s="508">
        <f t="shared" si="18"/>
        <v>25</v>
      </c>
      <c r="C325" s="957">
        <f>+NOMINA!C329</f>
        <v>10909819</v>
      </c>
      <c r="D325" s="958" t="str">
        <f>+NOMINA!D329</f>
        <v>Carrizo Jose Waldo</v>
      </c>
      <c r="E325" s="955" t="s">
        <v>4622</v>
      </c>
      <c r="F325" s="959">
        <v>27081</v>
      </c>
      <c r="G325" s="955" t="s">
        <v>4620</v>
      </c>
      <c r="H325" s="960">
        <f>+NOMINA!H329</f>
        <v>43359</v>
      </c>
      <c r="I325" s="961">
        <f>+NOMINA!I329</f>
        <v>7</v>
      </c>
      <c r="J325" s="962">
        <f>+NOMINA!J329</f>
        <v>0</v>
      </c>
      <c r="K325" s="961">
        <f>+NOMINA!K329</f>
        <v>7</v>
      </c>
      <c r="L325" s="963">
        <f>+NOMINA!CA329</f>
        <v>6255</v>
      </c>
      <c r="M325" s="443" t="e">
        <f>#REF!+#REF!-#REF!</f>
        <v>#REF!</v>
      </c>
      <c r="N325" s="952" t="e">
        <f>ROUND((#REF!+#REF!+#REF!+#REF!+#REF!+#REF!+#REF!+#REF!),2)</f>
        <v>#REF!</v>
      </c>
      <c r="Q325" s="620" t="e">
        <f>SUM(#REF!)</f>
        <v>#REF!</v>
      </c>
      <c r="R325" s="953" t="e">
        <f>#REF!+#REF!-#REF!</f>
        <v>#REF!</v>
      </c>
      <c r="S325" s="954">
        <v>200</v>
      </c>
      <c r="T325" s="953" t="e">
        <f>#REF!+#REF!</f>
        <v>#REF!</v>
      </c>
      <c r="U325" s="954" t="e">
        <f>#REF!</f>
        <v>#REF!</v>
      </c>
      <c r="V325" s="955">
        <v>0</v>
      </c>
      <c r="W325" s="954" t="e">
        <f>#REF!</f>
        <v>#REF!</v>
      </c>
      <c r="X325" s="956" t="e">
        <f>#REF!+#REF!</f>
        <v>#REF!</v>
      </c>
      <c r="Y325" s="956" t="e">
        <f>#REF!+#REF!</f>
        <v>#REF!</v>
      </c>
      <c r="Z325" s="956"/>
      <c r="AA325" s="954" t="e">
        <f>#REF!</f>
        <v>#REF!</v>
      </c>
      <c r="AB325" s="954" t="e">
        <f t="shared" si="16"/>
        <v>#REF!</v>
      </c>
      <c r="AC325" s="954" t="e">
        <f>#REF!+#REF!</f>
        <v>#REF!</v>
      </c>
      <c r="AD325" s="954">
        <f t="shared" si="17"/>
        <v>6255</v>
      </c>
      <c r="AE325" s="625"/>
    </row>
    <row r="326" spans="1:31" s="620" customFormat="1" ht="18" customHeight="1" x14ac:dyDescent="0.2">
      <c r="A326" s="655" t="s">
        <v>2846</v>
      </c>
      <c r="B326" s="508">
        <f t="shared" si="18"/>
        <v>26</v>
      </c>
      <c r="C326" s="957">
        <f>+NOMINA!C330</f>
        <v>10912635</v>
      </c>
      <c r="D326" s="958" t="str">
        <f>+NOMINA!D330</f>
        <v>Gutierrez Briceño Jose Orangel</v>
      </c>
      <c r="E326" s="955" t="s">
        <v>4622</v>
      </c>
      <c r="F326" s="959">
        <v>27081</v>
      </c>
      <c r="G326" s="955" t="s">
        <v>4620</v>
      </c>
      <c r="H326" s="960">
        <f>+NOMINA!H330</f>
        <v>44348</v>
      </c>
      <c r="I326" s="961">
        <f>+NOMINA!I330</f>
        <v>4</v>
      </c>
      <c r="J326" s="962">
        <f>+NOMINA!J330</f>
        <v>0</v>
      </c>
      <c r="K326" s="961">
        <f>+NOMINA!K330</f>
        <v>4</v>
      </c>
      <c r="L326" s="963">
        <f>+NOMINA!CA330</f>
        <v>6255</v>
      </c>
      <c r="M326" s="443" t="e">
        <f>#REF!+#REF!-#REF!</f>
        <v>#REF!</v>
      </c>
      <c r="N326" s="952" t="e">
        <f>ROUND((#REF!+#REF!+#REF!+#REF!+#REF!+#REF!+#REF!+#REF!),2)</f>
        <v>#REF!</v>
      </c>
      <c r="Q326" s="620" t="e">
        <f>SUM(#REF!)</f>
        <v>#REF!</v>
      </c>
      <c r="R326" s="953" t="e">
        <f>#REF!+#REF!-#REF!</f>
        <v>#REF!</v>
      </c>
      <c r="S326" s="954">
        <v>200</v>
      </c>
      <c r="T326" s="953" t="e">
        <f>#REF!+#REF!</f>
        <v>#REF!</v>
      </c>
      <c r="U326" s="954" t="e">
        <f>#REF!</f>
        <v>#REF!</v>
      </c>
      <c r="V326" s="955">
        <v>0</v>
      </c>
      <c r="W326" s="954" t="e">
        <f>#REF!</f>
        <v>#REF!</v>
      </c>
      <c r="X326" s="956" t="e">
        <f>#REF!+#REF!</f>
        <v>#REF!</v>
      </c>
      <c r="Y326" s="956" t="e">
        <f>#REF!+#REF!</f>
        <v>#REF!</v>
      </c>
      <c r="Z326" s="956"/>
      <c r="AA326" s="954" t="e">
        <f>#REF!</f>
        <v>#REF!</v>
      </c>
      <c r="AB326" s="954" t="e">
        <f t="shared" si="16"/>
        <v>#REF!</v>
      </c>
      <c r="AC326" s="954" t="e">
        <f>#REF!+#REF!</f>
        <v>#REF!</v>
      </c>
      <c r="AD326" s="954">
        <f t="shared" si="17"/>
        <v>6255</v>
      </c>
      <c r="AE326" s="625"/>
    </row>
    <row r="327" spans="1:31" s="620" customFormat="1" ht="18" customHeight="1" x14ac:dyDescent="0.2">
      <c r="A327" s="655" t="s">
        <v>2846</v>
      </c>
      <c r="B327" s="508">
        <f t="shared" si="18"/>
        <v>27</v>
      </c>
      <c r="C327" s="957">
        <f>+NOMINA!C331</f>
        <v>10915274</v>
      </c>
      <c r="D327" s="958" t="str">
        <f>+NOMINA!D331</f>
        <v>Montilla Vergara Belkys Josefina</v>
      </c>
      <c r="E327" s="955" t="s">
        <v>4622</v>
      </c>
      <c r="F327" s="959">
        <v>27081</v>
      </c>
      <c r="G327" s="955" t="s">
        <v>4620</v>
      </c>
      <c r="H327" s="960">
        <f>+NOMINA!H331</f>
        <v>44635</v>
      </c>
      <c r="I327" s="961">
        <f>+NOMINA!I331</f>
        <v>3</v>
      </c>
      <c r="J327" s="962">
        <f>+NOMINA!J331</f>
        <v>0</v>
      </c>
      <c r="K327" s="961">
        <f>+NOMINA!K331</f>
        <v>3</v>
      </c>
      <c r="L327" s="963">
        <f>+NOMINA!CA331</f>
        <v>6255</v>
      </c>
      <c r="M327" s="443" t="e">
        <f>#REF!+#REF!-#REF!</f>
        <v>#REF!</v>
      </c>
      <c r="N327" s="952" t="e">
        <f>ROUND((#REF!+#REF!+#REF!+#REF!+#REF!+#REF!+#REF!+#REF!),2)</f>
        <v>#REF!</v>
      </c>
      <c r="Q327" s="620" t="e">
        <f>SUM(#REF!)</f>
        <v>#REF!</v>
      </c>
      <c r="R327" s="953" t="e">
        <f>#REF!+#REF!-#REF!</f>
        <v>#REF!</v>
      </c>
      <c r="S327" s="954">
        <v>200</v>
      </c>
      <c r="T327" s="953" t="e">
        <f>#REF!+#REF!</f>
        <v>#REF!</v>
      </c>
      <c r="U327" s="954" t="e">
        <f>#REF!</f>
        <v>#REF!</v>
      </c>
      <c r="V327" s="955">
        <v>0</v>
      </c>
      <c r="W327" s="954" t="e">
        <f>#REF!</f>
        <v>#REF!</v>
      </c>
      <c r="X327" s="956" t="e">
        <f>#REF!+#REF!</f>
        <v>#REF!</v>
      </c>
      <c r="Y327" s="956" t="e">
        <f>#REF!+#REF!</f>
        <v>#REF!</v>
      </c>
      <c r="Z327" s="956"/>
      <c r="AA327" s="954" t="e">
        <f>#REF!</f>
        <v>#REF!</v>
      </c>
      <c r="AB327" s="954" t="e">
        <f t="shared" si="16"/>
        <v>#REF!</v>
      </c>
      <c r="AC327" s="954" t="e">
        <f>#REF!+#REF!</f>
        <v>#REF!</v>
      </c>
      <c r="AD327" s="954">
        <f t="shared" si="17"/>
        <v>6255</v>
      </c>
      <c r="AE327" s="625"/>
    </row>
    <row r="328" spans="1:31" s="620" customFormat="1" ht="18" customHeight="1" x14ac:dyDescent="0.2">
      <c r="A328" s="1117"/>
      <c r="B328" s="508">
        <f t="shared" si="18"/>
        <v>28</v>
      </c>
      <c r="C328" s="957">
        <f>+NOMINA!C332</f>
        <v>11129355</v>
      </c>
      <c r="D328" s="958" t="str">
        <f>+NOMINA!D332</f>
        <v>Luque Azuaje Rigoberto</v>
      </c>
      <c r="E328" s="955" t="s">
        <v>4622</v>
      </c>
      <c r="F328" s="959">
        <v>27081</v>
      </c>
      <c r="G328" s="955" t="s">
        <v>4620</v>
      </c>
      <c r="H328" s="960">
        <f>+NOMINA!H332</f>
        <v>39539</v>
      </c>
      <c r="I328" s="961">
        <f>+NOMINA!I332</f>
        <v>17</v>
      </c>
      <c r="J328" s="962">
        <f>+NOMINA!J332</f>
        <v>0</v>
      </c>
      <c r="K328" s="961">
        <f>+NOMINA!K332</f>
        <v>17</v>
      </c>
      <c r="L328" s="963">
        <f>+NOMINA!CA332</f>
        <v>6255</v>
      </c>
      <c r="M328" s="1113"/>
      <c r="N328" s="1114"/>
      <c r="R328" s="1076"/>
      <c r="S328" s="1115"/>
      <c r="T328" s="1076"/>
      <c r="U328" s="1115"/>
      <c r="V328" s="1104"/>
      <c r="W328" s="1115"/>
      <c r="X328" s="1116"/>
      <c r="Y328" s="1116"/>
      <c r="Z328" s="1116"/>
      <c r="AA328" s="1115"/>
      <c r="AB328" s="1115"/>
      <c r="AC328" s="1115"/>
      <c r="AD328" s="1115"/>
      <c r="AE328" s="625"/>
    </row>
    <row r="329" spans="1:31" s="620" customFormat="1" ht="18" customHeight="1" x14ac:dyDescent="0.2">
      <c r="A329" s="655" t="s">
        <v>2846</v>
      </c>
      <c r="B329" s="508">
        <f t="shared" si="18"/>
        <v>29</v>
      </c>
      <c r="C329" s="957">
        <f>+NOMINA!C333</f>
        <v>11315202</v>
      </c>
      <c r="D329" s="958" t="str">
        <f>+NOMINA!D333</f>
        <v>Barreto Maria Ramona</v>
      </c>
      <c r="E329" s="955" t="s">
        <v>4622</v>
      </c>
      <c r="F329" s="959">
        <v>27081</v>
      </c>
      <c r="G329" s="955" t="s">
        <v>4620</v>
      </c>
      <c r="H329" s="960">
        <f>+NOMINA!H333</f>
        <v>39539</v>
      </c>
      <c r="I329" s="961">
        <f>+NOMINA!I333</f>
        <v>17</v>
      </c>
      <c r="J329" s="962">
        <f>+NOMINA!J333</f>
        <v>0</v>
      </c>
      <c r="K329" s="961">
        <f>+NOMINA!K333</f>
        <v>17</v>
      </c>
      <c r="L329" s="963">
        <f>+NOMINA!CA333</f>
        <v>6255</v>
      </c>
      <c r="M329" s="443" t="e">
        <f>#REF!+#REF!-#REF!</f>
        <v>#REF!</v>
      </c>
      <c r="N329" s="952" t="e">
        <f>ROUND((#REF!+#REF!+#REF!+#REF!+#REF!+#REF!+#REF!+#REF!),2)</f>
        <v>#REF!</v>
      </c>
      <c r="Q329" s="620" t="e">
        <f>SUM(#REF!)</f>
        <v>#REF!</v>
      </c>
      <c r="R329" s="953" t="e">
        <f>#REF!+#REF!-#REF!</f>
        <v>#REF!</v>
      </c>
      <c r="S329" s="954">
        <v>200</v>
      </c>
      <c r="T329" s="953" t="e">
        <f>#REF!+#REF!</f>
        <v>#REF!</v>
      </c>
      <c r="U329" s="954" t="e">
        <f>#REF!</f>
        <v>#REF!</v>
      </c>
      <c r="V329" s="955">
        <v>0</v>
      </c>
      <c r="W329" s="954" t="e">
        <f>#REF!</f>
        <v>#REF!</v>
      </c>
      <c r="X329" s="956" t="e">
        <f>#REF!+#REF!</f>
        <v>#REF!</v>
      </c>
      <c r="Y329" s="956" t="e">
        <f>#REF!+#REF!</f>
        <v>#REF!</v>
      </c>
      <c r="Z329" s="956"/>
      <c r="AA329" s="954" t="e">
        <f>#REF!</f>
        <v>#REF!</v>
      </c>
      <c r="AB329" s="954" t="e">
        <f t="shared" si="16"/>
        <v>#REF!</v>
      </c>
      <c r="AC329" s="954" t="e">
        <f>#REF!+#REF!</f>
        <v>#REF!</v>
      </c>
      <c r="AD329" s="954">
        <f t="shared" si="17"/>
        <v>6255</v>
      </c>
      <c r="AE329" s="625"/>
    </row>
    <row r="330" spans="1:31" s="620" customFormat="1" ht="18" customHeight="1" x14ac:dyDescent="0.2">
      <c r="A330" s="655" t="s">
        <v>2846</v>
      </c>
      <c r="B330" s="508">
        <f t="shared" si="18"/>
        <v>30</v>
      </c>
      <c r="C330" s="957">
        <f>+NOMINA!C334</f>
        <v>11321681</v>
      </c>
      <c r="D330" s="958" t="str">
        <f>+NOMINA!D334</f>
        <v>Bentancourt Rivas Luis Enrique</v>
      </c>
      <c r="E330" s="955" t="s">
        <v>4622</v>
      </c>
      <c r="F330" s="959">
        <v>27081</v>
      </c>
      <c r="G330" s="955" t="s">
        <v>4620</v>
      </c>
      <c r="H330" s="960">
        <f>+NOMINA!H334</f>
        <v>44805</v>
      </c>
      <c r="I330" s="961">
        <f>+NOMINA!I334</f>
        <v>3</v>
      </c>
      <c r="J330" s="962">
        <f>+NOMINA!J334</f>
        <v>0</v>
      </c>
      <c r="K330" s="961">
        <f>+NOMINA!K334</f>
        <v>3</v>
      </c>
      <c r="L330" s="963">
        <f>+NOMINA!CA334</f>
        <v>6255</v>
      </c>
      <c r="M330" s="443" t="e">
        <f>#REF!+#REF!-#REF!</f>
        <v>#REF!</v>
      </c>
      <c r="N330" s="952" t="e">
        <f>ROUND((#REF!+#REF!+#REF!+#REF!+#REF!+#REF!+#REF!+#REF!),2)</f>
        <v>#REF!</v>
      </c>
      <c r="Q330" s="620" t="e">
        <f>SUM(#REF!)</f>
        <v>#REF!</v>
      </c>
      <c r="R330" s="953" t="e">
        <f>#REF!+#REF!-#REF!</f>
        <v>#REF!</v>
      </c>
      <c r="S330" s="954">
        <v>200</v>
      </c>
      <c r="T330" s="953" t="e">
        <f>#REF!+#REF!</f>
        <v>#REF!</v>
      </c>
      <c r="U330" s="954" t="e">
        <f>#REF!</f>
        <v>#REF!</v>
      </c>
      <c r="V330" s="955">
        <v>0</v>
      </c>
      <c r="W330" s="954" t="e">
        <f>#REF!</f>
        <v>#REF!</v>
      </c>
      <c r="X330" s="956" t="e">
        <f>#REF!+#REF!</f>
        <v>#REF!</v>
      </c>
      <c r="Y330" s="956" t="e">
        <f>#REF!+#REF!</f>
        <v>#REF!</v>
      </c>
      <c r="Z330" s="956"/>
      <c r="AA330" s="954" t="e">
        <f>#REF!</f>
        <v>#REF!</v>
      </c>
      <c r="AB330" s="954" t="e">
        <f t="shared" si="16"/>
        <v>#REF!</v>
      </c>
      <c r="AC330" s="954" t="e">
        <f>#REF!+#REF!</f>
        <v>#REF!</v>
      </c>
      <c r="AD330" s="954">
        <f t="shared" si="17"/>
        <v>6255</v>
      </c>
      <c r="AE330" s="625"/>
    </row>
    <row r="331" spans="1:31" s="620" customFormat="1" ht="18" customHeight="1" x14ac:dyDescent="0.2">
      <c r="A331" s="655" t="s">
        <v>2846</v>
      </c>
      <c r="B331" s="508">
        <f t="shared" si="18"/>
        <v>31</v>
      </c>
      <c r="C331" s="957">
        <f>+NOMINA!C335</f>
        <v>11321782</v>
      </c>
      <c r="D331" s="958" t="str">
        <f>+NOMINA!D335</f>
        <v>Flores Camacho Maria Zoraida</v>
      </c>
      <c r="E331" s="955" t="s">
        <v>4622</v>
      </c>
      <c r="F331" s="959">
        <v>27081</v>
      </c>
      <c r="G331" s="955" t="s">
        <v>4620</v>
      </c>
      <c r="H331" s="960">
        <f>+NOMINA!H335</f>
        <v>43815</v>
      </c>
      <c r="I331" s="961">
        <f>+NOMINA!I335</f>
        <v>5</v>
      </c>
      <c r="J331" s="962">
        <f>+NOMINA!J335</f>
        <v>0</v>
      </c>
      <c r="K331" s="961">
        <f>+NOMINA!K335</f>
        <v>5</v>
      </c>
      <c r="L331" s="963">
        <f>+NOMINA!CA335</f>
        <v>6255</v>
      </c>
      <c r="M331" s="443" t="e">
        <f>#REF!+#REF!-#REF!</f>
        <v>#REF!</v>
      </c>
      <c r="N331" s="952" t="e">
        <f>ROUND((#REF!+#REF!+#REF!+#REF!+#REF!+#REF!+#REF!+#REF!),2)</f>
        <v>#REF!</v>
      </c>
      <c r="Q331" s="620" t="e">
        <f>SUM(#REF!)</f>
        <v>#REF!</v>
      </c>
      <c r="R331" s="953" t="e">
        <f>#REF!+#REF!-#REF!</f>
        <v>#REF!</v>
      </c>
      <c r="S331" s="954">
        <v>200</v>
      </c>
      <c r="T331" s="953" t="e">
        <f>#REF!+#REF!</f>
        <v>#REF!</v>
      </c>
      <c r="U331" s="954" t="e">
        <f>#REF!</f>
        <v>#REF!</v>
      </c>
      <c r="V331" s="955">
        <v>0</v>
      </c>
      <c r="W331" s="954" t="e">
        <f>#REF!</f>
        <v>#REF!</v>
      </c>
      <c r="X331" s="956" t="e">
        <f>#REF!+#REF!</f>
        <v>#REF!</v>
      </c>
      <c r="Y331" s="956" t="e">
        <f>#REF!+#REF!</f>
        <v>#REF!</v>
      </c>
      <c r="Z331" s="956"/>
      <c r="AA331" s="954" t="e">
        <f>#REF!</f>
        <v>#REF!</v>
      </c>
      <c r="AB331" s="954" t="e">
        <f t="shared" si="16"/>
        <v>#REF!</v>
      </c>
      <c r="AC331" s="954" t="e">
        <f>#REF!+#REF!</f>
        <v>#REF!</v>
      </c>
      <c r="AD331" s="954">
        <f t="shared" si="17"/>
        <v>6255</v>
      </c>
      <c r="AE331" s="625"/>
    </row>
    <row r="332" spans="1:31" s="620" customFormat="1" ht="18" customHeight="1" x14ac:dyDescent="0.2">
      <c r="A332" s="655" t="s">
        <v>2846</v>
      </c>
      <c r="B332" s="508">
        <f t="shared" si="18"/>
        <v>32</v>
      </c>
      <c r="C332" s="957">
        <f>+NOMINA!C336</f>
        <v>11324931</v>
      </c>
      <c r="D332" s="958" t="str">
        <f>+NOMINA!D336</f>
        <v>Sulbaran de Araujo Magaly</v>
      </c>
      <c r="E332" s="955" t="s">
        <v>4622</v>
      </c>
      <c r="F332" s="959">
        <v>27081</v>
      </c>
      <c r="G332" s="955" t="s">
        <v>4620</v>
      </c>
      <c r="H332" s="960">
        <f>+NOMINA!H336</f>
        <v>38784</v>
      </c>
      <c r="I332" s="961">
        <f>+NOMINA!I336</f>
        <v>19</v>
      </c>
      <c r="J332" s="962">
        <f>+NOMINA!J336</f>
        <v>0</v>
      </c>
      <c r="K332" s="961">
        <f>+NOMINA!K336</f>
        <v>19</v>
      </c>
      <c r="L332" s="963">
        <f>+NOMINA!CA336</f>
        <v>6255</v>
      </c>
      <c r="M332" s="443" t="e">
        <f>#REF!+#REF!-#REF!</f>
        <v>#REF!</v>
      </c>
      <c r="N332" s="952" t="e">
        <f>ROUND((#REF!+#REF!+#REF!+#REF!+#REF!+#REF!+#REF!+#REF!),2)</f>
        <v>#REF!</v>
      </c>
      <c r="Q332" s="620" t="e">
        <f>SUM(#REF!)</f>
        <v>#REF!</v>
      </c>
      <c r="R332" s="953" t="e">
        <f>#REF!+#REF!-#REF!</f>
        <v>#REF!</v>
      </c>
      <c r="S332" s="954">
        <v>200</v>
      </c>
      <c r="T332" s="953" t="e">
        <f>#REF!+#REF!</f>
        <v>#REF!</v>
      </c>
      <c r="U332" s="954" t="e">
        <f>#REF!</f>
        <v>#REF!</v>
      </c>
      <c r="V332" s="955">
        <v>0</v>
      </c>
      <c r="W332" s="954" t="e">
        <f>#REF!</f>
        <v>#REF!</v>
      </c>
      <c r="X332" s="956" t="e">
        <f>#REF!+#REF!</f>
        <v>#REF!</v>
      </c>
      <c r="Y332" s="956" t="e">
        <f>#REF!+#REF!</f>
        <v>#REF!</v>
      </c>
      <c r="Z332" s="956"/>
      <c r="AA332" s="954" t="e">
        <f>#REF!</f>
        <v>#REF!</v>
      </c>
      <c r="AB332" s="954" t="e">
        <f t="shared" si="16"/>
        <v>#REF!</v>
      </c>
      <c r="AC332" s="954" t="e">
        <f>#REF!+#REF!</f>
        <v>#REF!</v>
      </c>
      <c r="AD332" s="954">
        <f t="shared" si="17"/>
        <v>6255</v>
      </c>
      <c r="AE332" s="625"/>
    </row>
    <row r="333" spans="1:31" s="620" customFormat="1" ht="18" customHeight="1" x14ac:dyDescent="0.2">
      <c r="A333" s="655" t="s">
        <v>2846</v>
      </c>
      <c r="B333" s="508">
        <f t="shared" si="18"/>
        <v>33</v>
      </c>
      <c r="C333" s="957">
        <f>+NOMINA!C337</f>
        <v>11894400</v>
      </c>
      <c r="D333" s="958" t="str">
        <f>+NOMINA!D337</f>
        <v>Aldana Olivar Maria del Carmen</v>
      </c>
      <c r="E333" s="955" t="s">
        <v>4622</v>
      </c>
      <c r="F333" s="959">
        <v>27081</v>
      </c>
      <c r="G333" s="955" t="s">
        <v>4620</v>
      </c>
      <c r="H333" s="960">
        <f>+NOMINA!H337</f>
        <v>44287</v>
      </c>
      <c r="I333" s="961">
        <f>+NOMINA!I337</f>
        <v>4</v>
      </c>
      <c r="J333" s="962">
        <f>+NOMINA!J337</f>
        <v>0</v>
      </c>
      <c r="K333" s="961">
        <f>+NOMINA!K337</f>
        <v>4</v>
      </c>
      <c r="L333" s="963">
        <f>+NOMINA!CA337</f>
        <v>6255</v>
      </c>
      <c r="M333" s="443" t="e">
        <f>#REF!+#REF!-#REF!</f>
        <v>#REF!</v>
      </c>
      <c r="N333" s="952" t="e">
        <f>ROUND((#REF!+#REF!+#REF!+#REF!+#REF!+#REF!+#REF!+#REF!),2)</f>
        <v>#REF!</v>
      </c>
      <c r="Q333" s="620" t="e">
        <f>SUM(#REF!)</f>
        <v>#REF!</v>
      </c>
      <c r="R333" s="953" t="e">
        <f>#REF!+#REF!-#REF!</f>
        <v>#REF!</v>
      </c>
      <c r="S333" s="954">
        <v>200</v>
      </c>
      <c r="T333" s="953" t="e">
        <f>#REF!+#REF!</f>
        <v>#REF!</v>
      </c>
      <c r="U333" s="954" t="e">
        <f>#REF!</f>
        <v>#REF!</v>
      </c>
      <c r="V333" s="955">
        <v>0</v>
      </c>
      <c r="W333" s="954" t="e">
        <f>#REF!</f>
        <v>#REF!</v>
      </c>
      <c r="X333" s="956" t="e">
        <f>#REF!+#REF!</f>
        <v>#REF!</v>
      </c>
      <c r="Y333" s="956" t="e">
        <f>#REF!+#REF!</f>
        <v>#REF!</v>
      </c>
      <c r="Z333" s="956"/>
      <c r="AA333" s="954" t="e">
        <f>#REF!</f>
        <v>#REF!</v>
      </c>
      <c r="AB333" s="954" t="e">
        <f t="shared" si="16"/>
        <v>#REF!</v>
      </c>
      <c r="AC333" s="954" t="e">
        <f>#REF!+#REF!</f>
        <v>#REF!</v>
      </c>
      <c r="AD333" s="954">
        <f t="shared" si="17"/>
        <v>6255</v>
      </c>
      <c r="AE333" s="625"/>
    </row>
    <row r="334" spans="1:31" s="620" customFormat="1" ht="18" customHeight="1" x14ac:dyDescent="0.2">
      <c r="A334" s="655" t="s">
        <v>2846</v>
      </c>
      <c r="B334" s="508">
        <f t="shared" si="18"/>
        <v>34</v>
      </c>
      <c r="C334" s="957">
        <f>+NOMINA!C338</f>
        <v>11897863</v>
      </c>
      <c r="D334" s="958" t="str">
        <f>+NOMINA!D338</f>
        <v>Rodriguez Maria Ibel</v>
      </c>
      <c r="E334" s="955" t="s">
        <v>4622</v>
      </c>
      <c r="F334" s="959">
        <v>27081</v>
      </c>
      <c r="G334" s="955" t="s">
        <v>4620</v>
      </c>
      <c r="H334" s="960">
        <f>+NOMINA!H338</f>
        <v>41548</v>
      </c>
      <c r="I334" s="961">
        <f>+NOMINA!I338</f>
        <v>11</v>
      </c>
      <c r="J334" s="962">
        <f>+NOMINA!J338</f>
        <v>0</v>
      </c>
      <c r="K334" s="961">
        <f>+NOMINA!K338</f>
        <v>11</v>
      </c>
      <c r="L334" s="963">
        <f>+NOMINA!CA338</f>
        <v>6255</v>
      </c>
      <c r="M334" s="443" t="e">
        <f>#REF!+#REF!-#REF!</f>
        <v>#REF!</v>
      </c>
      <c r="N334" s="952" t="e">
        <f>ROUND((#REF!+#REF!+#REF!+#REF!+#REF!+#REF!+#REF!+#REF!),2)</f>
        <v>#REF!</v>
      </c>
      <c r="Q334" s="620" t="e">
        <f>SUM(#REF!)</f>
        <v>#REF!</v>
      </c>
      <c r="R334" s="953" t="e">
        <f>#REF!+#REF!-#REF!</f>
        <v>#REF!</v>
      </c>
      <c r="S334" s="954">
        <v>200</v>
      </c>
      <c r="T334" s="953" t="e">
        <f>#REF!+#REF!</f>
        <v>#REF!</v>
      </c>
      <c r="U334" s="954" t="e">
        <f>#REF!</f>
        <v>#REF!</v>
      </c>
      <c r="V334" s="955">
        <v>0</v>
      </c>
      <c r="W334" s="954" t="e">
        <f>#REF!</f>
        <v>#REF!</v>
      </c>
      <c r="X334" s="956" t="e">
        <f>#REF!+#REF!</f>
        <v>#REF!</v>
      </c>
      <c r="Y334" s="956" t="e">
        <f>#REF!+#REF!</f>
        <v>#REF!</v>
      </c>
      <c r="Z334" s="956"/>
      <c r="AA334" s="954" t="e">
        <f>#REF!</f>
        <v>#REF!</v>
      </c>
      <c r="AB334" s="954" t="e">
        <f t="shared" si="16"/>
        <v>#REF!</v>
      </c>
      <c r="AC334" s="954" t="e">
        <f>#REF!+#REF!</f>
        <v>#REF!</v>
      </c>
      <c r="AD334" s="954">
        <f t="shared" si="17"/>
        <v>6255</v>
      </c>
      <c r="AE334" s="625"/>
    </row>
    <row r="335" spans="1:31" s="620" customFormat="1" ht="18" customHeight="1" x14ac:dyDescent="0.2">
      <c r="A335" s="655" t="s">
        <v>2846</v>
      </c>
      <c r="B335" s="508">
        <f t="shared" si="18"/>
        <v>35</v>
      </c>
      <c r="C335" s="957">
        <f>+NOMINA!C339</f>
        <v>12038359</v>
      </c>
      <c r="D335" s="958" t="str">
        <f>+NOMINA!D339</f>
        <v>Amaya Perez Carmen Elena</v>
      </c>
      <c r="E335" s="955" t="s">
        <v>4622</v>
      </c>
      <c r="F335" s="959">
        <v>27081</v>
      </c>
      <c r="G335" s="955" t="s">
        <v>4620</v>
      </c>
      <c r="H335" s="960">
        <f>+NOMINA!H339</f>
        <v>38103</v>
      </c>
      <c r="I335" s="961">
        <f>+NOMINA!I339</f>
        <v>21</v>
      </c>
      <c r="J335" s="962">
        <f>+NOMINA!J339</f>
        <v>0</v>
      </c>
      <c r="K335" s="961">
        <f>+NOMINA!K339</f>
        <v>21</v>
      </c>
      <c r="L335" s="963">
        <f>+NOMINA!CA339</f>
        <v>6255</v>
      </c>
      <c r="M335" s="443" t="e">
        <f>#REF!+#REF!-#REF!</f>
        <v>#REF!</v>
      </c>
      <c r="N335" s="952" t="e">
        <f>ROUND((#REF!+#REF!+#REF!+#REF!+#REF!+#REF!+#REF!+#REF!),2)</f>
        <v>#REF!</v>
      </c>
      <c r="Q335" s="620" t="e">
        <f>SUM(#REF!)</f>
        <v>#REF!</v>
      </c>
      <c r="R335" s="953" t="e">
        <f>#REF!+#REF!-#REF!</f>
        <v>#REF!</v>
      </c>
      <c r="S335" s="954">
        <v>200</v>
      </c>
      <c r="T335" s="953" t="e">
        <f>#REF!+#REF!</f>
        <v>#REF!</v>
      </c>
      <c r="U335" s="954" t="e">
        <f>#REF!</f>
        <v>#REF!</v>
      </c>
      <c r="V335" s="955">
        <v>0</v>
      </c>
      <c r="W335" s="954" t="e">
        <f>#REF!</f>
        <v>#REF!</v>
      </c>
      <c r="X335" s="956" t="e">
        <f>#REF!+#REF!</f>
        <v>#REF!</v>
      </c>
      <c r="Y335" s="956" t="e">
        <f>#REF!+#REF!</f>
        <v>#REF!</v>
      </c>
      <c r="Z335" s="956"/>
      <c r="AA335" s="954" t="e">
        <f>#REF!</f>
        <v>#REF!</v>
      </c>
      <c r="AB335" s="954" t="e">
        <f t="shared" si="16"/>
        <v>#REF!</v>
      </c>
      <c r="AC335" s="954" t="e">
        <f>#REF!+#REF!</f>
        <v>#REF!</v>
      </c>
      <c r="AD335" s="954">
        <f t="shared" si="17"/>
        <v>6255</v>
      </c>
      <c r="AE335" s="625"/>
    </row>
    <row r="336" spans="1:31" s="620" customFormat="1" ht="18" customHeight="1" x14ac:dyDescent="0.2">
      <c r="A336" s="655" t="s">
        <v>2846</v>
      </c>
      <c r="B336" s="508">
        <f t="shared" si="18"/>
        <v>36</v>
      </c>
      <c r="C336" s="957">
        <f>+NOMINA!C340</f>
        <v>12042930</v>
      </c>
      <c r="D336" s="958" t="str">
        <f>+NOMINA!D340</f>
        <v>Barroeta Cardozo Leonid Andrei</v>
      </c>
      <c r="E336" s="955" t="s">
        <v>4622</v>
      </c>
      <c r="F336" s="959">
        <v>27081</v>
      </c>
      <c r="G336" s="955" t="s">
        <v>4620</v>
      </c>
      <c r="H336" s="960">
        <f>+NOMINA!H340</f>
        <v>44986</v>
      </c>
      <c r="I336" s="961">
        <f>+NOMINA!I340</f>
        <v>2</v>
      </c>
      <c r="J336" s="962">
        <f>+NOMINA!J340</f>
        <v>0</v>
      </c>
      <c r="K336" s="961">
        <f>+NOMINA!K340</f>
        <v>2</v>
      </c>
      <c r="L336" s="963">
        <f>+NOMINA!CA340</f>
        <v>6255</v>
      </c>
      <c r="M336" s="443" t="e">
        <f>#REF!+#REF!-#REF!</f>
        <v>#REF!</v>
      </c>
      <c r="N336" s="952" t="e">
        <f>ROUND((#REF!+#REF!+#REF!+#REF!+#REF!+#REF!+#REF!+#REF!),2)</f>
        <v>#REF!</v>
      </c>
      <c r="Q336" s="620" t="e">
        <f>SUM(#REF!)</f>
        <v>#REF!</v>
      </c>
      <c r="R336" s="953" t="e">
        <f>#REF!+#REF!-#REF!</f>
        <v>#REF!</v>
      </c>
      <c r="S336" s="954">
        <v>200</v>
      </c>
      <c r="T336" s="953" t="e">
        <f>#REF!+#REF!</f>
        <v>#REF!</v>
      </c>
      <c r="U336" s="954" t="e">
        <f>#REF!</f>
        <v>#REF!</v>
      </c>
      <c r="V336" s="955">
        <v>0</v>
      </c>
      <c r="W336" s="954" t="e">
        <f>#REF!</f>
        <v>#REF!</v>
      </c>
      <c r="X336" s="956" t="e">
        <f>#REF!+#REF!</f>
        <v>#REF!</v>
      </c>
      <c r="Y336" s="956" t="e">
        <f>#REF!+#REF!</f>
        <v>#REF!</v>
      </c>
      <c r="Z336" s="956"/>
      <c r="AA336" s="954" t="e">
        <f>#REF!</f>
        <v>#REF!</v>
      </c>
      <c r="AB336" s="954" t="e">
        <f t="shared" si="16"/>
        <v>#REF!</v>
      </c>
      <c r="AC336" s="954" t="e">
        <f>#REF!+#REF!</f>
        <v>#REF!</v>
      </c>
      <c r="AD336" s="954">
        <f t="shared" si="17"/>
        <v>6255</v>
      </c>
      <c r="AE336" s="625"/>
    </row>
    <row r="337" spans="1:31" s="620" customFormat="1" ht="18" customHeight="1" x14ac:dyDescent="0.2">
      <c r="A337" s="655" t="s">
        <v>2846</v>
      </c>
      <c r="B337" s="508">
        <f t="shared" si="18"/>
        <v>37</v>
      </c>
      <c r="C337" s="957">
        <f>+NOMINA!C341</f>
        <v>12043135</v>
      </c>
      <c r="D337" s="958" t="str">
        <f>+NOMINA!D341</f>
        <v>Avila Salvio Rodolfo</v>
      </c>
      <c r="E337" s="955" t="s">
        <v>4622</v>
      </c>
      <c r="F337" s="959">
        <v>27081</v>
      </c>
      <c r="G337" s="955" t="s">
        <v>4620</v>
      </c>
      <c r="H337" s="960">
        <f>+NOMINA!H341</f>
        <v>43724</v>
      </c>
      <c r="I337" s="961">
        <f>+NOMINA!I341</f>
        <v>6</v>
      </c>
      <c r="J337" s="962">
        <f>+NOMINA!J341</f>
        <v>0</v>
      </c>
      <c r="K337" s="961">
        <f>+NOMINA!K341</f>
        <v>6</v>
      </c>
      <c r="L337" s="963">
        <f>+NOMINA!CA341</f>
        <v>6255</v>
      </c>
      <c r="M337" s="443" t="e">
        <f>#REF!+#REF!-#REF!</f>
        <v>#REF!</v>
      </c>
      <c r="N337" s="952" t="e">
        <f>ROUND((#REF!+#REF!+#REF!+#REF!+#REF!+#REF!+#REF!+#REF!),2)</f>
        <v>#REF!</v>
      </c>
      <c r="Q337" s="620" t="e">
        <f>SUM(#REF!)</f>
        <v>#REF!</v>
      </c>
      <c r="R337" s="953" t="e">
        <f>#REF!+#REF!-#REF!</f>
        <v>#REF!</v>
      </c>
      <c r="S337" s="954">
        <v>200</v>
      </c>
      <c r="T337" s="953" t="e">
        <f>#REF!+#REF!</f>
        <v>#REF!</v>
      </c>
      <c r="U337" s="954" t="e">
        <f>#REF!</f>
        <v>#REF!</v>
      </c>
      <c r="V337" s="955">
        <v>0</v>
      </c>
      <c r="W337" s="954" t="e">
        <f>#REF!</f>
        <v>#REF!</v>
      </c>
      <c r="X337" s="956" t="e">
        <f>#REF!+#REF!</f>
        <v>#REF!</v>
      </c>
      <c r="Y337" s="956" t="e">
        <f>#REF!+#REF!</f>
        <v>#REF!</v>
      </c>
      <c r="Z337" s="956"/>
      <c r="AA337" s="954" t="e">
        <f>#REF!</f>
        <v>#REF!</v>
      </c>
      <c r="AB337" s="954" t="e">
        <f t="shared" si="16"/>
        <v>#REF!</v>
      </c>
      <c r="AC337" s="954" t="e">
        <f>#REF!+#REF!</f>
        <v>#REF!</v>
      </c>
      <c r="AD337" s="954">
        <f t="shared" si="17"/>
        <v>6255</v>
      </c>
      <c r="AE337" s="625"/>
    </row>
    <row r="338" spans="1:31" s="620" customFormat="1" ht="18" customHeight="1" x14ac:dyDescent="0.2">
      <c r="A338" s="655" t="s">
        <v>2846</v>
      </c>
      <c r="B338" s="508">
        <f t="shared" si="18"/>
        <v>38</v>
      </c>
      <c r="C338" s="957">
        <f>+NOMINA!C342</f>
        <v>12044124</v>
      </c>
      <c r="D338" s="958" t="str">
        <f>+NOMINA!D342</f>
        <v>Rivas Carlos Luis</v>
      </c>
      <c r="E338" s="955" t="s">
        <v>4622</v>
      </c>
      <c r="F338" s="959">
        <v>27081</v>
      </c>
      <c r="G338" s="955" t="s">
        <v>4620</v>
      </c>
      <c r="H338" s="960">
        <f>+NOMINA!H342</f>
        <v>39539</v>
      </c>
      <c r="I338" s="961">
        <f>+NOMINA!I342</f>
        <v>17</v>
      </c>
      <c r="J338" s="962">
        <f>+NOMINA!J342</f>
        <v>0</v>
      </c>
      <c r="K338" s="961">
        <f>+NOMINA!K342</f>
        <v>17</v>
      </c>
      <c r="L338" s="963">
        <f>+NOMINA!CA342</f>
        <v>6255</v>
      </c>
      <c r="M338" s="443" t="e">
        <f>#REF!+#REF!-#REF!</f>
        <v>#REF!</v>
      </c>
      <c r="N338" s="952" t="e">
        <f>ROUND((#REF!+#REF!+#REF!+#REF!+#REF!+#REF!+#REF!+#REF!),2)</f>
        <v>#REF!</v>
      </c>
      <c r="Q338" s="620" t="e">
        <f>SUM(#REF!)</f>
        <v>#REF!</v>
      </c>
      <c r="R338" s="953" t="e">
        <f>#REF!+#REF!-#REF!</f>
        <v>#REF!</v>
      </c>
      <c r="S338" s="954">
        <v>200</v>
      </c>
      <c r="T338" s="953" t="e">
        <f>#REF!+#REF!</f>
        <v>#REF!</v>
      </c>
      <c r="U338" s="954" t="e">
        <f>#REF!</f>
        <v>#REF!</v>
      </c>
      <c r="V338" s="955">
        <v>0</v>
      </c>
      <c r="W338" s="954" t="e">
        <f>#REF!</f>
        <v>#REF!</v>
      </c>
      <c r="X338" s="956" t="e">
        <f>#REF!+#REF!</f>
        <v>#REF!</v>
      </c>
      <c r="Y338" s="956" t="e">
        <f>#REF!+#REF!</f>
        <v>#REF!</v>
      </c>
      <c r="Z338" s="956"/>
      <c r="AA338" s="954" t="e">
        <f>#REF!</f>
        <v>#REF!</v>
      </c>
      <c r="AB338" s="954" t="e">
        <f t="shared" si="16"/>
        <v>#REF!</v>
      </c>
      <c r="AC338" s="954" t="e">
        <f>#REF!+#REF!</f>
        <v>#REF!</v>
      </c>
      <c r="AD338" s="954">
        <f t="shared" si="17"/>
        <v>6255</v>
      </c>
      <c r="AE338" s="625"/>
    </row>
    <row r="339" spans="1:31" s="620" customFormat="1" ht="18" customHeight="1" x14ac:dyDescent="0.2">
      <c r="A339" s="655" t="s">
        <v>2846</v>
      </c>
      <c r="B339" s="508">
        <f t="shared" si="18"/>
        <v>39</v>
      </c>
      <c r="C339" s="957">
        <f>+NOMINA!C343</f>
        <v>12044754</v>
      </c>
      <c r="D339" s="958" t="str">
        <f>+NOMINA!D343</f>
        <v>Briceño Graterol Oscar Antonio</v>
      </c>
      <c r="E339" s="955" t="s">
        <v>4622</v>
      </c>
      <c r="F339" s="959">
        <v>27081</v>
      </c>
      <c r="G339" s="955" t="s">
        <v>4620</v>
      </c>
      <c r="H339" s="960">
        <f>+NOMINA!H343</f>
        <v>43481</v>
      </c>
      <c r="I339" s="961">
        <f>+NOMINA!I343</f>
        <v>6</v>
      </c>
      <c r="J339" s="962">
        <f>+NOMINA!J343</f>
        <v>0</v>
      </c>
      <c r="K339" s="961">
        <f>+NOMINA!K343</f>
        <v>6</v>
      </c>
      <c r="L339" s="963">
        <f>+NOMINA!CA343</f>
        <v>6255</v>
      </c>
      <c r="M339" s="443" t="e">
        <f>#REF!+#REF!-#REF!</f>
        <v>#REF!</v>
      </c>
      <c r="N339" s="952" t="e">
        <f>ROUND((#REF!+#REF!+#REF!+#REF!+#REF!+#REF!+#REF!+#REF!),2)</f>
        <v>#REF!</v>
      </c>
      <c r="Q339" s="620" t="e">
        <f>SUM(#REF!)</f>
        <v>#REF!</v>
      </c>
      <c r="R339" s="953" t="e">
        <f>#REF!+#REF!-#REF!</f>
        <v>#REF!</v>
      </c>
      <c r="S339" s="954">
        <v>200</v>
      </c>
      <c r="T339" s="953" t="e">
        <f>#REF!+#REF!</f>
        <v>#REF!</v>
      </c>
      <c r="U339" s="954" t="e">
        <f>#REF!</f>
        <v>#REF!</v>
      </c>
      <c r="V339" s="955">
        <v>0</v>
      </c>
      <c r="W339" s="954" t="e">
        <f>#REF!</f>
        <v>#REF!</v>
      </c>
      <c r="X339" s="956" t="e">
        <f>#REF!+#REF!</f>
        <v>#REF!</v>
      </c>
      <c r="Y339" s="956" t="e">
        <f>#REF!+#REF!</f>
        <v>#REF!</v>
      </c>
      <c r="Z339" s="956"/>
      <c r="AA339" s="954" t="e">
        <f>#REF!</f>
        <v>#REF!</v>
      </c>
      <c r="AB339" s="954" t="e">
        <f t="shared" si="16"/>
        <v>#REF!</v>
      </c>
      <c r="AC339" s="954" t="e">
        <f>#REF!+#REF!</f>
        <v>#REF!</v>
      </c>
      <c r="AD339" s="954">
        <f t="shared" si="17"/>
        <v>6255</v>
      </c>
      <c r="AE339" s="625"/>
    </row>
    <row r="340" spans="1:31" s="620" customFormat="1" ht="18" customHeight="1" x14ac:dyDescent="0.2">
      <c r="A340" s="655" t="s">
        <v>2846</v>
      </c>
      <c r="B340" s="508">
        <f t="shared" si="18"/>
        <v>40</v>
      </c>
      <c r="C340" s="957">
        <f>+NOMINA!C344</f>
        <v>12046834</v>
      </c>
      <c r="D340" s="958" t="str">
        <f>+NOMINA!D344</f>
        <v>Perez Montilla William Jose</v>
      </c>
      <c r="E340" s="955" t="s">
        <v>4622</v>
      </c>
      <c r="F340" s="959">
        <v>27081</v>
      </c>
      <c r="G340" s="955" t="s">
        <v>4620</v>
      </c>
      <c r="H340" s="960">
        <f>+NOMINA!H344</f>
        <v>43313</v>
      </c>
      <c r="I340" s="961">
        <f>+NOMINA!I344</f>
        <v>7</v>
      </c>
      <c r="J340" s="962">
        <f>+NOMINA!J344</f>
        <v>0</v>
      </c>
      <c r="K340" s="961">
        <f>+NOMINA!K344</f>
        <v>7</v>
      </c>
      <c r="L340" s="963">
        <f>+NOMINA!CA344</f>
        <v>6255</v>
      </c>
      <c r="M340" s="443" t="e">
        <f>#REF!+#REF!-#REF!</f>
        <v>#REF!</v>
      </c>
      <c r="N340" s="952" t="e">
        <f>ROUND((#REF!+#REF!+#REF!+#REF!+#REF!+#REF!+#REF!+#REF!),2)</f>
        <v>#REF!</v>
      </c>
      <c r="Q340" s="620" t="e">
        <f>SUM(#REF!)</f>
        <v>#REF!</v>
      </c>
      <c r="R340" s="953" t="e">
        <f>#REF!+#REF!-#REF!</f>
        <v>#REF!</v>
      </c>
      <c r="S340" s="954">
        <v>200</v>
      </c>
      <c r="T340" s="953" t="e">
        <f>#REF!+#REF!</f>
        <v>#REF!</v>
      </c>
      <c r="U340" s="954" t="e">
        <f>#REF!</f>
        <v>#REF!</v>
      </c>
      <c r="V340" s="955">
        <v>0</v>
      </c>
      <c r="W340" s="954" t="e">
        <f>#REF!</f>
        <v>#REF!</v>
      </c>
      <c r="X340" s="956" t="e">
        <f>#REF!+#REF!</f>
        <v>#REF!</v>
      </c>
      <c r="Y340" s="956" t="e">
        <f>#REF!+#REF!</f>
        <v>#REF!</v>
      </c>
      <c r="Z340" s="956"/>
      <c r="AA340" s="954" t="e">
        <f>#REF!</f>
        <v>#REF!</v>
      </c>
      <c r="AB340" s="954" t="e">
        <f t="shared" si="16"/>
        <v>#REF!</v>
      </c>
      <c r="AC340" s="954" t="e">
        <f>#REF!+#REF!</f>
        <v>#REF!</v>
      </c>
      <c r="AD340" s="954">
        <f t="shared" si="17"/>
        <v>6255</v>
      </c>
      <c r="AE340" s="625"/>
    </row>
    <row r="341" spans="1:31" s="620" customFormat="1" ht="18" customHeight="1" x14ac:dyDescent="0.2">
      <c r="A341" s="655" t="s">
        <v>2846</v>
      </c>
      <c r="B341" s="508">
        <f t="shared" si="18"/>
        <v>41</v>
      </c>
      <c r="C341" s="957">
        <f>+NOMINA!C345</f>
        <v>12047016</v>
      </c>
      <c r="D341" s="958" t="str">
        <f>+NOMINA!D345</f>
        <v>Lozada de Estenoz Maria Edicta</v>
      </c>
      <c r="E341" s="955" t="s">
        <v>4622</v>
      </c>
      <c r="F341" s="959">
        <v>27081</v>
      </c>
      <c r="G341" s="955" t="s">
        <v>4620</v>
      </c>
      <c r="H341" s="960">
        <f>+NOMINA!H345</f>
        <v>42948</v>
      </c>
      <c r="I341" s="961">
        <f>+NOMINA!I345</f>
        <v>8</v>
      </c>
      <c r="J341" s="962">
        <f>+NOMINA!J345</f>
        <v>0</v>
      </c>
      <c r="K341" s="961">
        <f>+NOMINA!K345</f>
        <v>8</v>
      </c>
      <c r="L341" s="963">
        <f>+NOMINA!CA345</f>
        <v>6255</v>
      </c>
      <c r="M341" s="443" t="e">
        <f>#REF!+#REF!-#REF!</f>
        <v>#REF!</v>
      </c>
      <c r="N341" s="952" t="e">
        <f>ROUND((#REF!+#REF!+#REF!+#REF!+#REF!+#REF!+#REF!+#REF!),2)</f>
        <v>#REF!</v>
      </c>
      <c r="Q341" s="620" t="e">
        <f>SUM(#REF!)</f>
        <v>#REF!</v>
      </c>
      <c r="R341" s="953" t="e">
        <f>#REF!+#REF!-#REF!</f>
        <v>#REF!</v>
      </c>
      <c r="S341" s="954">
        <v>200</v>
      </c>
      <c r="T341" s="953" t="e">
        <f>#REF!+#REF!</f>
        <v>#REF!</v>
      </c>
      <c r="U341" s="954" t="e">
        <f>#REF!</f>
        <v>#REF!</v>
      </c>
      <c r="V341" s="955">
        <v>0</v>
      </c>
      <c r="W341" s="954" t="e">
        <f>#REF!</f>
        <v>#REF!</v>
      </c>
      <c r="X341" s="956" t="e">
        <f>#REF!+#REF!</f>
        <v>#REF!</v>
      </c>
      <c r="Y341" s="956" t="e">
        <f>#REF!+#REF!</f>
        <v>#REF!</v>
      </c>
      <c r="Z341" s="956"/>
      <c r="AA341" s="954" t="e">
        <f>#REF!</f>
        <v>#REF!</v>
      </c>
      <c r="AB341" s="954" t="e">
        <f t="shared" si="16"/>
        <v>#REF!</v>
      </c>
      <c r="AC341" s="954" t="e">
        <f>#REF!+#REF!</f>
        <v>#REF!</v>
      </c>
      <c r="AD341" s="954">
        <f t="shared" si="17"/>
        <v>6255</v>
      </c>
      <c r="AE341" s="625"/>
    </row>
    <row r="342" spans="1:31" s="620" customFormat="1" ht="18" customHeight="1" x14ac:dyDescent="0.2">
      <c r="A342" s="655" t="s">
        <v>2846</v>
      </c>
      <c r="B342" s="508">
        <f t="shared" si="18"/>
        <v>42</v>
      </c>
      <c r="C342" s="957">
        <f>+NOMINA!C346</f>
        <v>12797215</v>
      </c>
      <c r="D342" s="958" t="str">
        <f>+NOMINA!D346</f>
        <v>Briceño Matheus Yhonny Alberto</v>
      </c>
      <c r="E342" s="955" t="s">
        <v>4622</v>
      </c>
      <c r="F342" s="959">
        <v>27081</v>
      </c>
      <c r="G342" s="955" t="s">
        <v>4620</v>
      </c>
      <c r="H342" s="960">
        <f>+NOMINA!H346</f>
        <v>45778</v>
      </c>
      <c r="I342" s="961">
        <f>+NOMINA!I346</f>
        <v>0</v>
      </c>
      <c r="J342" s="962">
        <f>+NOMINA!J346</f>
        <v>0</v>
      </c>
      <c r="K342" s="961">
        <f>+NOMINA!K346</f>
        <v>0</v>
      </c>
      <c r="L342" s="963">
        <f>+NOMINA!CA346</f>
        <v>6255</v>
      </c>
      <c r="M342" s="443" t="e">
        <f>#REF!+#REF!-#REF!</f>
        <v>#REF!</v>
      </c>
      <c r="N342" s="952" t="e">
        <f>ROUND((#REF!+#REF!+#REF!+#REF!+#REF!+#REF!+#REF!+#REF!),2)</f>
        <v>#REF!</v>
      </c>
      <c r="Q342" s="620" t="e">
        <f>SUM(#REF!)</f>
        <v>#REF!</v>
      </c>
      <c r="R342" s="953" t="e">
        <f>#REF!+#REF!-#REF!</f>
        <v>#REF!</v>
      </c>
      <c r="S342" s="954">
        <v>200</v>
      </c>
      <c r="T342" s="953" t="e">
        <f>#REF!+#REF!</f>
        <v>#REF!</v>
      </c>
      <c r="U342" s="954" t="e">
        <f>#REF!</f>
        <v>#REF!</v>
      </c>
      <c r="V342" s="955">
        <v>0</v>
      </c>
      <c r="W342" s="954" t="e">
        <f>#REF!</f>
        <v>#REF!</v>
      </c>
      <c r="X342" s="956" t="e">
        <f>#REF!+#REF!</f>
        <v>#REF!</v>
      </c>
      <c r="Y342" s="956" t="e">
        <f>#REF!+#REF!</f>
        <v>#REF!</v>
      </c>
      <c r="Z342" s="956"/>
      <c r="AA342" s="954" t="e">
        <f>#REF!</f>
        <v>#REF!</v>
      </c>
      <c r="AB342" s="954" t="e">
        <f t="shared" si="16"/>
        <v>#REF!</v>
      </c>
      <c r="AC342" s="954" t="e">
        <f>#REF!+#REF!</f>
        <v>#REF!</v>
      </c>
      <c r="AD342" s="954">
        <f t="shared" si="17"/>
        <v>6255</v>
      </c>
      <c r="AE342" s="625"/>
    </row>
    <row r="343" spans="1:31" s="620" customFormat="1" ht="18" customHeight="1" x14ac:dyDescent="0.2">
      <c r="A343" s="655" t="s">
        <v>2846</v>
      </c>
      <c r="B343" s="508">
        <f t="shared" si="18"/>
        <v>43</v>
      </c>
      <c r="C343" s="957">
        <f>+NOMINA!C347</f>
        <v>12797543</v>
      </c>
      <c r="D343" s="958" t="str">
        <f>+NOMINA!D347</f>
        <v>Carrizo Blanco Doris Coromoto</v>
      </c>
      <c r="E343" s="955" t="s">
        <v>4622</v>
      </c>
      <c r="F343" s="959">
        <v>27081</v>
      </c>
      <c r="G343" s="955" t="s">
        <v>4620</v>
      </c>
      <c r="H343" s="960">
        <f>+NOMINA!H347</f>
        <v>42948</v>
      </c>
      <c r="I343" s="961">
        <f>+NOMINA!I347</f>
        <v>8</v>
      </c>
      <c r="J343" s="962">
        <f>+NOMINA!J347</f>
        <v>0</v>
      </c>
      <c r="K343" s="961">
        <f>+NOMINA!K347</f>
        <v>8</v>
      </c>
      <c r="L343" s="963">
        <f>+NOMINA!CA347</f>
        <v>6255</v>
      </c>
      <c r="M343" s="443" t="e">
        <f>#REF!+#REF!-#REF!</f>
        <v>#REF!</v>
      </c>
      <c r="N343" s="952" t="e">
        <f>ROUND((#REF!+#REF!+#REF!+#REF!+#REF!+#REF!+#REF!+#REF!),2)</f>
        <v>#REF!</v>
      </c>
      <c r="Q343" s="620" t="e">
        <f>SUM(#REF!)</f>
        <v>#REF!</v>
      </c>
      <c r="R343" s="953" t="e">
        <f>#REF!+#REF!-#REF!</f>
        <v>#REF!</v>
      </c>
      <c r="S343" s="954">
        <v>200</v>
      </c>
      <c r="T343" s="953" t="e">
        <f>#REF!+#REF!</f>
        <v>#REF!</v>
      </c>
      <c r="U343" s="954" t="e">
        <f>#REF!</f>
        <v>#REF!</v>
      </c>
      <c r="V343" s="955">
        <v>0</v>
      </c>
      <c r="W343" s="954" t="e">
        <f>#REF!</f>
        <v>#REF!</v>
      </c>
      <c r="X343" s="956" t="e">
        <f>#REF!+#REF!</f>
        <v>#REF!</v>
      </c>
      <c r="Y343" s="956" t="e">
        <f>#REF!+#REF!</f>
        <v>#REF!</v>
      </c>
      <c r="Z343" s="956"/>
      <c r="AA343" s="954" t="e">
        <f>#REF!</f>
        <v>#REF!</v>
      </c>
      <c r="AB343" s="954" t="e">
        <f t="shared" si="16"/>
        <v>#REF!</v>
      </c>
      <c r="AC343" s="954" t="e">
        <f>#REF!+#REF!</f>
        <v>#REF!</v>
      </c>
      <c r="AD343" s="954">
        <f t="shared" si="17"/>
        <v>6255</v>
      </c>
      <c r="AE343" s="625"/>
    </row>
    <row r="344" spans="1:31" s="620" customFormat="1" ht="18" customHeight="1" x14ac:dyDescent="0.2">
      <c r="A344" s="655" t="s">
        <v>2846</v>
      </c>
      <c r="B344" s="508">
        <f t="shared" si="18"/>
        <v>44</v>
      </c>
      <c r="C344" s="957">
        <f>+NOMINA!C348</f>
        <v>12797598</v>
      </c>
      <c r="D344" s="958" t="str">
        <f>+NOMINA!D348</f>
        <v>Gutierrez Briceño Jose Gabriel</v>
      </c>
      <c r="E344" s="955" t="s">
        <v>4622</v>
      </c>
      <c r="F344" s="959">
        <v>27081</v>
      </c>
      <c r="G344" s="955" t="s">
        <v>4620</v>
      </c>
      <c r="H344" s="960">
        <f>+NOMINA!H348</f>
        <v>44635</v>
      </c>
      <c r="I344" s="961">
        <f>+NOMINA!I348</f>
        <v>3</v>
      </c>
      <c r="J344" s="962">
        <f>+NOMINA!J348</f>
        <v>0</v>
      </c>
      <c r="K344" s="961">
        <f>+NOMINA!K348</f>
        <v>3</v>
      </c>
      <c r="L344" s="963">
        <f>+NOMINA!CA348</f>
        <v>6255</v>
      </c>
      <c r="M344" s="443" t="e">
        <f>#REF!+#REF!-#REF!</f>
        <v>#REF!</v>
      </c>
      <c r="N344" s="952" t="e">
        <f>ROUND((#REF!+#REF!+#REF!+#REF!+#REF!+#REF!+#REF!+#REF!),2)</f>
        <v>#REF!</v>
      </c>
      <c r="Q344" s="620" t="e">
        <f>SUM(#REF!)</f>
        <v>#REF!</v>
      </c>
      <c r="R344" s="953" t="e">
        <f>#REF!+#REF!-#REF!</f>
        <v>#REF!</v>
      </c>
      <c r="S344" s="954">
        <v>200</v>
      </c>
      <c r="T344" s="953" t="e">
        <f>#REF!+#REF!</f>
        <v>#REF!</v>
      </c>
      <c r="U344" s="954" t="e">
        <f>#REF!</f>
        <v>#REF!</v>
      </c>
      <c r="V344" s="955">
        <v>0</v>
      </c>
      <c r="W344" s="954" t="e">
        <f>#REF!</f>
        <v>#REF!</v>
      </c>
      <c r="X344" s="956" t="e">
        <f>#REF!+#REF!</f>
        <v>#REF!</v>
      </c>
      <c r="Y344" s="956" t="e">
        <f>#REF!+#REF!</f>
        <v>#REF!</v>
      </c>
      <c r="Z344" s="956"/>
      <c r="AA344" s="954" t="e">
        <f>#REF!</f>
        <v>#REF!</v>
      </c>
      <c r="AB344" s="954" t="e">
        <f t="shared" si="16"/>
        <v>#REF!</v>
      </c>
      <c r="AC344" s="954" t="e">
        <f>#REF!+#REF!</f>
        <v>#REF!</v>
      </c>
      <c r="AD344" s="954">
        <f t="shared" si="17"/>
        <v>6255</v>
      </c>
      <c r="AE344" s="625"/>
    </row>
    <row r="345" spans="1:31" s="620" customFormat="1" ht="18" customHeight="1" x14ac:dyDescent="0.2">
      <c r="A345" s="655" t="s">
        <v>2846</v>
      </c>
      <c r="B345" s="508">
        <f t="shared" si="18"/>
        <v>45</v>
      </c>
      <c r="C345" s="957">
        <f>+NOMINA!C349</f>
        <v>13049800</v>
      </c>
      <c r="D345" s="958" t="str">
        <f>+NOMINA!D349</f>
        <v>Artigas Sanchez Mereldes Corina</v>
      </c>
      <c r="E345" s="955" t="s">
        <v>4622</v>
      </c>
      <c r="F345" s="959">
        <v>27081</v>
      </c>
      <c r="G345" s="955" t="s">
        <v>4620</v>
      </c>
      <c r="H345" s="960">
        <f>+NOMINA!H349</f>
        <v>42171</v>
      </c>
      <c r="I345" s="961">
        <f>+NOMINA!I349</f>
        <v>10</v>
      </c>
      <c r="J345" s="962">
        <f>+NOMINA!J349</f>
        <v>0</v>
      </c>
      <c r="K345" s="961">
        <f>+NOMINA!K349</f>
        <v>10</v>
      </c>
      <c r="L345" s="963">
        <f>+NOMINA!CA349</f>
        <v>6255</v>
      </c>
      <c r="M345" s="443" t="e">
        <f>#REF!+#REF!-#REF!</f>
        <v>#REF!</v>
      </c>
      <c r="N345" s="952" t="e">
        <f>ROUND((#REF!+#REF!+#REF!+#REF!+#REF!+#REF!+#REF!+#REF!),2)</f>
        <v>#REF!</v>
      </c>
      <c r="Q345" s="620" t="e">
        <f>SUM(#REF!)</f>
        <v>#REF!</v>
      </c>
      <c r="R345" s="953" t="e">
        <f>#REF!+#REF!-#REF!</f>
        <v>#REF!</v>
      </c>
      <c r="S345" s="954">
        <v>200</v>
      </c>
      <c r="T345" s="953" t="e">
        <f>#REF!+#REF!</f>
        <v>#REF!</v>
      </c>
      <c r="U345" s="954" t="e">
        <f>#REF!</f>
        <v>#REF!</v>
      </c>
      <c r="V345" s="955">
        <v>0</v>
      </c>
      <c r="W345" s="954" t="e">
        <f>#REF!</f>
        <v>#REF!</v>
      </c>
      <c r="X345" s="956" t="e">
        <f>#REF!+#REF!</f>
        <v>#REF!</v>
      </c>
      <c r="Y345" s="956" t="e">
        <f>#REF!+#REF!</f>
        <v>#REF!</v>
      </c>
      <c r="Z345" s="956"/>
      <c r="AA345" s="954" t="e">
        <f>#REF!</f>
        <v>#REF!</v>
      </c>
      <c r="AB345" s="954" t="e">
        <f t="shared" si="16"/>
        <v>#REF!</v>
      </c>
      <c r="AC345" s="954" t="e">
        <f>#REF!+#REF!</f>
        <v>#REF!</v>
      </c>
      <c r="AD345" s="954">
        <f t="shared" si="17"/>
        <v>6255</v>
      </c>
      <c r="AE345" s="625"/>
    </row>
    <row r="346" spans="1:31" s="620" customFormat="1" ht="18" customHeight="1" x14ac:dyDescent="0.2">
      <c r="A346" s="655" t="s">
        <v>2846</v>
      </c>
      <c r="B346" s="508">
        <f t="shared" si="18"/>
        <v>46</v>
      </c>
      <c r="C346" s="957">
        <f>+NOMINA!C350</f>
        <v>13376729</v>
      </c>
      <c r="D346" s="958" t="str">
        <f>+NOMINA!D350</f>
        <v>Briceño Aldana Yhon Mario</v>
      </c>
      <c r="E346" s="955" t="s">
        <v>4622</v>
      </c>
      <c r="F346" s="959">
        <v>27081</v>
      </c>
      <c r="G346" s="955" t="s">
        <v>4620</v>
      </c>
      <c r="H346" s="960">
        <f>+NOMINA!H350</f>
        <v>42948</v>
      </c>
      <c r="I346" s="961">
        <f>+NOMINA!I350</f>
        <v>8</v>
      </c>
      <c r="J346" s="962">
        <f>+NOMINA!J350</f>
        <v>0</v>
      </c>
      <c r="K346" s="961">
        <f>+NOMINA!K350</f>
        <v>8</v>
      </c>
      <c r="L346" s="963">
        <f>+NOMINA!CA350</f>
        <v>6255</v>
      </c>
      <c r="M346" s="443" t="e">
        <f>#REF!+#REF!-#REF!</f>
        <v>#REF!</v>
      </c>
      <c r="N346" s="952" t="e">
        <f>ROUND((#REF!+#REF!+#REF!+#REF!+#REF!+#REF!+#REF!+#REF!),2)</f>
        <v>#REF!</v>
      </c>
      <c r="Q346" s="620" t="e">
        <f>SUM(#REF!)</f>
        <v>#REF!</v>
      </c>
      <c r="R346" s="953" t="e">
        <f>#REF!+#REF!-#REF!</f>
        <v>#REF!</v>
      </c>
      <c r="S346" s="954">
        <v>200</v>
      </c>
      <c r="T346" s="953" t="e">
        <f>#REF!+#REF!</f>
        <v>#REF!</v>
      </c>
      <c r="U346" s="954" t="e">
        <f>#REF!</f>
        <v>#REF!</v>
      </c>
      <c r="V346" s="955">
        <v>0</v>
      </c>
      <c r="W346" s="954" t="e">
        <f>#REF!</f>
        <v>#REF!</v>
      </c>
      <c r="X346" s="956" t="e">
        <f>#REF!+#REF!</f>
        <v>#REF!</v>
      </c>
      <c r="Y346" s="956" t="e">
        <f>#REF!+#REF!</f>
        <v>#REF!</v>
      </c>
      <c r="Z346" s="956"/>
      <c r="AA346" s="954" t="e">
        <f>#REF!</f>
        <v>#REF!</v>
      </c>
      <c r="AB346" s="954" t="e">
        <f t="shared" si="16"/>
        <v>#REF!</v>
      </c>
      <c r="AC346" s="954" t="e">
        <f>#REF!+#REF!</f>
        <v>#REF!</v>
      </c>
      <c r="AD346" s="954">
        <f t="shared" si="17"/>
        <v>6255</v>
      </c>
      <c r="AE346" s="625"/>
    </row>
    <row r="347" spans="1:31" s="620" customFormat="1" ht="18" customHeight="1" x14ac:dyDescent="0.2">
      <c r="A347" s="655" t="s">
        <v>2846</v>
      </c>
      <c r="B347" s="508">
        <f t="shared" si="18"/>
        <v>47</v>
      </c>
      <c r="C347" s="957">
        <f>+NOMINA!C351</f>
        <v>13404824</v>
      </c>
      <c r="D347" s="958" t="str">
        <f>+NOMINA!D351</f>
        <v>Malpica Rivas Julio Enrique</v>
      </c>
      <c r="E347" s="955" t="s">
        <v>4622</v>
      </c>
      <c r="F347" s="959">
        <v>27081</v>
      </c>
      <c r="G347" s="955" t="s">
        <v>4620</v>
      </c>
      <c r="H347" s="960">
        <f>+NOMINA!H351</f>
        <v>45474</v>
      </c>
      <c r="I347" s="961">
        <f>+NOMINA!I351</f>
        <v>1</v>
      </c>
      <c r="J347" s="962">
        <f>+NOMINA!J351</f>
        <v>0</v>
      </c>
      <c r="K347" s="961">
        <f>+NOMINA!K351</f>
        <v>1</v>
      </c>
      <c r="L347" s="963">
        <f>+NOMINA!CA351</f>
        <v>6255</v>
      </c>
      <c r="M347" s="443" t="e">
        <f>#REF!+#REF!-#REF!</f>
        <v>#REF!</v>
      </c>
      <c r="N347" s="952" t="e">
        <f>ROUND((#REF!+#REF!+#REF!+#REF!+#REF!+#REF!+#REF!+#REF!),2)</f>
        <v>#REF!</v>
      </c>
      <c r="Q347" s="620" t="e">
        <f>SUM(#REF!)</f>
        <v>#REF!</v>
      </c>
      <c r="R347" s="953" t="e">
        <f>#REF!+#REF!-#REF!</f>
        <v>#REF!</v>
      </c>
      <c r="S347" s="954">
        <v>200</v>
      </c>
      <c r="T347" s="953" t="e">
        <f>#REF!+#REF!</f>
        <v>#REF!</v>
      </c>
      <c r="U347" s="954" t="e">
        <f>#REF!</f>
        <v>#REF!</v>
      </c>
      <c r="V347" s="955">
        <v>0</v>
      </c>
      <c r="W347" s="954" t="e">
        <f>#REF!</f>
        <v>#REF!</v>
      </c>
      <c r="X347" s="956" t="e">
        <f>#REF!+#REF!</f>
        <v>#REF!</v>
      </c>
      <c r="Y347" s="956" t="e">
        <f>#REF!+#REF!</f>
        <v>#REF!</v>
      </c>
      <c r="Z347" s="956"/>
      <c r="AA347" s="954" t="e">
        <f>#REF!</f>
        <v>#REF!</v>
      </c>
      <c r="AB347" s="954" t="e">
        <f t="shared" si="16"/>
        <v>#REF!</v>
      </c>
      <c r="AC347" s="954" t="e">
        <f>#REF!+#REF!</f>
        <v>#REF!</v>
      </c>
      <c r="AD347" s="954">
        <f t="shared" si="17"/>
        <v>6255</v>
      </c>
      <c r="AE347" s="625"/>
    </row>
    <row r="348" spans="1:31" s="620" customFormat="1" ht="18" customHeight="1" x14ac:dyDescent="0.2">
      <c r="A348" s="655" t="s">
        <v>2846</v>
      </c>
      <c r="B348" s="508">
        <f t="shared" si="18"/>
        <v>48</v>
      </c>
      <c r="C348" s="957">
        <f>+NOMINA!C352</f>
        <v>13745328</v>
      </c>
      <c r="D348" s="958" t="str">
        <f>+NOMINA!D352</f>
        <v>Arroyo Williams Jose</v>
      </c>
      <c r="E348" s="955" t="s">
        <v>4622</v>
      </c>
      <c r="F348" s="959">
        <v>27081</v>
      </c>
      <c r="G348" s="955" t="s">
        <v>4620</v>
      </c>
      <c r="H348" s="960">
        <f>+NOMINA!H352</f>
        <v>44805</v>
      </c>
      <c r="I348" s="961">
        <f>+NOMINA!I352</f>
        <v>3</v>
      </c>
      <c r="J348" s="962">
        <f>+NOMINA!J352</f>
        <v>0</v>
      </c>
      <c r="K348" s="961">
        <f>+NOMINA!K352</f>
        <v>3</v>
      </c>
      <c r="L348" s="963">
        <f>+NOMINA!CA352</f>
        <v>6255</v>
      </c>
      <c r="M348" s="443" t="e">
        <f>#REF!+#REF!-#REF!</f>
        <v>#REF!</v>
      </c>
      <c r="N348" s="952" t="e">
        <f>ROUND((#REF!+#REF!+#REF!+#REF!+#REF!+#REF!+#REF!+#REF!),2)</f>
        <v>#REF!</v>
      </c>
      <c r="Q348" s="620" t="e">
        <f>SUM(#REF!)</f>
        <v>#REF!</v>
      </c>
      <c r="R348" s="953" t="e">
        <f>#REF!+#REF!-#REF!</f>
        <v>#REF!</v>
      </c>
      <c r="S348" s="954">
        <v>200</v>
      </c>
      <c r="T348" s="953" t="e">
        <f>#REF!+#REF!</f>
        <v>#REF!</v>
      </c>
      <c r="U348" s="954" t="e">
        <f>#REF!</f>
        <v>#REF!</v>
      </c>
      <c r="V348" s="955">
        <v>0</v>
      </c>
      <c r="W348" s="954" t="e">
        <f>#REF!</f>
        <v>#REF!</v>
      </c>
      <c r="X348" s="956" t="e">
        <f>#REF!+#REF!</f>
        <v>#REF!</v>
      </c>
      <c r="Y348" s="956" t="e">
        <f>#REF!+#REF!</f>
        <v>#REF!</v>
      </c>
      <c r="Z348" s="956"/>
      <c r="AA348" s="954" t="e">
        <f>#REF!</f>
        <v>#REF!</v>
      </c>
      <c r="AB348" s="954" t="e">
        <f t="shared" si="16"/>
        <v>#REF!</v>
      </c>
      <c r="AC348" s="954" t="e">
        <f>#REF!+#REF!</f>
        <v>#REF!</v>
      </c>
      <c r="AD348" s="954">
        <f t="shared" si="17"/>
        <v>6255</v>
      </c>
      <c r="AE348" s="625"/>
    </row>
    <row r="349" spans="1:31" s="620" customFormat="1" ht="18" customHeight="1" x14ac:dyDescent="0.2">
      <c r="A349" s="655" t="s">
        <v>2846</v>
      </c>
      <c r="B349" s="508">
        <f t="shared" si="18"/>
        <v>49</v>
      </c>
      <c r="C349" s="957">
        <f>+NOMINA!C353</f>
        <v>13996661</v>
      </c>
      <c r="D349" s="958" t="str">
        <f>+NOMINA!D353</f>
        <v>Perez Montilla Yosmer Alexander</v>
      </c>
      <c r="E349" s="955" t="s">
        <v>4622</v>
      </c>
      <c r="F349" s="959">
        <v>27081</v>
      </c>
      <c r="G349" s="955" t="s">
        <v>4620</v>
      </c>
      <c r="H349" s="960">
        <f>+NOMINA!H353</f>
        <v>44743</v>
      </c>
      <c r="I349" s="961">
        <f>+NOMINA!I353</f>
        <v>3</v>
      </c>
      <c r="J349" s="962">
        <f>+NOMINA!J353</f>
        <v>14</v>
      </c>
      <c r="K349" s="961">
        <f>+NOMINA!K353</f>
        <v>17</v>
      </c>
      <c r="L349" s="963">
        <f>+NOMINA!CA353</f>
        <v>6255</v>
      </c>
      <c r="M349" s="443" t="e">
        <f>#REF!+#REF!-#REF!</f>
        <v>#REF!</v>
      </c>
      <c r="N349" s="952" t="e">
        <f>ROUND((#REF!+#REF!+#REF!+#REF!+#REF!+#REF!+#REF!+#REF!),2)</f>
        <v>#REF!</v>
      </c>
      <c r="Q349" s="620" t="e">
        <f>SUM(#REF!)</f>
        <v>#REF!</v>
      </c>
      <c r="R349" s="953" t="e">
        <f>#REF!+#REF!-#REF!</f>
        <v>#REF!</v>
      </c>
      <c r="S349" s="954">
        <v>200</v>
      </c>
      <c r="T349" s="953" t="e">
        <f>#REF!+#REF!</f>
        <v>#REF!</v>
      </c>
      <c r="U349" s="954" t="e">
        <f>#REF!</f>
        <v>#REF!</v>
      </c>
      <c r="V349" s="955">
        <v>0</v>
      </c>
      <c r="W349" s="954" t="e">
        <f>#REF!</f>
        <v>#REF!</v>
      </c>
      <c r="X349" s="956" t="e">
        <f>#REF!+#REF!</f>
        <v>#REF!</v>
      </c>
      <c r="Y349" s="956" t="e">
        <f>#REF!+#REF!</f>
        <v>#REF!</v>
      </c>
      <c r="Z349" s="956"/>
      <c r="AA349" s="954" t="e">
        <f>#REF!</f>
        <v>#REF!</v>
      </c>
      <c r="AB349" s="954" t="e">
        <f t="shared" si="16"/>
        <v>#REF!</v>
      </c>
      <c r="AC349" s="954" t="e">
        <f>#REF!+#REF!</f>
        <v>#REF!</v>
      </c>
      <c r="AD349" s="954">
        <f t="shared" si="17"/>
        <v>6255</v>
      </c>
      <c r="AE349" s="625"/>
    </row>
    <row r="350" spans="1:31" s="620" customFormat="1" ht="18" customHeight="1" x14ac:dyDescent="0.2">
      <c r="A350" s="655" t="s">
        <v>2846</v>
      </c>
      <c r="B350" s="508">
        <f t="shared" si="18"/>
        <v>50</v>
      </c>
      <c r="C350" s="957">
        <f>+NOMINA!C354</f>
        <v>13996885</v>
      </c>
      <c r="D350" s="958" t="str">
        <f>+NOMINA!D354</f>
        <v>Pulido Rojo Wilmer Jose</v>
      </c>
      <c r="E350" s="955" t="s">
        <v>4622</v>
      </c>
      <c r="F350" s="959">
        <v>27081</v>
      </c>
      <c r="G350" s="955" t="s">
        <v>4620</v>
      </c>
      <c r="H350" s="960">
        <f>+NOMINA!H354</f>
        <v>44363</v>
      </c>
      <c r="I350" s="961">
        <f>+NOMINA!I354</f>
        <v>4</v>
      </c>
      <c r="J350" s="962">
        <f>+NOMINA!J354</f>
        <v>0</v>
      </c>
      <c r="K350" s="961">
        <f>+NOMINA!K354</f>
        <v>4</v>
      </c>
      <c r="L350" s="963">
        <f>+NOMINA!CA354</f>
        <v>6255</v>
      </c>
      <c r="M350" s="443" t="e">
        <f>#REF!+#REF!-#REF!</f>
        <v>#REF!</v>
      </c>
      <c r="N350" s="952" t="e">
        <f>ROUND((#REF!+#REF!+#REF!+#REF!+#REF!+#REF!+#REF!+#REF!),2)</f>
        <v>#REF!</v>
      </c>
      <c r="Q350" s="620" t="e">
        <f>SUM(#REF!)</f>
        <v>#REF!</v>
      </c>
      <c r="R350" s="953" t="e">
        <f>#REF!+#REF!-#REF!</f>
        <v>#REF!</v>
      </c>
      <c r="S350" s="954">
        <v>200</v>
      </c>
      <c r="T350" s="953" t="e">
        <f>#REF!+#REF!</f>
        <v>#REF!</v>
      </c>
      <c r="U350" s="954" t="e">
        <f>#REF!</f>
        <v>#REF!</v>
      </c>
      <c r="V350" s="955">
        <v>0</v>
      </c>
      <c r="W350" s="954" t="e">
        <f>#REF!</f>
        <v>#REF!</v>
      </c>
      <c r="X350" s="956" t="e">
        <f>#REF!+#REF!</f>
        <v>#REF!</v>
      </c>
      <c r="Y350" s="956" t="e">
        <f>#REF!+#REF!</f>
        <v>#REF!</v>
      </c>
      <c r="Z350" s="956"/>
      <c r="AA350" s="954" t="e">
        <f>#REF!</f>
        <v>#REF!</v>
      </c>
      <c r="AB350" s="954" t="e">
        <f t="shared" si="16"/>
        <v>#REF!</v>
      </c>
      <c r="AC350" s="954" t="e">
        <f>#REF!+#REF!</f>
        <v>#REF!</v>
      </c>
      <c r="AD350" s="954">
        <f t="shared" si="17"/>
        <v>6255</v>
      </c>
      <c r="AE350" s="625"/>
    </row>
    <row r="351" spans="1:31" s="620" customFormat="1" ht="18" customHeight="1" x14ac:dyDescent="0.2">
      <c r="A351" s="655" t="s">
        <v>2846</v>
      </c>
      <c r="B351" s="508">
        <f t="shared" si="18"/>
        <v>51</v>
      </c>
      <c r="C351" s="957">
        <f>+NOMINA!C355</f>
        <v>14149971</v>
      </c>
      <c r="D351" s="958" t="str">
        <f>+NOMINA!D355</f>
        <v>Rivera Virginia del Carmen</v>
      </c>
      <c r="E351" s="955" t="s">
        <v>4622</v>
      </c>
      <c r="F351" s="959">
        <v>27081</v>
      </c>
      <c r="G351" s="955" t="s">
        <v>4620</v>
      </c>
      <c r="H351" s="960">
        <f>+NOMINA!H355</f>
        <v>41091</v>
      </c>
      <c r="I351" s="961">
        <f>+NOMINA!I355</f>
        <v>13</v>
      </c>
      <c r="J351" s="962">
        <f>+NOMINA!J355</f>
        <v>0</v>
      </c>
      <c r="K351" s="961">
        <f>+NOMINA!K355</f>
        <v>13</v>
      </c>
      <c r="L351" s="963">
        <f>+NOMINA!CA355</f>
        <v>6255</v>
      </c>
      <c r="M351" s="443" t="e">
        <f>#REF!+#REF!-#REF!</f>
        <v>#REF!</v>
      </c>
      <c r="N351" s="952" t="e">
        <f>ROUND((#REF!+#REF!+#REF!+#REF!+#REF!+#REF!+#REF!+#REF!),2)</f>
        <v>#REF!</v>
      </c>
      <c r="Q351" s="620" t="e">
        <f>SUM(#REF!)</f>
        <v>#REF!</v>
      </c>
      <c r="R351" s="953" t="e">
        <f>#REF!+#REF!-#REF!</f>
        <v>#REF!</v>
      </c>
      <c r="S351" s="954">
        <v>200</v>
      </c>
      <c r="T351" s="953" t="e">
        <f>#REF!+#REF!</f>
        <v>#REF!</v>
      </c>
      <c r="U351" s="954" t="e">
        <f>#REF!</f>
        <v>#REF!</v>
      </c>
      <c r="V351" s="955">
        <v>0</v>
      </c>
      <c r="W351" s="954" t="e">
        <f>#REF!</f>
        <v>#REF!</v>
      </c>
      <c r="X351" s="956" t="e">
        <f>#REF!+#REF!</f>
        <v>#REF!</v>
      </c>
      <c r="Y351" s="956" t="e">
        <f>#REF!+#REF!</f>
        <v>#REF!</v>
      </c>
      <c r="Z351" s="956"/>
      <c r="AA351" s="954" t="e">
        <f>#REF!</f>
        <v>#REF!</v>
      </c>
      <c r="AB351" s="954" t="e">
        <f t="shared" si="16"/>
        <v>#REF!</v>
      </c>
      <c r="AC351" s="954" t="e">
        <f>#REF!+#REF!</f>
        <v>#REF!</v>
      </c>
      <c r="AD351" s="954">
        <f t="shared" si="17"/>
        <v>6255</v>
      </c>
      <c r="AE351" s="625"/>
    </row>
    <row r="352" spans="1:31" s="620" customFormat="1" ht="18" customHeight="1" x14ac:dyDescent="0.2">
      <c r="A352" s="655" t="s">
        <v>2846</v>
      </c>
      <c r="B352" s="508">
        <f t="shared" si="18"/>
        <v>52</v>
      </c>
      <c r="C352" s="957">
        <f>+NOMINA!C356</f>
        <v>14150495</v>
      </c>
      <c r="D352" s="958" t="str">
        <f>+NOMINA!D356</f>
        <v>Umbria de Segovia Alexandra del Carmen</v>
      </c>
      <c r="E352" s="955" t="s">
        <v>4622</v>
      </c>
      <c r="F352" s="959">
        <v>27081</v>
      </c>
      <c r="G352" s="955" t="s">
        <v>4620</v>
      </c>
      <c r="H352" s="960">
        <f>+NOMINA!H356</f>
        <v>44228</v>
      </c>
      <c r="I352" s="961">
        <f>+NOMINA!I356</f>
        <v>4</v>
      </c>
      <c r="J352" s="962">
        <f>+NOMINA!J356</f>
        <v>0</v>
      </c>
      <c r="K352" s="961">
        <f>+NOMINA!K356</f>
        <v>4</v>
      </c>
      <c r="L352" s="963">
        <f>+NOMINA!CA356</f>
        <v>6255</v>
      </c>
      <c r="M352" s="443" t="e">
        <f>#REF!+#REF!-#REF!</f>
        <v>#REF!</v>
      </c>
      <c r="N352" s="952" t="e">
        <f>ROUND((#REF!+#REF!+#REF!+#REF!+#REF!+#REF!+#REF!+#REF!),2)</f>
        <v>#REF!</v>
      </c>
      <c r="Q352" s="620" t="e">
        <f>SUM(#REF!)</f>
        <v>#REF!</v>
      </c>
      <c r="R352" s="953" t="e">
        <f>#REF!+#REF!-#REF!</f>
        <v>#REF!</v>
      </c>
      <c r="S352" s="954">
        <v>200</v>
      </c>
      <c r="T352" s="953" t="e">
        <f>#REF!+#REF!</f>
        <v>#REF!</v>
      </c>
      <c r="U352" s="954" t="e">
        <f>#REF!</f>
        <v>#REF!</v>
      </c>
      <c r="V352" s="955">
        <v>0</v>
      </c>
      <c r="W352" s="954" t="e">
        <f>#REF!</f>
        <v>#REF!</v>
      </c>
      <c r="X352" s="956" t="e">
        <f>#REF!+#REF!</f>
        <v>#REF!</v>
      </c>
      <c r="Y352" s="956" t="e">
        <f>#REF!+#REF!</f>
        <v>#REF!</v>
      </c>
      <c r="Z352" s="956"/>
      <c r="AA352" s="954" t="e">
        <f>#REF!</f>
        <v>#REF!</v>
      </c>
      <c r="AB352" s="954" t="e">
        <f t="shared" si="16"/>
        <v>#REF!</v>
      </c>
      <c r="AC352" s="954" t="e">
        <f>#REF!+#REF!</f>
        <v>#REF!</v>
      </c>
      <c r="AD352" s="954">
        <f t="shared" si="17"/>
        <v>6255</v>
      </c>
      <c r="AE352" s="625"/>
    </row>
    <row r="353" spans="1:31" s="620" customFormat="1" ht="18" customHeight="1" x14ac:dyDescent="0.2">
      <c r="A353" s="655" t="s">
        <v>2846</v>
      </c>
      <c r="B353" s="508">
        <f t="shared" si="18"/>
        <v>53</v>
      </c>
      <c r="C353" s="957">
        <f>+NOMINA!C357</f>
        <v>14718369</v>
      </c>
      <c r="D353" s="958" t="str">
        <f>+NOMINA!D357</f>
        <v>Pacheco Yudith del Valle</v>
      </c>
      <c r="E353" s="955" t="s">
        <v>4622</v>
      </c>
      <c r="F353" s="959">
        <v>27081</v>
      </c>
      <c r="G353" s="955" t="s">
        <v>4620</v>
      </c>
      <c r="H353" s="960">
        <f>+NOMINA!H357</f>
        <v>43147</v>
      </c>
      <c r="I353" s="961">
        <f>+NOMINA!I357</f>
        <v>7</v>
      </c>
      <c r="J353" s="962">
        <f>+NOMINA!J357</f>
        <v>0</v>
      </c>
      <c r="K353" s="961">
        <f>+NOMINA!K357</f>
        <v>7</v>
      </c>
      <c r="L353" s="963">
        <f>+NOMINA!CA357</f>
        <v>6255</v>
      </c>
      <c r="M353" s="443" t="e">
        <f>#REF!+#REF!-#REF!</f>
        <v>#REF!</v>
      </c>
      <c r="N353" s="952" t="e">
        <f>ROUND((#REF!+#REF!+#REF!+#REF!+#REF!+#REF!+#REF!+#REF!),2)</f>
        <v>#REF!</v>
      </c>
      <c r="Q353" s="620" t="e">
        <f>SUM(#REF!)</f>
        <v>#REF!</v>
      </c>
      <c r="R353" s="953" t="e">
        <f>#REF!+#REF!-#REF!</f>
        <v>#REF!</v>
      </c>
      <c r="S353" s="954">
        <v>200</v>
      </c>
      <c r="T353" s="953" t="e">
        <f>#REF!+#REF!</f>
        <v>#REF!</v>
      </c>
      <c r="U353" s="954" t="e">
        <f>#REF!</f>
        <v>#REF!</v>
      </c>
      <c r="V353" s="955">
        <v>0</v>
      </c>
      <c r="W353" s="954" t="e">
        <f>#REF!</f>
        <v>#REF!</v>
      </c>
      <c r="X353" s="956" t="e">
        <f>#REF!+#REF!</f>
        <v>#REF!</v>
      </c>
      <c r="Y353" s="956" t="e">
        <f>#REF!+#REF!</f>
        <v>#REF!</v>
      </c>
      <c r="Z353" s="956"/>
      <c r="AA353" s="954" t="e">
        <f>#REF!</f>
        <v>#REF!</v>
      </c>
      <c r="AB353" s="954" t="e">
        <f t="shared" si="16"/>
        <v>#REF!</v>
      </c>
      <c r="AC353" s="954" t="e">
        <f>#REF!+#REF!</f>
        <v>#REF!</v>
      </c>
      <c r="AD353" s="954">
        <f t="shared" si="17"/>
        <v>6255</v>
      </c>
      <c r="AE353" s="625"/>
    </row>
    <row r="354" spans="1:31" s="620" customFormat="1" ht="18" customHeight="1" x14ac:dyDescent="0.2">
      <c r="A354" s="655" t="s">
        <v>2846</v>
      </c>
      <c r="B354" s="508">
        <f t="shared" si="18"/>
        <v>54</v>
      </c>
      <c r="C354" s="957">
        <f>+NOMINA!C358</f>
        <v>14718468</v>
      </c>
      <c r="D354" s="958" t="str">
        <f>+NOMINA!D358</f>
        <v>Frias Aldana Yhonny Ramon</v>
      </c>
      <c r="E354" s="955" t="s">
        <v>4622</v>
      </c>
      <c r="F354" s="959">
        <v>27081</v>
      </c>
      <c r="G354" s="955" t="s">
        <v>4620</v>
      </c>
      <c r="H354" s="960">
        <f>+NOMINA!H358</f>
        <v>42948</v>
      </c>
      <c r="I354" s="961">
        <f>+NOMINA!I358</f>
        <v>8</v>
      </c>
      <c r="J354" s="962">
        <f>+NOMINA!J358</f>
        <v>0</v>
      </c>
      <c r="K354" s="961">
        <f>+NOMINA!K358</f>
        <v>8</v>
      </c>
      <c r="L354" s="963">
        <f>+NOMINA!CA358</f>
        <v>6255</v>
      </c>
      <c r="M354" s="443" t="e">
        <f>#REF!+#REF!-#REF!</f>
        <v>#REF!</v>
      </c>
      <c r="N354" s="952" t="e">
        <f>ROUND((#REF!+#REF!+#REF!+#REF!+#REF!+#REF!+#REF!+#REF!),2)</f>
        <v>#REF!</v>
      </c>
      <c r="Q354" s="620" t="e">
        <f>SUM(#REF!)</f>
        <v>#REF!</v>
      </c>
      <c r="R354" s="953" t="e">
        <f>#REF!+#REF!-#REF!</f>
        <v>#REF!</v>
      </c>
      <c r="S354" s="954">
        <v>200</v>
      </c>
      <c r="T354" s="953" t="e">
        <f>#REF!+#REF!</f>
        <v>#REF!</v>
      </c>
      <c r="U354" s="954" t="e">
        <f>#REF!</f>
        <v>#REF!</v>
      </c>
      <c r="V354" s="955">
        <v>0</v>
      </c>
      <c r="W354" s="954" t="e">
        <f>#REF!</f>
        <v>#REF!</v>
      </c>
      <c r="X354" s="956" t="e">
        <f>#REF!+#REF!</f>
        <v>#REF!</v>
      </c>
      <c r="Y354" s="956" t="e">
        <f>#REF!+#REF!</f>
        <v>#REF!</v>
      </c>
      <c r="Z354" s="956"/>
      <c r="AA354" s="954" t="e">
        <f>#REF!</f>
        <v>#REF!</v>
      </c>
      <c r="AB354" s="954" t="e">
        <f t="shared" si="16"/>
        <v>#REF!</v>
      </c>
      <c r="AC354" s="954" t="e">
        <f>#REF!+#REF!</f>
        <v>#REF!</v>
      </c>
      <c r="AD354" s="954">
        <f t="shared" si="17"/>
        <v>6255</v>
      </c>
      <c r="AE354" s="625"/>
    </row>
    <row r="355" spans="1:31" s="620" customFormat="1" ht="18" customHeight="1" x14ac:dyDescent="0.2">
      <c r="A355" s="655" t="s">
        <v>2846</v>
      </c>
      <c r="B355" s="508">
        <f t="shared" si="18"/>
        <v>55</v>
      </c>
      <c r="C355" s="957">
        <f>+NOMINA!C359</f>
        <v>14719205</v>
      </c>
      <c r="D355" s="958" t="str">
        <f>+NOMINA!D359</f>
        <v>Chinchilla Perez Jean Carlos</v>
      </c>
      <c r="E355" s="955" t="s">
        <v>4622</v>
      </c>
      <c r="F355" s="959">
        <v>27081</v>
      </c>
      <c r="G355" s="955" t="s">
        <v>4620</v>
      </c>
      <c r="H355" s="960">
        <f>+NOMINA!H359</f>
        <v>39861</v>
      </c>
      <c r="I355" s="961">
        <f>+NOMINA!I359</f>
        <v>16</v>
      </c>
      <c r="J355" s="962">
        <f>+NOMINA!J359</f>
        <v>0</v>
      </c>
      <c r="K355" s="961">
        <f>+NOMINA!K359</f>
        <v>16</v>
      </c>
      <c r="L355" s="963">
        <f>+NOMINA!CA359</f>
        <v>0</v>
      </c>
      <c r="M355" s="443" t="e">
        <f>#REF!+#REF!-#REF!</f>
        <v>#REF!</v>
      </c>
      <c r="N355" s="952" t="e">
        <f>ROUND((#REF!+#REF!+#REF!+#REF!+#REF!+#REF!+#REF!+#REF!),2)</f>
        <v>#REF!</v>
      </c>
      <c r="Q355" s="620" t="e">
        <f>SUM(#REF!)</f>
        <v>#REF!</v>
      </c>
      <c r="R355" s="953" t="e">
        <f>#REF!+#REF!-#REF!</f>
        <v>#REF!</v>
      </c>
      <c r="S355" s="954">
        <v>200</v>
      </c>
      <c r="T355" s="953" t="e">
        <f>#REF!+#REF!</f>
        <v>#REF!</v>
      </c>
      <c r="U355" s="954" t="e">
        <f>#REF!</f>
        <v>#REF!</v>
      </c>
      <c r="V355" s="955">
        <v>0</v>
      </c>
      <c r="W355" s="954" t="e">
        <f>#REF!</f>
        <v>#REF!</v>
      </c>
      <c r="X355" s="956" t="e">
        <f>#REF!+#REF!</f>
        <v>#REF!</v>
      </c>
      <c r="Y355" s="956" t="e">
        <f>#REF!+#REF!</f>
        <v>#REF!</v>
      </c>
      <c r="Z355" s="956"/>
      <c r="AA355" s="954" t="e">
        <f>#REF!</f>
        <v>#REF!</v>
      </c>
      <c r="AB355" s="954" t="e">
        <f t="shared" si="16"/>
        <v>#REF!</v>
      </c>
      <c r="AC355" s="954" t="e">
        <f>#REF!+#REF!</f>
        <v>#REF!</v>
      </c>
      <c r="AD355" s="954">
        <f t="shared" si="17"/>
        <v>0</v>
      </c>
      <c r="AE355" s="625"/>
    </row>
    <row r="356" spans="1:31" s="620" customFormat="1" ht="18" customHeight="1" x14ac:dyDescent="0.2">
      <c r="A356" s="655" t="s">
        <v>2846</v>
      </c>
      <c r="B356" s="508">
        <f t="shared" si="18"/>
        <v>56</v>
      </c>
      <c r="C356" s="957">
        <f>+NOMINA!C360</f>
        <v>14719356</v>
      </c>
      <c r="D356" s="958" t="str">
        <f>+NOMINA!D360</f>
        <v>Linares Montilla Gerardo Enrique</v>
      </c>
      <c r="E356" s="955" t="s">
        <v>4622</v>
      </c>
      <c r="F356" s="959">
        <v>27081</v>
      </c>
      <c r="G356" s="955" t="s">
        <v>4620</v>
      </c>
      <c r="H356" s="960">
        <f>+NOMINA!H360</f>
        <v>44348</v>
      </c>
      <c r="I356" s="961">
        <f>+NOMINA!I360</f>
        <v>4</v>
      </c>
      <c r="J356" s="962">
        <f>+NOMINA!J360</f>
        <v>0</v>
      </c>
      <c r="K356" s="961">
        <f>+NOMINA!K360</f>
        <v>4</v>
      </c>
      <c r="L356" s="963">
        <f>+NOMINA!CA360</f>
        <v>6255</v>
      </c>
      <c r="M356" s="443" t="e">
        <f>#REF!+#REF!-#REF!</f>
        <v>#REF!</v>
      </c>
      <c r="N356" s="952" t="e">
        <f>ROUND((#REF!+#REF!+#REF!+#REF!+#REF!+#REF!+#REF!+#REF!),2)</f>
        <v>#REF!</v>
      </c>
      <c r="Q356" s="620" t="e">
        <f>SUM(#REF!)</f>
        <v>#REF!</v>
      </c>
      <c r="R356" s="953" t="e">
        <f>#REF!+#REF!-#REF!</f>
        <v>#REF!</v>
      </c>
      <c r="S356" s="954">
        <v>200</v>
      </c>
      <c r="T356" s="953" t="e">
        <f>#REF!+#REF!</f>
        <v>#REF!</v>
      </c>
      <c r="U356" s="954" t="e">
        <f>#REF!</f>
        <v>#REF!</v>
      </c>
      <c r="V356" s="955">
        <v>0</v>
      </c>
      <c r="W356" s="954" t="e">
        <f>#REF!</f>
        <v>#REF!</v>
      </c>
      <c r="X356" s="956" t="e">
        <f>#REF!+#REF!</f>
        <v>#REF!</v>
      </c>
      <c r="Y356" s="956" t="e">
        <f>#REF!+#REF!</f>
        <v>#REF!</v>
      </c>
      <c r="Z356" s="956"/>
      <c r="AA356" s="954" t="e">
        <f>#REF!</f>
        <v>#REF!</v>
      </c>
      <c r="AB356" s="954" t="e">
        <f t="shared" si="16"/>
        <v>#REF!</v>
      </c>
      <c r="AC356" s="954" t="e">
        <f>#REF!+#REF!</f>
        <v>#REF!</v>
      </c>
      <c r="AD356" s="954">
        <f t="shared" si="17"/>
        <v>6255</v>
      </c>
      <c r="AE356" s="625"/>
    </row>
    <row r="357" spans="1:31" s="620" customFormat="1" ht="18" customHeight="1" x14ac:dyDescent="0.2">
      <c r="A357" s="655" t="s">
        <v>2846</v>
      </c>
      <c r="B357" s="508">
        <f t="shared" si="18"/>
        <v>57</v>
      </c>
      <c r="C357" s="957">
        <f>+NOMINA!C361</f>
        <v>14780893</v>
      </c>
      <c r="D357" s="958" t="str">
        <f>+NOMINA!D361</f>
        <v>Perez Gonzalez Reinaldo Andre</v>
      </c>
      <c r="E357" s="955" t="s">
        <v>4622</v>
      </c>
      <c r="F357" s="959">
        <v>27081</v>
      </c>
      <c r="G357" s="955" t="s">
        <v>4620</v>
      </c>
      <c r="H357" s="960">
        <f>+NOMINA!H361</f>
        <v>41570</v>
      </c>
      <c r="I357" s="961">
        <f>+NOMINA!I361</f>
        <v>11</v>
      </c>
      <c r="J357" s="962">
        <f>+NOMINA!J361</f>
        <v>0</v>
      </c>
      <c r="K357" s="961">
        <f>+NOMINA!K361</f>
        <v>11</v>
      </c>
      <c r="L357" s="963">
        <f>+NOMINA!CA361</f>
        <v>6255</v>
      </c>
      <c r="M357" s="443" t="e">
        <f>#REF!+#REF!-#REF!</f>
        <v>#REF!</v>
      </c>
      <c r="N357" s="952" t="e">
        <f>ROUND((#REF!+#REF!+#REF!+#REF!+#REF!+#REF!+#REF!+#REF!),2)</f>
        <v>#REF!</v>
      </c>
      <c r="Q357" s="620" t="e">
        <f>SUM(#REF!)</f>
        <v>#REF!</v>
      </c>
      <c r="R357" s="953" t="e">
        <f>#REF!+#REF!-#REF!</f>
        <v>#REF!</v>
      </c>
      <c r="S357" s="954">
        <v>200</v>
      </c>
      <c r="T357" s="953" t="e">
        <f>#REF!+#REF!</f>
        <v>#REF!</v>
      </c>
      <c r="U357" s="954" t="e">
        <f>#REF!</f>
        <v>#REF!</v>
      </c>
      <c r="V357" s="955">
        <v>0</v>
      </c>
      <c r="W357" s="954" t="e">
        <f>#REF!</f>
        <v>#REF!</v>
      </c>
      <c r="X357" s="956" t="e">
        <f>#REF!+#REF!</f>
        <v>#REF!</v>
      </c>
      <c r="Y357" s="956" t="e">
        <f>#REF!+#REF!</f>
        <v>#REF!</v>
      </c>
      <c r="Z357" s="956"/>
      <c r="AA357" s="954" t="e">
        <f>#REF!</f>
        <v>#REF!</v>
      </c>
      <c r="AB357" s="954" t="e">
        <f t="shared" si="16"/>
        <v>#REF!</v>
      </c>
      <c r="AC357" s="954" t="e">
        <f>#REF!+#REF!</f>
        <v>#REF!</v>
      </c>
      <c r="AD357" s="954">
        <f t="shared" si="17"/>
        <v>6255</v>
      </c>
      <c r="AE357" s="625"/>
    </row>
    <row r="358" spans="1:31" s="620" customFormat="1" ht="18" customHeight="1" x14ac:dyDescent="0.2">
      <c r="A358" s="655" t="s">
        <v>2846</v>
      </c>
      <c r="B358" s="508">
        <f t="shared" si="18"/>
        <v>58</v>
      </c>
      <c r="C358" s="957">
        <f>+NOMINA!C362</f>
        <v>14928047</v>
      </c>
      <c r="D358" s="958" t="str">
        <f>+NOMINA!D362</f>
        <v>Becerra Teran Maria Alejandra</v>
      </c>
      <c r="E358" s="955" t="s">
        <v>4622</v>
      </c>
      <c r="F358" s="959">
        <v>27081</v>
      </c>
      <c r="G358" s="955" t="s">
        <v>4620</v>
      </c>
      <c r="H358" s="960">
        <f>+NOMINA!H362</f>
        <v>43297</v>
      </c>
      <c r="I358" s="961">
        <f>+NOMINA!I362</f>
        <v>7</v>
      </c>
      <c r="J358" s="962">
        <f>+NOMINA!J362</f>
        <v>0</v>
      </c>
      <c r="K358" s="961">
        <f>+NOMINA!K362</f>
        <v>7</v>
      </c>
      <c r="L358" s="963">
        <f>+NOMINA!CA362</f>
        <v>6255</v>
      </c>
      <c r="M358" s="443" t="e">
        <f>#REF!+#REF!-#REF!</f>
        <v>#REF!</v>
      </c>
      <c r="N358" s="952" t="e">
        <f>ROUND((#REF!+#REF!+#REF!+#REF!+#REF!+#REF!+#REF!+#REF!),2)</f>
        <v>#REF!</v>
      </c>
      <c r="Q358" s="620" t="e">
        <f>SUM(#REF!)</f>
        <v>#REF!</v>
      </c>
      <c r="R358" s="953" t="e">
        <f>#REF!+#REF!-#REF!</f>
        <v>#REF!</v>
      </c>
      <c r="S358" s="954">
        <v>200</v>
      </c>
      <c r="T358" s="953" t="e">
        <f>#REF!+#REF!</f>
        <v>#REF!</v>
      </c>
      <c r="U358" s="954" t="e">
        <f>#REF!</f>
        <v>#REF!</v>
      </c>
      <c r="V358" s="955">
        <v>0</v>
      </c>
      <c r="W358" s="954" t="e">
        <f>#REF!</f>
        <v>#REF!</v>
      </c>
      <c r="X358" s="956" t="e">
        <f>#REF!+#REF!</f>
        <v>#REF!</v>
      </c>
      <c r="Y358" s="956" t="e">
        <f>#REF!+#REF!</f>
        <v>#REF!</v>
      </c>
      <c r="Z358" s="956"/>
      <c r="AA358" s="954" t="e">
        <f>#REF!</f>
        <v>#REF!</v>
      </c>
      <c r="AB358" s="954" t="e">
        <f t="shared" si="16"/>
        <v>#REF!</v>
      </c>
      <c r="AC358" s="954" t="e">
        <f>#REF!+#REF!</f>
        <v>#REF!</v>
      </c>
      <c r="AD358" s="954">
        <f t="shared" si="17"/>
        <v>6255</v>
      </c>
      <c r="AE358" s="625"/>
    </row>
    <row r="359" spans="1:31" s="620" customFormat="1" ht="18" customHeight="1" x14ac:dyDescent="0.2">
      <c r="A359" s="655" t="s">
        <v>2846</v>
      </c>
      <c r="B359" s="508">
        <f t="shared" si="18"/>
        <v>59</v>
      </c>
      <c r="C359" s="957">
        <f>+NOMINA!C363</f>
        <v>15042683</v>
      </c>
      <c r="D359" s="958" t="str">
        <f>+NOMINA!D363</f>
        <v>Rivera Hermes Edixon</v>
      </c>
      <c r="E359" s="955" t="s">
        <v>4622</v>
      </c>
      <c r="F359" s="959">
        <v>27081</v>
      </c>
      <c r="G359" s="955" t="s">
        <v>4620</v>
      </c>
      <c r="H359" s="960">
        <f>+NOMINA!H363</f>
        <v>45292</v>
      </c>
      <c r="I359" s="961">
        <f>+NOMINA!I363</f>
        <v>1</v>
      </c>
      <c r="J359" s="962">
        <f>+NOMINA!J363</f>
        <v>0</v>
      </c>
      <c r="K359" s="961">
        <f>+NOMINA!K363</f>
        <v>1</v>
      </c>
      <c r="L359" s="963">
        <f>+NOMINA!CA363</f>
        <v>6255</v>
      </c>
      <c r="M359" s="443" t="e">
        <f>#REF!+#REF!-#REF!</f>
        <v>#REF!</v>
      </c>
      <c r="N359" s="952" t="e">
        <f>ROUND((#REF!+#REF!+#REF!+#REF!+#REF!+#REF!+#REF!+#REF!),2)</f>
        <v>#REF!</v>
      </c>
      <c r="Q359" s="620" t="e">
        <f>SUM(#REF!)</f>
        <v>#REF!</v>
      </c>
      <c r="R359" s="953" t="e">
        <f>#REF!+#REF!-#REF!</f>
        <v>#REF!</v>
      </c>
      <c r="S359" s="954">
        <v>200</v>
      </c>
      <c r="T359" s="953" t="e">
        <f>#REF!+#REF!</f>
        <v>#REF!</v>
      </c>
      <c r="U359" s="954" t="e">
        <f>#REF!</f>
        <v>#REF!</v>
      </c>
      <c r="V359" s="955">
        <v>0</v>
      </c>
      <c r="W359" s="954" t="e">
        <f>#REF!</f>
        <v>#REF!</v>
      </c>
      <c r="X359" s="956" t="e">
        <f>#REF!+#REF!</f>
        <v>#REF!</v>
      </c>
      <c r="Y359" s="956" t="e">
        <f>#REF!+#REF!</f>
        <v>#REF!</v>
      </c>
      <c r="Z359" s="956"/>
      <c r="AA359" s="954" t="e">
        <f>#REF!</f>
        <v>#REF!</v>
      </c>
      <c r="AB359" s="954" t="e">
        <f t="shared" si="16"/>
        <v>#REF!</v>
      </c>
      <c r="AC359" s="954" t="e">
        <f>#REF!+#REF!</f>
        <v>#REF!</v>
      </c>
      <c r="AD359" s="954">
        <f t="shared" si="17"/>
        <v>6255</v>
      </c>
      <c r="AE359" s="625"/>
    </row>
    <row r="360" spans="1:31" s="620" customFormat="1" ht="18" customHeight="1" x14ac:dyDescent="0.2">
      <c r="A360" s="655" t="s">
        <v>2846</v>
      </c>
      <c r="B360" s="508">
        <f t="shared" si="18"/>
        <v>60</v>
      </c>
      <c r="C360" s="957">
        <f>+NOMINA!C364</f>
        <v>15293784</v>
      </c>
      <c r="D360" s="958" t="str">
        <f>+NOMINA!D364</f>
        <v>Meza Alipio Jose</v>
      </c>
      <c r="E360" s="955" t="s">
        <v>4622</v>
      </c>
      <c r="F360" s="959">
        <v>27081</v>
      </c>
      <c r="G360" s="955" t="s">
        <v>4620</v>
      </c>
      <c r="H360" s="960">
        <f>+NOMINA!H364</f>
        <v>45778</v>
      </c>
      <c r="I360" s="961">
        <f>+NOMINA!I364</f>
        <v>0</v>
      </c>
      <c r="J360" s="962">
        <f>+NOMINA!J364</f>
        <v>0</v>
      </c>
      <c r="K360" s="961">
        <f>+NOMINA!K364</f>
        <v>0</v>
      </c>
      <c r="L360" s="963">
        <f>+NOMINA!CA364</f>
        <v>6255</v>
      </c>
      <c r="M360" s="443" t="e">
        <f>#REF!+#REF!-#REF!</f>
        <v>#REF!</v>
      </c>
      <c r="N360" s="952" t="e">
        <f>ROUND((#REF!+#REF!+#REF!+#REF!+#REF!+#REF!+#REF!+#REF!),2)</f>
        <v>#REF!</v>
      </c>
      <c r="Q360" s="620" t="e">
        <f>SUM(#REF!)</f>
        <v>#REF!</v>
      </c>
      <c r="R360" s="953" t="e">
        <f>#REF!+#REF!-#REF!</f>
        <v>#REF!</v>
      </c>
      <c r="S360" s="954">
        <v>200</v>
      </c>
      <c r="T360" s="953" t="e">
        <f>#REF!+#REF!</f>
        <v>#REF!</v>
      </c>
      <c r="U360" s="954" t="e">
        <f>#REF!</f>
        <v>#REF!</v>
      </c>
      <c r="V360" s="955">
        <v>0</v>
      </c>
      <c r="W360" s="954" t="e">
        <f>#REF!</f>
        <v>#REF!</v>
      </c>
      <c r="X360" s="956" t="e">
        <f>#REF!+#REF!</f>
        <v>#REF!</v>
      </c>
      <c r="Y360" s="956" t="e">
        <f>#REF!+#REF!</f>
        <v>#REF!</v>
      </c>
      <c r="Z360" s="956"/>
      <c r="AA360" s="954" t="e">
        <f>#REF!</f>
        <v>#REF!</v>
      </c>
      <c r="AB360" s="954" t="e">
        <f t="shared" si="16"/>
        <v>#REF!</v>
      </c>
      <c r="AC360" s="954" t="e">
        <f>#REF!+#REF!</f>
        <v>#REF!</v>
      </c>
      <c r="AD360" s="954">
        <f t="shared" si="17"/>
        <v>6255</v>
      </c>
      <c r="AE360" s="625"/>
    </row>
    <row r="361" spans="1:31" s="620" customFormat="1" ht="18" customHeight="1" x14ac:dyDescent="0.2">
      <c r="A361" s="655" t="s">
        <v>2846</v>
      </c>
      <c r="B361" s="508">
        <f t="shared" si="18"/>
        <v>61</v>
      </c>
      <c r="C361" s="957">
        <f>+NOMINA!C365</f>
        <v>15583194</v>
      </c>
      <c r="D361" s="958" t="str">
        <f>+NOMINA!D365</f>
        <v>Garcia Briceño Wuiston Andres</v>
      </c>
      <c r="E361" s="955" t="s">
        <v>4622</v>
      </c>
      <c r="F361" s="959">
        <v>27081</v>
      </c>
      <c r="G361" s="955" t="s">
        <v>4620</v>
      </c>
      <c r="H361" s="960">
        <f>+NOMINA!H365</f>
        <v>44166</v>
      </c>
      <c r="I361" s="961">
        <f>+NOMINA!I365</f>
        <v>4</v>
      </c>
      <c r="J361" s="962">
        <f>+NOMINA!J365</f>
        <v>8</v>
      </c>
      <c r="K361" s="961">
        <f>+NOMINA!K365</f>
        <v>12</v>
      </c>
      <c r="L361" s="963">
        <f>+NOMINA!CA365</f>
        <v>6255</v>
      </c>
      <c r="M361" s="443" t="e">
        <f>#REF!+#REF!-#REF!</f>
        <v>#REF!</v>
      </c>
      <c r="N361" s="952" t="e">
        <f>ROUND((#REF!+#REF!+#REF!+#REF!+#REF!+#REF!+#REF!+#REF!),2)</f>
        <v>#REF!</v>
      </c>
      <c r="Q361" s="620" t="e">
        <f>SUM(#REF!)</f>
        <v>#REF!</v>
      </c>
      <c r="R361" s="953" t="e">
        <f>#REF!+#REF!-#REF!</f>
        <v>#REF!</v>
      </c>
      <c r="S361" s="954">
        <v>200</v>
      </c>
      <c r="T361" s="953" t="e">
        <f>#REF!+#REF!</f>
        <v>#REF!</v>
      </c>
      <c r="U361" s="954" t="e">
        <f>#REF!</f>
        <v>#REF!</v>
      </c>
      <c r="V361" s="955">
        <v>0</v>
      </c>
      <c r="W361" s="954" t="e">
        <f>#REF!</f>
        <v>#REF!</v>
      </c>
      <c r="X361" s="956" t="e">
        <f>#REF!+#REF!</f>
        <v>#REF!</v>
      </c>
      <c r="Y361" s="956" t="e">
        <f>#REF!+#REF!</f>
        <v>#REF!</v>
      </c>
      <c r="Z361" s="956"/>
      <c r="AA361" s="954" t="e">
        <f>#REF!</f>
        <v>#REF!</v>
      </c>
      <c r="AB361" s="954" t="e">
        <f t="shared" si="16"/>
        <v>#REF!</v>
      </c>
      <c r="AC361" s="954" t="e">
        <f>#REF!+#REF!</f>
        <v>#REF!</v>
      </c>
      <c r="AD361" s="954">
        <f t="shared" si="17"/>
        <v>6255</v>
      </c>
      <c r="AE361" s="625"/>
    </row>
    <row r="362" spans="1:31" s="620" customFormat="1" ht="18" customHeight="1" x14ac:dyDescent="0.2">
      <c r="A362" s="655" t="s">
        <v>2846</v>
      </c>
      <c r="B362" s="508">
        <f t="shared" si="18"/>
        <v>62</v>
      </c>
      <c r="C362" s="957">
        <f>+NOMINA!C366</f>
        <v>14928592</v>
      </c>
      <c r="D362" s="958" t="str">
        <f>+NOMINA!D366</f>
        <v>Rosales Ruiz Jesus Alberto</v>
      </c>
      <c r="E362" s="955" t="s">
        <v>4622</v>
      </c>
      <c r="F362" s="959">
        <v>27081</v>
      </c>
      <c r="G362" s="955" t="s">
        <v>4620</v>
      </c>
      <c r="H362" s="960">
        <f>+NOMINA!H366</f>
        <v>45017</v>
      </c>
      <c r="I362" s="961">
        <f>+NOMINA!I366</f>
        <v>2</v>
      </c>
      <c r="J362" s="962">
        <f>+NOMINA!J366</f>
        <v>0</v>
      </c>
      <c r="K362" s="961">
        <f>+NOMINA!K366</f>
        <v>2</v>
      </c>
      <c r="L362" s="963">
        <f>+NOMINA!CA366</f>
        <v>6255</v>
      </c>
      <c r="M362" s="443" t="e">
        <f>#REF!+#REF!-#REF!</f>
        <v>#REF!</v>
      </c>
      <c r="N362" s="952" t="e">
        <f>ROUND((#REF!+#REF!+#REF!+#REF!+#REF!+#REF!+#REF!+#REF!),2)</f>
        <v>#REF!</v>
      </c>
      <c r="Q362" s="620" t="e">
        <f>SUM(#REF!)</f>
        <v>#REF!</v>
      </c>
      <c r="R362" s="953" t="e">
        <f>#REF!+#REF!-#REF!</f>
        <v>#REF!</v>
      </c>
      <c r="S362" s="954">
        <v>200</v>
      </c>
      <c r="T362" s="953" t="e">
        <f>#REF!+#REF!</f>
        <v>#REF!</v>
      </c>
      <c r="U362" s="954" t="e">
        <f>#REF!</f>
        <v>#REF!</v>
      </c>
      <c r="V362" s="955">
        <v>0</v>
      </c>
      <c r="W362" s="954" t="e">
        <f>#REF!</f>
        <v>#REF!</v>
      </c>
      <c r="X362" s="956" t="e">
        <f>#REF!+#REF!</f>
        <v>#REF!</v>
      </c>
      <c r="Y362" s="956" t="e">
        <f>#REF!+#REF!</f>
        <v>#REF!</v>
      </c>
      <c r="Z362" s="956"/>
      <c r="AA362" s="954" t="e">
        <f>#REF!</f>
        <v>#REF!</v>
      </c>
      <c r="AB362" s="954" t="e">
        <f t="shared" ref="AB362:AB392" si="19">SUM(T362:AA362)</f>
        <v>#REF!</v>
      </c>
      <c r="AC362" s="954" t="e">
        <f>#REF!+#REF!</f>
        <v>#REF!</v>
      </c>
      <c r="AD362" s="954">
        <f t="shared" si="17"/>
        <v>6255</v>
      </c>
      <c r="AE362" s="625"/>
    </row>
    <row r="363" spans="1:31" s="620" customFormat="1" ht="18" customHeight="1" x14ac:dyDescent="0.2">
      <c r="A363" s="655" t="s">
        <v>2846</v>
      </c>
      <c r="B363" s="508">
        <f t="shared" si="18"/>
        <v>63</v>
      </c>
      <c r="C363" s="957">
        <f>+NOMINA!C367</f>
        <v>15952512</v>
      </c>
      <c r="D363" s="958" t="str">
        <f>+NOMINA!D367</f>
        <v>Graterol Gonzalez Maria Ysela</v>
      </c>
      <c r="E363" s="955" t="s">
        <v>4622</v>
      </c>
      <c r="F363" s="959">
        <v>27081</v>
      </c>
      <c r="G363" s="955" t="s">
        <v>4620</v>
      </c>
      <c r="H363" s="960">
        <f>+NOMINA!H367</f>
        <v>40725</v>
      </c>
      <c r="I363" s="961">
        <f>+NOMINA!I367</f>
        <v>14</v>
      </c>
      <c r="J363" s="962">
        <f>+NOMINA!J367</f>
        <v>0</v>
      </c>
      <c r="K363" s="961">
        <f>+NOMINA!K367</f>
        <v>14</v>
      </c>
      <c r="L363" s="963">
        <f>+NOMINA!CA367</f>
        <v>6255</v>
      </c>
      <c r="M363" s="443" t="e">
        <f>#REF!+#REF!-#REF!</f>
        <v>#REF!</v>
      </c>
      <c r="N363" s="952" t="e">
        <f>ROUND((#REF!+#REF!+#REF!+#REF!+#REF!+#REF!+#REF!+#REF!),2)</f>
        <v>#REF!</v>
      </c>
      <c r="Q363" s="620" t="e">
        <f>SUM(#REF!)</f>
        <v>#REF!</v>
      </c>
      <c r="R363" s="953" t="e">
        <f>#REF!+#REF!-#REF!</f>
        <v>#REF!</v>
      </c>
      <c r="S363" s="954">
        <v>200</v>
      </c>
      <c r="T363" s="953" t="e">
        <f>#REF!+#REF!</f>
        <v>#REF!</v>
      </c>
      <c r="U363" s="954" t="e">
        <f>#REF!</f>
        <v>#REF!</v>
      </c>
      <c r="V363" s="955">
        <v>0</v>
      </c>
      <c r="W363" s="954" t="e">
        <f>#REF!</f>
        <v>#REF!</v>
      </c>
      <c r="X363" s="956" t="e">
        <f>#REF!+#REF!</f>
        <v>#REF!</v>
      </c>
      <c r="Y363" s="956" t="e">
        <f>#REF!+#REF!</f>
        <v>#REF!</v>
      </c>
      <c r="Z363" s="956"/>
      <c r="AA363" s="954" t="e">
        <f>#REF!</f>
        <v>#REF!</v>
      </c>
      <c r="AB363" s="954" t="e">
        <f t="shared" si="19"/>
        <v>#REF!</v>
      </c>
      <c r="AC363" s="954" t="e">
        <f>#REF!+#REF!</f>
        <v>#REF!</v>
      </c>
      <c r="AD363" s="954">
        <f t="shared" si="17"/>
        <v>6255</v>
      </c>
      <c r="AE363" s="625"/>
    </row>
    <row r="364" spans="1:31" s="620" customFormat="1" ht="18" customHeight="1" x14ac:dyDescent="0.2">
      <c r="A364" s="655" t="s">
        <v>2846</v>
      </c>
      <c r="B364" s="508">
        <f t="shared" si="18"/>
        <v>64</v>
      </c>
      <c r="C364" s="957">
        <f>+NOMINA!C368</f>
        <v>15953703</v>
      </c>
      <c r="D364" s="958" t="str">
        <f>+NOMINA!D368</f>
        <v>Briceño Salas Jose Leonardo</v>
      </c>
      <c r="E364" s="955" t="s">
        <v>4622</v>
      </c>
      <c r="F364" s="959">
        <v>27081</v>
      </c>
      <c r="G364" s="955" t="s">
        <v>4620</v>
      </c>
      <c r="H364" s="960">
        <f>+NOMINA!H368</f>
        <v>38718</v>
      </c>
      <c r="I364" s="961">
        <f>+NOMINA!I368</f>
        <v>19</v>
      </c>
      <c r="J364" s="962">
        <f>+NOMINA!J368</f>
        <v>0</v>
      </c>
      <c r="K364" s="961">
        <f>+NOMINA!K368</f>
        <v>19</v>
      </c>
      <c r="L364" s="963">
        <f>+NOMINA!CA368</f>
        <v>6255</v>
      </c>
      <c r="M364" s="443" t="e">
        <f>#REF!+#REF!-#REF!</f>
        <v>#REF!</v>
      </c>
      <c r="N364" s="952" t="e">
        <f>ROUND((#REF!+#REF!+#REF!+#REF!+#REF!+#REF!+#REF!+#REF!),2)</f>
        <v>#REF!</v>
      </c>
      <c r="Q364" s="620" t="e">
        <f>SUM(#REF!)</f>
        <v>#REF!</v>
      </c>
      <c r="R364" s="953" t="e">
        <f>#REF!+#REF!-#REF!</f>
        <v>#REF!</v>
      </c>
      <c r="S364" s="954">
        <v>200</v>
      </c>
      <c r="T364" s="953" t="e">
        <f>#REF!+#REF!</f>
        <v>#REF!</v>
      </c>
      <c r="U364" s="954" t="e">
        <f>#REF!</f>
        <v>#REF!</v>
      </c>
      <c r="V364" s="955">
        <v>0</v>
      </c>
      <c r="W364" s="954" t="e">
        <f>#REF!</f>
        <v>#REF!</v>
      </c>
      <c r="X364" s="956" t="e">
        <f>#REF!+#REF!</f>
        <v>#REF!</v>
      </c>
      <c r="Y364" s="956" t="e">
        <f>#REF!+#REF!</f>
        <v>#REF!</v>
      </c>
      <c r="Z364" s="956"/>
      <c r="AA364" s="954" t="e">
        <f>#REF!</f>
        <v>#REF!</v>
      </c>
      <c r="AB364" s="954" t="e">
        <f t="shared" si="19"/>
        <v>#REF!</v>
      </c>
      <c r="AC364" s="954" t="e">
        <f>#REF!+#REF!</f>
        <v>#REF!</v>
      </c>
      <c r="AD364" s="954">
        <f t="shared" si="17"/>
        <v>6255</v>
      </c>
      <c r="AE364" s="625"/>
    </row>
    <row r="365" spans="1:31" s="620" customFormat="1" ht="18" customHeight="1" x14ac:dyDescent="0.2">
      <c r="A365" s="655" t="s">
        <v>2846</v>
      </c>
      <c r="B365" s="508">
        <f t="shared" si="18"/>
        <v>65</v>
      </c>
      <c r="C365" s="957">
        <f>+NOMINA!C369</f>
        <v>16266801</v>
      </c>
      <c r="D365" s="958" t="str">
        <f>+NOMINA!D369</f>
        <v>Briceño Gonzalez Mirla Carolina</v>
      </c>
      <c r="E365" s="955" t="s">
        <v>4622</v>
      </c>
      <c r="F365" s="959">
        <v>27081</v>
      </c>
      <c r="G365" s="955" t="s">
        <v>4620</v>
      </c>
      <c r="H365" s="960">
        <f>+NOMINA!H369</f>
        <v>39496</v>
      </c>
      <c r="I365" s="961">
        <f>+NOMINA!I369</f>
        <v>17</v>
      </c>
      <c r="J365" s="962">
        <f>+NOMINA!J369</f>
        <v>0</v>
      </c>
      <c r="K365" s="961">
        <f>+NOMINA!K369</f>
        <v>17</v>
      </c>
      <c r="L365" s="963">
        <f>+NOMINA!CA369</f>
        <v>6255</v>
      </c>
      <c r="M365" s="443" t="e">
        <f>#REF!+#REF!-#REF!</f>
        <v>#REF!</v>
      </c>
      <c r="N365" s="952" t="e">
        <f>ROUND((#REF!+#REF!+#REF!+#REF!+#REF!+#REF!+#REF!+#REF!),2)</f>
        <v>#REF!</v>
      </c>
      <c r="Q365" s="620" t="e">
        <f>SUM(#REF!)</f>
        <v>#REF!</v>
      </c>
      <c r="R365" s="953" t="e">
        <f>#REF!+#REF!-#REF!</f>
        <v>#REF!</v>
      </c>
      <c r="S365" s="954">
        <v>200</v>
      </c>
      <c r="T365" s="953" t="e">
        <f>#REF!+#REF!</f>
        <v>#REF!</v>
      </c>
      <c r="U365" s="954" t="e">
        <f>#REF!</f>
        <v>#REF!</v>
      </c>
      <c r="V365" s="955">
        <v>0</v>
      </c>
      <c r="W365" s="954" t="e">
        <f>#REF!</f>
        <v>#REF!</v>
      </c>
      <c r="X365" s="956" t="e">
        <f>#REF!+#REF!</f>
        <v>#REF!</v>
      </c>
      <c r="Y365" s="956" t="e">
        <f>#REF!+#REF!</f>
        <v>#REF!</v>
      </c>
      <c r="Z365" s="956"/>
      <c r="AA365" s="954" t="e">
        <f>#REF!</f>
        <v>#REF!</v>
      </c>
      <c r="AB365" s="954" t="e">
        <f t="shared" si="19"/>
        <v>#REF!</v>
      </c>
      <c r="AC365" s="954" t="e">
        <f>#REF!+#REF!</f>
        <v>#REF!</v>
      </c>
      <c r="AD365" s="954">
        <f t="shared" si="17"/>
        <v>6255</v>
      </c>
      <c r="AE365" s="625"/>
    </row>
    <row r="366" spans="1:31" s="620" customFormat="1" ht="18" customHeight="1" x14ac:dyDescent="0.2">
      <c r="A366" s="655" t="s">
        <v>2846</v>
      </c>
      <c r="B366" s="508">
        <f t="shared" si="18"/>
        <v>66</v>
      </c>
      <c r="C366" s="957">
        <f>+NOMINA!C370</f>
        <v>16739958</v>
      </c>
      <c r="D366" s="958" t="str">
        <f>+NOMINA!D370</f>
        <v>Ramirez Ramirez Natali Gabriela</v>
      </c>
      <c r="E366" s="955" t="s">
        <v>4622</v>
      </c>
      <c r="F366" s="959">
        <v>27081</v>
      </c>
      <c r="G366" s="955" t="s">
        <v>4620</v>
      </c>
      <c r="H366" s="960">
        <f>+NOMINA!H370</f>
        <v>44866</v>
      </c>
      <c r="I366" s="961">
        <f>+NOMINA!I370</f>
        <v>2</v>
      </c>
      <c r="J366" s="962">
        <f>+NOMINA!J370</f>
        <v>0</v>
      </c>
      <c r="K366" s="961">
        <f>+NOMINA!K370</f>
        <v>2</v>
      </c>
      <c r="L366" s="963">
        <f>+NOMINA!CA370</f>
        <v>6255</v>
      </c>
      <c r="M366" s="443" t="e">
        <f>#REF!+#REF!-#REF!</f>
        <v>#REF!</v>
      </c>
      <c r="N366" s="952" t="e">
        <f>ROUND((#REF!+#REF!+#REF!+#REF!+#REF!+#REF!+#REF!+#REF!),2)</f>
        <v>#REF!</v>
      </c>
      <c r="Q366" s="620" t="e">
        <f>SUM(#REF!)</f>
        <v>#REF!</v>
      </c>
      <c r="R366" s="953" t="e">
        <f>#REF!+#REF!-#REF!</f>
        <v>#REF!</v>
      </c>
      <c r="S366" s="954">
        <v>200</v>
      </c>
      <c r="T366" s="953" t="e">
        <f>#REF!+#REF!</f>
        <v>#REF!</v>
      </c>
      <c r="U366" s="954" t="e">
        <f>#REF!</f>
        <v>#REF!</v>
      </c>
      <c r="V366" s="955">
        <v>0</v>
      </c>
      <c r="W366" s="954" t="e">
        <f>#REF!</f>
        <v>#REF!</v>
      </c>
      <c r="X366" s="956" t="e">
        <f>#REF!+#REF!</f>
        <v>#REF!</v>
      </c>
      <c r="Y366" s="956" t="e">
        <f>#REF!+#REF!</f>
        <v>#REF!</v>
      </c>
      <c r="Z366" s="956"/>
      <c r="AA366" s="954" t="e">
        <f>#REF!</f>
        <v>#REF!</v>
      </c>
      <c r="AB366" s="954" t="e">
        <f t="shared" si="19"/>
        <v>#REF!</v>
      </c>
      <c r="AC366" s="954" t="e">
        <f>#REF!+#REF!</f>
        <v>#REF!</v>
      </c>
      <c r="AD366" s="954">
        <f t="shared" ref="AD366:AD392" si="20">L366</f>
        <v>6255</v>
      </c>
      <c r="AE366" s="625"/>
    </row>
    <row r="367" spans="1:31" s="620" customFormat="1" ht="18" customHeight="1" x14ac:dyDescent="0.2">
      <c r="A367" s="655" t="s">
        <v>2846</v>
      </c>
      <c r="B367" s="508">
        <f t="shared" ref="B367:B392" si="21">+B366+1</f>
        <v>67</v>
      </c>
      <c r="C367" s="957">
        <f>+NOMINA!C371</f>
        <v>16881526</v>
      </c>
      <c r="D367" s="958" t="str">
        <f>+NOMINA!D371</f>
        <v>Montilla Mendoza Addy Coromoto</v>
      </c>
      <c r="E367" s="955" t="s">
        <v>4622</v>
      </c>
      <c r="F367" s="959">
        <v>27081</v>
      </c>
      <c r="G367" s="955" t="s">
        <v>4620</v>
      </c>
      <c r="H367" s="960">
        <f>+NOMINA!H371</f>
        <v>44470</v>
      </c>
      <c r="I367" s="961">
        <f>+NOMINA!I371</f>
        <v>3</v>
      </c>
      <c r="J367" s="962">
        <f>+NOMINA!J371</f>
        <v>0</v>
      </c>
      <c r="K367" s="961">
        <f>+NOMINA!K371</f>
        <v>3</v>
      </c>
      <c r="L367" s="963">
        <f>+NOMINA!CA371</f>
        <v>6255</v>
      </c>
      <c r="M367" s="443" t="e">
        <f>#REF!+#REF!-#REF!</f>
        <v>#REF!</v>
      </c>
      <c r="N367" s="952" t="e">
        <f>ROUND((#REF!+#REF!+#REF!+#REF!+#REF!+#REF!+#REF!+#REF!),2)</f>
        <v>#REF!</v>
      </c>
      <c r="Q367" s="620" t="e">
        <f>SUM(#REF!)</f>
        <v>#REF!</v>
      </c>
      <c r="R367" s="953" t="e">
        <f>#REF!+#REF!-#REF!</f>
        <v>#REF!</v>
      </c>
      <c r="S367" s="954">
        <v>200</v>
      </c>
      <c r="T367" s="953" t="e">
        <f>#REF!+#REF!</f>
        <v>#REF!</v>
      </c>
      <c r="U367" s="954" t="e">
        <f>#REF!</f>
        <v>#REF!</v>
      </c>
      <c r="V367" s="955">
        <v>0</v>
      </c>
      <c r="W367" s="954" t="e">
        <f>#REF!</f>
        <v>#REF!</v>
      </c>
      <c r="X367" s="956" t="e">
        <f>#REF!+#REF!</f>
        <v>#REF!</v>
      </c>
      <c r="Y367" s="956" t="e">
        <f>#REF!+#REF!</f>
        <v>#REF!</v>
      </c>
      <c r="Z367" s="956"/>
      <c r="AA367" s="954" t="e">
        <f>#REF!</f>
        <v>#REF!</v>
      </c>
      <c r="AB367" s="954" t="e">
        <f t="shared" si="19"/>
        <v>#REF!</v>
      </c>
      <c r="AC367" s="954" t="e">
        <f>#REF!+#REF!</f>
        <v>#REF!</v>
      </c>
      <c r="AD367" s="954">
        <f t="shared" si="20"/>
        <v>6255</v>
      </c>
      <c r="AE367" s="625"/>
    </row>
    <row r="368" spans="1:31" s="620" customFormat="1" ht="18" customHeight="1" x14ac:dyDescent="0.2">
      <c r="A368" s="655" t="s">
        <v>2846</v>
      </c>
      <c r="B368" s="508">
        <f t="shared" si="21"/>
        <v>68</v>
      </c>
      <c r="C368" s="957">
        <f>+NOMINA!C372</f>
        <v>17093567</v>
      </c>
      <c r="D368" s="958" t="str">
        <f>+NOMINA!D372</f>
        <v>Torres Villarreal Yenny del Carmen</v>
      </c>
      <c r="E368" s="955" t="s">
        <v>4622</v>
      </c>
      <c r="F368" s="959">
        <v>27081</v>
      </c>
      <c r="G368" s="955" t="s">
        <v>4620</v>
      </c>
      <c r="H368" s="960">
        <f>+NOMINA!H372</f>
        <v>39449</v>
      </c>
      <c r="I368" s="961">
        <f>+NOMINA!I372</f>
        <v>17</v>
      </c>
      <c r="J368" s="962">
        <f>+NOMINA!J372</f>
        <v>0</v>
      </c>
      <c r="K368" s="961">
        <f>+NOMINA!K372</f>
        <v>17</v>
      </c>
      <c r="L368" s="963">
        <f>+NOMINA!CA372</f>
        <v>6255</v>
      </c>
      <c r="M368" s="443" t="e">
        <f>#REF!+#REF!-#REF!</f>
        <v>#REF!</v>
      </c>
      <c r="N368" s="952" t="e">
        <f>ROUND((#REF!+#REF!+#REF!+#REF!+#REF!+#REF!+#REF!+#REF!),2)</f>
        <v>#REF!</v>
      </c>
      <c r="Q368" s="620" t="e">
        <f>SUM(#REF!)</f>
        <v>#REF!</v>
      </c>
      <c r="R368" s="953" t="e">
        <f>#REF!+#REF!-#REF!</f>
        <v>#REF!</v>
      </c>
      <c r="S368" s="954">
        <v>200</v>
      </c>
      <c r="T368" s="953" t="e">
        <f>#REF!+#REF!</f>
        <v>#REF!</v>
      </c>
      <c r="U368" s="954" t="e">
        <f>#REF!</f>
        <v>#REF!</v>
      </c>
      <c r="V368" s="955">
        <v>0</v>
      </c>
      <c r="W368" s="954" t="e">
        <f>#REF!</f>
        <v>#REF!</v>
      </c>
      <c r="X368" s="956" t="e">
        <f>#REF!+#REF!</f>
        <v>#REF!</v>
      </c>
      <c r="Y368" s="956" t="e">
        <f>#REF!+#REF!</f>
        <v>#REF!</v>
      </c>
      <c r="Z368" s="956"/>
      <c r="AA368" s="954" t="e">
        <f>#REF!</f>
        <v>#REF!</v>
      </c>
      <c r="AB368" s="954" t="e">
        <f t="shared" si="19"/>
        <v>#REF!</v>
      </c>
      <c r="AC368" s="954" t="e">
        <f>#REF!+#REF!</f>
        <v>#REF!</v>
      </c>
      <c r="AD368" s="954">
        <f t="shared" si="20"/>
        <v>6255</v>
      </c>
      <c r="AE368" s="625"/>
    </row>
    <row r="369" spans="1:31" s="620" customFormat="1" ht="18" customHeight="1" x14ac:dyDescent="0.2">
      <c r="A369" s="655" t="s">
        <v>2846</v>
      </c>
      <c r="B369" s="508">
        <f t="shared" si="21"/>
        <v>69</v>
      </c>
      <c r="C369" s="957">
        <f>+NOMINA!C373</f>
        <v>17093846</v>
      </c>
      <c r="D369" s="958" t="str">
        <f>+NOMINA!D373</f>
        <v>Bastidas Rivera Junior Antonio</v>
      </c>
      <c r="E369" s="955" t="s">
        <v>4622</v>
      </c>
      <c r="F369" s="959">
        <v>27081</v>
      </c>
      <c r="G369" s="955" t="s">
        <v>4620</v>
      </c>
      <c r="H369" s="960">
        <f>+NOMINA!H373</f>
        <v>45017</v>
      </c>
      <c r="I369" s="961">
        <f>+NOMINA!I373</f>
        <v>2</v>
      </c>
      <c r="J369" s="962">
        <f>+NOMINA!J373</f>
        <v>0</v>
      </c>
      <c r="K369" s="961">
        <f>+NOMINA!K373</f>
        <v>2</v>
      </c>
      <c r="L369" s="963">
        <f>+NOMINA!CA373</f>
        <v>6255</v>
      </c>
      <c r="M369" s="443" t="e">
        <f>#REF!+#REF!-#REF!</f>
        <v>#REF!</v>
      </c>
      <c r="N369" s="952" t="e">
        <f>ROUND((#REF!+#REF!+#REF!+#REF!+#REF!+#REF!+#REF!+#REF!),2)</f>
        <v>#REF!</v>
      </c>
      <c r="Q369" s="620" t="e">
        <f>SUM(#REF!)</f>
        <v>#REF!</v>
      </c>
      <c r="R369" s="953" t="e">
        <f>#REF!+#REF!-#REF!</f>
        <v>#REF!</v>
      </c>
      <c r="S369" s="954">
        <v>200</v>
      </c>
      <c r="T369" s="953" t="e">
        <f>#REF!+#REF!</f>
        <v>#REF!</v>
      </c>
      <c r="U369" s="954" t="e">
        <f>#REF!</f>
        <v>#REF!</v>
      </c>
      <c r="V369" s="955">
        <v>0</v>
      </c>
      <c r="W369" s="954" t="e">
        <f>#REF!</f>
        <v>#REF!</v>
      </c>
      <c r="X369" s="956" t="e">
        <f>#REF!+#REF!</f>
        <v>#REF!</v>
      </c>
      <c r="Y369" s="956" t="e">
        <f>#REF!+#REF!</f>
        <v>#REF!</v>
      </c>
      <c r="Z369" s="956"/>
      <c r="AA369" s="954" t="e">
        <f>#REF!</f>
        <v>#REF!</v>
      </c>
      <c r="AB369" s="954" t="e">
        <f t="shared" si="19"/>
        <v>#REF!</v>
      </c>
      <c r="AC369" s="954" t="e">
        <f>#REF!+#REF!</f>
        <v>#REF!</v>
      </c>
      <c r="AD369" s="954">
        <f t="shared" si="20"/>
        <v>6255</v>
      </c>
      <c r="AE369" s="625"/>
    </row>
    <row r="370" spans="1:31" s="620" customFormat="1" ht="18" customHeight="1" x14ac:dyDescent="0.2">
      <c r="A370" s="655" t="s">
        <v>2846</v>
      </c>
      <c r="B370" s="508">
        <f t="shared" si="21"/>
        <v>70</v>
      </c>
      <c r="C370" s="957">
        <f>+NOMINA!C374</f>
        <v>17095084</v>
      </c>
      <c r="D370" s="958" t="str">
        <f>+NOMINA!D374</f>
        <v>Gonzalez Simancas Yulimar del Valle</v>
      </c>
      <c r="E370" s="955" t="s">
        <v>4622</v>
      </c>
      <c r="F370" s="959">
        <v>27081</v>
      </c>
      <c r="G370" s="955" t="s">
        <v>4620</v>
      </c>
      <c r="H370" s="960">
        <f>+NOMINA!H374</f>
        <v>44317</v>
      </c>
      <c r="I370" s="961">
        <f>+NOMINA!I374</f>
        <v>4</v>
      </c>
      <c r="J370" s="962">
        <f>+NOMINA!J374</f>
        <v>0</v>
      </c>
      <c r="K370" s="961">
        <f>+NOMINA!K374</f>
        <v>4</v>
      </c>
      <c r="L370" s="963">
        <f>+NOMINA!CA374</f>
        <v>6255</v>
      </c>
      <c r="M370" s="443" t="e">
        <f>#REF!+#REF!-#REF!</f>
        <v>#REF!</v>
      </c>
      <c r="N370" s="952" t="e">
        <f>ROUND((#REF!+#REF!+#REF!+#REF!+#REF!+#REF!+#REF!+#REF!),2)</f>
        <v>#REF!</v>
      </c>
      <c r="Q370" s="620" t="e">
        <f>SUM(#REF!)</f>
        <v>#REF!</v>
      </c>
      <c r="R370" s="953" t="e">
        <f>#REF!+#REF!-#REF!</f>
        <v>#REF!</v>
      </c>
      <c r="S370" s="954">
        <v>200</v>
      </c>
      <c r="T370" s="953" t="e">
        <f>#REF!+#REF!</f>
        <v>#REF!</v>
      </c>
      <c r="U370" s="954" t="e">
        <f>#REF!</f>
        <v>#REF!</v>
      </c>
      <c r="V370" s="955">
        <v>0</v>
      </c>
      <c r="W370" s="954" t="e">
        <f>#REF!</f>
        <v>#REF!</v>
      </c>
      <c r="X370" s="956" t="e">
        <f>#REF!+#REF!</f>
        <v>#REF!</v>
      </c>
      <c r="Y370" s="956" t="e">
        <f>#REF!+#REF!</f>
        <v>#REF!</v>
      </c>
      <c r="Z370" s="956"/>
      <c r="AA370" s="954" t="e">
        <f>#REF!</f>
        <v>#REF!</v>
      </c>
      <c r="AB370" s="954" t="e">
        <f t="shared" si="19"/>
        <v>#REF!</v>
      </c>
      <c r="AC370" s="954" t="e">
        <f>#REF!+#REF!</f>
        <v>#REF!</v>
      </c>
      <c r="AD370" s="954">
        <f t="shared" si="20"/>
        <v>6255</v>
      </c>
      <c r="AE370" s="625"/>
    </row>
    <row r="371" spans="1:31" s="620" customFormat="1" ht="18" customHeight="1" x14ac:dyDescent="0.2">
      <c r="A371" s="655" t="s">
        <v>2846</v>
      </c>
      <c r="B371" s="508">
        <f t="shared" si="21"/>
        <v>71</v>
      </c>
      <c r="C371" s="957">
        <f>+NOMINA!C375</f>
        <v>17267173</v>
      </c>
      <c r="D371" s="958" t="str">
        <f>+NOMINA!D375</f>
        <v>Torres Alvarez Olga Josefina</v>
      </c>
      <c r="E371" s="955" t="s">
        <v>4622</v>
      </c>
      <c r="F371" s="959">
        <v>27081</v>
      </c>
      <c r="G371" s="955" t="s">
        <v>4620</v>
      </c>
      <c r="H371" s="960">
        <f>+NOMINA!H375</f>
        <v>44317</v>
      </c>
      <c r="I371" s="961">
        <f>+NOMINA!I375</f>
        <v>4</v>
      </c>
      <c r="J371" s="962">
        <f>+NOMINA!J375</f>
        <v>6</v>
      </c>
      <c r="K371" s="961">
        <f>+NOMINA!K375</f>
        <v>10</v>
      </c>
      <c r="L371" s="963">
        <f>+NOMINA!CA375</f>
        <v>6255</v>
      </c>
      <c r="M371" s="443" t="e">
        <f>#REF!+#REF!-#REF!</f>
        <v>#REF!</v>
      </c>
      <c r="N371" s="952" t="e">
        <f>ROUND((#REF!+#REF!+#REF!+#REF!+#REF!+#REF!+#REF!+#REF!),2)</f>
        <v>#REF!</v>
      </c>
      <c r="Q371" s="620" t="e">
        <f>SUM(#REF!)</f>
        <v>#REF!</v>
      </c>
      <c r="R371" s="953" t="e">
        <f>#REF!+#REF!-#REF!</f>
        <v>#REF!</v>
      </c>
      <c r="S371" s="954">
        <v>200</v>
      </c>
      <c r="T371" s="953" t="e">
        <f>#REF!+#REF!</f>
        <v>#REF!</v>
      </c>
      <c r="U371" s="954" t="e">
        <f>#REF!</f>
        <v>#REF!</v>
      </c>
      <c r="V371" s="955">
        <v>0</v>
      </c>
      <c r="W371" s="954" t="e">
        <f>#REF!</f>
        <v>#REF!</v>
      </c>
      <c r="X371" s="956" t="e">
        <f>#REF!+#REF!</f>
        <v>#REF!</v>
      </c>
      <c r="Y371" s="956" t="e">
        <f>#REF!+#REF!</f>
        <v>#REF!</v>
      </c>
      <c r="Z371" s="956"/>
      <c r="AA371" s="954" t="e">
        <f>#REF!</f>
        <v>#REF!</v>
      </c>
      <c r="AB371" s="954" t="e">
        <f t="shared" si="19"/>
        <v>#REF!</v>
      </c>
      <c r="AC371" s="954" t="e">
        <f>#REF!+#REF!</f>
        <v>#REF!</v>
      </c>
      <c r="AD371" s="954">
        <f t="shared" si="20"/>
        <v>6255</v>
      </c>
      <c r="AE371" s="625"/>
    </row>
    <row r="372" spans="1:31" s="620" customFormat="1" ht="18" customHeight="1" x14ac:dyDescent="0.2">
      <c r="A372" s="655" t="s">
        <v>2846</v>
      </c>
      <c r="B372" s="508">
        <f t="shared" si="21"/>
        <v>72</v>
      </c>
      <c r="C372" s="957">
        <f>+NOMINA!C376</f>
        <v>17267546</v>
      </c>
      <c r="D372" s="958" t="str">
        <f>+NOMINA!D376</f>
        <v>Bastidas Rivera Franklin Enrique</v>
      </c>
      <c r="E372" s="955" t="s">
        <v>4622</v>
      </c>
      <c r="F372" s="959">
        <v>27081</v>
      </c>
      <c r="G372" s="955" t="s">
        <v>4620</v>
      </c>
      <c r="H372" s="960">
        <f>+NOMINA!H376</f>
        <v>39197</v>
      </c>
      <c r="I372" s="961">
        <f>+NOMINA!I376</f>
        <v>18</v>
      </c>
      <c r="J372" s="962">
        <f>+NOMINA!J376</f>
        <v>0</v>
      </c>
      <c r="K372" s="961">
        <f>+NOMINA!K376</f>
        <v>18</v>
      </c>
      <c r="L372" s="963">
        <f>+NOMINA!CA376</f>
        <v>6255</v>
      </c>
      <c r="M372" s="443" t="e">
        <f>#REF!+#REF!-#REF!</f>
        <v>#REF!</v>
      </c>
      <c r="N372" s="952" t="e">
        <f>ROUND((#REF!+#REF!+#REF!+#REF!+#REF!+#REF!+#REF!+#REF!),2)</f>
        <v>#REF!</v>
      </c>
      <c r="Q372" s="620" t="e">
        <f>SUM(#REF!)</f>
        <v>#REF!</v>
      </c>
      <c r="R372" s="953" t="e">
        <f>#REF!+#REF!-#REF!</f>
        <v>#REF!</v>
      </c>
      <c r="S372" s="954">
        <v>200</v>
      </c>
      <c r="T372" s="953" t="e">
        <f>#REF!+#REF!</f>
        <v>#REF!</v>
      </c>
      <c r="U372" s="954" t="e">
        <f>#REF!</f>
        <v>#REF!</v>
      </c>
      <c r="V372" s="955">
        <v>0</v>
      </c>
      <c r="W372" s="954" t="e">
        <f>#REF!</f>
        <v>#REF!</v>
      </c>
      <c r="X372" s="956" t="e">
        <f>#REF!+#REF!</f>
        <v>#REF!</v>
      </c>
      <c r="Y372" s="956" t="e">
        <f>#REF!+#REF!</f>
        <v>#REF!</v>
      </c>
      <c r="Z372" s="956"/>
      <c r="AA372" s="954" t="e">
        <f>#REF!</f>
        <v>#REF!</v>
      </c>
      <c r="AB372" s="954" t="e">
        <f t="shared" si="19"/>
        <v>#REF!</v>
      </c>
      <c r="AC372" s="954" t="e">
        <f>#REF!+#REF!</f>
        <v>#REF!</v>
      </c>
      <c r="AD372" s="954">
        <f t="shared" si="20"/>
        <v>6255</v>
      </c>
      <c r="AE372" s="625"/>
    </row>
    <row r="373" spans="1:31" s="620" customFormat="1" ht="18" customHeight="1" x14ac:dyDescent="0.2">
      <c r="A373" s="655" t="s">
        <v>2846</v>
      </c>
      <c r="B373" s="508">
        <f t="shared" si="21"/>
        <v>73</v>
      </c>
      <c r="C373" s="957">
        <f>+NOMINA!C377</f>
        <v>18096032</v>
      </c>
      <c r="D373" s="958" t="str">
        <f>+NOMINA!D377</f>
        <v>Graterol Graterol Isidro Antonio</v>
      </c>
      <c r="E373" s="955" t="s">
        <v>4622</v>
      </c>
      <c r="F373" s="959">
        <v>27081</v>
      </c>
      <c r="G373" s="955" t="s">
        <v>4620</v>
      </c>
      <c r="H373" s="960">
        <f>+NOMINA!H377</f>
        <v>45566</v>
      </c>
      <c r="I373" s="961">
        <f>+NOMINA!I377</f>
        <v>0</v>
      </c>
      <c r="J373" s="962">
        <f>+NOMINA!J377</f>
        <v>16</v>
      </c>
      <c r="K373" s="961">
        <f>+NOMINA!K377</f>
        <v>16</v>
      </c>
      <c r="L373" s="963">
        <f>+NOMINA!CA377</f>
        <v>6255</v>
      </c>
      <c r="M373" s="443" t="e">
        <f>#REF!+#REF!-#REF!</f>
        <v>#REF!</v>
      </c>
      <c r="N373" s="952" t="e">
        <f>ROUND((#REF!+#REF!+#REF!+#REF!+#REF!+#REF!+#REF!+#REF!),2)</f>
        <v>#REF!</v>
      </c>
      <c r="Q373" s="620" t="e">
        <f>SUM(#REF!)</f>
        <v>#REF!</v>
      </c>
      <c r="R373" s="953" t="e">
        <f>#REF!+#REF!-#REF!</f>
        <v>#REF!</v>
      </c>
      <c r="S373" s="954">
        <v>200</v>
      </c>
      <c r="T373" s="953" t="e">
        <f>#REF!+#REF!</f>
        <v>#REF!</v>
      </c>
      <c r="U373" s="954" t="e">
        <f>#REF!</f>
        <v>#REF!</v>
      </c>
      <c r="V373" s="955">
        <v>0</v>
      </c>
      <c r="W373" s="954" t="e">
        <f>#REF!</f>
        <v>#REF!</v>
      </c>
      <c r="X373" s="956" t="e">
        <f>#REF!+#REF!</f>
        <v>#REF!</v>
      </c>
      <c r="Y373" s="956" t="e">
        <f>#REF!+#REF!</f>
        <v>#REF!</v>
      </c>
      <c r="Z373" s="956"/>
      <c r="AA373" s="954" t="e">
        <f>#REF!</f>
        <v>#REF!</v>
      </c>
      <c r="AB373" s="954" t="e">
        <f t="shared" si="19"/>
        <v>#REF!</v>
      </c>
      <c r="AC373" s="954" t="e">
        <f>#REF!+#REF!</f>
        <v>#REF!</v>
      </c>
      <c r="AD373" s="954">
        <f t="shared" si="20"/>
        <v>6255</v>
      </c>
      <c r="AE373" s="625"/>
    </row>
    <row r="374" spans="1:31" s="620" customFormat="1" ht="18" customHeight="1" x14ac:dyDescent="0.2">
      <c r="A374" s="655" t="s">
        <v>2846</v>
      </c>
      <c r="B374" s="508">
        <f t="shared" si="21"/>
        <v>74</v>
      </c>
      <c r="C374" s="957">
        <f>+NOMINA!C378</f>
        <v>18096338</v>
      </c>
      <c r="D374" s="958" t="str">
        <f>+NOMINA!D378</f>
        <v>Ramirez Manzanilla Jose Jesus</v>
      </c>
      <c r="E374" s="955" t="s">
        <v>4622</v>
      </c>
      <c r="F374" s="959">
        <v>27081</v>
      </c>
      <c r="G374" s="955" t="s">
        <v>4620</v>
      </c>
      <c r="H374" s="960">
        <f>+NOMINA!H378</f>
        <v>39463</v>
      </c>
      <c r="I374" s="961">
        <f>+NOMINA!I378</f>
        <v>17</v>
      </c>
      <c r="J374" s="962">
        <f>+NOMINA!J378</f>
        <v>3</v>
      </c>
      <c r="K374" s="961">
        <f>+NOMINA!K378</f>
        <v>20</v>
      </c>
      <c r="L374" s="963">
        <f>+NOMINA!CA378</f>
        <v>6255</v>
      </c>
      <c r="M374" s="443" t="e">
        <f>#REF!+#REF!-#REF!</f>
        <v>#REF!</v>
      </c>
      <c r="N374" s="952" t="e">
        <f>ROUND((#REF!+#REF!+#REF!+#REF!+#REF!+#REF!+#REF!+#REF!),2)</f>
        <v>#REF!</v>
      </c>
      <c r="Q374" s="620" t="e">
        <f>SUM(#REF!)</f>
        <v>#REF!</v>
      </c>
      <c r="R374" s="953" t="e">
        <f>#REF!+#REF!-#REF!</f>
        <v>#REF!</v>
      </c>
      <c r="S374" s="954">
        <v>200</v>
      </c>
      <c r="T374" s="953" t="e">
        <f>#REF!+#REF!</f>
        <v>#REF!</v>
      </c>
      <c r="U374" s="954" t="e">
        <f>#REF!</f>
        <v>#REF!</v>
      </c>
      <c r="V374" s="955">
        <v>0</v>
      </c>
      <c r="W374" s="954" t="e">
        <f>#REF!</f>
        <v>#REF!</v>
      </c>
      <c r="X374" s="956" t="e">
        <f>#REF!+#REF!</f>
        <v>#REF!</v>
      </c>
      <c r="Y374" s="956" t="e">
        <f>#REF!+#REF!</f>
        <v>#REF!</v>
      </c>
      <c r="Z374" s="956"/>
      <c r="AA374" s="954" t="e">
        <f>#REF!</f>
        <v>#REF!</v>
      </c>
      <c r="AB374" s="954" t="e">
        <f t="shared" si="19"/>
        <v>#REF!</v>
      </c>
      <c r="AC374" s="954" t="e">
        <f>#REF!+#REF!</f>
        <v>#REF!</v>
      </c>
      <c r="AD374" s="954">
        <f t="shared" si="20"/>
        <v>6255</v>
      </c>
      <c r="AE374" s="625"/>
    </row>
    <row r="375" spans="1:31" s="620" customFormat="1" ht="18" customHeight="1" x14ac:dyDescent="0.2">
      <c r="A375" s="655" t="s">
        <v>2846</v>
      </c>
      <c r="B375" s="508">
        <f t="shared" si="21"/>
        <v>75</v>
      </c>
      <c r="C375" s="957">
        <f>+NOMINA!C379</f>
        <v>18350780</v>
      </c>
      <c r="D375" s="958" t="str">
        <f>+NOMINA!D379</f>
        <v>Frias Aldana Giovanny Jacinto</v>
      </c>
      <c r="E375" s="955" t="s">
        <v>4622</v>
      </c>
      <c r="F375" s="959">
        <v>27081</v>
      </c>
      <c r="G375" s="955" t="s">
        <v>4620</v>
      </c>
      <c r="H375" s="960">
        <f>+NOMINA!H379</f>
        <v>43116</v>
      </c>
      <c r="I375" s="961">
        <f>+NOMINA!I379</f>
        <v>7</v>
      </c>
      <c r="J375" s="962">
        <f>+NOMINA!J379</f>
        <v>0</v>
      </c>
      <c r="K375" s="961">
        <f>+NOMINA!K379</f>
        <v>7</v>
      </c>
      <c r="L375" s="963">
        <f>+NOMINA!CA379</f>
        <v>6255</v>
      </c>
      <c r="M375" s="443" t="e">
        <f>#REF!+#REF!-#REF!</f>
        <v>#REF!</v>
      </c>
      <c r="N375" s="952" t="e">
        <f>ROUND((#REF!+#REF!+#REF!+#REF!+#REF!+#REF!+#REF!+#REF!),2)</f>
        <v>#REF!</v>
      </c>
      <c r="Q375" s="620" t="e">
        <f>SUM(#REF!)</f>
        <v>#REF!</v>
      </c>
      <c r="R375" s="953" t="e">
        <f>#REF!+#REF!-#REF!</f>
        <v>#REF!</v>
      </c>
      <c r="S375" s="954">
        <v>200</v>
      </c>
      <c r="T375" s="953" t="e">
        <f>#REF!+#REF!</f>
        <v>#REF!</v>
      </c>
      <c r="U375" s="954" t="e">
        <f>#REF!</f>
        <v>#REF!</v>
      </c>
      <c r="V375" s="955">
        <v>0</v>
      </c>
      <c r="W375" s="954" t="e">
        <f>#REF!</f>
        <v>#REF!</v>
      </c>
      <c r="X375" s="956" t="e">
        <f>#REF!+#REF!</f>
        <v>#REF!</v>
      </c>
      <c r="Y375" s="956" t="e">
        <f>#REF!+#REF!</f>
        <v>#REF!</v>
      </c>
      <c r="Z375" s="956"/>
      <c r="AA375" s="954" t="e">
        <f>#REF!</f>
        <v>#REF!</v>
      </c>
      <c r="AB375" s="954" t="e">
        <f t="shared" si="19"/>
        <v>#REF!</v>
      </c>
      <c r="AC375" s="954" t="e">
        <f>#REF!+#REF!</f>
        <v>#REF!</v>
      </c>
      <c r="AD375" s="954">
        <f t="shared" si="20"/>
        <v>6255</v>
      </c>
      <c r="AE375" s="625"/>
    </row>
    <row r="376" spans="1:31" s="620" customFormat="1" ht="18" customHeight="1" x14ac:dyDescent="0.2">
      <c r="A376" s="655" t="s">
        <v>2846</v>
      </c>
      <c r="B376" s="508">
        <f t="shared" si="21"/>
        <v>76</v>
      </c>
      <c r="C376" s="957">
        <f>+NOMINA!C380</f>
        <v>18456167</v>
      </c>
      <c r="D376" s="958" t="str">
        <f>+NOMINA!D380</f>
        <v>Olmos Linares Luis Alberto</v>
      </c>
      <c r="E376" s="955" t="s">
        <v>4622</v>
      </c>
      <c r="F376" s="959">
        <v>27081</v>
      </c>
      <c r="G376" s="955" t="s">
        <v>4620</v>
      </c>
      <c r="H376" s="960">
        <f>+NOMINA!H380</f>
        <v>44516</v>
      </c>
      <c r="I376" s="961">
        <f>+NOMINA!I380</f>
        <v>3</v>
      </c>
      <c r="J376" s="962">
        <f>+NOMINA!J380</f>
        <v>0</v>
      </c>
      <c r="K376" s="961">
        <f>+NOMINA!K380</f>
        <v>3</v>
      </c>
      <c r="L376" s="963">
        <f>+NOMINA!CA380</f>
        <v>6255</v>
      </c>
      <c r="M376" s="443" t="e">
        <f>#REF!+#REF!-#REF!</f>
        <v>#REF!</v>
      </c>
      <c r="N376" s="952" t="e">
        <f>ROUND((#REF!+#REF!+#REF!+#REF!+#REF!+#REF!+#REF!+#REF!),2)</f>
        <v>#REF!</v>
      </c>
      <c r="Q376" s="620" t="e">
        <f>SUM(#REF!)</f>
        <v>#REF!</v>
      </c>
      <c r="R376" s="953" t="e">
        <f>#REF!+#REF!-#REF!</f>
        <v>#REF!</v>
      </c>
      <c r="S376" s="954">
        <v>200</v>
      </c>
      <c r="T376" s="953" t="e">
        <f>#REF!+#REF!</f>
        <v>#REF!</v>
      </c>
      <c r="U376" s="954" t="e">
        <f>#REF!</f>
        <v>#REF!</v>
      </c>
      <c r="V376" s="955">
        <v>0</v>
      </c>
      <c r="W376" s="954" t="e">
        <f>#REF!</f>
        <v>#REF!</v>
      </c>
      <c r="X376" s="956" t="e">
        <f>#REF!+#REF!</f>
        <v>#REF!</v>
      </c>
      <c r="Y376" s="956" t="e">
        <f>#REF!+#REF!</f>
        <v>#REF!</v>
      </c>
      <c r="Z376" s="956"/>
      <c r="AA376" s="954" t="e">
        <f>#REF!</f>
        <v>#REF!</v>
      </c>
      <c r="AB376" s="954" t="e">
        <f t="shared" si="19"/>
        <v>#REF!</v>
      </c>
      <c r="AC376" s="954" t="e">
        <f>#REF!+#REF!</f>
        <v>#REF!</v>
      </c>
      <c r="AD376" s="954">
        <f t="shared" si="20"/>
        <v>6255</v>
      </c>
      <c r="AE376" s="625"/>
    </row>
    <row r="377" spans="1:31" s="620" customFormat="1" ht="18" customHeight="1" x14ac:dyDescent="0.2">
      <c r="A377" s="655" t="s">
        <v>2846</v>
      </c>
      <c r="B377" s="508">
        <f t="shared" si="21"/>
        <v>77</v>
      </c>
      <c r="C377" s="957">
        <f>+NOMINA!C381</f>
        <v>18456576</v>
      </c>
      <c r="D377" s="958" t="str">
        <f>+NOMINA!D381</f>
        <v>Quintero Duran Emilio Alfonso</v>
      </c>
      <c r="E377" s="955" t="s">
        <v>4622</v>
      </c>
      <c r="F377" s="959">
        <v>27081</v>
      </c>
      <c r="G377" s="955" t="s">
        <v>4620</v>
      </c>
      <c r="H377" s="960">
        <f>+NOMINA!H381</f>
        <v>44743</v>
      </c>
      <c r="I377" s="961">
        <f>+NOMINA!I381</f>
        <v>3</v>
      </c>
      <c r="J377" s="962">
        <f>+NOMINA!J381</f>
        <v>0</v>
      </c>
      <c r="K377" s="961">
        <f>+NOMINA!K381</f>
        <v>3</v>
      </c>
      <c r="L377" s="963">
        <f>+NOMINA!CA381</f>
        <v>6255</v>
      </c>
      <c r="M377" s="443" t="e">
        <f>#REF!+#REF!-#REF!</f>
        <v>#REF!</v>
      </c>
      <c r="N377" s="952" t="e">
        <f>ROUND((#REF!+#REF!+#REF!+#REF!+#REF!+#REF!+#REF!+#REF!),2)</f>
        <v>#REF!</v>
      </c>
      <c r="Q377" s="620" t="e">
        <f>SUM(#REF!)</f>
        <v>#REF!</v>
      </c>
      <c r="R377" s="953" t="e">
        <f>#REF!+#REF!-#REF!</f>
        <v>#REF!</v>
      </c>
      <c r="S377" s="954">
        <v>200</v>
      </c>
      <c r="T377" s="953" t="e">
        <f>#REF!+#REF!</f>
        <v>#REF!</v>
      </c>
      <c r="U377" s="954" t="e">
        <f>#REF!</f>
        <v>#REF!</v>
      </c>
      <c r="V377" s="955">
        <v>0</v>
      </c>
      <c r="W377" s="954" t="e">
        <f>#REF!</f>
        <v>#REF!</v>
      </c>
      <c r="X377" s="956" t="e">
        <f>#REF!+#REF!</f>
        <v>#REF!</v>
      </c>
      <c r="Y377" s="956" t="e">
        <f>#REF!+#REF!</f>
        <v>#REF!</v>
      </c>
      <c r="Z377" s="956"/>
      <c r="AA377" s="954" t="e">
        <f>#REF!</f>
        <v>#REF!</v>
      </c>
      <c r="AB377" s="954" t="e">
        <f t="shared" si="19"/>
        <v>#REF!</v>
      </c>
      <c r="AC377" s="954" t="e">
        <f>#REF!+#REF!</f>
        <v>#REF!</v>
      </c>
      <c r="AD377" s="954">
        <f t="shared" si="20"/>
        <v>6255</v>
      </c>
      <c r="AE377" s="625"/>
    </row>
    <row r="378" spans="1:31" s="620" customFormat="1" ht="18" customHeight="1" x14ac:dyDescent="0.2">
      <c r="A378" s="655" t="s">
        <v>2846</v>
      </c>
      <c r="B378" s="508">
        <f t="shared" si="21"/>
        <v>78</v>
      </c>
      <c r="C378" s="957">
        <f>+NOMINA!C382</f>
        <v>20039961</v>
      </c>
      <c r="D378" s="958" t="str">
        <f>+NOMINA!D382</f>
        <v>Torres Villarreal Lisbeth Carolina</v>
      </c>
      <c r="E378" s="955" t="s">
        <v>4622</v>
      </c>
      <c r="F378" s="959">
        <v>27081</v>
      </c>
      <c r="G378" s="955" t="s">
        <v>4620</v>
      </c>
      <c r="H378" s="960">
        <f>+NOMINA!H382</f>
        <v>38412</v>
      </c>
      <c r="I378" s="961">
        <f>+NOMINA!I382</f>
        <v>20</v>
      </c>
      <c r="J378" s="962">
        <f>+NOMINA!J382</f>
        <v>0</v>
      </c>
      <c r="K378" s="961">
        <f>+NOMINA!K382</f>
        <v>20</v>
      </c>
      <c r="L378" s="963">
        <f>+NOMINA!CA382</f>
        <v>6255</v>
      </c>
      <c r="M378" s="443" t="e">
        <f>#REF!+#REF!-#REF!</f>
        <v>#REF!</v>
      </c>
      <c r="N378" s="952" t="e">
        <f>ROUND((#REF!+#REF!+#REF!+#REF!+#REF!+#REF!+#REF!+#REF!),2)</f>
        <v>#REF!</v>
      </c>
      <c r="Q378" s="620" t="e">
        <f>SUM(#REF!)</f>
        <v>#REF!</v>
      </c>
      <c r="R378" s="953" t="e">
        <f>#REF!+#REF!-#REF!</f>
        <v>#REF!</v>
      </c>
      <c r="S378" s="954">
        <v>200</v>
      </c>
      <c r="T378" s="953" t="e">
        <f>#REF!+#REF!</f>
        <v>#REF!</v>
      </c>
      <c r="U378" s="954" t="e">
        <f>#REF!</f>
        <v>#REF!</v>
      </c>
      <c r="V378" s="955">
        <v>0</v>
      </c>
      <c r="W378" s="954" t="e">
        <f>#REF!</f>
        <v>#REF!</v>
      </c>
      <c r="X378" s="956" t="e">
        <f>#REF!+#REF!</f>
        <v>#REF!</v>
      </c>
      <c r="Y378" s="956" t="e">
        <f>#REF!+#REF!</f>
        <v>#REF!</v>
      </c>
      <c r="Z378" s="956"/>
      <c r="AA378" s="954" t="e">
        <f>#REF!</f>
        <v>#REF!</v>
      </c>
      <c r="AB378" s="954" t="e">
        <f t="shared" si="19"/>
        <v>#REF!</v>
      </c>
      <c r="AC378" s="954" t="e">
        <f>#REF!+#REF!</f>
        <v>#REF!</v>
      </c>
      <c r="AD378" s="954">
        <f t="shared" si="20"/>
        <v>6255</v>
      </c>
      <c r="AE378" s="625"/>
    </row>
    <row r="379" spans="1:31" s="620" customFormat="1" ht="18" customHeight="1" x14ac:dyDescent="0.2">
      <c r="A379" s="655" t="s">
        <v>2846</v>
      </c>
      <c r="B379" s="508">
        <f t="shared" si="21"/>
        <v>79</v>
      </c>
      <c r="C379" s="957">
        <f>+NOMINA!C383</f>
        <v>20040649</v>
      </c>
      <c r="D379" s="958" t="str">
        <f>+NOMINA!D383</f>
        <v>Isarra Materan Jose de La Paz</v>
      </c>
      <c r="E379" s="955" t="s">
        <v>4622</v>
      </c>
      <c r="F379" s="959">
        <v>27081</v>
      </c>
      <c r="G379" s="955" t="s">
        <v>4620</v>
      </c>
      <c r="H379" s="960">
        <f>+NOMINA!H383</f>
        <v>44743</v>
      </c>
      <c r="I379" s="961">
        <f>+NOMINA!I383</f>
        <v>3</v>
      </c>
      <c r="J379" s="962">
        <f>+NOMINA!J383</f>
        <v>0</v>
      </c>
      <c r="K379" s="961">
        <f>+NOMINA!K383</f>
        <v>3</v>
      </c>
      <c r="L379" s="963">
        <f>+NOMINA!CA383</f>
        <v>6255</v>
      </c>
      <c r="M379" s="443" t="e">
        <f>#REF!+#REF!-#REF!</f>
        <v>#REF!</v>
      </c>
      <c r="N379" s="952" t="e">
        <f>ROUND((#REF!+#REF!+#REF!+#REF!+#REF!+#REF!+#REF!+#REF!),2)</f>
        <v>#REF!</v>
      </c>
      <c r="Q379" s="620" t="e">
        <f>SUM(#REF!)</f>
        <v>#REF!</v>
      </c>
      <c r="R379" s="953" t="e">
        <f>#REF!+#REF!-#REF!</f>
        <v>#REF!</v>
      </c>
      <c r="S379" s="954">
        <v>200</v>
      </c>
      <c r="T379" s="953" t="e">
        <f>#REF!+#REF!</f>
        <v>#REF!</v>
      </c>
      <c r="U379" s="954" t="e">
        <f>#REF!</f>
        <v>#REF!</v>
      </c>
      <c r="V379" s="955">
        <v>0</v>
      </c>
      <c r="W379" s="954" t="e">
        <f>#REF!</f>
        <v>#REF!</v>
      </c>
      <c r="X379" s="956" t="e">
        <f>#REF!+#REF!</f>
        <v>#REF!</v>
      </c>
      <c r="Y379" s="956" t="e">
        <f>#REF!+#REF!</f>
        <v>#REF!</v>
      </c>
      <c r="Z379" s="956"/>
      <c r="AA379" s="954" t="e">
        <f>#REF!</f>
        <v>#REF!</v>
      </c>
      <c r="AB379" s="954" t="e">
        <f t="shared" si="19"/>
        <v>#REF!</v>
      </c>
      <c r="AC379" s="954" t="e">
        <f>#REF!+#REF!</f>
        <v>#REF!</v>
      </c>
      <c r="AD379" s="954">
        <f t="shared" si="20"/>
        <v>6255</v>
      </c>
      <c r="AE379" s="625"/>
    </row>
    <row r="380" spans="1:31" s="620" customFormat="1" ht="18" customHeight="1" x14ac:dyDescent="0.2">
      <c r="A380" s="655" t="s">
        <v>2846</v>
      </c>
      <c r="B380" s="508">
        <f t="shared" si="21"/>
        <v>80</v>
      </c>
      <c r="C380" s="957">
        <f>+NOMINA!C384</f>
        <v>20788036</v>
      </c>
      <c r="D380" s="958" t="str">
        <f>+NOMINA!D384</f>
        <v>Cabrera Duran Albert Josue</v>
      </c>
      <c r="E380" s="955" t="s">
        <v>4622</v>
      </c>
      <c r="F380" s="959">
        <v>27081</v>
      </c>
      <c r="G380" s="955" t="s">
        <v>4620</v>
      </c>
      <c r="H380" s="960">
        <f>+NOMINA!H384</f>
        <v>45778</v>
      </c>
      <c r="I380" s="961">
        <f>+NOMINA!I384</f>
        <v>0</v>
      </c>
      <c r="J380" s="962">
        <f>+NOMINA!J384</f>
        <v>0</v>
      </c>
      <c r="K380" s="961">
        <f>+NOMINA!K384</f>
        <v>0</v>
      </c>
      <c r="L380" s="963">
        <f>+NOMINA!CA384</f>
        <v>6255</v>
      </c>
      <c r="M380" s="443" t="e">
        <f>#REF!+#REF!-#REF!</f>
        <v>#REF!</v>
      </c>
      <c r="N380" s="952" t="e">
        <f>ROUND((#REF!+#REF!+#REF!+#REF!+#REF!+#REF!+#REF!+#REF!),2)</f>
        <v>#REF!</v>
      </c>
      <c r="Q380" s="620" t="e">
        <f>SUM(#REF!)</f>
        <v>#REF!</v>
      </c>
      <c r="R380" s="953" t="e">
        <f>#REF!+#REF!-#REF!</f>
        <v>#REF!</v>
      </c>
      <c r="S380" s="954">
        <v>200</v>
      </c>
      <c r="T380" s="953" t="e">
        <f>#REF!+#REF!</f>
        <v>#REF!</v>
      </c>
      <c r="U380" s="954" t="e">
        <f>#REF!</f>
        <v>#REF!</v>
      </c>
      <c r="V380" s="955">
        <v>0</v>
      </c>
      <c r="W380" s="954" t="e">
        <f>#REF!</f>
        <v>#REF!</v>
      </c>
      <c r="X380" s="956" t="e">
        <f>#REF!+#REF!</f>
        <v>#REF!</v>
      </c>
      <c r="Y380" s="956" t="e">
        <f>#REF!+#REF!</f>
        <v>#REF!</v>
      </c>
      <c r="Z380" s="956"/>
      <c r="AA380" s="954" t="e">
        <f>#REF!</f>
        <v>#REF!</v>
      </c>
      <c r="AB380" s="954" t="e">
        <f t="shared" si="19"/>
        <v>#REF!</v>
      </c>
      <c r="AC380" s="954" t="e">
        <f>#REF!+#REF!</f>
        <v>#REF!</v>
      </c>
      <c r="AD380" s="954">
        <f t="shared" si="20"/>
        <v>6255</v>
      </c>
      <c r="AE380" s="625"/>
    </row>
    <row r="381" spans="1:31" s="620" customFormat="1" ht="18" customHeight="1" x14ac:dyDescent="0.2">
      <c r="A381" s="655" t="s">
        <v>2846</v>
      </c>
      <c r="B381" s="508">
        <f t="shared" si="21"/>
        <v>81</v>
      </c>
      <c r="C381" s="957">
        <f>+NOMINA!C385</f>
        <v>21366579</v>
      </c>
      <c r="D381" s="958" t="str">
        <f>+NOMINA!D385</f>
        <v>Azuaje Espinoza Erick Enrique</v>
      </c>
      <c r="E381" s="955" t="s">
        <v>4622</v>
      </c>
      <c r="F381" s="959">
        <v>27081</v>
      </c>
      <c r="G381" s="955" t="s">
        <v>4620</v>
      </c>
      <c r="H381" s="960">
        <f>+NOMINA!H385</f>
        <v>44774</v>
      </c>
      <c r="I381" s="961">
        <f>+NOMINA!I385</f>
        <v>3</v>
      </c>
      <c r="J381" s="962">
        <f>+NOMINA!J385</f>
        <v>0</v>
      </c>
      <c r="K381" s="961">
        <f>+NOMINA!K385</f>
        <v>3</v>
      </c>
      <c r="L381" s="963">
        <f>+NOMINA!CA385</f>
        <v>6255</v>
      </c>
      <c r="M381" s="443" t="e">
        <f>#REF!+#REF!-#REF!</f>
        <v>#REF!</v>
      </c>
      <c r="N381" s="952" t="e">
        <f>ROUND((#REF!+#REF!+#REF!+#REF!+#REF!+#REF!+#REF!+#REF!),2)</f>
        <v>#REF!</v>
      </c>
      <c r="Q381" s="620" t="e">
        <f>SUM(#REF!)</f>
        <v>#REF!</v>
      </c>
      <c r="R381" s="953" t="e">
        <f>#REF!+#REF!-#REF!</f>
        <v>#REF!</v>
      </c>
      <c r="S381" s="954">
        <v>200</v>
      </c>
      <c r="T381" s="953" t="e">
        <f>#REF!+#REF!</f>
        <v>#REF!</v>
      </c>
      <c r="U381" s="954" t="e">
        <f>#REF!</f>
        <v>#REF!</v>
      </c>
      <c r="V381" s="955">
        <v>0</v>
      </c>
      <c r="W381" s="954" t="e">
        <f>#REF!</f>
        <v>#REF!</v>
      </c>
      <c r="X381" s="956" t="e">
        <f>#REF!+#REF!</f>
        <v>#REF!</v>
      </c>
      <c r="Y381" s="956" t="e">
        <f>#REF!+#REF!</f>
        <v>#REF!</v>
      </c>
      <c r="Z381" s="956"/>
      <c r="AA381" s="954" t="e">
        <f>#REF!</f>
        <v>#REF!</v>
      </c>
      <c r="AB381" s="954" t="e">
        <f t="shared" si="19"/>
        <v>#REF!</v>
      </c>
      <c r="AC381" s="954" t="e">
        <f>#REF!+#REF!</f>
        <v>#REF!</v>
      </c>
      <c r="AD381" s="954">
        <f t="shared" si="20"/>
        <v>6255</v>
      </c>
      <c r="AE381" s="625"/>
    </row>
    <row r="382" spans="1:31" s="620" customFormat="1" ht="18" customHeight="1" x14ac:dyDescent="0.2">
      <c r="A382" s="655" t="s">
        <v>2846</v>
      </c>
      <c r="B382" s="508">
        <f t="shared" si="21"/>
        <v>82</v>
      </c>
      <c r="C382" s="957">
        <f>+NOMINA!C386</f>
        <v>23594381</v>
      </c>
      <c r="D382" s="958" t="str">
        <f>+NOMINA!D386</f>
        <v>Albornoz Montilla Daniel Enrique</v>
      </c>
      <c r="E382" s="955" t="s">
        <v>4622</v>
      </c>
      <c r="F382" s="959">
        <v>27081</v>
      </c>
      <c r="G382" s="955" t="s">
        <v>4620</v>
      </c>
      <c r="H382" s="960">
        <f>+NOMINA!H386</f>
        <v>45597</v>
      </c>
      <c r="I382" s="961">
        <f>+NOMINA!I386</f>
        <v>0</v>
      </c>
      <c r="J382" s="962">
        <f>+NOMINA!J386</f>
        <v>0</v>
      </c>
      <c r="K382" s="961">
        <f>+NOMINA!K386</f>
        <v>0</v>
      </c>
      <c r="L382" s="963">
        <f>+NOMINA!CA386</f>
        <v>6255</v>
      </c>
      <c r="M382" s="443" t="e">
        <f>#REF!+#REF!-#REF!</f>
        <v>#REF!</v>
      </c>
      <c r="N382" s="952" t="e">
        <f>ROUND((#REF!+#REF!+#REF!+#REF!+#REF!+#REF!+#REF!+#REF!),2)</f>
        <v>#REF!</v>
      </c>
      <c r="Q382" s="620" t="e">
        <f>SUM(#REF!)</f>
        <v>#REF!</v>
      </c>
      <c r="R382" s="953" t="e">
        <f>#REF!+#REF!-#REF!</f>
        <v>#REF!</v>
      </c>
      <c r="S382" s="954">
        <v>200</v>
      </c>
      <c r="T382" s="953" t="e">
        <f>#REF!+#REF!</f>
        <v>#REF!</v>
      </c>
      <c r="U382" s="954" t="e">
        <f>#REF!</f>
        <v>#REF!</v>
      </c>
      <c r="V382" s="955">
        <v>0</v>
      </c>
      <c r="W382" s="954" t="e">
        <f>#REF!</f>
        <v>#REF!</v>
      </c>
      <c r="X382" s="956" t="e">
        <f>#REF!+#REF!</f>
        <v>#REF!</v>
      </c>
      <c r="Y382" s="956" t="e">
        <f>#REF!+#REF!</f>
        <v>#REF!</v>
      </c>
      <c r="Z382" s="956"/>
      <c r="AA382" s="954" t="e">
        <f>#REF!</f>
        <v>#REF!</v>
      </c>
      <c r="AB382" s="954" t="e">
        <f t="shared" si="19"/>
        <v>#REF!</v>
      </c>
      <c r="AC382" s="954" t="e">
        <f>#REF!+#REF!</f>
        <v>#REF!</v>
      </c>
      <c r="AD382" s="954">
        <f t="shared" si="20"/>
        <v>6255</v>
      </c>
      <c r="AE382" s="625"/>
    </row>
    <row r="383" spans="1:31" s="620" customFormat="1" ht="18" customHeight="1" x14ac:dyDescent="0.2">
      <c r="A383" s="655"/>
      <c r="B383" s="508">
        <f t="shared" si="21"/>
        <v>83</v>
      </c>
      <c r="C383" s="957">
        <f>+NOMINA!C387</f>
        <v>25173228</v>
      </c>
      <c r="D383" s="958" t="str">
        <f>+NOMINA!D387</f>
        <v>Davila Sanchez Eduar Alexander</v>
      </c>
      <c r="E383" s="955" t="s">
        <v>4622</v>
      </c>
      <c r="F383" s="959">
        <v>27081</v>
      </c>
      <c r="G383" s="955" t="s">
        <v>4620</v>
      </c>
      <c r="H383" s="960">
        <f>+NOMINA!H387</f>
        <v>44531</v>
      </c>
      <c r="I383" s="961">
        <f>+NOMINA!I387</f>
        <v>3</v>
      </c>
      <c r="J383" s="962">
        <f>+NOMINA!J387</f>
        <v>0</v>
      </c>
      <c r="K383" s="961">
        <f>+NOMINA!K387</f>
        <v>3</v>
      </c>
      <c r="L383" s="963">
        <f>+NOMINA!CA387</f>
        <v>6255</v>
      </c>
      <c r="M383" s="443"/>
      <c r="N383" s="952"/>
      <c r="R383" s="953"/>
      <c r="S383" s="954"/>
      <c r="T383" s="953"/>
      <c r="U383" s="954"/>
      <c r="V383" s="955"/>
      <c r="W383" s="954"/>
      <c r="X383" s="956"/>
      <c r="Y383" s="956"/>
      <c r="Z383" s="956"/>
      <c r="AA383" s="954"/>
      <c r="AB383" s="954"/>
      <c r="AC383" s="954"/>
      <c r="AD383" s="954"/>
      <c r="AE383" s="625"/>
    </row>
    <row r="384" spans="1:31" s="620" customFormat="1" ht="18" customHeight="1" x14ac:dyDescent="0.2">
      <c r="A384" s="655"/>
      <c r="B384" s="508">
        <f t="shared" si="21"/>
        <v>84</v>
      </c>
      <c r="C384" s="957">
        <f>+NOMINA!C388</f>
        <v>25631811</v>
      </c>
      <c r="D384" s="958" t="str">
        <f>+NOMINA!D388</f>
        <v>Barrios Briceño Christian Xavier</v>
      </c>
      <c r="E384" s="955" t="s">
        <v>4622</v>
      </c>
      <c r="F384" s="959">
        <v>27081</v>
      </c>
      <c r="G384" s="955" t="s">
        <v>4620</v>
      </c>
      <c r="H384" s="960">
        <f>+NOMINA!H388</f>
        <v>44440</v>
      </c>
      <c r="I384" s="961">
        <f>+NOMINA!I388</f>
        <v>4</v>
      </c>
      <c r="J384" s="962">
        <f>+NOMINA!J388</f>
        <v>0</v>
      </c>
      <c r="K384" s="961">
        <f>+NOMINA!K388</f>
        <v>4</v>
      </c>
      <c r="L384" s="963">
        <f>+NOMINA!CA388</f>
        <v>6255</v>
      </c>
      <c r="M384" s="443"/>
      <c r="N384" s="952"/>
      <c r="R384" s="953"/>
      <c r="S384" s="954"/>
      <c r="T384" s="953"/>
      <c r="U384" s="954"/>
      <c r="V384" s="955"/>
      <c r="W384" s="954"/>
      <c r="X384" s="956"/>
      <c r="Y384" s="956"/>
      <c r="Z384" s="956"/>
      <c r="AA384" s="954"/>
      <c r="AB384" s="954"/>
      <c r="AC384" s="954"/>
      <c r="AD384" s="954"/>
      <c r="AE384" s="625"/>
    </row>
    <row r="385" spans="1:35" s="620" customFormat="1" ht="18" customHeight="1" x14ac:dyDescent="0.2">
      <c r="A385" s="655"/>
      <c r="B385" s="508">
        <f t="shared" si="21"/>
        <v>85</v>
      </c>
      <c r="C385" s="957">
        <f>+NOMINA!C389</f>
        <v>25919888</v>
      </c>
      <c r="D385" s="958" t="str">
        <f>+NOMINA!D389</f>
        <v>Rivero Lamus Ninoska del Valle</v>
      </c>
      <c r="E385" s="955" t="s">
        <v>4622</v>
      </c>
      <c r="F385" s="959">
        <v>27081</v>
      </c>
      <c r="G385" s="955" t="s">
        <v>4620</v>
      </c>
      <c r="H385" s="960">
        <f>+NOMINA!H389</f>
        <v>44805</v>
      </c>
      <c r="I385" s="961">
        <f>+NOMINA!I389</f>
        <v>3</v>
      </c>
      <c r="J385" s="962">
        <f>+NOMINA!J389</f>
        <v>0</v>
      </c>
      <c r="K385" s="961">
        <f>+NOMINA!K389</f>
        <v>3</v>
      </c>
      <c r="L385" s="963">
        <f>+NOMINA!CA389</f>
        <v>6255</v>
      </c>
      <c r="M385" s="443"/>
      <c r="N385" s="952"/>
      <c r="R385" s="953"/>
      <c r="S385" s="954"/>
      <c r="T385" s="953"/>
      <c r="U385" s="954"/>
      <c r="V385" s="955"/>
      <c r="W385" s="954"/>
      <c r="X385" s="956"/>
      <c r="Y385" s="956"/>
      <c r="Z385" s="956"/>
      <c r="AA385" s="954"/>
      <c r="AB385" s="954"/>
      <c r="AC385" s="954"/>
      <c r="AD385" s="954"/>
      <c r="AE385" s="625"/>
    </row>
    <row r="386" spans="1:35" s="620" customFormat="1" ht="18" customHeight="1" x14ac:dyDescent="0.2">
      <c r="A386" s="655"/>
      <c r="B386" s="508">
        <f t="shared" si="21"/>
        <v>86</v>
      </c>
      <c r="C386" s="957">
        <f>+NOMINA!C390</f>
        <v>26235670</v>
      </c>
      <c r="D386" s="958" t="str">
        <f>+NOMINA!D390</f>
        <v>Viloria Garcia Kieny Keyvit</v>
      </c>
      <c r="E386" s="955" t="s">
        <v>4622</v>
      </c>
      <c r="F386" s="959">
        <v>27081</v>
      </c>
      <c r="G386" s="955" t="s">
        <v>4620</v>
      </c>
      <c r="H386" s="960">
        <f>+NOMINA!H390</f>
        <v>45597</v>
      </c>
      <c r="I386" s="961">
        <f>+NOMINA!I390</f>
        <v>0</v>
      </c>
      <c r="J386" s="962">
        <f>+NOMINA!J390</f>
        <v>0</v>
      </c>
      <c r="K386" s="961">
        <f>+NOMINA!K390</f>
        <v>0</v>
      </c>
      <c r="L386" s="963">
        <f>+NOMINA!CA390</f>
        <v>6255</v>
      </c>
      <c r="M386" s="443"/>
      <c r="N386" s="952"/>
      <c r="R386" s="953"/>
      <c r="S386" s="954"/>
      <c r="T386" s="953"/>
      <c r="U386" s="954"/>
      <c r="V386" s="955"/>
      <c r="W386" s="954"/>
      <c r="X386" s="956"/>
      <c r="Y386" s="956"/>
      <c r="Z386" s="956"/>
      <c r="AA386" s="954"/>
      <c r="AB386" s="954"/>
      <c r="AC386" s="954"/>
      <c r="AD386" s="954"/>
      <c r="AE386" s="625"/>
    </row>
    <row r="387" spans="1:35" s="620" customFormat="1" ht="18" customHeight="1" x14ac:dyDescent="0.2">
      <c r="A387" s="655"/>
      <c r="B387" s="508">
        <f t="shared" si="21"/>
        <v>87</v>
      </c>
      <c r="C387" s="957">
        <f>+NOMINA!C391</f>
        <v>26482867</v>
      </c>
      <c r="D387" s="958" t="str">
        <f>+NOMINA!D391</f>
        <v>Valecillos Duran Brando Jose</v>
      </c>
      <c r="E387" s="955" t="s">
        <v>4622</v>
      </c>
      <c r="F387" s="959">
        <v>27081</v>
      </c>
      <c r="G387" s="955" t="s">
        <v>4620</v>
      </c>
      <c r="H387" s="960">
        <f>+NOMINA!H391</f>
        <v>45078</v>
      </c>
      <c r="I387" s="961">
        <f>+NOMINA!I391</f>
        <v>2</v>
      </c>
      <c r="J387" s="962">
        <f>+NOMINA!J391</f>
        <v>0</v>
      </c>
      <c r="K387" s="961">
        <f>+NOMINA!K391</f>
        <v>2</v>
      </c>
      <c r="L387" s="963">
        <f>+NOMINA!CA391</f>
        <v>6255</v>
      </c>
      <c r="M387" s="443"/>
      <c r="N387" s="952"/>
      <c r="R387" s="953"/>
      <c r="S387" s="954"/>
      <c r="T387" s="953"/>
      <c r="U387" s="954"/>
      <c r="V387" s="955"/>
      <c r="W387" s="954"/>
      <c r="X387" s="956"/>
      <c r="Y387" s="956"/>
      <c r="Z387" s="956"/>
      <c r="AA387" s="954"/>
      <c r="AB387" s="954"/>
      <c r="AC387" s="954"/>
      <c r="AD387" s="954"/>
      <c r="AE387" s="625"/>
    </row>
    <row r="388" spans="1:35" s="620" customFormat="1" ht="18" customHeight="1" x14ac:dyDescent="0.2">
      <c r="A388" s="1117"/>
      <c r="B388" s="508">
        <f t="shared" si="21"/>
        <v>88</v>
      </c>
      <c r="C388" s="957">
        <f>+NOMINA!C392</f>
        <v>27415509</v>
      </c>
      <c r="D388" s="958" t="str">
        <f>+NOMINA!D392</f>
        <v>Barreto Rivero Luis Diego</v>
      </c>
      <c r="E388" s="955" t="s">
        <v>4622</v>
      </c>
      <c r="F388" s="959">
        <v>27081</v>
      </c>
      <c r="G388" s="955" t="s">
        <v>4620</v>
      </c>
      <c r="H388" s="960">
        <f>+NOMINA!H392</f>
        <v>43678</v>
      </c>
      <c r="I388" s="961">
        <f>+NOMINA!I392</f>
        <v>6</v>
      </c>
      <c r="J388" s="962">
        <f>+NOMINA!J392</f>
        <v>0</v>
      </c>
      <c r="K388" s="961">
        <f>+NOMINA!K392</f>
        <v>6</v>
      </c>
      <c r="L388" s="963">
        <f>+NOMINA!CA392</f>
        <v>6255</v>
      </c>
      <c r="M388" s="1113"/>
      <c r="N388" s="1114"/>
      <c r="R388" s="1076"/>
      <c r="S388" s="1115"/>
      <c r="T388" s="1076"/>
      <c r="U388" s="1115"/>
      <c r="V388" s="1104"/>
      <c r="W388" s="1115"/>
      <c r="X388" s="1116"/>
      <c r="Y388" s="1116"/>
      <c r="Z388" s="1116"/>
      <c r="AA388" s="1115"/>
      <c r="AB388" s="1115"/>
      <c r="AC388" s="1115"/>
      <c r="AD388" s="1115"/>
      <c r="AE388" s="625"/>
    </row>
    <row r="389" spans="1:35" s="620" customFormat="1" ht="18" customHeight="1" x14ac:dyDescent="0.2">
      <c r="A389" s="1712"/>
      <c r="B389" s="508">
        <f t="shared" si="21"/>
        <v>89</v>
      </c>
      <c r="C389" s="957">
        <f>+NOMINA!C393</f>
        <v>27470077</v>
      </c>
      <c r="D389" s="958" t="str">
        <f>+NOMINA!D393</f>
        <v>Gonzalez Castellanos Yusberly Yohandri</v>
      </c>
      <c r="E389" s="955" t="s">
        <v>4622</v>
      </c>
      <c r="F389" s="959">
        <v>27081</v>
      </c>
      <c r="G389" s="955" t="s">
        <v>4620</v>
      </c>
      <c r="H389" s="960">
        <f>+NOMINA!H393</f>
        <v>44743</v>
      </c>
      <c r="I389" s="961">
        <f>+NOMINA!I393</f>
        <v>3</v>
      </c>
      <c r="J389" s="962">
        <f>+NOMINA!J393</f>
        <v>0</v>
      </c>
      <c r="K389" s="961">
        <f>+NOMINA!K393</f>
        <v>3</v>
      </c>
      <c r="L389" s="963">
        <f>+NOMINA!CA393</f>
        <v>6255</v>
      </c>
      <c r="M389" s="1113"/>
      <c r="N389" s="1720"/>
      <c r="R389" s="1076"/>
      <c r="S389" s="1115"/>
      <c r="T389" s="1076"/>
      <c r="U389" s="1115"/>
      <c r="V389" s="1468"/>
      <c r="W389" s="1115"/>
      <c r="X389" s="1116"/>
      <c r="Y389" s="1116"/>
      <c r="Z389" s="1116"/>
      <c r="AA389" s="1115"/>
      <c r="AB389" s="1115"/>
      <c r="AC389" s="1115"/>
      <c r="AD389" s="1115"/>
      <c r="AE389" s="625"/>
    </row>
    <row r="390" spans="1:35" s="620" customFormat="1" ht="18" customHeight="1" x14ac:dyDescent="0.2">
      <c r="A390" s="1712"/>
      <c r="B390" s="508">
        <f t="shared" si="21"/>
        <v>90</v>
      </c>
      <c r="C390" s="957">
        <f>+NOMINA!C394</f>
        <v>29539270</v>
      </c>
      <c r="D390" s="958" t="str">
        <f>+NOMINA!D394</f>
        <v>Rojas Carrillo Laureano Augusto</v>
      </c>
      <c r="E390" s="955" t="s">
        <v>4622</v>
      </c>
      <c r="F390" s="959">
        <v>27081</v>
      </c>
      <c r="G390" s="955" t="s">
        <v>4620</v>
      </c>
      <c r="H390" s="960">
        <f>+NOMINA!H394</f>
        <v>44287</v>
      </c>
      <c r="I390" s="961">
        <f>+NOMINA!I394</f>
        <v>4</v>
      </c>
      <c r="J390" s="962">
        <f>+NOMINA!J394</f>
        <v>0</v>
      </c>
      <c r="K390" s="961">
        <f>+NOMINA!K394</f>
        <v>4</v>
      </c>
      <c r="L390" s="963">
        <f>+NOMINA!CA394</f>
        <v>6255</v>
      </c>
      <c r="M390" s="1113"/>
      <c r="N390" s="1720"/>
      <c r="R390" s="1076"/>
      <c r="S390" s="1115"/>
      <c r="T390" s="1076"/>
      <c r="U390" s="1115"/>
      <c r="V390" s="1468"/>
      <c r="W390" s="1115"/>
      <c r="X390" s="1116"/>
      <c r="Y390" s="1116"/>
      <c r="Z390" s="1116"/>
      <c r="AA390" s="1115"/>
      <c r="AB390" s="1115"/>
      <c r="AC390" s="1115"/>
      <c r="AD390" s="1115"/>
      <c r="AE390" s="625"/>
    </row>
    <row r="391" spans="1:35" s="620" customFormat="1" ht="18" customHeight="1" x14ac:dyDescent="0.2">
      <c r="A391" s="1117"/>
      <c r="B391" s="508">
        <f t="shared" si="21"/>
        <v>91</v>
      </c>
      <c r="C391" s="957">
        <f>+NOMINA!C395</f>
        <v>29994277</v>
      </c>
      <c r="D391" s="958" t="str">
        <f>+NOMINA!D395</f>
        <v>Quintero Rangel Jose Arsenio</v>
      </c>
      <c r="E391" s="955" t="s">
        <v>4622</v>
      </c>
      <c r="F391" s="959">
        <v>27081</v>
      </c>
      <c r="G391" s="955" t="s">
        <v>4620</v>
      </c>
      <c r="H391" s="960">
        <f>+NOMINA!H395</f>
        <v>44562</v>
      </c>
      <c r="I391" s="961">
        <f>+NOMINA!I395</f>
        <v>3</v>
      </c>
      <c r="J391" s="962">
        <f>+NOMINA!J395</f>
        <v>0</v>
      </c>
      <c r="K391" s="961">
        <f>+NOMINA!K395</f>
        <v>3</v>
      </c>
      <c r="L391" s="963">
        <f>+NOMINA!CA395</f>
        <v>6255</v>
      </c>
      <c r="M391" s="1113"/>
      <c r="N391" s="1114"/>
      <c r="R391" s="1076"/>
      <c r="S391" s="1115"/>
      <c r="T391" s="1076"/>
      <c r="U391" s="1115"/>
      <c r="V391" s="1104"/>
      <c r="W391" s="1115"/>
      <c r="X391" s="1116"/>
      <c r="Y391" s="1116"/>
      <c r="Z391" s="1116"/>
      <c r="AA391" s="1115"/>
      <c r="AB391" s="1115"/>
      <c r="AC391" s="1115"/>
      <c r="AD391" s="1115"/>
      <c r="AE391" s="625"/>
    </row>
    <row r="392" spans="1:35" s="620" customFormat="1" ht="18" customHeight="1" thickBot="1" x14ac:dyDescent="0.25">
      <c r="A392" s="655" t="s">
        <v>2846</v>
      </c>
      <c r="B392" s="508">
        <f t="shared" si="21"/>
        <v>92</v>
      </c>
      <c r="C392" s="957">
        <f>+NOMINA!C396</f>
        <v>32084560</v>
      </c>
      <c r="D392" s="958" t="str">
        <f>+NOMINA!D396</f>
        <v>Hernandez Gomez Carmen Elena</v>
      </c>
      <c r="E392" s="955" t="s">
        <v>4622</v>
      </c>
      <c r="F392" s="959">
        <v>27081</v>
      </c>
      <c r="G392" s="955" t="s">
        <v>4620</v>
      </c>
      <c r="H392" s="960">
        <f>+NOMINA!H396</f>
        <v>44348</v>
      </c>
      <c r="I392" s="961">
        <f>+NOMINA!I396</f>
        <v>4</v>
      </c>
      <c r="J392" s="962">
        <f>+NOMINA!J396</f>
        <v>0</v>
      </c>
      <c r="K392" s="961">
        <f>+NOMINA!K396</f>
        <v>4</v>
      </c>
      <c r="L392" s="963">
        <f>+NOMINA!CA396</f>
        <v>6255</v>
      </c>
      <c r="M392" s="443" t="e">
        <f>#REF!+#REF!-#REF!</f>
        <v>#REF!</v>
      </c>
      <c r="N392" s="952" t="e">
        <f>ROUND((#REF!+#REF!+#REF!+#REF!+#REF!+#REF!+#REF!+#REF!),2)</f>
        <v>#REF!</v>
      </c>
      <c r="Q392" s="620" t="e">
        <f>SUM(#REF!)</f>
        <v>#REF!</v>
      </c>
      <c r="R392" s="953" t="e">
        <f>#REF!+#REF!-#REF!</f>
        <v>#REF!</v>
      </c>
      <c r="S392" s="954">
        <v>200</v>
      </c>
      <c r="T392" s="953" t="e">
        <f>#REF!+#REF!</f>
        <v>#REF!</v>
      </c>
      <c r="U392" s="954" t="e">
        <f>#REF!</f>
        <v>#REF!</v>
      </c>
      <c r="V392" s="955">
        <v>0</v>
      </c>
      <c r="W392" s="954" t="e">
        <f>#REF!</f>
        <v>#REF!</v>
      </c>
      <c r="X392" s="956" t="e">
        <f>#REF!+#REF!</f>
        <v>#REF!</v>
      </c>
      <c r="Y392" s="956" t="e">
        <f>#REF!+#REF!</f>
        <v>#REF!</v>
      </c>
      <c r="Z392" s="956"/>
      <c r="AA392" s="954" t="e">
        <f>#REF!</f>
        <v>#REF!</v>
      </c>
      <c r="AB392" s="954" t="e">
        <f t="shared" si="19"/>
        <v>#REF!</v>
      </c>
      <c r="AC392" s="954" t="e">
        <f>#REF!+#REF!</f>
        <v>#REF!</v>
      </c>
      <c r="AD392" s="954">
        <f t="shared" si="20"/>
        <v>6255</v>
      </c>
      <c r="AE392" s="625"/>
    </row>
    <row r="393" spans="1:35" s="620" customFormat="1" ht="19.5" customHeight="1" thickBot="1" x14ac:dyDescent="0.3">
      <c r="A393" s="699"/>
      <c r="B393" s="667"/>
      <c r="C393" s="669"/>
      <c r="D393" s="668"/>
      <c r="E393" s="668"/>
      <c r="F393" s="668"/>
      <c r="G393" s="668"/>
      <c r="H393" s="669"/>
      <c r="I393" s="668"/>
      <c r="J393" s="668"/>
      <c r="K393" s="607" t="s">
        <v>4493</v>
      </c>
      <c r="L393" s="670">
        <f>SUM(L301:L392)</f>
        <v>569205</v>
      </c>
      <c r="M393" s="671" t="e">
        <f>SUM(M301:M392)</f>
        <v>#REF!</v>
      </c>
      <c r="N393" s="700" t="e">
        <f>SUM(N301:N392)</f>
        <v>#REF!</v>
      </c>
      <c r="O393" s="688"/>
      <c r="P393" s="688"/>
      <c r="Q393" s="688"/>
      <c r="R393" s="954" t="e">
        <f t="shared" ref="R393:AD393" si="22">SUM(R301:R392)</f>
        <v>#REF!</v>
      </c>
      <c r="S393" s="954">
        <f t="shared" si="22"/>
        <v>16400</v>
      </c>
      <c r="T393" s="954" t="e">
        <f t="shared" si="22"/>
        <v>#REF!</v>
      </c>
      <c r="U393" s="954" t="e">
        <f t="shared" si="22"/>
        <v>#REF!</v>
      </c>
      <c r="V393" s="954">
        <f t="shared" si="22"/>
        <v>0</v>
      </c>
      <c r="W393" s="954" t="e">
        <f t="shared" si="22"/>
        <v>#REF!</v>
      </c>
      <c r="X393" s="954" t="e">
        <f t="shared" si="22"/>
        <v>#REF!</v>
      </c>
      <c r="Y393" s="954" t="e">
        <f t="shared" si="22"/>
        <v>#REF!</v>
      </c>
      <c r="Z393" s="954">
        <f t="shared" si="22"/>
        <v>0</v>
      </c>
      <c r="AA393" s="954" t="e">
        <f t="shared" si="22"/>
        <v>#REF!</v>
      </c>
      <c r="AB393" s="954" t="e">
        <f t="shared" si="22"/>
        <v>#REF!</v>
      </c>
      <c r="AC393" s="954" t="e">
        <f t="shared" si="22"/>
        <v>#REF!</v>
      </c>
      <c r="AD393" s="954">
        <f t="shared" si="22"/>
        <v>506655</v>
      </c>
      <c r="AE393" s="625"/>
      <c r="AF393" s="625"/>
      <c r="AG393" s="673"/>
      <c r="AH393" s="688"/>
      <c r="AI393" s="688"/>
    </row>
    <row r="394" spans="1:35" s="620" customFormat="1" x14ac:dyDescent="0.2">
      <c r="A394" s="920"/>
      <c r="B394" s="619"/>
      <c r="D394" s="622"/>
      <c r="F394" s="622"/>
      <c r="G394" s="920"/>
      <c r="H394" s="701"/>
      <c r="L394" s="619"/>
      <c r="R394" s="953"/>
      <c r="AE394" s="625"/>
    </row>
    <row r="395" spans="1:35" s="620" customFormat="1" ht="15.75" customHeight="1" thickBot="1" x14ac:dyDescent="0.25">
      <c r="A395" s="920"/>
      <c r="B395" s="619"/>
      <c r="D395" s="622"/>
      <c r="F395" s="622"/>
      <c r="G395" s="920"/>
      <c r="H395" s="701"/>
      <c r="L395" s="619"/>
      <c r="R395" s="953"/>
      <c r="AE395" s="625"/>
    </row>
    <row r="396" spans="1:35" s="702" customFormat="1" ht="28.5" customHeight="1" thickBot="1" x14ac:dyDescent="0.3">
      <c r="B396" s="703">
        <f>+B392+B298+B37</f>
        <v>376</v>
      </c>
      <c r="C396" s="704"/>
      <c r="D396" s="705"/>
      <c r="E396" s="706"/>
      <c r="F396" s="705"/>
      <c r="G396" s="706"/>
      <c r="H396" s="1101" t="s">
        <v>2875</v>
      </c>
      <c r="I396" s="706"/>
      <c r="J396" s="706"/>
      <c r="K396" s="706"/>
      <c r="L396" s="707">
        <f>L38+L299+L393</f>
        <v>2182995</v>
      </c>
      <c r="M396" s="708" t="e">
        <f>#REF!+M38+M299+M393</f>
        <v>#REF!</v>
      </c>
      <c r="N396" s="708" t="e">
        <f>#REF!+N38+N299+N393</f>
        <v>#REF!</v>
      </c>
      <c r="O396" s="709"/>
      <c r="P396" s="709"/>
      <c r="Q396" s="709"/>
      <c r="R396" s="966" t="e">
        <f t="shared" ref="R396:Y396" si="23">R393+R299+R38</f>
        <v>#REF!</v>
      </c>
      <c r="S396" s="967">
        <f t="shared" si="23"/>
        <v>21000</v>
      </c>
      <c r="T396" s="966" t="e">
        <f t="shared" si="23"/>
        <v>#REF!</v>
      </c>
      <c r="U396" s="966" t="e">
        <f t="shared" si="23"/>
        <v>#REF!</v>
      </c>
      <c r="V396" s="966">
        <f t="shared" si="23"/>
        <v>0</v>
      </c>
      <c r="W396" s="966" t="e">
        <f t="shared" si="23"/>
        <v>#REF!</v>
      </c>
      <c r="X396" s="966" t="e">
        <f t="shared" si="23"/>
        <v>#REF!</v>
      </c>
      <c r="Y396" s="966" t="e">
        <f t="shared" si="23"/>
        <v>#REF!</v>
      </c>
      <c r="Z396" s="966"/>
      <c r="AA396" s="966" t="e">
        <f>AA393+AA299+AA38</f>
        <v>#REF!</v>
      </c>
      <c r="AB396" s="966" t="e">
        <f>AB393+AB299+AB38</f>
        <v>#REF!</v>
      </c>
      <c r="AC396" s="966" t="e">
        <f>AC393+AC299+AC38</f>
        <v>#REF!</v>
      </c>
      <c r="AD396" s="966">
        <f>AD393+AD299+AD38</f>
        <v>650520</v>
      </c>
      <c r="AF396" s="625"/>
      <c r="AG396" s="673"/>
      <c r="AH396" s="620"/>
      <c r="AI396" s="709"/>
    </row>
    <row r="397" spans="1:35" s="620" customFormat="1" ht="21.75" customHeight="1" x14ac:dyDescent="0.25">
      <c r="A397" s="920"/>
      <c r="B397" s="619"/>
      <c r="D397" s="622"/>
      <c r="F397" s="622"/>
      <c r="G397" s="920"/>
      <c r="H397" s="623"/>
      <c r="I397" s="920"/>
      <c r="J397" s="920"/>
      <c r="K397" s="920"/>
      <c r="L397" s="624"/>
      <c r="M397" s="625"/>
      <c r="N397" s="625"/>
      <c r="O397" s="625"/>
      <c r="P397" s="625"/>
      <c r="Q397" s="625"/>
      <c r="R397" s="625"/>
      <c r="S397" s="625"/>
      <c r="T397" s="625"/>
      <c r="U397" s="625"/>
      <c r="V397" s="625"/>
      <c r="W397" s="625"/>
      <c r="X397" s="1778" t="e">
        <f>X396+Y396</f>
        <v>#REF!</v>
      </c>
      <c r="Y397" s="1779"/>
      <c r="Z397" s="710"/>
      <c r="AA397" s="625"/>
      <c r="AB397" s="625"/>
      <c r="AC397" s="625"/>
      <c r="AD397" s="625"/>
      <c r="AE397" s="625"/>
      <c r="AI397" s="625"/>
    </row>
    <row r="398" spans="1:35" s="620" customFormat="1" x14ac:dyDescent="0.2">
      <c r="A398" s="920"/>
      <c r="B398" s="711" t="s">
        <v>4664</v>
      </c>
      <c r="C398" s="712"/>
      <c r="D398" s="713"/>
      <c r="F398" s="622"/>
      <c r="G398" s="920"/>
      <c r="H398" s="701"/>
      <c r="L398" s="624"/>
      <c r="M398" s="625"/>
      <c r="N398" s="625"/>
      <c r="O398" s="625"/>
      <c r="P398" s="625"/>
      <c r="Q398" s="625"/>
      <c r="R398" s="625"/>
      <c r="S398" s="625"/>
      <c r="T398" s="625"/>
      <c r="U398" s="625"/>
      <c r="V398" s="625"/>
      <c r="W398" s="625"/>
      <c r="X398" s="625"/>
      <c r="Y398" s="625"/>
      <c r="Z398" s="625"/>
      <c r="AA398" s="625"/>
      <c r="AB398" s="625"/>
      <c r="AC398" s="625"/>
      <c r="AD398" s="625"/>
      <c r="AE398" s="625"/>
      <c r="AG398" s="625"/>
      <c r="AH398" s="625"/>
      <c r="AI398" s="625"/>
    </row>
    <row r="399" spans="1:35" s="620" customFormat="1" x14ac:dyDescent="0.2">
      <c r="A399" s="920"/>
      <c r="B399" s="711" t="s">
        <v>4665</v>
      </c>
      <c r="C399" s="712"/>
      <c r="D399" s="713"/>
      <c r="F399" s="622"/>
      <c r="G399" s="920"/>
      <c r="H399" s="623"/>
      <c r="I399" s="920"/>
      <c r="J399" s="920"/>
      <c r="K399" s="920"/>
      <c r="L399" s="624"/>
      <c r="M399" s="625"/>
      <c r="N399" s="625"/>
      <c r="O399" s="625"/>
      <c r="P399" s="625"/>
      <c r="Q399" s="625"/>
      <c r="R399" s="625"/>
      <c r="S399" s="625"/>
      <c r="T399" s="625"/>
      <c r="U399" s="625"/>
      <c r="V399" s="625"/>
      <c r="W399" s="625"/>
      <c r="X399" s="625"/>
      <c r="Y399" s="625"/>
      <c r="Z399" s="625"/>
      <c r="AA399" s="625"/>
      <c r="AB399" s="625"/>
      <c r="AC399" s="625"/>
      <c r="AD399" s="625"/>
      <c r="AE399" s="625"/>
      <c r="AG399" s="625"/>
      <c r="AH399" s="625"/>
      <c r="AI399" s="625"/>
    </row>
    <row r="400" spans="1:35" s="620" customFormat="1" x14ac:dyDescent="0.2">
      <c r="A400" s="920"/>
      <c r="B400" s="619"/>
      <c r="D400" s="622"/>
      <c r="F400" s="622"/>
      <c r="G400" s="920"/>
      <c r="H400" s="623"/>
      <c r="I400" s="920"/>
      <c r="J400" s="920"/>
      <c r="K400" s="920"/>
      <c r="L400" s="624"/>
      <c r="M400" s="625"/>
      <c r="N400" s="625"/>
      <c r="O400" s="625"/>
      <c r="P400" s="625"/>
      <c r="Q400" s="625"/>
      <c r="R400" s="625"/>
      <c r="S400" s="625"/>
      <c r="T400" s="625"/>
      <c r="U400" s="625"/>
      <c r="V400" s="625"/>
      <c r="W400" s="625"/>
      <c r="X400" s="625"/>
      <c r="Y400" s="625"/>
      <c r="Z400" s="625"/>
      <c r="AA400" s="625"/>
      <c r="AB400" s="625"/>
      <c r="AC400" s="625"/>
      <c r="AD400" s="625"/>
      <c r="AE400" s="625"/>
      <c r="AG400" s="625"/>
      <c r="AH400" s="625"/>
      <c r="AI400" s="625"/>
    </row>
    <row r="401" spans="1:35" s="620" customFormat="1" x14ac:dyDescent="0.2">
      <c r="A401" s="920"/>
      <c r="B401" s="619"/>
      <c r="D401" s="622"/>
      <c r="F401" s="622"/>
      <c r="G401" s="920"/>
      <c r="H401" s="623"/>
      <c r="I401" s="920"/>
      <c r="J401" s="920"/>
      <c r="K401" s="920"/>
      <c r="L401" s="624"/>
      <c r="M401" s="625"/>
      <c r="N401" s="625"/>
      <c r="O401" s="625"/>
      <c r="P401" s="625"/>
      <c r="Q401" s="625"/>
      <c r="R401" s="625"/>
      <c r="S401" s="625"/>
      <c r="T401" s="625"/>
      <c r="U401" s="625"/>
      <c r="V401" s="625"/>
      <c r="W401" s="625"/>
      <c r="X401" s="625"/>
      <c r="Y401" s="625"/>
      <c r="Z401" s="625"/>
      <c r="AA401" s="625"/>
      <c r="AB401" s="625"/>
      <c r="AC401" s="625"/>
      <c r="AD401" s="625"/>
      <c r="AE401" s="625"/>
      <c r="AG401" s="625"/>
      <c r="AH401" s="625"/>
      <c r="AI401" s="625"/>
    </row>
    <row r="402" spans="1:35" s="620" customFormat="1" x14ac:dyDescent="0.2">
      <c r="A402" s="920"/>
      <c r="B402" s="619"/>
      <c r="D402" s="622"/>
      <c r="F402" s="622"/>
      <c r="G402" s="920"/>
      <c r="H402" s="623"/>
      <c r="I402" s="920"/>
      <c r="J402" s="920"/>
      <c r="K402" s="920"/>
      <c r="L402" s="624"/>
      <c r="M402" s="625"/>
      <c r="N402" s="625"/>
      <c r="O402" s="625"/>
      <c r="P402" s="625"/>
      <c r="Q402" s="625"/>
      <c r="R402" s="625"/>
      <c r="S402" s="625"/>
      <c r="T402" s="625"/>
      <c r="U402" s="625"/>
      <c r="V402" s="625"/>
      <c r="W402" s="625"/>
      <c r="X402" s="625"/>
      <c r="Y402" s="625"/>
      <c r="Z402" s="625"/>
      <c r="AA402" s="625"/>
      <c r="AB402" s="625"/>
      <c r="AC402" s="625"/>
      <c r="AD402" s="625"/>
      <c r="AE402" s="625"/>
      <c r="AG402" s="625"/>
      <c r="AH402" s="625"/>
      <c r="AI402" s="625"/>
    </row>
    <row r="403" spans="1:35" s="620" customFormat="1" x14ac:dyDescent="0.2">
      <c r="A403" s="920"/>
      <c r="C403" s="714"/>
      <c r="D403" s="715" t="s">
        <v>5833</v>
      </c>
      <c r="E403" s="716"/>
      <c r="F403" s="716"/>
      <c r="G403" s="716"/>
      <c r="H403" s="717" t="s">
        <v>5834</v>
      </c>
      <c r="I403" s="715"/>
      <c r="K403" s="715" t="s">
        <v>5835</v>
      </c>
      <c r="L403" s="624"/>
      <c r="M403" s="625"/>
      <c r="N403" s="625"/>
      <c r="O403" s="625"/>
      <c r="P403" s="625"/>
      <c r="Q403" s="625"/>
      <c r="R403" s="625"/>
      <c r="S403" s="625"/>
      <c r="T403" s="625"/>
      <c r="U403" s="625"/>
      <c r="V403" s="625"/>
      <c r="W403" s="625"/>
      <c r="X403" s="625"/>
      <c r="Y403" s="625"/>
      <c r="Z403" s="625"/>
      <c r="AA403" s="625"/>
      <c r="AB403" s="625"/>
      <c r="AC403" s="625"/>
      <c r="AD403" s="625"/>
      <c r="AE403" s="625"/>
      <c r="AG403" s="625"/>
      <c r="AH403" s="625"/>
      <c r="AI403" s="625"/>
    </row>
    <row r="404" spans="1:35" s="620" customFormat="1" x14ac:dyDescent="0.2">
      <c r="A404" s="920"/>
      <c r="B404" s="714"/>
      <c r="C404" s="714"/>
      <c r="D404" s="718"/>
      <c r="E404" s="716"/>
      <c r="F404" s="716"/>
      <c r="G404" s="716"/>
      <c r="H404" s="719"/>
      <c r="I404" s="714"/>
      <c r="K404" s="720"/>
      <c r="L404" s="624"/>
      <c r="M404" s="625"/>
      <c r="N404" s="625"/>
      <c r="O404" s="625"/>
      <c r="P404" s="625"/>
      <c r="Q404" s="625"/>
      <c r="R404" s="625"/>
      <c r="S404" s="625"/>
      <c r="T404" s="625"/>
      <c r="U404" s="625"/>
      <c r="V404" s="625"/>
      <c r="W404" s="625"/>
      <c r="X404" s="625"/>
      <c r="Y404" s="625"/>
      <c r="Z404" s="625"/>
      <c r="AA404" s="625"/>
      <c r="AB404" s="625"/>
      <c r="AC404" s="625"/>
      <c r="AD404" s="625"/>
      <c r="AE404" s="625"/>
      <c r="AG404" s="625"/>
      <c r="AH404" s="625"/>
      <c r="AI404" s="625"/>
    </row>
    <row r="405" spans="1:35" s="620" customFormat="1" x14ac:dyDescent="0.2">
      <c r="A405" s="920"/>
      <c r="B405" s="721"/>
      <c r="C405" s="722"/>
      <c r="D405" s="723"/>
      <c r="E405" s="724"/>
      <c r="F405" s="724"/>
      <c r="G405" s="724"/>
      <c r="H405" s="722"/>
      <c r="I405" s="721"/>
      <c r="K405" s="715"/>
      <c r="L405" s="624"/>
      <c r="M405" s="625"/>
      <c r="N405" s="625"/>
      <c r="O405" s="625"/>
      <c r="P405" s="625"/>
      <c r="Q405" s="625"/>
      <c r="R405" s="625"/>
      <c r="S405" s="625"/>
      <c r="T405" s="625"/>
      <c r="U405" s="625"/>
      <c r="V405" s="625"/>
      <c r="W405" s="625"/>
      <c r="X405" s="625"/>
      <c r="Y405" s="625"/>
      <c r="Z405" s="625"/>
      <c r="AA405" s="625"/>
      <c r="AB405" s="625"/>
      <c r="AC405" s="625"/>
      <c r="AD405" s="625"/>
      <c r="AE405" s="625"/>
      <c r="AG405" s="625"/>
      <c r="AH405" s="625"/>
      <c r="AI405" s="625"/>
    </row>
    <row r="406" spans="1:35" s="620" customFormat="1" x14ac:dyDescent="0.2">
      <c r="A406" s="920"/>
      <c r="B406" s="725" t="s">
        <v>6756</v>
      </c>
      <c r="C406" s="726"/>
      <c r="D406" s="724"/>
      <c r="E406" s="724"/>
      <c r="F406" s="724"/>
      <c r="G406" s="724"/>
      <c r="H406" s="727" t="s">
        <v>5836</v>
      </c>
      <c r="I406" s="725"/>
      <c r="K406" s="715" t="s">
        <v>5837</v>
      </c>
      <c r="L406" s="624"/>
      <c r="M406" s="625"/>
      <c r="N406" s="625"/>
      <c r="O406" s="625"/>
      <c r="P406" s="625"/>
      <c r="Q406" s="625"/>
      <c r="R406" s="625"/>
      <c r="S406" s="625"/>
      <c r="T406" s="625"/>
      <c r="U406" s="625"/>
      <c r="V406" s="625"/>
      <c r="W406" s="625"/>
      <c r="X406" s="625"/>
      <c r="Y406" s="625"/>
      <c r="Z406" s="625"/>
      <c r="AA406" s="625"/>
      <c r="AB406" s="625"/>
      <c r="AC406" s="625"/>
      <c r="AD406" s="625"/>
      <c r="AE406" s="625"/>
      <c r="AG406" s="625"/>
      <c r="AH406" s="625"/>
      <c r="AI406" s="625"/>
    </row>
    <row r="407" spans="1:35" s="620" customFormat="1" x14ac:dyDescent="0.2">
      <c r="A407" s="920"/>
      <c r="B407" s="725" t="s">
        <v>6755</v>
      </c>
      <c r="C407" s="726"/>
      <c r="D407" s="724"/>
      <c r="E407" s="724"/>
      <c r="F407" s="724"/>
      <c r="G407" s="724"/>
      <c r="H407" s="727" t="s">
        <v>5838</v>
      </c>
      <c r="I407" s="725"/>
      <c r="K407" s="725" t="s">
        <v>5839</v>
      </c>
      <c r="L407" s="624"/>
      <c r="M407" s="625"/>
      <c r="N407" s="625"/>
      <c r="O407" s="625"/>
      <c r="P407" s="625"/>
      <c r="Q407" s="625"/>
      <c r="R407" s="625"/>
      <c r="S407" s="625"/>
      <c r="T407" s="625"/>
      <c r="U407" s="625"/>
      <c r="V407" s="625"/>
      <c r="W407" s="625"/>
      <c r="X407" s="625"/>
      <c r="Y407" s="625"/>
      <c r="Z407" s="625"/>
      <c r="AA407" s="625"/>
      <c r="AB407" s="625"/>
      <c r="AC407" s="625"/>
      <c r="AD407" s="625"/>
      <c r="AE407" s="625"/>
      <c r="AG407" s="625"/>
      <c r="AH407" s="625"/>
      <c r="AI407" s="625"/>
    </row>
    <row r="408" spans="1:35" s="620" customFormat="1" x14ac:dyDescent="0.2">
      <c r="A408" s="920"/>
      <c r="B408" s="725" t="s">
        <v>6754</v>
      </c>
      <c r="C408" s="726"/>
      <c r="D408" s="724"/>
      <c r="E408" s="724"/>
      <c r="F408" s="724"/>
      <c r="G408" s="724"/>
      <c r="H408" s="727" t="s">
        <v>5840</v>
      </c>
      <c r="I408" s="725"/>
      <c r="K408" s="715" t="s">
        <v>5841</v>
      </c>
      <c r="L408" s="624"/>
      <c r="M408" s="625"/>
      <c r="N408" s="625"/>
      <c r="O408" s="625"/>
      <c r="P408" s="625"/>
      <c r="Q408" s="625"/>
      <c r="R408" s="625"/>
      <c r="S408" s="625"/>
      <c r="T408" s="625"/>
      <c r="U408" s="625"/>
      <c r="V408" s="625"/>
      <c r="W408" s="625"/>
      <c r="X408" s="625"/>
      <c r="Y408" s="625"/>
      <c r="Z408" s="625"/>
      <c r="AA408" s="625"/>
      <c r="AB408" s="625"/>
      <c r="AC408" s="625"/>
      <c r="AD408" s="625"/>
      <c r="AE408" s="625"/>
      <c r="AG408" s="625"/>
      <c r="AH408" s="625"/>
      <c r="AI408" s="625"/>
    </row>
    <row r="409" spans="1:35" s="620" customFormat="1" x14ac:dyDescent="0.2">
      <c r="A409" s="920"/>
      <c r="B409" s="619"/>
      <c r="D409" s="622"/>
      <c r="F409" s="622"/>
      <c r="G409" s="920"/>
      <c r="H409" s="623"/>
      <c r="I409" s="1773"/>
      <c r="J409" s="1773"/>
      <c r="K409" s="920"/>
      <c r="L409" s="624"/>
      <c r="M409" s="625"/>
      <c r="N409" s="625"/>
      <c r="O409" s="625"/>
      <c r="P409" s="625"/>
      <c r="Q409" s="625"/>
      <c r="R409" s="625"/>
      <c r="S409" s="625"/>
      <c r="T409" s="625"/>
      <c r="U409" s="625"/>
      <c r="V409" s="625"/>
      <c r="W409" s="625"/>
      <c r="X409" s="625"/>
      <c r="Y409" s="625"/>
      <c r="Z409" s="625"/>
      <c r="AA409" s="625"/>
      <c r="AB409" s="625"/>
      <c r="AC409" s="625"/>
      <c r="AD409" s="625"/>
      <c r="AE409" s="625"/>
      <c r="AG409" s="625"/>
      <c r="AH409" s="625"/>
      <c r="AI409" s="625"/>
    </row>
    <row r="410" spans="1:35" s="620" customFormat="1" x14ac:dyDescent="0.2">
      <c r="A410" s="920"/>
      <c r="B410" s="619"/>
      <c r="D410" s="622"/>
      <c r="F410" s="622"/>
      <c r="G410" s="920"/>
      <c r="H410" s="623"/>
      <c r="I410" s="1773"/>
      <c r="J410" s="1773"/>
      <c r="K410" s="920"/>
      <c r="L410" s="624"/>
      <c r="M410" s="625"/>
      <c r="N410" s="625"/>
      <c r="O410" s="625"/>
      <c r="P410" s="625"/>
      <c r="Q410" s="625"/>
      <c r="R410" s="625"/>
      <c r="S410" s="625"/>
      <c r="T410" s="625"/>
      <c r="U410" s="625"/>
      <c r="V410" s="625"/>
      <c r="W410" s="625"/>
      <c r="X410" s="625"/>
      <c r="Y410" s="625"/>
      <c r="Z410" s="625"/>
      <c r="AA410" s="625"/>
      <c r="AB410" s="625"/>
      <c r="AC410" s="625"/>
      <c r="AD410" s="625"/>
      <c r="AE410" s="625"/>
      <c r="AG410" s="625"/>
      <c r="AH410" s="625"/>
      <c r="AI410" s="625"/>
    </row>
    <row r="411" spans="1:35" s="620" customFormat="1" x14ac:dyDescent="0.2">
      <c r="A411" s="920"/>
      <c r="B411" s="619"/>
      <c r="D411" s="622"/>
      <c r="F411" s="622"/>
      <c r="G411" s="920"/>
      <c r="H411" s="623"/>
      <c r="I411" s="1773"/>
      <c r="J411" s="1773"/>
      <c r="K411" s="920"/>
      <c r="L411" s="624"/>
      <c r="M411" s="625"/>
      <c r="N411" s="625"/>
      <c r="O411" s="625"/>
      <c r="P411" s="625"/>
      <c r="Q411" s="625"/>
      <c r="R411" s="625"/>
      <c r="S411" s="625"/>
      <c r="T411" s="625"/>
      <c r="U411" s="625"/>
      <c r="V411" s="625"/>
      <c r="W411" s="625"/>
      <c r="X411" s="625"/>
      <c r="Y411" s="625"/>
      <c r="Z411" s="625"/>
      <c r="AA411" s="625"/>
      <c r="AB411" s="625"/>
      <c r="AC411" s="625"/>
      <c r="AD411" s="625"/>
      <c r="AE411" s="625"/>
      <c r="AG411" s="625"/>
      <c r="AH411" s="625"/>
      <c r="AI411" s="625"/>
    </row>
    <row r="412" spans="1:35" s="620" customFormat="1" x14ac:dyDescent="0.2">
      <c r="A412" s="920"/>
      <c r="B412" s="619"/>
      <c r="D412" s="622"/>
      <c r="F412" s="622"/>
      <c r="G412" s="920"/>
      <c r="H412" s="623"/>
      <c r="I412" s="920"/>
      <c r="J412" s="920"/>
      <c r="K412" s="920"/>
      <c r="L412" s="624"/>
      <c r="M412" s="625"/>
      <c r="N412" s="625"/>
      <c r="O412" s="625"/>
      <c r="P412" s="625"/>
      <c r="Q412" s="625"/>
      <c r="R412" s="625"/>
      <c r="S412" s="625"/>
      <c r="T412" s="625"/>
      <c r="U412" s="625"/>
      <c r="V412" s="625"/>
      <c r="W412" s="625"/>
      <c r="X412" s="625"/>
      <c r="Y412" s="625"/>
      <c r="Z412" s="625"/>
      <c r="AA412" s="625"/>
      <c r="AB412" s="625"/>
      <c r="AC412" s="625"/>
      <c r="AD412" s="625"/>
      <c r="AE412" s="625"/>
      <c r="AG412" s="625"/>
      <c r="AH412" s="625"/>
      <c r="AI412" s="625"/>
    </row>
    <row r="413" spans="1:35" s="620" customFormat="1" x14ac:dyDescent="0.2">
      <c r="A413" s="920"/>
      <c r="B413" s="619"/>
      <c r="D413" s="622"/>
      <c r="F413" s="622"/>
      <c r="G413" s="920"/>
      <c r="H413" s="623"/>
      <c r="I413" s="920"/>
      <c r="J413" s="920"/>
      <c r="K413" s="920"/>
      <c r="L413" s="624"/>
      <c r="M413" s="625"/>
      <c r="N413" s="625"/>
      <c r="O413" s="625"/>
      <c r="P413" s="625"/>
      <c r="Q413" s="625"/>
      <c r="R413" s="625"/>
      <c r="S413" s="625"/>
      <c r="T413" s="625"/>
      <c r="U413" s="625"/>
      <c r="V413" s="625"/>
      <c r="W413" s="625"/>
      <c r="X413" s="625"/>
      <c r="Y413" s="625"/>
      <c r="Z413" s="625"/>
      <c r="AA413" s="625"/>
      <c r="AB413" s="625"/>
      <c r="AC413" s="625"/>
      <c r="AD413" s="625"/>
      <c r="AE413" s="625"/>
      <c r="AG413" s="625"/>
      <c r="AH413" s="625"/>
      <c r="AI413" s="625"/>
    </row>
    <row r="414" spans="1:35" s="620" customFormat="1" x14ac:dyDescent="0.2">
      <c r="A414" s="920"/>
      <c r="B414" s="619"/>
      <c r="D414" s="622"/>
      <c r="F414" s="622"/>
      <c r="G414" s="920"/>
      <c r="H414" s="623"/>
      <c r="I414" s="920"/>
      <c r="J414" s="920"/>
      <c r="K414" s="920"/>
      <c r="L414" s="624"/>
      <c r="M414" s="625"/>
      <c r="N414" s="625"/>
      <c r="O414" s="625"/>
      <c r="P414" s="625"/>
      <c r="Q414" s="625"/>
      <c r="R414" s="625"/>
      <c r="S414" s="625"/>
      <c r="T414" s="625"/>
      <c r="U414" s="625"/>
      <c r="V414" s="625"/>
      <c r="W414" s="625"/>
      <c r="X414" s="625"/>
      <c r="Y414" s="625"/>
      <c r="Z414" s="625"/>
      <c r="AA414" s="625"/>
      <c r="AB414" s="625"/>
      <c r="AC414" s="625"/>
      <c r="AD414" s="625"/>
      <c r="AE414" s="625"/>
      <c r="AG414" s="625"/>
      <c r="AH414" s="625"/>
      <c r="AI414" s="625"/>
    </row>
    <row r="415" spans="1:35" s="620" customFormat="1" x14ac:dyDescent="0.2">
      <c r="A415" s="920"/>
      <c r="B415" s="619"/>
      <c r="D415" s="622"/>
      <c r="F415" s="622"/>
      <c r="G415" s="920"/>
      <c r="H415" s="623"/>
      <c r="I415" s="920"/>
      <c r="J415" s="920"/>
      <c r="K415" s="920"/>
      <c r="L415" s="624"/>
      <c r="M415" s="625"/>
      <c r="N415" s="625"/>
      <c r="O415" s="625"/>
      <c r="P415" s="625"/>
      <c r="Q415" s="625"/>
      <c r="R415" s="625"/>
      <c r="S415" s="625"/>
      <c r="T415" s="625"/>
      <c r="U415" s="625"/>
      <c r="V415" s="625"/>
      <c r="W415" s="625"/>
      <c r="X415" s="625"/>
      <c r="Y415" s="625"/>
      <c r="Z415" s="625"/>
      <c r="AA415" s="625"/>
      <c r="AB415" s="625"/>
      <c r="AC415" s="625"/>
      <c r="AD415" s="625"/>
      <c r="AE415" s="625"/>
      <c r="AG415" s="625"/>
      <c r="AH415" s="625"/>
      <c r="AI415" s="625"/>
    </row>
    <row r="416" spans="1:35" s="620" customFormat="1" x14ac:dyDescent="0.2">
      <c r="A416" s="920"/>
      <c r="B416" s="619"/>
      <c r="D416" s="622"/>
      <c r="F416" s="622"/>
      <c r="G416" s="920"/>
      <c r="H416" s="623"/>
      <c r="I416" s="920"/>
      <c r="J416" s="920"/>
      <c r="K416" s="920"/>
      <c r="L416" s="624"/>
      <c r="M416" s="625"/>
      <c r="N416" s="625"/>
      <c r="O416" s="625"/>
      <c r="P416" s="625"/>
      <c r="Q416" s="625"/>
      <c r="R416" s="625"/>
      <c r="S416" s="625"/>
      <c r="T416" s="625"/>
      <c r="U416" s="625"/>
      <c r="V416" s="625"/>
      <c r="W416" s="625"/>
      <c r="X416" s="625"/>
      <c r="Y416" s="625"/>
      <c r="Z416" s="625"/>
      <c r="AA416" s="625"/>
      <c r="AB416" s="625"/>
      <c r="AC416" s="625"/>
      <c r="AD416" s="625"/>
      <c r="AE416" s="625"/>
      <c r="AG416" s="625"/>
      <c r="AH416" s="625"/>
      <c r="AI416" s="625"/>
    </row>
    <row r="417" spans="1:35" s="620" customFormat="1" x14ac:dyDescent="0.2">
      <c r="A417" s="920"/>
      <c r="B417" s="619"/>
      <c r="D417" s="622"/>
      <c r="F417" s="622"/>
      <c r="G417" s="920"/>
      <c r="H417" s="623"/>
      <c r="I417" s="920"/>
      <c r="J417" s="920"/>
      <c r="K417" s="920"/>
      <c r="L417" s="624"/>
      <c r="M417" s="625"/>
      <c r="N417" s="625"/>
      <c r="O417" s="625"/>
      <c r="P417" s="625"/>
      <c r="Q417" s="625"/>
      <c r="R417" s="625"/>
      <c r="S417" s="625"/>
      <c r="T417" s="625"/>
      <c r="U417" s="625"/>
      <c r="V417" s="625"/>
      <c r="W417" s="625"/>
      <c r="X417" s="625"/>
      <c r="Y417" s="625"/>
      <c r="Z417" s="625"/>
      <c r="AA417" s="625"/>
      <c r="AB417" s="625"/>
      <c r="AC417" s="625"/>
      <c r="AD417" s="625"/>
      <c r="AE417" s="625"/>
      <c r="AG417" s="625"/>
      <c r="AH417" s="625"/>
      <c r="AI417" s="625"/>
    </row>
    <row r="418" spans="1:35" s="620" customFormat="1" x14ac:dyDescent="0.2">
      <c r="A418" s="920"/>
      <c r="B418" s="619"/>
      <c r="D418" s="622"/>
      <c r="F418" s="622"/>
      <c r="G418" s="920"/>
      <c r="H418" s="623"/>
      <c r="I418" s="920"/>
      <c r="J418" s="920"/>
      <c r="K418" s="920"/>
      <c r="L418" s="624"/>
      <c r="M418" s="625"/>
      <c r="N418" s="625"/>
      <c r="O418" s="625"/>
      <c r="P418" s="625"/>
      <c r="Q418" s="625"/>
      <c r="R418" s="625"/>
      <c r="S418" s="625"/>
      <c r="T418" s="625"/>
      <c r="U418" s="625"/>
      <c r="V418" s="625"/>
      <c r="W418" s="625"/>
      <c r="X418" s="625"/>
      <c r="Y418" s="625"/>
      <c r="Z418" s="625"/>
      <c r="AA418" s="625"/>
      <c r="AB418" s="625"/>
      <c r="AC418" s="625"/>
      <c r="AD418" s="625"/>
      <c r="AE418" s="625"/>
      <c r="AG418" s="625"/>
      <c r="AH418" s="625"/>
      <c r="AI418" s="625"/>
    </row>
    <row r="419" spans="1:35" s="620" customFormat="1" x14ac:dyDescent="0.2">
      <c r="A419" s="920"/>
      <c r="B419" s="619"/>
      <c r="D419" s="622"/>
      <c r="F419" s="622"/>
      <c r="G419" s="920"/>
      <c r="H419" s="623"/>
      <c r="I419" s="920"/>
      <c r="J419" s="920"/>
      <c r="K419" s="920"/>
      <c r="L419" s="624"/>
      <c r="M419" s="625"/>
      <c r="N419" s="625"/>
      <c r="O419" s="625"/>
      <c r="P419" s="625"/>
      <c r="Q419" s="625"/>
      <c r="R419" s="625"/>
      <c r="S419" s="625"/>
      <c r="T419" s="625"/>
      <c r="U419" s="625"/>
      <c r="V419" s="625"/>
      <c r="W419" s="625"/>
      <c r="X419" s="625"/>
      <c r="Y419" s="625"/>
      <c r="Z419" s="625"/>
      <c r="AA419" s="625"/>
      <c r="AB419" s="625"/>
      <c r="AC419" s="625"/>
      <c r="AD419" s="625"/>
      <c r="AE419" s="625"/>
      <c r="AG419" s="625"/>
      <c r="AH419" s="625"/>
      <c r="AI419" s="625"/>
    </row>
    <row r="420" spans="1:35" s="620" customFormat="1" x14ac:dyDescent="0.2">
      <c r="A420" s="920"/>
      <c r="B420" s="619"/>
      <c r="D420" s="622"/>
      <c r="F420" s="622"/>
      <c r="G420" s="920"/>
      <c r="H420" s="623"/>
      <c r="I420" s="920"/>
      <c r="J420" s="920"/>
      <c r="K420" s="920"/>
      <c r="L420" s="624"/>
      <c r="M420" s="625"/>
      <c r="N420" s="625"/>
      <c r="O420" s="625"/>
      <c r="P420" s="625"/>
      <c r="Q420" s="625"/>
      <c r="R420" s="625"/>
      <c r="S420" s="625"/>
      <c r="T420" s="625"/>
      <c r="U420" s="625"/>
      <c r="V420" s="625"/>
      <c r="W420" s="625"/>
      <c r="X420" s="625"/>
      <c r="Y420" s="625"/>
      <c r="Z420" s="625"/>
      <c r="AA420" s="625"/>
      <c r="AB420" s="625"/>
      <c r="AC420" s="625"/>
      <c r="AD420" s="625"/>
      <c r="AE420" s="625"/>
      <c r="AG420" s="625"/>
      <c r="AH420" s="625"/>
      <c r="AI420" s="625"/>
    </row>
    <row r="421" spans="1:35" s="620" customFormat="1" x14ac:dyDescent="0.2">
      <c r="A421" s="920"/>
      <c r="B421" s="619"/>
      <c r="D421" s="622"/>
      <c r="F421" s="622"/>
      <c r="G421" s="920"/>
      <c r="H421" s="623"/>
      <c r="I421" s="920"/>
      <c r="J421" s="920"/>
      <c r="K421" s="920"/>
      <c r="L421" s="624"/>
      <c r="M421" s="625"/>
      <c r="N421" s="625"/>
      <c r="O421" s="625"/>
      <c r="P421" s="625"/>
      <c r="Q421" s="625"/>
      <c r="R421" s="625"/>
      <c r="S421" s="625"/>
      <c r="T421" s="625"/>
      <c r="U421" s="625"/>
      <c r="V421" s="625"/>
      <c r="W421" s="625"/>
      <c r="X421" s="625"/>
      <c r="Y421" s="625"/>
      <c r="Z421" s="625"/>
      <c r="AA421" s="625"/>
      <c r="AB421" s="625"/>
      <c r="AC421" s="625"/>
      <c r="AD421" s="625"/>
      <c r="AE421" s="625"/>
      <c r="AG421" s="625"/>
      <c r="AH421" s="625"/>
      <c r="AI421" s="625"/>
    </row>
    <row r="422" spans="1:35" s="620" customFormat="1" x14ac:dyDescent="0.2">
      <c r="A422" s="920"/>
      <c r="B422" s="619"/>
      <c r="D422" s="622"/>
      <c r="F422" s="622"/>
      <c r="G422" s="920"/>
      <c r="H422" s="623"/>
      <c r="I422" s="920"/>
      <c r="J422" s="920"/>
      <c r="K422" s="920"/>
      <c r="L422" s="624"/>
      <c r="M422" s="625"/>
      <c r="N422" s="625"/>
      <c r="O422" s="625"/>
      <c r="P422" s="625"/>
      <c r="Q422" s="625"/>
      <c r="R422" s="625"/>
      <c r="S422" s="625"/>
      <c r="T422" s="625"/>
      <c r="U422" s="625"/>
      <c r="V422" s="625"/>
      <c r="W422" s="625"/>
      <c r="X422" s="625"/>
      <c r="Y422" s="625"/>
      <c r="Z422" s="625"/>
      <c r="AA422" s="625"/>
      <c r="AB422" s="625"/>
      <c r="AC422" s="625"/>
      <c r="AD422" s="625"/>
      <c r="AE422" s="625"/>
      <c r="AG422" s="625"/>
      <c r="AH422" s="625"/>
      <c r="AI422" s="625"/>
    </row>
    <row r="423" spans="1:35" s="620" customFormat="1" x14ac:dyDescent="0.2">
      <c r="A423" s="920"/>
      <c r="B423" s="619"/>
      <c r="D423" s="622"/>
      <c r="F423" s="622"/>
      <c r="G423" s="920"/>
      <c r="H423" s="623"/>
      <c r="I423" s="920"/>
      <c r="J423" s="920"/>
      <c r="K423" s="920"/>
      <c r="L423" s="624"/>
      <c r="M423" s="625"/>
      <c r="N423" s="625"/>
      <c r="O423" s="625"/>
      <c r="P423" s="625"/>
      <c r="Q423" s="625"/>
      <c r="R423" s="625"/>
      <c r="S423" s="625"/>
      <c r="T423" s="625"/>
      <c r="U423" s="625"/>
      <c r="V423" s="625"/>
      <c r="W423" s="625"/>
      <c r="X423" s="625"/>
      <c r="Y423" s="625"/>
      <c r="Z423" s="625"/>
      <c r="AA423" s="625"/>
      <c r="AB423" s="625"/>
      <c r="AC423" s="625"/>
      <c r="AD423" s="625"/>
      <c r="AE423" s="625"/>
      <c r="AG423" s="625"/>
      <c r="AH423" s="625"/>
      <c r="AI423" s="625"/>
    </row>
    <row r="424" spans="1:35" s="620" customFormat="1" x14ac:dyDescent="0.2">
      <c r="A424" s="920"/>
      <c r="B424" s="619"/>
      <c r="D424" s="622"/>
      <c r="F424" s="622"/>
      <c r="G424" s="920"/>
      <c r="H424" s="623"/>
      <c r="I424" s="920"/>
      <c r="J424" s="920"/>
      <c r="K424" s="920"/>
      <c r="L424" s="624"/>
      <c r="M424" s="625"/>
      <c r="N424" s="625"/>
      <c r="O424" s="625"/>
      <c r="P424" s="625"/>
      <c r="Q424" s="625"/>
      <c r="R424" s="625"/>
      <c r="S424" s="625"/>
      <c r="T424" s="625"/>
      <c r="U424" s="625"/>
      <c r="V424" s="625"/>
      <c r="W424" s="625"/>
      <c r="X424" s="625"/>
      <c r="Y424" s="625"/>
      <c r="Z424" s="625"/>
      <c r="AA424" s="625"/>
      <c r="AB424" s="625"/>
      <c r="AC424" s="625"/>
      <c r="AD424" s="625"/>
      <c r="AE424" s="625"/>
      <c r="AG424" s="625"/>
      <c r="AH424" s="625"/>
      <c r="AI424" s="625"/>
    </row>
    <row r="425" spans="1:35" s="620" customFormat="1" x14ac:dyDescent="0.2">
      <c r="A425" s="920"/>
      <c r="B425" s="619"/>
      <c r="D425" s="622"/>
      <c r="F425" s="622"/>
      <c r="G425" s="920"/>
      <c r="H425" s="623"/>
      <c r="I425" s="920"/>
      <c r="J425" s="920"/>
      <c r="K425" s="920"/>
      <c r="L425" s="624"/>
      <c r="M425" s="625"/>
      <c r="N425" s="625"/>
      <c r="O425" s="625"/>
      <c r="P425" s="625"/>
      <c r="Q425" s="625"/>
      <c r="R425" s="625"/>
      <c r="S425" s="625"/>
      <c r="T425" s="625"/>
      <c r="U425" s="625"/>
      <c r="V425" s="625"/>
      <c r="W425" s="625"/>
      <c r="X425" s="625"/>
      <c r="Y425" s="625"/>
      <c r="Z425" s="625"/>
      <c r="AA425" s="625"/>
      <c r="AB425" s="625"/>
      <c r="AC425" s="625"/>
      <c r="AD425" s="625"/>
      <c r="AE425" s="625"/>
      <c r="AG425" s="625"/>
      <c r="AH425" s="625"/>
      <c r="AI425" s="625"/>
    </row>
    <row r="426" spans="1:35" s="620" customFormat="1" x14ac:dyDescent="0.2">
      <c r="A426" s="920"/>
      <c r="B426" s="619"/>
      <c r="D426" s="622"/>
      <c r="F426" s="622"/>
      <c r="G426" s="920"/>
      <c r="H426" s="623"/>
      <c r="I426" s="920"/>
      <c r="J426" s="920"/>
      <c r="K426" s="920"/>
      <c r="L426" s="624"/>
      <c r="M426" s="625"/>
      <c r="N426" s="625"/>
      <c r="O426" s="625"/>
      <c r="P426" s="625"/>
      <c r="Q426" s="625"/>
      <c r="R426" s="625"/>
      <c r="S426" s="625"/>
      <c r="T426" s="625"/>
      <c r="U426" s="625"/>
      <c r="V426" s="625"/>
      <c r="W426" s="625"/>
      <c r="X426" s="625"/>
      <c r="Y426" s="625"/>
      <c r="Z426" s="625"/>
      <c r="AA426" s="625"/>
      <c r="AB426" s="625"/>
      <c r="AC426" s="625"/>
      <c r="AD426" s="625"/>
      <c r="AE426" s="625"/>
      <c r="AG426" s="625"/>
      <c r="AH426" s="625"/>
      <c r="AI426" s="625"/>
    </row>
    <row r="427" spans="1:35" s="620" customFormat="1" x14ac:dyDescent="0.2">
      <c r="A427" s="920"/>
      <c r="B427" s="619"/>
      <c r="D427" s="622"/>
      <c r="F427" s="622"/>
      <c r="G427" s="920"/>
      <c r="H427" s="623"/>
      <c r="I427" s="920"/>
      <c r="J427" s="920"/>
      <c r="K427" s="920"/>
      <c r="L427" s="624"/>
      <c r="M427" s="625"/>
      <c r="N427" s="625"/>
      <c r="O427" s="625"/>
      <c r="P427" s="625"/>
      <c r="Q427" s="625"/>
      <c r="R427" s="625"/>
      <c r="S427" s="625"/>
      <c r="T427" s="625"/>
      <c r="U427" s="625"/>
      <c r="V427" s="625"/>
      <c r="W427" s="625"/>
      <c r="X427" s="625"/>
      <c r="Y427" s="625"/>
      <c r="Z427" s="625"/>
      <c r="AA427" s="625"/>
      <c r="AB427" s="625"/>
      <c r="AC427" s="625"/>
      <c r="AD427" s="625"/>
      <c r="AE427" s="625"/>
      <c r="AG427" s="625"/>
      <c r="AH427" s="625"/>
      <c r="AI427" s="625"/>
    </row>
    <row r="428" spans="1:35" s="620" customFormat="1" x14ac:dyDescent="0.2">
      <c r="A428" s="920"/>
      <c r="B428" s="619"/>
      <c r="D428" s="622"/>
      <c r="F428" s="622"/>
      <c r="G428" s="920"/>
      <c r="H428" s="623"/>
      <c r="I428" s="920"/>
      <c r="J428" s="920"/>
      <c r="K428" s="920"/>
      <c r="L428" s="624"/>
      <c r="M428" s="625"/>
      <c r="N428" s="625"/>
      <c r="O428" s="625"/>
      <c r="P428" s="625"/>
      <c r="Q428" s="625"/>
      <c r="R428" s="625"/>
      <c r="S428" s="625"/>
      <c r="T428" s="625"/>
      <c r="U428" s="625"/>
      <c r="V428" s="625"/>
      <c r="W428" s="625"/>
      <c r="X428" s="625"/>
      <c r="Y428" s="625"/>
      <c r="Z428" s="625"/>
      <c r="AA428" s="625"/>
      <c r="AB428" s="625"/>
      <c r="AC428" s="625"/>
      <c r="AD428" s="625"/>
      <c r="AE428" s="625"/>
      <c r="AG428" s="625"/>
      <c r="AH428" s="625"/>
      <c r="AI428" s="625"/>
    </row>
    <row r="429" spans="1:35" s="620" customFormat="1" x14ac:dyDescent="0.2">
      <c r="A429" s="920"/>
      <c r="B429" s="619"/>
      <c r="D429" s="622"/>
      <c r="F429" s="622"/>
      <c r="G429" s="920"/>
      <c r="H429" s="623"/>
      <c r="I429" s="920"/>
      <c r="J429" s="920"/>
      <c r="K429" s="920"/>
      <c r="L429" s="624"/>
      <c r="M429" s="625"/>
      <c r="N429" s="625"/>
      <c r="O429" s="625"/>
      <c r="P429" s="625"/>
      <c r="Q429" s="625"/>
      <c r="R429" s="625"/>
      <c r="S429" s="625"/>
      <c r="T429" s="625"/>
      <c r="U429" s="625"/>
      <c r="V429" s="625"/>
      <c r="W429" s="625"/>
      <c r="X429" s="625"/>
      <c r="Y429" s="625"/>
      <c r="Z429" s="625"/>
      <c r="AA429" s="625"/>
      <c r="AB429" s="625"/>
      <c r="AC429" s="625"/>
      <c r="AD429" s="625"/>
      <c r="AE429" s="625"/>
      <c r="AG429" s="625"/>
      <c r="AH429" s="625"/>
      <c r="AI429" s="625"/>
    </row>
    <row r="430" spans="1:35" s="620" customFormat="1" x14ac:dyDescent="0.2">
      <c r="A430" s="920"/>
      <c r="B430" s="619"/>
      <c r="D430" s="622"/>
      <c r="F430" s="622"/>
      <c r="G430" s="920"/>
      <c r="H430" s="623"/>
      <c r="I430" s="920"/>
      <c r="J430" s="920"/>
      <c r="K430" s="920"/>
      <c r="L430" s="624"/>
      <c r="M430" s="625"/>
      <c r="N430" s="625"/>
      <c r="O430" s="625"/>
      <c r="P430" s="625"/>
      <c r="Q430" s="625"/>
      <c r="R430" s="625"/>
      <c r="S430" s="625"/>
      <c r="T430" s="625"/>
      <c r="U430" s="625"/>
      <c r="V430" s="625"/>
      <c r="W430" s="625"/>
      <c r="X430" s="625"/>
      <c r="Y430" s="625"/>
      <c r="Z430" s="625"/>
      <c r="AA430" s="625"/>
      <c r="AB430" s="625"/>
      <c r="AC430" s="625"/>
      <c r="AD430" s="625"/>
      <c r="AE430" s="625"/>
      <c r="AG430" s="625"/>
      <c r="AH430" s="625"/>
      <c r="AI430" s="625"/>
    </row>
    <row r="431" spans="1:35" s="620" customFormat="1" x14ac:dyDescent="0.2">
      <c r="A431" s="920"/>
      <c r="B431" s="619"/>
      <c r="D431" s="622"/>
      <c r="F431" s="622"/>
      <c r="G431" s="920"/>
      <c r="H431" s="623"/>
      <c r="I431" s="920"/>
      <c r="J431" s="920"/>
      <c r="K431" s="920"/>
      <c r="L431" s="624"/>
      <c r="M431" s="625"/>
      <c r="N431" s="625"/>
      <c r="O431" s="625"/>
      <c r="P431" s="625"/>
      <c r="Q431" s="625"/>
      <c r="R431" s="625"/>
      <c r="S431" s="625"/>
      <c r="T431" s="625"/>
      <c r="U431" s="625"/>
      <c r="V431" s="625"/>
      <c r="W431" s="625"/>
      <c r="X431" s="625"/>
      <c r="Y431" s="625"/>
      <c r="Z431" s="625"/>
      <c r="AA431" s="625"/>
      <c r="AB431" s="625"/>
      <c r="AC431" s="625"/>
      <c r="AD431" s="625"/>
      <c r="AE431" s="625"/>
      <c r="AG431" s="625"/>
      <c r="AH431" s="625"/>
      <c r="AI431" s="625"/>
    </row>
    <row r="432" spans="1:35" s="620" customFormat="1" x14ac:dyDescent="0.2">
      <c r="A432" s="920"/>
      <c r="B432" s="619"/>
      <c r="D432" s="622"/>
      <c r="F432" s="622"/>
      <c r="G432" s="920"/>
      <c r="H432" s="623"/>
      <c r="I432" s="920"/>
      <c r="J432" s="920"/>
      <c r="K432" s="920"/>
      <c r="L432" s="624"/>
      <c r="M432" s="625"/>
      <c r="N432" s="625"/>
      <c r="O432" s="625"/>
      <c r="P432" s="625"/>
      <c r="Q432" s="625"/>
      <c r="R432" s="625"/>
      <c r="S432" s="625"/>
      <c r="T432" s="625"/>
      <c r="U432" s="625"/>
      <c r="V432" s="625"/>
      <c r="W432" s="625"/>
      <c r="X432" s="625"/>
      <c r="Y432" s="625"/>
      <c r="Z432" s="625"/>
      <c r="AA432" s="625"/>
      <c r="AB432" s="625"/>
      <c r="AC432" s="625"/>
      <c r="AD432" s="625"/>
      <c r="AE432" s="625"/>
      <c r="AG432" s="625"/>
      <c r="AH432" s="625"/>
      <c r="AI432" s="625"/>
    </row>
    <row r="433" spans="1:35" s="620" customFormat="1" x14ac:dyDescent="0.2">
      <c r="A433" s="920"/>
      <c r="B433" s="619"/>
      <c r="D433" s="622"/>
      <c r="F433" s="622"/>
      <c r="G433" s="920"/>
      <c r="H433" s="623"/>
      <c r="I433" s="920"/>
      <c r="J433" s="920"/>
      <c r="K433" s="920"/>
      <c r="L433" s="624"/>
      <c r="M433" s="625"/>
      <c r="N433" s="625"/>
      <c r="O433" s="625"/>
      <c r="P433" s="625"/>
      <c r="Q433" s="625"/>
      <c r="R433" s="625"/>
      <c r="S433" s="625"/>
      <c r="T433" s="625"/>
      <c r="U433" s="625"/>
      <c r="V433" s="625"/>
      <c r="W433" s="625"/>
      <c r="X433" s="625"/>
      <c r="Y433" s="625"/>
      <c r="Z433" s="625"/>
      <c r="AA433" s="625"/>
      <c r="AB433" s="625"/>
      <c r="AC433" s="625"/>
      <c r="AD433" s="625"/>
      <c r="AE433" s="625"/>
      <c r="AG433" s="625"/>
      <c r="AH433" s="625"/>
      <c r="AI433" s="625"/>
    </row>
    <row r="434" spans="1:35" s="620" customFormat="1" x14ac:dyDescent="0.2">
      <c r="A434" s="920"/>
      <c r="B434" s="619"/>
      <c r="D434" s="622"/>
      <c r="F434" s="622"/>
      <c r="G434" s="920"/>
      <c r="H434" s="623"/>
      <c r="I434" s="920"/>
      <c r="J434" s="920"/>
      <c r="K434" s="920"/>
      <c r="L434" s="624"/>
      <c r="M434" s="625"/>
      <c r="N434" s="625"/>
      <c r="O434" s="625"/>
      <c r="P434" s="625"/>
      <c r="Q434" s="625"/>
      <c r="R434" s="625"/>
      <c r="S434" s="625"/>
      <c r="T434" s="625"/>
      <c r="U434" s="625"/>
      <c r="V434" s="625"/>
      <c r="W434" s="625"/>
      <c r="X434" s="625"/>
      <c r="Y434" s="625"/>
      <c r="Z434" s="625"/>
      <c r="AA434" s="625"/>
      <c r="AB434" s="625"/>
      <c r="AC434" s="625"/>
      <c r="AD434" s="625"/>
      <c r="AE434" s="625"/>
      <c r="AG434" s="625"/>
      <c r="AH434" s="625"/>
      <c r="AI434" s="625"/>
    </row>
    <row r="435" spans="1:35" s="620" customFormat="1" x14ac:dyDescent="0.2">
      <c r="A435" s="920"/>
      <c r="B435" s="619"/>
      <c r="D435" s="622"/>
      <c r="F435" s="622"/>
      <c r="G435" s="920"/>
      <c r="H435" s="623"/>
      <c r="I435" s="920"/>
      <c r="J435" s="920"/>
      <c r="K435" s="920"/>
      <c r="L435" s="624"/>
      <c r="M435" s="625"/>
      <c r="N435" s="625"/>
      <c r="O435" s="625"/>
      <c r="P435" s="625"/>
      <c r="Q435" s="625"/>
      <c r="R435" s="625"/>
      <c r="S435" s="625"/>
      <c r="T435" s="625"/>
      <c r="U435" s="625"/>
      <c r="V435" s="625"/>
      <c r="W435" s="625"/>
      <c r="X435" s="625"/>
      <c r="Y435" s="625"/>
      <c r="Z435" s="625"/>
      <c r="AA435" s="625"/>
      <c r="AB435" s="625"/>
      <c r="AC435" s="625"/>
      <c r="AD435" s="625"/>
      <c r="AE435" s="625"/>
      <c r="AG435" s="625"/>
      <c r="AH435" s="625"/>
      <c r="AI435" s="625"/>
    </row>
    <row r="436" spans="1:35" s="620" customFormat="1" x14ac:dyDescent="0.2">
      <c r="A436" s="920"/>
      <c r="B436" s="619"/>
      <c r="D436" s="622"/>
      <c r="F436" s="622"/>
      <c r="G436" s="920"/>
      <c r="H436" s="623"/>
      <c r="I436" s="920"/>
      <c r="J436" s="920"/>
      <c r="K436" s="920"/>
      <c r="L436" s="624"/>
      <c r="M436" s="625"/>
      <c r="N436" s="625"/>
      <c r="O436" s="625"/>
      <c r="P436" s="625"/>
      <c r="Q436" s="625"/>
      <c r="R436" s="625"/>
      <c r="S436" s="625"/>
      <c r="T436" s="625"/>
      <c r="U436" s="625"/>
      <c r="V436" s="625"/>
      <c r="W436" s="625"/>
      <c r="X436" s="625"/>
      <c r="Y436" s="625"/>
      <c r="Z436" s="625"/>
      <c r="AA436" s="625"/>
      <c r="AB436" s="625"/>
      <c r="AC436" s="625"/>
      <c r="AD436" s="625"/>
      <c r="AE436" s="625"/>
      <c r="AG436" s="625"/>
      <c r="AH436" s="625"/>
      <c r="AI436" s="625"/>
    </row>
    <row r="441" spans="1:35" ht="12" x14ac:dyDescent="0.2">
      <c r="A441" s="265"/>
      <c r="B441" s="265"/>
      <c r="D441" s="265"/>
      <c r="F441" s="265"/>
      <c r="G441" s="265"/>
      <c r="H441" s="265"/>
      <c r="I441" s="265"/>
      <c r="J441" s="265"/>
      <c r="K441" s="265"/>
      <c r="L441" s="265"/>
      <c r="M441" s="265"/>
      <c r="N441" s="265"/>
      <c r="O441" s="265"/>
      <c r="P441" s="265"/>
      <c r="Q441" s="265"/>
      <c r="R441" s="265"/>
      <c r="S441" s="265"/>
      <c r="T441" s="265"/>
      <c r="U441" s="265"/>
      <c r="V441" s="265"/>
      <c r="W441" s="265"/>
      <c r="X441" s="265"/>
      <c r="Y441" s="265"/>
      <c r="Z441" s="265"/>
      <c r="AA441" s="265"/>
      <c r="AB441" s="265"/>
      <c r="AC441" s="265"/>
      <c r="AD441" s="265"/>
      <c r="AE441" s="265"/>
      <c r="AG441" s="265"/>
      <c r="AH441" s="265"/>
      <c r="AI441" s="265"/>
    </row>
    <row r="442" spans="1:35" ht="12" x14ac:dyDescent="0.2">
      <c r="A442" s="265"/>
      <c r="B442" s="265"/>
      <c r="D442" s="265"/>
      <c r="F442" s="265"/>
      <c r="G442" s="265"/>
      <c r="H442" s="265"/>
      <c r="I442" s="265"/>
      <c r="J442" s="265"/>
      <c r="K442" s="265"/>
      <c r="L442" s="265"/>
      <c r="M442" s="265"/>
      <c r="N442" s="265"/>
      <c r="O442" s="265"/>
      <c r="P442" s="265"/>
      <c r="Q442" s="265"/>
      <c r="R442" s="265"/>
      <c r="S442" s="265"/>
      <c r="T442" s="265"/>
      <c r="U442" s="265"/>
      <c r="V442" s="265"/>
      <c r="W442" s="265"/>
      <c r="X442" s="265"/>
      <c r="Y442" s="265"/>
      <c r="Z442" s="265"/>
      <c r="AA442" s="265"/>
      <c r="AB442" s="265"/>
      <c r="AC442" s="265"/>
      <c r="AD442" s="265"/>
      <c r="AE442" s="265"/>
      <c r="AG442" s="265"/>
      <c r="AH442" s="265"/>
      <c r="AI442" s="265"/>
    </row>
    <row r="443" spans="1:35" ht="12" x14ac:dyDescent="0.2">
      <c r="A443" s="265"/>
      <c r="B443" s="265"/>
      <c r="D443" s="265"/>
      <c r="F443" s="265"/>
      <c r="G443" s="265"/>
      <c r="H443" s="265"/>
      <c r="I443" s="265"/>
      <c r="J443" s="265"/>
      <c r="K443" s="265"/>
      <c r="L443" s="265"/>
      <c r="M443" s="265"/>
      <c r="N443" s="265"/>
      <c r="O443" s="265"/>
      <c r="P443" s="265"/>
      <c r="Q443" s="265"/>
      <c r="R443" s="265"/>
      <c r="S443" s="265"/>
      <c r="T443" s="265"/>
      <c r="U443" s="265"/>
      <c r="V443" s="265"/>
      <c r="W443" s="265"/>
      <c r="X443" s="265"/>
      <c r="Y443" s="265"/>
      <c r="Z443" s="265"/>
      <c r="AA443" s="265"/>
      <c r="AB443" s="265"/>
      <c r="AC443" s="265"/>
      <c r="AD443" s="265"/>
      <c r="AE443" s="265"/>
      <c r="AG443" s="265"/>
      <c r="AH443" s="265"/>
      <c r="AI443" s="265"/>
    </row>
    <row r="444" spans="1:35" ht="12" x14ac:dyDescent="0.2">
      <c r="A444" s="265"/>
      <c r="B444" s="265"/>
      <c r="D444" s="265"/>
      <c r="F444" s="265"/>
      <c r="G444" s="265"/>
      <c r="H444" s="265"/>
      <c r="I444" s="265"/>
      <c r="J444" s="265"/>
      <c r="K444" s="265"/>
      <c r="L444" s="265"/>
      <c r="M444" s="265"/>
      <c r="N444" s="265"/>
      <c r="O444" s="265"/>
      <c r="P444" s="265"/>
      <c r="Q444" s="265"/>
      <c r="R444" s="265"/>
      <c r="S444" s="265"/>
      <c r="T444" s="265"/>
      <c r="U444" s="265"/>
      <c r="V444" s="265"/>
      <c r="W444" s="265"/>
      <c r="X444" s="265"/>
      <c r="Y444" s="265"/>
      <c r="Z444" s="265"/>
      <c r="AA444" s="265"/>
      <c r="AB444" s="265"/>
      <c r="AC444" s="265"/>
      <c r="AD444" s="265"/>
      <c r="AE444" s="265"/>
      <c r="AG444" s="265"/>
      <c r="AH444" s="265"/>
      <c r="AI444" s="265"/>
    </row>
    <row r="445" spans="1:35" ht="12" x14ac:dyDescent="0.2">
      <c r="A445" s="265"/>
      <c r="B445" s="265"/>
      <c r="D445" s="265"/>
      <c r="F445" s="265"/>
      <c r="G445" s="265"/>
      <c r="H445" s="265"/>
      <c r="I445" s="265"/>
      <c r="J445" s="265"/>
      <c r="K445" s="265"/>
      <c r="L445" s="265"/>
      <c r="M445" s="265"/>
      <c r="N445" s="265"/>
      <c r="O445" s="265"/>
      <c r="P445" s="265"/>
      <c r="Q445" s="265"/>
      <c r="R445" s="265"/>
      <c r="S445" s="265"/>
      <c r="T445" s="265"/>
      <c r="U445" s="265"/>
      <c r="V445" s="265"/>
      <c r="W445" s="265"/>
      <c r="X445" s="265"/>
      <c r="Y445" s="265"/>
      <c r="Z445" s="265"/>
      <c r="AA445" s="265"/>
      <c r="AB445" s="265"/>
      <c r="AC445" s="265"/>
      <c r="AD445" s="265"/>
      <c r="AE445" s="265"/>
      <c r="AG445" s="265"/>
      <c r="AH445" s="265"/>
      <c r="AI445" s="265"/>
    </row>
    <row r="446" spans="1:35" ht="12" x14ac:dyDescent="0.2">
      <c r="A446" s="265"/>
      <c r="B446" s="265"/>
      <c r="D446" s="265"/>
      <c r="F446" s="265"/>
      <c r="G446" s="265"/>
      <c r="H446" s="265"/>
      <c r="I446" s="265"/>
      <c r="J446" s="265"/>
      <c r="K446" s="265"/>
      <c r="L446" s="265"/>
      <c r="M446" s="265"/>
      <c r="N446" s="265"/>
      <c r="O446" s="265"/>
      <c r="P446" s="265"/>
      <c r="Q446" s="265"/>
      <c r="R446" s="265"/>
      <c r="S446" s="265"/>
      <c r="T446" s="265"/>
      <c r="U446" s="265"/>
      <c r="V446" s="265"/>
      <c r="W446" s="265"/>
      <c r="X446" s="265"/>
      <c r="Y446" s="265"/>
      <c r="Z446" s="265"/>
      <c r="AA446" s="265"/>
      <c r="AB446" s="265"/>
      <c r="AC446" s="265"/>
      <c r="AD446" s="265"/>
      <c r="AE446" s="265"/>
      <c r="AG446" s="265"/>
      <c r="AH446" s="265"/>
      <c r="AI446" s="265"/>
    </row>
    <row r="447" spans="1:35" ht="12" x14ac:dyDescent="0.2">
      <c r="A447" s="265"/>
      <c r="B447" s="265"/>
      <c r="D447" s="265"/>
      <c r="F447" s="265"/>
      <c r="G447" s="265"/>
      <c r="H447" s="265"/>
      <c r="I447" s="265"/>
      <c r="J447" s="265"/>
      <c r="K447" s="265"/>
      <c r="L447" s="265"/>
      <c r="M447" s="265"/>
      <c r="N447" s="265"/>
      <c r="O447" s="265"/>
      <c r="P447" s="265"/>
      <c r="Q447" s="265"/>
      <c r="R447" s="265"/>
      <c r="S447" s="265"/>
      <c r="T447" s="265"/>
      <c r="U447" s="265"/>
      <c r="V447" s="265"/>
      <c r="W447" s="265"/>
      <c r="X447" s="265"/>
      <c r="Y447" s="265"/>
      <c r="Z447" s="265"/>
      <c r="AA447" s="265"/>
      <c r="AB447" s="265"/>
      <c r="AC447" s="265"/>
      <c r="AD447" s="265"/>
      <c r="AE447" s="265"/>
      <c r="AG447" s="265"/>
      <c r="AH447" s="265"/>
      <c r="AI447" s="265"/>
    </row>
    <row r="448" spans="1:35" ht="12" x14ac:dyDescent="0.2">
      <c r="A448" s="265"/>
      <c r="B448" s="265"/>
      <c r="D448" s="265"/>
      <c r="F448" s="265"/>
      <c r="G448" s="265"/>
      <c r="H448" s="265"/>
      <c r="I448" s="265"/>
      <c r="J448" s="265"/>
      <c r="K448" s="265"/>
      <c r="L448" s="265"/>
      <c r="M448" s="265"/>
      <c r="N448" s="265"/>
      <c r="O448" s="265"/>
      <c r="P448" s="265"/>
      <c r="Q448" s="265"/>
      <c r="R448" s="265"/>
      <c r="S448" s="265"/>
      <c r="T448" s="265"/>
      <c r="U448" s="265"/>
      <c r="V448" s="265"/>
      <c r="W448" s="265"/>
      <c r="X448" s="265"/>
      <c r="Y448" s="265"/>
      <c r="Z448" s="265"/>
      <c r="AA448" s="265"/>
      <c r="AB448" s="265"/>
      <c r="AC448" s="265"/>
      <c r="AD448" s="265"/>
      <c r="AE448" s="265"/>
      <c r="AG448" s="265"/>
      <c r="AH448" s="265"/>
      <c r="AI448" s="265"/>
    </row>
    <row r="449" s="265" customFormat="1" ht="12" x14ac:dyDescent="0.2"/>
    <row r="450" s="265" customFormat="1" ht="12" x14ac:dyDescent="0.2"/>
    <row r="451" s="265" customFormat="1" ht="12" x14ac:dyDescent="0.2"/>
    <row r="452" s="265" customFormat="1" ht="12" x14ac:dyDescent="0.2"/>
    <row r="453" s="265" customFormat="1" ht="12" x14ac:dyDescent="0.2"/>
    <row r="454" s="265" customFormat="1" ht="12" x14ac:dyDescent="0.2"/>
    <row r="455" s="265" customFormat="1" ht="12" x14ac:dyDescent="0.2"/>
    <row r="456" s="265" customFormat="1" ht="12" x14ac:dyDescent="0.2"/>
    <row r="457" s="265" customFormat="1" ht="12" x14ac:dyDescent="0.2"/>
    <row r="458" s="265" customFormat="1" ht="12" x14ac:dyDescent="0.2"/>
    <row r="459" s="265" customFormat="1" ht="12" x14ac:dyDescent="0.2"/>
    <row r="460" s="265" customFormat="1" ht="12" x14ac:dyDescent="0.2"/>
    <row r="461" s="265" customFormat="1" ht="12" x14ac:dyDescent="0.2"/>
    <row r="462" s="265" customFormat="1" ht="12" x14ac:dyDescent="0.2"/>
    <row r="463" s="265" customFormat="1" ht="12" x14ac:dyDescent="0.2"/>
    <row r="464" s="265" customFormat="1" ht="12" x14ac:dyDescent="0.2"/>
    <row r="465" s="265" customFormat="1" ht="12" x14ac:dyDescent="0.2"/>
    <row r="466" s="265" customFormat="1" ht="12" x14ac:dyDescent="0.2"/>
    <row r="467" s="265" customFormat="1" ht="12" x14ac:dyDescent="0.2"/>
    <row r="468" s="265" customFormat="1" ht="12" x14ac:dyDescent="0.2"/>
    <row r="469" s="265" customFormat="1" ht="12" x14ac:dyDescent="0.2"/>
    <row r="470" s="265" customFormat="1" ht="12" x14ac:dyDescent="0.2"/>
    <row r="471" s="265" customFormat="1" ht="12" x14ac:dyDescent="0.2"/>
    <row r="472" s="265" customFormat="1" ht="12" x14ac:dyDescent="0.2"/>
    <row r="473" s="265" customFormat="1" ht="12" x14ac:dyDescent="0.2"/>
    <row r="474" s="265" customFormat="1" ht="12" x14ac:dyDescent="0.2"/>
    <row r="475" s="265" customFormat="1" ht="12" x14ac:dyDescent="0.2"/>
    <row r="476" s="265" customFormat="1" ht="12" x14ac:dyDescent="0.2"/>
    <row r="477" s="265" customFormat="1" ht="12" x14ac:dyDescent="0.2"/>
    <row r="478" s="265" customFormat="1" ht="12" x14ac:dyDescent="0.2"/>
    <row r="479" s="265" customFormat="1" ht="12" x14ac:dyDescent="0.2"/>
    <row r="480" s="265" customFormat="1" ht="12" x14ac:dyDescent="0.2"/>
    <row r="481" s="265" customFormat="1" ht="12" x14ac:dyDescent="0.2"/>
    <row r="482" s="265" customFormat="1" ht="12" x14ac:dyDescent="0.2"/>
    <row r="483" s="265" customFormat="1" ht="12" x14ac:dyDescent="0.2"/>
    <row r="484" s="265" customFormat="1" ht="12" x14ac:dyDescent="0.2"/>
    <row r="485" s="265" customFormat="1" ht="12" x14ac:dyDescent="0.2"/>
    <row r="486" s="265" customFormat="1" ht="12" x14ac:dyDescent="0.2"/>
    <row r="487" s="265" customFormat="1" ht="12" x14ac:dyDescent="0.2"/>
    <row r="488" s="265" customFormat="1" ht="12" x14ac:dyDescent="0.2"/>
    <row r="489" s="265" customFormat="1" ht="12" x14ac:dyDescent="0.2"/>
    <row r="490" s="265" customFormat="1" ht="12" x14ac:dyDescent="0.2"/>
    <row r="491" s="265" customFormat="1" ht="12" x14ac:dyDescent="0.2"/>
    <row r="492" s="265" customFormat="1" ht="12" x14ac:dyDescent="0.2"/>
    <row r="493" s="265" customFormat="1" ht="12" x14ac:dyDescent="0.2"/>
    <row r="494" s="265" customFormat="1" ht="12" x14ac:dyDescent="0.2"/>
    <row r="495" s="265" customFormat="1" ht="12" x14ac:dyDescent="0.2"/>
    <row r="496" s="265" customFormat="1" ht="12" x14ac:dyDescent="0.2"/>
    <row r="497" s="265" customFormat="1" ht="12" x14ac:dyDescent="0.2"/>
    <row r="498" s="265" customFormat="1" ht="12" x14ac:dyDescent="0.2"/>
    <row r="499" s="265" customFormat="1" ht="12" x14ac:dyDescent="0.2"/>
    <row r="500" s="265" customFormat="1" ht="12" x14ac:dyDescent="0.2"/>
    <row r="501" s="265" customFormat="1" ht="12" x14ac:dyDescent="0.2"/>
    <row r="502" s="265" customFormat="1" ht="12" x14ac:dyDescent="0.2"/>
    <row r="503" s="265" customFormat="1" ht="12" x14ac:dyDescent="0.2"/>
    <row r="504" s="265" customFormat="1" ht="12" x14ac:dyDescent="0.2"/>
    <row r="505" s="265" customFormat="1" ht="12" x14ac:dyDescent="0.2"/>
    <row r="506" s="265" customFormat="1" ht="12" x14ac:dyDescent="0.2"/>
    <row r="507" s="265" customFormat="1" ht="12" x14ac:dyDescent="0.2"/>
    <row r="508" s="265" customFormat="1" ht="12" x14ac:dyDescent="0.2"/>
    <row r="509" s="265" customFormat="1" ht="12" x14ac:dyDescent="0.2"/>
    <row r="510" s="265" customFormat="1" ht="12" x14ac:dyDescent="0.2"/>
    <row r="511" s="265" customFormat="1" ht="12" x14ac:dyDescent="0.2"/>
    <row r="512" s="265" customFormat="1" ht="12" x14ac:dyDescent="0.2"/>
    <row r="513" s="265" customFormat="1" ht="12" x14ac:dyDescent="0.2"/>
    <row r="514" s="265" customFormat="1" ht="12" x14ac:dyDescent="0.2"/>
    <row r="515" s="265" customFormat="1" ht="12" x14ac:dyDescent="0.2"/>
    <row r="516" s="265" customFormat="1" ht="12" x14ac:dyDescent="0.2"/>
    <row r="517" s="265" customFormat="1" ht="12" x14ac:dyDescent="0.2"/>
    <row r="518" s="265" customFormat="1" ht="12" x14ac:dyDescent="0.2"/>
    <row r="519" s="265" customFormat="1" ht="12" x14ac:dyDescent="0.2"/>
    <row r="520" s="265" customFormat="1" ht="12" x14ac:dyDescent="0.2"/>
    <row r="521" s="265" customFormat="1" ht="12" x14ac:dyDescent="0.2"/>
    <row r="522" s="265" customFormat="1" ht="12" x14ac:dyDescent="0.2"/>
    <row r="523" s="265" customFormat="1" ht="12" x14ac:dyDescent="0.2"/>
    <row r="524" s="265" customFormat="1" ht="12" x14ac:dyDescent="0.2"/>
  </sheetData>
  <sheetProtection formatCells="0" formatColumns="0" formatRows="0" insertColumns="0" insertRows="0" deleteColumns="0" deleteRows="0" sort="0" autoFilter="0"/>
  <dataConsolidate/>
  <mergeCells count="6">
    <mergeCell ref="I411:J411"/>
    <mergeCell ref="R9:W9"/>
    <mergeCell ref="AB10:AC10"/>
    <mergeCell ref="X397:Y397"/>
    <mergeCell ref="I409:J409"/>
    <mergeCell ref="I410:J410"/>
  </mergeCells>
  <dataValidations count="5">
    <dataValidation type="list" allowBlank="1" showInputMessage="1" showErrorMessage="1" sqref="A301:A393 A12:A38 A40:A299">
      <formula1>"EMPLEADO,OBRERO,BOMBERO"</formula1>
    </dataValidation>
    <dataValidation type="list" allowBlank="1" showInputMessage="1" showErrorMessage="1" sqref="L300:L392 L12:L37 L40:L298">
      <formula1>CESTAT</formula1>
    </dataValidation>
    <dataValidation type="list" allowBlank="1" showInputMessage="1" showErrorMessage="1" sqref="G12:G37 G40:G392">
      <formula1>GEN</formula1>
    </dataValidation>
    <dataValidation type="list" allowBlank="1" showInputMessage="1" showErrorMessage="1" sqref="E12:E37 E40:E392">
      <formula1>NAC</formula1>
    </dataValidation>
    <dataValidation type="list" allowBlank="1" showInputMessage="1" showErrorMessage="1" sqref="F9">
      <formula1>MES</formula1>
    </dataValidation>
  </dataValidations>
  <printOptions horizontalCentered="1"/>
  <pageMargins left="0.39370078740157483" right="0" top="0.59055118110236227" bottom="0.59055118110236227" header="0.31496062992125984" footer="0.31496062992125984"/>
  <pageSetup scale="5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AF457"/>
  <sheetViews>
    <sheetView view="pageBreakPreview" topLeftCell="B11" zoomScale="80" zoomScaleNormal="60" zoomScaleSheetLayoutView="80" workbookViewId="0">
      <pane ySplit="1500" activePane="bottomLeft"/>
      <selection activeCell="AB11" sqref="AB11"/>
      <selection pane="bottomLeft" activeCell="N10" sqref="N10"/>
    </sheetView>
  </sheetViews>
  <sheetFormatPr baseColWidth="10" defaultRowHeight="15" x14ac:dyDescent="0.2"/>
  <cols>
    <col min="1" max="1" width="16.5703125" style="594" hidden="1" customWidth="1"/>
    <col min="2" max="2" width="7.5703125" style="263" customWidth="1"/>
    <col min="3" max="3" width="14.85546875" style="265" customWidth="1"/>
    <col min="4" max="4" width="41.85546875" style="728" customWidth="1"/>
    <col min="5" max="5" width="13.42578125" style="265" hidden="1" customWidth="1"/>
    <col min="6" max="6" width="17" style="728" hidden="1" customWidth="1"/>
    <col min="7" max="7" width="8.7109375" style="594" hidden="1" customWidth="1"/>
    <col min="8" max="8" width="13.7109375" style="729" customWidth="1"/>
    <col min="9" max="9" width="9" style="594" hidden="1" customWidth="1"/>
    <col min="10" max="11" width="10.140625" style="594" hidden="1" customWidth="1"/>
    <col min="12" max="12" width="21.42578125" style="594" hidden="1" customWidth="1"/>
    <col min="13" max="13" width="14.140625" style="594" hidden="1" customWidth="1"/>
    <col min="14" max="14" width="39.7109375" style="265" customWidth="1"/>
    <col min="15" max="15" width="39.7109375" style="265" hidden="1" customWidth="1"/>
    <col min="16" max="16" width="16" style="263" customWidth="1"/>
    <col min="17" max="17" width="15.5703125" style="730" customWidth="1"/>
    <col min="18" max="18" width="14.42578125" style="730" customWidth="1"/>
    <col min="19" max="19" width="16.7109375" style="730" customWidth="1"/>
    <col min="20" max="20" width="15.5703125" style="730" customWidth="1"/>
    <col min="21" max="21" width="16.7109375" style="730" customWidth="1"/>
    <col min="22" max="22" width="18.28515625" style="730" customWidth="1"/>
    <col min="23" max="23" width="16.7109375" style="730" customWidth="1"/>
    <col min="24" max="24" width="14.28515625" style="263" customWidth="1"/>
    <col min="25" max="25" width="15.5703125" style="730" customWidth="1"/>
    <col min="26" max="26" width="14.85546875" style="263" customWidth="1"/>
    <col min="27" max="27" width="16.7109375" style="263" hidden="1" customWidth="1"/>
    <col min="28" max="28" width="14.42578125" style="263" customWidth="1"/>
    <col min="29" max="29" width="14.5703125" style="730" customWidth="1"/>
    <col min="30" max="30" width="15.140625" style="731" customWidth="1"/>
    <col min="31" max="16384" width="11.42578125" style="265"/>
  </cols>
  <sheetData>
    <row r="1" spans="1:32" s="620" customFormat="1" ht="22.5" customHeight="1" x14ac:dyDescent="0.25">
      <c r="A1" s="1699"/>
      <c r="B1" s="619"/>
      <c r="D1" s="621" t="str">
        <f>F9</f>
        <v>MARZO</v>
      </c>
      <c r="F1" s="622"/>
      <c r="G1" s="1699"/>
      <c r="H1" s="623"/>
      <c r="I1" s="1699"/>
      <c r="J1" s="1699"/>
      <c r="K1" s="1699"/>
      <c r="L1" s="1699"/>
      <c r="M1" s="1699"/>
      <c r="P1" s="619"/>
      <c r="Q1" s="624"/>
      <c r="R1" s="624"/>
      <c r="S1" s="624"/>
      <c r="T1" s="624"/>
      <c r="U1" s="624"/>
      <c r="V1" s="624"/>
      <c r="W1" s="624"/>
      <c r="X1" s="619"/>
      <c r="Y1" s="624"/>
      <c r="Z1" s="619"/>
      <c r="AA1" s="619"/>
      <c r="AB1" s="619"/>
      <c r="AC1" s="624"/>
      <c r="AD1" s="625"/>
    </row>
    <row r="2" spans="1:32" s="620" customFormat="1" hidden="1" x14ac:dyDescent="0.2">
      <c r="A2" s="1699"/>
      <c r="B2" s="619"/>
      <c r="D2" s="622"/>
      <c r="F2" s="622"/>
      <c r="G2" s="1699"/>
      <c r="H2" s="623"/>
      <c r="I2" s="1699"/>
      <c r="J2" s="1699"/>
      <c r="K2" s="1699"/>
      <c r="L2" s="1699"/>
      <c r="M2" s="1699"/>
      <c r="P2" s="619"/>
      <c r="Q2" s="624"/>
      <c r="R2" s="624"/>
      <c r="S2" s="624"/>
      <c r="T2" s="624"/>
      <c r="U2" s="624"/>
      <c r="V2" s="624"/>
      <c r="W2" s="624"/>
      <c r="X2" s="619"/>
      <c r="Y2" s="624"/>
      <c r="Z2" s="619"/>
      <c r="AA2" s="619"/>
      <c r="AB2" s="619"/>
      <c r="AC2" s="624"/>
      <c r="AD2" s="625"/>
    </row>
    <row r="3" spans="1:32" s="620" customFormat="1" hidden="1" x14ac:dyDescent="0.2">
      <c r="A3" s="1699"/>
      <c r="B3" s="619"/>
      <c r="D3" s="622"/>
      <c r="F3" s="622"/>
      <c r="G3" s="1699"/>
      <c r="H3" s="623"/>
      <c r="I3" s="1699"/>
      <c r="J3" s="1699"/>
      <c r="K3" s="1699"/>
      <c r="L3" s="1699"/>
      <c r="M3" s="1699"/>
      <c r="P3" s="619"/>
      <c r="Q3" s="624"/>
      <c r="R3" s="624"/>
      <c r="S3" s="624"/>
      <c r="T3" s="624"/>
      <c r="U3" s="624"/>
      <c r="V3" s="624"/>
      <c r="W3" s="624"/>
      <c r="X3" s="619"/>
      <c r="Y3" s="624"/>
      <c r="Z3" s="619"/>
      <c r="AA3" s="619"/>
      <c r="AB3" s="619"/>
      <c r="AC3" s="624"/>
      <c r="AD3" s="625"/>
    </row>
    <row r="4" spans="1:32" s="620" customFormat="1" hidden="1" x14ac:dyDescent="0.2">
      <c r="A4" s="1699"/>
      <c r="B4" s="619"/>
      <c r="D4" s="622"/>
      <c r="F4" s="622"/>
      <c r="G4" s="1699"/>
      <c r="H4" s="623"/>
      <c r="I4" s="1699"/>
      <c r="J4" s="1699"/>
      <c r="K4" s="1699"/>
      <c r="L4" s="1699"/>
      <c r="M4" s="1699"/>
      <c r="P4" s="619"/>
      <c r="Q4" s="624"/>
      <c r="R4" s="624"/>
      <c r="S4" s="624"/>
      <c r="T4" s="624"/>
      <c r="U4" s="624"/>
      <c r="V4" s="624"/>
      <c r="W4" s="624"/>
      <c r="X4" s="619"/>
      <c r="Y4" s="624"/>
      <c r="Z4" s="619"/>
      <c r="AA4" s="619"/>
      <c r="AB4" s="619"/>
      <c r="AC4" s="624"/>
      <c r="AD4" s="625"/>
    </row>
    <row r="5" spans="1:32" s="620" customFormat="1" x14ac:dyDescent="0.2">
      <c r="A5" s="1699"/>
      <c r="B5" s="619"/>
      <c r="D5" s="622"/>
      <c r="F5" s="622"/>
      <c r="G5" s="1699"/>
      <c r="H5" s="623"/>
      <c r="I5" s="1699"/>
      <c r="J5" s="1699"/>
      <c r="K5" s="1699"/>
      <c r="L5" s="1699"/>
      <c r="M5" s="1699"/>
      <c r="P5" s="619"/>
      <c r="Q5" s="624"/>
      <c r="R5" s="624"/>
      <c r="S5" s="624"/>
      <c r="T5" s="624"/>
      <c r="U5" s="624"/>
      <c r="V5" s="624"/>
      <c r="W5" s="624"/>
      <c r="X5" s="619"/>
      <c r="Y5" s="624"/>
      <c r="Z5" s="619"/>
      <c r="AA5" s="619"/>
      <c r="AB5" s="619"/>
      <c r="AC5" s="624"/>
      <c r="AD5" s="625"/>
    </row>
    <row r="6" spans="1:32" s="620" customFormat="1" x14ac:dyDescent="0.2">
      <c r="A6" s="1699"/>
      <c r="B6" s="619"/>
      <c r="D6" s="622"/>
      <c r="F6" s="622"/>
      <c r="G6" s="1699"/>
      <c r="H6" s="623"/>
      <c r="I6" s="1699"/>
      <c r="J6" s="1699"/>
      <c r="K6" s="1699"/>
      <c r="L6" s="1699"/>
      <c r="M6" s="1699"/>
      <c r="P6" s="619"/>
      <c r="Q6" s="624"/>
      <c r="R6" s="624"/>
      <c r="S6" s="624"/>
      <c r="T6" s="624"/>
      <c r="U6" s="624"/>
      <c r="V6" s="624"/>
      <c r="W6" s="624"/>
      <c r="X6" s="619"/>
      <c r="Y6" s="624"/>
      <c r="Z6" s="619"/>
      <c r="AA6" s="619"/>
      <c r="AB6" s="619"/>
      <c r="AC6" s="624"/>
      <c r="AD6" s="625"/>
    </row>
    <row r="7" spans="1:32" s="620" customFormat="1" ht="37.5" customHeight="1" x14ac:dyDescent="0.2">
      <c r="A7" s="1699"/>
      <c r="B7" s="619"/>
      <c r="D7" s="622"/>
      <c r="F7" s="622"/>
      <c r="G7" s="1699"/>
      <c r="H7" s="623"/>
      <c r="I7" s="1699"/>
      <c r="J7" s="1699"/>
      <c r="K7" s="1699"/>
      <c r="L7" s="1699"/>
      <c r="M7" s="1699"/>
      <c r="P7" s="619"/>
      <c r="Q7" s="624"/>
      <c r="R7" s="624"/>
      <c r="S7" s="624"/>
      <c r="T7" s="624"/>
      <c r="U7" s="624"/>
      <c r="V7" s="624"/>
      <c r="W7" s="624"/>
      <c r="X7" s="619"/>
      <c r="Y7" s="624"/>
      <c r="Z7" s="619"/>
      <c r="AA7" s="619"/>
      <c r="AB7" s="619"/>
      <c r="AC7" s="619"/>
      <c r="AD7" s="625"/>
    </row>
    <row r="8" spans="1:32" s="620" customFormat="1" ht="21" customHeight="1" x14ac:dyDescent="0.2">
      <c r="A8" s="1699"/>
      <c r="B8" s="619"/>
      <c r="D8" s="622"/>
      <c r="F8" s="622"/>
      <c r="G8" s="1699"/>
      <c r="H8" s="623"/>
      <c r="I8" s="1699"/>
      <c r="J8" s="1699"/>
      <c r="K8" s="1699"/>
      <c r="L8" s="1699"/>
      <c r="M8" s="1699"/>
      <c r="P8" s="619"/>
      <c r="Q8" s="624"/>
      <c r="R8" s="624"/>
      <c r="S8" s="624"/>
      <c r="T8" s="624"/>
      <c r="U8" s="624"/>
      <c r="V8" s="624"/>
      <c r="W8" s="624"/>
      <c r="X8" s="619"/>
      <c r="Y8" s="624"/>
      <c r="Z8" s="619"/>
      <c r="AA8" s="619"/>
      <c r="AB8" s="619"/>
      <c r="AC8" s="624"/>
      <c r="AD8" s="625"/>
    </row>
    <row r="9" spans="1:32" s="620" customFormat="1" ht="29.25" customHeight="1" thickBot="1" x14ac:dyDescent="0.35">
      <c r="A9" s="1699"/>
      <c r="B9" s="619"/>
      <c r="C9" s="1709" t="str">
        <f>+"SEGUNDA QUINCENA MES DE "&amp;NOMINA!F9&amp;" "&amp;NOMINA!H9</f>
        <v>SEGUNDA QUINCENA MES DE SEPTIEMBRE 2025</v>
      </c>
      <c r="D9" s="949"/>
      <c r="E9" s="627" t="s">
        <v>4632</v>
      </c>
      <c r="F9" s="1703" t="s">
        <v>2867</v>
      </c>
      <c r="G9" s="628" t="s">
        <v>4633</v>
      </c>
      <c r="H9" s="629">
        <v>2023</v>
      </c>
      <c r="I9" s="630"/>
      <c r="J9" s="630"/>
      <c r="K9" s="630"/>
      <c r="L9" s="630"/>
      <c r="M9" s="1699"/>
      <c r="P9" s="619"/>
      <c r="Q9" s="624"/>
      <c r="R9" s="624"/>
      <c r="S9" s="624"/>
      <c r="T9" s="624"/>
      <c r="U9" s="624"/>
      <c r="V9" s="624"/>
      <c r="W9" s="624"/>
      <c r="X9" s="619"/>
      <c r="Y9" s="733"/>
      <c r="Z9" s="619"/>
      <c r="AA9" s="619"/>
      <c r="AB9" s="619"/>
      <c r="AC9" s="624"/>
      <c r="AD9" s="625"/>
    </row>
    <row r="10" spans="1:32" s="633" customFormat="1" ht="27.75" customHeight="1" thickBot="1" x14ac:dyDescent="0.25">
      <c r="A10" s="632"/>
      <c r="B10" s="632"/>
      <c r="D10" s="634"/>
      <c r="F10" s="634"/>
      <c r="G10" s="632"/>
      <c r="H10" s="635"/>
      <c r="I10" s="632"/>
      <c r="J10" s="632"/>
      <c r="K10" s="632"/>
      <c r="L10" s="1770" t="s">
        <v>4627</v>
      </c>
      <c r="M10" s="1771"/>
      <c r="N10" s="620"/>
      <c r="O10" s="620"/>
      <c r="P10" s="632"/>
      <c r="Q10" s="1772"/>
      <c r="R10" s="1772"/>
      <c r="S10" s="1701"/>
      <c r="T10" s="734" t="s">
        <v>4634</v>
      </c>
      <c r="U10" s="735"/>
      <c r="V10" s="735"/>
      <c r="W10" s="736"/>
      <c r="X10" s="737"/>
      <c r="Y10" s="738"/>
      <c r="Z10" s="1154"/>
      <c r="AA10" s="1154"/>
      <c r="AB10" s="1154"/>
      <c r="AC10" s="1710"/>
      <c r="AD10" s="1440">
        <v>4</v>
      </c>
    </row>
    <row r="11" spans="1:32" s="620" customFormat="1" ht="78.75" customHeight="1" thickBot="1" x14ac:dyDescent="0.25">
      <c r="A11" s="643" t="s">
        <v>2840</v>
      </c>
      <c r="B11" s="644" t="s">
        <v>0</v>
      </c>
      <c r="C11" s="645" t="s">
        <v>2</v>
      </c>
      <c r="D11" s="646" t="s">
        <v>3</v>
      </c>
      <c r="E11" s="645" t="s">
        <v>4619</v>
      </c>
      <c r="F11" s="647" t="s">
        <v>4580</v>
      </c>
      <c r="G11" s="645" t="s">
        <v>4623</v>
      </c>
      <c r="H11" s="645" t="s">
        <v>4</v>
      </c>
      <c r="I11" s="645" t="s">
        <v>4625</v>
      </c>
      <c r="J11" s="645" t="s">
        <v>4624</v>
      </c>
      <c r="K11" s="645" t="s">
        <v>4574</v>
      </c>
      <c r="L11" s="740" t="s">
        <v>4636</v>
      </c>
      <c r="M11" s="740" t="s">
        <v>4573</v>
      </c>
      <c r="N11" s="645" t="s">
        <v>5</v>
      </c>
      <c r="O11" s="645" t="s">
        <v>5101</v>
      </c>
      <c r="P11" s="645" t="s">
        <v>5842</v>
      </c>
      <c r="Q11" s="741" t="s">
        <v>5935</v>
      </c>
      <c r="R11" s="645" t="s">
        <v>5936</v>
      </c>
      <c r="S11" s="1700" t="s">
        <v>5845</v>
      </c>
      <c r="T11" s="843" t="s">
        <v>4478</v>
      </c>
      <c r="U11" s="843" t="s">
        <v>4481</v>
      </c>
      <c r="V11" s="843" t="s">
        <v>4479</v>
      </c>
      <c r="W11" s="843" t="s">
        <v>7618</v>
      </c>
      <c r="X11" s="868" t="s">
        <v>9</v>
      </c>
      <c r="Y11" s="869" t="s">
        <v>10</v>
      </c>
      <c r="Z11" s="743" t="s">
        <v>4655</v>
      </c>
      <c r="AA11" s="744" t="s">
        <v>6774</v>
      </c>
      <c r="AB11" s="744" t="s">
        <v>7638</v>
      </c>
      <c r="AC11" s="744" t="s">
        <v>4637</v>
      </c>
      <c r="AD11" s="648" t="s">
        <v>4569</v>
      </c>
    </row>
    <row r="12" spans="1:32" s="620" customFormat="1" ht="30" customHeight="1" thickBot="1" x14ac:dyDescent="0.3">
      <c r="A12" s="745"/>
      <c r="B12" s="746" t="str">
        <f>+"PERSONAL EN COMISION DE SERVICIO_NOMINA_2A QUINCENA_"&amp;NOMINA!F9&amp;"_"&amp;NOMINA!H9</f>
        <v>PERSONAL EN COMISION DE SERVICIO_NOMINA_2A QUINCENA_SEPTIEMBRE_2025</v>
      </c>
      <c r="C12" s="747"/>
      <c r="D12" s="748"/>
      <c r="E12" s="747"/>
      <c r="F12" s="748"/>
      <c r="G12" s="749"/>
      <c r="H12" s="750"/>
      <c r="I12" s="751"/>
      <c r="J12" s="751"/>
      <c r="K12" s="751"/>
      <c r="L12" s="751"/>
      <c r="M12" s="751"/>
      <c r="N12" s="752"/>
      <c r="O12" s="752"/>
      <c r="P12" s="753"/>
      <c r="Q12" s="754"/>
      <c r="R12" s="754"/>
      <c r="S12" s="754"/>
      <c r="T12" s="757"/>
      <c r="U12" s="757"/>
      <c r="V12" s="757"/>
      <c r="W12" s="757"/>
      <c r="X12" s="756"/>
      <c r="Y12" s="757"/>
      <c r="Z12" s="753"/>
      <c r="AA12" s="753"/>
      <c r="AB12" s="753"/>
      <c r="AC12" s="754"/>
    </row>
    <row r="13" spans="1:32" s="620" customFormat="1" ht="30" customHeight="1" x14ac:dyDescent="0.2">
      <c r="A13" s="758" t="s">
        <v>2846</v>
      </c>
      <c r="B13" s="508">
        <v>1</v>
      </c>
      <c r="C13" s="1137">
        <f>NOMINA!C13</f>
        <v>19591141</v>
      </c>
      <c r="D13" s="1138" t="str">
        <f>NOMINA!D13</f>
        <v>Almazan Barragan Maria de los Angeles</v>
      </c>
      <c r="E13" s="1135" t="s">
        <v>4622</v>
      </c>
      <c r="F13" s="1139">
        <v>32351</v>
      </c>
      <c r="G13" s="1135" t="s">
        <v>4620</v>
      </c>
      <c r="H13" s="1118">
        <f>NOMINA!H13</f>
        <v>44537</v>
      </c>
      <c r="I13" s="1140">
        <f>NOMINA!I13</f>
        <v>3</v>
      </c>
      <c r="J13" s="1132">
        <f>NOMINA!J13</f>
        <v>0</v>
      </c>
      <c r="K13" s="1140">
        <f>I13+J13</f>
        <v>3</v>
      </c>
      <c r="L13" s="1132" t="s">
        <v>4932</v>
      </c>
      <c r="M13" s="1132"/>
      <c r="N13" s="1002" t="str">
        <f>NOMINA!O13</f>
        <v>DIRECTOR GENERAL</v>
      </c>
      <c r="O13" s="1132" t="s">
        <v>5209</v>
      </c>
      <c r="P13" s="1107">
        <f>NOMINA!W13</f>
        <v>0</v>
      </c>
      <c r="Q13" s="1108">
        <f>NOMINA!AG13</f>
        <v>0</v>
      </c>
      <c r="R13" s="1108">
        <f>NOMINA!AI13</f>
        <v>0</v>
      </c>
      <c r="S13" s="1108">
        <f>NOMINA!AK13</f>
        <v>0</v>
      </c>
      <c r="T13" s="1108">
        <f>+NOMINA!AO13</f>
        <v>0</v>
      </c>
      <c r="U13" s="1108">
        <f>+NOMINA!AQ13</f>
        <v>0</v>
      </c>
      <c r="V13" s="1108">
        <f>+NOMINA!AR13</f>
        <v>0</v>
      </c>
      <c r="W13" s="1108">
        <f>+NOMINA!AS13</f>
        <v>0</v>
      </c>
      <c r="X13" s="1108">
        <f>ROUND(NOMINA!AW13,2)</f>
        <v>0</v>
      </c>
      <c r="Y13" s="1108">
        <f>ROUND(NOMINA!AX13,2)</f>
        <v>0</v>
      </c>
      <c r="Z13" s="1108">
        <f>ROUND(NOMINA!BB13,2)+ROUND(NOMINA!BF13,2)</f>
        <v>0</v>
      </c>
      <c r="AA13" s="1108">
        <v>0</v>
      </c>
      <c r="AB13" s="1108">
        <f>+NOMINA!BJ13</f>
        <v>0</v>
      </c>
      <c r="AC13" s="1108">
        <f>ROUND(NOMINA!BG13,2)</f>
        <v>0</v>
      </c>
      <c r="AD13" s="1711">
        <f>+P13+Q13+R13+S13+X13+Y13+Z13+AC13+AA13+T13+U13+V13+W13+AB13</f>
        <v>0</v>
      </c>
    </row>
    <row r="14" spans="1:32" s="620" customFormat="1" ht="30" customHeight="1" thickBot="1" x14ac:dyDescent="0.25">
      <c r="A14" s="1136"/>
      <c r="B14" s="508">
        <v>2</v>
      </c>
      <c r="C14" s="1137">
        <f>NOMINA!C14</f>
        <v>15827671</v>
      </c>
      <c r="D14" s="1138" t="str">
        <f>NOMINA!D14</f>
        <v>Montilla Macias Lucy Margarita</v>
      </c>
      <c r="E14" s="1135" t="s">
        <v>4622</v>
      </c>
      <c r="F14" s="1139">
        <v>32351</v>
      </c>
      <c r="G14" s="1135" t="s">
        <v>4620</v>
      </c>
      <c r="H14" s="1118">
        <f>NOMINA!H14</f>
        <v>44545</v>
      </c>
      <c r="I14" s="1140">
        <f>NOMINA!I14</f>
        <v>3</v>
      </c>
      <c r="J14" s="1132">
        <f>NOMINA!J14</f>
        <v>1</v>
      </c>
      <c r="K14" s="1140">
        <f>I14+J14</f>
        <v>4</v>
      </c>
      <c r="L14" s="1132" t="s">
        <v>4932</v>
      </c>
      <c r="M14" s="1132"/>
      <c r="N14" s="1002" t="str">
        <f>NOMINA!O14</f>
        <v>JEFE DE DEPARTAMENTO</v>
      </c>
      <c r="O14" s="1132" t="s">
        <v>5209</v>
      </c>
      <c r="P14" s="1107">
        <f>NOMINA!W14</f>
        <v>26.5</v>
      </c>
      <c r="Q14" s="1108">
        <f>NOMINA!AG14</f>
        <v>1.06</v>
      </c>
      <c r="R14" s="1108">
        <f>NOMINA!AI14</f>
        <v>0</v>
      </c>
      <c r="S14" s="1108">
        <f>NOMINA!AK14</f>
        <v>6.89</v>
      </c>
      <c r="T14" s="1108">
        <f>+NOMINA!AO14</f>
        <v>0</v>
      </c>
      <c r="U14" s="1108">
        <f>+NOMINA!AQ14</f>
        <v>0</v>
      </c>
      <c r="V14" s="1108">
        <f>+NOMINA!AR14</f>
        <v>0</v>
      </c>
      <c r="W14" s="1108">
        <f>+NOMINA!AS14</f>
        <v>0</v>
      </c>
      <c r="X14" s="1108">
        <f>ROUND(NOMINA!AW14,2)</f>
        <v>0</v>
      </c>
      <c r="Y14" s="1108">
        <f>ROUND(NOMINA!AX14,2)</f>
        <v>0</v>
      </c>
      <c r="Z14" s="1108">
        <f>ROUND(NOMINA!BB14,2)+ROUND(NOMINA!BF14,2)</f>
        <v>0</v>
      </c>
      <c r="AA14" s="1108">
        <v>0</v>
      </c>
      <c r="AB14" s="1108">
        <f>+NOMINA!BJ14</f>
        <v>12.5</v>
      </c>
      <c r="AC14" s="1108">
        <f>ROUND(NOMINA!BG14,2)</f>
        <v>320</v>
      </c>
      <c r="AD14" s="1711">
        <f>+P14+Q14+R14+S14+X14+Y14+Z14+AC14+AA14+T14+U14+V14+W14+AB14</f>
        <v>366.95</v>
      </c>
    </row>
    <row r="15" spans="1:32" s="620" customFormat="1" ht="39.950000000000003" customHeight="1" thickBot="1" x14ac:dyDescent="0.25">
      <c r="A15" s="1712"/>
      <c r="B15" s="667"/>
      <c r="C15" s="1087" t="s">
        <v>5767</v>
      </c>
      <c r="D15" s="1088"/>
      <c r="E15" s="1089"/>
      <c r="F15" s="1090"/>
      <c r="G15" s="1089"/>
      <c r="H15" s="1091"/>
      <c r="I15" s="1092"/>
      <c r="J15" s="1093"/>
      <c r="K15" s="1067" t="s">
        <v>5846</v>
      </c>
      <c r="L15" s="1094"/>
      <c r="M15" s="1093"/>
      <c r="N15" s="1095"/>
      <c r="O15" s="765"/>
      <c r="P15" s="685">
        <f t="shared" ref="P15:AB15" si="0">SUM(P13:P14)</f>
        <v>26.5</v>
      </c>
      <c r="Q15" s="685">
        <f t="shared" si="0"/>
        <v>1.06</v>
      </c>
      <c r="R15" s="685">
        <f t="shared" si="0"/>
        <v>0</v>
      </c>
      <c r="S15" s="685">
        <f t="shared" si="0"/>
        <v>6.89</v>
      </c>
      <c r="T15" s="685">
        <f t="shared" si="0"/>
        <v>0</v>
      </c>
      <c r="U15" s="685">
        <f t="shared" si="0"/>
        <v>0</v>
      </c>
      <c r="V15" s="685">
        <f t="shared" si="0"/>
        <v>0</v>
      </c>
      <c r="W15" s="685">
        <f t="shared" si="0"/>
        <v>0</v>
      </c>
      <c r="X15" s="685">
        <f t="shared" si="0"/>
        <v>0</v>
      </c>
      <c r="Y15" s="685">
        <f t="shared" si="0"/>
        <v>0</v>
      </c>
      <c r="Z15" s="685">
        <f t="shared" si="0"/>
        <v>0</v>
      </c>
      <c r="AA15" s="685">
        <f t="shared" si="0"/>
        <v>0</v>
      </c>
      <c r="AB15" s="685">
        <f t="shared" si="0"/>
        <v>12.5</v>
      </c>
      <c r="AC15" s="685">
        <f>SUM(AC13:AC14)</f>
        <v>320</v>
      </c>
      <c r="AD15" s="685">
        <f>SUM(AD13:AD14)</f>
        <v>366.95</v>
      </c>
      <c r="AE15" s="625">
        <f>+NOMINA!CC15</f>
        <v>366.95</v>
      </c>
      <c r="AF15" s="625">
        <f>+AD15-AE15</f>
        <v>0</v>
      </c>
    </row>
    <row r="16" spans="1:32" s="620" customFormat="1" ht="20.100000000000001" customHeight="1" x14ac:dyDescent="0.2">
      <c r="A16" s="1712"/>
      <c r="B16" s="766"/>
      <c r="C16" s="767"/>
      <c r="D16" s="768"/>
      <c r="E16" s="769"/>
      <c r="F16" s="770"/>
      <c r="G16" s="769"/>
      <c r="H16" s="771"/>
      <c r="I16" s="772"/>
      <c r="J16" s="773"/>
      <c r="K16" s="774"/>
      <c r="L16" s="775"/>
      <c r="M16" s="773"/>
      <c r="N16" s="776"/>
      <c r="O16" s="773"/>
      <c r="P16" s="777"/>
      <c r="Q16" s="777"/>
      <c r="R16" s="777"/>
      <c r="S16" s="777"/>
      <c r="T16" s="777"/>
      <c r="U16" s="777"/>
      <c r="V16" s="777"/>
      <c r="W16" s="777"/>
      <c r="X16" s="777"/>
      <c r="Y16" s="777"/>
      <c r="Z16" s="777"/>
      <c r="AA16" s="777"/>
      <c r="AB16" s="777"/>
      <c r="AC16" s="777"/>
      <c r="AD16" s="777"/>
    </row>
    <row r="17" spans="1:30" s="620" customFormat="1" ht="20.100000000000001" customHeight="1" x14ac:dyDescent="0.2">
      <c r="A17" s="1712"/>
      <c r="B17" s="778"/>
      <c r="C17" s="779"/>
      <c r="D17" s="780"/>
      <c r="E17" s="699"/>
      <c r="F17" s="781"/>
      <c r="G17" s="699"/>
      <c r="H17" s="782"/>
      <c r="I17" s="783"/>
      <c r="J17" s="784"/>
      <c r="K17" s="602"/>
      <c r="L17" s="785"/>
      <c r="M17" s="784"/>
      <c r="N17" s="786"/>
      <c r="O17" s="784"/>
      <c r="P17" s="787"/>
      <c r="Q17" s="787"/>
      <c r="R17" s="787"/>
      <c r="S17" s="787"/>
      <c r="T17" s="787"/>
      <c r="U17" s="787"/>
      <c r="V17" s="787"/>
      <c r="W17" s="787"/>
      <c r="X17" s="787"/>
      <c r="Y17" s="787"/>
      <c r="Z17" s="787"/>
      <c r="AA17" s="787"/>
      <c r="AB17" s="787"/>
      <c r="AC17" s="787"/>
      <c r="AD17" s="787"/>
    </row>
    <row r="18" spans="1:30" s="620" customFormat="1" ht="20.100000000000001" customHeight="1" x14ac:dyDescent="0.2">
      <c r="A18" s="1712"/>
      <c r="B18" s="778"/>
      <c r="C18" s="779"/>
      <c r="D18" s="780"/>
      <c r="E18" s="699"/>
      <c r="F18" s="781"/>
      <c r="G18" s="699"/>
      <c r="H18" s="782"/>
      <c r="I18" s="783"/>
      <c r="J18" s="784"/>
      <c r="K18" s="602"/>
      <c r="L18" s="785"/>
      <c r="M18" s="784"/>
      <c r="N18" s="786"/>
      <c r="O18" s="784"/>
      <c r="P18" s="787"/>
      <c r="Q18" s="787"/>
      <c r="R18" s="787"/>
      <c r="S18" s="787"/>
      <c r="T18" s="787"/>
      <c r="U18" s="787"/>
      <c r="V18" s="787"/>
      <c r="W18" s="787"/>
      <c r="X18" s="787"/>
      <c r="Y18" s="787"/>
      <c r="Z18" s="787"/>
      <c r="AA18" s="787"/>
      <c r="AB18" s="787"/>
      <c r="AC18" s="787"/>
      <c r="AD18" s="787"/>
    </row>
    <row r="19" spans="1:30" s="620" customFormat="1" ht="20.100000000000001" customHeight="1" x14ac:dyDescent="0.2">
      <c r="A19" s="1712"/>
      <c r="B19" s="778"/>
      <c r="C19" s="779"/>
      <c r="D19" s="780"/>
      <c r="E19" s="699"/>
      <c r="F19" s="781"/>
      <c r="G19" s="699"/>
      <c r="H19" s="782"/>
      <c r="I19" s="783"/>
      <c r="J19" s="784"/>
      <c r="K19" s="602"/>
      <c r="L19" s="785"/>
      <c r="M19" s="784"/>
      <c r="N19" s="786"/>
      <c r="O19" s="784"/>
      <c r="P19" s="787"/>
      <c r="Q19" s="787"/>
      <c r="R19" s="787"/>
      <c r="S19" s="787"/>
      <c r="T19" s="787"/>
      <c r="U19" s="787"/>
      <c r="V19" s="787"/>
      <c r="W19" s="787"/>
      <c r="X19" s="787"/>
      <c r="Y19" s="787"/>
      <c r="Z19" s="787"/>
      <c r="AA19" s="787"/>
      <c r="AB19" s="787"/>
      <c r="AC19" s="787"/>
      <c r="AD19" s="787"/>
    </row>
    <row r="20" spans="1:30" s="620" customFormat="1" ht="20.100000000000001" customHeight="1" x14ac:dyDescent="0.2">
      <c r="A20" s="1712"/>
      <c r="B20" s="778"/>
      <c r="C20" s="779"/>
      <c r="D20" s="780"/>
      <c r="E20" s="699"/>
      <c r="F20" s="781"/>
      <c r="G20" s="699"/>
      <c r="H20" s="782"/>
      <c r="I20" s="783"/>
      <c r="J20" s="784"/>
      <c r="K20" s="602"/>
      <c r="L20" s="785"/>
      <c r="M20" s="784"/>
      <c r="N20" s="786"/>
      <c r="O20" s="784"/>
      <c r="P20" s="787"/>
      <c r="Q20" s="787"/>
      <c r="R20" s="787"/>
      <c r="S20" s="787"/>
      <c r="T20" s="787"/>
      <c r="U20" s="787"/>
      <c r="V20" s="787"/>
      <c r="W20" s="787"/>
      <c r="X20" s="787"/>
      <c r="Y20" s="787"/>
      <c r="Z20" s="787"/>
      <c r="AA20" s="787"/>
      <c r="AB20" s="787"/>
      <c r="AC20" s="787"/>
      <c r="AD20" s="787"/>
    </row>
    <row r="21" spans="1:30" s="620" customFormat="1" ht="20.100000000000001" customHeight="1" x14ac:dyDescent="0.2">
      <c r="A21" s="1712"/>
      <c r="B21" s="778"/>
      <c r="C21" s="779"/>
      <c r="D21" s="726" t="s">
        <v>5833</v>
      </c>
      <c r="E21" s="699"/>
      <c r="F21" s="781"/>
      <c r="G21" s="699"/>
      <c r="H21" s="782"/>
      <c r="I21" s="783"/>
      <c r="J21" s="784"/>
      <c r="K21" s="602"/>
      <c r="L21" s="785"/>
      <c r="M21" s="784"/>
      <c r="N21" s="786"/>
      <c r="O21" s="784"/>
      <c r="R21" s="787"/>
      <c r="S21" s="717" t="s">
        <v>5834</v>
      </c>
      <c r="T21" s="787"/>
      <c r="U21" s="787"/>
      <c r="V21" s="787"/>
      <c r="W21" s="787"/>
      <c r="Z21" s="715" t="s">
        <v>5835</v>
      </c>
      <c r="AA21" s="787"/>
      <c r="AB21" s="787"/>
      <c r="AC21" s="787"/>
      <c r="AD21" s="787"/>
    </row>
    <row r="22" spans="1:30" s="620" customFormat="1" ht="20.100000000000001" customHeight="1" x14ac:dyDescent="0.2">
      <c r="A22" s="1712"/>
      <c r="B22" s="778"/>
      <c r="C22" s="779"/>
      <c r="D22" s="780"/>
      <c r="E22" s="699"/>
      <c r="F22" s="781"/>
      <c r="G22" s="699"/>
      <c r="H22" s="782"/>
      <c r="I22" s="783"/>
      <c r="J22" s="784"/>
      <c r="K22" s="602"/>
      <c r="L22" s="785"/>
      <c r="M22" s="784"/>
      <c r="N22" s="786"/>
      <c r="O22" s="784"/>
      <c r="R22" s="787"/>
      <c r="S22" s="787"/>
      <c r="T22" s="787"/>
      <c r="U22" s="787"/>
      <c r="V22" s="787"/>
      <c r="W22" s="787"/>
      <c r="Z22" s="787"/>
      <c r="AA22" s="787"/>
      <c r="AB22" s="787"/>
      <c r="AC22" s="787"/>
      <c r="AD22" s="787"/>
    </row>
    <row r="23" spans="1:30" s="620" customFormat="1" ht="20.100000000000001" customHeight="1" x14ac:dyDescent="0.2">
      <c r="A23" s="1712"/>
      <c r="B23" s="778"/>
      <c r="C23" s="779"/>
      <c r="D23" s="780"/>
      <c r="E23" s="699"/>
      <c r="F23" s="781"/>
      <c r="G23" s="699"/>
      <c r="H23" s="782"/>
      <c r="I23" s="783"/>
      <c r="J23" s="784"/>
      <c r="K23" s="602"/>
      <c r="L23" s="785"/>
      <c r="M23" s="784"/>
      <c r="N23" s="786"/>
      <c r="O23" s="784"/>
      <c r="R23" s="787"/>
      <c r="S23" s="787"/>
      <c r="T23" s="787"/>
      <c r="U23" s="787"/>
      <c r="V23" s="787"/>
      <c r="W23" s="787"/>
      <c r="Z23" s="787"/>
      <c r="AA23" s="787"/>
      <c r="AB23" s="787"/>
      <c r="AC23" s="787"/>
      <c r="AD23" s="787"/>
    </row>
    <row r="24" spans="1:30" s="620" customFormat="1" ht="20.100000000000001" customHeight="1" x14ac:dyDescent="0.2">
      <c r="A24" s="1712"/>
      <c r="B24" s="778"/>
      <c r="C24" s="779"/>
      <c r="D24" s="780"/>
      <c r="E24" s="699"/>
      <c r="F24" s="781"/>
      <c r="G24" s="699"/>
      <c r="H24" s="782"/>
      <c r="I24" s="783"/>
      <c r="J24" s="784"/>
      <c r="K24" s="602"/>
      <c r="L24" s="785"/>
      <c r="M24" s="784"/>
      <c r="N24" s="786"/>
      <c r="O24" s="784"/>
      <c r="R24" s="787"/>
      <c r="S24" s="787"/>
      <c r="T24" s="787"/>
      <c r="U24" s="787"/>
      <c r="V24" s="787"/>
      <c r="W24" s="787"/>
      <c r="Z24" s="787"/>
      <c r="AA24" s="787"/>
      <c r="AB24" s="787"/>
      <c r="AC24" s="787"/>
      <c r="AD24" s="787"/>
    </row>
    <row r="25" spans="1:30" s="620" customFormat="1" ht="20.100000000000001" customHeight="1" x14ac:dyDescent="0.2">
      <c r="A25" s="1712"/>
      <c r="B25" s="725" t="s">
        <v>6752</v>
      </c>
      <c r="C25" s="726"/>
      <c r="D25" s="724"/>
      <c r="E25" s="724"/>
      <c r="F25" s="724"/>
      <c r="G25" s="724"/>
      <c r="H25" s="725" t="s">
        <v>6116</v>
      </c>
      <c r="I25" s="725"/>
      <c r="K25" s="602"/>
      <c r="L25" s="785"/>
      <c r="M25" s="784"/>
      <c r="N25" s="786"/>
      <c r="O25" s="784"/>
      <c r="R25" s="787"/>
      <c r="S25" s="727" t="s">
        <v>5836</v>
      </c>
      <c r="T25" s="787"/>
      <c r="U25" s="787"/>
      <c r="V25" s="787"/>
      <c r="W25" s="787"/>
      <c r="Z25" s="715" t="s">
        <v>5847</v>
      </c>
      <c r="AA25" s="787"/>
      <c r="AB25" s="787"/>
      <c r="AC25" s="787"/>
      <c r="AD25" s="787"/>
    </row>
    <row r="26" spans="1:30" s="620" customFormat="1" ht="20.100000000000001" customHeight="1" x14ac:dyDescent="0.2">
      <c r="A26" s="1712"/>
      <c r="B26" s="725" t="s">
        <v>6753</v>
      </c>
      <c r="C26" s="726"/>
      <c r="D26" s="724"/>
      <c r="E26" s="724"/>
      <c r="F26" s="724"/>
      <c r="G26" s="724"/>
      <c r="H26" s="725" t="s">
        <v>6117</v>
      </c>
      <c r="I26" s="725"/>
      <c r="K26" s="602"/>
      <c r="L26" s="785"/>
      <c r="M26" s="784"/>
      <c r="N26" s="786"/>
      <c r="O26" s="784"/>
      <c r="R26" s="787"/>
      <c r="S26" s="727" t="s">
        <v>5838</v>
      </c>
      <c r="T26" s="787"/>
      <c r="U26" s="787"/>
      <c r="V26" s="787"/>
      <c r="W26" s="787"/>
      <c r="Z26" s="725" t="s">
        <v>5839</v>
      </c>
      <c r="AA26" s="787"/>
      <c r="AB26" s="787"/>
      <c r="AC26" s="787"/>
      <c r="AD26" s="787"/>
    </row>
    <row r="27" spans="1:30" s="620" customFormat="1" ht="20.100000000000001" customHeight="1" x14ac:dyDescent="0.2">
      <c r="A27" s="1712"/>
      <c r="B27" s="725" t="s">
        <v>5240</v>
      </c>
      <c r="C27" s="726"/>
      <c r="D27" s="724"/>
      <c r="E27" s="724"/>
      <c r="F27" s="724"/>
      <c r="G27" s="724"/>
      <c r="H27" s="725" t="s">
        <v>5261</v>
      </c>
      <c r="I27" s="725"/>
      <c r="K27" s="602"/>
      <c r="L27" s="785"/>
      <c r="M27" s="784"/>
      <c r="N27" s="786"/>
      <c r="O27" s="784"/>
      <c r="R27" s="787"/>
      <c r="S27" s="727" t="s">
        <v>5840</v>
      </c>
      <c r="T27" s="787"/>
      <c r="U27" s="787"/>
      <c r="V27" s="787"/>
      <c r="W27" s="787"/>
      <c r="Z27" s="715" t="s">
        <v>5841</v>
      </c>
      <c r="AA27" s="787"/>
      <c r="AB27" s="787"/>
      <c r="AC27" s="787"/>
      <c r="AD27" s="787"/>
    </row>
    <row r="28" spans="1:30" s="620" customFormat="1" ht="20.100000000000001" customHeight="1" x14ac:dyDescent="0.2">
      <c r="A28" s="1712"/>
      <c r="B28" s="778"/>
      <c r="C28" s="779"/>
      <c r="D28" s="780"/>
      <c r="E28" s="699"/>
      <c r="F28" s="781"/>
      <c r="G28" s="699"/>
      <c r="H28" s="782"/>
      <c r="I28" s="783"/>
      <c r="J28" s="784"/>
      <c r="K28" s="602"/>
      <c r="L28" s="785"/>
      <c r="M28" s="784"/>
      <c r="N28" s="786"/>
      <c r="O28" s="784"/>
      <c r="P28" s="787"/>
      <c r="Q28" s="787"/>
      <c r="R28" s="787"/>
      <c r="S28" s="787"/>
      <c r="T28" s="787"/>
      <c r="U28" s="787"/>
      <c r="V28" s="787"/>
      <c r="W28" s="787"/>
      <c r="X28" s="787"/>
      <c r="Y28" s="787"/>
      <c r="Z28" s="787"/>
      <c r="AA28" s="787"/>
      <c r="AB28" s="787"/>
      <c r="AC28" s="787"/>
      <c r="AD28" s="787"/>
    </row>
    <row r="29" spans="1:30" s="620" customFormat="1" ht="20.100000000000001" customHeight="1" x14ac:dyDescent="0.2">
      <c r="A29" s="1712"/>
      <c r="B29" s="778"/>
      <c r="C29" s="779"/>
      <c r="D29" s="780"/>
      <c r="E29" s="699"/>
      <c r="F29" s="781"/>
      <c r="G29" s="699"/>
      <c r="H29" s="782"/>
      <c r="I29" s="783"/>
      <c r="J29" s="784"/>
      <c r="K29" s="602"/>
      <c r="L29" s="785"/>
      <c r="M29" s="784"/>
      <c r="N29" s="786"/>
      <c r="O29" s="784"/>
      <c r="P29" s="787"/>
      <c r="Q29" s="787"/>
      <c r="R29" s="787"/>
      <c r="S29" s="787"/>
      <c r="T29" s="787"/>
      <c r="U29" s="787"/>
      <c r="V29" s="787"/>
      <c r="W29" s="787"/>
      <c r="X29" s="787"/>
      <c r="Y29" s="787"/>
      <c r="Z29" s="787"/>
      <c r="AA29" s="787"/>
      <c r="AB29" s="787"/>
      <c r="AC29" s="787"/>
      <c r="AD29" s="787"/>
    </row>
    <row r="30" spans="1:30" s="620" customFormat="1" ht="20.100000000000001" customHeight="1" x14ac:dyDescent="0.2">
      <c r="A30" s="1712"/>
      <c r="B30" s="778"/>
      <c r="C30" s="779"/>
      <c r="D30" s="780"/>
      <c r="E30" s="699"/>
      <c r="F30" s="781"/>
      <c r="G30" s="699"/>
      <c r="H30" s="782"/>
      <c r="I30" s="783"/>
      <c r="J30" s="784"/>
      <c r="K30" s="602"/>
      <c r="L30" s="785"/>
      <c r="M30" s="784"/>
      <c r="N30" s="786"/>
      <c r="O30" s="784"/>
      <c r="P30" s="787"/>
      <c r="Q30" s="787"/>
      <c r="R30" s="787"/>
      <c r="S30" s="787"/>
      <c r="T30" s="787"/>
      <c r="U30" s="787"/>
      <c r="V30" s="787"/>
      <c r="W30" s="787"/>
      <c r="X30" s="787"/>
      <c r="Y30" s="787"/>
      <c r="Z30" s="787"/>
      <c r="AA30" s="787"/>
      <c r="AB30" s="787"/>
      <c r="AC30" s="787"/>
      <c r="AD30" s="787"/>
    </row>
    <row r="31" spans="1:30" s="620" customFormat="1" ht="20.100000000000001" customHeight="1" thickBot="1" x14ac:dyDescent="0.25">
      <c r="A31" s="1712"/>
      <c r="B31" s="778"/>
      <c r="C31" s="779"/>
      <c r="D31" s="780"/>
      <c r="E31" s="699"/>
      <c r="F31" s="781"/>
      <c r="G31" s="699"/>
      <c r="H31" s="782"/>
      <c r="I31" s="783"/>
      <c r="J31" s="784"/>
      <c r="K31" s="602"/>
      <c r="L31" s="785"/>
      <c r="M31" s="784"/>
      <c r="N31" s="786"/>
      <c r="O31" s="784"/>
      <c r="P31" s="787"/>
      <c r="Q31" s="787"/>
      <c r="R31" s="787"/>
      <c r="S31" s="787"/>
      <c r="T31" s="787"/>
      <c r="U31" s="787"/>
      <c r="V31" s="787"/>
      <c r="W31" s="787"/>
      <c r="X31" s="787"/>
      <c r="Y31" s="787"/>
      <c r="Z31" s="787"/>
      <c r="AA31" s="787"/>
      <c r="AB31" s="787"/>
      <c r="AC31" s="787"/>
      <c r="AD31" s="787"/>
    </row>
    <row r="32" spans="1:30" s="620" customFormat="1" ht="30" customHeight="1" x14ac:dyDescent="0.2">
      <c r="A32" s="1712"/>
      <c r="B32" s="656" t="str">
        <f>+"ALTO NIVEL Y DIRECCION_NOMINA_2A_QUINCENA_"&amp;NOMINA!F9&amp;"_"&amp;NOMINA!H9</f>
        <v>ALTO NIVEL Y DIRECCION_NOMINA_2A_QUINCENA_SEPTIEMBRE_2025</v>
      </c>
      <c r="C32" s="788"/>
      <c r="D32" s="789"/>
      <c r="E32" s="790"/>
      <c r="F32" s="791"/>
      <c r="G32" s="790"/>
      <c r="H32" s="792"/>
      <c r="I32" s="793"/>
      <c r="J32" s="794"/>
      <c r="K32" s="793"/>
      <c r="L32" s="795"/>
      <c r="M32" s="794"/>
      <c r="N32" s="796"/>
      <c r="O32" s="794"/>
      <c r="P32" s="797"/>
      <c r="Q32" s="797"/>
      <c r="R32" s="797"/>
      <c r="S32" s="797"/>
      <c r="T32" s="797"/>
      <c r="U32" s="797"/>
      <c r="V32" s="797"/>
      <c r="W32" s="797"/>
      <c r="X32" s="798"/>
      <c r="Y32" s="797"/>
      <c r="Z32" s="797"/>
      <c r="AA32" s="797"/>
      <c r="AB32" s="797"/>
      <c r="AC32" s="798"/>
      <c r="AD32" s="801"/>
    </row>
    <row r="33" spans="1:30" s="620" customFormat="1" ht="20.100000000000001" customHeight="1" x14ac:dyDescent="0.2">
      <c r="A33" s="1712" t="s">
        <v>2846</v>
      </c>
      <c r="B33" s="508">
        <v>1</v>
      </c>
      <c r="C33" s="1102">
        <f>NOMINA!C17</f>
        <v>11894534</v>
      </c>
      <c r="D33" s="1103" t="str">
        <f>NOMINA!D17</f>
        <v>Olmos Rodriguez Eberto de Jesus</v>
      </c>
      <c r="E33" s="1468" t="s">
        <v>4622</v>
      </c>
      <c r="F33" s="1110">
        <v>32351</v>
      </c>
      <c r="G33" s="1468" t="s">
        <v>4620</v>
      </c>
      <c r="H33" s="1442">
        <f>NOMINA!H17</f>
        <v>40909</v>
      </c>
      <c r="I33" s="1105">
        <f>NOMINA!I17</f>
        <v>13</v>
      </c>
      <c r="J33" s="1106">
        <f>NOMINA!J17</f>
        <v>13</v>
      </c>
      <c r="K33" s="1105">
        <f>I33+J33</f>
        <v>26</v>
      </c>
      <c r="L33" s="1106" t="s">
        <v>4932</v>
      </c>
      <c r="M33" s="1106"/>
      <c r="N33" s="1443" t="str">
        <f>NOMINA!O17</f>
        <v>JEFE DE DEPARTAMENTO</v>
      </c>
      <c r="O33" s="1106">
        <v>1.02087691000006E+18</v>
      </c>
      <c r="P33" s="1107">
        <f>NOMINA!W17</f>
        <v>181.5</v>
      </c>
      <c r="Q33" s="1108">
        <f>NOMINA!AG17</f>
        <v>54.45</v>
      </c>
      <c r="R33" s="1108">
        <f>NOMINA!AI17</f>
        <v>65</v>
      </c>
      <c r="S33" s="1108">
        <f>NOMINA!AK17</f>
        <v>75.239999999999995</v>
      </c>
      <c r="T33" s="1108">
        <f>+NOMINA!AO17</f>
        <v>0</v>
      </c>
      <c r="U33" s="1108">
        <f>+NOMINA!AQ17</f>
        <v>0</v>
      </c>
      <c r="V33" s="1108">
        <f>+NOMINA!AR17</f>
        <v>0</v>
      </c>
      <c r="W33" s="1108">
        <f>+NOMINA!AS17</f>
        <v>0</v>
      </c>
      <c r="X33" s="1108">
        <f>ROUND(NOMINA!AW17,2)</f>
        <v>0</v>
      </c>
      <c r="Y33" s="1108">
        <f>ROUND(NOMINA!AX17,2)</f>
        <v>0</v>
      </c>
      <c r="Z33" s="1108">
        <f>ROUND(NOMINA!BB17,2)+ROUND(NOMINA!BF17,2)</f>
        <v>0</v>
      </c>
      <c r="AA33" s="1108">
        <f>ROUND(NOMINA!BK17,2)*0</f>
        <v>0</v>
      </c>
      <c r="AB33" s="1108">
        <f>+NOMINA!BJ17</f>
        <v>12.5</v>
      </c>
      <c r="AC33" s="1108">
        <f>ROUND(NOMINA!BG17,2)</f>
        <v>320</v>
      </c>
      <c r="AD33" s="1711">
        <f t="shared" ref="AD33:AD57" si="1">+P33+Q33+R33+S33+X33+Y33+Z33+AC33+AA33+T33+U33+V33+W33+AB33</f>
        <v>708.69</v>
      </c>
    </row>
    <row r="34" spans="1:30" s="620" customFormat="1" ht="20.100000000000001" customHeight="1" x14ac:dyDescent="0.2">
      <c r="A34" s="1712" t="s">
        <v>2846</v>
      </c>
      <c r="B34" s="508">
        <f>+B33+1</f>
        <v>2</v>
      </c>
      <c r="C34" s="1102">
        <f>NOMINA!C18</f>
        <v>12458942</v>
      </c>
      <c r="D34" s="1103" t="str">
        <f>NOMINA!D18</f>
        <v>Mendoza Mendoza Mirian del Milagro</v>
      </c>
      <c r="E34" s="1468" t="s">
        <v>4622</v>
      </c>
      <c r="F34" s="1110">
        <v>32351</v>
      </c>
      <c r="G34" s="1468" t="s">
        <v>4620</v>
      </c>
      <c r="H34" s="1442">
        <f>NOMINA!H18</f>
        <v>44424</v>
      </c>
      <c r="I34" s="1105">
        <f>NOMINA!I18</f>
        <v>4</v>
      </c>
      <c r="J34" s="1106">
        <f>NOMINA!J18</f>
        <v>19</v>
      </c>
      <c r="K34" s="1105">
        <f t="shared" ref="K34:K57" si="2">I34+J34</f>
        <v>23</v>
      </c>
      <c r="L34" s="1106" t="s">
        <v>4932</v>
      </c>
      <c r="M34" s="1106"/>
      <c r="N34" s="1443" t="str">
        <f>NOMINA!O18</f>
        <v>JEFE DE DEPARTAMENTO</v>
      </c>
      <c r="O34" s="1106">
        <v>1.02087691000006E+18</v>
      </c>
      <c r="P34" s="1107">
        <f>NOMINA!W18</f>
        <v>181.5</v>
      </c>
      <c r="Q34" s="1108">
        <f>NOMINA!AG18</f>
        <v>54.45</v>
      </c>
      <c r="R34" s="1108">
        <f>NOMINA!AI18</f>
        <v>65</v>
      </c>
      <c r="S34" s="1108">
        <f>NOMINA!AK18</f>
        <v>90.28</v>
      </c>
      <c r="T34" s="1108">
        <f>+NOMINA!AO18</f>
        <v>0</v>
      </c>
      <c r="U34" s="1108">
        <f>+NOMINA!AQ18</f>
        <v>0</v>
      </c>
      <c r="V34" s="1108">
        <f>+NOMINA!AR18</f>
        <v>0</v>
      </c>
      <c r="W34" s="1108">
        <f>+NOMINA!AS18</f>
        <v>0</v>
      </c>
      <c r="X34" s="1108">
        <f>ROUND(NOMINA!AW18,2)</f>
        <v>0</v>
      </c>
      <c r="Y34" s="1108">
        <f>ROUND(NOMINA!AX18,2)</f>
        <v>0</v>
      </c>
      <c r="Z34" s="1108">
        <f>ROUND(NOMINA!BB18,2)+ROUND(NOMINA!BF18,2)</f>
        <v>0</v>
      </c>
      <c r="AA34" s="1108">
        <f>ROUND(NOMINA!BK18,2)*0</f>
        <v>0</v>
      </c>
      <c r="AB34" s="1108">
        <f>+NOMINA!BJ18</f>
        <v>12.5</v>
      </c>
      <c r="AC34" s="1108">
        <f>ROUND(NOMINA!BG18,2)</f>
        <v>320</v>
      </c>
      <c r="AD34" s="1711">
        <f t="shared" si="1"/>
        <v>723.73</v>
      </c>
    </row>
    <row r="35" spans="1:30" s="620" customFormat="1" ht="20.100000000000001" customHeight="1" x14ac:dyDescent="0.2">
      <c r="A35" s="1712" t="s">
        <v>2846</v>
      </c>
      <c r="B35" s="508">
        <f t="shared" ref="B35:B57" si="3">+B34+1</f>
        <v>3</v>
      </c>
      <c r="C35" s="1102">
        <f>NOMINA!C19</f>
        <v>8719807</v>
      </c>
      <c r="D35" s="1103" t="str">
        <f>NOMINA!D19</f>
        <v>Perez Saavedra Isabel Teresa</v>
      </c>
      <c r="E35" s="1468" t="s">
        <v>4622</v>
      </c>
      <c r="F35" s="1110">
        <v>32351</v>
      </c>
      <c r="G35" s="1468" t="s">
        <v>4620</v>
      </c>
      <c r="H35" s="1442">
        <f>NOMINA!H19</f>
        <v>39874</v>
      </c>
      <c r="I35" s="1105">
        <f>NOMINA!I19</f>
        <v>16</v>
      </c>
      <c r="J35" s="1106">
        <f>NOMINA!J19</f>
        <v>4</v>
      </c>
      <c r="K35" s="1105">
        <f t="shared" si="2"/>
        <v>20</v>
      </c>
      <c r="L35" s="1106" t="s">
        <v>4932</v>
      </c>
      <c r="M35" s="1106"/>
      <c r="N35" s="1443" t="str">
        <f>NOMINA!O19</f>
        <v>JEFE DE DEPARTAMENTO</v>
      </c>
      <c r="O35" s="1106">
        <v>1.02087691000006E+18</v>
      </c>
      <c r="P35" s="1107">
        <f>NOMINA!W19</f>
        <v>181.5</v>
      </c>
      <c r="Q35" s="1108">
        <f>NOMINA!AG19</f>
        <v>47.19</v>
      </c>
      <c r="R35" s="1108">
        <f>NOMINA!AI19</f>
        <v>65</v>
      </c>
      <c r="S35" s="1108">
        <f>NOMINA!AK19</f>
        <v>73.42</v>
      </c>
      <c r="T35" s="1108">
        <f>+NOMINA!AO19</f>
        <v>0</v>
      </c>
      <c r="U35" s="1108">
        <f>+NOMINA!AQ19</f>
        <v>0</v>
      </c>
      <c r="V35" s="1108">
        <f>+NOMINA!AR19</f>
        <v>0</v>
      </c>
      <c r="W35" s="1108">
        <f>+NOMINA!AS19</f>
        <v>0</v>
      </c>
      <c r="X35" s="1108">
        <f>ROUND(NOMINA!AW19,2)</f>
        <v>0</v>
      </c>
      <c r="Y35" s="1108">
        <f>ROUND(NOMINA!AX19,2)</f>
        <v>0</v>
      </c>
      <c r="Z35" s="1108">
        <f>ROUND(NOMINA!BB19,2)+ROUND(NOMINA!BF19,2)</f>
        <v>0</v>
      </c>
      <c r="AA35" s="1108">
        <f>ROUND(NOMINA!BK19,2)*0</f>
        <v>0</v>
      </c>
      <c r="AB35" s="1108">
        <f>+NOMINA!BJ19</f>
        <v>12.5</v>
      </c>
      <c r="AC35" s="1108">
        <f>ROUND(NOMINA!BG19,2)</f>
        <v>320</v>
      </c>
      <c r="AD35" s="1711">
        <f t="shared" si="1"/>
        <v>699.61</v>
      </c>
    </row>
    <row r="36" spans="1:30" s="620" customFormat="1" ht="20.100000000000001" customHeight="1" x14ac:dyDescent="0.2">
      <c r="A36" s="1712" t="s">
        <v>2846</v>
      </c>
      <c r="B36" s="508">
        <f t="shared" si="3"/>
        <v>4</v>
      </c>
      <c r="C36" s="1102">
        <f>NOMINA!C20</f>
        <v>10404528</v>
      </c>
      <c r="D36" s="1103" t="str">
        <f>NOMINA!D20</f>
        <v>Perez Castellano Javier Horacio</v>
      </c>
      <c r="E36" s="1468" t="s">
        <v>4622</v>
      </c>
      <c r="F36" s="1110">
        <v>32351</v>
      </c>
      <c r="G36" s="1468" t="s">
        <v>4620</v>
      </c>
      <c r="H36" s="1442">
        <f>NOMINA!H20</f>
        <v>37622</v>
      </c>
      <c r="I36" s="1105">
        <f>NOMINA!I20</f>
        <v>22</v>
      </c>
      <c r="J36" s="1106">
        <f>NOMINA!J20</f>
        <v>0</v>
      </c>
      <c r="K36" s="1105">
        <f t="shared" si="2"/>
        <v>22</v>
      </c>
      <c r="L36" s="1106" t="s">
        <v>4932</v>
      </c>
      <c r="M36" s="1106"/>
      <c r="N36" s="1443" t="str">
        <f>NOMINA!O20</f>
        <v>JEFE DE DEPARTAMENTO</v>
      </c>
      <c r="O36" s="1106">
        <v>1.02087691000006E+18</v>
      </c>
      <c r="P36" s="1107">
        <f>NOMINA!W20</f>
        <v>181.5</v>
      </c>
      <c r="Q36" s="1108">
        <f>NOMINA!AG20</f>
        <v>53.72</v>
      </c>
      <c r="R36" s="1108">
        <f>NOMINA!AI20</f>
        <v>65</v>
      </c>
      <c r="S36" s="1108">
        <f>NOMINA!AK20</f>
        <v>76.62</v>
      </c>
      <c r="T36" s="1108">
        <f>+NOMINA!AO20</f>
        <v>12.5</v>
      </c>
      <c r="U36" s="1108">
        <f>+NOMINA!AQ20</f>
        <v>0</v>
      </c>
      <c r="V36" s="1108">
        <f>+NOMINA!AR20</f>
        <v>0</v>
      </c>
      <c r="W36" s="1108">
        <f>+NOMINA!AS20</f>
        <v>0</v>
      </c>
      <c r="X36" s="1108">
        <f>ROUND(NOMINA!AW20,2)</f>
        <v>0</v>
      </c>
      <c r="Y36" s="1108">
        <f>ROUND(NOMINA!AX20,2)</f>
        <v>0</v>
      </c>
      <c r="Z36" s="1108">
        <f>ROUND(NOMINA!BB20,2)+ROUND(NOMINA!BF20,2)</f>
        <v>0</v>
      </c>
      <c r="AA36" s="1108">
        <f>ROUND(NOMINA!BK20,2)*0</f>
        <v>0</v>
      </c>
      <c r="AB36" s="1108">
        <f>+NOMINA!BJ20</f>
        <v>12.5</v>
      </c>
      <c r="AC36" s="1108">
        <f>ROUND(NOMINA!BG20,2)</f>
        <v>320</v>
      </c>
      <c r="AD36" s="1711">
        <f t="shared" si="1"/>
        <v>721.84</v>
      </c>
    </row>
    <row r="37" spans="1:30" s="620" customFormat="1" ht="20.100000000000001" customHeight="1" x14ac:dyDescent="0.2">
      <c r="A37" s="1712" t="s">
        <v>2846</v>
      </c>
      <c r="B37" s="508">
        <f t="shared" si="3"/>
        <v>5</v>
      </c>
      <c r="C37" s="1102">
        <f>NOMINA!C21</f>
        <v>9311822</v>
      </c>
      <c r="D37" s="1103" t="str">
        <f>NOMINA!D21</f>
        <v>Rojo Sanchez Alexis Omar</v>
      </c>
      <c r="E37" s="1468" t="s">
        <v>4622</v>
      </c>
      <c r="F37" s="1110">
        <v>32351</v>
      </c>
      <c r="G37" s="1468" t="s">
        <v>4620</v>
      </c>
      <c r="H37" s="1442">
        <f>NOMINA!H21</f>
        <v>37662</v>
      </c>
      <c r="I37" s="1105">
        <f>NOMINA!I21</f>
        <v>22</v>
      </c>
      <c r="J37" s="1106">
        <f>NOMINA!J21</f>
        <v>0</v>
      </c>
      <c r="K37" s="1105">
        <f t="shared" si="2"/>
        <v>22</v>
      </c>
      <c r="L37" s="1106" t="s">
        <v>4932</v>
      </c>
      <c r="M37" s="1106"/>
      <c r="N37" s="1443" t="str">
        <f>NOMINA!O21</f>
        <v>JEFE DE DEPARTAMENTO</v>
      </c>
      <c r="O37" s="1106">
        <v>1.02087691000006E+18</v>
      </c>
      <c r="P37" s="1107">
        <f>NOMINA!W21</f>
        <v>181.5</v>
      </c>
      <c r="Q37" s="1108">
        <f>NOMINA!AG21</f>
        <v>53.72</v>
      </c>
      <c r="R37" s="1108">
        <f>NOMINA!AI21</f>
        <v>65</v>
      </c>
      <c r="S37" s="1108">
        <f>NOMINA!AK21</f>
        <v>0</v>
      </c>
      <c r="T37" s="1108">
        <f>+NOMINA!AO21</f>
        <v>0</v>
      </c>
      <c r="U37" s="1108">
        <f>+NOMINA!AQ21</f>
        <v>0</v>
      </c>
      <c r="V37" s="1108">
        <f>+NOMINA!AR21</f>
        <v>0</v>
      </c>
      <c r="W37" s="1108">
        <f>+NOMINA!AS21</f>
        <v>0</v>
      </c>
      <c r="X37" s="1108">
        <f>ROUND(NOMINA!AW21,2)</f>
        <v>0</v>
      </c>
      <c r="Y37" s="1108">
        <f>ROUND(NOMINA!AX21,2)</f>
        <v>0</v>
      </c>
      <c r="Z37" s="1108">
        <f>ROUND(NOMINA!BB21,2)+ROUND(NOMINA!BF21,2)</f>
        <v>0</v>
      </c>
      <c r="AA37" s="1108">
        <f>ROUND(NOMINA!BK21,2)*0</f>
        <v>0</v>
      </c>
      <c r="AB37" s="1108">
        <f>+NOMINA!BJ21</f>
        <v>12.5</v>
      </c>
      <c r="AC37" s="1108">
        <f>ROUND(NOMINA!BG21,2)</f>
        <v>320</v>
      </c>
      <c r="AD37" s="1711">
        <f t="shared" si="1"/>
        <v>632.72</v>
      </c>
    </row>
    <row r="38" spans="1:30" s="620" customFormat="1" ht="20.100000000000001" customHeight="1" x14ac:dyDescent="0.2">
      <c r="A38" s="1712" t="s">
        <v>2846</v>
      </c>
      <c r="B38" s="508">
        <f t="shared" si="3"/>
        <v>6</v>
      </c>
      <c r="C38" s="1102">
        <f>NOMINA!C22</f>
        <v>21592108</v>
      </c>
      <c r="D38" s="1103" t="str">
        <f>NOMINA!D22</f>
        <v>Coy Andara Darlin Gabriela</v>
      </c>
      <c r="E38" s="1468" t="s">
        <v>4622</v>
      </c>
      <c r="F38" s="1110">
        <v>32351</v>
      </c>
      <c r="G38" s="1468" t="s">
        <v>4620</v>
      </c>
      <c r="H38" s="1442">
        <f>NOMINA!H22</f>
        <v>43024</v>
      </c>
      <c r="I38" s="1105">
        <f>NOMINA!I22</f>
        <v>7</v>
      </c>
      <c r="J38" s="1106">
        <f>NOMINA!J22</f>
        <v>0</v>
      </c>
      <c r="K38" s="1105">
        <f t="shared" si="2"/>
        <v>7</v>
      </c>
      <c r="L38" s="1106" t="s">
        <v>4932</v>
      </c>
      <c r="M38" s="1106"/>
      <c r="N38" s="1443" t="str">
        <f>NOMINA!O22</f>
        <v>JEFE DE DEPARTAMENTO</v>
      </c>
      <c r="O38" s="1106">
        <v>1.02087691000006E+18</v>
      </c>
      <c r="P38" s="1107">
        <f>NOMINA!W22</f>
        <v>181.5</v>
      </c>
      <c r="Q38" s="1108">
        <f>NOMINA!AG22</f>
        <v>13.43</v>
      </c>
      <c r="R38" s="1108">
        <f>NOMINA!AI22</f>
        <v>65</v>
      </c>
      <c r="S38" s="1108">
        <f>NOMINA!AK22</f>
        <v>53.23</v>
      </c>
      <c r="T38" s="1108">
        <f>+NOMINA!AO22</f>
        <v>0</v>
      </c>
      <c r="U38" s="1108">
        <f>+NOMINA!AQ22</f>
        <v>0</v>
      </c>
      <c r="V38" s="1108">
        <f>+NOMINA!AR22</f>
        <v>0</v>
      </c>
      <c r="W38" s="1108">
        <f>+NOMINA!AS22</f>
        <v>0</v>
      </c>
      <c r="X38" s="1108">
        <f>ROUND(NOMINA!AW22,2)</f>
        <v>0</v>
      </c>
      <c r="Y38" s="1108">
        <f>ROUND(NOMINA!AX22,2)</f>
        <v>0</v>
      </c>
      <c r="Z38" s="1108">
        <f>ROUND(NOMINA!BB22,2)+ROUND(NOMINA!BF22,2)</f>
        <v>0</v>
      </c>
      <c r="AA38" s="1108">
        <f>ROUND(NOMINA!BK22,2)*0</f>
        <v>0</v>
      </c>
      <c r="AB38" s="1108">
        <f>+NOMINA!BJ22</f>
        <v>12.5</v>
      </c>
      <c r="AC38" s="1108">
        <f>ROUND(NOMINA!BG22,2)</f>
        <v>320</v>
      </c>
      <c r="AD38" s="1711">
        <f t="shared" si="1"/>
        <v>645.66000000000008</v>
      </c>
    </row>
    <row r="39" spans="1:30" s="620" customFormat="1" ht="20.100000000000001" customHeight="1" x14ac:dyDescent="0.2">
      <c r="A39" s="1712" t="s">
        <v>2846</v>
      </c>
      <c r="B39" s="508">
        <f t="shared" si="3"/>
        <v>7</v>
      </c>
      <c r="C39" s="1102">
        <f>NOMINA!C23</f>
        <v>13206767</v>
      </c>
      <c r="D39" s="1103" t="str">
        <f>NOMINA!D23</f>
        <v>Bastidas Guerra Soralis del Valle</v>
      </c>
      <c r="E39" s="1468" t="s">
        <v>4622</v>
      </c>
      <c r="F39" s="1110">
        <v>32351</v>
      </c>
      <c r="G39" s="1468" t="s">
        <v>4620</v>
      </c>
      <c r="H39" s="1442">
        <f>NOMINA!H23</f>
        <v>44713</v>
      </c>
      <c r="I39" s="1105">
        <f>NOMINA!I23</f>
        <v>3</v>
      </c>
      <c r="J39" s="1106">
        <f>NOMINA!J23</f>
        <v>0</v>
      </c>
      <c r="K39" s="1105">
        <f t="shared" si="2"/>
        <v>3</v>
      </c>
      <c r="L39" s="1106" t="s">
        <v>4932</v>
      </c>
      <c r="M39" s="1106"/>
      <c r="N39" s="1443" t="str">
        <f>NOMINA!O23</f>
        <v>COORDINADOR DE PROGRAMA (SAPNNAET)</v>
      </c>
      <c r="O39" s="1106">
        <v>1.02087691000006E+18</v>
      </c>
      <c r="P39" s="1107">
        <f>NOMINA!W23</f>
        <v>174</v>
      </c>
      <c r="Q39" s="1108">
        <f>NOMINA!AG23</f>
        <v>5.22</v>
      </c>
      <c r="R39" s="1108">
        <f>NOMINA!AI23</f>
        <v>65</v>
      </c>
      <c r="S39" s="1108">
        <f>NOMINA!AK23</f>
        <v>61.05</v>
      </c>
      <c r="T39" s="1108">
        <f>+NOMINA!AO23</f>
        <v>0</v>
      </c>
      <c r="U39" s="1108">
        <f>+NOMINA!AQ23</f>
        <v>0</v>
      </c>
      <c r="V39" s="1108">
        <f>+NOMINA!AR23</f>
        <v>0</v>
      </c>
      <c r="W39" s="1108">
        <f>+NOMINA!AS23</f>
        <v>0</v>
      </c>
      <c r="X39" s="1108">
        <f>ROUND(NOMINA!AW23,2)</f>
        <v>0</v>
      </c>
      <c r="Y39" s="1108">
        <f>ROUND(NOMINA!AX23,2)</f>
        <v>0</v>
      </c>
      <c r="Z39" s="1108">
        <f>ROUND(NOMINA!BB23,2)+ROUND(NOMINA!BF23,2)</f>
        <v>0</v>
      </c>
      <c r="AA39" s="1108">
        <f>ROUND(NOMINA!BK23,2)*0</f>
        <v>0</v>
      </c>
      <c r="AB39" s="1108">
        <f>+NOMINA!BJ23</f>
        <v>12.5</v>
      </c>
      <c r="AC39" s="1108">
        <f>ROUND(NOMINA!BG23,2)</f>
        <v>320</v>
      </c>
      <c r="AD39" s="1711">
        <f t="shared" si="1"/>
        <v>637.77</v>
      </c>
    </row>
    <row r="40" spans="1:30" s="620" customFormat="1" ht="20.100000000000001" customHeight="1" x14ac:dyDescent="0.2">
      <c r="A40" s="1712" t="s">
        <v>2846</v>
      </c>
      <c r="B40" s="508">
        <f t="shared" si="3"/>
        <v>8</v>
      </c>
      <c r="C40" s="1102">
        <f>NOMINA!C24</f>
        <v>13462933</v>
      </c>
      <c r="D40" s="1103" t="str">
        <f>NOMINA!D24</f>
        <v>Frias Aldana Maria Yaritza</v>
      </c>
      <c r="E40" s="1468" t="s">
        <v>4622</v>
      </c>
      <c r="F40" s="1110">
        <v>32351</v>
      </c>
      <c r="G40" s="1468" t="s">
        <v>4620</v>
      </c>
      <c r="H40" s="1442">
        <f>NOMINA!H24</f>
        <v>39454</v>
      </c>
      <c r="I40" s="1105">
        <f>NOMINA!I24</f>
        <v>17</v>
      </c>
      <c r="J40" s="1106">
        <f>NOMINA!J24</f>
        <v>6</v>
      </c>
      <c r="K40" s="1105">
        <f t="shared" si="2"/>
        <v>23</v>
      </c>
      <c r="L40" s="1106" t="s">
        <v>4932</v>
      </c>
      <c r="M40" s="1106"/>
      <c r="N40" s="1443" t="str">
        <f>NOMINA!O24</f>
        <v>COORDINADOR DE PROGRAMA (SAPNNAET)</v>
      </c>
      <c r="O40" s="1106">
        <v>1.02087691000006E+18</v>
      </c>
      <c r="P40" s="1107">
        <f>NOMINA!W24</f>
        <v>174</v>
      </c>
      <c r="Q40" s="1108">
        <f>NOMINA!AG24</f>
        <v>52.2</v>
      </c>
      <c r="R40" s="1108">
        <f>NOMINA!AI24</f>
        <v>65</v>
      </c>
      <c r="S40" s="1108">
        <f>NOMINA!AK24</f>
        <v>59.49</v>
      </c>
      <c r="T40" s="1108">
        <f>+NOMINA!AO24</f>
        <v>12.5</v>
      </c>
      <c r="U40" s="1108">
        <f>+NOMINA!AQ24</f>
        <v>0</v>
      </c>
      <c r="V40" s="1108">
        <f>+NOMINA!AR24</f>
        <v>0</v>
      </c>
      <c r="W40" s="1108">
        <f>+NOMINA!AS24</f>
        <v>0</v>
      </c>
      <c r="X40" s="1108">
        <f>ROUND(NOMINA!AW24,2)</f>
        <v>0</v>
      </c>
      <c r="Y40" s="1108">
        <f>ROUND(NOMINA!AX24,2)</f>
        <v>0</v>
      </c>
      <c r="Z40" s="1108">
        <f>ROUND(NOMINA!BB24,2)+ROUND(NOMINA!BF24,2)</f>
        <v>0</v>
      </c>
      <c r="AA40" s="1108">
        <f>ROUND(NOMINA!BK24,2)*0</f>
        <v>0</v>
      </c>
      <c r="AB40" s="1108">
        <f>+NOMINA!BJ24</f>
        <v>12.5</v>
      </c>
      <c r="AC40" s="1108">
        <f>ROUND(NOMINA!BG24,2)</f>
        <v>320</v>
      </c>
      <c r="AD40" s="1711">
        <f t="shared" si="1"/>
        <v>695.69</v>
      </c>
    </row>
    <row r="41" spans="1:30" s="620" customFormat="1" ht="20.100000000000001" customHeight="1" x14ac:dyDescent="0.2">
      <c r="A41" s="1712" t="s">
        <v>2846</v>
      </c>
      <c r="B41" s="508">
        <f t="shared" si="3"/>
        <v>9</v>
      </c>
      <c r="C41" s="1102">
        <f>NOMINA!C25</f>
        <v>12542413</v>
      </c>
      <c r="D41" s="1103" t="str">
        <f>NOMINA!D25</f>
        <v>Aponte Matheus Richard Alexander</v>
      </c>
      <c r="E41" s="1468" t="s">
        <v>4622</v>
      </c>
      <c r="F41" s="1110">
        <v>32351</v>
      </c>
      <c r="G41" s="1468" t="s">
        <v>4620</v>
      </c>
      <c r="H41" s="1442">
        <f>NOMINA!H25</f>
        <v>36434</v>
      </c>
      <c r="I41" s="1105">
        <f>NOMINA!I25</f>
        <v>25</v>
      </c>
      <c r="J41" s="1106">
        <f>NOMINA!J25</f>
        <v>0</v>
      </c>
      <c r="K41" s="1105">
        <f t="shared" si="2"/>
        <v>25</v>
      </c>
      <c r="L41" s="1106" t="s">
        <v>4932</v>
      </c>
      <c r="M41" s="1106"/>
      <c r="N41" s="1443" t="str">
        <f>NOMINA!O25</f>
        <v>COORDINADOR DE PROGRAMA (SAPNNAET)</v>
      </c>
      <c r="O41" s="1106">
        <v>1.02087691000006E+18</v>
      </c>
      <c r="P41" s="1107">
        <f>NOMINA!W25</f>
        <v>174</v>
      </c>
      <c r="Q41" s="1108">
        <f>NOMINA!AG25</f>
        <v>52.2</v>
      </c>
      <c r="R41" s="1108">
        <f>NOMINA!AI25</f>
        <v>65</v>
      </c>
      <c r="S41" s="1108">
        <f>NOMINA!AK25</f>
        <v>0</v>
      </c>
      <c r="T41" s="1108">
        <f>+NOMINA!AO25</f>
        <v>0</v>
      </c>
      <c r="U41" s="1108">
        <f>+NOMINA!AQ25</f>
        <v>0</v>
      </c>
      <c r="V41" s="1108">
        <f>+NOMINA!AR25</f>
        <v>0</v>
      </c>
      <c r="W41" s="1108">
        <f>+NOMINA!AS25</f>
        <v>0</v>
      </c>
      <c r="X41" s="1108">
        <f>ROUND(NOMINA!AW25,2)</f>
        <v>0</v>
      </c>
      <c r="Y41" s="1108">
        <f>ROUND(NOMINA!AX25,2)</f>
        <v>0</v>
      </c>
      <c r="Z41" s="1108">
        <f>ROUND(NOMINA!BB25,2)+ROUND(NOMINA!BF25,2)</f>
        <v>0</v>
      </c>
      <c r="AA41" s="1108">
        <f>ROUND(NOMINA!BK25,2)*0</f>
        <v>0</v>
      </c>
      <c r="AB41" s="1108">
        <f>+NOMINA!BJ25</f>
        <v>12.5</v>
      </c>
      <c r="AC41" s="1108">
        <f>ROUND(NOMINA!BG25,2)</f>
        <v>320</v>
      </c>
      <c r="AD41" s="1711">
        <f t="shared" si="1"/>
        <v>623.70000000000005</v>
      </c>
    </row>
    <row r="42" spans="1:30" s="620" customFormat="1" ht="20.100000000000001" customHeight="1" x14ac:dyDescent="0.2">
      <c r="A42" s="1712" t="s">
        <v>2846</v>
      </c>
      <c r="B42" s="508">
        <f t="shared" si="3"/>
        <v>10</v>
      </c>
      <c r="C42" s="1102">
        <f>NOMINA!C26</f>
        <v>18457406</v>
      </c>
      <c r="D42" s="1103" t="str">
        <f>NOMINA!D26</f>
        <v>Rivero Zambrano Herluis Jose</v>
      </c>
      <c r="E42" s="1468" t="s">
        <v>4622</v>
      </c>
      <c r="F42" s="1110">
        <v>32351</v>
      </c>
      <c r="G42" s="1468" t="s">
        <v>4620</v>
      </c>
      <c r="H42" s="1442">
        <f>NOMINA!H26</f>
        <v>41548</v>
      </c>
      <c r="I42" s="1105">
        <f>NOMINA!I26</f>
        <v>11</v>
      </c>
      <c r="J42" s="1106">
        <f>NOMINA!J26</f>
        <v>0</v>
      </c>
      <c r="K42" s="1105">
        <f t="shared" si="2"/>
        <v>11</v>
      </c>
      <c r="L42" s="1106" t="s">
        <v>4932</v>
      </c>
      <c r="M42" s="1106"/>
      <c r="N42" s="1443" t="str">
        <f>NOMINA!O26</f>
        <v>COORDINADOR DE PROGRAMA (SAPNNAET)</v>
      </c>
      <c r="O42" s="1106">
        <v>1.02087691000006E+18</v>
      </c>
      <c r="P42" s="1107">
        <f>NOMINA!W26</f>
        <v>174</v>
      </c>
      <c r="Q42" s="1108">
        <f>NOMINA!AG26</f>
        <v>21.57</v>
      </c>
      <c r="R42" s="1108">
        <f>NOMINA!AI26</f>
        <v>65</v>
      </c>
      <c r="S42" s="1108">
        <f>NOMINA!AK26</f>
        <v>68.27</v>
      </c>
      <c r="T42" s="1108">
        <f>+NOMINA!AO26</f>
        <v>12.5</v>
      </c>
      <c r="U42" s="1108">
        <f>+NOMINA!AQ26</f>
        <v>0</v>
      </c>
      <c r="V42" s="1108">
        <f>+NOMINA!AR26</f>
        <v>0</v>
      </c>
      <c r="W42" s="1108">
        <f>+NOMINA!AS26</f>
        <v>0</v>
      </c>
      <c r="X42" s="1108">
        <f>ROUND(NOMINA!AW26,2)</f>
        <v>0</v>
      </c>
      <c r="Y42" s="1108">
        <f>ROUND(NOMINA!AX26,2)</f>
        <v>0</v>
      </c>
      <c r="Z42" s="1108">
        <f>ROUND(NOMINA!BB26,2)+ROUND(NOMINA!BF26,2)</f>
        <v>0</v>
      </c>
      <c r="AA42" s="1108">
        <f>ROUND(NOMINA!BK26,2)*0</f>
        <v>0</v>
      </c>
      <c r="AB42" s="1108">
        <f>+NOMINA!BJ26</f>
        <v>12.5</v>
      </c>
      <c r="AC42" s="1108">
        <f>ROUND(NOMINA!BG26,2)</f>
        <v>320</v>
      </c>
      <c r="AD42" s="1711">
        <f t="shared" si="1"/>
        <v>673.83999999999992</v>
      </c>
    </row>
    <row r="43" spans="1:30" s="620" customFormat="1" ht="20.100000000000001" customHeight="1" x14ac:dyDescent="0.2">
      <c r="A43" s="1712" t="s">
        <v>2846</v>
      </c>
      <c r="B43" s="508">
        <f t="shared" si="3"/>
        <v>11</v>
      </c>
      <c r="C43" s="1102">
        <f>NOMINA!C27</f>
        <v>11895772</v>
      </c>
      <c r="D43" s="1103" t="str">
        <f>NOMINA!D27</f>
        <v>Rangel Rivas Ildemaro</v>
      </c>
      <c r="E43" s="1468" t="s">
        <v>4622</v>
      </c>
      <c r="F43" s="1110">
        <v>32351</v>
      </c>
      <c r="G43" s="1468" t="s">
        <v>4620</v>
      </c>
      <c r="H43" s="1442">
        <f>NOMINA!H27</f>
        <v>44743</v>
      </c>
      <c r="I43" s="1105">
        <f>NOMINA!I27</f>
        <v>3</v>
      </c>
      <c r="J43" s="1106">
        <f>NOMINA!J27</f>
        <v>0</v>
      </c>
      <c r="K43" s="1105">
        <f t="shared" si="2"/>
        <v>3</v>
      </c>
      <c r="L43" s="1106" t="s">
        <v>4932</v>
      </c>
      <c r="M43" s="1106"/>
      <c r="N43" s="1443" t="str">
        <f>NOMINA!O27</f>
        <v>COORDINADOR DE PROGRAMA (SAPNNAET)</v>
      </c>
      <c r="O43" s="1106">
        <v>1.02087691000006E+18</v>
      </c>
      <c r="P43" s="1107">
        <f>NOMINA!W27</f>
        <v>174</v>
      </c>
      <c r="Q43" s="1108">
        <f>NOMINA!AG27</f>
        <v>5.22</v>
      </c>
      <c r="R43" s="1108">
        <f>NOMINA!AI27</f>
        <v>65</v>
      </c>
      <c r="S43" s="1108">
        <f>NOMINA!AK27</f>
        <v>50.09</v>
      </c>
      <c r="T43" s="1108">
        <f>+NOMINA!AO27</f>
        <v>12.5</v>
      </c>
      <c r="U43" s="1108">
        <f>+NOMINA!AQ27</f>
        <v>0</v>
      </c>
      <c r="V43" s="1108">
        <f>+NOMINA!AR27</f>
        <v>0</v>
      </c>
      <c r="W43" s="1108">
        <f>+NOMINA!AS27</f>
        <v>0</v>
      </c>
      <c r="X43" s="1108">
        <f>ROUND(NOMINA!AW27,2)</f>
        <v>0</v>
      </c>
      <c r="Y43" s="1108">
        <f>ROUND(NOMINA!AX27,2)</f>
        <v>0</v>
      </c>
      <c r="Z43" s="1108">
        <f>ROUND(NOMINA!BB27,2)+ROUND(NOMINA!BF27,2)</f>
        <v>0</v>
      </c>
      <c r="AA43" s="1108">
        <f>ROUND(NOMINA!BK27,2)*0</f>
        <v>0</v>
      </c>
      <c r="AB43" s="1108">
        <f>+NOMINA!BJ27</f>
        <v>12.5</v>
      </c>
      <c r="AC43" s="1108">
        <f>ROUND(NOMINA!BG27,2)</f>
        <v>320</v>
      </c>
      <c r="AD43" s="1711">
        <f t="shared" si="1"/>
        <v>639.30999999999995</v>
      </c>
    </row>
    <row r="44" spans="1:30" s="620" customFormat="1" ht="20.100000000000001" customHeight="1" x14ac:dyDescent="0.2">
      <c r="A44" s="1712" t="s">
        <v>2846</v>
      </c>
      <c r="B44" s="508">
        <f t="shared" si="3"/>
        <v>12</v>
      </c>
      <c r="C44" s="1102">
        <f>NOMINA!C28</f>
        <v>9495661</v>
      </c>
      <c r="D44" s="1103" t="str">
        <f>NOMINA!D28</f>
        <v>Aguial Carrillo Gregoria Coromoto</v>
      </c>
      <c r="E44" s="1468" t="s">
        <v>4622</v>
      </c>
      <c r="F44" s="1110">
        <v>32351</v>
      </c>
      <c r="G44" s="1468" t="s">
        <v>4620</v>
      </c>
      <c r="H44" s="1442">
        <f>NOMINA!H28</f>
        <v>39692</v>
      </c>
      <c r="I44" s="1105">
        <f>NOMINA!I28</f>
        <v>17</v>
      </c>
      <c r="J44" s="1106">
        <f>NOMINA!J28</f>
        <v>0</v>
      </c>
      <c r="K44" s="1105">
        <f t="shared" si="2"/>
        <v>17</v>
      </c>
      <c r="L44" s="1106" t="s">
        <v>4932</v>
      </c>
      <c r="M44" s="1106"/>
      <c r="N44" s="1443" t="str">
        <f>NOMINA!O28</f>
        <v>COORDINADOR DE PROGRAMA (SAPNNAET)</v>
      </c>
      <c r="O44" s="1106">
        <v>1.02087691000006E+18</v>
      </c>
      <c r="P44" s="1107">
        <f>NOMINA!W28</f>
        <v>174</v>
      </c>
      <c r="Q44" s="1108">
        <f>NOMINA!AG28</f>
        <v>36.89</v>
      </c>
      <c r="R44" s="1108">
        <f>NOMINA!AI28</f>
        <v>65</v>
      </c>
      <c r="S44" s="1108">
        <f>NOMINA!AK28</f>
        <v>0</v>
      </c>
      <c r="T44" s="1108">
        <f>+NOMINA!AO28</f>
        <v>0</v>
      </c>
      <c r="U44" s="1108">
        <f>+NOMINA!AQ28</f>
        <v>0</v>
      </c>
      <c r="V44" s="1108">
        <f>+NOMINA!AR28</f>
        <v>0</v>
      </c>
      <c r="W44" s="1108">
        <f>+NOMINA!AS28</f>
        <v>0</v>
      </c>
      <c r="X44" s="1108">
        <f>ROUND(NOMINA!AW28,2)</f>
        <v>0</v>
      </c>
      <c r="Y44" s="1108">
        <f>ROUND(NOMINA!AX28,2)</f>
        <v>4414.24</v>
      </c>
      <c r="Z44" s="1108">
        <f>ROUND(NOMINA!BB28,2)+ROUND(NOMINA!BF28,2)</f>
        <v>0</v>
      </c>
      <c r="AA44" s="1108">
        <f>ROUND(NOMINA!BK28,2)*0</f>
        <v>0</v>
      </c>
      <c r="AB44" s="1108">
        <f>+NOMINA!BJ28</f>
        <v>12.5</v>
      </c>
      <c r="AC44" s="1108">
        <f>ROUND(NOMINA!BG28,2)</f>
        <v>320</v>
      </c>
      <c r="AD44" s="1711">
        <f t="shared" si="1"/>
        <v>5022.63</v>
      </c>
    </row>
    <row r="45" spans="1:30" s="620" customFormat="1" ht="20.100000000000001" customHeight="1" x14ac:dyDescent="0.2">
      <c r="A45" s="1712" t="s">
        <v>2846</v>
      </c>
      <c r="B45" s="508">
        <f t="shared" si="3"/>
        <v>13</v>
      </c>
      <c r="C45" s="1102">
        <f>NOMINA!C29</f>
        <v>5348397</v>
      </c>
      <c r="D45" s="1103" t="str">
        <f>NOMINA!D29</f>
        <v>Araujo Manzanilla Carlos Antonio</v>
      </c>
      <c r="E45" s="1468" t="s">
        <v>4622</v>
      </c>
      <c r="F45" s="1110">
        <v>32351</v>
      </c>
      <c r="G45" s="1468" t="s">
        <v>4620</v>
      </c>
      <c r="H45" s="1442">
        <f>NOMINA!H29</f>
        <v>43359</v>
      </c>
      <c r="I45" s="1105">
        <f>NOMINA!I29</f>
        <v>7</v>
      </c>
      <c r="J45" s="1106">
        <f>NOMINA!J29</f>
        <v>0</v>
      </c>
      <c r="K45" s="1105">
        <f t="shared" si="2"/>
        <v>7</v>
      </c>
      <c r="L45" s="1106" t="s">
        <v>4932</v>
      </c>
      <c r="M45" s="1106"/>
      <c r="N45" s="1443" t="str">
        <f>NOMINA!O29</f>
        <v>COORDINADOR DE PROGRAMA (SAPNNAET)</v>
      </c>
      <c r="O45" s="1106">
        <v>1.02087691000006E+18</v>
      </c>
      <c r="P45" s="1107">
        <f>NOMINA!W29</f>
        <v>174</v>
      </c>
      <c r="Q45" s="1108">
        <f>NOMINA!AG29</f>
        <v>12.87</v>
      </c>
      <c r="R45" s="1108">
        <f>NOMINA!AI29</f>
        <v>65</v>
      </c>
      <c r="S45" s="1108">
        <f>NOMINA!AK29</f>
        <v>90.34</v>
      </c>
      <c r="T45" s="1108">
        <f>+NOMINA!AO29</f>
        <v>0</v>
      </c>
      <c r="U45" s="1108">
        <f>+NOMINA!AQ29</f>
        <v>0</v>
      </c>
      <c r="V45" s="1108">
        <f>+NOMINA!AR29</f>
        <v>0</v>
      </c>
      <c r="W45" s="1108">
        <f>+NOMINA!AS29</f>
        <v>0</v>
      </c>
      <c r="X45" s="1108">
        <f>ROUND(NOMINA!AW29,2)</f>
        <v>0</v>
      </c>
      <c r="Y45" s="1108">
        <f>ROUND(NOMINA!AX29,2)</f>
        <v>5575.52</v>
      </c>
      <c r="Z45" s="1108">
        <f>ROUND(NOMINA!BB29,2)+ROUND(NOMINA!BF29,2)</f>
        <v>0</v>
      </c>
      <c r="AA45" s="1108">
        <f>ROUND(NOMINA!BK29,2)*0</f>
        <v>0</v>
      </c>
      <c r="AB45" s="1108">
        <f>+NOMINA!BJ29</f>
        <v>12.5</v>
      </c>
      <c r="AC45" s="1108">
        <f>ROUND(NOMINA!BG29,2)</f>
        <v>320</v>
      </c>
      <c r="AD45" s="1711">
        <f t="shared" si="1"/>
        <v>6250.2300000000005</v>
      </c>
    </row>
    <row r="46" spans="1:30" s="620" customFormat="1" ht="20.100000000000001" customHeight="1" x14ac:dyDescent="0.2">
      <c r="A46" s="1712" t="s">
        <v>2846</v>
      </c>
      <c r="B46" s="508">
        <f t="shared" si="3"/>
        <v>14</v>
      </c>
      <c r="C46" s="1102">
        <f>NOMINA!C30</f>
        <v>9314132</v>
      </c>
      <c r="D46" s="1103" t="str">
        <f>NOMINA!D30</f>
        <v>Viloria Montilla Gerardo</v>
      </c>
      <c r="E46" s="1468" t="s">
        <v>4622</v>
      </c>
      <c r="F46" s="1110">
        <v>32351</v>
      </c>
      <c r="G46" s="1468" t="s">
        <v>4620</v>
      </c>
      <c r="H46" s="1442">
        <f>NOMINA!H30</f>
        <v>44348</v>
      </c>
      <c r="I46" s="1105">
        <f>NOMINA!I30</f>
        <v>4</v>
      </c>
      <c r="J46" s="1106">
        <f>NOMINA!J30</f>
        <v>0</v>
      </c>
      <c r="K46" s="1105">
        <f t="shared" si="2"/>
        <v>4</v>
      </c>
      <c r="L46" s="1106" t="s">
        <v>4932</v>
      </c>
      <c r="M46" s="1106"/>
      <c r="N46" s="1443" t="str">
        <f>NOMINA!O30</f>
        <v>COORDINADOR DE PROGRAMA (SAPNNAET)</v>
      </c>
      <c r="O46" s="1106">
        <v>1.02087691000006E+18</v>
      </c>
      <c r="P46" s="1107">
        <f>NOMINA!W30</f>
        <v>174</v>
      </c>
      <c r="Q46" s="1108">
        <f>NOMINA!AG30</f>
        <v>6.96</v>
      </c>
      <c r="R46" s="1108">
        <f>NOMINA!AI30</f>
        <v>65</v>
      </c>
      <c r="S46" s="1108">
        <f>NOMINA!AK30</f>
        <v>86.08</v>
      </c>
      <c r="T46" s="1108">
        <f>+NOMINA!AO30</f>
        <v>0</v>
      </c>
      <c r="U46" s="1108">
        <f>+NOMINA!AQ30</f>
        <v>0</v>
      </c>
      <c r="V46" s="1108">
        <f>+NOMINA!AR30</f>
        <v>0</v>
      </c>
      <c r="W46" s="1108">
        <f>+NOMINA!AS30</f>
        <v>0</v>
      </c>
      <c r="X46" s="1108">
        <f>ROUND(NOMINA!AW30,2)</f>
        <v>0</v>
      </c>
      <c r="Y46" s="1108">
        <f>ROUND(NOMINA!AX30,2)</f>
        <v>0</v>
      </c>
      <c r="Z46" s="1108">
        <f>ROUND(NOMINA!BB30,2)+ROUND(NOMINA!BF30,2)</f>
        <v>0</v>
      </c>
      <c r="AA46" s="1108">
        <f>ROUND(NOMINA!BK30,2)*0</f>
        <v>0</v>
      </c>
      <c r="AB46" s="1108">
        <f>+NOMINA!BJ30</f>
        <v>12.5</v>
      </c>
      <c r="AC46" s="1108">
        <f>ROUND(NOMINA!BG30,2)</f>
        <v>320</v>
      </c>
      <c r="AD46" s="1711">
        <f t="shared" si="1"/>
        <v>664.54</v>
      </c>
    </row>
    <row r="47" spans="1:30" s="620" customFormat="1" ht="20.100000000000001" customHeight="1" x14ac:dyDescent="0.2">
      <c r="A47" s="1712" t="s">
        <v>2846</v>
      </c>
      <c r="B47" s="508">
        <f t="shared" si="3"/>
        <v>15</v>
      </c>
      <c r="C47" s="1102">
        <f>NOMINA!C31</f>
        <v>11320533</v>
      </c>
      <c r="D47" s="1103" t="str">
        <f>NOMINA!D31</f>
        <v>Suarez Chiquin Yaritza Josefina</v>
      </c>
      <c r="E47" s="1468" t="s">
        <v>4622</v>
      </c>
      <c r="F47" s="1110">
        <v>32351</v>
      </c>
      <c r="G47" s="1468" t="s">
        <v>4620</v>
      </c>
      <c r="H47" s="1442">
        <f>NOMINA!H31</f>
        <v>37629</v>
      </c>
      <c r="I47" s="1105">
        <f>NOMINA!I31</f>
        <v>22</v>
      </c>
      <c r="J47" s="1106">
        <f>NOMINA!J31</f>
        <v>0</v>
      </c>
      <c r="K47" s="1105">
        <f t="shared" si="2"/>
        <v>22</v>
      </c>
      <c r="L47" s="1106" t="s">
        <v>4932</v>
      </c>
      <c r="M47" s="1106"/>
      <c r="N47" s="1443" t="str">
        <f>NOMINA!O31</f>
        <v>COORDINADOR DE PROGRAMA (SAPNNAET)</v>
      </c>
      <c r="O47" s="1106">
        <v>1.02087691000006E+18</v>
      </c>
      <c r="P47" s="1107">
        <f>NOMINA!W31</f>
        <v>174</v>
      </c>
      <c r="Q47" s="1108">
        <f>NOMINA!AG31</f>
        <v>51.5</v>
      </c>
      <c r="R47" s="1108">
        <f>NOMINA!AI31</f>
        <v>65</v>
      </c>
      <c r="S47" s="1108">
        <f>NOMINA!AK31</f>
        <v>74.19</v>
      </c>
      <c r="T47" s="1108">
        <f>+NOMINA!AO31</f>
        <v>0</v>
      </c>
      <c r="U47" s="1108">
        <f>+NOMINA!AQ31</f>
        <v>0</v>
      </c>
      <c r="V47" s="1108">
        <f>+NOMINA!AR31</f>
        <v>0</v>
      </c>
      <c r="W47" s="1108">
        <f>+NOMINA!AS31</f>
        <v>0</v>
      </c>
      <c r="X47" s="1108">
        <f>ROUND(NOMINA!AW31,2)</f>
        <v>0</v>
      </c>
      <c r="Y47" s="1108">
        <f>ROUND(NOMINA!AX31,2)</f>
        <v>0</v>
      </c>
      <c r="Z47" s="1108">
        <f>ROUND(NOMINA!BB31,2)+ROUND(NOMINA!BF31,2)</f>
        <v>0</v>
      </c>
      <c r="AA47" s="1108">
        <f>ROUND(NOMINA!BK31,2)*0</f>
        <v>0</v>
      </c>
      <c r="AB47" s="1108">
        <f>+NOMINA!BJ31</f>
        <v>12.5</v>
      </c>
      <c r="AC47" s="1108">
        <f>ROUND(NOMINA!BG31,2)</f>
        <v>320</v>
      </c>
      <c r="AD47" s="1711">
        <f t="shared" si="1"/>
        <v>697.19</v>
      </c>
    </row>
    <row r="48" spans="1:30" s="620" customFormat="1" ht="20.100000000000001" customHeight="1" x14ac:dyDescent="0.2">
      <c r="A48" s="1712" t="s">
        <v>2846</v>
      </c>
      <c r="B48" s="508">
        <f t="shared" si="3"/>
        <v>16</v>
      </c>
      <c r="C48" s="1102">
        <f>NOMINA!C32</f>
        <v>10912595</v>
      </c>
      <c r="D48" s="1103" t="str">
        <f>NOMINA!D32</f>
        <v>Delfin Bustos Jose Hercilio</v>
      </c>
      <c r="E48" s="1468" t="s">
        <v>4622</v>
      </c>
      <c r="F48" s="1110">
        <v>32351</v>
      </c>
      <c r="G48" s="1468" t="s">
        <v>4620</v>
      </c>
      <c r="H48" s="1442">
        <f>NOMINA!H32</f>
        <v>36039</v>
      </c>
      <c r="I48" s="1105">
        <f>NOMINA!I32</f>
        <v>27</v>
      </c>
      <c r="J48" s="1106">
        <f>NOMINA!J32</f>
        <v>0</v>
      </c>
      <c r="K48" s="1105">
        <f t="shared" si="2"/>
        <v>27</v>
      </c>
      <c r="L48" s="1106" t="s">
        <v>4932</v>
      </c>
      <c r="M48" s="1106"/>
      <c r="N48" s="1443" t="str">
        <f>NOMINA!O32</f>
        <v>COORDINADOR DE PROGRAMA (SAPNNAET)</v>
      </c>
      <c r="O48" s="1106">
        <v>1.02087691000006E+18</v>
      </c>
      <c r="P48" s="1107">
        <f>NOMINA!W32</f>
        <v>174</v>
      </c>
      <c r="Q48" s="1108">
        <f>NOMINA!AG32</f>
        <v>52.2</v>
      </c>
      <c r="R48" s="1108">
        <f>NOMINA!AI32</f>
        <v>65</v>
      </c>
      <c r="S48" s="1108">
        <f>NOMINA!AK32</f>
        <v>0</v>
      </c>
      <c r="T48" s="1108">
        <f>+NOMINA!AO32</f>
        <v>0</v>
      </c>
      <c r="U48" s="1108">
        <f>+NOMINA!AQ32</f>
        <v>0</v>
      </c>
      <c r="V48" s="1108">
        <f>+NOMINA!AR32</f>
        <v>0</v>
      </c>
      <c r="W48" s="1108">
        <f>+NOMINA!AS32</f>
        <v>0</v>
      </c>
      <c r="X48" s="1108">
        <f>ROUND(NOMINA!AW32,2)</f>
        <v>0</v>
      </c>
      <c r="Y48" s="1108">
        <f>ROUND(NOMINA!AX32,2)</f>
        <v>4659.2</v>
      </c>
      <c r="Z48" s="1108">
        <f>ROUND(NOMINA!BB32,2)+ROUND(NOMINA!BF32,2)</f>
        <v>0</v>
      </c>
      <c r="AA48" s="1108">
        <f>ROUND(NOMINA!BK32,2)*0</f>
        <v>0</v>
      </c>
      <c r="AB48" s="1108">
        <f>+NOMINA!BJ32</f>
        <v>12.5</v>
      </c>
      <c r="AC48" s="1108">
        <f>ROUND(NOMINA!BG32,2)</f>
        <v>320</v>
      </c>
      <c r="AD48" s="1711">
        <f t="shared" si="1"/>
        <v>5282.9</v>
      </c>
    </row>
    <row r="49" spans="1:32" s="620" customFormat="1" ht="20.100000000000001" customHeight="1" x14ac:dyDescent="0.2">
      <c r="A49" s="1712" t="s">
        <v>2846</v>
      </c>
      <c r="B49" s="508">
        <f t="shared" si="3"/>
        <v>17</v>
      </c>
      <c r="C49" s="1102">
        <f>NOMINA!C33</f>
        <v>4306476</v>
      </c>
      <c r="D49" s="1103" t="str">
        <f>NOMINA!D33</f>
        <v>Triviño de Bastidas Dioni de la Coromoto</v>
      </c>
      <c r="E49" s="1468" t="s">
        <v>4622</v>
      </c>
      <c r="F49" s="1110">
        <v>32351</v>
      </c>
      <c r="G49" s="1468" t="s">
        <v>4620</v>
      </c>
      <c r="H49" s="1442">
        <f>NOMINA!H33</f>
        <v>44409</v>
      </c>
      <c r="I49" s="1105">
        <f>NOMINA!I33</f>
        <v>4</v>
      </c>
      <c r="J49" s="1106">
        <f>NOMINA!J33</f>
        <v>25</v>
      </c>
      <c r="K49" s="1105">
        <f t="shared" si="2"/>
        <v>29</v>
      </c>
      <c r="L49" s="1106" t="s">
        <v>4932</v>
      </c>
      <c r="M49" s="1106"/>
      <c r="N49" s="1443" t="str">
        <f>NOMINA!O33</f>
        <v>COORDINADOR DE PROGRAMA (SAPNNAET)</v>
      </c>
      <c r="O49" s="1106">
        <v>1.02087691000006E+18</v>
      </c>
      <c r="P49" s="1107">
        <f>NOMINA!W33</f>
        <v>174</v>
      </c>
      <c r="Q49" s="1108">
        <f>NOMINA!AG33</f>
        <v>52.2</v>
      </c>
      <c r="R49" s="1108">
        <f>NOMINA!AI33</f>
        <v>65</v>
      </c>
      <c r="S49" s="1108">
        <f>NOMINA!AK33</f>
        <v>101.92</v>
      </c>
      <c r="T49" s="1108">
        <f>+NOMINA!AO33</f>
        <v>0</v>
      </c>
      <c r="U49" s="1108">
        <f>+NOMINA!AQ33</f>
        <v>0</v>
      </c>
      <c r="V49" s="1108">
        <f>+NOMINA!AR33</f>
        <v>0</v>
      </c>
      <c r="W49" s="1108">
        <f>+NOMINA!AS33</f>
        <v>0</v>
      </c>
      <c r="X49" s="1108">
        <f>ROUND(NOMINA!AW33,2)</f>
        <v>0</v>
      </c>
      <c r="Y49" s="1108">
        <f>ROUND(NOMINA!AX33,2)</f>
        <v>0</v>
      </c>
      <c r="Z49" s="1108">
        <f>ROUND(NOMINA!BB33,2)+ROUND(NOMINA!BF33,2)</f>
        <v>0</v>
      </c>
      <c r="AA49" s="1108">
        <f>ROUND(NOMINA!BK33,2)*0</f>
        <v>0</v>
      </c>
      <c r="AB49" s="1108">
        <f>+NOMINA!BJ33</f>
        <v>12.5</v>
      </c>
      <c r="AC49" s="1108">
        <f>ROUND(NOMINA!BG33,2)</f>
        <v>320</v>
      </c>
      <c r="AD49" s="1711">
        <f t="shared" si="1"/>
        <v>725.62</v>
      </c>
    </row>
    <row r="50" spans="1:32" s="620" customFormat="1" ht="20.100000000000001" customHeight="1" x14ac:dyDescent="0.2">
      <c r="A50" s="1712" t="s">
        <v>2846</v>
      </c>
      <c r="B50" s="508">
        <f t="shared" si="3"/>
        <v>18</v>
      </c>
      <c r="C50" s="1102">
        <f>NOMINA!C34</f>
        <v>13568733</v>
      </c>
      <c r="D50" s="1103" t="str">
        <f>NOMINA!D34</f>
        <v>Campos de Velazquez Nilda Carolina</v>
      </c>
      <c r="E50" s="1468" t="s">
        <v>4622</v>
      </c>
      <c r="F50" s="1110">
        <v>32351</v>
      </c>
      <c r="G50" s="1468" t="s">
        <v>4620</v>
      </c>
      <c r="H50" s="1442">
        <f>NOMINA!H34</f>
        <v>44805</v>
      </c>
      <c r="I50" s="1105">
        <f>NOMINA!I34</f>
        <v>3</v>
      </c>
      <c r="J50" s="1106">
        <f>NOMINA!J34</f>
        <v>0</v>
      </c>
      <c r="K50" s="1105">
        <f t="shared" si="2"/>
        <v>3</v>
      </c>
      <c r="L50" s="1106" t="s">
        <v>4932</v>
      </c>
      <c r="M50" s="1106"/>
      <c r="N50" s="1443" t="str">
        <f>NOMINA!O34</f>
        <v>COORDINADOR DE PROGRAMA (SAPNNAET)</v>
      </c>
      <c r="O50" s="1106">
        <v>1.02087691000006E+18</v>
      </c>
      <c r="P50" s="1107">
        <f>NOMINA!W34</f>
        <v>174</v>
      </c>
      <c r="Q50" s="1108">
        <f>NOMINA!AG34</f>
        <v>5.22</v>
      </c>
      <c r="R50" s="1108">
        <f>NOMINA!AI34</f>
        <v>65</v>
      </c>
      <c r="S50" s="1108">
        <f>NOMINA!AK34</f>
        <v>62.62</v>
      </c>
      <c r="T50" s="1108">
        <f>+NOMINA!AO34</f>
        <v>12.5</v>
      </c>
      <c r="U50" s="1108">
        <f>+NOMINA!AQ34</f>
        <v>0</v>
      </c>
      <c r="V50" s="1108">
        <f>+NOMINA!AR34</f>
        <v>0</v>
      </c>
      <c r="W50" s="1108">
        <f>+NOMINA!AS34</f>
        <v>0</v>
      </c>
      <c r="X50" s="1108">
        <f>ROUND(NOMINA!AW34,2)</f>
        <v>0</v>
      </c>
      <c r="Y50" s="1108">
        <f>ROUND(NOMINA!AX34,2)</f>
        <v>5009.4399999999996</v>
      </c>
      <c r="Z50" s="1108">
        <f>ROUND(NOMINA!BB34,2)+ROUND(NOMINA!BF34,2)</f>
        <v>0</v>
      </c>
      <c r="AA50" s="1108">
        <f>ROUND(NOMINA!BK34,2)*0</f>
        <v>0</v>
      </c>
      <c r="AB50" s="1108">
        <f>+NOMINA!BJ34</f>
        <v>12.5</v>
      </c>
      <c r="AC50" s="1108">
        <f>ROUND(NOMINA!BG34,2)</f>
        <v>320</v>
      </c>
      <c r="AD50" s="1711">
        <f t="shared" si="1"/>
        <v>5661.28</v>
      </c>
    </row>
    <row r="51" spans="1:32" s="620" customFormat="1" ht="20.100000000000001" customHeight="1" x14ac:dyDescent="0.2">
      <c r="A51" s="1712" t="s">
        <v>2846</v>
      </c>
      <c r="B51" s="508">
        <f t="shared" si="3"/>
        <v>19</v>
      </c>
      <c r="C51" s="1102">
        <f>NOMINA!C35</f>
        <v>20790947</v>
      </c>
      <c r="D51" s="1103" t="str">
        <f>NOMINA!D35</f>
        <v>Urbina Cuellar Tannessy Lenery</v>
      </c>
      <c r="E51" s="1468" t="s">
        <v>4622</v>
      </c>
      <c r="F51" s="1110">
        <v>32351</v>
      </c>
      <c r="G51" s="1468" t="s">
        <v>4620</v>
      </c>
      <c r="H51" s="1442">
        <f>NOMINA!H35</f>
        <v>43967</v>
      </c>
      <c r="I51" s="1105">
        <f>NOMINA!I35</f>
        <v>5</v>
      </c>
      <c r="J51" s="1106">
        <f>NOMINA!J35</f>
        <v>0</v>
      </c>
      <c r="K51" s="1105">
        <f t="shared" si="2"/>
        <v>5</v>
      </c>
      <c r="L51" s="1106" t="s">
        <v>4932</v>
      </c>
      <c r="M51" s="1106"/>
      <c r="N51" s="1443" t="str">
        <f>NOMINA!O35</f>
        <v>COORDINADOR DE PROGRAMA (SAPNNAET)</v>
      </c>
      <c r="O51" s="1106">
        <v>1.02087691000006E+18</v>
      </c>
      <c r="P51" s="1107">
        <f>NOMINA!W35</f>
        <v>174</v>
      </c>
      <c r="Q51" s="1108">
        <f>NOMINA!AG35</f>
        <v>8.6999999999999993</v>
      </c>
      <c r="R51" s="1108">
        <f>NOMINA!AI35</f>
        <v>65</v>
      </c>
      <c r="S51" s="1108">
        <f>NOMINA!AK35</f>
        <v>63.49</v>
      </c>
      <c r="T51" s="1108">
        <f>+NOMINA!AO35</f>
        <v>12.5</v>
      </c>
      <c r="U51" s="1108">
        <f>+NOMINA!AQ35</f>
        <v>0</v>
      </c>
      <c r="V51" s="1108">
        <f>+NOMINA!AR35</f>
        <v>0</v>
      </c>
      <c r="W51" s="1108">
        <f>+NOMINA!AS35</f>
        <v>0</v>
      </c>
      <c r="X51" s="1108">
        <f>ROUND(NOMINA!AW35,2)</f>
        <v>0</v>
      </c>
      <c r="Y51" s="1108">
        <f>ROUND(NOMINA!AX35,2)</f>
        <v>0</v>
      </c>
      <c r="Z51" s="1108">
        <f>ROUND(NOMINA!BB35,2)+ROUND(NOMINA!BF35,2)</f>
        <v>0</v>
      </c>
      <c r="AA51" s="1108">
        <f>ROUND(NOMINA!BK35,2)*0</f>
        <v>0</v>
      </c>
      <c r="AB51" s="1108">
        <f>+NOMINA!BJ35</f>
        <v>12.5</v>
      </c>
      <c r="AC51" s="1108">
        <f>ROUND(NOMINA!BG35,2)</f>
        <v>320</v>
      </c>
      <c r="AD51" s="1711">
        <f t="shared" si="1"/>
        <v>656.19</v>
      </c>
    </row>
    <row r="52" spans="1:32" s="620" customFormat="1" ht="20.100000000000001" customHeight="1" x14ac:dyDescent="0.2">
      <c r="A52" s="1712" t="s">
        <v>2846</v>
      </c>
      <c r="B52" s="508">
        <f t="shared" si="3"/>
        <v>20</v>
      </c>
      <c r="C52" s="1102">
        <f>NOMINA!C36</f>
        <v>15752183</v>
      </c>
      <c r="D52" s="1103" t="str">
        <f>NOMINA!D36</f>
        <v>Delduca Adriana del Valle</v>
      </c>
      <c r="E52" s="1468" t="s">
        <v>4622</v>
      </c>
      <c r="F52" s="1110">
        <v>32351</v>
      </c>
      <c r="G52" s="1468" t="s">
        <v>4620</v>
      </c>
      <c r="H52" s="1442">
        <f>NOMINA!H36</f>
        <v>38930</v>
      </c>
      <c r="I52" s="1105">
        <f>NOMINA!I36</f>
        <v>19</v>
      </c>
      <c r="J52" s="1106">
        <f>NOMINA!J36</f>
        <v>0</v>
      </c>
      <c r="K52" s="1105">
        <f t="shared" si="2"/>
        <v>19</v>
      </c>
      <c r="L52" s="1106" t="s">
        <v>4932</v>
      </c>
      <c r="M52" s="1106"/>
      <c r="N52" s="1443" t="str">
        <f>NOMINA!O36</f>
        <v>COORDINADOR DE PROGRAMA (SAPNNAET)</v>
      </c>
      <c r="O52" s="1106">
        <v>1.02087691000006E+18</v>
      </c>
      <c r="P52" s="1107">
        <f>NOMINA!W36</f>
        <v>174</v>
      </c>
      <c r="Q52" s="1108">
        <f>NOMINA!AG36</f>
        <v>42.45</v>
      </c>
      <c r="R52" s="1108">
        <f>NOMINA!AI36</f>
        <v>65</v>
      </c>
      <c r="S52" s="1108">
        <f>NOMINA!AK36</f>
        <v>0</v>
      </c>
      <c r="T52" s="1108">
        <f>+NOMINA!AO36</f>
        <v>0</v>
      </c>
      <c r="U52" s="1108">
        <f>+NOMINA!AQ36</f>
        <v>0</v>
      </c>
      <c r="V52" s="1108">
        <f>+NOMINA!AR36</f>
        <v>0</v>
      </c>
      <c r="W52" s="1108">
        <f>+NOMINA!AS36</f>
        <v>0</v>
      </c>
      <c r="X52" s="1108">
        <f>ROUND(NOMINA!AW36,2)</f>
        <v>0</v>
      </c>
      <c r="Y52" s="1108">
        <f>ROUND(NOMINA!AX36,2)</f>
        <v>0</v>
      </c>
      <c r="Z52" s="1108">
        <f>ROUND(NOMINA!BB36,2)+ROUND(NOMINA!BF36,2)</f>
        <v>0</v>
      </c>
      <c r="AA52" s="1108">
        <f>ROUND(NOMINA!BK36,2)*0</f>
        <v>0</v>
      </c>
      <c r="AB52" s="1108">
        <f>+NOMINA!BJ36</f>
        <v>12.5</v>
      </c>
      <c r="AC52" s="1108">
        <f>ROUND(NOMINA!BG36,2)</f>
        <v>320</v>
      </c>
      <c r="AD52" s="1711">
        <f t="shared" si="1"/>
        <v>613.95000000000005</v>
      </c>
    </row>
    <row r="53" spans="1:32" s="620" customFormat="1" ht="20.100000000000001" customHeight="1" x14ac:dyDescent="0.2">
      <c r="A53" s="1712" t="s">
        <v>2846</v>
      </c>
      <c r="B53" s="508">
        <f t="shared" si="3"/>
        <v>21</v>
      </c>
      <c r="C53" s="1102">
        <f>NOMINA!C37</f>
        <v>16739081</v>
      </c>
      <c r="D53" s="1103" t="str">
        <f>NOMINA!D37</f>
        <v>Albarran Araujo Yely Coromoto</v>
      </c>
      <c r="E53" s="1468" t="s">
        <v>4622</v>
      </c>
      <c r="F53" s="1110">
        <v>32351</v>
      </c>
      <c r="G53" s="1468" t="s">
        <v>4620</v>
      </c>
      <c r="H53" s="1442">
        <f>NOMINA!H37</f>
        <v>42948</v>
      </c>
      <c r="I53" s="1105">
        <f>NOMINA!I37</f>
        <v>8</v>
      </c>
      <c r="J53" s="1106">
        <f>NOMINA!J37</f>
        <v>0</v>
      </c>
      <c r="K53" s="1105">
        <f t="shared" si="2"/>
        <v>8</v>
      </c>
      <c r="L53" s="1106" t="s">
        <v>4932</v>
      </c>
      <c r="M53" s="1106"/>
      <c r="N53" s="1443" t="str">
        <f>NOMINA!O37</f>
        <v>COORDINADOR DE PROGRAMA (SAPNNAET)</v>
      </c>
      <c r="O53" s="1106">
        <v>1.02087691000006E+18</v>
      </c>
      <c r="P53" s="1107">
        <f>NOMINA!W37</f>
        <v>174</v>
      </c>
      <c r="Q53" s="1108">
        <f>NOMINA!AG37</f>
        <v>14.96</v>
      </c>
      <c r="R53" s="1108">
        <f>NOMINA!AI37</f>
        <v>65</v>
      </c>
      <c r="S53" s="1108">
        <f>NOMINA!AK37</f>
        <v>53.29</v>
      </c>
      <c r="T53" s="1108">
        <f>+NOMINA!AO37</f>
        <v>0</v>
      </c>
      <c r="U53" s="1108">
        <f>+NOMINA!AQ37</f>
        <v>0</v>
      </c>
      <c r="V53" s="1108">
        <f>+NOMINA!AR37</f>
        <v>0</v>
      </c>
      <c r="W53" s="1108">
        <f>+NOMINA!AS37</f>
        <v>0</v>
      </c>
      <c r="X53" s="1108">
        <f>ROUND(NOMINA!AW37,2)</f>
        <v>0</v>
      </c>
      <c r="Y53" s="1108">
        <f>ROUND(NOMINA!AX37,2)</f>
        <v>0</v>
      </c>
      <c r="Z53" s="1108">
        <f>ROUND(NOMINA!BB37,2)+ROUND(NOMINA!BF37,2)</f>
        <v>0</v>
      </c>
      <c r="AA53" s="1108">
        <f>ROUND(NOMINA!BK37,2)*0</f>
        <v>0</v>
      </c>
      <c r="AB53" s="1108">
        <f>+NOMINA!BJ37</f>
        <v>12.5</v>
      </c>
      <c r="AC53" s="1108">
        <f>ROUND(NOMINA!BG37,2)</f>
        <v>320</v>
      </c>
      <c r="AD53" s="1711">
        <f t="shared" si="1"/>
        <v>639.75</v>
      </c>
    </row>
    <row r="54" spans="1:32" s="620" customFormat="1" ht="20.100000000000001" customHeight="1" x14ac:dyDescent="0.2">
      <c r="A54" s="1712" t="s">
        <v>2846</v>
      </c>
      <c r="B54" s="508">
        <f t="shared" si="3"/>
        <v>22</v>
      </c>
      <c r="C54" s="1102">
        <f>NOMINA!C38</f>
        <v>18349553</v>
      </c>
      <c r="D54" s="1103" t="str">
        <f>NOMINA!D38</f>
        <v>Quiroga Valdes Nayla Carolina</v>
      </c>
      <c r="E54" s="1468" t="s">
        <v>4622</v>
      </c>
      <c r="F54" s="1110">
        <v>32351</v>
      </c>
      <c r="G54" s="1468" t="s">
        <v>4620</v>
      </c>
      <c r="H54" s="1442">
        <f>NOMINA!H38</f>
        <v>45566</v>
      </c>
      <c r="I54" s="1105">
        <f>NOMINA!I38</f>
        <v>0</v>
      </c>
      <c r="J54" s="1106">
        <f>NOMINA!J38</f>
        <v>0</v>
      </c>
      <c r="K54" s="1105">
        <f t="shared" si="2"/>
        <v>0</v>
      </c>
      <c r="L54" s="1106" t="s">
        <v>4932</v>
      </c>
      <c r="M54" s="1106"/>
      <c r="N54" s="1443" t="str">
        <f>NOMINA!O38</f>
        <v>COORDINADOR DE PROGRAMA (SAPNNAET)</v>
      </c>
      <c r="O54" s="1106">
        <v>1.02087691000006E+18</v>
      </c>
      <c r="P54" s="1107">
        <f>NOMINA!W38</f>
        <v>174</v>
      </c>
      <c r="Q54" s="1108">
        <f>NOMINA!AG38</f>
        <v>0</v>
      </c>
      <c r="R54" s="1108">
        <f>NOMINA!AI38</f>
        <v>65</v>
      </c>
      <c r="S54" s="1108">
        <f>NOMINA!AK38</f>
        <v>59.75</v>
      </c>
      <c r="T54" s="1108">
        <f>+NOMINA!AO38</f>
        <v>0</v>
      </c>
      <c r="U54" s="1108">
        <f>+NOMINA!AQ38</f>
        <v>0</v>
      </c>
      <c r="V54" s="1108">
        <f>+NOMINA!AR38</f>
        <v>0</v>
      </c>
      <c r="W54" s="1108">
        <f>+NOMINA!AS38</f>
        <v>0</v>
      </c>
      <c r="X54" s="1108">
        <f>ROUND(NOMINA!AW38,2)</f>
        <v>0</v>
      </c>
      <c r="Y54" s="1108">
        <f>ROUND(NOMINA!AX38,2)</f>
        <v>0</v>
      </c>
      <c r="Z54" s="1108">
        <f>ROUND(NOMINA!BB38,2)+ROUND(NOMINA!BF38,2)</f>
        <v>0</v>
      </c>
      <c r="AA54" s="1108">
        <f>ROUND(NOMINA!BK38,2)*0</f>
        <v>0</v>
      </c>
      <c r="AB54" s="1108">
        <f>+NOMINA!BJ38</f>
        <v>12.5</v>
      </c>
      <c r="AC54" s="1108">
        <f>ROUND(NOMINA!BG38,2)</f>
        <v>320</v>
      </c>
      <c r="AD54" s="1711">
        <f t="shared" si="1"/>
        <v>631.25</v>
      </c>
    </row>
    <row r="55" spans="1:32" s="620" customFormat="1" ht="20.100000000000001" customHeight="1" x14ac:dyDescent="0.2">
      <c r="A55" s="1712"/>
      <c r="B55" s="508">
        <f t="shared" si="3"/>
        <v>23</v>
      </c>
      <c r="C55" s="1102">
        <f>NOMINA!C39</f>
        <v>16066524</v>
      </c>
      <c r="D55" s="1103" t="str">
        <f>NOMINA!D39</f>
        <v>Carmona Peñaloza Yaneth Coromoto</v>
      </c>
      <c r="E55" s="1468" t="s">
        <v>4622</v>
      </c>
      <c r="F55" s="1110">
        <v>32351</v>
      </c>
      <c r="G55" s="1468" t="s">
        <v>4620</v>
      </c>
      <c r="H55" s="1442">
        <f>NOMINA!H39</f>
        <v>41456</v>
      </c>
      <c r="I55" s="1105">
        <f>NOMINA!I39</f>
        <v>12</v>
      </c>
      <c r="J55" s="1106">
        <f>NOMINA!J39</f>
        <v>0</v>
      </c>
      <c r="K55" s="1105">
        <f t="shared" si="2"/>
        <v>12</v>
      </c>
      <c r="L55" s="1106" t="s">
        <v>4932</v>
      </c>
      <c r="M55" s="1106"/>
      <c r="N55" s="1443" t="str">
        <f>NOMINA!O39</f>
        <v>COORDINADOR DE PROGRAMA (SAPNNAET)</v>
      </c>
      <c r="O55" s="1106">
        <v>1.02087691000006E+18</v>
      </c>
      <c r="P55" s="1107">
        <f>NOMINA!W39</f>
        <v>174</v>
      </c>
      <c r="Q55" s="1108">
        <f>NOMINA!AG39</f>
        <v>24.01</v>
      </c>
      <c r="R55" s="1108">
        <f>NOMINA!AI39</f>
        <v>65</v>
      </c>
      <c r="S55" s="1108">
        <f>NOMINA!AK39</f>
        <v>55.1</v>
      </c>
      <c r="T55" s="1108">
        <f>+NOMINA!AO39</f>
        <v>25</v>
      </c>
      <c r="U55" s="1108">
        <f>+NOMINA!AQ39</f>
        <v>0</v>
      </c>
      <c r="V55" s="1108">
        <f>+NOMINA!AR39</f>
        <v>0</v>
      </c>
      <c r="W55" s="1108">
        <f>+NOMINA!AS39</f>
        <v>0</v>
      </c>
      <c r="X55" s="1108">
        <f>ROUND(NOMINA!AW39,2)</f>
        <v>0</v>
      </c>
      <c r="Y55" s="1108">
        <f>ROUND(NOMINA!AX39,2)</f>
        <v>0</v>
      </c>
      <c r="Z55" s="1108">
        <f>ROUND(NOMINA!BB39,2)+ROUND(NOMINA!BF39,2)</f>
        <v>0</v>
      </c>
      <c r="AA55" s="1108">
        <f>ROUND(NOMINA!BK39,2)*0</f>
        <v>0</v>
      </c>
      <c r="AB55" s="1108">
        <f>+NOMINA!BJ39</f>
        <v>12.5</v>
      </c>
      <c r="AC55" s="1108">
        <f>ROUND(NOMINA!BG39,2)</f>
        <v>320</v>
      </c>
      <c r="AD55" s="1711">
        <f t="shared" si="1"/>
        <v>675.61</v>
      </c>
    </row>
    <row r="56" spans="1:32" s="620" customFormat="1" ht="20.100000000000001" customHeight="1" x14ac:dyDescent="0.2">
      <c r="A56" s="1712"/>
      <c r="B56" s="508">
        <f t="shared" si="3"/>
        <v>24</v>
      </c>
      <c r="C56" s="1102">
        <f>NOMINA!C40</f>
        <v>27889180</v>
      </c>
      <c r="D56" s="1103" t="str">
        <f>NOMINA!D40</f>
        <v>Moreno Andreina del Valle</v>
      </c>
      <c r="E56" s="1468" t="s">
        <v>4622</v>
      </c>
      <c r="F56" s="1110">
        <v>32351</v>
      </c>
      <c r="G56" s="1468" t="s">
        <v>4620</v>
      </c>
      <c r="H56" s="1442">
        <f>NOMINA!H40</f>
        <v>44393</v>
      </c>
      <c r="I56" s="1105">
        <f>NOMINA!I40</f>
        <v>4</v>
      </c>
      <c r="J56" s="1106">
        <f>NOMINA!J40</f>
        <v>0</v>
      </c>
      <c r="K56" s="1105">
        <f t="shared" si="2"/>
        <v>4</v>
      </c>
      <c r="L56" s="1106" t="s">
        <v>4932</v>
      </c>
      <c r="M56" s="1106"/>
      <c r="N56" s="1443" t="str">
        <f>NOMINA!O40</f>
        <v>COORDINADOR DE PROGRAMA (SAPNNAET)</v>
      </c>
      <c r="O56" s="1106">
        <v>1.02087691000006E+18</v>
      </c>
      <c r="P56" s="1107">
        <f>NOMINA!W40</f>
        <v>174</v>
      </c>
      <c r="Q56" s="1108">
        <f>NOMINA!AG40</f>
        <v>6.96</v>
      </c>
      <c r="R56" s="1108">
        <f>NOMINA!AI40</f>
        <v>65</v>
      </c>
      <c r="S56" s="1108">
        <f>NOMINA!AK40</f>
        <v>0</v>
      </c>
      <c r="T56" s="1108">
        <f>+NOMINA!AO40</f>
        <v>0</v>
      </c>
      <c r="U56" s="1108">
        <f>+NOMINA!AQ40</f>
        <v>0</v>
      </c>
      <c r="V56" s="1108">
        <f>+NOMINA!AR40</f>
        <v>0</v>
      </c>
      <c r="W56" s="1108">
        <f>+NOMINA!AS40</f>
        <v>0</v>
      </c>
      <c r="X56" s="1108">
        <f>ROUND(NOMINA!AW40,2)</f>
        <v>0</v>
      </c>
      <c r="Y56" s="1108">
        <f>ROUND(NOMINA!AX40,2)</f>
        <v>0</v>
      </c>
      <c r="Z56" s="1108">
        <f>ROUND(NOMINA!BB40,2)+ROUND(NOMINA!BF40,2)</f>
        <v>0</v>
      </c>
      <c r="AA56" s="1108">
        <f>ROUND(NOMINA!BK40,2)*0</f>
        <v>0</v>
      </c>
      <c r="AB56" s="1108">
        <f>+NOMINA!BJ40</f>
        <v>12.5</v>
      </c>
      <c r="AC56" s="1108">
        <f>ROUND(NOMINA!BG40,2)</f>
        <v>320</v>
      </c>
      <c r="AD56" s="1711">
        <f t="shared" si="1"/>
        <v>578.46</v>
      </c>
    </row>
    <row r="57" spans="1:32" s="620" customFormat="1" ht="20.100000000000001" customHeight="1" thickBot="1" x14ac:dyDescent="0.25">
      <c r="A57" s="1712"/>
      <c r="B57" s="508">
        <f t="shared" si="3"/>
        <v>25</v>
      </c>
      <c r="C57" s="1102">
        <f>NOMINA!C41</f>
        <v>12781930</v>
      </c>
      <c r="D57" s="1103" t="str">
        <f>NOMINA!D41</f>
        <v>Berrios Gomez Neida Marina</v>
      </c>
      <c r="E57" s="1468" t="s">
        <v>4622</v>
      </c>
      <c r="F57" s="1110">
        <v>32351</v>
      </c>
      <c r="G57" s="1468" t="s">
        <v>4620</v>
      </c>
      <c r="H57" s="1442">
        <f>NOMINA!H41</f>
        <v>44652</v>
      </c>
      <c r="I57" s="1105">
        <f>NOMINA!I41</f>
        <v>3</v>
      </c>
      <c r="J57" s="1106">
        <f>NOMINA!J41</f>
        <v>0</v>
      </c>
      <c r="K57" s="1105">
        <f t="shared" si="2"/>
        <v>3</v>
      </c>
      <c r="L57" s="1106" t="s">
        <v>4932</v>
      </c>
      <c r="M57" s="1106"/>
      <c r="N57" s="1443" t="str">
        <f>NOMINA!O41</f>
        <v>COORDINADOR DE PROGRAMA (SAPNNAET)</v>
      </c>
      <c r="O57" s="1106">
        <v>1.02087691000006E+18</v>
      </c>
      <c r="P57" s="1107">
        <f>NOMINA!W41</f>
        <v>174</v>
      </c>
      <c r="Q57" s="1108">
        <f>NOMINA!AG41</f>
        <v>5.22</v>
      </c>
      <c r="R57" s="1108">
        <f>NOMINA!AI41</f>
        <v>65</v>
      </c>
      <c r="S57" s="1108">
        <f>NOMINA!AK41</f>
        <v>61.05</v>
      </c>
      <c r="T57" s="1108">
        <f>+NOMINA!AO41</f>
        <v>0</v>
      </c>
      <c r="U57" s="1108">
        <f>+NOMINA!AQ41</f>
        <v>0</v>
      </c>
      <c r="V57" s="1108">
        <f>+NOMINA!AR41</f>
        <v>0</v>
      </c>
      <c r="W57" s="1108">
        <f>+NOMINA!AS41</f>
        <v>0</v>
      </c>
      <c r="X57" s="1108">
        <f>ROUND(NOMINA!AW41,2)</f>
        <v>0</v>
      </c>
      <c r="Y57" s="1108">
        <f>ROUND(NOMINA!AX41,2)</f>
        <v>0</v>
      </c>
      <c r="Z57" s="1108">
        <f>ROUND(NOMINA!BB41,2)+ROUND(NOMINA!BF41,2)</f>
        <v>0</v>
      </c>
      <c r="AA57" s="1108">
        <f>ROUND(NOMINA!BK41,2)*0</f>
        <v>0</v>
      </c>
      <c r="AB57" s="1108">
        <f>+NOMINA!BJ41</f>
        <v>12.5</v>
      </c>
      <c r="AC57" s="1108">
        <f>ROUND(NOMINA!BG41,2)</f>
        <v>320</v>
      </c>
      <c r="AD57" s="1711">
        <f t="shared" si="1"/>
        <v>637.77</v>
      </c>
    </row>
    <row r="58" spans="1:32" s="620" customFormat="1" ht="39.950000000000003" customHeight="1" thickBot="1" x14ac:dyDescent="0.3">
      <c r="A58" s="666"/>
      <c r="B58" s="667"/>
      <c r="C58" s="1087" t="s">
        <v>5968</v>
      </c>
      <c r="D58" s="1065"/>
      <c r="E58" s="1065"/>
      <c r="F58" s="1065"/>
      <c r="G58" s="1065"/>
      <c r="H58" s="1066"/>
      <c r="I58" s="1065"/>
      <c r="J58" s="1065"/>
      <c r="K58" s="1067" t="s">
        <v>5814</v>
      </c>
      <c r="L58" s="1065"/>
      <c r="M58" s="1065"/>
      <c r="N58" s="1095"/>
      <c r="O58" s="668"/>
      <c r="P58" s="670">
        <f t="shared" ref="P58:AD58" si="4">SUM(P33:P57)</f>
        <v>4395</v>
      </c>
      <c r="Q58" s="670">
        <f t="shared" si="4"/>
        <v>733.51000000000022</v>
      </c>
      <c r="R58" s="670">
        <f t="shared" si="4"/>
        <v>1625</v>
      </c>
      <c r="S58" s="670">
        <f t="shared" si="4"/>
        <v>1315.52</v>
      </c>
      <c r="T58" s="670">
        <f t="shared" si="4"/>
        <v>100</v>
      </c>
      <c r="U58" s="670">
        <f t="shared" si="4"/>
        <v>0</v>
      </c>
      <c r="V58" s="670">
        <f t="shared" si="4"/>
        <v>0</v>
      </c>
      <c r="W58" s="670">
        <f t="shared" si="4"/>
        <v>0</v>
      </c>
      <c r="X58" s="670">
        <f t="shared" si="4"/>
        <v>0</v>
      </c>
      <c r="Y58" s="670">
        <f t="shared" si="4"/>
        <v>19658.399999999998</v>
      </c>
      <c r="Z58" s="670">
        <f t="shared" si="4"/>
        <v>0</v>
      </c>
      <c r="AA58" s="670">
        <f t="shared" si="4"/>
        <v>0</v>
      </c>
      <c r="AB58" s="670">
        <f t="shared" si="4"/>
        <v>312.5</v>
      </c>
      <c r="AC58" s="670">
        <f t="shared" si="4"/>
        <v>8000</v>
      </c>
      <c r="AD58" s="672">
        <f t="shared" si="4"/>
        <v>36139.929999999993</v>
      </c>
      <c r="AE58" s="625">
        <f>+AD58-NOMINA!CC42</f>
        <v>0</v>
      </c>
      <c r="AF58" s="625"/>
    </row>
    <row r="59" spans="1:32" s="620" customFormat="1" ht="19.5" customHeight="1" x14ac:dyDescent="0.25">
      <c r="A59" s="666"/>
      <c r="B59" s="766"/>
      <c r="C59" s="802"/>
      <c r="D59" s="802"/>
      <c r="E59" s="802"/>
      <c r="F59" s="802"/>
      <c r="G59" s="802"/>
      <c r="H59" s="803"/>
      <c r="I59" s="802"/>
      <c r="J59" s="802"/>
      <c r="K59" s="774"/>
      <c r="L59" s="802"/>
      <c r="M59" s="802"/>
      <c r="N59" s="802"/>
      <c r="O59" s="802"/>
      <c r="P59" s="804"/>
      <c r="Q59" s="804"/>
      <c r="R59" s="804"/>
      <c r="S59" s="804"/>
      <c r="T59" s="804"/>
      <c r="U59" s="804"/>
      <c r="V59" s="804"/>
      <c r="W59" s="804"/>
      <c r="X59" s="804"/>
      <c r="Y59" s="804"/>
      <c r="Z59" s="804"/>
      <c r="AA59" s="804"/>
      <c r="AB59" s="804"/>
      <c r="AC59" s="804"/>
      <c r="AD59" s="804"/>
    </row>
    <row r="60" spans="1:32" s="620" customFormat="1" ht="19.5" customHeight="1" x14ac:dyDescent="0.25">
      <c r="A60" s="666"/>
      <c r="B60" s="778"/>
      <c r="C60" s="779"/>
      <c r="D60" s="726" t="s">
        <v>5833</v>
      </c>
      <c r="E60" s="699"/>
      <c r="F60" s="781"/>
      <c r="G60" s="699"/>
      <c r="H60" s="782"/>
      <c r="I60" s="783"/>
      <c r="J60" s="784"/>
      <c r="K60" s="602"/>
      <c r="L60" s="785"/>
      <c r="M60" s="784"/>
      <c r="N60" s="786"/>
      <c r="O60" s="784"/>
      <c r="R60" s="787"/>
      <c r="S60" s="717" t="s">
        <v>5834</v>
      </c>
      <c r="T60" s="787"/>
      <c r="U60" s="787"/>
      <c r="V60" s="787"/>
      <c r="W60" s="787"/>
      <c r="Y60" s="787"/>
      <c r="Z60" s="715" t="s">
        <v>5835</v>
      </c>
      <c r="AA60" s="787"/>
      <c r="AB60" s="787"/>
      <c r="AC60" s="805"/>
      <c r="AD60" s="805"/>
    </row>
    <row r="61" spans="1:32" s="620" customFormat="1" ht="19.5" customHeight="1" x14ac:dyDescent="0.25">
      <c r="A61" s="666"/>
      <c r="B61" s="778"/>
      <c r="C61" s="779"/>
      <c r="D61" s="780"/>
      <c r="E61" s="699"/>
      <c r="F61" s="781"/>
      <c r="G61" s="699"/>
      <c r="H61" s="782"/>
      <c r="I61" s="783"/>
      <c r="J61" s="784"/>
      <c r="K61" s="602"/>
      <c r="L61" s="785"/>
      <c r="M61" s="784"/>
      <c r="N61" s="786"/>
      <c r="O61" s="784"/>
      <c r="R61" s="787"/>
      <c r="S61" s="787"/>
      <c r="T61" s="787"/>
      <c r="U61" s="787"/>
      <c r="V61" s="787"/>
      <c r="W61" s="787"/>
      <c r="Y61" s="787"/>
      <c r="Z61" s="787"/>
      <c r="AA61" s="787"/>
      <c r="AB61" s="787"/>
      <c r="AC61" s="805"/>
      <c r="AD61" s="805"/>
    </row>
    <row r="62" spans="1:32" s="620" customFormat="1" ht="19.5" customHeight="1" x14ac:dyDescent="0.25">
      <c r="A62" s="666"/>
      <c r="B62" s="778"/>
      <c r="C62" s="779"/>
      <c r="D62" s="780"/>
      <c r="E62" s="699"/>
      <c r="F62" s="781"/>
      <c r="G62" s="699"/>
      <c r="H62" s="782"/>
      <c r="I62" s="783"/>
      <c r="J62" s="784"/>
      <c r="K62" s="602"/>
      <c r="L62" s="785"/>
      <c r="M62" s="784"/>
      <c r="N62" s="786"/>
      <c r="O62" s="784"/>
      <c r="R62" s="787"/>
      <c r="S62" s="787"/>
      <c r="T62" s="787"/>
      <c r="U62" s="787"/>
      <c r="V62" s="787"/>
      <c r="W62" s="787"/>
      <c r="Y62" s="787"/>
      <c r="Z62" s="787"/>
      <c r="AA62" s="787"/>
      <c r="AB62" s="787"/>
      <c r="AC62" s="805"/>
      <c r="AD62" s="805"/>
    </row>
    <row r="63" spans="1:32" s="620" customFormat="1" ht="19.5" customHeight="1" x14ac:dyDescent="0.25">
      <c r="A63" s="666"/>
      <c r="B63" s="778"/>
      <c r="C63" s="779"/>
      <c r="D63" s="780"/>
      <c r="E63" s="699"/>
      <c r="F63" s="781"/>
      <c r="G63" s="699"/>
      <c r="H63" s="782"/>
      <c r="I63" s="783"/>
      <c r="J63" s="784"/>
      <c r="K63" s="602"/>
      <c r="L63" s="785"/>
      <c r="M63" s="784"/>
      <c r="N63" s="786"/>
      <c r="O63" s="784"/>
      <c r="R63" s="787"/>
      <c r="S63" s="787"/>
      <c r="T63" s="787"/>
      <c r="U63" s="787"/>
      <c r="V63" s="787"/>
      <c r="W63" s="787"/>
      <c r="Y63" s="787"/>
      <c r="Z63" s="787"/>
      <c r="AA63" s="787"/>
      <c r="AB63" s="787"/>
      <c r="AC63" s="805"/>
      <c r="AD63" s="805"/>
    </row>
    <row r="64" spans="1:32" s="620" customFormat="1" ht="19.5" customHeight="1" x14ac:dyDescent="0.25">
      <c r="A64" s="666"/>
      <c r="B64" s="725" t="s">
        <v>6752</v>
      </c>
      <c r="C64" s="726"/>
      <c r="D64" s="724"/>
      <c r="E64" s="724"/>
      <c r="F64" s="724"/>
      <c r="G64" s="724"/>
      <c r="H64" s="725" t="s">
        <v>6116</v>
      </c>
      <c r="I64" s="725"/>
      <c r="K64" s="602"/>
      <c r="L64" s="785"/>
      <c r="M64" s="784"/>
      <c r="N64" s="786"/>
      <c r="O64" s="784"/>
      <c r="R64" s="787"/>
      <c r="S64" s="727" t="s">
        <v>5836</v>
      </c>
      <c r="T64" s="787"/>
      <c r="U64" s="787"/>
      <c r="V64" s="787"/>
      <c r="W64" s="787"/>
      <c r="Y64" s="787"/>
      <c r="Z64" s="715" t="s">
        <v>5847</v>
      </c>
      <c r="AA64" s="787"/>
      <c r="AB64" s="787"/>
      <c r="AC64" s="805"/>
      <c r="AD64" s="805"/>
    </row>
    <row r="65" spans="1:32" s="620" customFormat="1" ht="19.5" customHeight="1" x14ac:dyDescent="0.25">
      <c r="A65" s="666"/>
      <c r="B65" s="725" t="s">
        <v>6753</v>
      </c>
      <c r="C65" s="726"/>
      <c r="D65" s="724"/>
      <c r="E65" s="724"/>
      <c r="F65" s="724"/>
      <c r="G65" s="724"/>
      <c r="H65" s="725" t="s">
        <v>6117</v>
      </c>
      <c r="I65" s="725"/>
      <c r="K65" s="602"/>
      <c r="L65" s="785"/>
      <c r="M65" s="784"/>
      <c r="N65" s="786"/>
      <c r="O65" s="784"/>
      <c r="R65" s="787"/>
      <c r="S65" s="727" t="s">
        <v>5838</v>
      </c>
      <c r="T65" s="787"/>
      <c r="U65" s="787"/>
      <c r="V65" s="787"/>
      <c r="W65" s="787"/>
      <c r="Y65" s="787"/>
      <c r="Z65" s="725" t="s">
        <v>5839</v>
      </c>
      <c r="AA65" s="787"/>
      <c r="AB65" s="787"/>
      <c r="AC65" s="805"/>
      <c r="AD65" s="805"/>
    </row>
    <row r="66" spans="1:32" s="620" customFormat="1" ht="19.5" customHeight="1" thickBot="1" x14ac:dyDescent="0.3">
      <c r="A66" s="666"/>
      <c r="B66" s="725" t="s">
        <v>5240</v>
      </c>
      <c r="C66" s="726"/>
      <c r="D66" s="724"/>
      <c r="E66" s="724"/>
      <c r="F66" s="724"/>
      <c r="G66" s="724"/>
      <c r="H66" s="725" t="s">
        <v>5261</v>
      </c>
      <c r="I66" s="725"/>
      <c r="K66" s="602"/>
      <c r="L66" s="785"/>
      <c r="M66" s="784"/>
      <c r="N66" s="786"/>
      <c r="O66" s="784"/>
      <c r="R66" s="787"/>
      <c r="S66" s="727" t="s">
        <v>5840</v>
      </c>
      <c r="T66" s="787"/>
      <c r="U66" s="787"/>
      <c r="V66" s="787"/>
      <c r="W66" s="787"/>
      <c r="Y66" s="787"/>
      <c r="Z66" s="715" t="s">
        <v>5841</v>
      </c>
      <c r="AA66" s="787"/>
      <c r="AB66" s="787"/>
      <c r="AC66" s="805"/>
      <c r="AD66" s="805"/>
    </row>
    <row r="67" spans="1:32" s="683" customFormat="1" ht="30" customHeight="1" thickBot="1" x14ac:dyDescent="0.3">
      <c r="A67" s="674" t="s">
        <v>4561</v>
      </c>
      <c r="B67" s="656" t="str">
        <f>+"EMPLEADOS FIJOS_NOMINA_2A_QUINCENA_"&amp;NOMINA!F9&amp;"_"&amp;NOMINA!H9</f>
        <v>EMPLEADOS FIJOS_NOMINA_2A_QUINCENA_SEPTIEMBRE_2025</v>
      </c>
      <c r="C67" s="675"/>
      <c r="D67" s="676"/>
      <c r="E67" s="675"/>
      <c r="F67" s="676"/>
      <c r="G67" s="677"/>
      <c r="H67" s="678"/>
      <c r="I67" s="679"/>
      <c r="J67" s="679"/>
      <c r="K67" s="679"/>
      <c r="L67" s="679"/>
      <c r="M67" s="679"/>
      <c r="N67" s="806"/>
      <c r="O67" s="679"/>
      <c r="P67" s="679"/>
      <c r="Q67" s="680"/>
      <c r="R67" s="680"/>
      <c r="S67" s="680"/>
      <c r="T67" s="680"/>
      <c r="U67" s="680"/>
      <c r="V67" s="680"/>
      <c r="W67" s="680"/>
      <c r="X67" s="679"/>
      <c r="Y67" s="680"/>
      <c r="Z67" s="679"/>
      <c r="AA67" s="679"/>
      <c r="AB67" s="679"/>
      <c r="AC67" s="680"/>
      <c r="AD67" s="682"/>
    </row>
    <row r="68" spans="1:32" s="620" customFormat="1" ht="18" customHeight="1" thickBot="1" x14ac:dyDescent="0.25">
      <c r="A68" s="758" t="s">
        <v>2846</v>
      </c>
      <c r="B68" s="508">
        <v>1</v>
      </c>
      <c r="C68" s="1102">
        <f>NOMINA!C44</f>
        <v>4324055</v>
      </c>
      <c r="D68" s="1103" t="str">
        <f>NOMINA!D44</f>
        <v>Mejia Linares Alexis de Jesus</v>
      </c>
      <c r="E68" s="1468" t="s">
        <v>4622</v>
      </c>
      <c r="F68" s="1110">
        <v>32351</v>
      </c>
      <c r="G68" s="1468" t="s">
        <v>4620</v>
      </c>
      <c r="H68" s="1442">
        <f>NOMINA!H44</f>
        <v>44470</v>
      </c>
      <c r="I68" s="1105">
        <f>NOMINA!I44</f>
        <v>3</v>
      </c>
      <c r="J68" s="1106">
        <f>NOMINA!J44</f>
        <v>0</v>
      </c>
      <c r="K68" s="1105">
        <f>I68+J68</f>
        <v>3</v>
      </c>
      <c r="L68" s="1106" t="s">
        <v>4932</v>
      </c>
      <c r="M68" s="1106"/>
      <c r="N68" s="1443" t="str">
        <f>NOMINA!O44</f>
        <v>Abogado II</v>
      </c>
      <c r="O68" s="1106">
        <v>1.02087691000006E+18</v>
      </c>
      <c r="P68" s="1107">
        <f>NOMINA!W44</f>
        <v>138.5</v>
      </c>
      <c r="Q68" s="1108">
        <f>NOMINA!AG44</f>
        <v>4.1500000000000004</v>
      </c>
      <c r="R68" s="1108">
        <f>NOMINA!AI44</f>
        <v>65</v>
      </c>
      <c r="S68" s="1108">
        <f>NOMINA!AK44</f>
        <v>51.91</v>
      </c>
      <c r="T68" s="1108">
        <f>+NOMINA!AO44</f>
        <v>0</v>
      </c>
      <c r="U68" s="1108">
        <f>+NOMINA!AQ44</f>
        <v>0</v>
      </c>
      <c r="V68" s="1108">
        <f>+NOMINA!AR44</f>
        <v>0</v>
      </c>
      <c r="W68" s="1108">
        <f>+NOMINA!AS44</f>
        <v>0</v>
      </c>
      <c r="X68" s="1108">
        <f>ROUND(NOMINA!AW44,2)</f>
        <v>0</v>
      </c>
      <c r="Y68" s="1108">
        <f>ROUND(NOMINA!AX44,2)</f>
        <v>0</v>
      </c>
      <c r="Z68" s="1108">
        <f>ROUND(NOMINA!BB44,2)+ROUND(NOMINA!BF44,2)</f>
        <v>0</v>
      </c>
      <c r="AA68" s="1108">
        <f>ROUND(NOMINA!BK44,2)*0</f>
        <v>0</v>
      </c>
      <c r="AB68" s="1108">
        <f>+NOMINA!BJ44</f>
        <v>12.5</v>
      </c>
      <c r="AC68" s="1108">
        <f>ROUND(NOMINA!BG44,2)</f>
        <v>320</v>
      </c>
      <c r="AD68" s="1711">
        <f t="shared" ref="AD68:AD131" si="5">+P68+Q68+R68+S68+X68+Y68+Z68+AC68+AA68+T68+U68+V68+W68+AB68</f>
        <v>592.05999999999995</v>
      </c>
      <c r="AF68" s="625"/>
    </row>
    <row r="69" spans="1:32" s="620" customFormat="1" ht="18" customHeight="1" thickBot="1" x14ac:dyDescent="0.25">
      <c r="A69" s="758" t="s">
        <v>2846</v>
      </c>
      <c r="B69" s="508">
        <f>+B68+1</f>
        <v>2</v>
      </c>
      <c r="C69" s="1102">
        <f>NOMINA!C45</f>
        <v>4657974</v>
      </c>
      <c r="D69" s="1103" t="str">
        <f>NOMINA!D45</f>
        <v>Balestrini Nuñez Ulises Ramon</v>
      </c>
      <c r="E69" s="1468" t="s">
        <v>4622</v>
      </c>
      <c r="F69" s="1110">
        <v>32351</v>
      </c>
      <c r="G69" s="1468" t="s">
        <v>4620</v>
      </c>
      <c r="H69" s="1442">
        <f>NOMINA!H45</f>
        <v>39463</v>
      </c>
      <c r="I69" s="1105">
        <f>NOMINA!I45</f>
        <v>17</v>
      </c>
      <c r="J69" s="1106">
        <f>NOMINA!J45</f>
        <v>0</v>
      </c>
      <c r="K69" s="1105">
        <f t="shared" ref="K69:K132" si="6">I69+J69</f>
        <v>17</v>
      </c>
      <c r="L69" s="1106" t="s">
        <v>4932</v>
      </c>
      <c r="M69" s="1106"/>
      <c r="N69" s="1443" t="str">
        <f>NOMINA!O45</f>
        <v>Promotor Cultural I</v>
      </c>
      <c r="O69" s="1106">
        <v>1.02087691000006E+18</v>
      </c>
      <c r="P69" s="1107">
        <f>NOMINA!W45</f>
        <v>88</v>
      </c>
      <c r="Q69" s="1108">
        <f>NOMINA!AG45</f>
        <v>18.649999999999999</v>
      </c>
      <c r="R69" s="1108">
        <f>NOMINA!AI45</f>
        <v>65</v>
      </c>
      <c r="S69" s="1108">
        <f>NOMINA!AK45</f>
        <v>0</v>
      </c>
      <c r="T69" s="1108">
        <f>+NOMINA!AO45</f>
        <v>0</v>
      </c>
      <c r="U69" s="1108">
        <f>+NOMINA!AQ45</f>
        <v>0</v>
      </c>
      <c r="V69" s="1108">
        <f>+NOMINA!AR45</f>
        <v>0</v>
      </c>
      <c r="W69" s="1108">
        <f>+NOMINA!AS45</f>
        <v>0</v>
      </c>
      <c r="X69" s="1108">
        <f>ROUND(NOMINA!AW45,2)</f>
        <v>0</v>
      </c>
      <c r="Y69" s="1108">
        <f>ROUND(NOMINA!AX45,2)</f>
        <v>0</v>
      </c>
      <c r="Z69" s="1108">
        <f>ROUND(NOMINA!BB45,2)+ROUND(NOMINA!BF45,2)</f>
        <v>0</v>
      </c>
      <c r="AA69" s="1108">
        <f>ROUND(NOMINA!BK45,2)*0</f>
        <v>0</v>
      </c>
      <c r="AB69" s="1108">
        <f>+NOMINA!BJ45</f>
        <v>12.5</v>
      </c>
      <c r="AC69" s="1108">
        <f>ROUND(NOMINA!BG45,2)</f>
        <v>320</v>
      </c>
      <c r="AD69" s="1711">
        <f t="shared" si="5"/>
        <v>504.15</v>
      </c>
      <c r="AF69" s="625"/>
    </row>
    <row r="70" spans="1:32" s="620" customFormat="1" ht="18" customHeight="1" thickBot="1" x14ac:dyDescent="0.25">
      <c r="A70" s="758" t="s">
        <v>2846</v>
      </c>
      <c r="B70" s="508">
        <f t="shared" ref="B70:B133" si="7">+B69+1</f>
        <v>3</v>
      </c>
      <c r="C70" s="1102">
        <f>NOMINA!C46</f>
        <v>5762861</v>
      </c>
      <c r="D70" s="1103" t="str">
        <f>NOMINA!D46</f>
        <v>Aldana Duran Delia Mercedes</v>
      </c>
      <c r="E70" s="1468" t="s">
        <v>4622</v>
      </c>
      <c r="F70" s="1110">
        <v>32351</v>
      </c>
      <c r="G70" s="1468" t="s">
        <v>4620</v>
      </c>
      <c r="H70" s="1442">
        <f>NOMINA!H46</f>
        <v>37851</v>
      </c>
      <c r="I70" s="1105">
        <f>NOMINA!I46</f>
        <v>22</v>
      </c>
      <c r="J70" s="1106">
        <f>NOMINA!J46</f>
        <v>4</v>
      </c>
      <c r="K70" s="1105">
        <f t="shared" si="6"/>
        <v>26</v>
      </c>
      <c r="L70" s="1106" t="s">
        <v>4932</v>
      </c>
      <c r="M70" s="1106"/>
      <c r="N70" s="1443" t="str">
        <f>NOMINA!O46</f>
        <v>Jefe de Centro</v>
      </c>
      <c r="O70" s="1106">
        <v>1.02087691000006E+18</v>
      </c>
      <c r="P70" s="1107">
        <f>NOMINA!W46</f>
        <v>143.5</v>
      </c>
      <c r="Q70" s="1108">
        <f>NOMINA!AG46</f>
        <v>43.05</v>
      </c>
      <c r="R70" s="1108">
        <f>NOMINA!AI46</f>
        <v>65</v>
      </c>
      <c r="S70" s="1108">
        <f>NOMINA!AK46</f>
        <v>62.89</v>
      </c>
      <c r="T70" s="1108">
        <f>+NOMINA!AO46</f>
        <v>0</v>
      </c>
      <c r="U70" s="1108">
        <f>+NOMINA!AQ46</f>
        <v>0</v>
      </c>
      <c r="V70" s="1108">
        <f>+NOMINA!AR46</f>
        <v>0</v>
      </c>
      <c r="W70" s="1108">
        <f>+NOMINA!AS46</f>
        <v>0</v>
      </c>
      <c r="X70" s="1108">
        <f>ROUND(NOMINA!AW46,2)</f>
        <v>0</v>
      </c>
      <c r="Y70" s="1108">
        <f>ROUND(NOMINA!AX46,2)</f>
        <v>0</v>
      </c>
      <c r="Z70" s="1108">
        <f>ROUND(NOMINA!BB46,2)+ROUND(NOMINA!BF46,2)</f>
        <v>0</v>
      </c>
      <c r="AA70" s="1108">
        <f>ROUND(NOMINA!BK46,2)*0</f>
        <v>0</v>
      </c>
      <c r="AB70" s="1108">
        <f>+NOMINA!BJ46</f>
        <v>12.5</v>
      </c>
      <c r="AC70" s="1108">
        <f>ROUND(NOMINA!BG46,2)</f>
        <v>320</v>
      </c>
      <c r="AD70" s="1711">
        <f t="shared" si="5"/>
        <v>646.94000000000005</v>
      </c>
      <c r="AF70" s="625"/>
    </row>
    <row r="71" spans="1:32" s="620" customFormat="1" ht="18" customHeight="1" thickBot="1" x14ac:dyDescent="0.25">
      <c r="A71" s="758" t="s">
        <v>2846</v>
      </c>
      <c r="B71" s="508">
        <f t="shared" si="7"/>
        <v>4</v>
      </c>
      <c r="C71" s="1102">
        <f>NOMINA!C47</f>
        <v>5782060</v>
      </c>
      <c r="D71" s="1103" t="str">
        <f>NOMINA!D47</f>
        <v>Linares Araujo Adolfo Jose</v>
      </c>
      <c r="E71" s="1468" t="s">
        <v>4622</v>
      </c>
      <c r="F71" s="1110">
        <v>32351</v>
      </c>
      <c r="G71" s="1468" t="s">
        <v>4620</v>
      </c>
      <c r="H71" s="1442">
        <f>NOMINA!H47</f>
        <v>39539</v>
      </c>
      <c r="I71" s="1105">
        <f>NOMINA!I47</f>
        <v>17</v>
      </c>
      <c r="J71" s="1106">
        <f>NOMINA!J47</f>
        <v>0</v>
      </c>
      <c r="K71" s="1105">
        <f t="shared" si="6"/>
        <v>17</v>
      </c>
      <c r="L71" s="1106" t="s">
        <v>4932</v>
      </c>
      <c r="M71" s="1106"/>
      <c r="N71" s="1443" t="str">
        <f>NOMINA!O47</f>
        <v>Asistente Administrativo III</v>
      </c>
      <c r="O71" s="1106">
        <v>1.02087691000006E+18</v>
      </c>
      <c r="P71" s="1107">
        <f>NOMINA!W47</f>
        <v>113</v>
      </c>
      <c r="Q71" s="1108">
        <f>NOMINA!AG47</f>
        <v>23.95</v>
      </c>
      <c r="R71" s="1108">
        <f>NOMINA!AI47</f>
        <v>65</v>
      </c>
      <c r="S71" s="1108">
        <f>NOMINA!AK47</f>
        <v>40.39</v>
      </c>
      <c r="T71" s="1108">
        <f>+NOMINA!AO47</f>
        <v>0</v>
      </c>
      <c r="U71" s="1108">
        <f>+NOMINA!AQ47</f>
        <v>0</v>
      </c>
      <c r="V71" s="1108">
        <f>+NOMINA!AR47</f>
        <v>0</v>
      </c>
      <c r="W71" s="1108">
        <f>+NOMINA!AS47</f>
        <v>0</v>
      </c>
      <c r="X71" s="1108">
        <f>ROUND(NOMINA!AW47,2)</f>
        <v>0</v>
      </c>
      <c r="Y71" s="1108">
        <f>ROUND(NOMINA!AX47,2)</f>
        <v>0</v>
      </c>
      <c r="Z71" s="1108">
        <f>ROUND(NOMINA!BB47,2)+ROUND(NOMINA!BF47,2)</f>
        <v>0</v>
      </c>
      <c r="AA71" s="1108">
        <f>ROUND(NOMINA!BK47,2)*0</f>
        <v>0</v>
      </c>
      <c r="AB71" s="1108">
        <f>+NOMINA!BJ47</f>
        <v>12.5</v>
      </c>
      <c r="AC71" s="1108">
        <f>ROUND(NOMINA!BG47,2)</f>
        <v>320</v>
      </c>
      <c r="AD71" s="1711">
        <f t="shared" si="5"/>
        <v>574.83999999999992</v>
      </c>
      <c r="AF71" s="625"/>
    </row>
    <row r="72" spans="1:32" s="620" customFormat="1" ht="18" customHeight="1" thickBot="1" x14ac:dyDescent="0.25">
      <c r="A72" s="758" t="s">
        <v>2846</v>
      </c>
      <c r="B72" s="508">
        <f t="shared" si="7"/>
        <v>5</v>
      </c>
      <c r="C72" s="1102">
        <f>NOMINA!C48</f>
        <v>5790501</v>
      </c>
      <c r="D72" s="1103" t="str">
        <f>NOMINA!D48</f>
        <v>Castellanos de Araujo Maria Eustoquia</v>
      </c>
      <c r="E72" s="1468" t="s">
        <v>4622</v>
      </c>
      <c r="F72" s="1110">
        <v>32351</v>
      </c>
      <c r="G72" s="1468" t="s">
        <v>4620</v>
      </c>
      <c r="H72" s="1442">
        <f>NOMINA!H48</f>
        <v>39707</v>
      </c>
      <c r="I72" s="1105">
        <f>NOMINA!I48</f>
        <v>17</v>
      </c>
      <c r="J72" s="1106">
        <f>NOMINA!J48</f>
        <v>3</v>
      </c>
      <c r="K72" s="1105">
        <f t="shared" si="6"/>
        <v>20</v>
      </c>
      <c r="L72" s="1106" t="s">
        <v>4932</v>
      </c>
      <c r="M72" s="1106"/>
      <c r="N72" s="1443" t="str">
        <f>NOMINA!O48</f>
        <v>Asistente de Analista III</v>
      </c>
      <c r="O72" s="1106">
        <v>1.02087691000006E+18</v>
      </c>
      <c r="P72" s="1107">
        <f>NOMINA!W48</f>
        <v>114</v>
      </c>
      <c r="Q72" s="1108">
        <f>NOMINA!AG48</f>
        <v>29.64</v>
      </c>
      <c r="R72" s="1108">
        <f>NOMINA!AI48</f>
        <v>65</v>
      </c>
      <c r="S72" s="1108">
        <f>NOMINA!AK48</f>
        <v>52.16</v>
      </c>
      <c r="T72" s="1108">
        <f>+NOMINA!AO48</f>
        <v>0</v>
      </c>
      <c r="U72" s="1108">
        <f>+NOMINA!AQ48</f>
        <v>0</v>
      </c>
      <c r="V72" s="1108">
        <f>+NOMINA!AR48</f>
        <v>0</v>
      </c>
      <c r="W72" s="1108">
        <f>+NOMINA!AS48</f>
        <v>0</v>
      </c>
      <c r="X72" s="1108">
        <f>ROUND(NOMINA!AW48,2)</f>
        <v>0</v>
      </c>
      <c r="Y72" s="1108">
        <f>ROUND(NOMINA!AX48,2)</f>
        <v>4172.8</v>
      </c>
      <c r="Z72" s="1108">
        <f>ROUND(NOMINA!BB48,2)+ROUND(NOMINA!BF48,2)</f>
        <v>0</v>
      </c>
      <c r="AA72" s="1108">
        <f>ROUND(NOMINA!BK48,2)*0</f>
        <v>0</v>
      </c>
      <c r="AB72" s="1108">
        <f>+NOMINA!BJ48</f>
        <v>12.5</v>
      </c>
      <c r="AC72" s="1108">
        <f>ROUND(NOMINA!BG48,2)</f>
        <v>320</v>
      </c>
      <c r="AD72" s="1711">
        <f t="shared" si="5"/>
        <v>4766.1000000000004</v>
      </c>
      <c r="AF72" s="625"/>
    </row>
    <row r="73" spans="1:32" s="620" customFormat="1" ht="18" customHeight="1" thickBot="1" x14ac:dyDescent="0.25">
      <c r="A73" s="758" t="s">
        <v>2846</v>
      </c>
      <c r="B73" s="508">
        <f t="shared" si="7"/>
        <v>6</v>
      </c>
      <c r="C73" s="1102">
        <f>NOMINA!C49</f>
        <v>7744688</v>
      </c>
      <c r="D73" s="1103" t="str">
        <f>NOMINA!D49</f>
        <v>Aguilera Carroz Gerardo Raul</v>
      </c>
      <c r="E73" s="1468" t="s">
        <v>4622</v>
      </c>
      <c r="F73" s="1110">
        <v>32351</v>
      </c>
      <c r="G73" s="1468" t="s">
        <v>4620</v>
      </c>
      <c r="H73" s="1442">
        <f>NOMINA!H49</f>
        <v>44713</v>
      </c>
      <c r="I73" s="1105">
        <f>NOMINA!I49</f>
        <v>3</v>
      </c>
      <c r="J73" s="1106">
        <f>NOMINA!J49</f>
        <v>0</v>
      </c>
      <c r="K73" s="1105">
        <f t="shared" si="6"/>
        <v>3</v>
      </c>
      <c r="L73" s="1106" t="s">
        <v>4932</v>
      </c>
      <c r="M73" s="1106"/>
      <c r="N73" s="1443" t="str">
        <f>NOMINA!O49</f>
        <v>Asistente Administrativo III</v>
      </c>
      <c r="O73" s="1106">
        <v>1.02087691000006E+18</v>
      </c>
      <c r="P73" s="1107">
        <f>NOMINA!W49</f>
        <v>109.5</v>
      </c>
      <c r="Q73" s="1108">
        <f>NOMINA!AG49</f>
        <v>3.28</v>
      </c>
      <c r="R73" s="1108">
        <f>NOMINA!AI49</f>
        <v>65</v>
      </c>
      <c r="S73" s="1108">
        <f>NOMINA!AK49</f>
        <v>35.549999999999997</v>
      </c>
      <c r="T73" s="1108">
        <f>+NOMINA!AO49</f>
        <v>0</v>
      </c>
      <c r="U73" s="1108">
        <f>+NOMINA!AQ49</f>
        <v>0</v>
      </c>
      <c r="V73" s="1108">
        <f>+NOMINA!AR49</f>
        <v>0</v>
      </c>
      <c r="W73" s="1108">
        <f>+NOMINA!AS49</f>
        <v>0</v>
      </c>
      <c r="X73" s="1108">
        <f>ROUND(NOMINA!AW49,2)</f>
        <v>0</v>
      </c>
      <c r="Y73" s="1108">
        <f>ROUND(NOMINA!AX49,2)</f>
        <v>0</v>
      </c>
      <c r="Z73" s="1108">
        <f>ROUND(NOMINA!BB49,2)+ROUND(NOMINA!BF49,2)</f>
        <v>0</v>
      </c>
      <c r="AA73" s="1108">
        <f>ROUND(NOMINA!BK49,2)*0</f>
        <v>0</v>
      </c>
      <c r="AB73" s="1108">
        <f>+NOMINA!BJ49</f>
        <v>12.5</v>
      </c>
      <c r="AC73" s="1108">
        <f>ROUND(NOMINA!BG49,2)</f>
        <v>320</v>
      </c>
      <c r="AD73" s="1711">
        <f t="shared" si="5"/>
        <v>545.82999999999993</v>
      </c>
      <c r="AF73" s="625"/>
    </row>
    <row r="74" spans="1:32" s="620" customFormat="1" ht="18" customHeight="1" thickBot="1" x14ac:dyDescent="0.25">
      <c r="A74" s="758" t="s">
        <v>2846</v>
      </c>
      <c r="B74" s="508">
        <f t="shared" si="7"/>
        <v>7</v>
      </c>
      <c r="C74" s="1102">
        <f>NOMINA!C50</f>
        <v>7890070</v>
      </c>
      <c r="D74" s="1103" t="str">
        <f>NOMINA!D50</f>
        <v>Pacheco Bermudez Bebsabeth Coromoto</v>
      </c>
      <c r="E74" s="1468" t="s">
        <v>4622</v>
      </c>
      <c r="F74" s="1110">
        <v>32351</v>
      </c>
      <c r="G74" s="1468" t="s">
        <v>4620</v>
      </c>
      <c r="H74" s="1442">
        <f>NOMINA!H50</f>
        <v>38930</v>
      </c>
      <c r="I74" s="1105">
        <f>NOMINA!I50</f>
        <v>19</v>
      </c>
      <c r="J74" s="1106">
        <f>NOMINA!J50</f>
        <v>5</v>
      </c>
      <c r="K74" s="1105">
        <f t="shared" si="6"/>
        <v>24</v>
      </c>
      <c r="L74" s="1106" t="s">
        <v>4932</v>
      </c>
      <c r="M74" s="1106"/>
      <c r="N74" s="1443" t="str">
        <f>NOMINA!O50</f>
        <v>Guia de Centro II</v>
      </c>
      <c r="O74" s="1106">
        <v>1.02087691000006E+18</v>
      </c>
      <c r="P74" s="1107">
        <f>NOMINA!W50</f>
        <v>88.5</v>
      </c>
      <c r="Q74" s="1108">
        <f>NOMINA!AG50</f>
        <v>26.55</v>
      </c>
      <c r="R74" s="1108">
        <f>NOMINA!AI50</f>
        <v>65</v>
      </c>
      <c r="S74" s="1108">
        <f>NOMINA!AK50</f>
        <v>0</v>
      </c>
      <c r="T74" s="1108">
        <f>+NOMINA!AO50</f>
        <v>0</v>
      </c>
      <c r="U74" s="1108">
        <f>+NOMINA!AQ50</f>
        <v>0</v>
      </c>
      <c r="V74" s="1108">
        <f>+NOMINA!AR50</f>
        <v>0</v>
      </c>
      <c r="W74" s="1108">
        <f>+NOMINA!AS50</f>
        <v>0</v>
      </c>
      <c r="X74" s="1108">
        <f>ROUND(NOMINA!AW50,2)</f>
        <v>0</v>
      </c>
      <c r="Y74" s="1108">
        <f>ROUND(NOMINA!AX50,2)</f>
        <v>0</v>
      </c>
      <c r="Z74" s="1108">
        <f>ROUND(NOMINA!BB50,2)+ROUND(NOMINA!BF50,2)</f>
        <v>0</v>
      </c>
      <c r="AA74" s="1108">
        <f>ROUND(NOMINA!BK50,2)*0</f>
        <v>0</v>
      </c>
      <c r="AB74" s="1108">
        <f>+NOMINA!BJ50</f>
        <v>12.5</v>
      </c>
      <c r="AC74" s="1108">
        <f>ROUND(NOMINA!BG50,2)</f>
        <v>320</v>
      </c>
      <c r="AD74" s="1711">
        <f t="shared" si="5"/>
        <v>512.54999999999995</v>
      </c>
      <c r="AF74" s="625"/>
    </row>
    <row r="75" spans="1:32" s="620" customFormat="1" ht="18" customHeight="1" thickBot="1" x14ac:dyDescent="0.25">
      <c r="A75" s="758" t="s">
        <v>2846</v>
      </c>
      <c r="B75" s="508">
        <f t="shared" si="7"/>
        <v>8</v>
      </c>
      <c r="C75" s="1102">
        <f>NOMINA!C51</f>
        <v>8719807</v>
      </c>
      <c r="D75" s="1103" t="str">
        <f>NOMINA!D51</f>
        <v>Perez Saavedra Isabel Teresa</v>
      </c>
      <c r="E75" s="1468" t="s">
        <v>4622</v>
      </c>
      <c r="F75" s="1110">
        <v>32351</v>
      </c>
      <c r="G75" s="1468" t="s">
        <v>4620</v>
      </c>
      <c r="H75" s="1442">
        <f>NOMINA!H51</f>
        <v>39874</v>
      </c>
      <c r="I75" s="1105">
        <f>NOMINA!I51</f>
        <v>16</v>
      </c>
      <c r="J75" s="1106">
        <f>NOMINA!J51</f>
        <v>4</v>
      </c>
      <c r="K75" s="1105">
        <f t="shared" si="6"/>
        <v>20</v>
      </c>
      <c r="L75" s="1106" t="s">
        <v>4932</v>
      </c>
      <c r="M75" s="1106"/>
      <c r="N75" s="1443" t="str">
        <f>NOMINA!O51</f>
        <v>Abogado Jefe</v>
      </c>
      <c r="O75" s="1106">
        <v>1.02087691000006E+18</v>
      </c>
      <c r="P75" s="1107">
        <f>NOMINA!W51</f>
        <v>0</v>
      </c>
      <c r="Q75" s="1108">
        <f>NOMINA!AG51</f>
        <v>0</v>
      </c>
      <c r="R75" s="1108">
        <f>NOMINA!AI51</f>
        <v>0</v>
      </c>
      <c r="S75" s="1108">
        <f>NOMINA!AK51</f>
        <v>0</v>
      </c>
      <c r="T75" s="1108">
        <f>+NOMINA!AO51</f>
        <v>0</v>
      </c>
      <c r="U75" s="1108">
        <f>+NOMINA!AQ51</f>
        <v>0</v>
      </c>
      <c r="V75" s="1108">
        <f>+NOMINA!AR51</f>
        <v>0</v>
      </c>
      <c r="W75" s="1108">
        <f>+NOMINA!AS51</f>
        <v>0</v>
      </c>
      <c r="X75" s="1108">
        <f>ROUND(NOMINA!AW51,2)</f>
        <v>0</v>
      </c>
      <c r="Y75" s="1108">
        <f>ROUND(NOMINA!AX51,2)</f>
        <v>0</v>
      </c>
      <c r="Z75" s="1108">
        <f>ROUND(NOMINA!BB51,2)+ROUND(NOMINA!BF51,2)</f>
        <v>0</v>
      </c>
      <c r="AA75" s="1108">
        <f>ROUND(NOMINA!BK51,2)*0</f>
        <v>0</v>
      </c>
      <c r="AB75" s="1108">
        <f>+NOMINA!BJ51</f>
        <v>0</v>
      </c>
      <c r="AC75" s="1108">
        <f>ROUND(NOMINA!BG51,2)</f>
        <v>0</v>
      </c>
      <c r="AD75" s="1711">
        <f t="shared" si="5"/>
        <v>0</v>
      </c>
      <c r="AF75" s="625"/>
    </row>
    <row r="76" spans="1:32" s="620" customFormat="1" ht="18" customHeight="1" thickBot="1" x14ac:dyDescent="0.25">
      <c r="A76" s="758" t="s">
        <v>2846</v>
      </c>
      <c r="B76" s="508">
        <f t="shared" si="7"/>
        <v>9</v>
      </c>
      <c r="C76" s="1102">
        <f>NOMINA!C52</f>
        <v>8266170</v>
      </c>
      <c r="D76" s="1103" t="str">
        <f>NOMINA!D52</f>
        <v>Aguana Sanchez Yraida Josefina</v>
      </c>
      <c r="E76" s="1468" t="s">
        <v>4622</v>
      </c>
      <c r="F76" s="1110">
        <v>32351</v>
      </c>
      <c r="G76" s="1468" t="s">
        <v>4620</v>
      </c>
      <c r="H76" s="1442">
        <f>NOMINA!H52</f>
        <v>45323</v>
      </c>
      <c r="I76" s="1105">
        <f>NOMINA!I52</f>
        <v>1</v>
      </c>
      <c r="J76" s="1106">
        <f>NOMINA!J52</f>
        <v>5</v>
      </c>
      <c r="K76" s="1105">
        <f t="shared" si="6"/>
        <v>6</v>
      </c>
      <c r="L76" s="1106" t="s">
        <v>4932</v>
      </c>
      <c r="M76" s="1106"/>
      <c r="N76" s="1443" t="str">
        <f>NOMINA!O52</f>
        <v>Guia de Centro I</v>
      </c>
      <c r="O76" s="1106">
        <v>1.02087691000006E+18</v>
      </c>
      <c r="P76" s="1107">
        <f>NOMINA!W52</f>
        <v>110.5</v>
      </c>
      <c r="Q76" s="1108">
        <f>NOMINA!AG52</f>
        <v>6.85</v>
      </c>
      <c r="R76" s="1108">
        <f>NOMINA!AI52</f>
        <v>65</v>
      </c>
      <c r="S76" s="1108">
        <f>NOMINA!AK52</f>
        <v>47.15</v>
      </c>
      <c r="T76" s="1108">
        <f>+NOMINA!AO52</f>
        <v>0</v>
      </c>
      <c r="U76" s="1108">
        <f>+NOMINA!AQ52</f>
        <v>0</v>
      </c>
      <c r="V76" s="1108">
        <f>+NOMINA!AR52</f>
        <v>0</v>
      </c>
      <c r="W76" s="1108">
        <f>+NOMINA!AS52</f>
        <v>0</v>
      </c>
      <c r="X76" s="1108">
        <f>ROUND(NOMINA!AW52,2)</f>
        <v>141.44999999999999</v>
      </c>
      <c r="Y76" s="1108">
        <f>ROUND(NOMINA!AX52,2)</f>
        <v>0</v>
      </c>
      <c r="Z76" s="1108">
        <f>ROUND(NOMINA!BB52,2)+ROUND(NOMINA!BF52,2)</f>
        <v>91.94</v>
      </c>
      <c r="AA76" s="1108">
        <f>ROUND(NOMINA!BK52,2)*0</f>
        <v>0</v>
      </c>
      <c r="AB76" s="1108">
        <f>+NOMINA!BJ52</f>
        <v>12.5</v>
      </c>
      <c r="AC76" s="1108">
        <f>ROUND(NOMINA!BG52,2)</f>
        <v>320</v>
      </c>
      <c r="AD76" s="1711">
        <f t="shared" si="5"/>
        <v>795.39</v>
      </c>
      <c r="AF76" s="625"/>
    </row>
    <row r="77" spans="1:32" s="620" customFormat="1" ht="18" customHeight="1" thickBot="1" x14ac:dyDescent="0.25">
      <c r="A77" s="758" t="s">
        <v>2846</v>
      </c>
      <c r="B77" s="508">
        <f t="shared" si="7"/>
        <v>10</v>
      </c>
      <c r="C77" s="1102">
        <f>NOMINA!C53</f>
        <v>9162178</v>
      </c>
      <c r="D77" s="1103" t="str">
        <f>NOMINA!D53</f>
        <v>Duarte de Bastidas Gladys Margarita</v>
      </c>
      <c r="E77" s="1468" t="s">
        <v>4622</v>
      </c>
      <c r="F77" s="1110">
        <v>32351</v>
      </c>
      <c r="G77" s="1468" t="s">
        <v>4620</v>
      </c>
      <c r="H77" s="1442">
        <f>NOMINA!H53</f>
        <v>39566</v>
      </c>
      <c r="I77" s="1105">
        <f>NOMINA!I53</f>
        <v>17</v>
      </c>
      <c r="J77" s="1106">
        <f>NOMINA!J53</f>
        <v>4</v>
      </c>
      <c r="K77" s="1105">
        <f t="shared" si="6"/>
        <v>21</v>
      </c>
      <c r="L77" s="1106" t="s">
        <v>4932</v>
      </c>
      <c r="M77" s="1106"/>
      <c r="N77" s="1443" t="str">
        <f>NOMINA!O53</f>
        <v>Guia de Centro II</v>
      </c>
      <c r="O77" s="1106">
        <v>1.02087691000006E+18</v>
      </c>
      <c r="P77" s="1107">
        <f>NOMINA!W53</f>
        <v>88.5</v>
      </c>
      <c r="Q77" s="1108">
        <f>NOMINA!AG53</f>
        <v>24.6</v>
      </c>
      <c r="R77" s="1108">
        <f>NOMINA!AI53</f>
        <v>65</v>
      </c>
      <c r="S77" s="1108">
        <f>NOMINA!AK53</f>
        <v>0</v>
      </c>
      <c r="T77" s="1108">
        <f>+NOMINA!AO53</f>
        <v>0</v>
      </c>
      <c r="U77" s="1108">
        <f>+NOMINA!AQ53</f>
        <v>0</v>
      </c>
      <c r="V77" s="1108">
        <f>+NOMINA!AR53</f>
        <v>0</v>
      </c>
      <c r="W77" s="1108">
        <f>+NOMINA!AS53</f>
        <v>0</v>
      </c>
      <c r="X77" s="1108">
        <f>ROUND(NOMINA!AW53,2)</f>
        <v>106.86</v>
      </c>
      <c r="Y77" s="1108">
        <f>ROUND(NOMINA!AX53,2)</f>
        <v>0</v>
      </c>
      <c r="Z77" s="1108">
        <f>ROUND(NOMINA!BB53,2)+ROUND(NOMINA!BF53,2)</f>
        <v>0</v>
      </c>
      <c r="AA77" s="1108">
        <f>ROUND(NOMINA!BK53,2)*0</f>
        <v>0</v>
      </c>
      <c r="AB77" s="1108">
        <f>+NOMINA!BJ53</f>
        <v>12.5</v>
      </c>
      <c r="AC77" s="1108">
        <f>ROUND(NOMINA!BG53,2)</f>
        <v>320</v>
      </c>
      <c r="AD77" s="1711">
        <f t="shared" si="5"/>
        <v>617.46</v>
      </c>
      <c r="AF77" s="625"/>
    </row>
    <row r="78" spans="1:32" s="620" customFormat="1" ht="18" customHeight="1" thickBot="1" x14ac:dyDescent="0.25">
      <c r="A78" s="758" t="s">
        <v>2846</v>
      </c>
      <c r="B78" s="508">
        <f t="shared" si="7"/>
        <v>11</v>
      </c>
      <c r="C78" s="1102">
        <f>NOMINA!C54</f>
        <v>9162243</v>
      </c>
      <c r="D78" s="1103" t="str">
        <f>NOMINA!D54</f>
        <v>Valera Borrero Marcos Tulio</v>
      </c>
      <c r="E78" s="1468" t="s">
        <v>4622</v>
      </c>
      <c r="F78" s="1110">
        <v>32351</v>
      </c>
      <c r="G78" s="1468" t="s">
        <v>4620</v>
      </c>
      <c r="H78" s="1442">
        <f>NOMINA!H54</f>
        <v>35535</v>
      </c>
      <c r="I78" s="1105">
        <f>NOMINA!I54</f>
        <v>28</v>
      </c>
      <c r="J78" s="1106">
        <f>NOMINA!J54</f>
        <v>0</v>
      </c>
      <c r="K78" s="1105">
        <f t="shared" si="6"/>
        <v>28</v>
      </c>
      <c r="L78" s="1106" t="s">
        <v>4932</v>
      </c>
      <c r="M78" s="1106"/>
      <c r="N78" s="1443" t="str">
        <f>NOMINA!O54</f>
        <v>Guia de Centro II</v>
      </c>
      <c r="O78" s="1106">
        <v>1.02087691000006E+18</v>
      </c>
      <c r="P78" s="1107">
        <f>NOMINA!W54</f>
        <v>88.5</v>
      </c>
      <c r="Q78" s="1108">
        <f>NOMINA!AG54</f>
        <v>26.55</v>
      </c>
      <c r="R78" s="1108">
        <f>NOMINA!AI54</f>
        <v>65</v>
      </c>
      <c r="S78" s="1108">
        <f>NOMINA!AK54</f>
        <v>0</v>
      </c>
      <c r="T78" s="1108">
        <f>+NOMINA!AO54</f>
        <v>0</v>
      </c>
      <c r="U78" s="1108">
        <f>+NOMINA!AQ54</f>
        <v>0</v>
      </c>
      <c r="V78" s="1108">
        <f>+NOMINA!AR54</f>
        <v>0</v>
      </c>
      <c r="W78" s="1108">
        <f>+NOMINA!AS54</f>
        <v>0</v>
      </c>
      <c r="X78" s="1108">
        <f>ROUND(NOMINA!AW54,2)</f>
        <v>0</v>
      </c>
      <c r="Y78" s="1108">
        <f>ROUND(NOMINA!AX54,2)</f>
        <v>0</v>
      </c>
      <c r="Z78" s="1108">
        <f>ROUND(NOMINA!BB54,2)+ROUND(NOMINA!BF54,2)</f>
        <v>0</v>
      </c>
      <c r="AA78" s="1108">
        <f>ROUND(NOMINA!BK54,2)*0</f>
        <v>0</v>
      </c>
      <c r="AB78" s="1108">
        <f>+NOMINA!BJ54</f>
        <v>12.5</v>
      </c>
      <c r="AC78" s="1108">
        <f>ROUND(NOMINA!BG54,2)</f>
        <v>320</v>
      </c>
      <c r="AD78" s="1711">
        <f t="shared" si="5"/>
        <v>512.54999999999995</v>
      </c>
      <c r="AF78" s="625"/>
    </row>
    <row r="79" spans="1:32" s="620" customFormat="1" ht="18" customHeight="1" thickBot="1" x14ac:dyDescent="0.25">
      <c r="A79" s="758" t="s">
        <v>2846</v>
      </c>
      <c r="B79" s="508">
        <f t="shared" si="7"/>
        <v>12</v>
      </c>
      <c r="C79" s="1102">
        <f>NOMINA!C55</f>
        <v>9170647</v>
      </c>
      <c r="D79" s="1103" t="str">
        <f>NOMINA!D55</f>
        <v>Torres Gonzalez Meris del Carmen</v>
      </c>
      <c r="E79" s="1468" t="s">
        <v>4622</v>
      </c>
      <c r="F79" s="1110">
        <v>32351</v>
      </c>
      <c r="G79" s="1468" t="s">
        <v>4620</v>
      </c>
      <c r="H79" s="1442">
        <f>NOMINA!H55</f>
        <v>39238</v>
      </c>
      <c r="I79" s="1105">
        <f>NOMINA!I55</f>
        <v>18</v>
      </c>
      <c r="J79" s="1106">
        <f>NOMINA!J55</f>
        <v>0</v>
      </c>
      <c r="K79" s="1105">
        <f t="shared" si="6"/>
        <v>18</v>
      </c>
      <c r="L79" s="1106" t="s">
        <v>4932</v>
      </c>
      <c r="M79" s="1106"/>
      <c r="N79" s="1443" t="str">
        <f>NOMINA!O55</f>
        <v>Guia de Centro II</v>
      </c>
      <c r="O79" s="1106">
        <v>1.02087691000006E+18</v>
      </c>
      <c r="P79" s="1107">
        <f>NOMINA!W55</f>
        <v>114</v>
      </c>
      <c r="Q79" s="1108">
        <f>NOMINA!AG55</f>
        <v>25.99</v>
      </c>
      <c r="R79" s="1108">
        <f>NOMINA!AI55</f>
        <v>65</v>
      </c>
      <c r="S79" s="1108">
        <f>NOMINA!AK55</f>
        <v>41</v>
      </c>
      <c r="T79" s="1108">
        <f>+NOMINA!AO55</f>
        <v>0</v>
      </c>
      <c r="U79" s="1108">
        <f>+NOMINA!AQ55</f>
        <v>0</v>
      </c>
      <c r="V79" s="1108">
        <f>+NOMINA!AR55</f>
        <v>0</v>
      </c>
      <c r="W79" s="1108">
        <f>+NOMINA!AS55</f>
        <v>0</v>
      </c>
      <c r="X79" s="1108">
        <f>ROUND(NOMINA!AW55,2)</f>
        <v>147.59</v>
      </c>
      <c r="Y79" s="1108">
        <f>ROUND(NOMINA!AX55,2)</f>
        <v>0</v>
      </c>
      <c r="Z79" s="1108">
        <f>ROUND(NOMINA!BB55,2)+ROUND(NOMINA!BF55,2)</f>
        <v>0</v>
      </c>
      <c r="AA79" s="1108">
        <f>ROUND(NOMINA!BK55,2)*0</f>
        <v>0</v>
      </c>
      <c r="AB79" s="1108">
        <f>+NOMINA!BJ55</f>
        <v>12.5</v>
      </c>
      <c r="AC79" s="1108">
        <f>ROUND(NOMINA!BG55,2)</f>
        <v>320</v>
      </c>
      <c r="AD79" s="1711">
        <f t="shared" si="5"/>
        <v>726.08</v>
      </c>
      <c r="AF79" s="625"/>
    </row>
    <row r="80" spans="1:32" s="620" customFormat="1" ht="18" customHeight="1" thickBot="1" x14ac:dyDescent="0.25">
      <c r="A80" s="758" t="s">
        <v>2846</v>
      </c>
      <c r="B80" s="508">
        <f t="shared" si="7"/>
        <v>13</v>
      </c>
      <c r="C80" s="1102">
        <f>NOMINA!C56</f>
        <v>9177323</v>
      </c>
      <c r="D80" s="1103" t="str">
        <f>NOMINA!D56</f>
        <v>Simancas de Mendoza Alix Josefina</v>
      </c>
      <c r="E80" s="1468" t="s">
        <v>4622</v>
      </c>
      <c r="F80" s="1110">
        <v>32351</v>
      </c>
      <c r="G80" s="1468" t="s">
        <v>4620</v>
      </c>
      <c r="H80" s="1442">
        <f>NOMINA!H56</f>
        <v>37879</v>
      </c>
      <c r="I80" s="1105">
        <f>NOMINA!I56</f>
        <v>22</v>
      </c>
      <c r="J80" s="1106">
        <f>NOMINA!J56</f>
        <v>0</v>
      </c>
      <c r="K80" s="1105">
        <f t="shared" si="6"/>
        <v>22</v>
      </c>
      <c r="L80" s="1106" t="s">
        <v>4932</v>
      </c>
      <c r="M80" s="1106"/>
      <c r="N80" s="1443" t="str">
        <f>NOMINA!O56</f>
        <v>Asistente Administrativo III</v>
      </c>
      <c r="O80" s="1106">
        <v>1.02087691000006E+18</v>
      </c>
      <c r="P80" s="1107">
        <f>NOMINA!W56</f>
        <v>88.5</v>
      </c>
      <c r="Q80" s="1108">
        <f>NOMINA!AG56</f>
        <v>26.19</v>
      </c>
      <c r="R80" s="1108">
        <f>NOMINA!AI56</f>
        <v>65</v>
      </c>
      <c r="S80" s="1108">
        <f>NOMINA!AK56</f>
        <v>0</v>
      </c>
      <c r="T80" s="1108">
        <f>+NOMINA!AO56</f>
        <v>0</v>
      </c>
      <c r="U80" s="1108">
        <f>+NOMINA!AQ56</f>
        <v>0</v>
      </c>
      <c r="V80" s="1108">
        <f>+NOMINA!AR56</f>
        <v>0</v>
      </c>
      <c r="W80" s="1108">
        <f>+NOMINA!AS56</f>
        <v>0</v>
      </c>
      <c r="X80" s="1108">
        <f>ROUND(NOMINA!AW56,2)</f>
        <v>0</v>
      </c>
      <c r="Y80" s="1108">
        <f>ROUND(NOMINA!AX56,2)</f>
        <v>2875.12</v>
      </c>
      <c r="Z80" s="1108">
        <f>ROUND(NOMINA!BB56,2)+ROUND(NOMINA!BF56,2)</f>
        <v>0</v>
      </c>
      <c r="AA80" s="1108">
        <f>ROUND(NOMINA!BK56,2)*0</f>
        <v>0</v>
      </c>
      <c r="AB80" s="1108">
        <f>+NOMINA!BJ56</f>
        <v>12.5</v>
      </c>
      <c r="AC80" s="1108">
        <f>ROUND(NOMINA!BG56,2)</f>
        <v>320</v>
      </c>
      <c r="AD80" s="1711">
        <f t="shared" si="5"/>
        <v>3387.31</v>
      </c>
      <c r="AF80" s="625"/>
    </row>
    <row r="81" spans="1:32" s="620" customFormat="1" ht="18" customHeight="1" thickBot="1" x14ac:dyDescent="0.25">
      <c r="A81" s="758" t="s">
        <v>2846</v>
      </c>
      <c r="B81" s="508">
        <f t="shared" si="7"/>
        <v>14</v>
      </c>
      <c r="C81" s="1102">
        <f>NOMINA!C57</f>
        <v>9178087</v>
      </c>
      <c r="D81" s="1103" t="str">
        <f>NOMINA!D57</f>
        <v>Saavedra Juan Jose</v>
      </c>
      <c r="E81" s="1468" t="s">
        <v>4622</v>
      </c>
      <c r="F81" s="1110">
        <v>32351</v>
      </c>
      <c r="G81" s="1468" t="s">
        <v>4620</v>
      </c>
      <c r="H81" s="1442">
        <f>NOMINA!H57</f>
        <v>37622</v>
      </c>
      <c r="I81" s="1105">
        <f>NOMINA!I57</f>
        <v>22</v>
      </c>
      <c r="J81" s="1106">
        <f>NOMINA!J57</f>
        <v>0</v>
      </c>
      <c r="K81" s="1105">
        <f t="shared" si="6"/>
        <v>22</v>
      </c>
      <c r="L81" s="1106" t="s">
        <v>4932</v>
      </c>
      <c r="M81" s="1106"/>
      <c r="N81" s="1443" t="str">
        <f>NOMINA!O57</f>
        <v>Asistente Administrativo III</v>
      </c>
      <c r="O81" s="1106">
        <v>1.02087691000006E+18</v>
      </c>
      <c r="P81" s="1107">
        <f>NOMINA!W57</f>
        <v>88.5</v>
      </c>
      <c r="Q81" s="1108">
        <f>NOMINA!AG57</f>
        <v>26.19</v>
      </c>
      <c r="R81" s="1108">
        <f>NOMINA!AI57</f>
        <v>65</v>
      </c>
      <c r="S81" s="1108">
        <f>NOMINA!AK57</f>
        <v>0</v>
      </c>
      <c r="T81" s="1108">
        <f>+NOMINA!AO57</f>
        <v>0</v>
      </c>
      <c r="U81" s="1108">
        <f>+NOMINA!AQ57</f>
        <v>0</v>
      </c>
      <c r="V81" s="1108">
        <f>+NOMINA!AR57</f>
        <v>0</v>
      </c>
      <c r="W81" s="1108">
        <f>+NOMINA!AS57</f>
        <v>0</v>
      </c>
      <c r="X81" s="1108">
        <f>ROUND(NOMINA!AW57,2)</f>
        <v>0</v>
      </c>
      <c r="Y81" s="1108">
        <f>ROUND(NOMINA!AX57,2)</f>
        <v>0</v>
      </c>
      <c r="Z81" s="1108">
        <f>ROUND(NOMINA!BB57,2)+ROUND(NOMINA!BF57,2)</f>
        <v>0</v>
      </c>
      <c r="AA81" s="1108">
        <f>ROUND(NOMINA!BK57,2)*0</f>
        <v>0</v>
      </c>
      <c r="AB81" s="1108">
        <f>+NOMINA!BJ57</f>
        <v>12.5</v>
      </c>
      <c r="AC81" s="1108">
        <f>ROUND(NOMINA!BG57,2)</f>
        <v>320</v>
      </c>
      <c r="AD81" s="1711">
        <f t="shared" si="5"/>
        <v>512.19000000000005</v>
      </c>
      <c r="AF81" s="625"/>
    </row>
    <row r="82" spans="1:32" s="620" customFormat="1" ht="18" customHeight="1" thickBot="1" x14ac:dyDescent="0.25">
      <c r="A82" s="758" t="s">
        <v>2846</v>
      </c>
      <c r="B82" s="508">
        <f t="shared" si="7"/>
        <v>15</v>
      </c>
      <c r="C82" s="1102">
        <f>NOMINA!C58</f>
        <v>9179981</v>
      </c>
      <c r="D82" s="1103" t="str">
        <f>NOMINA!D58</f>
        <v>Manzanilla Molina Alfredo Jose</v>
      </c>
      <c r="E82" s="1468" t="s">
        <v>4622</v>
      </c>
      <c r="F82" s="1110">
        <v>32351</v>
      </c>
      <c r="G82" s="1468" t="s">
        <v>4620</v>
      </c>
      <c r="H82" s="1442">
        <f>NOMINA!H58</f>
        <v>45597</v>
      </c>
      <c r="I82" s="1105">
        <f>NOMINA!I58</f>
        <v>0</v>
      </c>
      <c r="J82" s="1106">
        <f>NOMINA!J58</f>
        <v>18</v>
      </c>
      <c r="K82" s="1105">
        <f t="shared" si="6"/>
        <v>18</v>
      </c>
      <c r="L82" s="1106" t="s">
        <v>4932</v>
      </c>
      <c r="M82" s="1106"/>
      <c r="N82" s="1443" t="str">
        <f>NOMINA!O58</f>
        <v>Instructor Agropecuario III</v>
      </c>
      <c r="O82" s="1106">
        <v>1.02087691000006E+18</v>
      </c>
      <c r="P82" s="1107">
        <f>NOMINA!W58</f>
        <v>88.5</v>
      </c>
      <c r="Q82" s="1108">
        <f>NOMINA!AG58</f>
        <v>20.18</v>
      </c>
      <c r="R82" s="1108">
        <f>NOMINA!AI58</f>
        <v>65</v>
      </c>
      <c r="S82" s="1108">
        <f>NOMINA!AK58</f>
        <v>43.42</v>
      </c>
      <c r="T82" s="1108">
        <f>+NOMINA!AO58</f>
        <v>0</v>
      </c>
      <c r="U82" s="1108">
        <f>+NOMINA!AQ58</f>
        <v>0</v>
      </c>
      <c r="V82" s="1108">
        <f>+NOMINA!AR58</f>
        <v>0</v>
      </c>
      <c r="W82" s="1108">
        <f>+NOMINA!AS58</f>
        <v>0</v>
      </c>
      <c r="X82" s="1108">
        <f>ROUND(NOMINA!AW58,2)</f>
        <v>0</v>
      </c>
      <c r="Y82" s="1108">
        <f>ROUND(NOMINA!AX58,2)</f>
        <v>0</v>
      </c>
      <c r="Z82" s="1108">
        <f>ROUND(NOMINA!BB58,2)+ROUND(NOMINA!BF58,2)</f>
        <v>0</v>
      </c>
      <c r="AA82" s="1108">
        <f>ROUND(NOMINA!BK58,2)*0</f>
        <v>0</v>
      </c>
      <c r="AB82" s="1108">
        <f>+NOMINA!BJ58</f>
        <v>12.5</v>
      </c>
      <c r="AC82" s="1108">
        <f>ROUND(NOMINA!BG58,2)</f>
        <v>320</v>
      </c>
      <c r="AD82" s="1711">
        <f t="shared" si="5"/>
        <v>549.6</v>
      </c>
      <c r="AF82" s="625"/>
    </row>
    <row r="83" spans="1:32" s="620" customFormat="1" ht="18" customHeight="1" thickBot="1" x14ac:dyDescent="0.25">
      <c r="A83" s="758" t="s">
        <v>2846</v>
      </c>
      <c r="B83" s="508">
        <f t="shared" si="7"/>
        <v>16</v>
      </c>
      <c r="C83" s="1102">
        <f>NOMINA!C59</f>
        <v>9311822</v>
      </c>
      <c r="D83" s="1103" t="str">
        <f>NOMINA!D59</f>
        <v>Rojo Sanchez Alexis Omar</v>
      </c>
      <c r="E83" s="1468" t="s">
        <v>4622</v>
      </c>
      <c r="F83" s="1110">
        <v>32351</v>
      </c>
      <c r="G83" s="1468" t="s">
        <v>4620</v>
      </c>
      <c r="H83" s="1442">
        <f>NOMINA!H59</f>
        <v>37662</v>
      </c>
      <c r="I83" s="1105">
        <f>NOMINA!I59</f>
        <v>22</v>
      </c>
      <c r="J83" s="1106">
        <f>NOMINA!J59</f>
        <v>0</v>
      </c>
      <c r="K83" s="1105">
        <f t="shared" si="6"/>
        <v>22</v>
      </c>
      <c r="L83" s="1106" t="s">
        <v>4932</v>
      </c>
      <c r="M83" s="1106"/>
      <c r="N83" s="1443" t="str">
        <f>NOMINA!O59</f>
        <v>Asistente Administrativo III</v>
      </c>
      <c r="O83" s="1106">
        <v>1.02087691000006E+18</v>
      </c>
      <c r="P83" s="1107">
        <f>NOMINA!W59</f>
        <v>0</v>
      </c>
      <c r="Q83" s="1108">
        <f>NOMINA!AG59</f>
        <v>0</v>
      </c>
      <c r="R83" s="1108">
        <f>NOMINA!AI59</f>
        <v>0</v>
      </c>
      <c r="S83" s="1108">
        <f>NOMINA!AK59</f>
        <v>0</v>
      </c>
      <c r="T83" s="1108">
        <f>+NOMINA!AO59</f>
        <v>0</v>
      </c>
      <c r="U83" s="1108">
        <f>+NOMINA!AQ59</f>
        <v>0</v>
      </c>
      <c r="V83" s="1108">
        <f>+NOMINA!AR59</f>
        <v>0</v>
      </c>
      <c r="W83" s="1108">
        <f>+NOMINA!AS59</f>
        <v>0</v>
      </c>
      <c r="X83" s="1108">
        <f>ROUND(NOMINA!AW59,2)</f>
        <v>0</v>
      </c>
      <c r="Y83" s="1108">
        <f>ROUND(NOMINA!AX59,2)</f>
        <v>0</v>
      </c>
      <c r="Z83" s="1108">
        <f>ROUND(NOMINA!BB59,2)+ROUND(NOMINA!BF59,2)</f>
        <v>0</v>
      </c>
      <c r="AA83" s="1108">
        <f>ROUND(NOMINA!BK59,2)*0</f>
        <v>0</v>
      </c>
      <c r="AB83" s="1108">
        <f>+NOMINA!BJ59</f>
        <v>0</v>
      </c>
      <c r="AC83" s="1108">
        <f>ROUND(NOMINA!BG59,2)</f>
        <v>0</v>
      </c>
      <c r="AD83" s="1711">
        <f t="shared" si="5"/>
        <v>0</v>
      </c>
      <c r="AF83" s="625"/>
    </row>
    <row r="84" spans="1:32" s="620" customFormat="1" ht="18" customHeight="1" thickBot="1" x14ac:dyDescent="0.25">
      <c r="A84" s="758" t="s">
        <v>2846</v>
      </c>
      <c r="B84" s="508">
        <f t="shared" si="7"/>
        <v>17</v>
      </c>
      <c r="C84" s="1102">
        <f>NOMINA!C60</f>
        <v>9315117</v>
      </c>
      <c r="D84" s="1103" t="str">
        <f>NOMINA!D60</f>
        <v>Palma de Briceño Sonia Josefina</v>
      </c>
      <c r="E84" s="1468" t="s">
        <v>4622</v>
      </c>
      <c r="F84" s="1110">
        <v>32351</v>
      </c>
      <c r="G84" s="1468" t="s">
        <v>4620</v>
      </c>
      <c r="H84" s="1442">
        <f>NOMINA!H60</f>
        <v>38412</v>
      </c>
      <c r="I84" s="1105">
        <f>NOMINA!I60</f>
        <v>20</v>
      </c>
      <c r="J84" s="1106">
        <f>NOMINA!J60</f>
        <v>0</v>
      </c>
      <c r="K84" s="1105">
        <f t="shared" si="6"/>
        <v>20</v>
      </c>
      <c r="L84" s="1106" t="s">
        <v>4932</v>
      </c>
      <c r="M84" s="1106"/>
      <c r="N84" s="1443" t="str">
        <f>NOMINA!O60</f>
        <v>Analista de Personal V</v>
      </c>
      <c r="O84" s="1106">
        <v>1.02087691000006E+18</v>
      </c>
      <c r="P84" s="1107">
        <f>NOMINA!W60</f>
        <v>143.5</v>
      </c>
      <c r="Q84" s="1108">
        <f>NOMINA!AG60</f>
        <v>37.31</v>
      </c>
      <c r="R84" s="1108">
        <f>NOMINA!AI60</f>
        <v>65</v>
      </c>
      <c r="S84" s="1108">
        <f>NOMINA!AK60</f>
        <v>61.45</v>
      </c>
      <c r="T84" s="1108">
        <f>+NOMINA!AO60</f>
        <v>0</v>
      </c>
      <c r="U84" s="1108">
        <f>+NOMINA!AQ60</f>
        <v>0</v>
      </c>
      <c r="V84" s="1108">
        <f>+NOMINA!AR60</f>
        <v>0</v>
      </c>
      <c r="W84" s="1108">
        <f>+NOMINA!AS60</f>
        <v>0</v>
      </c>
      <c r="X84" s="1108">
        <f>ROUND(NOMINA!AW60,2)</f>
        <v>0</v>
      </c>
      <c r="Y84" s="1108">
        <f>ROUND(NOMINA!AX60,2)</f>
        <v>0</v>
      </c>
      <c r="Z84" s="1108">
        <f>ROUND(NOMINA!BB60,2)+ROUND(NOMINA!BF60,2)</f>
        <v>0</v>
      </c>
      <c r="AA84" s="1108">
        <f>ROUND(NOMINA!BK60,2)*0</f>
        <v>0</v>
      </c>
      <c r="AB84" s="1108">
        <f>+NOMINA!BJ60</f>
        <v>12.5</v>
      </c>
      <c r="AC84" s="1108">
        <f>ROUND(NOMINA!BG60,2)</f>
        <v>320</v>
      </c>
      <c r="AD84" s="1711">
        <f t="shared" si="5"/>
        <v>639.76</v>
      </c>
      <c r="AF84" s="625"/>
    </row>
    <row r="85" spans="1:32" s="620" customFormat="1" ht="18" customHeight="1" thickBot="1" x14ac:dyDescent="0.25">
      <c r="A85" s="758" t="s">
        <v>2846</v>
      </c>
      <c r="B85" s="508">
        <f t="shared" si="7"/>
        <v>18</v>
      </c>
      <c r="C85" s="1102">
        <f>NOMINA!C61</f>
        <v>9315325</v>
      </c>
      <c r="D85" s="1103" t="str">
        <f>NOMINA!D61</f>
        <v>Gonzalez Hernandez Marianela</v>
      </c>
      <c r="E85" s="1468" t="s">
        <v>4622</v>
      </c>
      <c r="F85" s="1110">
        <v>32351</v>
      </c>
      <c r="G85" s="1468" t="s">
        <v>4620</v>
      </c>
      <c r="H85" s="1442">
        <f>NOMINA!H61</f>
        <v>39678</v>
      </c>
      <c r="I85" s="1105">
        <f>NOMINA!I61</f>
        <v>17</v>
      </c>
      <c r="J85" s="1106">
        <f>NOMINA!J61</f>
        <v>2</v>
      </c>
      <c r="K85" s="1105">
        <f t="shared" si="6"/>
        <v>19</v>
      </c>
      <c r="L85" s="1106" t="s">
        <v>4932</v>
      </c>
      <c r="M85" s="1106"/>
      <c r="N85" s="1443" t="str">
        <f>NOMINA!O61</f>
        <v>Asistente Administrativo IV</v>
      </c>
      <c r="O85" s="1106">
        <v>1.02087691000006E+18</v>
      </c>
      <c r="P85" s="1107">
        <f>NOMINA!W61</f>
        <v>114</v>
      </c>
      <c r="Q85" s="1108">
        <f>NOMINA!AG61</f>
        <v>27.81</v>
      </c>
      <c r="R85" s="1108">
        <f>NOMINA!AI61</f>
        <v>65</v>
      </c>
      <c r="S85" s="1108">
        <f>NOMINA!AK61</f>
        <v>41.36</v>
      </c>
      <c r="T85" s="1108">
        <f>+NOMINA!AO61</f>
        <v>0</v>
      </c>
      <c r="U85" s="1108">
        <f>+NOMINA!AQ61</f>
        <v>0</v>
      </c>
      <c r="V85" s="1108">
        <f>+NOMINA!AR61</f>
        <v>0</v>
      </c>
      <c r="W85" s="1108">
        <f>+NOMINA!AS61</f>
        <v>0</v>
      </c>
      <c r="X85" s="1108">
        <f>ROUND(NOMINA!AW61,2)</f>
        <v>0</v>
      </c>
      <c r="Y85" s="1108">
        <f>ROUND(NOMINA!AX61,2)</f>
        <v>0</v>
      </c>
      <c r="Z85" s="1108">
        <f>ROUND(NOMINA!BB61,2)+ROUND(NOMINA!BF61,2)</f>
        <v>0</v>
      </c>
      <c r="AA85" s="1108">
        <f>ROUND(NOMINA!BK61,2)*0</f>
        <v>0</v>
      </c>
      <c r="AB85" s="1108">
        <f>+NOMINA!BJ61</f>
        <v>12.5</v>
      </c>
      <c r="AC85" s="1108">
        <f>ROUND(NOMINA!BG61,2)</f>
        <v>320</v>
      </c>
      <c r="AD85" s="1711">
        <f t="shared" si="5"/>
        <v>580.67000000000007</v>
      </c>
      <c r="AF85" s="625"/>
    </row>
    <row r="86" spans="1:32" s="620" customFormat="1" ht="18" customHeight="1" thickBot="1" x14ac:dyDescent="0.25">
      <c r="A86" s="758" t="s">
        <v>2846</v>
      </c>
      <c r="B86" s="508">
        <f t="shared" si="7"/>
        <v>19</v>
      </c>
      <c r="C86" s="1102">
        <f>NOMINA!C62</f>
        <v>9316224</v>
      </c>
      <c r="D86" s="1103" t="str">
        <f>NOMINA!D62</f>
        <v>Sanchez Barrios Magalis del Carmen</v>
      </c>
      <c r="E86" s="1468" t="s">
        <v>4622</v>
      </c>
      <c r="F86" s="1110">
        <v>32351</v>
      </c>
      <c r="G86" s="1468" t="s">
        <v>4620</v>
      </c>
      <c r="H86" s="1442">
        <f>NOMINA!H62</f>
        <v>44317</v>
      </c>
      <c r="I86" s="1105">
        <f>NOMINA!I62</f>
        <v>4</v>
      </c>
      <c r="J86" s="1106">
        <f>NOMINA!J62</f>
        <v>0</v>
      </c>
      <c r="K86" s="1105">
        <f t="shared" si="6"/>
        <v>4</v>
      </c>
      <c r="L86" s="1106" t="s">
        <v>4932</v>
      </c>
      <c r="M86" s="1106"/>
      <c r="N86" s="1443" t="str">
        <f>NOMINA!O62</f>
        <v>Tecnico Superior en Trabajo Social II</v>
      </c>
      <c r="O86" s="1106">
        <v>1.02087691000006E+18</v>
      </c>
      <c r="P86" s="1107">
        <f>NOMINA!W62</f>
        <v>109.5</v>
      </c>
      <c r="Q86" s="1108">
        <f>NOMINA!AG62</f>
        <v>4.38</v>
      </c>
      <c r="R86" s="1108">
        <f>NOMINA!AI62</f>
        <v>65</v>
      </c>
      <c r="S86" s="1108">
        <f>NOMINA!AK62</f>
        <v>35.770000000000003</v>
      </c>
      <c r="T86" s="1108">
        <f>+NOMINA!AO62</f>
        <v>0</v>
      </c>
      <c r="U86" s="1108">
        <f>+NOMINA!AQ62</f>
        <v>0</v>
      </c>
      <c r="V86" s="1108">
        <f>+NOMINA!AR62</f>
        <v>0</v>
      </c>
      <c r="W86" s="1108">
        <f>+NOMINA!AS62</f>
        <v>0</v>
      </c>
      <c r="X86" s="1108">
        <f>ROUND(NOMINA!AW62,2)</f>
        <v>0</v>
      </c>
      <c r="Y86" s="1108">
        <f>ROUND(NOMINA!AX62,2)</f>
        <v>0</v>
      </c>
      <c r="Z86" s="1108">
        <f>ROUND(NOMINA!BB62,2)+ROUND(NOMINA!BF62,2)</f>
        <v>0</v>
      </c>
      <c r="AA86" s="1108">
        <f>ROUND(NOMINA!BK62,2)*0</f>
        <v>0</v>
      </c>
      <c r="AB86" s="1108">
        <f>+NOMINA!BJ62</f>
        <v>12.5</v>
      </c>
      <c r="AC86" s="1108">
        <f>ROUND(NOMINA!BG62,2)</f>
        <v>320</v>
      </c>
      <c r="AD86" s="1711">
        <f t="shared" si="5"/>
        <v>547.15</v>
      </c>
      <c r="AF86" s="625"/>
    </row>
    <row r="87" spans="1:32" s="620" customFormat="1" ht="18" customHeight="1" thickBot="1" x14ac:dyDescent="0.25">
      <c r="A87" s="758" t="s">
        <v>2846</v>
      </c>
      <c r="B87" s="508">
        <f t="shared" si="7"/>
        <v>20</v>
      </c>
      <c r="C87" s="1102">
        <f>NOMINA!C63</f>
        <v>9323927</v>
      </c>
      <c r="D87" s="1103" t="str">
        <f>NOMINA!D63</f>
        <v>Cardozo Garcia Jorge Antonio</v>
      </c>
      <c r="E87" s="1468" t="s">
        <v>4622</v>
      </c>
      <c r="F87" s="1110">
        <v>32351</v>
      </c>
      <c r="G87" s="1468" t="s">
        <v>4620</v>
      </c>
      <c r="H87" s="1442">
        <f>NOMINA!H63</f>
        <v>35704</v>
      </c>
      <c r="I87" s="1105">
        <f>NOMINA!I63</f>
        <v>27</v>
      </c>
      <c r="J87" s="1106">
        <f>NOMINA!J63</f>
        <v>0</v>
      </c>
      <c r="K87" s="1105">
        <f t="shared" si="6"/>
        <v>27</v>
      </c>
      <c r="L87" s="1106" t="s">
        <v>4932</v>
      </c>
      <c r="M87" s="1106"/>
      <c r="N87" s="1443" t="str">
        <f>NOMINA!O63</f>
        <v>Guia de Centro II</v>
      </c>
      <c r="O87" s="1106">
        <v>1.02087691000006E+18</v>
      </c>
      <c r="P87" s="1107">
        <f>NOMINA!W63</f>
        <v>88.5</v>
      </c>
      <c r="Q87" s="1108">
        <f>NOMINA!AG63</f>
        <v>26.55</v>
      </c>
      <c r="R87" s="1108">
        <f>NOMINA!AI63</f>
        <v>65</v>
      </c>
      <c r="S87" s="1108">
        <f>NOMINA!AK63</f>
        <v>0</v>
      </c>
      <c r="T87" s="1108">
        <f>+NOMINA!AO63</f>
        <v>0</v>
      </c>
      <c r="U87" s="1108">
        <f>+NOMINA!AQ63</f>
        <v>0</v>
      </c>
      <c r="V87" s="1108">
        <f>+NOMINA!AR63</f>
        <v>0</v>
      </c>
      <c r="W87" s="1108">
        <f>+NOMINA!AS63</f>
        <v>0</v>
      </c>
      <c r="X87" s="1108">
        <f>ROUND(NOMINA!AW63,2)</f>
        <v>0</v>
      </c>
      <c r="Y87" s="1108">
        <f>ROUND(NOMINA!AX63,2)</f>
        <v>0</v>
      </c>
      <c r="Z87" s="1108">
        <f>ROUND(NOMINA!BB63,2)+ROUND(NOMINA!BF63,2)</f>
        <v>0</v>
      </c>
      <c r="AA87" s="1108">
        <f>ROUND(NOMINA!BK63,2)*0</f>
        <v>0</v>
      </c>
      <c r="AB87" s="1108">
        <f>+NOMINA!BJ63</f>
        <v>12.5</v>
      </c>
      <c r="AC87" s="1108">
        <f>ROUND(NOMINA!BG63,2)</f>
        <v>320</v>
      </c>
      <c r="AD87" s="1711">
        <f t="shared" si="5"/>
        <v>512.54999999999995</v>
      </c>
      <c r="AF87" s="625"/>
    </row>
    <row r="88" spans="1:32" s="620" customFormat="1" ht="18" customHeight="1" thickBot="1" x14ac:dyDescent="0.25">
      <c r="A88" s="758" t="s">
        <v>2846</v>
      </c>
      <c r="B88" s="508">
        <f t="shared" si="7"/>
        <v>21</v>
      </c>
      <c r="C88" s="1102">
        <f>NOMINA!C64</f>
        <v>9327253</v>
      </c>
      <c r="D88" s="1103" t="str">
        <f>NOMINA!D64</f>
        <v>Garcia Araujo Jose Domingo</v>
      </c>
      <c r="E88" s="1468" t="s">
        <v>4622</v>
      </c>
      <c r="F88" s="1110">
        <v>32351</v>
      </c>
      <c r="G88" s="1468" t="s">
        <v>4620</v>
      </c>
      <c r="H88" s="1442">
        <f>NOMINA!H64</f>
        <v>38930</v>
      </c>
      <c r="I88" s="1105">
        <f>NOMINA!I64</f>
        <v>19</v>
      </c>
      <c r="J88" s="1106">
        <f>NOMINA!J64</f>
        <v>0</v>
      </c>
      <c r="K88" s="1105">
        <f t="shared" si="6"/>
        <v>19</v>
      </c>
      <c r="L88" s="1106" t="s">
        <v>4932</v>
      </c>
      <c r="M88" s="1106"/>
      <c r="N88" s="1443" t="str">
        <f>NOMINA!O64</f>
        <v>Analista de Presupuesto III</v>
      </c>
      <c r="O88" s="1106">
        <v>1.02087691000006E+18</v>
      </c>
      <c r="P88" s="1107">
        <f>NOMINA!W64</f>
        <v>143.5</v>
      </c>
      <c r="Q88" s="1108">
        <f>NOMINA!AG64</f>
        <v>35.01</v>
      </c>
      <c r="R88" s="1108">
        <f>NOMINA!AI64</f>
        <v>65</v>
      </c>
      <c r="S88" s="1108">
        <f>NOMINA!AK64</f>
        <v>0</v>
      </c>
      <c r="T88" s="1108">
        <f>+NOMINA!AO64</f>
        <v>0</v>
      </c>
      <c r="U88" s="1108">
        <f>+NOMINA!AQ64</f>
        <v>0</v>
      </c>
      <c r="V88" s="1108">
        <f>+NOMINA!AR64</f>
        <v>0</v>
      </c>
      <c r="W88" s="1108">
        <f>+NOMINA!AS64</f>
        <v>0</v>
      </c>
      <c r="X88" s="1108">
        <f>ROUND(NOMINA!AW64,2)</f>
        <v>0</v>
      </c>
      <c r="Y88" s="1108">
        <f>ROUND(NOMINA!AX64,2)</f>
        <v>0</v>
      </c>
      <c r="Z88" s="1108">
        <f>ROUND(NOMINA!BB64,2)+ROUND(NOMINA!BF64,2)</f>
        <v>0</v>
      </c>
      <c r="AA88" s="1108">
        <f>ROUND(NOMINA!BK64,2)*0</f>
        <v>0</v>
      </c>
      <c r="AB88" s="1108">
        <f>+NOMINA!BJ64</f>
        <v>12.5</v>
      </c>
      <c r="AC88" s="1108">
        <f>ROUND(NOMINA!BG64,2)</f>
        <v>320</v>
      </c>
      <c r="AD88" s="1711">
        <f t="shared" si="5"/>
        <v>576.01</v>
      </c>
      <c r="AF88" s="625"/>
    </row>
    <row r="89" spans="1:32" s="620" customFormat="1" ht="18" customHeight="1" thickBot="1" x14ac:dyDescent="0.25">
      <c r="A89" s="758" t="s">
        <v>2846</v>
      </c>
      <c r="B89" s="508">
        <f t="shared" si="7"/>
        <v>22</v>
      </c>
      <c r="C89" s="1102">
        <f>NOMINA!C65</f>
        <v>9328157</v>
      </c>
      <c r="D89" s="1103" t="str">
        <f>NOMINA!D65</f>
        <v>Perez Salas Olga Margarita</v>
      </c>
      <c r="E89" s="1468" t="s">
        <v>4622</v>
      </c>
      <c r="F89" s="1110">
        <v>32351</v>
      </c>
      <c r="G89" s="1468" t="s">
        <v>4620</v>
      </c>
      <c r="H89" s="1442">
        <f>NOMINA!H65</f>
        <v>41153</v>
      </c>
      <c r="I89" s="1105">
        <f>NOMINA!I65</f>
        <v>13</v>
      </c>
      <c r="J89" s="1106">
        <f>NOMINA!J65</f>
        <v>0</v>
      </c>
      <c r="K89" s="1105">
        <f t="shared" si="6"/>
        <v>13</v>
      </c>
      <c r="L89" s="1106" t="s">
        <v>4932</v>
      </c>
      <c r="M89" s="1106"/>
      <c r="N89" s="1443" t="str">
        <f>NOMINA!O65</f>
        <v>Guia de Centro II</v>
      </c>
      <c r="O89" s="1106">
        <v>1.02087691000006E+18</v>
      </c>
      <c r="P89" s="1107">
        <f>NOMINA!W65</f>
        <v>87</v>
      </c>
      <c r="Q89" s="1108">
        <f>NOMINA!AG65</f>
        <v>13.22</v>
      </c>
      <c r="R89" s="1108">
        <f>NOMINA!AI65</f>
        <v>65</v>
      </c>
      <c r="S89" s="1108">
        <f>NOMINA!AK65</f>
        <v>0</v>
      </c>
      <c r="T89" s="1108">
        <f>+NOMINA!AO65</f>
        <v>0</v>
      </c>
      <c r="U89" s="1108">
        <f>+NOMINA!AQ65</f>
        <v>0</v>
      </c>
      <c r="V89" s="1108">
        <f>+NOMINA!AR65</f>
        <v>0</v>
      </c>
      <c r="W89" s="1108">
        <f>+NOMINA!AS65</f>
        <v>0</v>
      </c>
      <c r="X89" s="1108">
        <f>ROUND(NOMINA!AW65,2)</f>
        <v>0</v>
      </c>
      <c r="Y89" s="1108">
        <f>ROUND(NOMINA!AX65,2)</f>
        <v>2643.6</v>
      </c>
      <c r="Z89" s="1108">
        <f>ROUND(NOMINA!BB65,2)+ROUND(NOMINA!BF65,2)</f>
        <v>0</v>
      </c>
      <c r="AA89" s="1108">
        <f>ROUND(NOMINA!BK65,2)*0</f>
        <v>0</v>
      </c>
      <c r="AB89" s="1108">
        <f>+NOMINA!BJ65</f>
        <v>12.5</v>
      </c>
      <c r="AC89" s="1108">
        <f>ROUND(NOMINA!BG65,2)</f>
        <v>320</v>
      </c>
      <c r="AD89" s="1711">
        <f t="shared" si="5"/>
        <v>3141.3199999999997</v>
      </c>
      <c r="AF89" s="625"/>
    </row>
    <row r="90" spans="1:32" s="620" customFormat="1" ht="18" customHeight="1" thickBot="1" x14ac:dyDescent="0.25">
      <c r="A90" s="758" t="s">
        <v>2846</v>
      </c>
      <c r="B90" s="508">
        <f t="shared" si="7"/>
        <v>23</v>
      </c>
      <c r="C90" s="1102">
        <f>NOMINA!C66</f>
        <v>9328224</v>
      </c>
      <c r="D90" s="1103" t="str">
        <f>NOMINA!D66</f>
        <v>Abreu Araujo Omar Antonio</v>
      </c>
      <c r="E90" s="1468" t="s">
        <v>4622</v>
      </c>
      <c r="F90" s="1110">
        <v>32351</v>
      </c>
      <c r="G90" s="1468" t="s">
        <v>4620</v>
      </c>
      <c r="H90" s="1442">
        <f>NOMINA!H66</f>
        <v>39356</v>
      </c>
      <c r="I90" s="1105">
        <f>NOMINA!I66</f>
        <v>17</v>
      </c>
      <c r="J90" s="1106">
        <f>NOMINA!J66</f>
        <v>2</v>
      </c>
      <c r="K90" s="1105">
        <f t="shared" si="6"/>
        <v>19</v>
      </c>
      <c r="L90" s="1106" t="s">
        <v>4932</v>
      </c>
      <c r="M90" s="1106"/>
      <c r="N90" s="1443" t="str">
        <f>NOMINA!O66</f>
        <v>Tecnico Agropecuario III</v>
      </c>
      <c r="O90" s="1106">
        <v>1.02087691000006E+18</v>
      </c>
      <c r="P90" s="1107">
        <f>NOMINA!W66</f>
        <v>114</v>
      </c>
      <c r="Q90" s="1108">
        <f>NOMINA!AG66</f>
        <v>27.81</v>
      </c>
      <c r="R90" s="1108">
        <f>NOMINA!AI66</f>
        <v>65</v>
      </c>
      <c r="S90" s="1108">
        <f>NOMINA!AK66</f>
        <v>0</v>
      </c>
      <c r="T90" s="1108">
        <f>+NOMINA!AO66</f>
        <v>0</v>
      </c>
      <c r="U90" s="1108">
        <f>+NOMINA!AQ66</f>
        <v>0</v>
      </c>
      <c r="V90" s="1108">
        <f>+NOMINA!AR66</f>
        <v>0</v>
      </c>
      <c r="W90" s="1108">
        <f>+NOMINA!AS66</f>
        <v>0</v>
      </c>
      <c r="X90" s="1108">
        <f>ROUND(NOMINA!AW66,2)</f>
        <v>0</v>
      </c>
      <c r="Y90" s="1108">
        <f>ROUND(NOMINA!AX66,2)</f>
        <v>0</v>
      </c>
      <c r="Z90" s="1108">
        <f>ROUND(NOMINA!BB66,2)+ROUND(NOMINA!BF66,2)</f>
        <v>0</v>
      </c>
      <c r="AA90" s="1108">
        <f>ROUND(NOMINA!BK66,2)*0</f>
        <v>0</v>
      </c>
      <c r="AB90" s="1108">
        <f>+NOMINA!BJ66</f>
        <v>12.5</v>
      </c>
      <c r="AC90" s="1108">
        <f>ROUND(NOMINA!BG66,2)</f>
        <v>320</v>
      </c>
      <c r="AD90" s="1711">
        <f t="shared" si="5"/>
        <v>539.30999999999995</v>
      </c>
      <c r="AF90" s="625"/>
    </row>
    <row r="91" spans="1:32" s="620" customFormat="1" ht="18" customHeight="1" thickBot="1" x14ac:dyDescent="0.25">
      <c r="A91" s="758" t="s">
        <v>2846</v>
      </c>
      <c r="B91" s="508">
        <f t="shared" si="7"/>
        <v>24</v>
      </c>
      <c r="C91" s="1102">
        <f>NOMINA!C67</f>
        <v>9495661</v>
      </c>
      <c r="D91" s="1103" t="str">
        <f>NOMINA!D67</f>
        <v>Aguial Carrillo Gregoria Coromoto</v>
      </c>
      <c r="E91" s="1468" t="s">
        <v>4622</v>
      </c>
      <c r="F91" s="1110">
        <v>32351</v>
      </c>
      <c r="G91" s="1468" t="s">
        <v>4620</v>
      </c>
      <c r="H91" s="1442">
        <f>NOMINA!H67</f>
        <v>39692</v>
      </c>
      <c r="I91" s="1105">
        <f>NOMINA!I67</f>
        <v>17</v>
      </c>
      <c r="J91" s="1106">
        <f>NOMINA!J67</f>
        <v>0</v>
      </c>
      <c r="K91" s="1105">
        <f t="shared" si="6"/>
        <v>17</v>
      </c>
      <c r="L91" s="1106" t="s">
        <v>4932</v>
      </c>
      <c r="M91" s="1106"/>
      <c r="N91" s="1443" t="str">
        <f>NOMINA!O67</f>
        <v>Jefe de Centro</v>
      </c>
      <c r="O91" s="1106">
        <v>1.02087691000006E+18</v>
      </c>
      <c r="P91" s="1107">
        <f>NOMINA!W67</f>
        <v>0</v>
      </c>
      <c r="Q91" s="1108">
        <f>NOMINA!AG67</f>
        <v>0</v>
      </c>
      <c r="R91" s="1108">
        <f>NOMINA!AI67</f>
        <v>0</v>
      </c>
      <c r="S91" s="1108">
        <f>NOMINA!AK67</f>
        <v>0</v>
      </c>
      <c r="T91" s="1108">
        <f>+NOMINA!AO67</f>
        <v>0</v>
      </c>
      <c r="U91" s="1108">
        <f>+NOMINA!AQ67</f>
        <v>0</v>
      </c>
      <c r="V91" s="1108">
        <f>+NOMINA!AR67</f>
        <v>0</v>
      </c>
      <c r="W91" s="1108">
        <f>+NOMINA!AS67</f>
        <v>0</v>
      </c>
      <c r="X91" s="1108">
        <f>ROUND(NOMINA!AW67,2)</f>
        <v>0</v>
      </c>
      <c r="Y91" s="1108">
        <f>ROUND(NOMINA!AX67,2)</f>
        <v>0</v>
      </c>
      <c r="Z91" s="1108">
        <f>ROUND(NOMINA!BB67,2)+ROUND(NOMINA!BF67,2)</f>
        <v>0</v>
      </c>
      <c r="AA91" s="1108">
        <f>ROUND(NOMINA!BK67,2)*0</f>
        <v>0</v>
      </c>
      <c r="AB91" s="1108">
        <f>+NOMINA!BJ67</f>
        <v>0</v>
      </c>
      <c r="AC91" s="1108">
        <f>ROUND(NOMINA!BG67,2)</f>
        <v>0</v>
      </c>
      <c r="AD91" s="1711">
        <f t="shared" si="5"/>
        <v>0</v>
      </c>
      <c r="AF91" s="625"/>
    </row>
    <row r="92" spans="1:32" s="620" customFormat="1" ht="18" customHeight="1" thickBot="1" x14ac:dyDescent="0.25">
      <c r="A92" s="758" t="s">
        <v>2846</v>
      </c>
      <c r="B92" s="508">
        <f t="shared" si="7"/>
        <v>25</v>
      </c>
      <c r="C92" s="1102">
        <f>NOMINA!C68</f>
        <v>9496860</v>
      </c>
      <c r="D92" s="1103" t="str">
        <f>NOMINA!D68</f>
        <v>Hernandez Valero Jose Alfredo</v>
      </c>
      <c r="E92" s="1468" t="s">
        <v>4622</v>
      </c>
      <c r="F92" s="1110">
        <v>32351</v>
      </c>
      <c r="G92" s="1468" t="s">
        <v>4620</v>
      </c>
      <c r="H92" s="1442">
        <f>NOMINA!H68</f>
        <v>43877</v>
      </c>
      <c r="I92" s="1105">
        <f>NOMINA!I68</f>
        <v>5</v>
      </c>
      <c r="J92" s="1106">
        <f>NOMINA!J68</f>
        <v>12</v>
      </c>
      <c r="K92" s="1105">
        <f t="shared" si="6"/>
        <v>17</v>
      </c>
      <c r="L92" s="1106" t="s">
        <v>4932</v>
      </c>
      <c r="M92" s="1106"/>
      <c r="N92" s="1443" t="str">
        <f>NOMINA!O68</f>
        <v>AUDITOR III</v>
      </c>
      <c r="O92" s="1106">
        <v>1.02087691000006E+18</v>
      </c>
      <c r="P92" s="1107">
        <f>NOMINA!W68</f>
        <v>142.5</v>
      </c>
      <c r="Q92" s="1108">
        <f>NOMINA!AG68</f>
        <v>30.21</v>
      </c>
      <c r="R92" s="1108">
        <f>NOMINA!AI68</f>
        <v>65</v>
      </c>
      <c r="S92" s="1108">
        <f>NOMINA!AK68</f>
        <v>59.43</v>
      </c>
      <c r="T92" s="1108">
        <f>+NOMINA!AO68</f>
        <v>0</v>
      </c>
      <c r="U92" s="1108">
        <f>+NOMINA!AQ68</f>
        <v>0</v>
      </c>
      <c r="V92" s="1108">
        <f>+NOMINA!AR68</f>
        <v>0</v>
      </c>
      <c r="W92" s="1108">
        <f>+NOMINA!AS68</f>
        <v>0</v>
      </c>
      <c r="X92" s="1108">
        <f>ROUND(NOMINA!AW68,2)</f>
        <v>0</v>
      </c>
      <c r="Y92" s="1108">
        <f>ROUND(NOMINA!AX68,2)</f>
        <v>0</v>
      </c>
      <c r="Z92" s="1108">
        <f>ROUND(NOMINA!BB68,2)+ROUND(NOMINA!BF68,2)</f>
        <v>0</v>
      </c>
      <c r="AA92" s="1108">
        <f>ROUND(NOMINA!BK68,2)*0</f>
        <v>0</v>
      </c>
      <c r="AB92" s="1108">
        <f>+NOMINA!BJ68</f>
        <v>12.5</v>
      </c>
      <c r="AC92" s="1108">
        <f>ROUND(NOMINA!BG68,2)</f>
        <v>320</v>
      </c>
      <c r="AD92" s="1711">
        <f t="shared" si="5"/>
        <v>629.64</v>
      </c>
      <c r="AF92" s="625"/>
    </row>
    <row r="93" spans="1:32" s="620" customFormat="1" ht="18" customHeight="1" thickBot="1" x14ac:dyDescent="0.25">
      <c r="A93" s="758" t="s">
        <v>2846</v>
      </c>
      <c r="B93" s="508">
        <f t="shared" si="7"/>
        <v>26</v>
      </c>
      <c r="C93" s="1102">
        <f>NOMINA!C69</f>
        <v>9497151</v>
      </c>
      <c r="D93" s="1103" t="str">
        <f>NOMINA!D69</f>
        <v>Mendoza Vieras Pedro Luis</v>
      </c>
      <c r="E93" s="1468" t="s">
        <v>4622</v>
      </c>
      <c r="F93" s="1110">
        <v>32351</v>
      </c>
      <c r="G93" s="1468" t="s">
        <v>4620</v>
      </c>
      <c r="H93" s="1442">
        <f>NOMINA!H69</f>
        <v>36770</v>
      </c>
      <c r="I93" s="1105">
        <f>NOMINA!I69</f>
        <v>25</v>
      </c>
      <c r="J93" s="1106">
        <f>NOMINA!J69</f>
        <v>0</v>
      </c>
      <c r="K93" s="1105">
        <f t="shared" si="6"/>
        <v>25</v>
      </c>
      <c r="L93" s="1106" t="s">
        <v>4932</v>
      </c>
      <c r="M93" s="1106"/>
      <c r="N93" s="1443" t="str">
        <f>NOMINA!O69</f>
        <v>Ingeniero Industrial II</v>
      </c>
      <c r="O93" s="1106">
        <v>1.02087691000006E+18</v>
      </c>
      <c r="P93" s="1107">
        <f>NOMINA!W69</f>
        <v>143.5</v>
      </c>
      <c r="Q93" s="1108">
        <f>NOMINA!AG69</f>
        <v>43.05</v>
      </c>
      <c r="R93" s="1108">
        <f>NOMINA!AI69</f>
        <v>65</v>
      </c>
      <c r="S93" s="1108">
        <f>NOMINA!AK69</f>
        <v>62.89</v>
      </c>
      <c r="T93" s="1108">
        <f>+NOMINA!AO69</f>
        <v>0</v>
      </c>
      <c r="U93" s="1108">
        <f>+NOMINA!AQ69</f>
        <v>0</v>
      </c>
      <c r="V93" s="1108">
        <f>+NOMINA!AR69</f>
        <v>0</v>
      </c>
      <c r="W93" s="1108">
        <f>+NOMINA!AS69</f>
        <v>0</v>
      </c>
      <c r="X93" s="1108">
        <f>ROUND(NOMINA!AW69,2)</f>
        <v>0</v>
      </c>
      <c r="Y93" s="1108">
        <f>ROUND(NOMINA!AX69,2)</f>
        <v>5031.04</v>
      </c>
      <c r="Z93" s="1108">
        <f>ROUND(NOMINA!BB69,2)+ROUND(NOMINA!BF69,2)</f>
        <v>0</v>
      </c>
      <c r="AA93" s="1108">
        <f>ROUND(NOMINA!BK69,2)*0</f>
        <v>0</v>
      </c>
      <c r="AB93" s="1108">
        <f>+NOMINA!BJ69</f>
        <v>12.5</v>
      </c>
      <c r="AC93" s="1108">
        <f>ROUND(NOMINA!BG69,2)</f>
        <v>320</v>
      </c>
      <c r="AD93" s="1711">
        <f t="shared" si="5"/>
        <v>5677.98</v>
      </c>
      <c r="AF93" s="625"/>
    </row>
    <row r="94" spans="1:32" s="620" customFormat="1" ht="18" customHeight="1" thickBot="1" x14ac:dyDescent="0.25">
      <c r="A94" s="758" t="s">
        <v>2846</v>
      </c>
      <c r="B94" s="508">
        <f t="shared" si="7"/>
        <v>27</v>
      </c>
      <c r="C94" s="1102">
        <f>NOMINA!C70</f>
        <v>9497349</v>
      </c>
      <c r="D94" s="1103" t="str">
        <f>NOMINA!D70</f>
        <v>Cano Blanco Juan Carlos</v>
      </c>
      <c r="E94" s="1468" t="s">
        <v>4622</v>
      </c>
      <c r="F94" s="1110">
        <v>32351</v>
      </c>
      <c r="G94" s="1468" t="s">
        <v>4620</v>
      </c>
      <c r="H94" s="1442">
        <f>NOMINA!H70</f>
        <v>45809</v>
      </c>
      <c r="I94" s="1105">
        <f>NOMINA!I70</f>
        <v>0</v>
      </c>
      <c r="J94" s="1106">
        <f>NOMINA!J70</f>
        <v>0</v>
      </c>
      <c r="K94" s="1105">
        <f t="shared" si="6"/>
        <v>0</v>
      </c>
      <c r="L94" s="1106" t="s">
        <v>4932</v>
      </c>
      <c r="M94" s="1106"/>
      <c r="N94" s="1443" t="str">
        <f>NOMINA!O70</f>
        <v>Guia de Centro I</v>
      </c>
      <c r="O94" s="1106">
        <v>1.02087691000006E+18</v>
      </c>
      <c r="P94" s="1107">
        <f>NOMINA!W70</f>
        <v>65</v>
      </c>
      <c r="Q94" s="1108">
        <f>NOMINA!AG70</f>
        <v>0</v>
      </c>
      <c r="R94" s="1108">
        <f>NOMINA!AI70</f>
        <v>65</v>
      </c>
      <c r="S94" s="1108">
        <f>NOMINA!AK70</f>
        <v>0</v>
      </c>
      <c r="T94" s="1108">
        <f>+NOMINA!AO70</f>
        <v>0</v>
      </c>
      <c r="U94" s="1108">
        <f>+NOMINA!AQ70</f>
        <v>0</v>
      </c>
      <c r="V94" s="1108">
        <f>+NOMINA!AR70</f>
        <v>0</v>
      </c>
      <c r="W94" s="1108">
        <f>+NOMINA!AS70</f>
        <v>0</v>
      </c>
      <c r="X94" s="1108">
        <f>ROUND(NOMINA!AW70,2)</f>
        <v>78</v>
      </c>
      <c r="Y94" s="1108">
        <f>ROUND(NOMINA!AX70,2)</f>
        <v>0</v>
      </c>
      <c r="Z94" s="1108">
        <f>ROUND(NOMINA!BB70,2)+ROUND(NOMINA!BF70,2)</f>
        <v>50.7</v>
      </c>
      <c r="AA94" s="1108">
        <f>ROUND(NOMINA!BK70,2)*0</f>
        <v>0</v>
      </c>
      <c r="AB94" s="1108">
        <f>+NOMINA!BJ70</f>
        <v>12.5</v>
      </c>
      <c r="AC94" s="1108">
        <f>ROUND(NOMINA!BG70,2)</f>
        <v>320</v>
      </c>
      <c r="AD94" s="1711">
        <f t="shared" si="5"/>
        <v>591.20000000000005</v>
      </c>
      <c r="AF94" s="625"/>
    </row>
    <row r="95" spans="1:32" s="620" customFormat="1" ht="18" customHeight="1" thickBot="1" x14ac:dyDescent="0.25">
      <c r="A95" s="758" t="s">
        <v>2846</v>
      </c>
      <c r="B95" s="508">
        <f t="shared" si="7"/>
        <v>28</v>
      </c>
      <c r="C95" s="1102">
        <f>NOMINA!C71</f>
        <v>10033119</v>
      </c>
      <c r="D95" s="1103" t="str">
        <f>NOMINA!D71</f>
        <v>Artigas de Hernandez Ana Maria</v>
      </c>
      <c r="E95" s="1468" t="s">
        <v>4622</v>
      </c>
      <c r="F95" s="1110">
        <v>32351</v>
      </c>
      <c r="G95" s="1468" t="s">
        <v>4620</v>
      </c>
      <c r="H95" s="1442">
        <f>NOMINA!H71</f>
        <v>43359</v>
      </c>
      <c r="I95" s="1105">
        <f>NOMINA!I71</f>
        <v>7</v>
      </c>
      <c r="J95" s="1106">
        <f>NOMINA!J71</f>
        <v>0</v>
      </c>
      <c r="K95" s="1105">
        <f t="shared" si="6"/>
        <v>7</v>
      </c>
      <c r="L95" s="1106" t="s">
        <v>4932</v>
      </c>
      <c r="M95" s="1106"/>
      <c r="N95" s="1443" t="str">
        <f>NOMINA!O71</f>
        <v>Tutor Facilitador III</v>
      </c>
      <c r="O95" s="1106">
        <v>1.02087691000006E+18</v>
      </c>
      <c r="P95" s="1107">
        <f>NOMINA!W71</f>
        <v>139.5</v>
      </c>
      <c r="Q95" s="1108">
        <f>NOMINA!AG71</f>
        <v>10.32</v>
      </c>
      <c r="R95" s="1108">
        <f>NOMINA!AI71</f>
        <v>65</v>
      </c>
      <c r="S95" s="1108">
        <f>NOMINA!AK71</f>
        <v>53.7</v>
      </c>
      <c r="T95" s="1108">
        <f>+NOMINA!AO71</f>
        <v>0</v>
      </c>
      <c r="U95" s="1108">
        <f>+NOMINA!AQ71</f>
        <v>0</v>
      </c>
      <c r="V95" s="1108">
        <f>+NOMINA!AR71</f>
        <v>0</v>
      </c>
      <c r="W95" s="1108">
        <f>+NOMINA!AS71</f>
        <v>0</v>
      </c>
      <c r="X95" s="1108">
        <f>ROUND(NOMINA!AW71,2)</f>
        <v>0</v>
      </c>
      <c r="Y95" s="1108">
        <f>ROUND(NOMINA!AX71,2)</f>
        <v>4296.4799999999996</v>
      </c>
      <c r="Z95" s="1108">
        <f>ROUND(NOMINA!BB71,2)+ROUND(NOMINA!BF71,2)</f>
        <v>0</v>
      </c>
      <c r="AA95" s="1108">
        <f>ROUND(NOMINA!BK71,2)*0</f>
        <v>0</v>
      </c>
      <c r="AB95" s="1108">
        <f>+NOMINA!BJ71</f>
        <v>12.5</v>
      </c>
      <c r="AC95" s="1108">
        <f>ROUND(NOMINA!BG71,2)</f>
        <v>320</v>
      </c>
      <c r="AD95" s="1711">
        <f t="shared" si="5"/>
        <v>4897.5</v>
      </c>
      <c r="AF95" s="625"/>
    </row>
    <row r="96" spans="1:32" s="620" customFormat="1" ht="18" customHeight="1" thickBot="1" x14ac:dyDescent="0.25">
      <c r="A96" s="758" t="s">
        <v>2846</v>
      </c>
      <c r="B96" s="508">
        <f t="shared" si="7"/>
        <v>29</v>
      </c>
      <c r="C96" s="1102">
        <f>NOMINA!C72</f>
        <v>10035540</v>
      </c>
      <c r="D96" s="1103" t="str">
        <f>NOMINA!D72</f>
        <v>Linares Linares Emma Teresa</v>
      </c>
      <c r="E96" s="1468" t="s">
        <v>4622</v>
      </c>
      <c r="F96" s="1110">
        <v>32351</v>
      </c>
      <c r="G96" s="1468" t="s">
        <v>4620</v>
      </c>
      <c r="H96" s="1442">
        <f>NOMINA!H72</f>
        <v>43236</v>
      </c>
      <c r="I96" s="1105">
        <f>NOMINA!I72</f>
        <v>7</v>
      </c>
      <c r="J96" s="1106">
        <f>NOMINA!J72</f>
        <v>0</v>
      </c>
      <c r="K96" s="1105">
        <f t="shared" si="6"/>
        <v>7</v>
      </c>
      <c r="L96" s="1106" t="s">
        <v>4932</v>
      </c>
      <c r="M96" s="1106"/>
      <c r="N96" s="1443" t="str">
        <f>NOMINA!O72</f>
        <v>Tecnico Superior en Trabajo Social II</v>
      </c>
      <c r="O96" s="1106">
        <v>1.02087691000006E+18</v>
      </c>
      <c r="P96" s="1107">
        <f>NOMINA!W72</f>
        <v>110.5</v>
      </c>
      <c r="Q96" s="1108">
        <f>NOMINA!AG72</f>
        <v>8.17</v>
      </c>
      <c r="R96" s="1108">
        <f>NOMINA!AI72</f>
        <v>65</v>
      </c>
      <c r="S96" s="1108">
        <f>NOMINA!AK72</f>
        <v>45.92</v>
      </c>
      <c r="T96" s="1108">
        <f>+NOMINA!AO72</f>
        <v>0</v>
      </c>
      <c r="U96" s="1108">
        <f>+NOMINA!AQ72</f>
        <v>12.5</v>
      </c>
      <c r="V96" s="1108">
        <f>+NOMINA!AR72</f>
        <v>0</v>
      </c>
      <c r="W96" s="1108">
        <f>+NOMINA!AS72</f>
        <v>0</v>
      </c>
      <c r="X96" s="1108">
        <f>ROUND(NOMINA!AW72,2)</f>
        <v>0</v>
      </c>
      <c r="Y96" s="1108">
        <f>ROUND(NOMINA!AX72,2)</f>
        <v>0</v>
      </c>
      <c r="Z96" s="1108">
        <f>ROUND(NOMINA!BB72,2)+ROUND(NOMINA!BF72,2)</f>
        <v>0</v>
      </c>
      <c r="AA96" s="1108">
        <f>ROUND(NOMINA!BK72,2)*0</f>
        <v>0</v>
      </c>
      <c r="AB96" s="1108">
        <f>+NOMINA!BJ72</f>
        <v>12.5</v>
      </c>
      <c r="AC96" s="1108">
        <f>ROUND(NOMINA!BG72,2)</f>
        <v>320</v>
      </c>
      <c r="AD96" s="1711">
        <f t="shared" si="5"/>
        <v>574.59</v>
      </c>
      <c r="AF96" s="625"/>
    </row>
    <row r="97" spans="1:32" s="620" customFormat="1" ht="18" customHeight="1" thickBot="1" x14ac:dyDescent="0.25">
      <c r="A97" s="758" t="s">
        <v>2846</v>
      </c>
      <c r="B97" s="508">
        <f t="shared" si="7"/>
        <v>30</v>
      </c>
      <c r="C97" s="1102">
        <f>NOMINA!C73</f>
        <v>10037054</v>
      </c>
      <c r="D97" s="1103" t="str">
        <f>NOMINA!D73</f>
        <v>Aguial Carrillo Deris Margarita</v>
      </c>
      <c r="E97" s="1468" t="s">
        <v>4622</v>
      </c>
      <c r="F97" s="1110">
        <v>32351</v>
      </c>
      <c r="G97" s="1468" t="s">
        <v>4620</v>
      </c>
      <c r="H97" s="1442">
        <f>NOMINA!H73</f>
        <v>39820</v>
      </c>
      <c r="I97" s="1105">
        <f>NOMINA!I73</f>
        <v>16</v>
      </c>
      <c r="J97" s="1106">
        <f>NOMINA!J73</f>
        <v>0</v>
      </c>
      <c r="K97" s="1105">
        <f t="shared" si="6"/>
        <v>16</v>
      </c>
      <c r="L97" s="1106" t="s">
        <v>4932</v>
      </c>
      <c r="M97" s="1106"/>
      <c r="N97" s="1443" t="str">
        <f>NOMINA!O73</f>
        <v>Guia de Centro II</v>
      </c>
      <c r="O97" s="1106">
        <v>1.02087691000006E+18</v>
      </c>
      <c r="P97" s="1107">
        <f>NOMINA!W73</f>
        <v>88</v>
      </c>
      <c r="Q97" s="1108">
        <f>NOMINA!AG73</f>
        <v>17.25</v>
      </c>
      <c r="R97" s="1108">
        <f>NOMINA!AI73</f>
        <v>65</v>
      </c>
      <c r="S97" s="1108">
        <f>NOMINA!AK73</f>
        <v>0</v>
      </c>
      <c r="T97" s="1108">
        <f>+NOMINA!AO73</f>
        <v>0</v>
      </c>
      <c r="U97" s="1108">
        <f>+NOMINA!AQ73</f>
        <v>0</v>
      </c>
      <c r="V97" s="1108">
        <f>+NOMINA!AR73</f>
        <v>0</v>
      </c>
      <c r="W97" s="1108">
        <f>+NOMINA!AS73</f>
        <v>0</v>
      </c>
      <c r="X97" s="1108">
        <f>ROUND(NOMINA!AW73,2)</f>
        <v>102.15</v>
      </c>
      <c r="Y97" s="1108">
        <f>ROUND(NOMINA!AX73,2)</f>
        <v>0</v>
      </c>
      <c r="Z97" s="1108">
        <f>ROUND(NOMINA!BB73,2)+ROUND(NOMINA!BF73,2)</f>
        <v>66.400000000000006</v>
      </c>
      <c r="AA97" s="1108">
        <f>ROUND(NOMINA!BK73,2)*0</f>
        <v>0</v>
      </c>
      <c r="AB97" s="1108">
        <f>+NOMINA!BJ73</f>
        <v>12.5</v>
      </c>
      <c r="AC97" s="1108">
        <f>ROUND(NOMINA!BG73,2)</f>
        <v>320</v>
      </c>
      <c r="AD97" s="1711">
        <f t="shared" si="5"/>
        <v>671.3</v>
      </c>
      <c r="AF97" s="625"/>
    </row>
    <row r="98" spans="1:32" s="620" customFormat="1" ht="18" customHeight="1" thickBot="1" x14ac:dyDescent="0.25">
      <c r="A98" s="758" t="s">
        <v>2846</v>
      </c>
      <c r="B98" s="508">
        <f t="shared" si="7"/>
        <v>31</v>
      </c>
      <c r="C98" s="1102">
        <f>NOMINA!C74</f>
        <v>10175616</v>
      </c>
      <c r="D98" s="1103" t="str">
        <f>NOMINA!D74</f>
        <v>Carrillo Prato Blanca Isabel</v>
      </c>
      <c r="E98" s="1468" t="s">
        <v>4622</v>
      </c>
      <c r="F98" s="1110">
        <v>32351</v>
      </c>
      <c r="G98" s="1468" t="s">
        <v>4620</v>
      </c>
      <c r="H98" s="1442">
        <f>NOMINA!H74</f>
        <v>44228</v>
      </c>
      <c r="I98" s="1105">
        <f>NOMINA!I74</f>
        <v>4</v>
      </c>
      <c r="J98" s="1106">
        <f>NOMINA!J74</f>
        <v>0</v>
      </c>
      <c r="K98" s="1105">
        <f t="shared" si="6"/>
        <v>4</v>
      </c>
      <c r="L98" s="1106" t="s">
        <v>4932</v>
      </c>
      <c r="M98" s="1106"/>
      <c r="N98" s="1443" t="str">
        <f>NOMINA!O74</f>
        <v>Medico jefe I</v>
      </c>
      <c r="O98" s="1106">
        <v>1.02087691000006E+18</v>
      </c>
      <c r="P98" s="1107">
        <f>NOMINA!W74</f>
        <v>153.5</v>
      </c>
      <c r="Q98" s="1108">
        <f>NOMINA!AG74</f>
        <v>6.14</v>
      </c>
      <c r="R98" s="1108">
        <f>NOMINA!AI74</f>
        <v>65</v>
      </c>
      <c r="S98" s="1108">
        <f>NOMINA!AK74</f>
        <v>67.39</v>
      </c>
      <c r="T98" s="1108">
        <f>+NOMINA!AO74</f>
        <v>0</v>
      </c>
      <c r="U98" s="1108">
        <f>+NOMINA!AQ74</f>
        <v>0</v>
      </c>
      <c r="V98" s="1108">
        <f>+NOMINA!AR74</f>
        <v>0</v>
      </c>
      <c r="W98" s="1108">
        <f>+NOMINA!AS74</f>
        <v>0</v>
      </c>
      <c r="X98" s="1108">
        <f>ROUND(NOMINA!AW74,2)</f>
        <v>0</v>
      </c>
      <c r="Y98" s="1108">
        <f>ROUND(NOMINA!AX74,2)</f>
        <v>0</v>
      </c>
      <c r="Z98" s="1108">
        <f>ROUND(NOMINA!BB74,2)+ROUND(NOMINA!BF74,2)</f>
        <v>0</v>
      </c>
      <c r="AA98" s="1108">
        <f>ROUND(NOMINA!BK74,2)*0</f>
        <v>0</v>
      </c>
      <c r="AB98" s="1108">
        <f>+NOMINA!BJ74</f>
        <v>12.5</v>
      </c>
      <c r="AC98" s="1108">
        <f>ROUND(NOMINA!BG74,2)</f>
        <v>320</v>
      </c>
      <c r="AD98" s="1711">
        <f t="shared" si="5"/>
        <v>624.53</v>
      </c>
      <c r="AF98" s="625"/>
    </row>
    <row r="99" spans="1:32" s="620" customFormat="1" ht="18" customHeight="1" thickBot="1" x14ac:dyDescent="0.25">
      <c r="A99" s="758" t="s">
        <v>2846</v>
      </c>
      <c r="B99" s="508">
        <f t="shared" si="7"/>
        <v>32</v>
      </c>
      <c r="C99" s="1102">
        <f>NOMINA!C75</f>
        <v>10257016</v>
      </c>
      <c r="D99" s="1103" t="str">
        <f>NOMINA!D75</f>
        <v>Torres Dulma Ramona</v>
      </c>
      <c r="E99" s="1468" t="s">
        <v>4622</v>
      </c>
      <c r="F99" s="1110">
        <v>32351</v>
      </c>
      <c r="G99" s="1468" t="s">
        <v>4620</v>
      </c>
      <c r="H99" s="1442">
        <f>NOMINA!H75</f>
        <v>35947</v>
      </c>
      <c r="I99" s="1105">
        <f>NOMINA!I75</f>
        <v>27</v>
      </c>
      <c r="J99" s="1106">
        <f>NOMINA!J75</f>
        <v>0</v>
      </c>
      <c r="K99" s="1105">
        <f t="shared" si="6"/>
        <v>27</v>
      </c>
      <c r="L99" s="1106" t="s">
        <v>4932</v>
      </c>
      <c r="M99" s="1106"/>
      <c r="N99" s="1443" t="str">
        <f>NOMINA!O75</f>
        <v>Tutor Facilitador III</v>
      </c>
      <c r="O99" s="1106">
        <v>1.02087691000006E+18</v>
      </c>
      <c r="P99" s="1107">
        <f>NOMINA!W75</f>
        <v>143.5</v>
      </c>
      <c r="Q99" s="1108">
        <f>NOMINA!AG75</f>
        <v>43.05</v>
      </c>
      <c r="R99" s="1108">
        <f>NOMINA!AI75</f>
        <v>65</v>
      </c>
      <c r="S99" s="1108">
        <f>NOMINA!AK75</f>
        <v>62.89</v>
      </c>
      <c r="T99" s="1108">
        <f>+NOMINA!AO75</f>
        <v>0</v>
      </c>
      <c r="U99" s="1108">
        <f>+NOMINA!AQ75</f>
        <v>0</v>
      </c>
      <c r="V99" s="1108">
        <f>+NOMINA!AR75</f>
        <v>0</v>
      </c>
      <c r="W99" s="1108">
        <f>+NOMINA!AS75</f>
        <v>0</v>
      </c>
      <c r="X99" s="1108">
        <f>ROUND(NOMINA!AW75,2)</f>
        <v>0</v>
      </c>
      <c r="Y99" s="1108">
        <f>ROUND(NOMINA!AX75,2)</f>
        <v>0</v>
      </c>
      <c r="Z99" s="1108">
        <f>ROUND(NOMINA!BB75,2)+ROUND(NOMINA!BF75,2)</f>
        <v>0</v>
      </c>
      <c r="AA99" s="1108">
        <f>ROUND(NOMINA!BK75,2)*0</f>
        <v>0</v>
      </c>
      <c r="AB99" s="1108">
        <f>+NOMINA!BJ75</f>
        <v>12.5</v>
      </c>
      <c r="AC99" s="1108">
        <f>ROUND(NOMINA!BG75,2)</f>
        <v>320</v>
      </c>
      <c r="AD99" s="1711">
        <f t="shared" si="5"/>
        <v>646.94000000000005</v>
      </c>
      <c r="AF99" s="625"/>
    </row>
    <row r="100" spans="1:32" s="620" customFormat="1" ht="18" customHeight="1" thickBot="1" x14ac:dyDescent="0.25">
      <c r="A100" s="758" t="s">
        <v>2846</v>
      </c>
      <c r="B100" s="508">
        <f t="shared" si="7"/>
        <v>33</v>
      </c>
      <c r="C100" s="1102">
        <f>NOMINA!C76</f>
        <v>10315803</v>
      </c>
      <c r="D100" s="1103" t="str">
        <f>NOMINA!D76</f>
        <v>Frias Jacson Daniel</v>
      </c>
      <c r="E100" s="1468" t="s">
        <v>4622</v>
      </c>
      <c r="F100" s="1110">
        <v>32351</v>
      </c>
      <c r="G100" s="1468" t="s">
        <v>4620</v>
      </c>
      <c r="H100" s="1442">
        <f>NOMINA!H76</f>
        <v>35415</v>
      </c>
      <c r="I100" s="1105">
        <f>NOMINA!I76</f>
        <v>28</v>
      </c>
      <c r="J100" s="1106">
        <f>NOMINA!J76</f>
        <v>0</v>
      </c>
      <c r="K100" s="1105">
        <f t="shared" si="6"/>
        <v>28</v>
      </c>
      <c r="L100" s="1106" t="s">
        <v>4932</v>
      </c>
      <c r="M100" s="1106"/>
      <c r="N100" s="1443" t="str">
        <f>NOMINA!O76</f>
        <v>Guia de Centro II</v>
      </c>
      <c r="O100" s="1106">
        <v>1.02087691000006E+18</v>
      </c>
      <c r="P100" s="1107">
        <f>NOMINA!W76</f>
        <v>88.5</v>
      </c>
      <c r="Q100" s="1108">
        <f>NOMINA!AG76</f>
        <v>26.55</v>
      </c>
      <c r="R100" s="1108">
        <f>NOMINA!AI76</f>
        <v>65</v>
      </c>
      <c r="S100" s="1108">
        <f>NOMINA!AK76</f>
        <v>0</v>
      </c>
      <c r="T100" s="1108">
        <f>+NOMINA!AO76</f>
        <v>0</v>
      </c>
      <c r="U100" s="1108">
        <f>+NOMINA!AQ76</f>
        <v>0</v>
      </c>
      <c r="V100" s="1108">
        <f>+NOMINA!AR76</f>
        <v>0</v>
      </c>
      <c r="W100" s="1108">
        <f>+NOMINA!AS76</f>
        <v>0</v>
      </c>
      <c r="X100" s="1108">
        <f>ROUND(NOMINA!AW76,2)</f>
        <v>108.03</v>
      </c>
      <c r="Y100" s="1108">
        <f>ROUND(NOMINA!AX76,2)</f>
        <v>0</v>
      </c>
      <c r="Z100" s="1108">
        <f>ROUND(NOMINA!BB76,2)+ROUND(NOMINA!BF76,2)</f>
        <v>70.22</v>
      </c>
      <c r="AA100" s="1108">
        <f>ROUND(NOMINA!BK76,2)*0</f>
        <v>0</v>
      </c>
      <c r="AB100" s="1108">
        <f>+NOMINA!BJ76</f>
        <v>12.5</v>
      </c>
      <c r="AC100" s="1108">
        <f>ROUND(NOMINA!BG76,2)</f>
        <v>320</v>
      </c>
      <c r="AD100" s="1711">
        <f t="shared" si="5"/>
        <v>690.80000000000007</v>
      </c>
      <c r="AF100" s="625"/>
    </row>
    <row r="101" spans="1:32" s="620" customFormat="1" ht="18" customHeight="1" thickBot="1" x14ac:dyDescent="0.25">
      <c r="A101" s="758" t="s">
        <v>2846</v>
      </c>
      <c r="B101" s="508">
        <f t="shared" si="7"/>
        <v>34</v>
      </c>
      <c r="C101" s="1102">
        <f>NOMINA!C77</f>
        <v>10319457</v>
      </c>
      <c r="D101" s="1103" t="str">
        <f>NOMINA!D77</f>
        <v>Marquez Marquez Maribel del Valle</v>
      </c>
      <c r="E101" s="1468" t="s">
        <v>4622</v>
      </c>
      <c r="F101" s="1110">
        <v>32351</v>
      </c>
      <c r="G101" s="1468" t="s">
        <v>4620</v>
      </c>
      <c r="H101" s="1442">
        <f>NOMINA!H77</f>
        <v>38831</v>
      </c>
      <c r="I101" s="1105">
        <f>NOMINA!I77</f>
        <v>19</v>
      </c>
      <c r="J101" s="1106">
        <f>NOMINA!J77</f>
        <v>0</v>
      </c>
      <c r="K101" s="1105">
        <f t="shared" si="6"/>
        <v>19</v>
      </c>
      <c r="L101" s="1106" t="s">
        <v>4932</v>
      </c>
      <c r="M101" s="1106"/>
      <c r="N101" s="1443" t="str">
        <f>NOMINA!O77</f>
        <v>Secretario Ejecutivo III</v>
      </c>
      <c r="O101" s="1106">
        <v>1.02087691000006E+18</v>
      </c>
      <c r="P101" s="1107">
        <f>NOMINA!W77</f>
        <v>88.5</v>
      </c>
      <c r="Q101" s="1108">
        <f>NOMINA!AG77</f>
        <v>21.59</v>
      </c>
      <c r="R101" s="1108">
        <f>NOMINA!AI77</f>
        <v>65</v>
      </c>
      <c r="S101" s="1108">
        <f>NOMINA!AK77</f>
        <v>0</v>
      </c>
      <c r="T101" s="1108">
        <f>+NOMINA!AO77</f>
        <v>0</v>
      </c>
      <c r="U101" s="1108">
        <f>+NOMINA!AQ77</f>
        <v>0</v>
      </c>
      <c r="V101" s="1108">
        <f>+NOMINA!AR77</f>
        <v>0</v>
      </c>
      <c r="W101" s="1108">
        <f>+NOMINA!AS77</f>
        <v>0</v>
      </c>
      <c r="X101" s="1108">
        <f>ROUND(NOMINA!AW77,2)</f>
        <v>0</v>
      </c>
      <c r="Y101" s="1108">
        <f>ROUND(NOMINA!AX77,2)</f>
        <v>0</v>
      </c>
      <c r="Z101" s="1108">
        <f>ROUND(NOMINA!BB77,2)+ROUND(NOMINA!BF77,2)</f>
        <v>0</v>
      </c>
      <c r="AA101" s="1108">
        <f>ROUND(NOMINA!BK77,2)*0</f>
        <v>0</v>
      </c>
      <c r="AB101" s="1108">
        <f>+NOMINA!BJ77</f>
        <v>12.5</v>
      </c>
      <c r="AC101" s="1108">
        <f>ROUND(NOMINA!BG77,2)</f>
        <v>320</v>
      </c>
      <c r="AD101" s="1711">
        <f t="shared" si="5"/>
        <v>507.59000000000003</v>
      </c>
      <c r="AF101" s="625"/>
    </row>
    <row r="102" spans="1:32" s="620" customFormat="1" ht="18" customHeight="1" thickBot="1" x14ac:dyDescent="0.25">
      <c r="A102" s="758" t="s">
        <v>2846</v>
      </c>
      <c r="B102" s="508">
        <f t="shared" si="7"/>
        <v>35</v>
      </c>
      <c r="C102" s="1102">
        <f>NOMINA!C78</f>
        <v>10396379</v>
      </c>
      <c r="D102" s="1103" t="str">
        <f>NOMINA!D78</f>
        <v>Ruiz Luis Alfonzo</v>
      </c>
      <c r="E102" s="1468" t="s">
        <v>4622</v>
      </c>
      <c r="F102" s="1110">
        <v>32351</v>
      </c>
      <c r="G102" s="1468" t="s">
        <v>4620</v>
      </c>
      <c r="H102" s="1442">
        <f>NOMINA!H78</f>
        <v>44743</v>
      </c>
      <c r="I102" s="1105">
        <f>NOMINA!I78</f>
        <v>3</v>
      </c>
      <c r="J102" s="1106">
        <f>NOMINA!J78</f>
        <v>0</v>
      </c>
      <c r="K102" s="1105">
        <f t="shared" si="6"/>
        <v>3</v>
      </c>
      <c r="L102" s="1106" t="s">
        <v>4932</v>
      </c>
      <c r="M102" s="1106"/>
      <c r="N102" s="1443" t="str">
        <f>NOMINA!O78</f>
        <v>ENTRENADOR DEPORTIVO II</v>
      </c>
      <c r="O102" s="1106">
        <v>1.02087691000006E+18</v>
      </c>
      <c r="P102" s="1107">
        <f>NOMINA!W78</f>
        <v>75</v>
      </c>
      <c r="Q102" s="1108">
        <f>NOMINA!AG78</f>
        <v>2.25</v>
      </c>
      <c r="R102" s="1108">
        <f>NOMINA!AI78</f>
        <v>65</v>
      </c>
      <c r="S102" s="1108">
        <f>NOMINA!AK78</f>
        <v>0</v>
      </c>
      <c r="T102" s="1108">
        <f>+NOMINA!AO78</f>
        <v>0</v>
      </c>
      <c r="U102" s="1108">
        <f>+NOMINA!AQ78</f>
        <v>0</v>
      </c>
      <c r="V102" s="1108">
        <f>+NOMINA!AR78</f>
        <v>0</v>
      </c>
      <c r="W102" s="1108">
        <f>+NOMINA!AS78</f>
        <v>0</v>
      </c>
      <c r="X102" s="1108">
        <f>ROUND(NOMINA!AW78,2)</f>
        <v>0</v>
      </c>
      <c r="Y102" s="1108">
        <f>ROUND(NOMINA!AX78,2)</f>
        <v>0</v>
      </c>
      <c r="Z102" s="1108">
        <f>ROUND(NOMINA!BB78,2)+ROUND(NOMINA!BF78,2)</f>
        <v>0</v>
      </c>
      <c r="AA102" s="1108">
        <f>ROUND(NOMINA!BK78,2)*0</f>
        <v>0</v>
      </c>
      <c r="AB102" s="1108">
        <f>+NOMINA!BJ78</f>
        <v>12.5</v>
      </c>
      <c r="AC102" s="1108">
        <f>ROUND(NOMINA!BG78,2)</f>
        <v>320</v>
      </c>
      <c r="AD102" s="1711">
        <f t="shared" si="5"/>
        <v>474.75</v>
      </c>
      <c r="AF102" s="625"/>
    </row>
    <row r="103" spans="1:32" s="620" customFormat="1" ht="18" customHeight="1" thickBot="1" x14ac:dyDescent="0.25">
      <c r="A103" s="758" t="s">
        <v>2846</v>
      </c>
      <c r="B103" s="508">
        <f t="shared" si="7"/>
        <v>36</v>
      </c>
      <c r="C103" s="1102">
        <f>NOMINA!C79</f>
        <v>10398694</v>
      </c>
      <c r="D103" s="1103" t="str">
        <f>NOMINA!D79</f>
        <v>Santana Briceño Jose Gregorio</v>
      </c>
      <c r="E103" s="1468" t="s">
        <v>4622</v>
      </c>
      <c r="F103" s="1110">
        <v>32351</v>
      </c>
      <c r="G103" s="1468" t="s">
        <v>4620</v>
      </c>
      <c r="H103" s="1442">
        <f>NOMINA!H79</f>
        <v>44743</v>
      </c>
      <c r="I103" s="1105">
        <f>NOMINA!I79</f>
        <v>3</v>
      </c>
      <c r="J103" s="1106">
        <f>NOMINA!J79</f>
        <v>23</v>
      </c>
      <c r="K103" s="1105">
        <f t="shared" si="6"/>
        <v>26</v>
      </c>
      <c r="L103" s="1106" t="s">
        <v>4932</v>
      </c>
      <c r="M103" s="1106"/>
      <c r="N103" s="1443" t="str">
        <f>NOMINA!O79</f>
        <v>Guia de Centro I</v>
      </c>
      <c r="O103" s="1106">
        <v>1.02087691000006E+18</v>
      </c>
      <c r="P103" s="1107">
        <f>NOMINA!W79</f>
        <v>114</v>
      </c>
      <c r="Q103" s="1108">
        <f>NOMINA!AG79</f>
        <v>34.200000000000003</v>
      </c>
      <c r="R103" s="1108">
        <f>NOMINA!AI79</f>
        <v>65</v>
      </c>
      <c r="S103" s="1108">
        <f>NOMINA!AK79</f>
        <v>42.64</v>
      </c>
      <c r="T103" s="1108">
        <f>+NOMINA!AO79</f>
        <v>0</v>
      </c>
      <c r="U103" s="1108">
        <f>+NOMINA!AQ79</f>
        <v>0</v>
      </c>
      <c r="V103" s="1108">
        <f>+NOMINA!AR79</f>
        <v>0</v>
      </c>
      <c r="W103" s="1108">
        <f>+NOMINA!AS79</f>
        <v>0</v>
      </c>
      <c r="X103" s="1108">
        <f>ROUND(NOMINA!AW79,2)</f>
        <v>153.5</v>
      </c>
      <c r="Y103" s="1108">
        <f>ROUND(NOMINA!AX79,2)</f>
        <v>0</v>
      </c>
      <c r="Z103" s="1108">
        <f>ROUND(NOMINA!BB79,2)+ROUND(NOMINA!BF79,2)</f>
        <v>99.78</v>
      </c>
      <c r="AA103" s="1108">
        <f>ROUND(NOMINA!BK79,2)*0</f>
        <v>0</v>
      </c>
      <c r="AB103" s="1108">
        <f>+NOMINA!BJ79</f>
        <v>12.5</v>
      </c>
      <c r="AC103" s="1108">
        <f>ROUND(NOMINA!BG79,2)</f>
        <v>320</v>
      </c>
      <c r="AD103" s="1711">
        <f t="shared" si="5"/>
        <v>841.62</v>
      </c>
      <c r="AF103" s="625"/>
    </row>
    <row r="104" spans="1:32" s="620" customFormat="1" ht="18" customHeight="1" thickBot="1" x14ac:dyDescent="0.25">
      <c r="A104" s="758" t="s">
        <v>2846</v>
      </c>
      <c r="B104" s="508">
        <f t="shared" si="7"/>
        <v>37</v>
      </c>
      <c r="C104" s="1102">
        <f>NOMINA!C80</f>
        <v>10399064</v>
      </c>
      <c r="D104" s="1103" t="str">
        <f>NOMINA!D80</f>
        <v>Perdomo Perdomo Angela Aurora</v>
      </c>
      <c r="E104" s="1468" t="s">
        <v>4622</v>
      </c>
      <c r="F104" s="1110">
        <v>32351</v>
      </c>
      <c r="G104" s="1468" t="s">
        <v>4620</v>
      </c>
      <c r="H104" s="1442">
        <f>NOMINA!H80</f>
        <v>39328</v>
      </c>
      <c r="I104" s="1105">
        <f>NOMINA!I80</f>
        <v>18</v>
      </c>
      <c r="J104" s="1106">
        <f>NOMINA!J80</f>
        <v>0</v>
      </c>
      <c r="K104" s="1105">
        <f t="shared" si="6"/>
        <v>18</v>
      </c>
      <c r="L104" s="1106" t="s">
        <v>4932</v>
      </c>
      <c r="M104" s="1106"/>
      <c r="N104" s="1443" t="str">
        <f>NOMINA!O80</f>
        <v>Guia de Centro II</v>
      </c>
      <c r="O104" s="1106">
        <v>1.02087691000006E+18</v>
      </c>
      <c r="P104" s="1107">
        <f>NOMINA!W80</f>
        <v>114</v>
      </c>
      <c r="Q104" s="1108">
        <f>NOMINA!AG80</f>
        <v>25.99</v>
      </c>
      <c r="R104" s="1108">
        <f>NOMINA!AI80</f>
        <v>65</v>
      </c>
      <c r="S104" s="1108">
        <f>NOMINA!AK80</f>
        <v>41</v>
      </c>
      <c r="T104" s="1108">
        <f>+NOMINA!AO80</f>
        <v>0</v>
      </c>
      <c r="U104" s="1108">
        <f>+NOMINA!AQ80</f>
        <v>0</v>
      </c>
      <c r="V104" s="1108">
        <f>+NOMINA!AR80</f>
        <v>0</v>
      </c>
      <c r="W104" s="1108">
        <f>+NOMINA!AS80</f>
        <v>0</v>
      </c>
      <c r="X104" s="1108">
        <f>ROUND(NOMINA!AW80,2)</f>
        <v>147.59</v>
      </c>
      <c r="Y104" s="1108">
        <f>ROUND(NOMINA!AX80,2)</f>
        <v>5116.5600000000004</v>
      </c>
      <c r="Z104" s="1108">
        <f>ROUND(NOMINA!BB80,2)+ROUND(NOMINA!BF80,2)</f>
        <v>0</v>
      </c>
      <c r="AA104" s="1108">
        <f>ROUND(NOMINA!BK80,2)*0</f>
        <v>0</v>
      </c>
      <c r="AB104" s="1108">
        <f>+NOMINA!BJ80</f>
        <v>12.5</v>
      </c>
      <c r="AC104" s="1108">
        <f>ROUND(NOMINA!BG80,2)</f>
        <v>320</v>
      </c>
      <c r="AD104" s="1711">
        <f t="shared" si="5"/>
        <v>5842.64</v>
      </c>
      <c r="AF104" s="625"/>
    </row>
    <row r="105" spans="1:32" s="620" customFormat="1" ht="18" customHeight="1" thickBot="1" x14ac:dyDescent="0.25">
      <c r="A105" s="758" t="s">
        <v>2846</v>
      </c>
      <c r="B105" s="508">
        <f t="shared" si="7"/>
        <v>38</v>
      </c>
      <c r="C105" s="1102">
        <f>NOMINA!C81</f>
        <v>10400214</v>
      </c>
      <c r="D105" s="1103" t="str">
        <f>NOMINA!D81</f>
        <v>Bastidas Yanitza del Valle</v>
      </c>
      <c r="E105" s="1468" t="s">
        <v>4622</v>
      </c>
      <c r="F105" s="1110">
        <v>32351</v>
      </c>
      <c r="G105" s="1468" t="s">
        <v>4620</v>
      </c>
      <c r="H105" s="1442">
        <f>NOMINA!H81</f>
        <v>41153</v>
      </c>
      <c r="I105" s="1105">
        <f>NOMINA!I81</f>
        <v>13</v>
      </c>
      <c r="J105" s="1106">
        <f>NOMINA!J81</f>
        <v>0</v>
      </c>
      <c r="K105" s="1105">
        <f t="shared" si="6"/>
        <v>13</v>
      </c>
      <c r="L105" s="1106" t="s">
        <v>4932</v>
      </c>
      <c r="M105" s="1106"/>
      <c r="N105" s="1443" t="str">
        <f>NOMINA!O81</f>
        <v>Guia de Centro II</v>
      </c>
      <c r="O105" s="1106">
        <v>1.02087691000006E+18</v>
      </c>
      <c r="P105" s="1107">
        <f>NOMINA!W81</f>
        <v>112.5</v>
      </c>
      <c r="Q105" s="1108">
        <f>NOMINA!AG81</f>
        <v>17.100000000000001</v>
      </c>
      <c r="R105" s="1108">
        <f>NOMINA!AI81</f>
        <v>65</v>
      </c>
      <c r="S105" s="1108">
        <f>NOMINA!AK81</f>
        <v>38.92</v>
      </c>
      <c r="T105" s="1108">
        <f>+NOMINA!AO81</f>
        <v>0</v>
      </c>
      <c r="U105" s="1108">
        <f>+NOMINA!AQ81</f>
        <v>0</v>
      </c>
      <c r="V105" s="1108">
        <f>+NOMINA!AR81</f>
        <v>0</v>
      </c>
      <c r="W105" s="1108">
        <f>+NOMINA!AS81</f>
        <v>0</v>
      </c>
      <c r="X105" s="1108">
        <f>ROUND(NOMINA!AW81,2)</f>
        <v>140.11000000000001</v>
      </c>
      <c r="Y105" s="1108">
        <f>ROUND(NOMINA!AX81,2)</f>
        <v>4857.2</v>
      </c>
      <c r="Z105" s="1108">
        <f>ROUND(NOMINA!BB81,2)+ROUND(NOMINA!BF81,2)</f>
        <v>0</v>
      </c>
      <c r="AA105" s="1108">
        <f>ROUND(NOMINA!BK81,2)*0</f>
        <v>0</v>
      </c>
      <c r="AB105" s="1108">
        <f>+NOMINA!BJ81</f>
        <v>12.5</v>
      </c>
      <c r="AC105" s="1108">
        <f>ROUND(NOMINA!BG81,2)</f>
        <v>320</v>
      </c>
      <c r="AD105" s="1711">
        <f t="shared" si="5"/>
        <v>5563.33</v>
      </c>
      <c r="AF105" s="625"/>
    </row>
    <row r="106" spans="1:32" s="620" customFormat="1" ht="18" customHeight="1" thickBot="1" x14ac:dyDescent="0.25">
      <c r="A106" s="758" t="s">
        <v>2846</v>
      </c>
      <c r="B106" s="508">
        <f t="shared" si="7"/>
        <v>39</v>
      </c>
      <c r="C106" s="1102">
        <f>NOMINA!C82</f>
        <v>10400365</v>
      </c>
      <c r="D106" s="1103" t="str">
        <f>NOMINA!D82</f>
        <v>Briceño Ruiz Sara Josefina</v>
      </c>
      <c r="E106" s="1468" t="s">
        <v>4622</v>
      </c>
      <c r="F106" s="1110">
        <v>32351</v>
      </c>
      <c r="G106" s="1468" t="s">
        <v>4620</v>
      </c>
      <c r="H106" s="1442">
        <f>NOMINA!H82</f>
        <v>39328</v>
      </c>
      <c r="I106" s="1105">
        <f>NOMINA!I82</f>
        <v>18</v>
      </c>
      <c r="J106" s="1106">
        <f>NOMINA!J82</f>
        <v>0</v>
      </c>
      <c r="K106" s="1105">
        <f t="shared" si="6"/>
        <v>18</v>
      </c>
      <c r="L106" s="1106" t="s">
        <v>4932</v>
      </c>
      <c r="M106" s="1106"/>
      <c r="N106" s="1443" t="str">
        <f>NOMINA!O82</f>
        <v>Supervisor de Servicios Generales IV</v>
      </c>
      <c r="O106" s="1106">
        <v>1.02087691000006E+18</v>
      </c>
      <c r="P106" s="1107">
        <f>NOMINA!W82</f>
        <v>114</v>
      </c>
      <c r="Q106" s="1108">
        <f>NOMINA!AG82</f>
        <v>25.99</v>
      </c>
      <c r="R106" s="1108">
        <f>NOMINA!AI82</f>
        <v>65</v>
      </c>
      <c r="S106" s="1108">
        <f>NOMINA!AK82</f>
        <v>41</v>
      </c>
      <c r="T106" s="1108">
        <f>+NOMINA!AO82</f>
        <v>0</v>
      </c>
      <c r="U106" s="1108">
        <f>+NOMINA!AQ82</f>
        <v>0</v>
      </c>
      <c r="V106" s="1108">
        <f>+NOMINA!AR82</f>
        <v>0</v>
      </c>
      <c r="W106" s="1108">
        <f>+NOMINA!AS82</f>
        <v>0</v>
      </c>
      <c r="X106" s="1108">
        <f>ROUND(NOMINA!AW82,2)</f>
        <v>0</v>
      </c>
      <c r="Y106" s="1108">
        <f>ROUND(NOMINA!AX82,2)</f>
        <v>3935.84</v>
      </c>
      <c r="Z106" s="1108">
        <f>ROUND(NOMINA!BB82,2)+ROUND(NOMINA!BF82,2)</f>
        <v>0</v>
      </c>
      <c r="AA106" s="1108">
        <f>ROUND(NOMINA!BK82,2)*0</f>
        <v>0</v>
      </c>
      <c r="AB106" s="1108">
        <f>+NOMINA!BJ82</f>
        <v>12.5</v>
      </c>
      <c r="AC106" s="1108">
        <f>ROUND(NOMINA!BG82,2)</f>
        <v>320</v>
      </c>
      <c r="AD106" s="1711">
        <f t="shared" si="5"/>
        <v>4514.33</v>
      </c>
      <c r="AF106" s="625"/>
    </row>
    <row r="107" spans="1:32" s="620" customFormat="1" ht="18" customHeight="1" thickBot="1" x14ac:dyDescent="0.25">
      <c r="A107" s="758" t="s">
        <v>2846</v>
      </c>
      <c r="B107" s="508">
        <f t="shared" si="7"/>
        <v>40</v>
      </c>
      <c r="C107" s="1102">
        <f>NOMINA!C83</f>
        <v>10400876</v>
      </c>
      <c r="D107" s="1103" t="str">
        <f>NOMINA!D83</f>
        <v>Ramirez Vergara Graciela de Jesus</v>
      </c>
      <c r="E107" s="1468" t="s">
        <v>4622</v>
      </c>
      <c r="F107" s="1110">
        <v>32351</v>
      </c>
      <c r="G107" s="1468" t="s">
        <v>4620</v>
      </c>
      <c r="H107" s="1442">
        <f>NOMINA!H83</f>
        <v>43556</v>
      </c>
      <c r="I107" s="1105">
        <f>NOMINA!I83</f>
        <v>6</v>
      </c>
      <c r="J107" s="1106">
        <f>NOMINA!J83</f>
        <v>10</v>
      </c>
      <c r="K107" s="1105">
        <f t="shared" si="6"/>
        <v>16</v>
      </c>
      <c r="L107" s="1106" t="s">
        <v>4932</v>
      </c>
      <c r="M107" s="1106"/>
      <c r="N107" s="1443" t="str">
        <f>NOMINA!O83</f>
        <v>Analista de Procesamiento de Datos I</v>
      </c>
      <c r="O107" s="1106">
        <v>1.02087691000006E+18</v>
      </c>
      <c r="P107" s="1107">
        <f>NOMINA!W83</f>
        <v>113</v>
      </c>
      <c r="Q107" s="1108">
        <f>NOMINA!AG83</f>
        <v>22.15</v>
      </c>
      <c r="R107" s="1108">
        <f>NOMINA!AI83</f>
        <v>65</v>
      </c>
      <c r="S107" s="1108">
        <f>NOMINA!AK83</f>
        <v>40.03</v>
      </c>
      <c r="T107" s="1108">
        <f>+NOMINA!AO83</f>
        <v>0</v>
      </c>
      <c r="U107" s="1108">
        <f>+NOMINA!AQ83</f>
        <v>0</v>
      </c>
      <c r="V107" s="1108">
        <f>+NOMINA!AR83</f>
        <v>0</v>
      </c>
      <c r="W107" s="1108">
        <f>+NOMINA!AS83</f>
        <v>0</v>
      </c>
      <c r="X107" s="1108">
        <f>ROUND(NOMINA!AW83,2)</f>
        <v>0</v>
      </c>
      <c r="Y107" s="1108">
        <f>ROUND(NOMINA!AX83,2)</f>
        <v>0</v>
      </c>
      <c r="Z107" s="1108">
        <f>ROUND(NOMINA!BB83,2)+ROUND(NOMINA!BF83,2)</f>
        <v>0</v>
      </c>
      <c r="AA107" s="1108">
        <f>ROUND(NOMINA!BK83,2)*0</f>
        <v>0</v>
      </c>
      <c r="AB107" s="1108">
        <f>+NOMINA!BJ83</f>
        <v>12.5</v>
      </c>
      <c r="AC107" s="1108">
        <f>ROUND(NOMINA!BG83,2)</f>
        <v>320</v>
      </c>
      <c r="AD107" s="1711">
        <f t="shared" si="5"/>
        <v>572.68000000000006</v>
      </c>
      <c r="AF107" s="625"/>
    </row>
    <row r="108" spans="1:32" s="620" customFormat="1" ht="18" customHeight="1" thickBot="1" x14ac:dyDescent="0.25">
      <c r="A108" s="758" t="s">
        <v>2846</v>
      </c>
      <c r="B108" s="508">
        <f t="shared" si="7"/>
        <v>41</v>
      </c>
      <c r="C108" s="1102">
        <f>NOMINA!C84</f>
        <v>10404528</v>
      </c>
      <c r="D108" s="1103" t="str">
        <f>NOMINA!D84</f>
        <v>Perez Castellano Javier Horacio</v>
      </c>
      <c r="E108" s="1468" t="s">
        <v>4622</v>
      </c>
      <c r="F108" s="1110">
        <v>32351</v>
      </c>
      <c r="G108" s="1468" t="s">
        <v>4620</v>
      </c>
      <c r="H108" s="1442">
        <f>NOMINA!H84</f>
        <v>37622</v>
      </c>
      <c r="I108" s="1105">
        <f>NOMINA!I84</f>
        <v>22</v>
      </c>
      <c r="J108" s="1106">
        <f>NOMINA!J84</f>
        <v>0</v>
      </c>
      <c r="K108" s="1105">
        <f t="shared" si="6"/>
        <v>22</v>
      </c>
      <c r="L108" s="1106" t="s">
        <v>4932</v>
      </c>
      <c r="M108" s="1106"/>
      <c r="N108" s="1443" t="str">
        <f>NOMINA!O84</f>
        <v>Administrador IV</v>
      </c>
      <c r="O108" s="1106">
        <v>1.02087691000006E+18</v>
      </c>
      <c r="P108" s="1107">
        <f>NOMINA!W84</f>
        <v>0</v>
      </c>
      <c r="Q108" s="1108">
        <f>NOMINA!AG84</f>
        <v>0</v>
      </c>
      <c r="R108" s="1108">
        <f>NOMINA!AI84</f>
        <v>0</v>
      </c>
      <c r="S108" s="1108">
        <f>NOMINA!AK84</f>
        <v>0</v>
      </c>
      <c r="T108" s="1108">
        <f>+NOMINA!AO84</f>
        <v>0</v>
      </c>
      <c r="U108" s="1108">
        <f>+NOMINA!AQ84</f>
        <v>0</v>
      </c>
      <c r="V108" s="1108">
        <f>+NOMINA!AR84</f>
        <v>0</v>
      </c>
      <c r="W108" s="1108">
        <f>+NOMINA!AS84</f>
        <v>0</v>
      </c>
      <c r="X108" s="1108">
        <f>ROUND(NOMINA!AW84,2)</f>
        <v>0</v>
      </c>
      <c r="Y108" s="1108">
        <f>ROUND(NOMINA!AX84,2)</f>
        <v>0</v>
      </c>
      <c r="Z108" s="1108">
        <f>ROUND(NOMINA!BB84,2)+ROUND(NOMINA!BF84,2)</f>
        <v>0</v>
      </c>
      <c r="AA108" s="1108">
        <f>ROUND(NOMINA!BK84,2)*0</f>
        <v>0</v>
      </c>
      <c r="AB108" s="1108">
        <f>+NOMINA!BJ84</f>
        <v>0</v>
      </c>
      <c r="AC108" s="1108">
        <f>ROUND(NOMINA!BG84,2)</f>
        <v>0</v>
      </c>
      <c r="AD108" s="1711">
        <f t="shared" si="5"/>
        <v>0</v>
      </c>
      <c r="AF108" s="625"/>
    </row>
    <row r="109" spans="1:32" s="620" customFormat="1" ht="18" customHeight="1" thickBot="1" x14ac:dyDescent="0.25">
      <c r="A109" s="758" t="s">
        <v>2846</v>
      </c>
      <c r="B109" s="508">
        <f t="shared" si="7"/>
        <v>42</v>
      </c>
      <c r="C109" s="1102">
        <f>NOMINA!C85</f>
        <v>10906110</v>
      </c>
      <c r="D109" s="1103" t="str">
        <f>NOMINA!D85</f>
        <v>Linares Prato Yraima Gregoria</v>
      </c>
      <c r="E109" s="1468" t="s">
        <v>4622</v>
      </c>
      <c r="F109" s="1110">
        <v>32351</v>
      </c>
      <c r="G109" s="1468" t="s">
        <v>4620</v>
      </c>
      <c r="H109" s="1442">
        <f>NOMINA!H85</f>
        <v>45292</v>
      </c>
      <c r="I109" s="1105">
        <f>NOMINA!I85</f>
        <v>1</v>
      </c>
      <c r="J109" s="1106">
        <f>NOMINA!J85</f>
        <v>0</v>
      </c>
      <c r="K109" s="1105">
        <f t="shared" si="6"/>
        <v>1</v>
      </c>
      <c r="L109" s="1106" t="s">
        <v>4932</v>
      </c>
      <c r="M109" s="1106"/>
      <c r="N109" s="1443" t="str">
        <f>NOMINA!O85</f>
        <v>Guia de Centro I</v>
      </c>
      <c r="O109" s="1106">
        <v>1.02087691000006E+18</v>
      </c>
      <c r="P109" s="1107">
        <f>NOMINA!W85</f>
        <v>65</v>
      </c>
      <c r="Q109" s="1108">
        <f>NOMINA!AG85</f>
        <v>0.65</v>
      </c>
      <c r="R109" s="1108">
        <f>NOMINA!AI85</f>
        <v>65</v>
      </c>
      <c r="S109" s="1108">
        <f>NOMINA!AK85</f>
        <v>0</v>
      </c>
      <c r="T109" s="1108">
        <f>+NOMINA!AO85</f>
        <v>0</v>
      </c>
      <c r="U109" s="1108">
        <f>+NOMINA!AQ85</f>
        <v>0</v>
      </c>
      <c r="V109" s="1108">
        <f>+NOMINA!AR85</f>
        <v>0</v>
      </c>
      <c r="W109" s="1108">
        <f>+NOMINA!AS85</f>
        <v>0</v>
      </c>
      <c r="X109" s="1108">
        <f>ROUND(NOMINA!AW85,2)</f>
        <v>78.39</v>
      </c>
      <c r="Y109" s="1108">
        <f>ROUND(NOMINA!AX85,2)</f>
        <v>0</v>
      </c>
      <c r="Z109" s="1108">
        <f>ROUND(NOMINA!BB85,2)+ROUND(NOMINA!BF85,2)</f>
        <v>50.95</v>
      </c>
      <c r="AA109" s="1108">
        <f>ROUND(NOMINA!BK85,2)*0</f>
        <v>0</v>
      </c>
      <c r="AB109" s="1108">
        <f>+NOMINA!BJ85</f>
        <v>12.5</v>
      </c>
      <c r="AC109" s="1108">
        <f>ROUND(NOMINA!BG85,2)</f>
        <v>320</v>
      </c>
      <c r="AD109" s="1711">
        <f t="shared" si="5"/>
        <v>592.49</v>
      </c>
      <c r="AF109" s="625"/>
    </row>
    <row r="110" spans="1:32" s="620" customFormat="1" ht="18" customHeight="1" thickBot="1" x14ac:dyDescent="0.25">
      <c r="A110" s="758" t="s">
        <v>2846</v>
      </c>
      <c r="B110" s="508">
        <f t="shared" si="7"/>
        <v>43</v>
      </c>
      <c r="C110" s="1102">
        <f>NOMINA!C86</f>
        <v>10906923</v>
      </c>
      <c r="D110" s="1103" t="str">
        <f>NOMINA!D86</f>
        <v>Cruz de Rodriguez Yanet Coromoto</v>
      </c>
      <c r="E110" s="1468" t="s">
        <v>4622</v>
      </c>
      <c r="F110" s="1110">
        <v>32351</v>
      </c>
      <c r="G110" s="1468" t="s">
        <v>4620</v>
      </c>
      <c r="H110" s="1442">
        <f>NOMINA!H86</f>
        <v>44636</v>
      </c>
      <c r="I110" s="1105">
        <f>NOMINA!I86</f>
        <v>3</v>
      </c>
      <c r="J110" s="1106">
        <f>NOMINA!J86</f>
        <v>0</v>
      </c>
      <c r="K110" s="1105">
        <f t="shared" si="6"/>
        <v>3</v>
      </c>
      <c r="L110" s="1106" t="s">
        <v>4932</v>
      </c>
      <c r="M110" s="1106"/>
      <c r="N110" s="1443" t="str">
        <f>NOMINA!O86</f>
        <v>Guia de Centro I</v>
      </c>
      <c r="O110" s="1106">
        <v>1.02087691000006E+18</v>
      </c>
      <c r="P110" s="1107">
        <f>NOMINA!W86</f>
        <v>109.5</v>
      </c>
      <c r="Q110" s="1108">
        <f>NOMINA!AG86</f>
        <v>3.28</v>
      </c>
      <c r="R110" s="1108">
        <f>NOMINA!AI86</f>
        <v>65</v>
      </c>
      <c r="S110" s="1108">
        <f>NOMINA!AK86</f>
        <v>36.799999999999997</v>
      </c>
      <c r="T110" s="1108">
        <f>+NOMINA!AO86</f>
        <v>12.5</v>
      </c>
      <c r="U110" s="1108">
        <f>+NOMINA!AQ86</f>
        <v>0</v>
      </c>
      <c r="V110" s="1108">
        <f>+NOMINA!AR86</f>
        <v>0</v>
      </c>
      <c r="W110" s="1108">
        <f>+NOMINA!AS86</f>
        <v>0</v>
      </c>
      <c r="X110" s="1108">
        <f>ROUND(NOMINA!AW86,2)</f>
        <v>0</v>
      </c>
      <c r="Y110" s="1108">
        <f>ROUND(NOMINA!AX86,2)</f>
        <v>0</v>
      </c>
      <c r="Z110" s="1108">
        <f>ROUND(NOMINA!BB86,2)+ROUND(NOMINA!BF86,2)</f>
        <v>0</v>
      </c>
      <c r="AA110" s="1108">
        <f>ROUND(NOMINA!BK86,2)*0</f>
        <v>0</v>
      </c>
      <c r="AB110" s="1108">
        <f>+NOMINA!BJ86</f>
        <v>12.5</v>
      </c>
      <c r="AC110" s="1108">
        <f>ROUND(NOMINA!BG86,2)</f>
        <v>320</v>
      </c>
      <c r="AD110" s="1711">
        <f t="shared" si="5"/>
        <v>559.57999999999993</v>
      </c>
      <c r="AF110" s="625"/>
    </row>
    <row r="111" spans="1:32" s="620" customFormat="1" ht="18" customHeight="1" thickBot="1" x14ac:dyDescent="0.25">
      <c r="A111" s="758" t="s">
        <v>2846</v>
      </c>
      <c r="B111" s="508">
        <f t="shared" si="7"/>
        <v>44</v>
      </c>
      <c r="C111" s="1102">
        <f>NOMINA!C87</f>
        <v>10908510</v>
      </c>
      <c r="D111" s="1103" t="str">
        <f>NOMINA!D87</f>
        <v>Castro de Vielma Yanira Rosa</v>
      </c>
      <c r="E111" s="1468" t="s">
        <v>4622</v>
      </c>
      <c r="F111" s="1110">
        <v>32351</v>
      </c>
      <c r="G111" s="1468" t="s">
        <v>4620</v>
      </c>
      <c r="H111" s="1442">
        <f>NOMINA!H87</f>
        <v>39874</v>
      </c>
      <c r="I111" s="1105">
        <f>NOMINA!I87</f>
        <v>16</v>
      </c>
      <c r="J111" s="1106">
        <f>NOMINA!J87</f>
        <v>6</v>
      </c>
      <c r="K111" s="1105">
        <f t="shared" si="6"/>
        <v>22</v>
      </c>
      <c r="L111" s="1106" t="s">
        <v>4932</v>
      </c>
      <c r="M111" s="1106"/>
      <c r="N111" s="1443" t="str">
        <f>NOMINA!O87</f>
        <v>Jefe de Centro</v>
      </c>
      <c r="O111" s="1106">
        <v>1.02087691000006E+18</v>
      </c>
      <c r="P111" s="1107">
        <f>NOMINA!W87</f>
        <v>143.5</v>
      </c>
      <c r="Q111" s="1108">
        <f>NOMINA!AG87</f>
        <v>42.47</v>
      </c>
      <c r="R111" s="1108">
        <f>NOMINA!AI87</f>
        <v>65</v>
      </c>
      <c r="S111" s="1108">
        <f>NOMINA!AK87</f>
        <v>62.74</v>
      </c>
      <c r="T111" s="1108">
        <f>+NOMINA!AO87</f>
        <v>0</v>
      </c>
      <c r="U111" s="1108">
        <f>+NOMINA!AQ87</f>
        <v>0</v>
      </c>
      <c r="V111" s="1108">
        <f>+NOMINA!AR87</f>
        <v>0</v>
      </c>
      <c r="W111" s="1108">
        <f>+NOMINA!AS87</f>
        <v>0</v>
      </c>
      <c r="X111" s="1108">
        <f>ROUND(NOMINA!AW87,2)</f>
        <v>0</v>
      </c>
      <c r="Y111" s="1108">
        <f>ROUND(NOMINA!AX87,2)</f>
        <v>0</v>
      </c>
      <c r="Z111" s="1108">
        <f>ROUND(NOMINA!BB87,2)+ROUND(NOMINA!BF87,2)</f>
        <v>0</v>
      </c>
      <c r="AA111" s="1108">
        <f>ROUND(NOMINA!BK87,2)*0</f>
        <v>0</v>
      </c>
      <c r="AB111" s="1108">
        <f>+NOMINA!BJ87</f>
        <v>12.5</v>
      </c>
      <c r="AC111" s="1108">
        <f>ROUND(NOMINA!BG87,2)</f>
        <v>320</v>
      </c>
      <c r="AD111" s="1711">
        <f t="shared" si="5"/>
        <v>646.21</v>
      </c>
      <c r="AF111" s="625"/>
    </row>
    <row r="112" spans="1:32" s="620" customFormat="1" ht="18" customHeight="1" thickBot="1" x14ac:dyDescent="0.25">
      <c r="A112" s="758" t="s">
        <v>2846</v>
      </c>
      <c r="B112" s="508">
        <f t="shared" si="7"/>
        <v>45</v>
      </c>
      <c r="C112" s="1102">
        <f>NOMINA!C88</f>
        <v>10909245</v>
      </c>
      <c r="D112" s="1103" t="str">
        <f>NOMINA!D88</f>
        <v>Delduca Moreno Luisa</v>
      </c>
      <c r="E112" s="1468" t="s">
        <v>4622</v>
      </c>
      <c r="F112" s="1110">
        <v>32351</v>
      </c>
      <c r="G112" s="1468" t="s">
        <v>4620</v>
      </c>
      <c r="H112" s="1442">
        <f>NOMINA!H88</f>
        <v>36054</v>
      </c>
      <c r="I112" s="1105">
        <f>NOMINA!I88</f>
        <v>27</v>
      </c>
      <c r="J112" s="1106">
        <f>NOMINA!J88</f>
        <v>0</v>
      </c>
      <c r="K112" s="1105">
        <f t="shared" si="6"/>
        <v>27</v>
      </c>
      <c r="L112" s="1106" t="s">
        <v>4932</v>
      </c>
      <c r="M112" s="1106"/>
      <c r="N112" s="1443" t="str">
        <f>NOMINA!O88</f>
        <v>Guia de Centro II</v>
      </c>
      <c r="O112" s="1106">
        <v>1.02087691000006E+18</v>
      </c>
      <c r="P112" s="1107">
        <f>NOMINA!W88</f>
        <v>114</v>
      </c>
      <c r="Q112" s="1108">
        <f>NOMINA!AG88</f>
        <v>34.200000000000003</v>
      </c>
      <c r="R112" s="1108">
        <f>NOMINA!AI88</f>
        <v>65</v>
      </c>
      <c r="S112" s="1108">
        <f>NOMINA!AK88</f>
        <v>42.64</v>
      </c>
      <c r="T112" s="1108">
        <f>+NOMINA!AO88</f>
        <v>0</v>
      </c>
      <c r="U112" s="1108">
        <f>+NOMINA!AQ88</f>
        <v>0</v>
      </c>
      <c r="V112" s="1108">
        <f>+NOMINA!AR88</f>
        <v>0</v>
      </c>
      <c r="W112" s="1108">
        <f>+NOMINA!AS88</f>
        <v>0</v>
      </c>
      <c r="X112" s="1108">
        <f>ROUND(NOMINA!AW88,2)</f>
        <v>153.5</v>
      </c>
      <c r="Y112" s="1108">
        <f>ROUND(NOMINA!AX88,2)</f>
        <v>5321.44</v>
      </c>
      <c r="Z112" s="1108">
        <f>ROUND(NOMINA!BB88,2)+ROUND(NOMINA!BF88,2)</f>
        <v>99.78</v>
      </c>
      <c r="AA112" s="1108">
        <f>ROUND(NOMINA!BK88,2)*0</f>
        <v>0</v>
      </c>
      <c r="AB112" s="1108">
        <f>+NOMINA!BJ88</f>
        <v>12.5</v>
      </c>
      <c r="AC112" s="1108">
        <f>ROUND(NOMINA!BG88,2)</f>
        <v>320</v>
      </c>
      <c r="AD112" s="1711">
        <f t="shared" si="5"/>
        <v>6163.0599999999995</v>
      </c>
      <c r="AF112" s="625"/>
    </row>
    <row r="113" spans="1:32" s="620" customFormat="1" ht="18" customHeight="1" thickBot="1" x14ac:dyDescent="0.25">
      <c r="A113" s="758" t="s">
        <v>2846</v>
      </c>
      <c r="B113" s="508">
        <f t="shared" si="7"/>
        <v>46</v>
      </c>
      <c r="C113" s="1102">
        <f>NOMINA!C89</f>
        <v>10910698</v>
      </c>
      <c r="D113" s="1103" t="str">
        <f>NOMINA!D89</f>
        <v>Rangel Briceño Marcial Segundo</v>
      </c>
      <c r="E113" s="1468" t="s">
        <v>4622</v>
      </c>
      <c r="F113" s="1110">
        <v>32351</v>
      </c>
      <c r="G113" s="1468" t="s">
        <v>4620</v>
      </c>
      <c r="H113" s="1442">
        <f>NOMINA!H89</f>
        <v>43891</v>
      </c>
      <c r="I113" s="1105">
        <f>NOMINA!I89</f>
        <v>5</v>
      </c>
      <c r="J113" s="1106">
        <f>NOMINA!J89</f>
        <v>0</v>
      </c>
      <c r="K113" s="1105">
        <f t="shared" si="6"/>
        <v>5</v>
      </c>
      <c r="L113" s="1106" t="s">
        <v>4932</v>
      </c>
      <c r="M113" s="1106"/>
      <c r="N113" s="1443" t="str">
        <f>NOMINA!O89</f>
        <v>Asistente Administrativo II</v>
      </c>
      <c r="O113" s="1106">
        <v>1.02087691000006E+18</v>
      </c>
      <c r="P113" s="1107">
        <f>NOMINA!W89</f>
        <v>75</v>
      </c>
      <c r="Q113" s="1108">
        <f>NOMINA!AG89</f>
        <v>3.75</v>
      </c>
      <c r="R113" s="1108">
        <f>NOMINA!AI89</f>
        <v>65</v>
      </c>
      <c r="S113" s="1108">
        <f>NOMINA!AK89</f>
        <v>0</v>
      </c>
      <c r="T113" s="1108">
        <f>+NOMINA!AO89</f>
        <v>0</v>
      </c>
      <c r="U113" s="1108">
        <f>+NOMINA!AQ89</f>
        <v>0</v>
      </c>
      <c r="V113" s="1108">
        <f>+NOMINA!AR89</f>
        <v>0</v>
      </c>
      <c r="W113" s="1108">
        <f>+NOMINA!AS89</f>
        <v>0</v>
      </c>
      <c r="X113" s="1108">
        <f>ROUND(NOMINA!AW89,2)</f>
        <v>0</v>
      </c>
      <c r="Y113" s="1108">
        <f>ROUND(NOMINA!AX89,2)</f>
        <v>0</v>
      </c>
      <c r="Z113" s="1108">
        <f>ROUND(NOMINA!BB89,2)+ROUND(NOMINA!BF89,2)</f>
        <v>0</v>
      </c>
      <c r="AA113" s="1108">
        <f>ROUND(NOMINA!BK89,2)*0</f>
        <v>0</v>
      </c>
      <c r="AB113" s="1108">
        <f>+NOMINA!BJ89</f>
        <v>12.5</v>
      </c>
      <c r="AC113" s="1108">
        <f>ROUND(NOMINA!BG89,2)</f>
        <v>320</v>
      </c>
      <c r="AD113" s="1711">
        <f t="shared" si="5"/>
        <v>476.25</v>
      </c>
      <c r="AF113" s="625"/>
    </row>
    <row r="114" spans="1:32" s="620" customFormat="1" ht="18" customHeight="1" thickBot="1" x14ac:dyDescent="0.25">
      <c r="A114" s="758" t="s">
        <v>2846</v>
      </c>
      <c r="B114" s="508">
        <f t="shared" si="7"/>
        <v>47</v>
      </c>
      <c r="C114" s="1102">
        <f>NOMINA!C90</f>
        <v>10912595</v>
      </c>
      <c r="D114" s="1103" t="str">
        <f>NOMINA!D90</f>
        <v>Delfin Bustos Jose Hercilio</v>
      </c>
      <c r="E114" s="1468" t="s">
        <v>4622</v>
      </c>
      <c r="F114" s="1110">
        <v>32351</v>
      </c>
      <c r="G114" s="1468" t="s">
        <v>4620</v>
      </c>
      <c r="H114" s="1442">
        <f>NOMINA!H90</f>
        <v>36039</v>
      </c>
      <c r="I114" s="1105">
        <f>NOMINA!I90</f>
        <v>27</v>
      </c>
      <c r="J114" s="1106">
        <f>NOMINA!J90</f>
        <v>0</v>
      </c>
      <c r="K114" s="1105">
        <f t="shared" si="6"/>
        <v>27</v>
      </c>
      <c r="L114" s="1106" t="s">
        <v>4932</v>
      </c>
      <c r="M114" s="1106"/>
      <c r="N114" s="1443" t="str">
        <f>NOMINA!O90</f>
        <v>Guia de Centro II</v>
      </c>
      <c r="O114" s="1106">
        <v>1.02087691000006E+18</v>
      </c>
      <c r="P114" s="1107">
        <f>NOMINA!W90</f>
        <v>0</v>
      </c>
      <c r="Q114" s="1108">
        <f>NOMINA!AG90</f>
        <v>0</v>
      </c>
      <c r="R114" s="1108">
        <f>NOMINA!AI90</f>
        <v>0</v>
      </c>
      <c r="S114" s="1108">
        <f>NOMINA!AK90</f>
        <v>0</v>
      </c>
      <c r="T114" s="1108">
        <f>+NOMINA!AO90</f>
        <v>0</v>
      </c>
      <c r="U114" s="1108">
        <f>+NOMINA!AQ90</f>
        <v>0</v>
      </c>
      <c r="V114" s="1108">
        <f>+NOMINA!AR90</f>
        <v>0</v>
      </c>
      <c r="W114" s="1108">
        <f>+NOMINA!AS90</f>
        <v>0</v>
      </c>
      <c r="X114" s="1108">
        <f>ROUND(NOMINA!AW90,2)</f>
        <v>0</v>
      </c>
      <c r="Y114" s="1108">
        <f>ROUND(NOMINA!AX90,2)</f>
        <v>0</v>
      </c>
      <c r="Z114" s="1108">
        <f>ROUND(NOMINA!BB90,2)+ROUND(NOMINA!BF90,2)</f>
        <v>0</v>
      </c>
      <c r="AA114" s="1108">
        <f>ROUND(NOMINA!BK90,2)*0</f>
        <v>0</v>
      </c>
      <c r="AB114" s="1108">
        <f>+NOMINA!BJ90</f>
        <v>0</v>
      </c>
      <c r="AC114" s="1108">
        <f>ROUND(NOMINA!BG90,2)</f>
        <v>0</v>
      </c>
      <c r="AD114" s="1711">
        <f t="shared" si="5"/>
        <v>0</v>
      </c>
      <c r="AF114" s="625"/>
    </row>
    <row r="115" spans="1:32" s="620" customFormat="1" ht="18" customHeight="1" thickBot="1" x14ac:dyDescent="0.25">
      <c r="A115" s="758" t="s">
        <v>2846</v>
      </c>
      <c r="B115" s="508">
        <f t="shared" si="7"/>
        <v>48</v>
      </c>
      <c r="C115" s="1102">
        <f>NOMINA!C91</f>
        <v>10913178</v>
      </c>
      <c r="D115" s="1103" t="str">
        <f>NOMINA!D91</f>
        <v>Garcia Moreno Iris Josefina</v>
      </c>
      <c r="E115" s="1468" t="s">
        <v>4622</v>
      </c>
      <c r="F115" s="1110">
        <v>32351</v>
      </c>
      <c r="G115" s="1468" t="s">
        <v>4620</v>
      </c>
      <c r="H115" s="1442">
        <f>NOMINA!H91</f>
        <v>44805</v>
      </c>
      <c r="I115" s="1105">
        <f>NOMINA!I91</f>
        <v>3</v>
      </c>
      <c r="J115" s="1106">
        <f>NOMINA!J91</f>
        <v>9</v>
      </c>
      <c r="K115" s="1105">
        <f t="shared" si="6"/>
        <v>12</v>
      </c>
      <c r="L115" s="1106" t="s">
        <v>4932</v>
      </c>
      <c r="M115" s="1106"/>
      <c r="N115" s="1443" t="str">
        <f>NOMINA!O91</f>
        <v>Asistente de Servicio Social</v>
      </c>
      <c r="O115" s="1106">
        <v>1.02087691000006E+18</v>
      </c>
      <c r="P115" s="1107">
        <f>NOMINA!W91</f>
        <v>87</v>
      </c>
      <c r="Q115" s="1108">
        <f>NOMINA!AG91</f>
        <v>12</v>
      </c>
      <c r="R115" s="1108">
        <f>NOMINA!AI91</f>
        <v>65</v>
      </c>
      <c r="S115" s="1108">
        <f>NOMINA!AK91</f>
        <v>0</v>
      </c>
      <c r="T115" s="1108">
        <f>+NOMINA!AO91</f>
        <v>0</v>
      </c>
      <c r="U115" s="1108">
        <f>+NOMINA!AQ91</f>
        <v>0</v>
      </c>
      <c r="V115" s="1108">
        <f>+NOMINA!AR91</f>
        <v>0</v>
      </c>
      <c r="W115" s="1108">
        <f>+NOMINA!AS91</f>
        <v>0</v>
      </c>
      <c r="X115" s="1108">
        <f>ROUND(NOMINA!AW91,2)</f>
        <v>0</v>
      </c>
      <c r="Y115" s="1108">
        <f>ROUND(NOMINA!AX91,2)</f>
        <v>2624.08</v>
      </c>
      <c r="Z115" s="1108">
        <f>ROUND(NOMINA!BB91,2)+ROUND(NOMINA!BF91,2)</f>
        <v>0</v>
      </c>
      <c r="AA115" s="1108">
        <f>ROUND(NOMINA!BK91,2)*0</f>
        <v>0</v>
      </c>
      <c r="AB115" s="1108">
        <f>+NOMINA!BJ91</f>
        <v>12.5</v>
      </c>
      <c r="AC115" s="1108">
        <f>ROUND(NOMINA!BG91,2)</f>
        <v>320</v>
      </c>
      <c r="AD115" s="1711">
        <f t="shared" si="5"/>
        <v>3120.58</v>
      </c>
      <c r="AF115" s="625"/>
    </row>
    <row r="116" spans="1:32" s="620" customFormat="1" ht="18" customHeight="1" thickBot="1" x14ac:dyDescent="0.25">
      <c r="A116" s="758" t="s">
        <v>2846</v>
      </c>
      <c r="B116" s="508">
        <f t="shared" si="7"/>
        <v>49</v>
      </c>
      <c r="C116" s="1102">
        <f>NOMINA!C92</f>
        <v>10913637</v>
      </c>
      <c r="D116" s="1103" t="str">
        <f>NOMINA!D92</f>
        <v>Angarita Hernandez Ana del Carmen</v>
      </c>
      <c r="E116" s="1468" t="s">
        <v>4622</v>
      </c>
      <c r="F116" s="1110">
        <v>32351</v>
      </c>
      <c r="G116" s="1468" t="s">
        <v>4620</v>
      </c>
      <c r="H116" s="1442">
        <f>NOMINA!H92</f>
        <v>40664</v>
      </c>
      <c r="I116" s="1105">
        <f>NOMINA!I92</f>
        <v>14</v>
      </c>
      <c r="J116" s="1106">
        <f>NOMINA!J92</f>
        <v>0</v>
      </c>
      <c r="K116" s="1105">
        <f t="shared" si="6"/>
        <v>14</v>
      </c>
      <c r="L116" s="1106" t="s">
        <v>4932</v>
      </c>
      <c r="M116" s="1106"/>
      <c r="N116" s="1443" t="str">
        <f>NOMINA!O92</f>
        <v>Guia de Centro II</v>
      </c>
      <c r="O116" s="1106">
        <v>1.02087691000006E+18</v>
      </c>
      <c r="P116" s="1107">
        <f>NOMINA!W92</f>
        <v>141.5</v>
      </c>
      <c r="Q116" s="1108">
        <f>NOMINA!AG92</f>
        <v>23.49</v>
      </c>
      <c r="R116" s="1108">
        <f>NOMINA!AI92</f>
        <v>65</v>
      </c>
      <c r="S116" s="1108">
        <f>NOMINA!AK92</f>
        <v>57.5</v>
      </c>
      <c r="T116" s="1108">
        <f>+NOMINA!AO92</f>
        <v>0</v>
      </c>
      <c r="U116" s="1108">
        <f>+NOMINA!AQ92</f>
        <v>0</v>
      </c>
      <c r="V116" s="1108">
        <f>+NOMINA!AR92</f>
        <v>0</v>
      </c>
      <c r="W116" s="1108">
        <f>+NOMINA!AS92</f>
        <v>0</v>
      </c>
      <c r="X116" s="1108">
        <f>ROUND(NOMINA!AW92,2)</f>
        <v>172.49</v>
      </c>
      <c r="Y116" s="1108">
        <f>ROUND(NOMINA!AX92,2)</f>
        <v>0</v>
      </c>
      <c r="Z116" s="1108">
        <f>ROUND(NOMINA!BB92,2)+ROUND(NOMINA!BF92,2)</f>
        <v>112.12</v>
      </c>
      <c r="AA116" s="1108">
        <f>ROUND(NOMINA!BK92,2)*0</f>
        <v>0</v>
      </c>
      <c r="AB116" s="1108">
        <f>+NOMINA!BJ92</f>
        <v>12.5</v>
      </c>
      <c r="AC116" s="1108">
        <f>ROUND(NOMINA!BG92,2)</f>
        <v>320</v>
      </c>
      <c r="AD116" s="1711">
        <f t="shared" si="5"/>
        <v>904.6</v>
      </c>
      <c r="AF116" s="625"/>
    </row>
    <row r="117" spans="1:32" s="620" customFormat="1" ht="18" customHeight="1" thickBot="1" x14ac:dyDescent="0.25">
      <c r="A117" s="758" t="s">
        <v>2846</v>
      </c>
      <c r="B117" s="508">
        <f t="shared" si="7"/>
        <v>50</v>
      </c>
      <c r="C117" s="1102">
        <f>NOMINA!C93</f>
        <v>10915223</v>
      </c>
      <c r="D117" s="1103" t="str">
        <f>NOMINA!D93</f>
        <v>Contreras Rojo Gerardo Alexander</v>
      </c>
      <c r="E117" s="1468" t="s">
        <v>4622</v>
      </c>
      <c r="F117" s="1110">
        <v>32351</v>
      </c>
      <c r="G117" s="1468" t="s">
        <v>4620</v>
      </c>
      <c r="H117" s="1442">
        <f>NOMINA!H93</f>
        <v>35339</v>
      </c>
      <c r="I117" s="1105">
        <f>NOMINA!I93</f>
        <v>28</v>
      </c>
      <c r="J117" s="1106">
        <f>NOMINA!J93</f>
        <v>0</v>
      </c>
      <c r="K117" s="1105">
        <f t="shared" si="6"/>
        <v>28</v>
      </c>
      <c r="L117" s="1106" t="s">
        <v>4932</v>
      </c>
      <c r="M117" s="1106"/>
      <c r="N117" s="1443" t="str">
        <f>NOMINA!O93</f>
        <v>Tutor Facilitador III</v>
      </c>
      <c r="O117" s="1106">
        <v>1.02087691000006E+18</v>
      </c>
      <c r="P117" s="1107">
        <f>NOMINA!W93</f>
        <v>158</v>
      </c>
      <c r="Q117" s="1108">
        <f>NOMINA!AG93</f>
        <v>47.4</v>
      </c>
      <c r="R117" s="1108">
        <f>NOMINA!AI93</f>
        <v>65</v>
      </c>
      <c r="S117" s="1108">
        <f>NOMINA!AK93</f>
        <v>94.64</v>
      </c>
      <c r="T117" s="1108">
        <f>+NOMINA!AO93</f>
        <v>0</v>
      </c>
      <c r="U117" s="1108">
        <f>+NOMINA!AQ93</f>
        <v>0</v>
      </c>
      <c r="V117" s="1108">
        <f>+NOMINA!AR93</f>
        <v>0</v>
      </c>
      <c r="W117" s="1108">
        <f>+NOMINA!AS93</f>
        <v>0</v>
      </c>
      <c r="X117" s="1108">
        <f>ROUND(NOMINA!AW93,2)</f>
        <v>0</v>
      </c>
      <c r="Y117" s="1108">
        <f>ROUND(NOMINA!AX93,2)</f>
        <v>0</v>
      </c>
      <c r="Z117" s="1108">
        <f>ROUND(NOMINA!BB93,2)+ROUND(NOMINA!BF93,2)</f>
        <v>0</v>
      </c>
      <c r="AA117" s="1108">
        <f>ROUND(NOMINA!BK93,2)*0</f>
        <v>0</v>
      </c>
      <c r="AB117" s="1108">
        <f>+NOMINA!BJ93</f>
        <v>12.5</v>
      </c>
      <c r="AC117" s="1108">
        <f>ROUND(NOMINA!BG93,2)</f>
        <v>320</v>
      </c>
      <c r="AD117" s="1711">
        <f t="shared" si="5"/>
        <v>697.54</v>
      </c>
      <c r="AF117" s="625"/>
    </row>
    <row r="118" spans="1:32" s="620" customFormat="1" ht="18" customHeight="1" thickBot="1" x14ac:dyDescent="0.25">
      <c r="A118" s="758" t="s">
        <v>2846</v>
      </c>
      <c r="B118" s="508">
        <f t="shared" si="7"/>
        <v>51</v>
      </c>
      <c r="C118" s="1102">
        <f>NOMINA!C94</f>
        <v>10915384</v>
      </c>
      <c r="D118" s="1103" t="str">
        <f>NOMINA!D94</f>
        <v>Rojas Hernandez Morela del Carmen</v>
      </c>
      <c r="E118" s="1468" t="s">
        <v>4622</v>
      </c>
      <c r="F118" s="1110">
        <v>32351</v>
      </c>
      <c r="G118" s="1468" t="s">
        <v>4620</v>
      </c>
      <c r="H118" s="1442">
        <f>NOMINA!H94</f>
        <v>43147</v>
      </c>
      <c r="I118" s="1105">
        <f>NOMINA!I94</f>
        <v>7</v>
      </c>
      <c r="J118" s="1106">
        <f>NOMINA!J94</f>
        <v>0</v>
      </c>
      <c r="K118" s="1105">
        <f t="shared" si="6"/>
        <v>7</v>
      </c>
      <c r="L118" s="1106" t="s">
        <v>4932</v>
      </c>
      <c r="M118" s="1106"/>
      <c r="N118" s="1443" t="str">
        <f>NOMINA!O94</f>
        <v>Guia de Centro II</v>
      </c>
      <c r="O118" s="1106">
        <v>1.02087691000006E+18</v>
      </c>
      <c r="P118" s="1107">
        <f>NOMINA!W94</f>
        <v>110.5</v>
      </c>
      <c r="Q118" s="1108">
        <f>NOMINA!AG94</f>
        <v>8.17</v>
      </c>
      <c r="R118" s="1108">
        <f>NOMINA!AI94</f>
        <v>65</v>
      </c>
      <c r="S118" s="1108">
        <f>NOMINA!AK94</f>
        <v>36.729999999999997</v>
      </c>
      <c r="T118" s="1108">
        <f>+NOMINA!AO94</f>
        <v>0</v>
      </c>
      <c r="U118" s="1108">
        <f>+NOMINA!AQ94</f>
        <v>0</v>
      </c>
      <c r="V118" s="1108">
        <f>+NOMINA!AR94</f>
        <v>0</v>
      </c>
      <c r="W118" s="1108">
        <f>+NOMINA!AS94</f>
        <v>0</v>
      </c>
      <c r="X118" s="1108">
        <f>ROUND(NOMINA!AW94,2)</f>
        <v>132.25</v>
      </c>
      <c r="Y118" s="1108">
        <f>ROUND(NOMINA!AX94,2)</f>
        <v>0</v>
      </c>
      <c r="Z118" s="1108">
        <f>ROUND(NOMINA!BB94,2)+ROUND(NOMINA!BF94,2)</f>
        <v>85.96</v>
      </c>
      <c r="AA118" s="1108">
        <f>ROUND(NOMINA!BK94,2)*0</f>
        <v>0</v>
      </c>
      <c r="AB118" s="1108">
        <f>+NOMINA!BJ94</f>
        <v>12.5</v>
      </c>
      <c r="AC118" s="1108">
        <f>ROUND(NOMINA!BG94,2)</f>
        <v>320</v>
      </c>
      <c r="AD118" s="1711">
        <f t="shared" si="5"/>
        <v>771.1099999999999</v>
      </c>
      <c r="AF118" s="625"/>
    </row>
    <row r="119" spans="1:32" s="620" customFormat="1" ht="18" customHeight="1" thickBot="1" x14ac:dyDescent="0.25">
      <c r="A119" s="758" t="s">
        <v>2846</v>
      </c>
      <c r="B119" s="508">
        <f t="shared" si="7"/>
        <v>52</v>
      </c>
      <c r="C119" s="1102">
        <f>NOMINA!C95</f>
        <v>10915597</v>
      </c>
      <c r="D119" s="1103" t="str">
        <f>NOMINA!D95</f>
        <v>Carrillo Altuve Maria Mercedes</v>
      </c>
      <c r="E119" s="1468" t="s">
        <v>4622</v>
      </c>
      <c r="F119" s="1110">
        <v>32351</v>
      </c>
      <c r="G119" s="1468" t="s">
        <v>4620</v>
      </c>
      <c r="H119" s="1442">
        <f>NOMINA!H95</f>
        <v>44501</v>
      </c>
      <c r="I119" s="1105">
        <f>NOMINA!I95</f>
        <v>3</v>
      </c>
      <c r="J119" s="1106">
        <f>NOMINA!J95</f>
        <v>0</v>
      </c>
      <c r="K119" s="1105">
        <f t="shared" si="6"/>
        <v>3</v>
      </c>
      <c r="L119" s="1106" t="s">
        <v>4932</v>
      </c>
      <c r="M119" s="1106"/>
      <c r="N119" s="1443" t="str">
        <f>NOMINA!O95</f>
        <v>Guia de Centro I</v>
      </c>
      <c r="O119" s="1106">
        <v>1.02087691000006E+18</v>
      </c>
      <c r="P119" s="1107">
        <f>NOMINA!W95</f>
        <v>109.5</v>
      </c>
      <c r="Q119" s="1108">
        <f>NOMINA!AG95</f>
        <v>3.28</v>
      </c>
      <c r="R119" s="1108">
        <f>NOMINA!AI95</f>
        <v>65</v>
      </c>
      <c r="S119" s="1108">
        <f>NOMINA!AK95</f>
        <v>71.11</v>
      </c>
      <c r="T119" s="1108">
        <f>+NOMINA!AO95</f>
        <v>0</v>
      </c>
      <c r="U119" s="1108">
        <f>+NOMINA!AQ95</f>
        <v>0</v>
      </c>
      <c r="V119" s="1108">
        <f>+NOMINA!AR95</f>
        <v>0</v>
      </c>
      <c r="W119" s="1108">
        <f>+NOMINA!AS95</f>
        <v>0</v>
      </c>
      <c r="X119" s="1108">
        <f>ROUND(NOMINA!AW95,2)</f>
        <v>149.34</v>
      </c>
      <c r="Y119" s="1108">
        <f>ROUND(NOMINA!AX95,2)</f>
        <v>0</v>
      </c>
      <c r="Z119" s="1108">
        <f>ROUND(NOMINA!BB95,2)+ROUND(NOMINA!BF95,2)</f>
        <v>97.07</v>
      </c>
      <c r="AA119" s="1108">
        <f>ROUND(NOMINA!BK95,2)*0</f>
        <v>0</v>
      </c>
      <c r="AB119" s="1108">
        <f>+NOMINA!BJ95</f>
        <v>12.5</v>
      </c>
      <c r="AC119" s="1108">
        <f>ROUND(NOMINA!BG95,2)</f>
        <v>320</v>
      </c>
      <c r="AD119" s="1711">
        <f t="shared" si="5"/>
        <v>827.8</v>
      </c>
      <c r="AF119" s="625"/>
    </row>
    <row r="120" spans="1:32" s="620" customFormat="1" ht="18" customHeight="1" thickBot="1" x14ac:dyDescent="0.25">
      <c r="A120" s="758" t="s">
        <v>2846</v>
      </c>
      <c r="B120" s="508">
        <f t="shared" si="7"/>
        <v>53</v>
      </c>
      <c r="C120" s="1102">
        <f>NOMINA!C96</f>
        <v>11128954</v>
      </c>
      <c r="D120" s="1103" t="str">
        <f>NOMINA!D96</f>
        <v>Soto Lopez Rafael Maria</v>
      </c>
      <c r="E120" s="1468" t="s">
        <v>4622</v>
      </c>
      <c r="F120" s="1110">
        <v>32351</v>
      </c>
      <c r="G120" s="1468" t="s">
        <v>4620</v>
      </c>
      <c r="H120" s="1442">
        <f>NOMINA!H96</f>
        <v>45170</v>
      </c>
      <c r="I120" s="1105">
        <f>NOMINA!I96</f>
        <v>2</v>
      </c>
      <c r="J120" s="1106">
        <f>NOMINA!J96</f>
        <v>23</v>
      </c>
      <c r="K120" s="1105">
        <f t="shared" si="6"/>
        <v>25</v>
      </c>
      <c r="L120" s="1106" t="s">
        <v>4932</v>
      </c>
      <c r="M120" s="1106"/>
      <c r="N120" s="1443" t="str">
        <f>NOMINA!O96</f>
        <v>Guia de Centro I</v>
      </c>
      <c r="O120" s="1106">
        <v>1.02087691000006E+18</v>
      </c>
      <c r="P120" s="1107">
        <f>NOMINA!W96</f>
        <v>114</v>
      </c>
      <c r="Q120" s="1108">
        <f>NOMINA!AG96</f>
        <v>34.200000000000003</v>
      </c>
      <c r="R120" s="1108">
        <f>NOMINA!AI96</f>
        <v>65</v>
      </c>
      <c r="S120" s="1108">
        <f>NOMINA!AK96</f>
        <v>43.89</v>
      </c>
      <c r="T120" s="1108">
        <f>+NOMINA!AO96</f>
        <v>12.5</v>
      </c>
      <c r="U120" s="1108">
        <f>+NOMINA!AQ96</f>
        <v>0</v>
      </c>
      <c r="V120" s="1108">
        <f>+NOMINA!AR96</f>
        <v>0</v>
      </c>
      <c r="W120" s="1108">
        <f>+NOMINA!AS96</f>
        <v>0</v>
      </c>
      <c r="X120" s="1108">
        <f>ROUND(NOMINA!AW96,2)</f>
        <v>158</v>
      </c>
      <c r="Y120" s="1108">
        <f>ROUND(NOMINA!AX96,2)</f>
        <v>5477.44</v>
      </c>
      <c r="Z120" s="1108">
        <f>ROUND(NOMINA!BB96,2)+ROUND(NOMINA!BF96,2)</f>
        <v>102.7</v>
      </c>
      <c r="AA120" s="1108">
        <f>ROUND(NOMINA!BK96,2)*0</f>
        <v>0</v>
      </c>
      <c r="AB120" s="1108">
        <f>+NOMINA!BJ96</f>
        <v>12.5</v>
      </c>
      <c r="AC120" s="1108">
        <f>ROUND(NOMINA!BG96,2)</f>
        <v>320</v>
      </c>
      <c r="AD120" s="1711">
        <f t="shared" si="5"/>
        <v>6340.23</v>
      </c>
      <c r="AF120" s="625"/>
    </row>
    <row r="121" spans="1:32" s="620" customFormat="1" ht="18" customHeight="1" thickBot="1" x14ac:dyDescent="0.25">
      <c r="A121" s="758" t="s">
        <v>2846</v>
      </c>
      <c r="B121" s="508">
        <f t="shared" si="7"/>
        <v>54</v>
      </c>
      <c r="C121" s="1102">
        <f>NOMINA!C97</f>
        <v>11132900</v>
      </c>
      <c r="D121" s="1103" t="str">
        <f>NOMINA!D97</f>
        <v>Morillo Valero Ender Ramon</v>
      </c>
      <c r="E121" s="1468" t="s">
        <v>4622</v>
      </c>
      <c r="F121" s="1110">
        <v>32351</v>
      </c>
      <c r="G121" s="1468" t="s">
        <v>4620</v>
      </c>
      <c r="H121" s="1442">
        <f>NOMINA!H97</f>
        <v>44866</v>
      </c>
      <c r="I121" s="1105">
        <f>NOMINA!I97</f>
        <v>2</v>
      </c>
      <c r="J121" s="1106">
        <f>NOMINA!J97</f>
        <v>0</v>
      </c>
      <c r="K121" s="1105">
        <f t="shared" si="6"/>
        <v>2</v>
      </c>
      <c r="L121" s="1106" t="s">
        <v>4932</v>
      </c>
      <c r="M121" s="1106"/>
      <c r="N121" s="1443" t="str">
        <f>NOMINA!O97</f>
        <v>Guia de Centro I</v>
      </c>
      <c r="O121" s="1106">
        <v>1.02087691000006E+18</v>
      </c>
      <c r="P121" s="1107">
        <f>NOMINA!W97</f>
        <v>96</v>
      </c>
      <c r="Q121" s="1108">
        <f>NOMINA!AG97</f>
        <v>1.92</v>
      </c>
      <c r="R121" s="1108">
        <f>NOMINA!AI97</f>
        <v>65</v>
      </c>
      <c r="S121" s="1108">
        <f>NOMINA!AK97</f>
        <v>32.58</v>
      </c>
      <c r="T121" s="1108">
        <f>+NOMINA!AO97</f>
        <v>0</v>
      </c>
      <c r="U121" s="1108">
        <f>+NOMINA!AQ97</f>
        <v>0</v>
      </c>
      <c r="V121" s="1108">
        <f>+NOMINA!AR97</f>
        <v>0</v>
      </c>
      <c r="W121" s="1108">
        <f>+NOMINA!AS97</f>
        <v>0</v>
      </c>
      <c r="X121" s="1108">
        <f>ROUND(NOMINA!AW97,2)</f>
        <v>117.3</v>
      </c>
      <c r="Y121" s="1108">
        <f>ROUND(NOMINA!AX97,2)</f>
        <v>0</v>
      </c>
      <c r="Z121" s="1108">
        <f>ROUND(NOMINA!BB97,2)+ROUND(NOMINA!BF97,2)</f>
        <v>0</v>
      </c>
      <c r="AA121" s="1108">
        <f>ROUND(NOMINA!BK97,2)*0</f>
        <v>0</v>
      </c>
      <c r="AB121" s="1108">
        <f>+NOMINA!BJ97</f>
        <v>12.5</v>
      </c>
      <c r="AC121" s="1108">
        <f>ROUND(NOMINA!BG97,2)</f>
        <v>320</v>
      </c>
      <c r="AD121" s="1711">
        <f t="shared" si="5"/>
        <v>645.29999999999995</v>
      </c>
      <c r="AF121" s="625"/>
    </row>
    <row r="122" spans="1:32" s="620" customFormat="1" ht="18" customHeight="1" thickBot="1" x14ac:dyDescent="0.25">
      <c r="A122" s="758" t="s">
        <v>2846</v>
      </c>
      <c r="B122" s="508">
        <f t="shared" si="7"/>
        <v>55</v>
      </c>
      <c r="C122" s="1102">
        <f>NOMINA!C98</f>
        <v>11132943</v>
      </c>
      <c r="D122" s="1103" t="str">
        <f>NOMINA!D98</f>
        <v>Materano Delgado Yoleida Josefina</v>
      </c>
      <c r="E122" s="1468" t="s">
        <v>4622</v>
      </c>
      <c r="F122" s="1110">
        <v>32351</v>
      </c>
      <c r="G122" s="1468" t="s">
        <v>4620</v>
      </c>
      <c r="H122" s="1442">
        <f>NOMINA!H98</f>
        <v>39738</v>
      </c>
      <c r="I122" s="1105">
        <f>NOMINA!I98</f>
        <v>16</v>
      </c>
      <c r="J122" s="1106">
        <f>NOMINA!J98</f>
        <v>0</v>
      </c>
      <c r="K122" s="1105">
        <f t="shared" si="6"/>
        <v>16</v>
      </c>
      <c r="L122" s="1106" t="s">
        <v>4932</v>
      </c>
      <c r="M122" s="1106"/>
      <c r="N122" s="1443" t="str">
        <f>NOMINA!O98</f>
        <v>Guia de Centro II</v>
      </c>
      <c r="O122" s="1106">
        <v>1.02087691000006E+18</v>
      </c>
      <c r="P122" s="1107">
        <f>NOMINA!W98</f>
        <v>88</v>
      </c>
      <c r="Q122" s="1108">
        <f>NOMINA!AG98</f>
        <v>17.25</v>
      </c>
      <c r="R122" s="1108">
        <f>NOMINA!AI98</f>
        <v>65</v>
      </c>
      <c r="S122" s="1108">
        <f>NOMINA!AK98</f>
        <v>0</v>
      </c>
      <c r="T122" s="1108">
        <f>+NOMINA!AO98</f>
        <v>0</v>
      </c>
      <c r="U122" s="1108">
        <f>+NOMINA!AQ98</f>
        <v>0</v>
      </c>
      <c r="V122" s="1108">
        <f>+NOMINA!AR98</f>
        <v>0</v>
      </c>
      <c r="W122" s="1108">
        <f>+NOMINA!AS98</f>
        <v>0</v>
      </c>
      <c r="X122" s="1108">
        <f>ROUND(NOMINA!AW98,2)</f>
        <v>0</v>
      </c>
      <c r="Y122" s="1108">
        <f>ROUND(NOMINA!AX98,2)</f>
        <v>0</v>
      </c>
      <c r="Z122" s="1108">
        <f>ROUND(NOMINA!BB98,2)+ROUND(NOMINA!BF98,2)</f>
        <v>0</v>
      </c>
      <c r="AA122" s="1108">
        <f>ROUND(NOMINA!BK98,2)*0</f>
        <v>0</v>
      </c>
      <c r="AB122" s="1108">
        <f>+NOMINA!BJ98</f>
        <v>12.5</v>
      </c>
      <c r="AC122" s="1108">
        <f>ROUND(NOMINA!BG98,2)</f>
        <v>320</v>
      </c>
      <c r="AD122" s="1711">
        <f t="shared" si="5"/>
        <v>502.75</v>
      </c>
      <c r="AF122" s="625"/>
    </row>
    <row r="123" spans="1:32" s="620" customFormat="1" ht="18" customHeight="1" thickBot="1" x14ac:dyDescent="0.25">
      <c r="A123" s="758" t="s">
        <v>2846</v>
      </c>
      <c r="B123" s="508">
        <f t="shared" si="7"/>
        <v>56</v>
      </c>
      <c r="C123" s="1102">
        <f>NOMINA!C99</f>
        <v>11132979</v>
      </c>
      <c r="D123" s="1103" t="str">
        <f>NOMINA!D99</f>
        <v>Olivar Santana Maria Valbina</v>
      </c>
      <c r="E123" s="1468" t="s">
        <v>4622</v>
      </c>
      <c r="F123" s="1110">
        <v>32351</v>
      </c>
      <c r="G123" s="1468" t="s">
        <v>4620</v>
      </c>
      <c r="H123" s="1442">
        <f>NOMINA!H99</f>
        <v>44348</v>
      </c>
      <c r="I123" s="1105">
        <f>NOMINA!I99</f>
        <v>4</v>
      </c>
      <c r="J123" s="1106">
        <f>NOMINA!J99</f>
        <v>12</v>
      </c>
      <c r="K123" s="1105">
        <f t="shared" si="6"/>
        <v>16</v>
      </c>
      <c r="L123" s="1106" t="s">
        <v>4932</v>
      </c>
      <c r="M123" s="1106"/>
      <c r="N123" s="1443" t="str">
        <f>NOMINA!O99</f>
        <v>Guia de Centro II</v>
      </c>
      <c r="O123" s="1106">
        <v>1.02087691000006E+18</v>
      </c>
      <c r="P123" s="1107">
        <f>NOMINA!W99</f>
        <v>142.5</v>
      </c>
      <c r="Q123" s="1108">
        <f>NOMINA!AG99</f>
        <v>27.93</v>
      </c>
      <c r="R123" s="1108">
        <f>NOMINA!AI99</f>
        <v>65</v>
      </c>
      <c r="S123" s="1108">
        <f>NOMINA!AK99</f>
        <v>60.42</v>
      </c>
      <c r="T123" s="1108">
        <f>+NOMINA!AO99</f>
        <v>12.5</v>
      </c>
      <c r="U123" s="1108">
        <f>+NOMINA!AQ99</f>
        <v>0</v>
      </c>
      <c r="V123" s="1108">
        <f>+NOMINA!AR99</f>
        <v>0</v>
      </c>
      <c r="W123" s="1108">
        <f>+NOMINA!AS99</f>
        <v>0</v>
      </c>
      <c r="X123" s="1108">
        <f>ROUND(NOMINA!AW99,2)</f>
        <v>181.26</v>
      </c>
      <c r="Y123" s="1108">
        <f>ROUND(NOMINA!AX99,2)</f>
        <v>0</v>
      </c>
      <c r="Z123" s="1108">
        <f>ROUND(NOMINA!BB99,2)+ROUND(NOMINA!BF99,2)</f>
        <v>0</v>
      </c>
      <c r="AA123" s="1108">
        <f>ROUND(NOMINA!BK99,2)*0</f>
        <v>0</v>
      </c>
      <c r="AB123" s="1108">
        <f>+NOMINA!BJ99</f>
        <v>12.5</v>
      </c>
      <c r="AC123" s="1108">
        <f>ROUND(NOMINA!BG99,2)</f>
        <v>320</v>
      </c>
      <c r="AD123" s="1711">
        <f t="shared" si="5"/>
        <v>822.11</v>
      </c>
      <c r="AF123" s="625"/>
    </row>
    <row r="124" spans="1:32" s="620" customFormat="1" ht="18" customHeight="1" thickBot="1" x14ac:dyDescent="0.25">
      <c r="A124" s="758" t="s">
        <v>2846</v>
      </c>
      <c r="B124" s="508">
        <f t="shared" si="7"/>
        <v>57</v>
      </c>
      <c r="C124" s="1102">
        <f>NOMINA!C100</f>
        <v>11257247</v>
      </c>
      <c r="D124" s="1103" t="str">
        <f>NOMINA!D100</f>
        <v>Chacin Sanchez Eduard Fabian</v>
      </c>
      <c r="E124" s="1468" t="s">
        <v>4622</v>
      </c>
      <c r="F124" s="1110">
        <v>32351</v>
      </c>
      <c r="G124" s="1468" t="s">
        <v>4620</v>
      </c>
      <c r="H124" s="1442">
        <f>NOMINA!H100</f>
        <v>42492</v>
      </c>
      <c r="I124" s="1105">
        <f>NOMINA!I100</f>
        <v>9</v>
      </c>
      <c r="J124" s="1106">
        <f>NOMINA!J100</f>
        <v>0</v>
      </c>
      <c r="K124" s="1105">
        <f t="shared" si="6"/>
        <v>9</v>
      </c>
      <c r="L124" s="1106" t="s">
        <v>4932</v>
      </c>
      <c r="M124" s="1106"/>
      <c r="N124" s="1443" t="str">
        <f>NOMINA!O100</f>
        <v>DELEGADO PRUEBA III</v>
      </c>
      <c r="O124" s="1106">
        <v>1.02087691000006E+18</v>
      </c>
      <c r="P124" s="1107">
        <f>NOMINA!W100</f>
        <v>140.5</v>
      </c>
      <c r="Q124" s="1108">
        <f>NOMINA!AG100</f>
        <v>13.77</v>
      </c>
      <c r="R124" s="1108">
        <f>NOMINA!AI100</f>
        <v>65</v>
      </c>
      <c r="S124" s="1108">
        <f>NOMINA!AK100</f>
        <v>56.38</v>
      </c>
      <c r="T124" s="1108">
        <f>+NOMINA!AO100</f>
        <v>0</v>
      </c>
      <c r="U124" s="1108">
        <f>+NOMINA!AQ100</f>
        <v>0</v>
      </c>
      <c r="V124" s="1108">
        <f>+NOMINA!AR100</f>
        <v>0</v>
      </c>
      <c r="W124" s="1108">
        <f>+NOMINA!AS100</f>
        <v>0</v>
      </c>
      <c r="X124" s="1108">
        <f>ROUND(NOMINA!AW100,2)</f>
        <v>0</v>
      </c>
      <c r="Y124" s="1108">
        <f>ROUND(NOMINA!AX100,2)</f>
        <v>0</v>
      </c>
      <c r="Z124" s="1108">
        <f>ROUND(NOMINA!BB100,2)+ROUND(NOMINA!BF100,2)</f>
        <v>0</v>
      </c>
      <c r="AA124" s="1108">
        <f>ROUND(NOMINA!BK100,2)*0</f>
        <v>0</v>
      </c>
      <c r="AB124" s="1108">
        <f>+NOMINA!BJ100</f>
        <v>12.5</v>
      </c>
      <c r="AC124" s="1108">
        <f>ROUND(NOMINA!BG100,2)</f>
        <v>320</v>
      </c>
      <c r="AD124" s="1711">
        <f t="shared" si="5"/>
        <v>608.15000000000009</v>
      </c>
      <c r="AF124" s="625"/>
    </row>
    <row r="125" spans="1:32" s="620" customFormat="1" ht="18" customHeight="1" thickBot="1" x14ac:dyDescent="0.25">
      <c r="A125" s="758" t="s">
        <v>2846</v>
      </c>
      <c r="B125" s="508">
        <f t="shared" si="7"/>
        <v>58</v>
      </c>
      <c r="C125" s="1102">
        <f>NOMINA!C101</f>
        <v>11318142</v>
      </c>
      <c r="D125" s="1103" t="str">
        <f>NOMINA!D101</f>
        <v>Perdomo Rosales Modesto Ramon</v>
      </c>
      <c r="E125" s="1468" t="s">
        <v>4622</v>
      </c>
      <c r="F125" s="1110">
        <v>32351</v>
      </c>
      <c r="G125" s="1468" t="s">
        <v>4620</v>
      </c>
      <c r="H125" s="1442">
        <f>NOMINA!H101</f>
        <v>43983</v>
      </c>
      <c r="I125" s="1105">
        <f>NOMINA!I101</f>
        <v>5</v>
      </c>
      <c r="J125" s="1106">
        <f>NOMINA!J101</f>
        <v>0</v>
      </c>
      <c r="K125" s="1105">
        <f t="shared" si="6"/>
        <v>5</v>
      </c>
      <c r="L125" s="1106" t="s">
        <v>4932</v>
      </c>
      <c r="M125" s="1106"/>
      <c r="N125" s="1443" t="str">
        <f>NOMINA!O101</f>
        <v>Almacenista II</v>
      </c>
      <c r="O125" s="1106">
        <v>1.02087691000006E+18</v>
      </c>
      <c r="P125" s="1107">
        <f>NOMINA!W101</f>
        <v>75</v>
      </c>
      <c r="Q125" s="1108">
        <f>NOMINA!AG101</f>
        <v>3.75</v>
      </c>
      <c r="R125" s="1108">
        <f>NOMINA!AI101</f>
        <v>65</v>
      </c>
      <c r="S125" s="1108">
        <f>NOMINA!AK101</f>
        <v>0</v>
      </c>
      <c r="T125" s="1108">
        <f>+NOMINA!AO101</f>
        <v>0</v>
      </c>
      <c r="U125" s="1108">
        <f>+NOMINA!AQ101</f>
        <v>0</v>
      </c>
      <c r="V125" s="1108">
        <f>+NOMINA!AR101</f>
        <v>0</v>
      </c>
      <c r="W125" s="1108">
        <f>+NOMINA!AS101</f>
        <v>0</v>
      </c>
      <c r="X125" s="1108">
        <f>ROUND(NOMINA!AW101,2)</f>
        <v>0</v>
      </c>
      <c r="Y125" s="1108">
        <f>ROUND(NOMINA!AX101,2)</f>
        <v>0</v>
      </c>
      <c r="Z125" s="1108">
        <f>ROUND(NOMINA!BB101,2)+ROUND(NOMINA!BF101,2)</f>
        <v>0</v>
      </c>
      <c r="AA125" s="1108">
        <f>ROUND(NOMINA!BK101,2)*0</f>
        <v>0</v>
      </c>
      <c r="AB125" s="1108">
        <f>+NOMINA!BJ101</f>
        <v>12.5</v>
      </c>
      <c r="AC125" s="1108">
        <f>ROUND(NOMINA!BG101,2)</f>
        <v>320</v>
      </c>
      <c r="AD125" s="1711">
        <f t="shared" si="5"/>
        <v>476.25</v>
      </c>
      <c r="AF125" s="625"/>
    </row>
    <row r="126" spans="1:32" s="620" customFormat="1" ht="18" customHeight="1" thickBot="1" x14ac:dyDescent="0.25">
      <c r="A126" s="758" t="s">
        <v>2846</v>
      </c>
      <c r="B126" s="508">
        <f t="shared" si="7"/>
        <v>59</v>
      </c>
      <c r="C126" s="1102">
        <f>NOMINA!C102</f>
        <v>11318697</v>
      </c>
      <c r="D126" s="1103" t="str">
        <f>NOMINA!D102</f>
        <v>Sardi Hernandez Gladis Josefina</v>
      </c>
      <c r="E126" s="1468" t="s">
        <v>4622</v>
      </c>
      <c r="F126" s="1110">
        <v>32351</v>
      </c>
      <c r="G126" s="1468" t="s">
        <v>4620</v>
      </c>
      <c r="H126" s="1442">
        <f>NOMINA!H102</f>
        <v>39539</v>
      </c>
      <c r="I126" s="1105">
        <f>NOMINA!I102</f>
        <v>17</v>
      </c>
      <c r="J126" s="1106">
        <f>NOMINA!J102</f>
        <v>0</v>
      </c>
      <c r="K126" s="1105">
        <f t="shared" si="6"/>
        <v>17</v>
      </c>
      <c r="L126" s="1106" t="s">
        <v>4932</v>
      </c>
      <c r="M126" s="1106"/>
      <c r="N126" s="1443" t="str">
        <f>NOMINA!O102</f>
        <v>Asistente Administrativo III</v>
      </c>
      <c r="O126" s="1106">
        <v>1.02087691000006E+18</v>
      </c>
      <c r="P126" s="1107">
        <f>NOMINA!W102</f>
        <v>88</v>
      </c>
      <c r="Q126" s="1108">
        <f>NOMINA!AG102</f>
        <v>18.649999999999999</v>
      </c>
      <c r="R126" s="1108">
        <f>NOMINA!AI102</f>
        <v>65</v>
      </c>
      <c r="S126" s="1108">
        <f>NOMINA!AK102</f>
        <v>0</v>
      </c>
      <c r="T126" s="1108">
        <f>+NOMINA!AO102</f>
        <v>0</v>
      </c>
      <c r="U126" s="1108">
        <f>+NOMINA!AQ102</f>
        <v>0</v>
      </c>
      <c r="V126" s="1108">
        <f>+NOMINA!AR102</f>
        <v>0</v>
      </c>
      <c r="W126" s="1108">
        <f>+NOMINA!AS102</f>
        <v>0</v>
      </c>
      <c r="X126" s="1108">
        <f>ROUND(NOMINA!AW102,2)</f>
        <v>0</v>
      </c>
      <c r="Y126" s="1108">
        <f>ROUND(NOMINA!AX102,2)</f>
        <v>0</v>
      </c>
      <c r="Z126" s="1108">
        <f>ROUND(NOMINA!BB102,2)+ROUND(NOMINA!BF102,2)</f>
        <v>0</v>
      </c>
      <c r="AA126" s="1108">
        <f>ROUND(NOMINA!BK102,2)*0</f>
        <v>0</v>
      </c>
      <c r="AB126" s="1108">
        <f>+NOMINA!BJ102</f>
        <v>12.5</v>
      </c>
      <c r="AC126" s="1108">
        <f>ROUND(NOMINA!BG102,2)</f>
        <v>320</v>
      </c>
      <c r="AD126" s="1711">
        <f t="shared" si="5"/>
        <v>504.15</v>
      </c>
      <c r="AF126" s="625"/>
    </row>
    <row r="127" spans="1:32" s="620" customFormat="1" ht="18" customHeight="1" thickBot="1" x14ac:dyDescent="0.25">
      <c r="A127" s="758" t="s">
        <v>2846</v>
      </c>
      <c r="B127" s="508">
        <f t="shared" si="7"/>
        <v>60</v>
      </c>
      <c r="C127" s="1102">
        <f>NOMINA!C103</f>
        <v>11319154</v>
      </c>
      <c r="D127" s="1103" t="str">
        <f>NOMINA!D103</f>
        <v>Peña Villegas Lisette Carolina</v>
      </c>
      <c r="E127" s="1468" t="s">
        <v>4622</v>
      </c>
      <c r="F127" s="1110">
        <v>32351</v>
      </c>
      <c r="G127" s="1468" t="s">
        <v>4620</v>
      </c>
      <c r="H127" s="1442">
        <f>NOMINA!H103</f>
        <v>34428</v>
      </c>
      <c r="I127" s="1105">
        <f>NOMINA!I103</f>
        <v>31</v>
      </c>
      <c r="J127" s="1106">
        <f>NOMINA!J103</f>
        <v>0</v>
      </c>
      <c r="K127" s="1105">
        <f t="shared" si="6"/>
        <v>31</v>
      </c>
      <c r="L127" s="1106" t="s">
        <v>4932</v>
      </c>
      <c r="M127" s="1106"/>
      <c r="N127" s="1443" t="str">
        <f>NOMINA!O103</f>
        <v>Guia de Centro II</v>
      </c>
      <c r="O127" s="1106">
        <v>1.02087691000006E+18</v>
      </c>
      <c r="P127" s="1107">
        <f>NOMINA!W103</f>
        <v>158</v>
      </c>
      <c r="Q127" s="1108">
        <f>NOMINA!AG103</f>
        <v>47.4</v>
      </c>
      <c r="R127" s="1108">
        <f>NOMINA!AI103</f>
        <v>65</v>
      </c>
      <c r="S127" s="1108">
        <f>NOMINA!AK103</f>
        <v>94.64</v>
      </c>
      <c r="T127" s="1108">
        <f>+NOMINA!AO103</f>
        <v>0</v>
      </c>
      <c r="U127" s="1108">
        <f>+NOMINA!AQ103</f>
        <v>0</v>
      </c>
      <c r="V127" s="1108">
        <f>+NOMINA!AR103</f>
        <v>0</v>
      </c>
      <c r="W127" s="1108">
        <f>+NOMINA!AS103</f>
        <v>0</v>
      </c>
      <c r="X127" s="1108">
        <f>ROUND(NOMINA!AW103,2)</f>
        <v>0</v>
      </c>
      <c r="Y127" s="1108">
        <f>ROUND(NOMINA!AX103,2)</f>
        <v>0</v>
      </c>
      <c r="Z127" s="1108">
        <f>ROUND(NOMINA!BB103,2)+ROUND(NOMINA!BF103,2)</f>
        <v>0</v>
      </c>
      <c r="AA127" s="1108">
        <f>ROUND(NOMINA!BK103,2)*0</f>
        <v>0</v>
      </c>
      <c r="AB127" s="1108">
        <f>+NOMINA!BJ103</f>
        <v>12.5</v>
      </c>
      <c r="AC127" s="1108">
        <f>ROUND(NOMINA!BG103,2)</f>
        <v>320</v>
      </c>
      <c r="AD127" s="1711">
        <f t="shared" si="5"/>
        <v>697.54</v>
      </c>
      <c r="AF127" s="625"/>
    </row>
    <row r="128" spans="1:32" s="620" customFormat="1" ht="18" customHeight="1" thickBot="1" x14ac:dyDescent="0.25">
      <c r="A128" s="758" t="s">
        <v>2846</v>
      </c>
      <c r="B128" s="508">
        <f t="shared" si="7"/>
        <v>61</v>
      </c>
      <c r="C128" s="1102">
        <f>NOMINA!C104</f>
        <v>11320533</v>
      </c>
      <c r="D128" s="1103" t="str">
        <f>NOMINA!D104</f>
        <v>Suarez Chiquin Yaritza Josefina</v>
      </c>
      <c r="E128" s="1468" t="s">
        <v>4622</v>
      </c>
      <c r="F128" s="1110">
        <v>32351</v>
      </c>
      <c r="G128" s="1468" t="s">
        <v>4620</v>
      </c>
      <c r="H128" s="1442">
        <f>NOMINA!H104</f>
        <v>37629</v>
      </c>
      <c r="I128" s="1105">
        <f>NOMINA!I104</f>
        <v>22</v>
      </c>
      <c r="J128" s="1106">
        <f>NOMINA!J104</f>
        <v>0</v>
      </c>
      <c r="K128" s="1105">
        <f t="shared" si="6"/>
        <v>22</v>
      </c>
      <c r="L128" s="1106" t="s">
        <v>4932</v>
      </c>
      <c r="M128" s="1106"/>
      <c r="N128" s="1443" t="str">
        <f>NOMINA!O104</f>
        <v>Administrador IV</v>
      </c>
      <c r="O128" s="1106">
        <v>1.02087691000006E+18</v>
      </c>
      <c r="P128" s="1107">
        <f>NOMINA!W104</f>
        <v>0</v>
      </c>
      <c r="Q128" s="1108">
        <f>NOMINA!AG104</f>
        <v>0</v>
      </c>
      <c r="R128" s="1108">
        <f>NOMINA!AI104</f>
        <v>0</v>
      </c>
      <c r="S128" s="1108">
        <f>NOMINA!AK104</f>
        <v>0</v>
      </c>
      <c r="T128" s="1108">
        <f>+NOMINA!AO104</f>
        <v>0</v>
      </c>
      <c r="U128" s="1108">
        <f>+NOMINA!AQ104</f>
        <v>0</v>
      </c>
      <c r="V128" s="1108">
        <f>+NOMINA!AR104</f>
        <v>0</v>
      </c>
      <c r="W128" s="1108">
        <f>+NOMINA!AS104</f>
        <v>0</v>
      </c>
      <c r="X128" s="1108">
        <f>ROUND(NOMINA!AW104,2)</f>
        <v>0</v>
      </c>
      <c r="Y128" s="1108">
        <f>ROUND(NOMINA!AX104,2)</f>
        <v>0</v>
      </c>
      <c r="Z128" s="1108">
        <f>ROUND(NOMINA!BB104,2)+ROUND(NOMINA!BF104,2)</f>
        <v>0</v>
      </c>
      <c r="AA128" s="1108">
        <f>ROUND(NOMINA!BK104,2)*0</f>
        <v>0</v>
      </c>
      <c r="AB128" s="1108">
        <f>+NOMINA!BJ104</f>
        <v>0</v>
      </c>
      <c r="AC128" s="1108">
        <f>ROUND(NOMINA!BG104,2)</f>
        <v>0</v>
      </c>
      <c r="AD128" s="1711">
        <f t="shared" si="5"/>
        <v>0</v>
      </c>
      <c r="AF128" s="625"/>
    </row>
    <row r="129" spans="1:32" s="620" customFormat="1" ht="18" customHeight="1" thickBot="1" x14ac:dyDescent="0.25">
      <c r="A129" s="758" t="s">
        <v>2846</v>
      </c>
      <c r="B129" s="508">
        <f t="shared" si="7"/>
        <v>62</v>
      </c>
      <c r="C129" s="1102">
        <f>NOMINA!C105</f>
        <v>11322871</v>
      </c>
      <c r="D129" s="1103" t="str">
        <f>NOMINA!D105</f>
        <v>Rivas Albarran Martin Antonio</v>
      </c>
      <c r="E129" s="1468" t="s">
        <v>4622</v>
      </c>
      <c r="F129" s="1110">
        <v>32351</v>
      </c>
      <c r="G129" s="1468" t="s">
        <v>4620</v>
      </c>
      <c r="H129" s="1442">
        <f>NOMINA!H105</f>
        <v>38718</v>
      </c>
      <c r="I129" s="1105">
        <f>NOMINA!I105</f>
        <v>19</v>
      </c>
      <c r="J129" s="1106">
        <f>NOMINA!J105</f>
        <v>0</v>
      </c>
      <c r="K129" s="1105">
        <f t="shared" si="6"/>
        <v>19</v>
      </c>
      <c r="L129" s="1106" t="s">
        <v>4932</v>
      </c>
      <c r="M129" s="1106"/>
      <c r="N129" s="1443" t="str">
        <f>NOMINA!O105</f>
        <v>Tutor Facilitador III</v>
      </c>
      <c r="O129" s="1106">
        <v>1.02087691000006E+18</v>
      </c>
      <c r="P129" s="1107">
        <f>NOMINA!W105</f>
        <v>143.5</v>
      </c>
      <c r="Q129" s="1108">
        <f>NOMINA!AG105</f>
        <v>35.01</v>
      </c>
      <c r="R129" s="1108">
        <f>NOMINA!AI105</f>
        <v>65</v>
      </c>
      <c r="S129" s="1108">
        <f>NOMINA!AK105</f>
        <v>60.88</v>
      </c>
      <c r="T129" s="1108">
        <f>+NOMINA!AO105</f>
        <v>0</v>
      </c>
      <c r="U129" s="1108">
        <f>+NOMINA!AQ105</f>
        <v>0</v>
      </c>
      <c r="V129" s="1108">
        <f>+NOMINA!AR105</f>
        <v>0</v>
      </c>
      <c r="W129" s="1108">
        <f>+NOMINA!AS105</f>
        <v>0</v>
      </c>
      <c r="X129" s="1108">
        <f>ROUND(NOMINA!AW105,2)</f>
        <v>0</v>
      </c>
      <c r="Y129" s="1108">
        <f>ROUND(NOMINA!AX105,2)</f>
        <v>0</v>
      </c>
      <c r="Z129" s="1108">
        <f>ROUND(NOMINA!BB105,2)+ROUND(NOMINA!BF105,2)</f>
        <v>0</v>
      </c>
      <c r="AA129" s="1108">
        <f>ROUND(NOMINA!BK105,2)*0</f>
        <v>0</v>
      </c>
      <c r="AB129" s="1108">
        <f>+NOMINA!BJ105</f>
        <v>12.5</v>
      </c>
      <c r="AC129" s="1108">
        <f>ROUND(NOMINA!BG105,2)</f>
        <v>320</v>
      </c>
      <c r="AD129" s="1711">
        <f t="shared" si="5"/>
        <v>636.89</v>
      </c>
      <c r="AF129" s="625"/>
    </row>
    <row r="130" spans="1:32" s="620" customFormat="1" ht="18" customHeight="1" thickBot="1" x14ac:dyDescent="0.25">
      <c r="A130" s="758" t="s">
        <v>2846</v>
      </c>
      <c r="B130" s="508">
        <f t="shared" si="7"/>
        <v>63</v>
      </c>
      <c r="C130" s="1102">
        <f>NOMINA!C106</f>
        <v>11616673</v>
      </c>
      <c r="D130" s="1103" t="str">
        <f>NOMINA!D106</f>
        <v>Perdomo Orlando Jose</v>
      </c>
      <c r="E130" s="1468" t="s">
        <v>4622</v>
      </c>
      <c r="F130" s="1110">
        <v>32351</v>
      </c>
      <c r="G130" s="1468" t="s">
        <v>4620</v>
      </c>
      <c r="H130" s="1442">
        <f>NOMINA!H106</f>
        <v>35066</v>
      </c>
      <c r="I130" s="1105">
        <f>NOMINA!I106</f>
        <v>29</v>
      </c>
      <c r="J130" s="1106">
        <f>NOMINA!J106</f>
        <v>0</v>
      </c>
      <c r="K130" s="1105">
        <f t="shared" si="6"/>
        <v>29</v>
      </c>
      <c r="L130" s="1106" t="s">
        <v>4932</v>
      </c>
      <c r="M130" s="1106"/>
      <c r="N130" s="1443" t="str">
        <f>NOMINA!O106</f>
        <v>Tutor Facilitador III</v>
      </c>
      <c r="O130" s="1106">
        <v>1.02087691000006E+18</v>
      </c>
      <c r="P130" s="1107">
        <f>NOMINA!W106</f>
        <v>143.5</v>
      </c>
      <c r="Q130" s="1108">
        <f>NOMINA!AG106</f>
        <v>43.05</v>
      </c>
      <c r="R130" s="1108">
        <f>NOMINA!AI106</f>
        <v>65</v>
      </c>
      <c r="S130" s="1108">
        <f>NOMINA!AK106</f>
        <v>62.89</v>
      </c>
      <c r="T130" s="1108">
        <f>+NOMINA!AO106</f>
        <v>0</v>
      </c>
      <c r="U130" s="1108">
        <f>+NOMINA!AQ106</f>
        <v>0</v>
      </c>
      <c r="V130" s="1108">
        <f>+NOMINA!AR106</f>
        <v>0</v>
      </c>
      <c r="W130" s="1108">
        <f>+NOMINA!AS106</f>
        <v>0</v>
      </c>
      <c r="X130" s="1108">
        <f>ROUND(NOMINA!AW106,2)</f>
        <v>0</v>
      </c>
      <c r="Y130" s="1108">
        <f>ROUND(NOMINA!AX106,2)</f>
        <v>0</v>
      </c>
      <c r="Z130" s="1108">
        <f>ROUND(NOMINA!BB106,2)+ROUND(NOMINA!BF106,2)</f>
        <v>0</v>
      </c>
      <c r="AA130" s="1108">
        <f>ROUND(NOMINA!BK106,2)*0</f>
        <v>0</v>
      </c>
      <c r="AB130" s="1108">
        <f>+NOMINA!BJ106</f>
        <v>12.5</v>
      </c>
      <c r="AC130" s="1108">
        <f>ROUND(NOMINA!BG106,2)</f>
        <v>320</v>
      </c>
      <c r="AD130" s="1711">
        <f t="shared" si="5"/>
        <v>646.94000000000005</v>
      </c>
      <c r="AF130" s="625"/>
    </row>
    <row r="131" spans="1:32" s="620" customFormat="1" ht="18" customHeight="1" thickBot="1" x14ac:dyDescent="0.25">
      <c r="A131" s="758" t="s">
        <v>2846</v>
      </c>
      <c r="B131" s="508">
        <f t="shared" si="7"/>
        <v>64</v>
      </c>
      <c r="C131" s="1102">
        <f>NOMINA!C107</f>
        <v>11734553</v>
      </c>
      <c r="D131" s="1103" t="str">
        <f>NOMINA!D107</f>
        <v>Teran Torres Olga del Carmen</v>
      </c>
      <c r="E131" s="1468" t="s">
        <v>4622</v>
      </c>
      <c r="F131" s="1110">
        <v>32351</v>
      </c>
      <c r="G131" s="1468" t="s">
        <v>4620</v>
      </c>
      <c r="H131" s="1442">
        <f>NOMINA!H107</f>
        <v>43206</v>
      </c>
      <c r="I131" s="1105">
        <f>NOMINA!I107</f>
        <v>7</v>
      </c>
      <c r="J131" s="1106">
        <f>NOMINA!J107</f>
        <v>0</v>
      </c>
      <c r="K131" s="1105">
        <f t="shared" si="6"/>
        <v>7</v>
      </c>
      <c r="L131" s="1106" t="s">
        <v>4932</v>
      </c>
      <c r="M131" s="1106"/>
      <c r="N131" s="1443" t="str">
        <f>NOMINA!O107</f>
        <v>Tutor Facilitador III</v>
      </c>
      <c r="O131" s="1106">
        <v>1.02087691000006E+18</v>
      </c>
      <c r="P131" s="1107">
        <f>NOMINA!W107</f>
        <v>154</v>
      </c>
      <c r="Q131" s="1108">
        <f>NOMINA!AG107</f>
        <v>11.39</v>
      </c>
      <c r="R131" s="1108">
        <f>NOMINA!AI107</f>
        <v>65</v>
      </c>
      <c r="S131" s="1108">
        <f>NOMINA!AK107</f>
        <v>80.64</v>
      </c>
      <c r="T131" s="1108">
        <f>+NOMINA!AO107</f>
        <v>0</v>
      </c>
      <c r="U131" s="1108">
        <f>+NOMINA!AQ107</f>
        <v>0</v>
      </c>
      <c r="V131" s="1108">
        <f>+NOMINA!AR107</f>
        <v>0</v>
      </c>
      <c r="W131" s="1108">
        <f>+NOMINA!AS107</f>
        <v>0</v>
      </c>
      <c r="X131" s="1108">
        <f>ROUND(NOMINA!AW107,2)</f>
        <v>0</v>
      </c>
      <c r="Y131" s="1108">
        <f>ROUND(NOMINA!AX107,2)</f>
        <v>0</v>
      </c>
      <c r="Z131" s="1108">
        <f>ROUND(NOMINA!BB107,2)+ROUND(NOMINA!BF107,2)</f>
        <v>0</v>
      </c>
      <c r="AA131" s="1108">
        <f>ROUND(NOMINA!BK107,2)*0</f>
        <v>0</v>
      </c>
      <c r="AB131" s="1108">
        <f>+NOMINA!BJ107</f>
        <v>12.5</v>
      </c>
      <c r="AC131" s="1108">
        <f>ROUND(NOMINA!BG107,2)</f>
        <v>320</v>
      </c>
      <c r="AD131" s="1711">
        <f t="shared" si="5"/>
        <v>643.53</v>
      </c>
      <c r="AF131" s="625"/>
    </row>
    <row r="132" spans="1:32" s="620" customFormat="1" ht="18" customHeight="1" thickBot="1" x14ac:dyDescent="0.25">
      <c r="A132" s="758" t="s">
        <v>2846</v>
      </c>
      <c r="B132" s="508">
        <f t="shared" si="7"/>
        <v>65</v>
      </c>
      <c r="C132" s="1102">
        <f>NOMINA!C108</f>
        <v>11894534</v>
      </c>
      <c r="D132" s="1103" t="str">
        <f>NOMINA!D108</f>
        <v>Olmos Rodriguez Eberto de Jesus</v>
      </c>
      <c r="E132" s="1468" t="s">
        <v>4622</v>
      </c>
      <c r="F132" s="1110">
        <v>32351</v>
      </c>
      <c r="G132" s="1468" t="s">
        <v>4620</v>
      </c>
      <c r="H132" s="1442">
        <f>NOMINA!H108</f>
        <v>40909</v>
      </c>
      <c r="I132" s="1105">
        <f>NOMINA!I108</f>
        <v>13</v>
      </c>
      <c r="J132" s="1106">
        <f>NOMINA!J108</f>
        <v>13</v>
      </c>
      <c r="K132" s="1105">
        <f t="shared" si="6"/>
        <v>26</v>
      </c>
      <c r="L132" s="1106" t="s">
        <v>4932</v>
      </c>
      <c r="M132" s="1106"/>
      <c r="N132" s="1443" t="str">
        <f>NOMINA!O108</f>
        <v>Administrador Jefe</v>
      </c>
      <c r="O132" s="1106">
        <v>1.02087691000006E+18</v>
      </c>
      <c r="P132" s="1107">
        <f>NOMINA!W108</f>
        <v>0</v>
      </c>
      <c r="Q132" s="1108">
        <f>NOMINA!AG108</f>
        <v>0</v>
      </c>
      <c r="R132" s="1108">
        <f>NOMINA!AI108</f>
        <v>0</v>
      </c>
      <c r="S132" s="1108">
        <f>NOMINA!AK108</f>
        <v>0</v>
      </c>
      <c r="T132" s="1108">
        <f>+NOMINA!AO108</f>
        <v>0</v>
      </c>
      <c r="U132" s="1108">
        <f>+NOMINA!AQ108</f>
        <v>0</v>
      </c>
      <c r="V132" s="1108">
        <f>+NOMINA!AR108</f>
        <v>0</v>
      </c>
      <c r="W132" s="1108">
        <f>+NOMINA!AS108</f>
        <v>0</v>
      </c>
      <c r="X132" s="1108">
        <f>ROUND(NOMINA!AW108,2)</f>
        <v>0</v>
      </c>
      <c r="Y132" s="1108">
        <f>ROUND(NOMINA!AX108,2)</f>
        <v>0</v>
      </c>
      <c r="Z132" s="1108">
        <f>ROUND(NOMINA!BB108,2)+ROUND(NOMINA!BF108,2)</f>
        <v>0</v>
      </c>
      <c r="AA132" s="1108">
        <f>ROUND(NOMINA!BK108,2)*0</f>
        <v>0</v>
      </c>
      <c r="AB132" s="1108">
        <f>+NOMINA!BJ108</f>
        <v>0</v>
      </c>
      <c r="AC132" s="1108">
        <f>ROUND(NOMINA!BG108,2)</f>
        <v>0</v>
      </c>
      <c r="AD132" s="1711">
        <f t="shared" ref="AD132:AD195" si="8">+P132+Q132+R132+S132+X132+Y132+Z132+AC132+AA132+T132+U132+V132+W132+AB132</f>
        <v>0</v>
      </c>
      <c r="AF132" s="625"/>
    </row>
    <row r="133" spans="1:32" s="620" customFormat="1" ht="18" customHeight="1" thickBot="1" x14ac:dyDescent="0.25">
      <c r="A133" s="758" t="s">
        <v>2846</v>
      </c>
      <c r="B133" s="508">
        <f t="shared" si="7"/>
        <v>66</v>
      </c>
      <c r="C133" s="1102">
        <f>NOMINA!C109</f>
        <v>11895772</v>
      </c>
      <c r="D133" s="1103" t="str">
        <f>NOMINA!D109</f>
        <v>Rangel Rivas Ildemaro</v>
      </c>
      <c r="E133" s="1468" t="s">
        <v>4622</v>
      </c>
      <c r="F133" s="1110">
        <v>32351</v>
      </c>
      <c r="G133" s="1468" t="s">
        <v>4620</v>
      </c>
      <c r="H133" s="1442">
        <f>NOMINA!H109</f>
        <v>44743</v>
      </c>
      <c r="I133" s="1105">
        <f>NOMINA!I109</f>
        <v>3</v>
      </c>
      <c r="J133" s="1106">
        <f>NOMINA!J109</f>
        <v>0</v>
      </c>
      <c r="K133" s="1105">
        <f t="shared" ref="K133:K196" si="9">I133+J133</f>
        <v>3</v>
      </c>
      <c r="L133" s="1106" t="s">
        <v>4932</v>
      </c>
      <c r="M133" s="1106"/>
      <c r="N133" s="1443" t="str">
        <f>NOMINA!O109</f>
        <v>Entrenador Deportivo II</v>
      </c>
      <c r="O133" s="1106">
        <v>1.02087691000006E+18</v>
      </c>
      <c r="P133" s="1107">
        <f>NOMINA!W109</f>
        <v>0</v>
      </c>
      <c r="Q133" s="1108">
        <f>NOMINA!AG109</f>
        <v>0</v>
      </c>
      <c r="R133" s="1108">
        <f>NOMINA!AI109</f>
        <v>0</v>
      </c>
      <c r="S133" s="1108">
        <f>NOMINA!AK109</f>
        <v>0</v>
      </c>
      <c r="T133" s="1108">
        <f>+NOMINA!AO109</f>
        <v>0</v>
      </c>
      <c r="U133" s="1108">
        <f>+NOMINA!AQ109</f>
        <v>0</v>
      </c>
      <c r="V133" s="1108">
        <f>+NOMINA!AR109</f>
        <v>0</v>
      </c>
      <c r="W133" s="1108">
        <f>+NOMINA!AS109</f>
        <v>0</v>
      </c>
      <c r="X133" s="1108">
        <f>ROUND(NOMINA!AW109,2)</f>
        <v>0</v>
      </c>
      <c r="Y133" s="1108">
        <f>ROUND(NOMINA!AX109,2)</f>
        <v>0</v>
      </c>
      <c r="Z133" s="1108">
        <f>ROUND(NOMINA!BB109,2)+ROUND(NOMINA!BF109,2)</f>
        <v>0</v>
      </c>
      <c r="AA133" s="1108">
        <f>ROUND(NOMINA!BK109,2)*0</f>
        <v>0</v>
      </c>
      <c r="AB133" s="1108">
        <f>+NOMINA!BJ109</f>
        <v>0</v>
      </c>
      <c r="AC133" s="1108">
        <f>ROUND(NOMINA!BG109,2)</f>
        <v>0</v>
      </c>
      <c r="AD133" s="1711">
        <f t="shared" si="8"/>
        <v>0</v>
      </c>
      <c r="AF133" s="625"/>
    </row>
    <row r="134" spans="1:32" s="620" customFormat="1" ht="18" customHeight="1" thickBot="1" x14ac:dyDescent="0.25">
      <c r="A134" s="758" t="s">
        <v>2846</v>
      </c>
      <c r="B134" s="508">
        <f t="shared" ref="B134:B197" si="10">+B133+1</f>
        <v>67</v>
      </c>
      <c r="C134" s="1102">
        <f>NOMINA!C110</f>
        <v>11898486</v>
      </c>
      <c r="D134" s="1103" t="str">
        <f>NOMINA!D110</f>
        <v>Linares Hernandez Thaiz Yoconda</v>
      </c>
      <c r="E134" s="1468" t="s">
        <v>4622</v>
      </c>
      <c r="F134" s="1110">
        <v>32351</v>
      </c>
      <c r="G134" s="1468" t="s">
        <v>4620</v>
      </c>
      <c r="H134" s="1442">
        <f>NOMINA!H110</f>
        <v>40065</v>
      </c>
      <c r="I134" s="1105">
        <f>NOMINA!I110</f>
        <v>16</v>
      </c>
      <c r="J134" s="1106">
        <f>NOMINA!J110</f>
        <v>0</v>
      </c>
      <c r="K134" s="1105">
        <f t="shared" si="9"/>
        <v>16</v>
      </c>
      <c r="L134" s="1106" t="s">
        <v>4932</v>
      </c>
      <c r="M134" s="1106"/>
      <c r="N134" s="1443" t="str">
        <f>NOMINA!O110</f>
        <v>Asistente Administrativo III</v>
      </c>
      <c r="O134" s="1106">
        <v>1.02087691000006E+18</v>
      </c>
      <c r="P134" s="1107">
        <f>NOMINA!W110</f>
        <v>113</v>
      </c>
      <c r="Q134" s="1108">
        <f>NOMINA!AG110</f>
        <v>22.15</v>
      </c>
      <c r="R134" s="1108">
        <f>NOMINA!AI110</f>
        <v>65</v>
      </c>
      <c r="S134" s="1108">
        <f>NOMINA!AK110</f>
        <v>40.03</v>
      </c>
      <c r="T134" s="1108">
        <f>+NOMINA!AO110</f>
        <v>0</v>
      </c>
      <c r="U134" s="1108">
        <f>+NOMINA!AQ110</f>
        <v>0</v>
      </c>
      <c r="V134" s="1108">
        <f>+NOMINA!AR110</f>
        <v>0</v>
      </c>
      <c r="W134" s="1108">
        <f>+NOMINA!AS110</f>
        <v>0</v>
      </c>
      <c r="X134" s="1108">
        <f>ROUND(NOMINA!AW110,2)</f>
        <v>0</v>
      </c>
      <c r="Y134" s="1108">
        <f>ROUND(NOMINA!AX110,2)</f>
        <v>3842.88</v>
      </c>
      <c r="Z134" s="1108">
        <f>ROUND(NOMINA!BB110,2)+ROUND(NOMINA!BF110,2)</f>
        <v>0</v>
      </c>
      <c r="AA134" s="1108">
        <f>ROUND(NOMINA!BK110,2)*0</f>
        <v>0</v>
      </c>
      <c r="AB134" s="1108">
        <f>+NOMINA!BJ110</f>
        <v>12.5</v>
      </c>
      <c r="AC134" s="1108">
        <f>ROUND(NOMINA!BG110,2)</f>
        <v>320</v>
      </c>
      <c r="AD134" s="1711">
        <f t="shared" si="8"/>
        <v>4415.5599999999995</v>
      </c>
      <c r="AF134" s="625"/>
    </row>
    <row r="135" spans="1:32" s="620" customFormat="1" ht="18" customHeight="1" thickBot="1" x14ac:dyDescent="0.25">
      <c r="A135" s="758" t="s">
        <v>2846</v>
      </c>
      <c r="B135" s="508">
        <f t="shared" si="10"/>
        <v>68</v>
      </c>
      <c r="C135" s="1102">
        <f>NOMINA!C111</f>
        <v>12040792</v>
      </c>
      <c r="D135" s="1103" t="str">
        <f>NOMINA!D111</f>
        <v>Sulbaran Campos Jesus Alberto</v>
      </c>
      <c r="E135" s="1468" t="s">
        <v>4622</v>
      </c>
      <c r="F135" s="1110">
        <v>32351</v>
      </c>
      <c r="G135" s="1468" t="s">
        <v>4620</v>
      </c>
      <c r="H135" s="1442">
        <f>NOMINA!H111</f>
        <v>43236</v>
      </c>
      <c r="I135" s="1105">
        <f>NOMINA!I111</f>
        <v>7</v>
      </c>
      <c r="J135" s="1106">
        <f>NOMINA!J111</f>
        <v>0</v>
      </c>
      <c r="K135" s="1105">
        <f t="shared" si="9"/>
        <v>7</v>
      </c>
      <c r="L135" s="1106" t="s">
        <v>4932</v>
      </c>
      <c r="M135" s="1106"/>
      <c r="N135" s="1443" t="str">
        <f>NOMINA!O111</f>
        <v>Supervisor de Servicios Generales III</v>
      </c>
      <c r="O135" s="1106">
        <v>1.02087691000006E+18</v>
      </c>
      <c r="P135" s="1107">
        <f>NOMINA!W111</f>
        <v>110.5</v>
      </c>
      <c r="Q135" s="1108">
        <f>NOMINA!AG111</f>
        <v>8.17</v>
      </c>
      <c r="R135" s="1108">
        <f>NOMINA!AI111</f>
        <v>65</v>
      </c>
      <c r="S135" s="1108">
        <f>NOMINA!AK111</f>
        <v>0</v>
      </c>
      <c r="T135" s="1108">
        <f>+NOMINA!AO111</f>
        <v>0</v>
      </c>
      <c r="U135" s="1108">
        <f>+NOMINA!AQ111</f>
        <v>0</v>
      </c>
      <c r="V135" s="1108">
        <f>+NOMINA!AR111</f>
        <v>0</v>
      </c>
      <c r="W135" s="1108">
        <f>+NOMINA!AS111</f>
        <v>0</v>
      </c>
      <c r="X135" s="1108">
        <f>ROUND(NOMINA!AW111,2)</f>
        <v>0</v>
      </c>
      <c r="Y135" s="1108">
        <f>ROUND(NOMINA!AX111,2)</f>
        <v>0</v>
      </c>
      <c r="Z135" s="1108">
        <f>ROUND(NOMINA!BB111,2)+ROUND(NOMINA!BF111,2)</f>
        <v>0</v>
      </c>
      <c r="AA135" s="1108">
        <f>ROUND(NOMINA!BK111,2)*0</f>
        <v>0</v>
      </c>
      <c r="AB135" s="1108">
        <f>+NOMINA!BJ111</f>
        <v>12.5</v>
      </c>
      <c r="AC135" s="1108">
        <f>ROUND(NOMINA!BG111,2)</f>
        <v>320</v>
      </c>
      <c r="AD135" s="1711">
        <f t="shared" si="8"/>
        <v>516.17000000000007</v>
      </c>
      <c r="AF135" s="625"/>
    </row>
    <row r="136" spans="1:32" s="620" customFormat="1" ht="18" customHeight="1" thickBot="1" x14ac:dyDescent="0.25">
      <c r="A136" s="758" t="s">
        <v>2846</v>
      </c>
      <c r="B136" s="508">
        <f t="shared" si="10"/>
        <v>69</v>
      </c>
      <c r="C136" s="1102">
        <f>NOMINA!C112</f>
        <v>12042855</v>
      </c>
      <c r="D136" s="1103" t="str">
        <f>NOMINA!D112</f>
        <v>Alburguez  Manzanilla Neira Josefina</v>
      </c>
      <c r="E136" s="1468" t="s">
        <v>4622</v>
      </c>
      <c r="F136" s="1110">
        <v>32351</v>
      </c>
      <c r="G136" s="1468" t="s">
        <v>4620</v>
      </c>
      <c r="H136" s="1442">
        <f>NOMINA!H112</f>
        <v>44028</v>
      </c>
      <c r="I136" s="1105">
        <f>NOMINA!I112</f>
        <v>5</v>
      </c>
      <c r="J136" s="1106">
        <f>NOMINA!J112</f>
        <v>0</v>
      </c>
      <c r="K136" s="1105">
        <f t="shared" si="9"/>
        <v>5</v>
      </c>
      <c r="L136" s="1106" t="s">
        <v>4932</v>
      </c>
      <c r="M136" s="1106"/>
      <c r="N136" s="1443" t="str">
        <f>NOMINA!O112</f>
        <v>Enfermera Jefe I</v>
      </c>
      <c r="O136" s="1106">
        <v>1.02087691000006E+18</v>
      </c>
      <c r="P136" s="1107">
        <f>NOMINA!W112</f>
        <v>109.5</v>
      </c>
      <c r="Q136" s="1108">
        <f>NOMINA!AG112</f>
        <v>5.47</v>
      </c>
      <c r="R136" s="1108">
        <f>NOMINA!AI112</f>
        <v>65</v>
      </c>
      <c r="S136" s="1108">
        <f>NOMINA!AK112</f>
        <v>44.99</v>
      </c>
      <c r="T136" s="1108">
        <f>+NOMINA!AO112</f>
        <v>0</v>
      </c>
      <c r="U136" s="1108">
        <f>+NOMINA!AQ112</f>
        <v>0</v>
      </c>
      <c r="V136" s="1108">
        <f>+NOMINA!AR112</f>
        <v>0</v>
      </c>
      <c r="W136" s="1108">
        <f>+NOMINA!AS112</f>
        <v>0</v>
      </c>
      <c r="X136" s="1108">
        <f>ROUND(NOMINA!AW112,2)</f>
        <v>0</v>
      </c>
      <c r="Y136" s="1108">
        <f>ROUND(NOMINA!AX112,2)</f>
        <v>0</v>
      </c>
      <c r="Z136" s="1108">
        <f>ROUND(NOMINA!BB112,2)+ROUND(NOMINA!BF112,2)</f>
        <v>0</v>
      </c>
      <c r="AA136" s="1108">
        <f>ROUND(NOMINA!BK112,2)*0</f>
        <v>0</v>
      </c>
      <c r="AB136" s="1108">
        <f>+NOMINA!BJ112</f>
        <v>12.5</v>
      </c>
      <c r="AC136" s="1108">
        <f>ROUND(NOMINA!BG112,2)</f>
        <v>320</v>
      </c>
      <c r="AD136" s="1711">
        <f t="shared" si="8"/>
        <v>557.46</v>
      </c>
      <c r="AF136" s="625"/>
    </row>
    <row r="137" spans="1:32" s="620" customFormat="1" ht="18" customHeight="1" thickBot="1" x14ac:dyDescent="0.25">
      <c r="A137" s="758" t="s">
        <v>2846</v>
      </c>
      <c r="B137" s="508">
        <f t="shared" si="10"/>
        <v>70</v>
      </c>
      <c r="C137" s="1102">
        <f>NOMINA!C113</f>
        <v>12045335</v>
      </c>
      <c r="D137" s="1103" t="str">
        <f>NOMINA!D113</f>
        <v>Gonzalez De Briceño Yasmin Coromoto</v>
      </c>
      <c r="E137" s="1468" t="s">
        <v>4622</v>
      </c>
      <c r="F137" s="1110">
        <v>32351</v>
      </c>
      <c r="G137" s="1468" t="s">
        <v>4620</v>
      </c>
      <c r="H137" s="1442">
        <f>NOMINA!H113</f>
        <v>45505</v>
      </c>
      <c r="I137" s="1105">
        <f>NOMINA!I113</f>
        <v>1</v>
      </c>
      <c r="J137" s="1106">
        <f>NOMINA!J113</f>
        <v>0</v>
      </c>
      <c r="K137" s="1105">
        <f t="shared" si="9"/>
        <v>1</v>
      </c>
      <c r="L137" s="1106" t="s">
        <v>4932</v>
      </c>
      <c r="M137" s="1106"/>
      <c r="N137" s="1443" t="str">
        <f>NOMINA!O113</f>
        <v>Guia de Centro I</v>
      </c>
      <c r="O137" s="1106">
        <v>1.02087691000006E+18</v>
      </c>
      <c r="P137" s="1107">
        <f>NOMINA!W113</f>
        <v>123</v>
      </c>
      <c r="Q137" s="1108">
        <f>NOMINA!AG113</f>
        <v>1.23</v>
      </c>
      <c r="R137" s="1108">
        <f>NOMINA!AI113</f>
        <v>65</v>
      </c>
      <c r="S137" s="1108">
        <f>NOMINA!AK113</f>
        <v>47.31</v>
      </c>
      <c r="T137" s="1108">
        <f>+NOMINA!AO113</f>
        <v>0</v>
      </c>
      <c r="U137" s="1108">
        <f>+NOMINA!AQ113</f>
        <v>0</v>
      </c>
      <c r="V137" s="1108">
        <f>+NOMINA!AR113</f>
        <v>0</v>
      </c>
      <c r="W137" s="1108">
        <f>+NOMINA!AS113</f>
        <v>0</v>
      </c>
      <c r="X137" s="1108">
        <f>ROUND(NOMINA!AW113,2)</f>
        <v>141.91999999999999</v>
      </c>
      <c r="Y137" s="1108">
        <f>ROUND(NOMINA!AX113,2)</f>
        <v>0</v>
      </c>
      <c r="Z137" s="1108">
        <f>ROUND(NOMINA!BB113,2)+ROUND(NOMINA!BF113,2)</f>
        <v>92.25</v>
      </c>
      <c r="AA137" s="1108">
        <f>ROUND(NOMINA!BK113,2)*0</f>
        <v>0</v>
      </c>
      <c r="AB137" s="1108">
        <f>+NOMINA!BJ113</f>
        <v>12.5</v>
      </c>
      <c r="AC137" s="1108">
        <f>ROUND(NOMINA!BG113,2)</f>
        <v>320</v>
      </c>
      <c r="AD137" s="1711">
        <f t="shared" si="8"/>
        <v>803.21</v>
      </c>
      <c r="AF137" s="625"/>
    </row>
    <row r="138" spans="1:32" s="620" customFormat="1" ht="18" customHeight="1" thickBot="1" x14ac:dyDescent="0.25">
      <c r="A138" s="758" t="s">
        <v>2846</v>
      </c>
      <c r="B138" s="508">
        <f t="shared" si="10"/>
        <v>71</v>
      </c>
      <c r="C138" s="1102">
        <f>NOMINA!C114</f>
        <v>12045360</v>
      </c>
      <c r="D138" s="1103" t="str">
        <f>NOMINA!D114</f>
        <v>Montilla Lamus Ana Cristina</v>
      </c>
      <c r="E138" s="1468" t="s">
        <v>4622</v>
      </c>
      <c r="F138" s="1110">
        <v>32351</v>
      </c>
      <c r="G138" s="1468" t="s">
        <v>4620</v>
      </c>
      <c r="H138" s="1442">
        <f>NOMINA!H114</f>
        <v>39238</v>
      </c>
      <c r="I138" s="1105">
        <f>NOMINA!I114</f>
        <v>18</v>
      </c>
      <c r="J138" s="1106">
        <f>NOMINA!J114</f>
        <v>0</v>
      </c>
      <c r="K138" s="1105">
        <f t="shared" si="9"/>
        <v>18</v>
      </c>
      <c r="L138" s="1106" t="s">
        <v>4932</v>
      </c>
      <c r="M138" s="1106"/>
      <c r="N138" s="1443" t="str">
        <f>NOMINA!O114</f>
        <v>Guia de Centro I</v>
      </c>
      <c r="O138" s="1106">
        <v>1.02087691000006E+18</v>
      </c>
      <c r="P138" s="1107">
        <f>NOMINA!W114</f>
        <v>88.5</v>
      </c>
      <c r="Q138" s="1108">
        <f>NOMINA!AG114</f>
        <v>20.18</v>
      </c>
      <c r="R138" s="1108">
        <f>NOMINA!AI114</f>
        <v>65</v>
      </c>
      <c r="S138" s="1108">
        <f>NOMINA!AK114</f>
        <v>0</v>
      </c>
      <c r="T138" s="1108">
        <f>+NOMINA!AO114</f>
        <v>0</v>
      </c>
      <c r="U138" s="1108">
        <f>+NOMINA!AQ114</f>
        <v>0</v>
      </c>
      <c r="V138" s="1108">
        <f>+NOMINA!AR114</f>
        <v>0</v>
      </c>
      <c r="W138" s="1108">
        <f>+NOMINA!AS114</f>
        <v>0</v>
      </c>
      <c r="X138" s="1108">
        <f>ROUND(NOMINA!AW114,2)</f>
        <v>0</v>
      </c>
      <c r="Y138" s="1108">
        <f>ROUND(NOMINA!AX114,2)</f>
        <v>0</v>
      </c>
      <c r="Z138" s="1108">
        <f>ROUND(NOMINA!BB114,2)+ROUND(NOMINA!BF114,2)</f>
        <v>0</v>
      </c>
      <c r="AA138" s="1108">
        <f>ROUND(NOMINA!BK114,2)*0</f>
        <v>0</v>
      </c>
      <c r="AB138" s="1108">
        <f>+NOMINA!BJ114</f>
        <v>12.5</v>
      </c>
      <c r="AC138" s="1108">
        <f>ROUND(NOMINA!BG114,2)</f>
        <v>320</v>
      </c>
      <c r="AD138" s="1711">
        <f t="shared" si="8"/>
        <v>506.18</v>
      </c>
      <c r="AF138" s="625"/>
    </row>
    <row r="139" spans="1:32" s="620" customFormat="1" ht="18" customHeight="1" thickBot="1" x14ac:dyDescent="0.25">
      <c r="A139" s="758" t="s">
        <v>2846</v>
      </c>
      <c r="B139" s="508">
        <f t="shared" si="10"/>
        <v>72</v>
      </c>
      <c r="C139" s="1102">
        <f>NOMINA!C115</f>
        <v>12045504</v>
      </c>
      <c r="D139" s="1103" t="str">
        <f>NOMINA!D115</f>
        <v>Sanchez Olivar Denis Josefina</v>
      </c>
      <c r="E139" s="1468" t="s">
        <v>4622</v>
      </c>
      <c r="F139" s="1110">
        <v>32351</v>
      </c>
      <c r="G139" s="1468" t="s">
        <v>4620</v>
      </c>
      <c r="H139" s="1442">
        <f>NOMINA!H115</f>
        <v>43862</v>
      </c>
      <c r="I139" s="1105">
        <f>NOMINA!I115</f>
        <v>5</v>
      </c>
      <c r="J139" s="1106">
        <f>NOMINA!J115</f>
        <v>0</v>
      </c>
      <c r="K139" s="1105">
        <f t="shared" si="9"/>
        <v>5</v>
      </c>
      <c r="L139" s="1106" t="s">
        <v>4932</v>
      </c>
      <c r="M139" s="1106"/>
      <c r="N139" s="1443" t="str">
        <f>NOMINA!O115</f>
        <v>Asistente Administrativo II</v>
      </c>
      <c r="O139" s="1106">
        <v>1.02087691000006E+18</v>
      </c>
      <c r="P139" s="1107">
        <f>NOMINA!W115</f>
        <v>75</v>
      </c>
      <c r="Q139" s="1108">
        <f>NOMINA!AG115</f>
        <v>3.75</v>
      </c>
      <c r="R139" s="1108">
        <f>NOMINA!AI115</f>
        <v>65</v>
      </c>
      <c r="S139" s="1108">
        <f>NOMINA!AK115</f>
        <v>0</v>
      </c>
      <c r="T139" s="1108">
        <f>+NOMINA!AO115</f>
        <v>25</v>
      </c>
      <c r="U139" s="1108">
        <f>+NOMINA!AQ115</f>
        <v>0</v>
      </c>
      <c r="V139" s="1108">
        <f>+NOMINA!AR115</f>
        <v>0</v>
      </c>
      <c r="W139" s="1108">
        <f>+NOMINA!AS115</f>
        <v>0</v>
      </c>
      <c r="X139" s="1108">
        <f>ROUND(NOMINA!AW115,2)</f>
        <v>0</v>
      </c>
      <c r="Y139" s="1108">
        <f>ROUND(NOMINA!AX115,2)</f>
        <v>0</v>
      </c>
      <c r="Z139" s="1108">
        <f>ROUND(NOMINA!BB115,2)+ROUND(NOMINA!BF115,2)</f>
        <v>0</v>
      </c>
      <c r="AA139" s="1108">
        <f>ROUND(NOMINA!BK115,2)*0</f>
        <v>0</v>
      </c>
      <c r="AB139" s="1108">
        <f>+NOMINA!BJ115</f>
        <v>12.5</v>
      </c>
      <c r="AC139" s="1108">
        <f>ROUND(NOMINA!BG115,2)</f>
        <v>320</v>
      </c>
      <c r="AD139" s="1711">
        <f t="shared" si="8"/>
        <v>501.25</v>
      </c>
      <c r="AF139" s="625"/>
    </row>
    <row r="140" spans="1:32" s="620" customFormat="1" ht="18" customHeight="1" thickBot="1" x14ac:dyDescent="0.25">
      <c r="A140" s="758" t="s">
        <v>2846</v>
      </c>
      <c r="B140" s="508">
        <f t="shared" si="10"/>
        <v>73</v>
      </c>
      <c r="C140" s="1102">
        <f>NOMINA!C116</f>
        <v>12045934</v>
      </c>
      <c r="D140" s="1103" t="str">
        <f>NOMINA!D116</f>
        <v>Mendez Olmos Tulio Enrique</v>
      </c>
      <c r="E140" s="1468" t="s">
        <v>4622</v>
      </c>
      <c r="F140" s="1110">
        <v>32351</v>
      </c>
      <c r="G140" s="1468" t="s">
        <v>4620</v>
      </c>
      <c r="H140" s="1442">
        <f>NOMINA!H116</f>
        <v>36342</v>
      </c>
      <c r="I140" s="1105">
        <f>NOMINA!I116</f>
        <v>26</v>
      </c>
      <c r="J140" s="1106">
        <f>NOMINA!J116</f>
        <v>1</v>
      </c>
      <c r="K140" s="1105">
        <f t="shared" si="9"/>
        <v>27</v>
      </c>
      <c r="L140" s="1106" t="s">
        <v>4932</v>
      </c>
      <c r="M140" s="1106"/>
      <c r="N140" s="1443" t="str">
        <f>NOMINA!O116</f>
        <v>Especialista en Informatica I</v>
      </c>
      <c r="O140" s="1106">
        <v>1.02087691000006E+18</v>
      </c>
      <c r="P140" s="1107">
        <f>NOMINA!W116</f>
        <v>143.5</v>
      </c>
      <c r="Q140" s="1108">
        <f>NOMINA!AG116</f>
        <v>43.05</v>
      </c>
      <c r="R140" s="1108">
        <f>NOMINA!AI116</f>
        <v>65</v>
      </c>
      <c r="S140" s="1108">
        <f>NOMINA!AK116</f>
        <v>62.89</v>
      </c>
      <c r="T140" s="1108">
        <f>+NOMINA!AO116</f>
        <v>0</v>
      </c>
      <c r="U140" s="1108">
        <f>+NOMINA!AQ116</f>
        <v>0</v>
      </c>
      <c r="V140" s="1108">
        <f>+NOMINA!AR116</f>
        <v>0</v>
      </c>
      <c r="W140" s="1108">
        <f>+NOMINA!AS116</f>
        <v>0</v>
      </c>
      <c r="X140" s="1108">
        <f>ROUND(NOMINA!AW116,2)</f>
        <v>0</v>
      </c>
      <c r="Y140" s="1108">
        <f>ROUND(NOMINA!AX116,2)</f>
        <v>0</v>
      </c>
      <c r="Z140" s="1108">
        <f>ROUND(NOMINA!BB116,2)+ROUND(NOMINA!BF116,2)</f>
        <v>0</v>
      </c>
      <c r="AA140" s="1108">
        <f>ROUND(NOMINA!BK116,2)*0</f>
        <v>0</v>
      </c>
      <c r="AB140" s="1108">
        <f>+NOMINA!BJ116</f>
        <v>12.5</v>
      </c>
      <c r="AC140" s="1108">
        <f>ROUND(NOMINA!BG116,2)</f>
        <v>320</v>
      </c>
      <c r="AD140" s="1711">
        <f t="shared" si="8"/>
        <v>646.94000000000005</v>
      </c>
      <c r="AF140" s="625"/>
    </row>
    <row r="141" spans="1:32" s="620" customFormat="1" ht="18" customHeight="1" thickBot="1" x14ac:dyDescent="0.25">
      <c r="A141" s="758" t="s">
        <v>2846</v>
      </c>
      <c r="B141" s="508">
        <f t="shared" si="10"/>
        <v>74</v>
      </c>
      <c r="C141" s="1102">
        <f>NOMINA!C117</f>
        <v>12457981</v>
      </c>
      <c r="D141" s="1103" t="str">
        <f>NOMINA!D117</f>
        <v>Escalona Ruiz Luis Alberto</v>
      </c>
      <c r="E141" s="1468" t="s">
        <v>4622</v>
      </c>
      <c r="F141" s="1110">
        <v>32351</v>
      </c>
      <c r="G141" s="1468" t="s">
        <v>4620</v>
      </c>
      <c r="H141" s="1442">
        <f>NOMINA!H117</f>
        <v>44348</v>
      </c>
      <c r="I141" s="1105">
        <f>NOMINA!I117</f>
        <v>4</v>
      </c>
      <c r="J141" s="1106">
        <f>NOMINA!J117</f>
        <v>4</v>
      </c>
      <c r="K141" s="1105">
        <f t="shared" si="9"/>
        <v>8</v>
      </c>
      <c r="L141" s="1106" t="s">
        <v>4932</v>
      </c>
      <c r="M141" s="1106"/>
      <c r="N141" s="1443" t="str">
        <f>NOMINA!O117</f>
        <v>Medico Especialista II</v>
      </c>
      <c r="O141" s="1106">
        <v>1.02087691000006E+18</v>
      </c>
      <c r="P141" s="1107">
        <f>NOMINA!W117</f>
        <v>139.5</v>
      </c>
      <c r="Q141" s="1108">
        <f>NOMINA!AG117</f>
        <v>11.99</v>
      </c>
      <c r="R141" s="1108">
        <f>NOMINA!AI117</f>
        <v>65</v>
      </c>
      <c r="S141" s="1108">
        <f>NOMINA!AK117</f>
        <v>0</v>
      </c>
      <c r="T141" s="1108">
        <f>+NOMINA!AO117</f>
        <v>0</v>
      </c>
      <c r="U141" s="1108">
        <f>+NOMINA!AQ117</f>
        <v>0</v>
      </c>
      <c r="V141" s="1108">
        <f>+NOMINA!AR117</f>
        <v>0</v>
      </c>
      <c r="W141" s="1108">
        <f>+NOMINA!AS117</f>
        <v>0</v>
      </c>
      <c r="X141" s="1108">
        <f>ROUND(NOMINA!AW117,2)</f>
        <v>0</v>
      </c>
      <c r="Y141" s="1108">
        <f>ROUND(NOMINA!AX117,2)</f>
        <v>0</v>
      </c>
      <c r="Z141" s="1108">
        <f>ROUND(NOMINA!BB117,2)+ROUND(NOMINA!BF117,2)</f>
        <v>0</v>
      </c>
      <c r="AA141" s="1108">
        <f>ROUND(NOMINA!BK117,2)*0</f>
        <v>0</v>
      </c>
      <c r="AB141" s="1108">
        <f>+NOMINA!BJ117</f>
        <v>12.5</v>
      </c>
      <c r="AC141" s="1108">
        <f>ROUND(NOMINA!BG117,2)</f>
        <v>320</v>
      </c>
      <c r="AD141" s="1711">
        <f t="shared" si="8"/>
        <v>548.99</v>
      </c>
      <c r="AF141" s="625"/>
    </row>
    <row r="142" spans="1:32" s="620" customFormat="1" ht="18" customHeight="1" thickBot="1" x14ac:dyDescent="0.25">
      <c r="A142" s="758" t="s">
        <v>2846</v>
      </c>
      <c r="B142" s="508">
        <f t="shared" si="10"/>
        <v>75</v>
      </c>
      <c r="C142" s="1102">
        <f>NOMINA!C118</f>
        <v>12458811</v>
      </c>
      <c r="D142" s="1103" t="str">
        <f>NOMINA!D118</f>
        <v>Segovia Rondon Milagros del Valle</v>
      </c>
      <c r="E142" s="1468" t="s">
        <v>4622</v>
      </c>
      <c r="F142" s="1110">
        <v>32351</v>
      </c>
      <c r="G142" s="1468" t="s">
        <v>4620</v>
      </c>
      <c r="H142" s="1442">
        <f>NOMINA!H118</f>
        <v>39514</v>
      </c>
      <c r="I142" s="1105">
        <f>NOMINA!I118</f>
        <v>17</v>
      </c>
      <c r="J142" s="1106">
        <f>NOMINA!J118</f>
        <v>7</v>
      </c>
      <c r="K142" s="1105">
        <f t="shared" si="9"/>
        <v>24</v>
      </c>
      <c r="L142" s="1106" t="s">
        <v>4932</v>
      </c>
      <c r="M142" s="1106"/>
      <c r="N142" s="1443" t="str">
        <f>NOMINA!O118</f>
        <v>Analista de Presupuesto Jefe</v>
      </c>
      <c r="O142" s="1106">
        <v>1.02087691000006E+18</v>
      </c>
      <c r="P142" s="1107">
        <f>NOMINA!W118</f>
        <v>158</v>
      </c>
      <c r="Q142" s="1108">
        <f>NOMINA!AG118</f>
        <v>47.4</v>
      </c>
      <c r="R142" s="1108">
        <f>NOMINA!AI118</f>
        <v>65</v>
      </c>
      <c r="S142" s="1108">
        <f>NOMINA!AK118</f>
        <v>82.99</v>
      </c>
      <c r="T142" s="1108">
        <f>+NOMINA!AO118</f>
        <v>12.5</v>
      </c>
      <c r="U142" s="1108">
        <f>+NOMINA!AQ118</f>
        <v>0</v>
      </c>
      <c r="V142" s="1108">
        <f>+NOMINA!AR118</f>
        <v>0</v>
      </c>
      <c r="W142" s="1108">
        <f>+NOMINA!AS118</f>
        <v>0</v>
      </c>
      <c r="X142" s="1108">
        <f>ROUND(NOMINA!AW118,2)</f>
        <v>0</v>
      </c>
      <c r="Y142" s="1108">
        <f>ROUND(NOMINA!AX118,2)</f>
        <v>0</v>
      </c>
      <c r="Z142" s="1108">
        <f>ROUND(NOMINA!BB118,2)+ROUND(NOMINA!BF118,2)</f>
        <v>0</v>
      </c>
      <c r="AA142" s="1108">
        <f>ROUND(NOMINA!BK118,2)*0</f>
        <v>0</v>
      </c>
      <c r="AB142" s="1108">
        <f>+NOMINA!BJ118</f>
        <v>12.5</v>
      </c>
      <c r="AC142" s="1108">
        <f>ROUND(NOMINA!BG118,2)</f>
        <v>320</v>
      </c>
      <c r="AD142" s="1711">
        <f t="shared" si="8"/>
        <v>698.39</v>
      </c>
      <c r="AF142" s="625"/>
    </row>
    <row r="143" spans="1:32" s="620" customFormat="1" ht="18" customHeight="1" thickBot="1" x14ac:dyDescent="0.25">
      <c r="A143" s="758" t="s">
        <v>2846</v>
      </c>
      <c r="B143" s="508">
        <f t="shared" si="10"/>
        <v>76</v>
      </c>
      <c r="C143" s="1102">
        <f>NOMINA!C119</f>
        <v>12458942</v>
      </c>
      <c r="D143" s="1103" t="str">
        <f>NOMINA!D119</f>
        <v>Mendoza Mendoza Mirian Del Milagro</v>
      </c>
      <c r="E143" s="1468" t="s">
        <v>4622</v>
      </c>
      <c r="F143" s="1110">
        <v>32351</v>
      </c>
      <c r="G143" s="1468" t="s">
        <v>4620</v>
      </c>
      <c r="H143" s="1442">
        <f>NOMINA!H119</f>
        <v>44424</v>
      </c>
      <c r="I143" s="1105">
        <f>NOMINA!I119</f>
        <v>4</v>
      </c>
      <c r="J143" s="1106">
        <f>NOMINA!J119</f>
        <v>19</v>
      </c>
      <c r="K143" s="1105">
        <f t="shared" si="9"/>
        <v>23</v>
      </c>
      <c r="L143" s="1106" t="s">
        <v>4932</v>
      </c>
      <c r="M143" s="1106"/>
      <c r="N143" s="1443" t="str">
        <f>NOMINA!O119</f>
        <v>Administrador Jefe</v>
      </c>
      <c r="O143" s="1106">
        <v>1.02087691000006E+18</v>
      </c>
      <c r="P143" s="1107">
        <f>NOMINA!W119</f>
        <v>0</v>
      </c>
      <c r="Q143" s="1108">
        <f>NOMINA!AG119</f>
        <v>0</v>
      </c>
      <c r="R143" s="1108">
        <f>NOMINA!AI119</f>
        <v>0</v>
      </c>
      <c r="S143" s="1108">
        <f>NOMINA!AK119</f>
        <v>0</v>
      </c>
      <c r="T143" s="1108">
        <f>+NOMINA!AO119</f>
        <v>0</v>
      </c>
      <c r="U143" s="1108">
        <f>+NOMINA!AQ119</f>
        <v>0</v>
      </c>
      <c r="V143" s="1108">
        <f>+NOMINA!AR119</f>
        <v>0</v>
      </c>
      <c r="W143" s="1108">
        <f>+NOMINA!AS119</f>
        <v>0</v>
      </c>
      <c r="X143" s="1108">
        <f>ROUND(NOMINA!AW119,2)</f>
        <v>0</v>
      </c>
      <c r="Y143" s="1108">
        <f>ROUND(NOMINA!AX119,2)</f>
        <v>0</v>
      </c>
      <c r="Z143" s="1108">
        <f>ROUND(NOMINA!BB119,2)+ROUND(NOMINA!BF119,2)</f>
        <v>0</v>
      </c>
      <c r="AA143" s="1108">
        <f>ROUND(NOMINA!BK119,2)*0</f>
        <v>0</v>
      </c>
      <c r="AB143" s="1108">
        <f>+NOMINA!BJ119</f>
        <v>0</v>
      </c>
      <c r="AC143" s="1108">
        <f>ROUND(NOMINA!BG119,2)</f>
        <v>0</v>
      </c>
      <c r="AD143" s="1711">
        <f t="shared" si="8"/>
        <v>0</v>
      </c>
      <c r="AF143" s="625"/>
    </row>
    <row r="144" spans="1:32" s="620" customFormat="1" ht="18" customHeight="1" thickBot="1" x14ac:dyDescent="0.25">
      <c r="A144" s="758" t="s">
        <v>2846</v>
      </c>
      <c r="B144" s="508">
        <f t="shared" si="10"/>
        <v>77</v>
      </c>
      <c r="C144" s="1102">
        <f>NOMINA!C120</f>
        <v>12541044</v>
      </c>
      <c r="D144" s="1103" t="str">
        <f>NOMINA!D120</f>
        <v>Rojas Telles Lisbeth Josefina</v>
      </c>
      <c r="E144" s="1468" t="s">
        <v>4622</v>
      </c>
      <c r="F144" s="1110">
        <v>32351</v>
      </c>
      <c r="G144" s="1468" t="s">
        <v>4620</v>
      </c>
      <c r="H144" s="1442">
        <f>NOMINA!H120</f>
        <v>45597</v>
      </c>
      <c r="I144" s="1105">
        <f>NOMINA!I120</f>
        <v>0</v>
      </c>
      <c r="J144" s="1106">
        <f>NOMINA!J120</f>
        <v>0</v>
      </c>
      <c r="K144" s="1105">
        <f t="shared" si="9"/>
        <v>0</v>
      </c>
      <c r="L144" s="1106" t="s">
        <v>4932</v>
      </c>
      <c r="M144" s="1106"/>
      <c r="N144" s="1443" t="str">
        <f>NOMINA!O120</f>
        <v>Tutor Facilitador I</v>
      </c>
      <c r="O144" s="1106">
        <v>1.02087691000006E+18</v>
      </c>
      <c r="P144" s="1107">
        <f>NOMINA!W120</f>
        <v>123</v>
      </c>
      <c r="Q144" s="1108">
        <f>NOMINA!AG120</f>
        <v>0</v>
      </c>
      <c r="R144" s="1108">
        <f>NOMINA!AI120</f>
        <v>65</v>
      </c>
      <c r="S144" s="1108">
        <f>NOMINA!AK120</f>
        <v>48.56</v>
      </c>
      <c r="T144" s="1108">
        <f>+NOMINA!AO120</f>
        <v>12.5</v>
      </c>
      <c r="U144" s="1108">
        <f>+NOMINA!AQ120</f>
        <v>0</v>
      </c>
      <c r="V144" s="1108">
        <f>+NOMINA!AR120</f>
        <v>0</v>
      </c>
      <c r="W144" s="1108">
        <f>+NOMINA!AS120</f>
        <v>0</v>
      </c>
      <c r="X144" s="1108">
        <f>ROUND(NOMINA!AW120,2)</f>
        <v>0</v>
      </c>
      <c r="Y144" s="1108">
        <f>ROUND(NOMINA!AX120,2)</f>
        <v>0</v>
      </c>
      <c r="Z144" s="1108">
        <f>ROUND(NOMINA!BB120,2)+ROUND(NOMINA!BF120,2)</f>
        <v>0</v>
      </c>
      <c r="AA144" s="1108">
        <f>ROUND(NOMINA!BK120,2)*0</f>
        <v>0</v>
      </c>
      <c r="AB144" s="1108">
        <f>+NOMINA!BJ120</f>
        <v>12.5</v>
      </c>
      <c r="AC144" s="1108">
        <f>ROUND(NOMINA!BG120,2)</f>
        <v>320</v>
      </c>
      <c r="AD144" s="1711">
        <f t="shared" si="8"/>
        <v>581.55999999999995</v>
      </c>
      <c r="AF144" s="625"/>
    </row>
    <row r="145" spans="1:32" s="620" customFormat="1" ht="18" customHeight="1" thickBot="1" x14ac:dyDescent="0.25">
      <c r="A145" s="758" t="s">
        <v>2846</v>
      </c>
      <c r="B145" s="508">
        <f t="shared" si="10"/>
        <v>78</v>
      </c>
      <c r="C145" s="1102">
        <f>NOMINA!C121</f>
        <v>12542413</v>
      </c>
      <c r="D145" s="1103" t="str">
        <f>NOMINA!D121</f>
        <v>Aponte Matheus Richard Alexander</v>
      </c>
      <c r="E145" s="1468" t="s">
        <v>4622</v>
      </c>
      <c r="F145" s="1110">
        <v>32351</v>
      </c>
      <c r="G145" s="1468" t="s">
        <v>4620</v>
      </c>
      <c r="H145" s="1442">
        <f>NOMINA!H121</f>
        <v>36434</v>
      </c>
      <c r="I145" s="1105">
        <f>NOMINA!I121</f>
        <v>25</v>
      </c>
      <c r="J145" s="1106">
        <f>NOMINA!J121</f>
        <v>0</v>
      </c>
      <c r="K145" s="1105">
        <f t="shared" si="9"/>
        <v>25</v>
      </c>
      <c r="L145" s="1106" t="s">
        <v>4932</v>
      </c>
      <c r="M145" s="1106"/>
      <c r="N145" s="1443" t="str">
        <f>NOMINA!O121</f>
        <v>Guia de Centro II</v>
      </c>
      <c r="O145" s="1106">
        <v>1.02087691000006E+18</v>
      </c>
      <c r="P145" s="1107">
        <f>NOMINA!W121</f>
        <v>0</v>
      </c>
      <c r="Q145" s="1108">
        <f>NOMINA!AG121</f>
        <v>0</v>
      </c>
      <c r="R145" s="1108">
        <f>NOMINA!AI121</f>
        <v>0</v>
      </c>
      <c r="S145" s="1108">
        <f>NOMINA!AK121</f>
        <v>0</v>
      </c>
      <c r="T145" s="1108">
        <f>+NOMINA!AO121</f>
        <v>0</v>
      </c>
      <c r="U145" s="1108">
        <f>+NOMINA!AQ121</f>
        <v>0</v>
      </c>
      <c r="V145" s="1108">
        <f>+NOMINA!AR121</f>
        <v>0</v>
      </c>
      <c r="W145" s="1108">
        <f>+NOMINA!AS121</f>
        <v>0</v>
      </c>
      <c r="X145" s="1108">
        <f>ROUND(NOMINA!AW121,2)</f>
        <v>0</v>
      </c>
      <c r="Y145" s="1108">
        <f>ROUND(NOMINA!AX121,2)</f>
        <v>0</v>
      </c>
      <c r="Z145" s="1108">
        <f>ROUND(NOMINA!BB121,2)+ROUND(NOMINA!BF121,2)</f>
        <v>0</v>
      </c>
      <c r="AA145" s="1108">
        <f>ROUND(NOMINA!BK121,2)*0</f>
        <v>0</v>
      </c>
      <c r="AB145" s="1108">
        <f>+NOMINA!BJ121</f>
        <v>0</v>
      </c>
      <c r="AC145" s="1108">
        <f>ROUND(NOMINA!BG121,2)</f>
        <v>0</v>
      </c>
      <c r="AD145" s="1711">
        <f t="shared" si="8"/>
        <v>0</v>
      </c>
      <c r="AF145" s="625"/>
    </row>
    <row r="146" spans="1:32" s="620" customFormat="1" ht="18" customHeight="1" thickBot="1" x14ac:dyDescent="0.25">
      <c r="A146" s="758" t="s">
        <v>2846</v>
      </c>
      <c r="B146" s="508">
        <f t="shared" si="10"/>
        <v>79</v>
      </c>
      <c r="C146" s="1102">
        <f>NOMINA!C122</f>
        <v>12798604</v>
      </c>
      <c r="D146" s="1103" t="str">
        <f>NOMINA!D122</f>
        <v>Camacho Gomez Trina Margarita</v>
      </c>
      <c r="E146" s="1468" t="s">
        <v>4622</v>
      </c>
      <c r="F146" s="1110">
        <v>32351</v>
      </c>
      <c r="G146" s="1468" t="s">
        <v>4620</v>
      </c>
      <c r="H146" s="1442">
        <f>NOMINA!H122</f>
        <v>35384</v>
      </c>
      <c r="I146" s="1105">
        <f>NOMINA!I122</f>
        <v>28</v>
      </c>
      <c r="J146" s="1106">
        <f>NOMINA!J122</f>
        <v>0</v>
      </c>
      <c r="K146" s="1105">
        <f t="shared" si="9"/>
        <v>28</v>
      </c>
      <c r="L146" s="1106" t="s">
        <v>4932</v>
      </c>
      <c r="M146" s="1106"/>
      <c r="N146" s="1443" t="str">
        <f>NOMINA!O122</f>
        <v>Guia de Centro II</v>
      </c>
      <c r="O146" s="1106">
        <v>1.02087691000006E+18</v>
      </c>
      <c r="P146" s="1107">
        <f>NOMINA!W122</f>
        <v>88.5</v>
      </c>
      <c r="Q146" s="1108">
        <f>NOMINA!AG122</f>
        <v>26.55</v>
      </c>
      <c r="R146" s="1108">
        <f>NOMINA!AI122</f>
        <v>65</v>
      </c>
      <c r="S146" s="1108">
        <f>NOMINA!AK122</f>
        <v>0</v>
      </c>
      <c r="T146" s="1108">
        <f>+NOMINA!AO122</f>
        <v>12.5</v>
      </c>
      <c r="U146" s="1108">
        <f>+NOMINA!AQ122</f>
        <v>0</v>
      </c>
      <c r="V146" s="1108">
        <f>+NOMINA!AR122</f>
        <v>0</v>
      </c>
      <c r="W146" s="1108">
        <f>+NOMINA!AS122</f>
        <v>0</v>
      </c>
      <c r="X146" s="1108">
        <f>ROUND(NOMINA!AW122,2)</f>
        <v>0</v>
      </c>
      <c r="Y146" s="1108">
        <f>ROUND(NOMINA!AX122,2)</f>
        <v>0</v>
      </c>
      <c r="Z146" s="1108">
        <f>ROUND(NOMINA!BB122,2)+ROUND(NOMINA!BF122,2)</f>
        <v>0</v>
      </c>
      <c r="AA146" s="1108">
        <f>ROUND(NOMINA!BK122,2)*0</f>
        <v>0</v>
      </c>
      <c r="AB146" s="1108">
        <f>+NOMINA!BJ122</f>
        <v>12.5</v>
      </c>
      <c r="AC146" s="1108">
        <f>ROUND(NOMINA!BG122,2)</f>
        <v>320</v>
      </c>
      <c r="AD146" s="1711">
        <f t="shared" si="8"/>
        <v>525.04999999999995</v>
      </c>
      <c r="AF146" s="625"/>
    </row>
    <row r="147" spans="1:32" s="620" customFormat="1" ht="18" customHeight="1" thickBot="1" x14ac:dyDescent="0.25">
      <c r="A147" s="758" t="s">
        <v>2846</v>
      </c>
      <c r="B147" s="508">
        <f t="shared" si="10"/>
        <v>80</v>
      </c>
      <c r="C147" s="1102">
        <f>NOMINA!C123</f>
        <v>12798736</v>
      </c>
      <c r="D147" s="1103" t="str">
        <f>NOMINA!D123</f>
        <v>Gonzalez Pabon Marianela</v>
      </c>
      <c r="E147" s="1468" t="s">
        <v>4622</v>
      </c>
      <c r="F147" s="1110">
        <v>32351</v>
      </c>
      <c r="G147" s="1468" t="s">
        <v>4620</v>
      </c>
      <c r="H147" s="1442">
        <f>NOMINA!H123</f>
        <v>39479</v>
      </c>
      <c r="I147" s="1105">
        <f>NOMINA!I123</f>
        <v>17</v>
      </c>
      <c r="J147" s="1106">
        <f>NOMINA!J123</f>
        <v>7</v>
      </c>
      <c r="K147" s="1105">
        <f t="shared" si="9"/>
        <v>24</v>
      </c>
      <c r="L147" s="1106" t="s">
        <v>4932</v>
      </c>
      <c r="M147" s="1106"/>
      <c r="N147" s="1443" t="str">
        <f>NOMINA!O123</f>
        <v>Analista de Personal VI</v>
      </c>
      <c r="O147" s="1106">
        <v>1.02087691000006E+18</v>
      </c>
      <c r="P147" s="1107">
        <f>NOMINA!W123</f>
        <v>158</v>
      </c>
      <c r="Q147" s="1108">
        <f>NOMINA!AG123</f>
        <v>47.4</v>
      </c>
      <c r="R147" s="1108">
        <f>NOMINA!AI123</f>
        <v>65</v>
      </c>
      <c r="S147" s="1108">
        <f>NOMINA!AK123</f>
        <v>69.16</v>
      </c>
      <c r="T147" s="1108">
        <f>+NOMINA!AO123</f>
        <v>0</v>
      </c>
      <c r="U147" s="1108">
        <f>+NOMINA!AQ123</f>
        <v>0</v>
      </c>
      <c r="V147" s="1108">
        <f>+NOMINA!AR123</f>
        <v>0</v>
      </c>
      <c r="W147" s="1108">
        <f>+NOMINA!AS123</f>
        <v>0</v>
      </c>
      <c r="X147" s="1108">
        <f>ROUND(NOMINA!AW123,2)</f>
        <v>0</v>
      </c>
      <c r="Y147" s="1108">
        <f>ROUND(NOMINA!AX123,2)</f>
        <v>0</v>
      </c>
      <c r="Z147" s="1108">
        <f>ROUND(NOMINA!BB123,2)+ROUND(NOMINA!BF123,2)</f>
        <v>0</v>
      </c>
      <c r="AA147" s="1108">
        <f>ROUND(NOMINA!BK123,2)*0</f>
        <v>0</v>
      </c>
      <c r="AB147" s="1108">
        <f>+NOMINA!BJ123</f>
        <v>12.5</v>
      </c>
      <c r="AC147" s="1108">
        <f>ROUND(NOMINA!BG123,2)</f>
        <v>320</v>
      </c>
      <c r="AD147" s="1711">
        <f t="shared" si="8"/>
        <v>672.06</v>
      </c>
      <c r="AF147" s="625"/>
    </row>
    <row r="148" spans="1:32" s="620" customFormat="1" ht="18" customHeight="1" thickBot="1" x14ac:dyDescent="0.25">
      <c r="A148" s="758" t="s">
        <v>2846</v>
      </c>
      <c r="B148" s="508">
        <f t="shared" si="10"/>
        <v>81</v>
      </c>
      <c r="C148" s="1102">
        <f>NOMINA!C124</f>
        <v>12939010</v>
      </c>
      <c r="D148" s="1103" t="str">
        <f>NOMINA!D124</f>
        <v>Mendez de Viloria Yelitza del Valle</v>
      </c>
      <c r="E148" s="1468" t="s">
        <v>4622</v>
      </c>
      <c r="F148" s="1110">
        <v>32351</v>
      </c>
      <c r="G148" s="1468" t="s">
        <v>4620</v>
      </c>
      <c r="H148" s="1442">
        <f>NOMINA!H124</f>
        <v>42948</v>
      </c>
      <c r="I148" s="1105">
        <f>NOMINA!I124</f>
        <v>8</v>
      </c>
      <c r="J148" s="1106">
        <f>NOMINA!J124</f>
        <v>0</v>
      </c>
      <c r="K148" s="1105">
        <f t="shared" si="9"/>
        <v>8</v>
      </c>
      <c r="L148" s="1106" t="s">
        <v>4932</v>
      </c>
      <c r="M148" s="1106"/>
      <c r="N148" s="1443" t="str">
        <f>NOMINA!O124</f>
        <v>Asistente Administrativo III</v>
      </c>
      <c r="O148" s="1106">
        <v>1.02087691000006E+18</v>
      </c>
      <c r="P148" s="1107">
        <f>NOMINA!W124</f>
        <v>110.5</v>
      </c>
      <c r="Q148" s="1108">
        <f>NOMINA!AG124</f>
        <v>9.5</v>
      </c>
      <c r="R148" s="1108">
        <f>NOMINA!AI124</f>
        <v>65</v>
      </c>
      <c r="S148" s="1108">
        <f>NOMINA!AK124</f>
        <v>46.25</v>
      </c>
      <c r="T148" s="1108">
        <f>+NOMINA!AO124</f>
        <v>0</v>
      </c>
      <c r="U148" s="1108">
        <f>+NOMINA!AQ124</f>
        <v>0</v>
      </c>
      <c r="V148" s="1108">
        <f>+NOMINA!AR124</f>
        <v>0</v>
      </c>
      <c r="W148" s="1108">
        <f>+NOMINA!AS124</f>
        <v>0</v>
      </c>
      <c r="X148" s="1108">
        <f>ROUND(NOMINA!AW124,2)</f>
        <v>0</v>
      </c>
      <c r="Y148" s="1108">
        <f>ROUND(NOMINA!AX124,2)</f>
        <v>0</v>
      </c>
      <c r="Z148" s="1108">
        <f>ROUND(NOMINA!BB124,2)+ROUND(NOMINA!BF124,2)</f>
        <v>0</v>
      </c>
      <c r="AA148" s="1108">
        <f>ROUND(NOMINA!BK124,2)*0</f>
        <v>0</v>
      </c>
      <c r="AB148" s="1108">
        <f>+NOMINA!BJ124</f>
        <v>12.5</v>
      </c>
      <c r="AC148" s="1108">
        <f>ROUND(NOMINA!BG124,2)</f>
        <v>320</v>
      </c>
      <c r="AD148" s="1711">
        <f t="shared" si="8"/>
        <v>563.75</v>
      </c>
      <c r="AF148" s="625"/>
    </row>
    <row r="149" spans="1:32" s="620" customFormat="1" ht="18" customHeight="1" thickBot="1" x14ac:dyDescent="0.25">
      <c r="A149" s="758" t="s">
        <v>2846</v>
      </c>
      <c r="B149" s="508">
        <f t="shared" si="10"/>
        <v>82</v>
      </c>
      <c r="C149" s="1102">
        <f>NOMINA!C125</f>
        <v>12941385</v>
      </c>
      <c r="D149" s="1103" t="str">
        <f>NOMINA!D125</f>
        <v>Torres de Gonzalez Milangela Maria</v>
      </c>
      <c r="E149" s="1468" t="s">
        <v>4622</v>
      </c>
      <c r="F149" s="1110">
        <v>32351</v>
      </c>
      <c r="G149" s="1468" t="s">
        <v>4620</v>
      </c>
      <c r="H149" s="1442">
        <f>NOMINA!H125</f>
        <v>42948</v>
      </c>
      <c r="I149" s="1105">
        <f>NOMINA!I125</f>
        <v>8</v>
      </c>
      <c r="J149" s="1106">
        <f>NOMINA!J125</f>
        <v>0</v>
      </c>
      <c r="K149" s="1105">
        <f t="shared" si="9"/>
        <v>8</v>
      </c>
      <c r="L149" s="1106" t="s">
        <v>4932</v>
      </c>
      <c r="M149" s="1106"/>
      <c r="N149" s="1443" t="str">
        <f>NOMINA!O125</f>
        <v>Tutor Facilitador III</v>
      </c>
      <c r="O149" s="1106">
        <v>1.02087691000006E+18</v>
      </c>
      <c r="P149" s="1107">
        <f>NOMINA!W125</f>
        <v>139.5</v>
      </c>
      <c r="Q149" s="1108">
        <f>NOMINA!AG125</f>
        <v>11.99</v>
      </c>
      <c r="R149" s="1108">
        <f>NOMINA!AI125</f>
        <v>65</v>
      </c>
      <c r="S149" s="1108">
        <f>NOMINA!AK125</f>
        <v>54.12</v>
      </c>
      <c r="T149" s="1108">
        <f>+NOMINA!AO125</f>
        <v>0</v>
      </c>
      <c r="U149" s="1108">
        <f>+NOMINA!AQ125</f>
        <v>0</v>
      </c>
      <c r="V149" s="1108">
        <f>+NOMINA!AR125</f>
        <v>0</v>
      </c>
      <c r="W149" s="1108">
        <f>+NOMINA!AS125</f>
        <v>0</v>
      </c>
      <c r="X149" s="1108">
        <f>ROUND(NOMINA!AW125,2)</f>
        <v>0</v>
      </c>
      <c r="Y149" s="1108">
        <f>ROUND(NOMINA!AX125,2)</f>
        <v>0</v>
      </c>
      <c r="Z149" s="1108">
        <f>ROUND(NOMINA!BB125,2)+ROUND(NOMINA!BF125,2)</f>
        <v>0</v>
      </c>
      <c r="AA149" s="1108">
        <f>ROUND(NOMINA!BK125,2)*0</f>
        <v>0</v>
      </c>
      <c r="AB149" s="1108">
        <f>+NOMINA!BJ125</f>
        <v>12.5</v>
      </c>
      <c r="AC149" s="1108">
        <f>ROUND(NOMINA!BG125,2)</f>
        <v>320</v>
      </c>
      <c r="AD149" s="1711">
        <f t="shared" si="8"/>
        <v>603.11</v>
      </c>
      <c r="AF149" s="625"/>
    </row>
    <row r="150" spans="1:32" s="620" customFormat="1" ht="18" customHeight="1" thickBot="1" x14ac:dyDescent="0.25">
      <c r="A150" s="758" t="s">
        <v>2846</v>
      </c>
      <c r="B150" s="508">
        <f t="shared" si="10"/>
        <v>83</v>
      </c>
      <c r="C150" s="1102">
        <f>NOMINA!C126</f>
        <v>13117904</v>
      </c>
      <c r="D150" s="1103" t="str">
        <f>NOMINA!D126</f>
        <v>Villegas Jaime Antonio</v>
      </c>
      <c r="E150" s="1468" t="s">
        <v>4622</v>
      </c>
      <c r="F150" s="1110">
        <v>32351</v>
      </c>
      <c r="G150" s="1468" t="s">
        <v>4620</v>
      </c>
      <c r="H150" s="1442">
        <f>NOMINA!H126</f>
        <v>43693</v>
      </c>
      <c r="I150" s="1105">
        <f>NOMINA!I126</f>
        <v>6</v>
      </c>
      <c r="J150" s="1106">
        <f>NOMINA!J126</f>
        <v>0</v>
      </c>
      <c r="K150" s="1105">
        <f t="shared" si="9"/>
        <v>6</v>
      </c>
      <c r="L150" s="1106" t="s">
        <v>4932</v>
      </c>
      <c r="M150" s="1106"/>
      <c r="N150" s="1443" t="str">
        <f>NOMINA!O126</f>
        <v>Guia de Centro I</v>
      </c>
      <c r="O150" s="1106">
        <v>1.02087691000006E+18</v>
      </c>
      <c r="P150" s="1107">
        <f>NOMINA!W126</f>
        <v>85</v>
      </c>
      <c r="Q150" s="1108">
        <f>NOMINA!AG126</f>
        <v>5.27</v>
      </c>
      <c r="R150" s="1108">
        <f>NOMINA!AI126</f>
        <v>65</v>
      </c>
      <c r="S150" s="1108">
        <f>NOMINA!AK126</f>
        <v>0</v>
      </c>
      <c r="T150" s="1108">
        <f>+NOMINA!AO126</f>
        <v>12.5</v>
      </c>
      <c r="U150" s="1108">
        <f>+NOMINA!AQ126</f>
        <v>0</v>
      </c>
      <c r="V150" s="1108">
        <f>+NOMINA!AR126</f>
        <v>0</v>
      </c>
      <c r="W150" s="1108">
        <f>+NOMINA!AS126</f>
        <v>0</v>
      </c>
      <c r="X150" s="1108">
        <f>ROUND(NOMINA!AW126,2)</f>
        <v>96.91</v>
      </c>
      <c r="Y150" s="1108">
        <f>ROUND(NOMINA!AX126,2)</f>
        <v>0</v>
      </c>
      <c r="Z150" s="1108">
        <f>ROUND(NOMINA!BB126,2)+ROUND(NOMINA!BF126,2)</f>
        <v>62.99</v>
      </c>
      <c r="AA150" s="1108">
        <f>ROUND(NOMINA!BK126,2)*0</f>
        <v>0</v>
      </c>
      <c r="AB150" s="1108">
        <f>+NOMINA!BJ126</f>
        <v>12.5</v>
      </c>
      <c r="AC150" s="1108">
        <f>ROUND(NOMINA!BG126,2)</f>
        <v>320</v>
      </c>
      <c r="AD150" s="1711">
        <f t="shared" si="8"/>
        <v>660.17</v>
      </c>
      <c r="AF150" s="625"/>
    </row>
    <row r="151" spans="1:32" s="620" customFormat="1" ht="18" customHeight="1" thickBot="1" x14ac:dyDescent="0.25">
      <c r="A151" s="758" t="s">
        <v>2846</v>
      </c>
      <c r="B151" s="508">
        <f t="shared" si="10"/>
        <v>84</v>
      </c>
      <c r="C151" s="1102">
        <f>NOMINA!C127</f>
        <v>13206767</v>
      </c>
      <c r="D151" s="1103" t="str">
        <f>NOMINA!D127</f>
        <v>Bastidas Guerra Soralis del Valle</v>
      </c>
      <c r="E151" s="1468" t="s">
        <v>4622</v>
      </c>
      <c r="F151" s="1110">
        <v>32351</v>
      </c>
      <c r="G151" s="1468" t="s">
        <v>4620</v>
      </c>
      <c r="H151" s="1442">
        <f>NOMINA!H127</f>
        <v>44713</v>
      </c>
      <c r="I151" s="1105">
        <f>NOMINA!I127</f>
        <v>3</v>
      </c>
      <c r="J151" s="1106">
        <f>NOMINA!J127</f>
        <v>0</v>
      </c>
      <c r="K151" s="1105">
        <f t="shared" si="9"/>
        <v>3</v>
      </c>
      <c r="L151" s="1106" t="s">
        <v>4932</v>
      </c>
      <c r="M151" s="1106"/>
      <c r="N151" s="1443" t="str">
        <f>NOMINA!O127</f>
        <v>Abogado I</v>
      </c>
      <c r="O151" s="1106">
        <v>1.02087691000006E+18</v>
      </c>
      <c r="P151" s="1107">
        <f>NOMINA!W127</f>
        <v>0</v>
      </c>
      <c r="Q151" s="1108">
        <f>NOMINA!AG127</f>
        <v>0</v>
      </c>
      <c r="R151" s="1108">
        <f>NOMINA!AI127</f>
        <v>0</v>
      </c>
      <c r="S151" s="1108">
        <f>NOMINA!AK127</f>
        <v>0</v>
      </c>
      <c r="T151" s="1108">
        <f>+NOMINA!AO127</f>
        <v>0</v>
      </c>
      <c r="U151" s="1108">
        <f>+NOMINA!AQ127</f>
        <v>0</v>
      </c>
      <c r="V151" s="1108">
        <f>+NOMINA!AR127</f>
        <v>0</v>
      </c>
      <c r="W151" s="1108">
        <f>+NOMINA!AS127</f>
        <v>0</v>
      </c>
      <c r="X151" s="1108">
        <f>ROUND(NOMINA!AW127,2)</f>
        <v>0</v>
      </c>
      <c r="Y151" s="1108">
        <f>ROUND(NOMINA!AX127,2)</f>
        <v>0</v>
      </c>
      <c r="Z151" s="1108">
        <f>ROUND(NOMINA!BB127,2)+ROUND(NOMINA!BF127,2)</f>
        <v>0</v>
      </c>
      <c r="AA151" s="1108">
        <f>ROUND(NOMINA!BK127,2)*0</f>
        <v>0</v>
      </c>
      <c r="AB151" s="1108">
        <f>+NOMINA!BJ127</f>
        <v>0</v>
      </c>
      <c r="AC151" s="1108">
        <f>ROUND(NOMINA!BG127,2)</f>
        <v>0</v>
      </c>
      <c r="AD151" s="1711">
        <f t="shared" si="8"/>
        <v>0</v>
      </c>
      <c r="AF151" s="625"/>
    </row>
    <row r="152" spans="1:32" s="620" customFormat="1" ht="18" customHeight="1" thickBot="1" x14ac:dyDescent="0.25">
      <c r="A152" s="758" t="s">
        <v>2846</v>
      </c>
      <c r="B152" s="508">
        <f t="shared" si="10"/>
        <v>85</v>
      </c>
      <c r="C152" s="1102">
        <f>NOMINA!C128</f>
        <v>13207692</v>
      </c>
      <c r="D152" s="1103" t="str">
        <f>NOMINA!D128</f>
        <v>Macias Briceño Alejandra Coromoto</v>
      </c>
      <c r="E152" s="1468" t="s">
        <v>4622</v>
      </c>
      <c r="F152" s="1110">
        <v>32351</v>
      </c>
      <c r="G152" s="1468" t="s">
        <v>4620</v>
      </c>
      <c r="H152" s="1442">
        <f>NOMINA!H128</f>
        <v>38504</v>
      </c>
      <c r="I152" s="1105">
        <f>NOMINA!I128</f>
        <v>20</v>
      </c>
      <c r="J152" s="1106">
        <f>NOMINA!J128</f>
        <v>0</v>
      </c>
      <c r="K152" s="1105">
        <f t="shared" si="9"/>
        <v>20</v>
      </c>
      <c r="L152" s="1106" t="s">
        <v>4932</v>
      </c>
      <c r="M152" s="1106"/>
      <c r="N152" s="1443" t="str">
        <f>NOMINA!O128</f>
        <v>Administrador III</v>
      </c>
      <c r="O152" s="1106">
        <v>1.02087691000006E+18</v>
      </c>
      <c r="P152" s="1107">
        <f>NOMINA!W128</f>
        <v>143.5</v>
      </c>
      <c r="Q152" s="1108">
        <f>NOMINA!AG128</f>
        <v>37.31</v>
      </c>
      <c r="R152" s="1108">
        <f>NOMINA!AI128</f>
        <v>65</v>
      </c>
      <c r="S152" s="1108">
        <f>NOMINA!AK128</f>
        <v>64.58</v>
      </c>
      <c r="T152" s="1108">
        <f>+NOMINA!AO128</f>
        <v>25</v>
      </c>
      <c r="U152" s="1108">
        <f>+NOMINA!AQ128</f>
        <v>0</v>
      </c>
      <c r="V152" s="1108">
        <f>+NOMINA!AR128</f>
        <v>0</v>
      </c>
      <c r="W152" s="1108">
        <f>+NOMINA!AS128</f>
        <v>0</v>
      </c>
      <c r="X152" s="1108">
        <f>ROUND(NOMINA!AW128,2)</f>
        <v>0</v>
      </c>
      <c r="Y152" s="1108">
        <f>ROUND(NOMINA!AX128,2)</f>
        <v>0</v>
      </c>
      <c r="Z152" s="1108">
        <f>ROUND(NOMINA!BB128,2)+ROUND(NOMINA!BF128,2)</f>
        <v>0</v>
      </c>
      <c r="AA152" s="1108">
        <f>ROUND(NOMINA!BK128,2)*0</f>
        <v>0</v>
      </c>
      <c r="AB152" s="1108">
        <f>+NOMINA!BJ128</f>
        <v>12.5</v>
      </c>
      <c r="AC152" s="1108">
        <f>ROUND(NOMINA!BG128,2)</f>
        <v>320</v>
      </c>
      <c r="AD152" s="1711">
        <f t="shared" si="8"/>
        <v>667.89</v>
      </c>
      <c r="AF152" s="625"/>
    </row>
    <row r="153" spans="1:32" s="620" customFormat="1" ht="18" customHeight="1" thickBot="1" x14ac:dyDescent="0.25">
      <c r="A153" s="758" t="s">
        <v>2846</v>
      </c>
      <c r="B153" s="508">
        <f t="shared" si="10"/>
        <v>86</v>
      </c>
      <c r="C153" s="1102">
        <f>NOMINA!C129</f>
        <v>13260050</v>
      </c>
      <c r="D153" s="1103" t="str">
        <f>NOMINA!D129</f>
        <v>Mendoza Vieras Maria Elena</v>
      </c>
      <c r="E153" s="1468" t="s">
        <v>4622</v>
      </c>
      <c r="F153" s="1110">
        <v>32351</v>
      </c>
      <c r="G153" s="1468" t="s">
        <v>4620</v>
      </c>
      <c r="H153" s="1442">
        <f>NOMINA!H129</f>
        <v>45444</v>
      </c>
      <c r="I153" s="1105">
        <f>NOMINA!I129</f>
        <v>1</v>
      </c>
      <c r="J153" s="1106">
        <f>NOMINA!J129</f>
        <v>12</v>
      </c>
      <c r="K153" s="1105">
        <f t="shared" si="9"/>
        <v>13</v>
      </c>
      <c r="L153" s="1106" t="s">
        <v>4932</v>
      </c>
      <c r="M153" s="1106"/>
      <c r="N153" s="1443" t="str">
        <f>NOMINA!O129</f>
        <v>ADMINISTRADOR III</v>
      </c>
      <c r="O153" s="1106">
        <v>1.02087691000006E+18</v>
      </c>
      <c r="P153" s="1107">
        <f>NOMINA!W129</f>
        <v>141.5</v>
      </c>
      <c r="Q153" s="1108">
        <f>NOMINA!AG129</f>
        <v>21.51</v>
      </c>
      <c r="R153" s="1108">
        <f>NOMINA!AI129</f>
        <v>65</v>
      </c>
      <c r="S153" s="1108">
        <f>NOMINA!AK129</f>
        <v>57</v>
      </c>
      <c r="T153" s="1108">
        <f>+NOMINA!AO129</f>
        <v>0</v>
      </c>
      <c r="U153" s="1108">
        <f>+NOMINA!AQ129</f>
        <v>0</v>
      </c>
      <c r="V153" s="1108">
        <f>+NOMINA!AR129</f>
        <v>0</v>
      </c>
      <c r="W153" s="1108">
        <f>+NOMINA!AS129</f>
        <v>0</v>
      </c>
      <c r="X153" s="1108">
        <f>ROUND(NOMINA!AW129,2)</f>
        <v>0</v>
      </c>
      <c r="Y153" s="1108">
        <f>ROUND(NOMINA!AX129,2)</f>
        <v>0</v>
      </c>
      <c r="Z153" s="1108">
        <f>ROUND(NOMINA!BB129,2)+ROUND(NOMINA!BF129,2)</f>
        <v>0</v>
      </c>
      <c r="AA153" s="1108">
        <f>ROUND(NOMINA!BK129,2)*0</f>
        <v>0</v>
      </c>
      <c r="AB153" s="1108">
        <f>+NOMINA!BJ129</f>
        <v>12.5</v>
      </c>
      <c r="AC153" s="1108">
        <f>ROUND(NOMINA!BG129,2)</f>
        <v>320</v>
      </c>
      <c r="AD153" s="1711">
        <f t="shared" si="8"/>
        <v>617.51</v>
      </c>
      <c r="AF153" s="625"/>
    </row>
    <row r="154" spans="1:32" s="620" customFormat="1" ht="18" customHeight="1" thickBot="1" x14ac:dyDescent="0.25">
      <c r="A154" s="758" t="s">
        <v>2846</v>
      </c>
      <c r="B154" s="508">
        <f t="shared" si="10"/>
        <v>87</v>
      </c>
      <c r="C154" s="1102">
        <f>NOMINA!C130</f>
        <v>13261035</v>
      </c>
      <c r="D154" s="1103" t="str">
        <f>NOMINA!D130</f>
        <v>Henry Peña Yokary Nakary</v>
      </c>
      <c r="E154" s="1468" t="s">
        <v>4622</v>
      </c>
      <c r="F154" s="1110">
        <v>32351</v>
      </c>
      <c r="G154" s="1468" t="s">
        <v>4620</v>
      </c>
      <c r="H154" s="1442">
        <f>NOMINA!H130</f>
        <v>43770</v>
      </c>
      <c r="I154" s="1105">
        <f>NOMINA!I130</f>
        <v>5</v>
      </c>
      <c r="J154" s="1106">
        <f>NOMINA!J130</f>
        <v>0</v>
      </c>
      <c r="K154" s="1105">
        <f t="shared" si="9"/>
        <v>5</v>
      </c>
      <c r="L154" s="1106" t="s">
        <v>4932</v>
      </c>
      <c r="M154" s="1106"/>
      <c r="N154" s="1443" t="str">
        <f>NOMINA!O130</f>
        <v>Entrenador Deportivo V</v>
      </c>
      <c r="O154" s="1106">
        <v>1.02087691000006E+18</v>
      </c>
      <c r="P154" s="1107">
        <f>NOMINA!W130</f>
        <v>138.5</v>
      </c>
      <c r="Q154" s="1108">
        <f>NOMINA!AG130</f>
        <v>6.92</v>
      </c>
      <c r="R154" s="1108">
        <f>NOMINA!AI130</f>
        <v>65</v>
      </c>
      <c r="S154" s="1108">
        <f>NOMINA!AK130</f>
        <v>52.6</v>
      </c>
      <c r="T154" s="1108">
        <f>+NOMINA!AO130</f>
        <v>0</v>
      </c>
      <c r="U154" s="1108">
        <f>+NOMINA!AQ130</f>
        <v>0</v>
      </c>
      <c r="V154" s="1108">
        <f>+NOMINA!AR130</f>
        <v>0</v>
      </c>
      <c r="W154" s="1108">
        <f>+NOMINA!AS130</f>
        <v>0</v>
      </c>
      <c r="X154" s="1108">
        <f>ROUND(NOMINA!AW130,2)</f>
        <v>0</v>
      </c>
      <c r="Y154" s="1108">
        <f>ROUND(NOMINA!AX130,2)</f>
        <v>0</v>
      </c>
      <c r="Z154" s="1108">
        <f>ROUND(NOMINA!BB130,2)+ROUND(NOMINA!BF130,2)</f>
        <v>0</v>
      </c>
      <c r="AA154" s="1108">
        <f>ROUND(NOMINA!BK130,2)*0</f>
        <v>0</v>
      </c>
      <c r="AB154" s="1108">
        <f>+NOMINA!BJ130</f>
        <v>12.5</v>
      </c>
      <c r="AC154" s="1108">
        <f>ROUND(NOMINA!BG130,2)</f>
        <v>320</v>
      </c>
      <c r="AD154" s="1711">
        <f t="shared" si="8"/>
        <v>595.52</v>
      </c>
      <c r="AF154" s="625"/>
    </row>
    <row r="155" spans="1:32" s="620" customFormat="1" ht="18" customHeight="1" thickBot="1" x14ac:dyDescent="0.25">
      <c r="A155" s="758" t="s">
        <v>2846</v>
      </c>
      <c r="B155" s="508">
        <f t="shared" si="10"/>
        <v>88</v>
      </c>
      <c r="C155" s="1102">
        <f>NOMINA!C131</f>
        <v>13261229</v>
      </c>
      <c r="D155" s="1103" t="str">
        <f>NOMINA!D131</f>
        <v>Abreu Rodriguez Eva del Carmen</v>
      </c>
      <c r="E155" s="1468" t="s">
        <v>4622</v>
      </c>
      <c r="F155" s="1110">
        <v>32351</v>
      </c>
      <c r="G155" s="1468" t="s">
        <v>4620</v>
      </c>
      <c r="H155" s="1442">
        <f>NOMINA!H131</f>
        <v>42644</v>
      </c>
      <c r="I155" s="1105">
        <f>NOMINA!I131</f>
        <v>8</v>
      </c>
      <c r="J155" s="1106">
        <f>NOMINA!J131</f>
        <v>0</v>
      </c>
      <c r="K155" s="1105">
        <f t="shared" si="9"/>
        <v>8</v>
      </c>
      <c r="L155" s="1106" t="s">
        <v>4932</v>
      </c>
      <c r="M155" s="1106"/>
      <c r="N155" s="1443" t="str">
        <f>NOMINA!O131</f>
        <v>Asistente Administrativo III</v>
      </c>
      <c r="O155" s="1106">
        <v>1.02087691000006E+18</v>
      </c>
      <c r="P155" s="1107">
        <f>NOMINA!W131</f>
        <v>110.5</v>
      </c>
      <c r="Q155" s="1108">
        <f>NOMINA!AG131</f>
        <v>9.5</v>
      </c>
      <c r="R155" s="1108">
        <f>NOMINA!AI131</f>
        <v>65</v>
      </c>
      <c r="S155" s="1108">
        <f>NOMINA!AK131</f>
        <v>38.25</v>
      </c>
      <c r="T155" s="1108">
        <f>+NOMINA!AO131</f>
        <v>12.5</v>
      </c>
      <c r="U155" s="1108">
        <f>+NOMINA!AQ131</f>
        <v>0</v>
      </c>
      <c r="V155" s="1108">
        <f>+NOMINA!AR131</f>
        <v>0</v>
      </c>
      <c r="W155" s="1108">
        <f>+NOMINA!AS131</f>
        <v>0</v>
      </c>
      <c r="X155" s="1108">
        <f>ROUND(NOMINA!AW131,2)</f>
        <v>0</v>
      </c>
      <c r="Y155" s="1108">
        <f>ROUND(NOMINA!AX131,2)</f>
        <v>0</v>
      </c>
      <c r="Z155" s="1108">
        <f>ROUND(NOMINA!BB131,2)+ROUND(NOMINA!BF131,2)</f>
        <v>0</v>
      </c>
      <c r="AA155" s="1108">
        <f>ROUND(NOMINA!BK131,2)*0</f>
        <v>0</v>
      </c>
      <c r="AB155" s="1108">
        <f>+NOMINA!BJ131</f>
        <v>12.5</v>
      </c>
      <c r="AC155" s="1108">
        <f>ROUND(NOMINA!BG131,2)</f>
        <v>320</v>
      </c>
      <c r="AD155" s="1711">
        <f t="shared" si="8"/>
        <v>568.25</v>
      </c>
      <c r="AF155" s="625"/>
    </row>
    <row r="156" spans="1:32" s="620" customFormat="1" ht="18" customHeight="1" thickBot="1" x14ac:dyDescent="0.25">
      <c r="A156" s="758" t="s">
        <v>2846</v>
      </c>
      <c r="B156" s="508">
        <f t="shared" si="10"/>
        <v>89</v>
      </c>
      <c r="C156" s="1102">
        <f>NOMINA!C132</f>
        <v>13461934</v>
      </c>
      <c r="D156" s="1103" t="str">
        <f>NOMINA!D132</f>
        <v>Ramirez Ayala Jenny Marisela</v>
      </c>
      <c r="E156" s="1468" t="s">
        <v>4622</v>
      </c>
      <c r="F156" s="1110">
        <v>32351</v>
      </c>
      <c r="G156" s="1468" t="s">
        <v>4620</v>
      </c>
      <c r="H156" s="1442">
        <f>NOMINA!H132</f>
        <v>43252</v>
      </c>
      <c r="I156" s="1105">
        <f>NOMINA!I132</f>
        <v>7</v>
      </c>
      <c r="J156" s="1106">
        <f>NOMINA!J132</f>
        <v>0</v>
      </c>
      <c r="K156" s="1105">
        <f t="shared" si="9"/>
        <v>7</v>
      </c>
      <c r="L156" s="1106" t="s">
        <v>4932</v>
      </c>
      <c r="M156" s="1106"/>
      <c r="N156" s="1443" t="str">
        <f>NOMINA!O132</f>
        <v>Guia de Centro II</v>
      </c>
      <c r="O156" s="1106">
        <v>1.02087691000006E+18</v>
      </c>
      <c r="P156" s="1107">
        <f>NOMINA!W132</f>
        <v>85</v>
      </c>
      <c r="Q156" s="1108">
        <f>NOMINA!AG132</f>
        <v>6.29</v>
      </c>
      <c r="R156" s="1108">
        <f>NOMINA!AI132</f>
        <v>65</v>
      </c>
      <c r="S156" s="1108">
        <f>NOMINA!AK132</f>
        <v>0</v>
      </c>
      <c r="T156" s="1108">
        <f>+NOMINA!AO132</f>
        <v>0</v>
      </c>
      <c r="U156" s="1108">
        <f>+NOMINA!AQ132</f>
        <v>0</v>
      </c>
      <c r="V156" s="1108">
        <f>+NOMINA!AR132</f>
        <v>0</v>
      </c>
      <c r="W156" s="1108">
        <f>+NOMINA!AS132</f>
        <v>0</v>
      </c>
      <c r="X156" s="1108">
        <f>ROUND(NOMINA!AW132,2)</f>
        <v>93.77</v>
      </c>
      <c r="Y156" s="1108">
        <f>ROUND(NOMINA!AX132,2)</f>
        <v>0</v>
      </c>
      <c r="Z156" s="1108">
        <f>ROUND(NOMINA!BB132,2)+ROUND(NOMINA!BF132,2)</f>
        <v>60.95</v>
      </c>
      <c r="AA156" s="1108">
        <f>ROUND(NOMINA!BK132,2)*0</f>
        <v>0</v>
      </c>
      <c r="AB156" s="1108">
        <f>+NOMINA!BJ132</f>
        <v>12.5</v>
      </c>
      <c r="AC156" s="1108">
        <f>ROUND(NOMINA!BG132,2)</f>
        <v>320</v>
      </c>
      <c r="AD156" s="1711">
        <f t="shared" si="8"/>
        <v>643.51</v>
      </c>
      <c r="AF156" s="625"/>
    </row>
    <row r="157" spans="1:32" s="620" customFormat="1" ht="18" customHeight="1" thickBot="1" x14ac:dyDescent="0.25">
      <c r="A157" s="758" t="s">
        <v>2846</v>
      </c>
      <c r="B157" s="508">
        <f t="shared" si="10"/>
        <v>90</v>
      </c>
      <c r="C157" s="1102">
        <f>NOMINA!C133</f>
        <v>13462933</v>
      </c>
      <c r="D157" s="1103" t="str">
        <f>NOMINA!D133</f>
        <v>Frias Aldana Maria Yaritza</v>
      </c>
      <c r="E157" s="1468" t="s">
        <v>4622</v>
      </c>
      <c r="F157" s="1110">
        <v>32351</v>
      </c>
      <c r="G157" s="1468" t="s">
        <v>4620</v>
      </c>
      <c r="H157" s="1442">
        <f>NOMINA!H133</f>
        <v>39454</v>
      </c>
      <c r="I157" s="1105">
        <f>NOMINA!I133</f>
        <v>17</v>
      </c>
      <c r="J157" s="1106">
        <f>NOMINA!J133</f>
        <v>6</v>
      </c>
      <c r="K157" s="1105">
        <f t="shared" si="9"/>
        <v>23</v>
      </c>
      <c r="L157" s="1106" t="s">
        <v>4932</v>
      </c>
      <c r="M157" s="1106"/>
      <c r="N157" s="1443" t="str">
        <f>NOMINA!O133</f>
        <v>Administrador Jefe</v>
      </c>
      <c r="O157" s="1106">
        <v>1.02087691000006E+18</v>
      </c>
      <c r="P157" s="1107">
        <f>NOMINA!W133</f>
        <v>0</v>
      </c>
      <c r="Q157" s="1108">
        <f>NOMINA!AG133</f>
        <v>0</v>
      </c>
      <c r="R157" s="1108">
        <f>NOMINA!AI133</f>
        <v>0</v>
      </c>
      <c r="S157" s="1108">
        <f>NOMINA!AK133</f>
        <v>0</v>
      </c>
      <c r="T157" s="1108">
        <f>+NOMINA!AO133</f>
        <v>0</v>
      </c>
      <c r="U157" s="1108">
        <f>+NOMINA!AQ133</f>
        <v>0</v>
      </c>
      <c r="V157" s="1108">
        <f>+NOMINA!AR133</f>
        <v>0</v>
      </c>
      <c r="W157" s="1108">
        <f>+NOMINA!AS133</f>
        <v>0</v>
      </c>
      <c r="X157" s="1108">
        <f>ROUND(NOMINA!AW133,2)</f>
        <v>0</v>
      </c>
      <c r="Y157" s="1108">
        <f>ROUND(NOMINA!AX133,2)</f>
        <v>0</v>
      </c>
      <c r="Z157" s="1108">
        <f>ROUND(NOMINA!BB133,2)+ROUND(NOMINA!BF133,2)</f>
        <v>0</v>
      </c>
      <c r="AA157" s="1108">
        <f>ROUND(NOMINA!BK133,2)*0</f>
        <v>0</v>
      </c>
      <c r="AB157" s="1108">
        <f>+NOMINA!BJ133</f>
        <v>0</v>
      </c>
      <c r="AC157" s="1108">
        <f>ROUND(NOMINA!BG133,2)</f>
        <v>0</v>
      </c>
      <c r="AD157" s="1711">
        <f t="shared" si="8"/>
        <v>0</v>
      </c>
      <c r="AF157" s="625"/>
    </row>
    <row r="158" spans="1:32" s="620" customFormat="1" ht="18" customHeight="1" thickBot="1" x14ac:dyDescent="0.25">
      <c r="A158" s="758" t="s">
        <v>2846</v>
      </c>
      <c r="B158" s="508">
        <f t="shared" si="10"/>
        <v>91</v>
      </c>
      <c r="C158" s="1102">
        <f>NOMINA!C134</f>
        <v>13462511</v>
      </c>
      <c r="D158" s="1103" t="str">
        <f>NOMINA!D134</f>
        <v>Vielma Jenifer</v>
      </c>
      <c r="E158" s="1468" t="s">
        <v>4622</v>
      </c>
      <c r="F158" s="1110">
        <v>32351</v>
      </c>
      <c r="G158" s="1468" t="s">
        <v>4620</v>
      </c>
      <c r="H158" s="1442">
        <f>NOMINA!H134</f>
        <v>43738</v>
      </c>
      <c r="I158" s="1105">
        <f>NOMINA!I134</f>
        <v>6</v>
      </c>
      <c r="J158" s="1106">
        <f>NOMINA!J134</f>
        <v>8</v>
      </c>
      <c r="K158" s="1105">
        <f t="shared" si="9"/>
        <v>14</v>
      </c>
      <c r="L158" s="1106" t="s">
        <v>4932</v>
      </c>
      <c r="M158" s="1106"/>
      <c r="N158" s="1443" t="str">
        <f>NOMINA!O134</f>
        <v>Criminologo</v>
      </c>
      <c r="O158" s="1106">
        <v>1.02087691000006E+18</v>
      </c>
      <c r="P158" s="1107">
        <f>NOMINA!W134</f>
        <v>156</v>
      </c>
      <c r="Q158" s="1108">
        <f>NOMINA!AG134</f>
        <v>25.89</v>
      </c>
      <c r="R158" s="1108">
        <f>NOMINA!AI134</f>
        <v>65</v>
      </c>
      <c r="S158" s="1108">
        <f>NOMINA!AK134</f>
        <v>88.6</v>
      </c>
      <c r="T158" s="1108">
        <f>+NOMINA!AO134</f>
        <v>0</v>
      </c>
      <c r="U158" s="1108">
        <f>+NOMINA!AQ134</f>
        <v>0</v>
      </c>
      <c r="V158" s="1108">
        <f>+NOMINA!AR134</f>
        <v>0</v>
      </c>
      <c r="W158" s="1108">
        <f>+NOMINA!AS134</f>
        <v>0</v>
      </c>
      <c r="X158" s="1108">
        <f>ROUND(NOMINA!AW134,2)</f>
        <v>0</v>
      </c>
      <c r="Y158" s="1108">
        <f>ROUND(NOMINA!AX134,2)</f>
        <v>5467.92</v>
      </c>
      <c r="Z158" s="1108">
        <f>ROUND(NOMINA!BB134,2)+ROUND(NOMINA!BF134,2)</f>
        <v>0</v>
      </c>
      <c r="AA158" s="1108">
        <f>ROUND(NOMINA!BK134,2)*0</f>
        <v>0</v>
      </c>
      <c r="AB158" s="1108">
        <f>+NOMINA!BJ134</f>
        <v>12.5</v>
      </c>
      <c r="AC158" s="1108">
        <f>ROUND(NOMINA!BG134,2)</f>
        <v>320</v>
      </c>
      <c r="AD158" s="1711">
        <f t="shared" si="8"/>
        <v>6135.91</v>
      </c>
      <c r="AF158" s="625"/>
    </row>
    <row r="159" spans="1:32" s="620" customFormat="1" ht="18" customHeight="1" thickBot="1" x14ac:dyDescent="0.25">
      <c r="A159" s="758" t="s">
        <v>2846</v>
      </c>
      <c r="B159" s="508">
        <f t="shared" si="10"/>
        <v>92</v>
      </c>
      <c r="C159" s="1102">
        <f>NOMINA!C135</f>
        <v>13522518</v>
      </c>
      <c r="D159" s="1103" t="str">
        <f>NOMINA!D135</f>
        <v>Altuve Diaz Jose Antonio</v>
      </c>
      <c r="E159" s="1468" t="s">
        <v>4622</v>
      </c>
      <c r="F159" s="1110">
        <v>32351</v>
      </c>
      <c r="G159" s="1468" t="s">
        <v>4620</v>
      </c>
      <c r="H159" s="1442">
        <f>NOMINA!H135</f>
        <v>43739</v>
      </c>
      <c r="I159" s="1105">
        <f>NOMINA!I135</f>
        <v>5</v>
      </c>
      <c r="J159" s="1106">
        <f>NOMINA!J135</f>
        <v>0</v>
      </c>
      <c r="K159" s="1105">
        <f t="shared" si="9"/>
        <v>5</v>
      </c>
      <c r="L159" s="1106" t="s">
        <v>4932</v>
      </c>
      <c r="M159" s="1106"/>
      <c r="N159" s="1443" t="str">
        <f>NOMINA!O135</f>
        <v>Almacenista II</v>
      </c>
      <c r="O159" s="1106">
        <v>1.02087691000006E+18</v>
      </c>
      <c r="P159" s="1107">
        <f>NOMINA!W135</f>
        <v>75</v>
      </c>
      <c r="Q159" s="1108">
        <f>NOMINA!AG135</f>
        <v>3.75</v>
      </c>
      <c r="R159" s="1108">
        <f>NOMINA!AI135</f>
        <v>65</v>
      </c>
      <c r="S159" s="1108">
        <f>NOMINA!AK135</f>
        <v>0</v>
      </c>
      <c r="T159" s="1108">
        <f>+NOMINA!AO135</f>
        <v>12.5</v>
      </c>
      <c r="U159" s="1108">
        <f>+NOMINA!AQ135</f>
        <v>0</v>
      </c>
      <c r="V159" s="1108">
        <f>+NOMINA!AR135</f>
        <v>0</v>
      </c>
      <c r="W159" s="1108">
        <f>+NOMINA!AS135</f>
        <v>0</v>
      </c>
      <c r="X159" s="1108">
        <f>ROUND(NOMINA!AW135,2)</f>
        <v>0</v>
      </c>
      <c r="Y159" s="1108">
        <f>ROUND(NOMINA!AX135,2)</f>
        <v>0</v>
      </c>
      <c r="Z159" s="1108">
        <f>ROUND(NOMINA!BB135,2)+ROUND(NOMINA!BF135,2)</f>
        <v>0</v>
      </c>
      <c r="AA159" s="1108">
        <f>ROUND(NOMINA!BK135,2)*0</f>
        <v>0</v>
      </c>
      <c r="AB159" s="1108">
        <f>+NOMINA!BJ135</f>
        <v>12.5</v>
      </c>
      <c r="AC159" s="1108">
        <f>ROUND(NOMINA!BG135,2)</f>
        <v>320</v>
      </c>
      <c r="AD159" s="1711">
        <f t="shared" si="8"/>
        <v>488.75</v>
      </c>
      <c r="AF159" s="625"/>
    </row>
    <row r="160" spans="1:32" s="620" customFormat="1" ht="18" customHeight="1" thickBot="1" x14ac:dyDescent="0.25">
      <c r="A160" s="758" t="s">
        <v>2846</v>
      </c>
      <c r="B160" s="508">
        <f t="shared" si="10"/>
        <v>93</v>
      </c>
      <c r="C160" s="1102">
        <f>NOMINA!C136</f>
        <v>13523075</v>
      </c>
      <c r="D160" s="1103" t="str">
        <f>NOMINA!D136</f>
        <v>Zambrano Castellanos Maria Alejandra</v>
      </c>
      <c r="E160" s="1468" t="s">
        <v>4622</v>
      </c>
      <c r="F160" s="1110">
        <v>32351</v>
      </c>
      <c r="G160" s="1468" t="s">
        <v>4620</v>
      </c>
      <c r="H160" s="1442">
        <f>NOMINA!H136</f>
        <v>37718</v>
      </c>
      <c r="I160" s="1105">
        <f>NOMINA!I136</f>
        <v>22</v>
      </c>
      <c r="J160" s="1106">
        <f>NOMINA!J136</f>
        <v>0</v>
      </c>
      <c r="K160" s="1105">
        <f t="shared" si="9"/>
        <v>22</v>
      </c>
      <c r="L160" s="1106" t="s">
        <v>4932</v>
      </c>
      <c r="M160" s="1106"/>
      <c r="N160" s="1443" t="str">
        <f>NOMINA!O136</f>
        <v>Planificador V</v>
      </c>
      <c r="O160" s="1106">
        <v>1.02087691000006E+18</v>
      </c>
      <c r="P160" s="1107">
        <f>NOMINA!W136</f>
        <v>114</v>
      </c>
      <c r="Q160" s="1108">
        <f>NOMINA!AG136</f>
        <v>33.74</v>
      </c>
      <c r="R160" s="1108">
        <f>NOMINA!AI136</f>
        <v>65</v>
      </c>
      <c r="S160" s="1108">
        <f>NOMINA!AK136</f>
        <v>45.05</v>
      </c>
      <c r="T160" s="1108">
        <f>+NOMINA!AO136</f>
        <v>25</v>
      </c>
      <c r="U160" s="1108">
        <f>+NOMINA!AQ136</f>
        <v>0</v>
      </c>
      <c r="V160" s="1108">
        <f>+NOMINA!AR136</f>
        <v>0</v>
      </c>
      <c r="W160" s="1108">
        <f>+NOMINA!AS136</f>
        <v>0</v>
      </c>
      <c r="X160" s="1108">
        <f>ROUND(NOMINA!AW136,2)</f>
        <v>0</v>
      </c>
      <c r="Y160" s="1108">
        <f>ROUND(NOMINA!AX136,2)</f>
        <v>0</v>
      </c>
      <c r="Z160" s="1108">
        <f>ROUND(NOMINA!BB136,2)+ROUND(NOMINA!BF136,2)</f>
        <v>0</v>
      </c>
      <c r="AA160" s="1108">
        <f>ROUND(NOMINA!BK136,2)*0</f>
        <v>0</v>
      </c>
      <c r="AB160" s="1108">
        <f>+NOMINA!BJ136</f>
        <v>12.5</v>
      </c>
      <c r="AC160" s="1108">
        <f>ROUND(NOMINA!BG136,2)</f>
        <v>320</v>
      </c>
      <c r="AD160" s="1711">
        <f t="shared" si="8"/>
        <v>615.29</v>
      </c>
      <c r="AF160" s="625"/>
    </row>
    <row r="161" spans="1:32" s="620" customFormat="1" ht="18" customHeight="1" thickBot="1" x14ac:dyDescent="0.25">
      <c r="A161" s="758" t="s">
        <v>2846</v>
      </c>
      <c r="B161" s="508">
        <f t="shared" si="10"/>
        <v>94</v>
      </c>
      <c r="C161" s="1102">
        <f>NOMINA!C137</f>
        <v>13765028</v>
      </c>
      <c r="D161" s="1103" t="str">
        <f>NOMINA!D137</f>
        <v>Diaz Ramirez Mileyda del Valle</v>
      </c>
      <c r="E161" s="1468" t="s">
        <v>4622</v>
      </c>
      <c r="F161" s="1110">
        <v>32351</v>
      </c>
      <c r="G161" s="1468" t="s">
        <v>4620</v>
      </c>
      <c r="H161" s="1442">
        <f>NOMINA!H137</f>
        <v>44348</v>
      </c>
      <c r="I161" s="1105">
        <f>NOMINA!I137</f>
        <v>4</v>
      </c>
      <c r="J161" s="1106">
        <f>NOMINA!J137</f>
        <v>7</v>
      </c>
      <c r="K161" s="1105">
        <f t="shared" si="9"/>
        <v>11</v>
      </c>
      <c r="L161" s="1106" t="s">
        <v>4932</v>
      </c>
      <c r="M161" s="1106"/>
      <c r="N161" s="1443" t="str">
        <f>NOMINA!O137</f>
        <v>Guia de Centro II</v>
      </c>
      <c r="O161" s="1106">
        <v>1.02087691000006E+18</v>
      </c>
      <c r="P161" s="1107">
        <f>NOMINA!W137</f>
        <v>111.5</v>
      </c>
      <c r="Q161" s="1108">
        <f>NOMINA!AG137</f>
        <v>13.82</v>
      </c>
      <c r="R161" s="1108">
        <f>NOMINA!AI137</f>
        <v>65</v>
      </c>
      <c r="S161" s="1108">
        <f>NOMINA!AK137</f>
        <v>38.06</v>
      </c>
      <c r="T161" s="1108">
        <f>+NOMINA!AO137</f>
        <v>0</v>
      </c>
      <c r="U161" s="1108">
        <f>+NOMINA!AQ137</f>
        <v>0</v>
      </c>
      <c r="V161" s="1108">
        <f>+NOMINA!AR137</f>
        <v>0</v>
      </c>
      <c r="W161" s="1108">
        <f>+NOMINA!AS137</f>
        <v>0</v>
      </c>
      <c r="X161" s="1108">
        <f>ROUND(NOMINA!AW137,2)</f>
        <v>137.03</v>
      </c>
      <c r="Y161" s="1108">
        <f>ROUND(NOMINA!AX137,2)</f>
        <v>0</v>
      </c>
      <c r="Z161" s="1108">
        <f>ROUND(NOMINA!BB137,2)+ROUND(NOMINA!BF137,2)</f>
        <v>89.07</v>
      </c>
      <c r="AA161" s="1108">
        <f>ROUND(NOMINA!BK137,2)*0</f>
        <v>0</v>
      </c>
      <c r="AB161" s="1108">
        <f>+NOMINA!BJ137</f>
        <v>12.5</v>
      </c>
      <c r="AC161" s="1108">
        <f>ROUND(NOMINA!BG137,2)</f>
        <v>320</v>
      </c>
      <c r="AD161" s="1711">
        <f t="shared" si="8"/>
        <v>786.98</v>
      </c>
      <c r="AF161" s="625"/>
    </row>
    <row r="162" spans="1:32" s="620" customFormat="1" ht="18" customHeight="1" thickBot="1" x14ac:dyDescent="0.25">
      <c r="A162" s="758" t="s">
        <v>2846</v>
      </c>
      <c r="B162" s="508">
        <f t="shared" si="10"/>
        <v>95</v>
      </c>
      <c r="C162" s="1102">
        <f>NOMINA!C138</f>
        <v>13896147</v>
      </c>
      <c r="D162" s="1103" t="str">
        <f>NOMINA!D138</f>
        <v>Carrizo Blanco Belquis Cecilia</v>
      </c>
      <c r="E162" s="1468" t="s">
        <v>4622</v>
      </c>
      <c r="F162" s="1110">
        <v>32351</v>
      </c>
      <c r="G162" s="1468" t="s">
        <v>4620</v>
      </c>
      <c r="H162" s="1442">
        <f>NOMINA!H138</f>
        <v>41334</v>
      </c>
      <c r="I162" s="1105">
        <f>NOMINA!I138</f>
        <v>12</v>
      </c>
      <c r="J162" s="1106">
        <f>NOMINA!J138</f>
        <v>0</v>
      </c>
      <c r="K162" s="1105">
        <f t="shared" si="9"/>
        <v>12</v>
      </c>
      <c r="L162" s="1106" t="s">
        <v>4932</v>
      </c>
      <c r="M162" s="1106"/>
      <c r="N162" s="1443" t="str">
        <f>NOMINA!O138</f>
        <v>Administrador III</v>
      </c>
      <c r="O162" s="1106">
        <v>1.02087691000006E+18</v>
      </c>
      <c r="P162" s="1107">
        <f>NOMINA!W138</f>
        <v>141.5</v>
      </c>
      <c r="Q162" s="1108">
        <f>NOMINA!AG138</f>
        <v>19.52</v>
      </c>
      <c r="R162" s="1108">
        <f>NOMINA!AI138</f>
        <v>65</v>
      </c>
      <c r="S162" s="1108">
        <f>NOMINA!AK138</f>
        <v>56.5</v>
      </c>
      <c r="T162" s="1108">
        <f>+NOMINA!AO138</f>
        <v>0</v>
      </c>
      <c r="U162" s="1108">
        <f>+NOMINA!AQ138</f>
        <v>0</v>
      </c>
      <c r="V162" s="1108">
        <f>+NOMINA!AR138</f>
        <v>0</v>
      </c>
      <c r="W162" s="1108">
        <f>+NOMINA!AS138</f>
        <v>0</v>
      </c>
      <c r="X162" s="1108">
        <f>ROUND(NOMINA!AW138,2)</f>
        <v>0</v>
      </c>
      <c r="Y162" s="1108">
        <f>ROUND(NOMINA!AX138,2)</f>
        <v>0</v>
      </c>
      <c r="Z162" s="1108">
        <f>ROUND(NOMINA!BB138,2)+ROUND(NOMINA!BF138,2)</f>
        <v>0</v>
      </c>
      <c r="AA162" s="1108">
        <f>ROUND(NOMINA!BK138,2)*0</f>
        <v>0</v>
      </c>
      <c r="AB162" s="1108">
        <f>+NOMINA!BJ138</f>
        <v>12.5</v>
      </c>
      <c r="AC162" s="1108">
        <f>ROUND(NOMINA!BG138,2)</f>
        <v>320</v>
      </c>
      <c r="AD162" s="1711">
        <f t="shared" si="8"/>
        <v>615.02</v>
      </c>
      <c r="AF162" s="625"/>
    </row>
    <row r="163" spans="1:32" s="620" customFormat="1" ht="18" customHeight="1" thickBot="1" x14ac:dyDescent="0.25">
      <c r="A163" s="758" t="s">
        <v>2846</v>
      </c>
      <c r="B163" s="508">
        <f t="shared" si="10"/>
        <v>96</v>
      </c>
      <c r="C163" s="1102">
        <f>NOMINA!C139</f>
        <v>13896239</v>
      </c>
      <c r="D163" s="1103" t="str">
        <f>NOMINA!D139</f>
        <v>Sulbaran Campos Yusneida Ayarith</v>
      </c>
      <c r="E163" s="1468" t="s">
        <v>4622</v>
      </c>
      <c r="F163" s="1110">
        <v>32351</v>
      </c>
      <c r="G163" s="1468" t="s">
        <v>4620</v>
      </c>
      <c r="H163" s="1442">
        <f>NOMINA!H139</f>
        <v>42416</v>
      </c>
      <c r="I163" s="1105">
        <f>NOMINA!I139</f>
        <v>9</v>
      </c>
      <c r="J163" s="1106">
        <f>NOMINA!J139</f>
        <v>0</v>
      </c>
      <c r="K163" s="1105">
        <f t="shared" si="9"/>
        <v>9</v>
      </c>
      <c r="L163" s="1106" t="s">
        <v>4932</v>
      </c>
      <c r="M163" s="1106"/>
      <c r="N163" s="1443" t="str">
        <f>NOMINA!O139</f>
        <v>Analista de Presupuesto IV</v>
      </c>
      <c r="O163" s="1106">
        <v>1.02087691000006E+18</v>
      </c>
      <c r="P163" s="1107">
        <f>NOMINA!W139</f>
        <v>86</v>
      </c>
      <c r="Q163" s="1108">
        <f>NOMINA!AG139</f>
        <v>8.43</v>
      </c>
      <c r="R163" s="1108">
        <f>NOMINA!AI139</f>
        <v>65</v>
      </c>
      <c r="S163" s="1108">
        <f>NOMINA!AK139</f>
        <v>0</v>
      </c>
      <c r="T163" s="1108">
        <f>+NOMINA!AO139</f>
        <v>12.5</v>
      </c>
      <c r="U163" s="1108">
        <f>+NOMINA!AQ139</f>
        <v>0</v>
      </c>
      <c r="V163" s="1108">
        <f>+NOMINA!AR139</f>
        <v>0</v>
      </c>
      <c r="W163" s="1108">
        <f>+NOMINA!AS139</f>
        <v>0</v>
      </c>
      <c r="X163" s="1108">
        <f>ROUND(NOMINA!AW139,2)</f>
        <v>0</v>
      </c>
      <c r="Y163" s="1108">
        <f>ROUND(NOMINA!AX139,2)</f>
        <v>0</v>
      </c>
      <c r="Z163" s="1108">
        <f>ROUND(NOMINA!BB139,2)+ROUND(NOMINA!BF139,2)</f>
        <v>33.14</v>
      </c>
      <c r="AA163" s="1108">
        <f>ROUND(NOMINA!BK139,2)*0</f>
        <v>0</v>
      </c>
      <c r="AB163" s="1108">
        <f>+NOMINA!BJ139</f>
        <v>12.5</v>
      </c>
      <c r="AC163" s="1108">
        <f>ROUND(NOMINA!BG139,2)</f>
        <v>320</v>
      </c>
      <c r="AD163" s="1711">
        <f t="shared" si="8"/>
        <v>537.56999999999994</v>
      </c>
      <c r="AF163" s="625"/>
    </row>
    <row r="164" spans="1:32" s="620" customFormat="1" ht="18" customHeight="1" thickBot="1" x14ac:dyDescent="0.25">
      <c r="A164" s="758" t="s">
        <v>2846</v>
      </c>
      <c r="B164" s="508">
        <f t="shared" si="10"/>
        <v>97</v>
      </c>
      <c r="C164" s="1102">
        <f>NOMINA!C140</f>
        <v>13897046</v>
      </c>
      <c r="D164" s="1103" t="str">
        <f>NOMINA!D140</f>
        <v>Artigas Sanchez Mireya Carolina</v>
      </c>
      <c r="E164" s="1468" t="s">
        <v>4622</v>
      </c>
      <c r="F164" s="1110">
        <v>32351</v>
      </c>
      <c r="G164" s="1468" t="s">
        <v>4620</v>
      </c>
      <c r="H164" s="1442">
        <f>NOMINA!H140</f>
        <v>42384</v>
      </c>
      <c r="I164" s="1105">
        <f>NOMINA!I140</f>
        <v>9</v>
      </c>
      <c r="J164" s="1106">
        <f>NOMINA!J140</f>
        <v>0</v>
      </c>
      <c r="K164" s="1105">
        <f t="shared" si="9"/>
        <v>9</v>
      </c>
      <c r="L164" s="1106" t="s">
        <v>4932</v>
      </c>
      <c r="M164" s="1106"/>
      <c r="N164" s="1443" t="str">
        <f>NOMINA!O140</f>
        <v>Tecnico Superior en Trabajo Social II</v>
      </c>
      <c r="O164" s="1106">
        <v>1.02087691000006E+18</v>
      </c>
      <c r="P164" s="1107">
        <f>NOMINA!W140</f>
        <v>111.5</v>
      </c>
      <c r="Q164" s="1108">
        <f>NOMINA!AG140</f>
        <v>10.92</v>
      </c>
      <c r="R164" s="1108">
        <f>NOMINA!AI140</f>
        <v>65</v>
      </c>
      <c r="S164" s="1108">
        <f>NOMINA!AK140</f>
        <v>39.979999999999997</v>
      </c>
      <c r="T164" s="1108">
        <f>+NOMINA!AO140</f>
        <v>25</v>
      </c>
      <c r="U164" s="1108">
        <f>+NOMINA!AQ140</f>
        <v>0</v>
      </c>
      <c r="V164" s="1108">
        <f>+NOMINA!AR140</f>
        <v>0</v>
      </c>
      <c r="W164" s="1108">
        <f>+NOMINA!AS140</f>
        <v>0</v>
      </c>
      <c r="X164" s="1108">
        <f>ROUND(NOMINA!AW140,2)</f>
        <v>0</v>
      </c>
      <c r="Y164" s="1108">
        <f>ROUND(NOMINA!AX140,2)</f>
        <v>0</v>
      </c>
      <c r="Z164" s="1108">
        <f>ROUND(NOMINA!BB140,2)+ROUND(NOMINA!BF140,2)</f>
        <v>0</v>
      </c>
      <c r="AA164" s="1108">
        <f>ROUND(NOMINA!BK140,2)*0</f>
        <v>0</v>
      </c>
      <c r="AB164" s="1108">
        <f>+NOMINA!BJ140</f>
        <v>12.5</v>
      </c>
      <c r="AC164" s="1108">
        <f>ROUND(NOMINA!BG140,2)</f>
        <v>320</v>
      </c>
      <c r="AD164" s="1711">
        <f t="shared" si="8"/>
        <v>584.9</v>
      </c>
      <c r="AF164" s="625"/>
    </row>
    <row r="165" spans="1:32" s="620" customFormat="1" ht="18" customHeight="1" thickBot="1" x14ac:dyDescent="0.25">
      <c r="A165" s="758" t="s">
        <v>2846</v>
      </c>
      <c r="B165" s="508">
        <f t="shared" si="10"/>
        <v>98</v>
      </c>
      <c r="C165" s="1102">
        <f>NOMINA!C141</f>
        <v>13897695</v>
      </c>
      <c r="D165" s="1103" t="str">
        <f>NOMINA!D141</f>
        <v>Araujo Matheus Alba Mariela</v>
      </c>
      <c r="E165" s="1468" t="s">
        <v>4622</v>
      </c>
      <c r="F165" s="1110">
        <v>32351</v>
      </c>
      <c r="G165" s="1468" t="s">
        <v>4620</v>
      </c>
      <c r="H165" s="1442">
        <f>NOMINA!H141</f>
        <v>39496</v>
      </c>
      <c r="I165" s="1105">
        <f>NOMINA!I141</f>
        <v>17</v>
      </c>
      <c r="J165" s="1106">
        <f>NOMINA!J141</f>
        <v>3</v>
      </c>
      <c r="K165" s="1105">
        <f t="shared" si="9"/>
        <v>20</v>
      </c>
      <c r="L165" s="1106" t="s">
        <v>4932</v>
      </c>
      <c r="M165" s="1106"/>
      <c r="N165" s="1443" t="str">
        <f>NOMINA!O141</f>
        <v>Analista de Presupuesto Jefe</v>
      </c>
      <c r="O165" s="1106">
        <v>1.02087691000006E+18</v>
      </c>
      <c r="P165" s="1107">
        <f>NOMINA!W141</f>
        <v>143.5</v>
      </c>
      <c r="Q165" s="1108">
        <f>NOMINA!AG141</f>
        <v>37.31</v>
      </c>
      <c r="R165" s="1108">
        <f>NOMINA!AI141</f>
        <v>65</v>
      </c>
      <c r="S165" s="1108">
        <f>NOMINA!AK141</f>
        <v>64.58</v>
      </c>
      <c r="T165" s="1108">
        <f>+NOMINA!AO141</f>
        <v>25</v>
      </c>
      <c r="U165" s="1108">
        <f>+NOMINA!AQ141</f>
        <v>0</v>
      </c>
      <c r="V165" s="1108">
        <f>+NOMINA!AR141</f>
        <v>0</v>
      </c>
      <c r="W165" s="1108">
        <f>+NOMINA!AS141</f>
        <v>0</v>
      </c>
      <c r="X165" s="1108">
        <f>ROUND(NOMINA!AW141,2)</f>
        <v>0</v>
      </c>
      <c r="Y165" s="1108">
        <f>ROUND(NOMINA!AX141,2)</f>
        <v>0</v>
      </c>
      <c r="Z165" s="1108">
        <f>ROUND(NOMINA!BB141,2)+ROUND(NOMINA!BF141,2)</f>
        <v>0</v>
      </c>
      <c r="AA165" s="1108">
        <f>ROUND(NOMINA!BK141,2)*0</f>
        <v>0</v>
      </c>
      <c r="AB165" s="1108">
        <f>+NOMINA!BJ141</f>
        <v>12.5</v>
      </c>
      <c r="AC165" s="1108">
        <f>ROUND(NOMINA!BG141,2)</f>
        <v>320</v>
      </c>
      <c r="AD165" s="1711">
        <f t="shared" si="8"/>
        <v>667.89</v>
      </c>
      <c r="AF165" s="625"/>
    </row>
    <row r="166" spans="1:32" s="620" customFormat="1" ht="18" customHeight="1" thickBot="1" x14ac:dyDescent="0.25">
      <c r="A166" s="758" t="s">
        <v>2846</v>
      </c>
      <c r="B166" s="508">
        <f t="shared" si="10"/>
        <v>99</v>
      </c>
      <c r="C166" s="1102">
        <f>NOMINA!C142</f>
        <v>13996024</v>
      </c>
      <c r="D166" s="1103" t="str">
        <f>NOMINA!D142</f>
        <v>Perez Barrios Helenmar</v>
      </c>
      <c r="E166" s="1468" t="s">
        <v>4622</v>
      </c>
      <c r="F166" s="1110">
        <v>32351</v>
      </c>
      <c r="G166" s="1468" t="s">
        <v>4620</v>
      </c>
      <c r="H166" s="1442">
        <f>NOMINA!H142</f>
        <v>40028</v>
      </c>
      <c r="I166" s="1105">
        <f>NOMINA!I142</f>
        <v>16</v>
      </c>
      <c r="J166" s="1106">
        <f>NOMINA!J142</f>
        <v>0</v>
      </c>
      <c r="K166" s="1105">
        <f t="shared" si="9"/>
        <v>16</v>
      </c>
      <c r="L166" s="1106" t="s">
        <v>4932</v>
      </c>
      <c r="M166" s="1106"/>
      <c r="N166" s="1443" t="str">
        <f>NOMINA!O142</f>
        <v>Contador III</v>
      </c>
      <c r="O166" s="1106">
        <v>1.02087691000006E+18</v>
      </c>
      <c r="P166" s="1107">
        <f>NOMINA!W142</f>
        <v>142.5</v>
      </c>
      <c r="Q166" s="1108">
        <f>NOMINA!AG142</f>
        <v>27.93</v>
      </c>
      <c r="R166" s="1108">
        <f>NOMINA!AI142</f>
        <v>65</v>
      </c>
      <c r="S166" s="1108">
        <f>NOMINA!AK142</f>
        <v>60.42</v>
      </c>
      <c r="T166" s="1108">
        <f>+NOMINA!AO142</f>
        <v>12.5</v>
      </c>
      <c r="U166" s="1108">
        <f>+NOMINA!AQ142</f>
        <v>0</v>
      </c>
      <c r="V166" s="1108">
        <f>+NOMINA!AR142</f>
        <v>0</v>
      </c>
      <c r="W166" s="1108">
        <f>+NOMINA!AS142</f>
        <v>0</v>
      </c>
      <c r="X166" s="1108">
        <f>ROUND(NOMINA!AW142,2)</f>
        <v>0</v>
      </c>
      <c r="Y166" s="1108">
        <f>ROUND(NOMINA!AX142,2)</f>
        <v>0</v>
      </c>
      <c r="Z166" s="1108">
        <f>ROUND(NOMINA!BB142,2)+ROUND(NOMINA!BF142,2)</f>
        <v>0</v>
      </c>
      <c r="AA166" s="1108">
        <f>ROUND(NOMINA!BK142,2)*0</f>
        <v>0</v>
      </c>
      <c r="AB166" s="1108">
        <f>+NOMINA!BJ142</f>
        <v>12.5</v>
      </c>
      <c r="AC166" s="1108">
        <f>ROUND(NOMINA!BG142,2)</f>
        <v>320</v>
      </c>
      <c r="AD166" s="1711">
        <f t="shared" si="8"/>
        <v>640.85</v>
      </c>
      <c r="AF166" s="625"/>
    </row>
    <row r="167" spans="1:32" s="620" customFormat="1" ht="18" customHeight="1" thickBot="1" x14ac:dyDescent="0.25">
      <c r="A167" s="758" t="s">
        <v>2846</v>
      </c>
      <c r="B167" s="508">
        <f t="shared" si="10"/>
        <v>100</v>
      </c>
      <c r="C167" s="1102">
        <f>NOMINA!C143</f>
        <v>13997965</v>
      </c>
      <c r="D167" s="1103" t="str">
        <f>NOMINA!D143</f>
        <v>Sulbaran Baptista Yenny del Carmen</v>
      </c>
      <c r="E167" s="1468" t="s">
        <v>4622</v>
      </c>
      <c r="F167" s="1110">
        <v>32351</v>
      </c>
      <c r="G167" s="1468" t="s">
        <v>4620</v>
      </c>
      <c r="H167" s="1442">
        <f>NOMINA!H143</f>
        <v>45839</v>
      </c>
      <c r="I167" s="1105">
        <f>NOMINA!I143</f>
        <v>0</v>
      </c>
      <c r="J167" s="1106">
        <f>NOMINA!J143</f>
        <v>0</v>
      </c>
      <c r="K167" s="1105">
        <f t="shared" si="9"/>
        <v>0</v>
      </c>
      <c r="L167" s="1106" t="s">
        <v>4932</v>
      </c>
      <c r="M167" s="1106"/>
      <c r="N167" s="1443" t="str">
        <f>NOMINA!O143</f>
        <v>Asistente Administrativo I</v>
      </c>
      <c r="O167" s="1106">
        <v>1.02087691000006E+18</v>
      </c>
      <c r="P167" s="1107">
        <f>NOMINA!W143</f>
        <v>65</v>
      </c>
      <c r="Q167" s="1108">
        <f>NOMINA!AG143</f>
        <v>0</v>
      </c>
      <c r="R167" s="1108">
        <f>NOMINA!AI143</f>
        <v>65</v>
      </c>
      <c r="S167" s="1108">
        <f>NOMINA!AK143</f>
        <v>0</v>
      </c>
      <c r="T167" s="1108">
        <f>+NOMINA!AO143</f>
        <v>0</v>
      </c>
      <c r="U167" s="1108">
        <f>+NOMINA!AQ143</f>
        <v>0</v>
      </c>
      <c r="V167" s="1108">
        <f>+NOMINA!AR143</f>
        <v>0</v>
      </c>
      <c r="W167" s="1108">
        <f>+NOMINA!AS143</f>
        <v>0</v>
      </c>
      <c r="X167" s="1108">
        <f>ROUND(NOMINA!AW143,2)</f>
        <v>0</v>
      </c>
      <c r="Y167" s="1108">
        <f>ROUND(NOMINA!AX143,2)</f>
        <v>0</v>
      </c>
      <c r="Z167" s="1108">
        <f>ROUND(NOMINA!BB143,2)+ROUND(NOMINA!BF143,2)</f>
        <v>0</v>
      </c>
      <c r="AA167" s="1108">
        <f>ROUND(NOMINA!BK143,2)*0</f>
        <v>0</v>
      </c>
      <c r="AB167" s="1108">
        <f>+NOMINA!BJ143</f>
        <v>12.5</v>
      </c>
      <c r="AC167" s="1108">
        <f>ROUND(NOMINA!BG143,2)</f>
        <v>320</v>
      </c>
      <c r="AD167" s="1711">
        <f t="shared" si="8"/>
        <v>462.5</v>
      </c>
      <c r="AF167" s="625"/>
    </row>
    <row r="168" spans="1:32" s="620" customFormat="1" ht="18" customHeight="1" thickBot="1" x14ac:dyDescent="0.25">
      <c r="A168" s="758" t="s">
        <v>2846</v>
      </c>
      <c r="B168" s="508">
        <f t="shared" si="10"/>
        <v>101</v>
      </c>
      <c r="C168" s="1102">
        <f>NOMINA!C144</f>
        <v>14106648</v>
      </c>
      <c r="D168" s="1103" t="str">
        <f>NOMINA!D144</f>
        <v>Aguilar Flores Heidy Coromoto</v>
      </c>
      <c r="E168" s="1468" t="s">
        <v>4622</v>
      </c>
      <c r="F168" s="1110">
        <v>32351</v>
      </c>
      <c r="G168" s="1468" t="s">
        <v>4620</v>
      </c>
      <c r="H168" s="1442">
        <f>NOMINA!H144</f>
        <v>40787</v>
      </c>
      <c r="I168" s="1105">
        <f>NOMINA!I144</f>
        <v>14</v>
      </c>
      <c r="J168" s="1106">
        <f>NOMINA!J144</f>
        <v>6</v>
      </c>
      <c r="K168" s="1105">
        <f t="shared" si="9"/>
        <v>20</v>
      </c>
      <c r="L168" s="1106" t="s">
        <v>4932</v>
      </c>
      <c r="M168" s="1106"/>
      <c r="N168" s="1443" t="str">
        <f>NOMINA!O144</f>
        <v>Asistente Administrativo IV</v>
      </c>
      <c r="O168" s="1106">
        <v>1.02087691000006E+18</v>
      </c>
      <c r="P168" s="1107">
        <f>NOMINA!W144</f>
        <v>114</v>
      </c>
      <c r="Q168" s="1108">
        <f>NOMINA!AG144</f>
        <v>29.64</v>
      </c>
      <c r="R168" s="1108">
        <f>NOMINA!AI144</f>
        <v>65</v>
      </c>
      <c r="S168" s="1108">
        <f>NOMINA!AK144</f>
        <v>42.98</v>
      </c>
      <c r="T168" s="1108">
        <f>+NOMINA!AO144</f>
        <v>0</v>
      </c>
      <c r="U168" s="1108">
        <f>+NOMINA!AQ144</f>
        <v>0</v>
      </c>
      <c r="V168" s="1108">
        <f>+NOMINA!AR144</f>
        <v>0</v>
      </c>
      <c r="W168" s="1108">
        <f>+NOMINA!AS144</f>
        <v>0</v>
      </c>
      <c r="X168" s="1108">
        <f>ROUND(NOMINA!AW144,2)</f>
        <v>0</v>
      </c>
      <c r="Y168" s="1108">
        <f>ROUND(NOMINA!AX144,2)</f>
        <v>4125.92</v>
      </c>
      <c r="Z168" s="1108">
        <f>ROUND(NOMINA!BB144,2)+ROUND(NOMINA!BF144,2)</f>
        <v>0</v>
      </c>
      <c r="AA168" s="1108">
        <f>ROUND(NOMINA!BK144,2)*0</f>
        <v>0</v>
      </c>
      <c r="AB168" s="1108">
        <f>+NOMINA!BJ144</f>
        <v>12.5</v>
      </c>
      <c r="AC168" s="1108">
        <f>ROUND(NOMINA!BG144,2)</f>
        <v>320</v>
      </c>
      <c r="AD168" s="1711">
        <f t="shared" si="8"/>
        <v>4710.04</v>
      </c>
      <c r="AF168" s="625"/>
    </row>
    <row r="169" spans="1:32" s="620" customFormat="1" ht="18" customHeight="1" thickBot="1" x14ac:dyDescent="0.25">
      <c r="A169" s="758" t="s">
        <v>2846</v>
      </c>
      <c r="B169" s="508">
        <f t="shared" si="10"/>
        <v>102</v>
      </c>
      <c r="C169" s="1102">
        <f>NOMINA!C145</f>
        <v>14329448</v>
      </c>
      <c r="D169" s="1103" t="str">
        <f>NOMINA!D145</f>
        <v>Leal Mejia Jociany Trinny</v>
      </c>
      <c r="E169" s="1468" t="s">
        <v>4622</v>
      </c>
      <c r="F169" s="1110">
        <v>32351</v>
      </c>
      <c r="G169" s="1468" t="s">
        <v>4620</v>
      </c>
      <c r="H169" s="1442">
        <f>NOMINA!H145</f>
        <v>44743</v>
      </c>
      <c r="I169" s="1105">
        <f>NOMINA!I145</f>
        <v>3</v>
      </c>
      <c r="J169" s="1106">
        <f>NOMINA!J145</f>
        <v>0</v>
      </c>
      <c r="K169" s="1105">
        <f t="shared" si="9"/>
        <v>3</v>
      </c>
      <c r="L169" s="1106" t="s">
        <v>4932</v>
      </c>
      <c r="M169" s="1106"/>
      <c r="N169" s="1443" t="str">
        <f>NOMINA!O145</f>
        <v>Tutor Facilitador I</v>
      </c>
      <c r="O169" s="1106">
        <v>1.02087691000006E+18</v>
      </c>
      <c r="P169" s="1107">
        <f>NOMINA!W145</f>
        <v>138.5</v>
      </c>
      <c r="Q169" s="1108">
        <f>NOMINA!AG145</f>
        <v>4.1500000000000004</v>
      </c>
      <c r="R169" s="1108">
        <f>NOMINA!AI145</f>
        <v>65</v>
      </c>
      <c r="S169" s="1108">
        <f>NOMINA!AK145</f>
        <v>53.47</v>
      </c>
      <c r="T169" s="1108">
        <f>+NOMINA!AO145</f>
        <v>0</v>
      </c>
      <c r="U169" s="1108">
        <f>+NOMINA!AQ145</f>
        <v>0</v>
      </c>
      <c r="V169" s="1108">
        <f>+NOMINA!AR145</f>
        <v>0</v>
      </c>
      <c r="W169" s="1108">
        <f>+NOMINA!AS145</f>
        <v>0</v>
      </c>
      <c r="X169" s="1108">
        <f>ROUND(NOMINA!AW145,2)</f>
        <v>0</v>
      </c>
      <c r="Y169" s="1108">
        <f>ROUND(NOMINA!AX145,2)</f>
        <v>0</v>
      </c>
      <c r="Z169" s="1108">
        <f>ROUND(NOMINA!BB145,2)+ROUND(NOMINA!BF145,2)</f>
        <v>0</v>
      </c>
      <c r="AA169" s="1108">
        <f>ROUND(NOMINA!BK145,2)*0</f>
        <v>0</v>
      </c>
      <c r="AB169" s="1108">
        <f>+NOMINA!BJ145</f>
        <v>12.5</v>
      </c>
      <c r="AC169" s="1108">
        <f>ROUND(NOMINA!BG145,2)</f>
        <v>320</v>
      </c>
      <c r="AD169" s="1711">
        <f t="shared" si="8"/>
        <v>593.62</v>
      </c>
      <c r="AF169" s="625"/>
    </row>
    <row r="170" spans="1:32" s="620" customFormat="1" ht="18" customHeight="1" thickBot="1" x14ac:dyDescent="0.25">
      <c r="A170" s="758" t="s">
        <v>2846</v>
      </c>
      <c r="B170" s="508">
        <f t="shared" si="10"/>
        <v>103</v>
      </c>
      <c r="C170" s="1102">
        <f>NOMINA!C146</f>
        <v>14406240</v>
      </c>
      <c r="D170" s="1103" t="str">
        <f>NOMINA!D146</f>
        <v>Sarmiento Suarez Karem Yanira</v>
      </c>
      <c r="E170" s="1468" t="s">
        <v>4622</v>
      </c>
      <c r="F170" s="1110">
        <v>32351</v>
      </c>
      <c r="G170" s="1468" t="s">
        <v>4620</v>
      </c>
      <c r="H170" s="1442">
        <f>NOMINA!H146</f>
        <v>43785</v>
      </c>
      <c r="I170" s="1105">
        <f>NOMINA!I146</f>
        <v>5</v>
      </c>
      <c r="J170" s="1106">
        <f>NOMINA!J146</f>
        <v>11</v>
      </c>
      <c r="K170" s="1105">
        <f t="shared" si="9"/>
        <v>16</v>
      </c>
      <c r="L170" s="1106" t="s">
        <v>4932</v>
      </c>
      <c r="M170" s="1106"/>
      <c r="N170" s="1443" t="str">
        <f>NOMINA!O146</f>
        <v>Tecnico Superior en Trabajo Social II</v>
      </c>
      <c r="O170" s="1106">
        <v>1.02087691000006E+18</v>
      </c>
      <c r="P170" s="1107">
        <f>NOMINA!W146</f>
        <v>113</v>
      </c>
      <c r="Q170" s="1108">
        <f>NOMINA!AG146</f>
        <v>22.15</v>
      </c>
      <c r="R170" s="1108">
        <f>NOMINA!AI146</f>
        <v>65</v>
      </c>
      <c r="S170" s="1108">
        <f>NOMINA!AK146</f>
        <v>50.04</v>
      </c>
      <c r="T170" s="1108">
        <f>+NOMINA!AO146</f>
        <v>0</v>
      </c>
      <c r="U170" s="1108">
        <f>+NOMINA!AQ146</f>
        <v>0</v>
      </c>
      <c r="V170" s="1108">
        <f>+NOMINA!AR146</f>
        <v>0</v>
      </c>
      <c r="W170" s="1108">
        <f>+NOMINA!AS146</f>
        <v>0</v>
      </c>
      <c r="X170" s="1108">
        <f>ROUND(NOMINA!AW146,2)</f>
        <v>0</v>
      </c>
      <c r="Y170" s="1108">
        <f>ROUND(NOMINA!AX146,2)</f>
        <v>0</v>
      </c>
      <c r="Z170" s="1108">
        <f>ROUND(NOMINA!BB146,2)+ROUND(NOMINA!BF146,2)</f>
        <v>0</v>
      </c>
      <c r="AA170" s="1108">
        <f>ROUND(NOMINA!BK146,2)*0</f>
        <v>0</v>
      </c>
      <c r="AB170" s="1108">
        <f>+NOMINA!BJ146</f>
        <v>12.5</v>
      </c>
      <c r="AC170" s="1108">
        <f>ROUND(NOMINA!BG146,2)</f>
        <v>320</v>
      </c>
      <c r="AD170" s="1711">
        <f t="shared" si="8"/>
        <v>582.69000000000005</v>
      </c>
      <c r="AF170" s="625"/>
    </row>
    <row r="171" spans="1:32" s="620" customFormat="1" ht="18" customHeight="1" thickBot="1" x14ac:dyDescent="0.25">
      <c r="A171" s="758" t="s">
        <v>2846</v>
      </c>
      <c r="B171" s="508">
        <f t="shared" si="10"/>
        <v>104</v>
      </c>
      <c r="C171" s="1102">
        <f>NOMINA!C147</f>
        <v>14459607</v>
      </c>
      <c r="D171" s="1103" t="str">
        <f>NOMINA!D147</f>
        <v>Martinez Leal Deyanira Yusissan</v>
      </c>
      <c r="E171" s="1468" t="s">
        <v>4622</v>
      </c>
      <c r="F171" s="1110">
        <v>32351</v>
      </c>
      <c r="G171" s="1468" t="s">
        <v>4620</v>
      </c>
      <c r="H171" s="1442">
        <f>NOMINA!H147</f>
        <v>43116</v>
      </c>
      <c r="I171" s="1105">
        <f>NOMINA!I147</f>
        <v>7</v>
      </c>
      <c r="J171" s="1106">
        <f>NOMINA!J147</f>
        <v>0</v>
      </c>
      <c r="K171" s="1105">
        <f t="shared" si="9"/>
        <v>7</v>
      </c>
      <c r="L171" s="1106" t="s">
        <v>4932</v>
      </c>
      <c r="M171" s="1106"/>
      <c r="N171" s="1443" t="str">
        <f>NOMINA!O147</f>
        <v>Tecnico Superior en Trabajo Social II</v>
      </c>
      <c r="O171" s="1106">
        <v>1.02087691000006E+18</v>
      </c>
      <c r="P171" s="1107">
        <f>NOMINA!W147</f>
        <v>110.5</v>
      </c>
      <c r="Q171" s="1108">
        <f>NOMINA!AG147</f>
        <v>8.17</v>
      </c>
      <c r="R171" s="1108">
        <f>NOMINA!AI147</f>
        <v>65</v>
      </c>
      <c r="S171" s="1108">
        <f>NOMINA!AK147</f>
        <v>39.229999999999997</v>
      </c>
      <c r="T171" s="1108">
        <f>+NOMINA!AO147</f>
        <v>25</v>
      </c>
      <c r="U171" s="1108">
        <f>+NOMINA!AQ147</f>
        <v>0</v>
      </c>
      <c r="V171" s="1108">
        <f>+NOMINA!AR147</f>
        <v>0</v>
      </c>
      <c r="W171" s="1108">
        <f>+NOMINA!AS147</f>
        <v>0</v>
      </c>
      <c r="X171" s="1108">
        <f>ROUND(NOMINA!AW147,2)</f>
        <v>0</v>
      </c>
      <c r="Y171" s="1108">
        <f>ROUND(NOMINA!AX147,2)</f>
        <v>0</v>
      </c>
      <c r="Z171" s="1108">
        <f>ROUND(NOMINA!BB147,2)+ROUND(NOMINA!BF147,2)</f>
        <v>0</v>
      </c>
      <c r="AA171" s="1108">
        <f>ROUND(NOMINA!BK147,2)*0</f>
        <v>0</v>
      </c>
      <c r="AB171" s="1108">
        <f>+NOMINA!BJ147</f>
        <v>12.5</v>
      </c>
      <c r="AC171" s="1108">
        <f>ROUND(NOMINA!BG147,2)</f>
        <v>320</v>
      </c>
      <c r="AD171" s="1711">
        <f t="shared" si="8"/>
        <v>580.4</v>
      </c>
      <c r="AF171" s="625"/>
    </row>
    <row r="172" spans="1:32" s="620" customFormat="1" ht="18" customHeight="1" thickBot="1" x14ac:dyDescent="0.25">
      <c r="A172" s="758" t="s">
        <v>2846</v>
      </c>
      <c r="B172" s="508">
        <f t="shared" si="10"/>
        <v>105</v>
      </c>
      <c r="C172" s="1102">
        <f>NOMINA!C148</f>
        <v>14598170</v>
      </c>
      <c r="D172" s="1103" t="str">
        <f>NOMINA!D148</f>
        <v>Rendon Utrilla Gerson Paul</v>
      </c>
      <c r="E172" s="1468" t="s">
        <v>4622</v>
      </c>
      <c r="F172" s="1110">
        <v>32351</v>
      </c>
      <c r="G172" s="1468" t="s">
        <v>4620</v>
      </c>
      <c r="H172" s="1442">
        <f>NOMINA!H148</f>
        <v>43435</v>
      </c>
      <c r="I172" s="1105">
        <f>NOMINA!I148</f>
        <v>6</v>
      </c>
      <c r="J172" s="1106">
        <f>NOMINA!J148</f>
        <v>0</v>
      </c>
      <c r="K172" s="1105">
        <f t="shared" si="9"/>
        <v>6</v>
      </c>
      <c r="L172" s="1106" t="s">
        <v>4932</v>
      </c>
      <c r="M172" s="1106"/>
      <c r="N172" s="1443" t="str">
        <f>NOMINA!O148</f>
        <v>Tutor Facilitador III</v>
      </c>
      <c r="O172" s="1106">
        <v>1.02087691000006E+18</v>
      </c>
      <c r="P172" s="1107">
        <f>NOMINA!W148</f>
        <v>139.5</v>
      </c>
      <c r="Q172" s="1108">
        <f>NOMINA!AG148</f>
        <v>8.65</v>
      </c>
      <c r="R172" s="1108">
        <f>NOMINA!AI148</f>
        <v>65</v>
      </c>
      <c r="S172" s="1108">
        <f>NOMINA!AK148</f>
        <v>54.85</v>
      </c>
      <c r="T172" s="1108">
        <f>+NOMINA!AO148</f>
        <v>0</v>
      </c>
      <c r="U172" s="1108">
        <f>+NOMINA!AQ148</f>
        <v>0</v>
      </c>
      <c r="V172" s="1108">
        <f>+NOMINA!AR148</f>
        <v>0</v>
      </c>
      <c r="W172" s="1108">
        <f>+NOMINA!AS148</f>
        <v>0</v>
      </c>
      <c r="X172" s="1108">
        <f>ROUND(NOMINA!AW148,2)</f>
        <v>0</v>
      </c>
      <c r="Y172" s="1108">
        <f>ROUND(NOMINA!AX148,2)</f>
        <v>0</v>
      </c>
      <c r="Z172" s="1108">
        <f>ROUND(NOMINA!BB148,2)+ROUND(NOMINA!BF148,2)</f>
        <v>0</v>
      </c>
      <c r="AA172" s="1108">
        <f>ROUND(NOMINA!BK148,2)*0</f>
        <v>0</v>
      </c>
      <c r="AB172" s="1108">
        <f>+NOMINA!BJ148</f>
        <v>12.5</v>
      </c>
      <c r="AC172" s="1108">
        <f>ROUND(NOMINA!BG148,2)</f>
        <v>320</v>
      </c>
      <c r="AD172" s="1711">
        <f t="shared" si="8"/>
        <v>600.5</v>
      </c>
      <c r="AF172" s="625"/>
    </row>
    <row r="173" spans="1:32" s="620" customFormat="1" ht="18" customHeight="1" thickBot="1" x14ac:dyDescent="0.25">
      <c r="A173" s="758" t="s">
        <v>2846</v>
      </c>
      <c r="B173" s="508">
        <f t="shared" si="10"/>
        <v>106</v>
      </c>
      <c r="C173" s="1102">
        <f>NOMINA!C149</f>
        <v>14598687</v>
      </c>
      <c r="D173" s="1103" t="str">
        <f>NOMINA!D149</f>
        <v>Godoy Bracamonte Juan Carlos</v>
      </c>
      <c r="E173" s="1468" t="s">
        <v>4622</v>
      </c>
      <c r="F173" s="1110">
        <v>32351</v>
      </c>
      <c r="G173" s="1468" t="s">
        <v>4620</v>
      </c>
      <c r="H173" s="1442">
        <f>NOMINA!H149</f>
        <v>44332</v>
      </c>
      <c r="I173" s="1105">
        <f>NOMINA!I149</f>
        <v>4</v>
      </c>
      <c r="J173" s="1106">
        <f>NOMINA!J149</f>
        <v>0</v>
      </c>
      <c r="K173" s="1105">
        <f t="shared" si="9"/>
        <v>4</v>
      </c>
      <c r="L173" s="1106" t="s">
        <v>4932</v>
      </c>
      <c r="M173" s="1106"/>
      <c r="N173" s="1443" t="str">
        <f>NOMINA!O149</f>
        <v>Entrenador Deportivo IV</v>
      </c>
      <c r="O173" s="1106">
        <v>1.02087691000006E+18</v>
      </c>
      <c r="P173" s="1107">
        <f>NOMINA!W149</f>
        <v>153.5</v>
      </c>
      <c r="Q173" s="1108">
        <f>NOMINA!AG149</f>
        <v>6.14</v>
      </c>
      <c r="R173" s="1108">
        <f>NOMINA!AI149</f>
        <v>65</v>
      </c>
      <c r="S173" s="1108">
        <f>NOMINA!AK149</f>
        <v>80.81</v>
      </c>
      <c r="T173" s="1108">
        <f>+NOMINA!AO149</f>
        <v>0</v>
      </c>
      <c r="U173" s="1108">
        <f>+NOMINA!AQ149</f>
        <v>0</v>
      </c>
      <c r="V173" s="1108">
        <f>+NOMINA!AR149</f>
        <v>0</v>
      </c>
      <c r="W173" s="1108">
        <f>+NOMINA!AS149</f>
        <v>0</v>
      </c>
      <c r="X173" s="1108">
        <f>ROUND(NOMINA!AW149,2)</f>
        <v>0</v>
      </c>
      <c r="Y173" s="1108">
        <f>ROUND(NOMINA!AX149,2)</f>
        <v>0</v>
      </c>
      <c r="Z173" s="1108">
        <f>ROUND(NOMINA!BB149,2)+ROUND(NOMINA!BF149,2)</f>
        <v>0</v>
      </c>
      <c r="AA173" s="1108">
        <f>ROUND(NOMINA!BK149,2)*0</f>
        <v>0</v>
      </c>
      <c r="AB173" s="1108">
        <f>+NOMINA!BJ149</f>
        <v>12.5</v>
      </c>
      <c r="AC173" s="1108">
        <f>ROUND(NOMINA!BG149,2)</f>
        <v>320</v>
      </c>
      <c r="AD173" s="1711">
        <f t="shared" si="8"/>
        <v>637.95000000000005</v>
      </c>
      <c r="AF173" s="625"/>
    </row>
    <row r="174" spans="1:32" s="620" customFormat="1" ht="18" customHeight="1" thickBot="1" x14ac:dyDescent="0.25">
      <c r="A174" s="758" t="s">
        <v>2846</v>
      </c>
      <c r="B174" s="508">
        <f t="shared" si="10"/>
        <v>107</v>
      </c>
      <c r="C174" s="1102">
        <f>NOMINA!C150</f>
        <v>14719639</v>
      </c>
      <c r="D174" s="1103" t="str">
        <f>NOMINA!D150</f>
        <v>Coy de Dorante Sandra Liliana</v>
      </c>
      <c r="E174" s="1468" t="s">
        <v>4622</v>
      </c>
      <c r="F174" s="1110">
        <v>32351</v>
      </c>
      <c r="G174" s="1468" t="s">
        <v>4620</v>
      </c>
      <c r="H174" s="1442">
        <f>NOMINA!H150</f>
        <v>44896</v>
      </c>
      <c r="I174" s="1105">
        <f>NOMINA!I150</f>
        <v>2</v>
      </c>
      <c r="J174" s="1106">
        <f>NOMINA!J150</f>
        <v>0</v>
      </c>
      <c r="K174" s="1105">
        <f t="shared" si="9"/>
        <v>2</v>
      </c>
      <c r="L174" s="1106" t="s">
        <v>4932</v>
      </c>
      <c r="M174" s="1106"/>
      <c r="N174" s="1443" t="str">
        <f>NOMINA!O150</f>
        <v>Guia de Centro I</v>
      </c>
      <c r="O174" s="1106">
        <v>1.02087691000006E+18</v>
      </c>
      <c r="P174" s="1107">
        <f>NOMINA!W150</f>
        <v>65</v>
      </c>
      <c r="Q174" s="1108">
        <f>NOMINA!AG150</f>
        <v>1.3</v>
      </c>
      <c r="R174" s="1108">
        <f>NOMINA!AI150</f>
        <v>65</v>
      </c>
      <c r="S174" s="1108">
        <f>NOMINA!AK150</f>
        <v>0</v>
      </c>
      <c r="T174" s="1108">
        <f>+NOMINA!AO150</f>
        <v>0</v>
      </c>
      <c r="U174" s="1108">
        <f>+NOMINA!AQ150</f>
        <v>0</v>
      </c>
      <c r="V174" s="1108">
        <f>+NOMINA!AR150</f>
        <v>0</v>
      </c>
      <c r="W174" s="1108">
        <f>+NOMINA!AS150</f>
        <v>0</v>
      </c>
      <c r="X174" s="1108">
        <f>ROUND(NOMINA!AW150,2)</f>
        <v>86.28</v>
      </c>
      <c r="Y174" s="1108">
        <f>ROUND(NOMINA!AX150,2)</f>
        <v>0</v>
      </c>
      <c r="Z174" s="1108">
        <f>ROUND(NOMINA!BB150,2)+ROUND(NOMINA!BF150,2)</f>
        <v>56.08</v>
      </c>
      <c r="AA174" s="1108">
        <f>ROUND(NOMINA!BK150,2)*0</f>
        <v>0</v>
      </c>
      <c r="AB174" s="1108">
        <f>+NOMINA!BJ150</f>
        <v>12.5</v>
      </c>
      <c r="AC174" s="1108">
        <f>ROUND(NOMINA!BG150,2)</f>
        <v>320</v>
      </c>
      <c r="AD174" s="1711">
        <f t="shared" si="8"/>
        <v>606.16000000000008</v>
      </c>
      <c r="AF174" s="625"/>
    </row>
    <row r="175" spans="1:32" s="620" customFormat="1" ht="18" customHeight="1" thickBot="1" x14ac:dyDescent="0.25">
      <c r="A175" s="758" t="s">
        <v>2846</v>
      </c>
      <c r="B175" s="508">
        <f t="shared" si="10"/>
        <v>108</v>
      </c>
      <c r="C175" s="1102">
        <f>NOMINA!C151</f>
        <v>14739168</v>
      </c>
      <c r="D175" s="1103" t="str">
        <f>NOMINA!D151</f>
        <v>Briceño Hernandez Yeny del Carmen</v>
      </c>
      <c r="E175" s="1468" t="s">
        <v>4622</v>
      </c>
      <c r="F175" s="1110">
        <v>32351</v>
      </c>
      <c r="G175" s="1468" t="s">
        <v>4620</v>
      </c>
      <c r="H175" s="1442">
        <f>NOMINA!H151</f>
        <v>38841</v>
      </c>
      <c r="I175" s="1105">
        <f>NOMINA!I151</f>
        <v>19</v>
      </c>
      <c r="J175" s="1106">
        <f>NOMINA!J151</f>
        <v>0</v>
      </c>
      <c r="K175" s="1105">
        <f t="shared" si="9"/>
        <v>19</v>
      </c>
      <c r="L175" s="1106" t="s">
        <v>4932</v>
      </c>
      <c r="M175" s="1106"/>
      <c r="N175" s="1443" t="str">
        <f>NOMINA!O151</f>
        <v>Trabajador Social III</v>
      </c>
      <c r="O175" s="1106">
        <v>1.02087691000006E+18</v>
      </c>
      <c r="P175" s="1107">
        <f>NOMINA!W151</f>
        <v>114</v>
      </c>
      <c r="Q175" s="1108">
        <f>NOMINA!AG151</f>
        <v>27.81</v>
      </c>
      <c r="R175" s="1108">
        <f>NOMINA!AI151</f>
        <v>65</v>
      </c>
      <c r="S175" s="1108">
        <f>NOMINA!AK151</f>
        <v>42.61</v>
      </c>
      <c r="T175" s="1108">
        <f>+NOMINA!AO151</f>
        <v>12.5</v>
      </c>
      <c r="U175" s="1108">
        <f>+NOMINA!AQ151</f>
        <v>0</v>
      </c>
      <c r="V175" s="1108">
        <f>+NOMINA!AR151</f>
        <v>0</v>
      </c>
      <c r="W175" s="1108">
        <f>+NOMINA!AS151</f>
        <v>0</v>
      </c>
      <c r="X175" s="1108">
        <f>ROUND(NOMINA!AW151,2)</f>
        <v>0</v>
      </c>
      <c r="Y175" s="1108">
        <f>ROUND(NOMINA!AX151,2)</f>
        <v>0</v>
      </c>
      <c r="Z175" s="1108">
        <f>ROUND(NOMINA!BB151,2)+ROUND(NOMINA!BF151,2)</f>
        <v>0</v>
      </c>
      <c r="AA175" s="1108">
        <f>ROUND(NOMINA!BK151,2)*0</f>
        <v>0</v>
      </c>
      <c r="AB175" s="1108">
        <f>+NOMINA!BJ151</f>
        <v>12.5</v>
      </c>
      <c r="AC175" s="1108">
        <f>ROUND(NOMINA!BG151,2)</f>
        <v>320</v>
      </c>
      <c r="AD175" s="1711">
        <f t="shared" si="8"/>
        <v>594.42000000000007</v>
      </c>
      <c r="AF175" s="625"/>
    </row>
    <row r="176" spans="1:32" s="620" customFormat="1" ht="18" customHeight="1" thickBot="1" x14ac:dyDescent="0.25">
      <c r="A176" s="758" t="s">
        <v>2846</v>
      </c>
      <c r="B176" s="508">
        <f t="shared" si="10"/>
        <v>109</v>
      </c>
      <c r="C176" s="1102">
        <f>NOMINA!C152</f>
        <v>14928034</v>
      </c>
      <c r="D176" s="1103" t="str">
        <f>NOMINA!D152</f>
        <v>Ramirez Palomares Mariana Teresa</v>
      </c>
      <c r="E176" s="1468" t="s">
        <v>4622</v>
      </c>
      <c r="F176" s="1110">
        <v>32351</v>
      </c>
      <c r="G176" s="1468" t="s">
        <v>4620</v>
      </c>
      <c r="H176" s="1442">
        <f>NOMINA!H152</f>
        <v>44302</v>
      </c>
      <c r="I176" s="1105">
        <f>NOMINA!I152</f>
        <v>4</v>
      </c>
      <c r="J176" s="1106">
        <f>NOMINA!J152</f>
        <v>11</v>
      </c>
      <c r="K176" s="1105">
        <f t="shared" si="9"/>
        <v>15</v>
      </c>
      <c r="L176" s="1106" t="s">
        <v>4932</v>
      </c>
      <c r="M176" s="1106"/>
      <c r="N176" s="1443" t="str">
        <f>NOMINA!O152</f>
        <v>Promotor Cultural I</v>
      </c>
      <c r="O176" s="1106">
        <v>1.02087691000006E+18</v>
      </c>
      <c r="P176" s="1107">
        <f>NOMINA!W152</f>
        <v>88</v>
      </c>
      <c r="Q176" s="1108">
        <f>NOMINA!AG152</f>
        <v>15.84</v>
      </c>
      <c r="R176" s="1108">
        <f>NOMINA!AI152</f>
        <v>65</v>
      </c>
      <c r="S176" s="1108">
        <f>NOMINA!AK152</f>
        <v>0</v>
      </c>
      <c r="T176" s="1108">
        <f>+NOMINA!AO152</f>
        <v>0</v>
      </c>
      <c r="U176" s="1108">
        <f>+NOMINA!AQ152</f>
        <v>0</v>
      </c>
      <c r="V176" s="1108">
        <f>+NOMINA!AR152</f>
        <v>0</v>
      </c>
      <c r="W176" s="1108">
        <f>+NOMINA!AS152</f>
        <v>0</v>
      </c>
      <c r="X176" s="1108">
        <f>ROUND(NOMINA!AW152,2)</f>
        <v>0</v>
      </c>
      <c r="Y176" s="1108">
        <f>ROUND(NOMINA!AX152,2)</f>
        <v>0</v>
      </c>
      <c r="Z176" s="1108">
        <f>ROUND(NOMINA!BB152,2)+ROUND(NOMINA!BF152,2)</f>
        <v>0</v>
      </c>
      <c r="AA176" s="1108">
        <f>ROUND(NOMINA!BK152,2)*0</f>
        <v>0</v>
      </c>
      <c r="AB176" s="1108">
        <f>+NOMINA!BJ152</f>
        <v>12.5</v>
      </c>
      <c r="AC176" s="1108">
        <f>ROUND(NOMINA!BG152,2)</f>
        <v>320</v>
      </c>
      <c r="AD176" s="1711">
        <f t="shared" si="8"/>
        <v>501.34000000000003</v>
      </c>
      <c r="AF176" s="625"/>
    </row>
    <row r="177" spans="1:32" s="620" customFormat="1" ht="18" customHeight="1" thickBot="1" x14ac:dyDescent="0.25">
      <c r="A177" s="758" t="s">
        <v>2846</v>
      </c>
      <c r="B177" s="508">
        <f t="shared" si="10"/>
        <v>110</v>
      </c>
      <c r="C177" s="1102">
        <f>NOMINA!C153</f>
        <v>14928260</v>
      </c>
      <c r="D177" s="1103" t="str">
        <f>NOMINA!D153</f>
        <v>Rivas Ana Lucila</v>
      </c>
      <c r="E177" s="1468" t="s">
        <v>4622</v>
      </c>
      <c r="F177" s="1110">
        <v>32351</v>
      </c>
      <c r="G177" s="1468" t="s">
        <v>4620</v>
      </c>
      <c r="H177" s="1442">
        <f>NOMINA!H153</f>
        <v>39104</v>
      </c>
      <c r="I177" s="1105">
        <f>NOMINA!I153</f>
        <v>18</v>
      </c>
      <c r="J177" s="1106">
        <f>NOMINA!J153</f>
        <v>0</v>
      </c>
      <c r="K177" s="1105">
        <f t="shared" si="9"/>
        <v>18</v>
      </c>
      <c r="L177" s="1106" t="s">
        <v>4932</v>
      </c>
      <c r="M177" s="1106"/>
      <c r="N177" s="1443" t="str">
        <f>NOMINA!O153</f>
        <v>Tutor Facilitador I</v>
      </c>
      <c r="O177" s="1106">
        <v>1.02087691000006E+18</v>
      </c>
      <c r="P177" s="1107">
        <f>NOMINA!W153</f>
        <v>114</v>
      </c>
      <c r="Q177" s="1108">
        <f>NOMINA!AG153</f>
        <v>25.99</v>
      </c>
      <c r="R177" s="1108">
        <f>NOMINA!AI153</f>
        <v>65</v>
      </c>
      <c r="S177" s="1108">
        <f>NOMINA!AK153</f>
        <v>42.25</v>
      </c>
      <c r="T177" s="1108">
        <f>+NOMINA!AO153</f>
        <v>0</v>
      </c>
      <c r="U177" s="1108">
        <f>+NOMINA!AQ153</f>
        <v>0</v>
      </c>
      <c r="V177" s="1108">
        <f>+NOMINA!AR153</f>
        <v>0</v>
      </c>
      <c r="W177" s="1108">
        <f>+NOMINA!AS153</f>
        <v>0</v>
      </c>
      <c r="X177" s="1108">
        <f>ROUND(NOMINA!AW153,2)</f>
        <v>0</v>
      </c>
      <c r="Y177" s="1108">
        <f>ROUND(NOMINA!AX153,2)</f>
        <v>0</v>
      </c>
      <c r="Z177" s="1108">
        <f>ROUND(NOMINA!BB153,2)+ROUND(NOMINA!BF153,2)</f>
        <v>0</v>
      </c>
      <c r="AA177" s="1108">
        <f>ROUND(NOMINA!BK153,2)*0</f>
        <v>0</v>
      </c>
      <c r="AB177" s="1108">
        <f>+NOMINA!BJ153</f>
        <v>12.5</v>
      </c>
      <c r="AC177" s="1108">
        <f>ROUND(NOMINA!BG153,2)</f>
        <v>320</v>
      </c>
      <c r="AD177" s="1711">
        <f t="shared" si="8"/>
        <v>579.74</v>
      </c>
      <c r="AF177" s="625"/>
    </row>
    <row r="178" spans="1:32" s="620" customFormat="1" ht="18" customHeight="1" thickBot="1" x14ac:dyDescent="0.25">
      <c r="A178" s="758" t="s">
        <v>2846</v>
      </c>
      <c r="B178" s="508">
        <f t="shared" si="10"/>
        <v>111</v>
      </c>
      <c r="C178" s="1102">
        <f>NOMINA!C154</f>
        <v>14929642</v>
      </c>
      <c r="D178" s="1103" t="str">
        <f>NOMINA!D154</f>
        <v>Alvarran Arjona Ismenia del Carmen</v>
      </c>
      <c r="E178" s="1468" t="s">
        <v>4622</v>
      </c>
      <c r="F178" s="1110">
        <v>32351</v>
      </c>
      <c r="G178" s="1468" t="s">
        <v>4620</v>
      </c>
      <c r="H178" s="1442">
        <f>NOMINA!H154</f>
        <v>43419</v>
      </c>
      <c r="I178" s="1105">
        <f>NOMINA!I154</f>
        <v>6</v>
      </c>
      <c r="J178" s="1106">
        <f>NOMINA!J154</f>
        <v>0</v>
      </c>
      <c r="K178" s="1105">
        <f t="shared" si="9"/>
        <v>6</v>
      </c>
      <c r="L178" s="1106" t="s">
        <v>4932</v>
      </c>
      <c r="M178" s="1106"/>
      <c r="N178" s="1443" t="str">
        <f>NOMINA!O154</f>
        <v>GUIA DE CENTRO II</v>
      </c>
      <c r="O178" s="1106">
        <v>1.02087691000006E+18</v>
      </c>
      <c r="P178" s="1107">
        <f>NOMINA!W154</f>
        <v>110.5</v>
      </c>
      <c r="Q178" s="1108">
        <f>NOMINA!AG154</f>
        <v>6.85</v>
      </c>
      <c r="R178" s="1108">
        <f>NOMINA!AI154</f>
        <v>65</v>
      </c>
      <c r="S178" s="1108">
        <f>NOMINA!AK154</f>
        <v>37.72</v>
      </c>
      <c r="T178" s="1108">
        <f>+NOMINA!AO154</f>
        <v>12.5</v>
      </c>
      <c r="U178" s="1108">
        <f>+NOMINA!AQ154</f>
        <v>0</v>
      </c>
      <c r="V178" s="1108">
        <f>+NOMINA!AR154</f>
        <v>0</v>
      </c>
      <c r="W178" s="1108">
        <f>+NOMINA!AS154</f>
        <v>0</v>
      </c>
      <c r="X178" s="1108">
        <f>ROUND(NOMINA!AW154,2)</f>
        <v>135.79</v>
      </c>
      <c r="Y178" s="1108">
        <f>ROUND(NOMINA!AX154,2)</f>
        <v>0</v>
      </c>
      <c r="Z178" s="1108">
        <f>ROUND(NOMINA!BB154,2)+ROUND(NOMINA!BF154,2)</f>
        <v>88.26</v>
      </c>
      <c r="AA178" s="1108">
        <f>ROUND(NOMINA!BK154,2)*0</f>
        <v>0</v>
      </c>
      <c r="AB178" s="1108">
        <f>+NOMINA!BJ154</f>
        <v>12.5</v>
      </c>
      <c r="AC178" s="1108">
        <f>ROUND(NOMINA!BG154,2)</f>
        <v>320</v>
      </c>
      <c r="AD178" s="1711">
        <f t="shared" si="8"/>
        <v>789.12</v>
      </c>
      <c r="AF178" s="625"/>
    </row>
    <row r="179" spans="1:32" s="620" customFormat="1" ht="18" customHeight="1" thickBot="1" x14ac:dyDescent="0.25">
      <c r="A179" s="758" t="s">
        <v>2846</v>
      </c>
      <c r="B179" s="508">
        <f t="shared" si="10"/>
        <v>112</v>
      </c>
      <c r="C179" s="1102">
        <f>NOMINA!C155</f>
        <v>14986675</v>
      </c>
      <c r="D179" s="1103" t="str">
        <f>NOMINA!D155</f>
        <v>Mecias Nuñez Shirly Ygnacia</v>
      </c>
      <c r="E179" s="1468" t="s">
        <v>4622</v>
      </c>
      <c r="F179" s="1110">
        <v>32351</v>
      </c>
      <c r="G179" s="1468" t="s">
        <v>4620</v>
      </c>
      <c r="H179" s="1442">
        <f>NOMINA!H155</f>
        <v>44805</v>
      </c>
      <c r="I179" s="1105">
        <f>NOMINA!I155</f>
        <v>3</v>
      </c>
      <c r="J179" s="1106">
        <f>NOMINA!J155</f>
        <v>0</v>
      </c>
      <c r="K179" s="1105">
        <f t="shared" si="9"/>
        <v>3</v>
      </c>
      <c r="L179" s="1106" t="s">
        <v>4932</v>
      </c>
      <c r="M179" s="1106"/>
      <c r="N179" s="1443" t="str">
        <f>NOMINA!O155</f>
        <v>Tutor Facilitador I</v>
      </c>
      <c r="O179" s="1106">
        <v>1.02087691000006E+18</v>
      </c>
      <c r="P179" s="1107">
        <f>NOMINA!W155</f>
        <v>138.5</v>
      </c>
      <c r="Q179" s="1108">
        <f>NOMINA!AG155</f>
        <v>4.1500000000000004</v>
      </c>
      <c r="R179" s="1108">
        <f>NOMINA!AI155</f>
        <v>65</v>
      </c>
      <c r="S179" s="1108">
        <f>NOMINA!AK155</f>
        <v>53.47</v>
      </c>
      <c r="T179" s="1108">
        <f>+NOMINA!AO155</f>
        <v>0</v>
      </c>
      <c r="U179" s="1108">
        <f>+NOMINA!AQ155</f>
        <v>0</v>
      </c>
      <c r="V179" s="1108">
        <f>+NOMINA!AR155</f>
        <v>0</v>
      </c>
      <c r="W179" s="1108">
        <f>+NOMINA!AS155</f>
        <v>0</v>
      </c>
      <c r="X179" s="1108">
        <f>ROUND(NOMINA!AW155,2)</f>
        <v>0</v>
      </c>
      <c r="Y179" s="1108">
        <f>ROUND(NOMINA!AX155,2)</f>
        <v>4278.08</v>
      </c>
      <c r="Z179" s="1108">
        <f>ROUND(NOMINA!BB155,2)+ROUND(NOMINA!BF155,2)</f>
        <v>0</v>
      </c>
      <c r="AA179" s="1108">
        <f>ROUND(NOMINA!BK155,2)*0</f>
        <v>0</v>
      </c>
      <c r="AB179" s="1108">
        <f>+NOMINA!BJ155</f>
        <v>12.5</v>
      </c>
      <c r="AC179" s="1108">
        <f>ROUND(NOMINA!BG155,2)</f>
        <v>320</v>
      </c>
      <c r="AD179" s="1711">
        <f t="shared" si="8"/>
        <v>4871.7</v>
      </c>
      <c r="AF179" s="625"/>
    </row>
    <row r="180" spans="1:32" s="620" customFormat="1" ht="18" customHeight="1" thickBot="1" x14ac:dyDescent="0.25">
      <c r="A180" s="758" t="s">
        <v>2846</v>
      </c>
      <c r="B180" s="508">
        <f t="shared" si="10"/>
        <v>113</v>
      </c>
      <c r="C180" s="1102">
        <f>NOMINA!C156</f>
        <v>15188927</v>
      </c>
      <c r="D180" s="1103" t="str">
        <f>NOMINA!D156</f>
        <v>Linares Villarreal Rosmely del Carmen</v>
      </c>
      <c r="E180" s="1468" t="s">
        <v>4622</v>
      </c>
      <c r="F180" s="1110">
        <v>32351</v>
      </c>
      <c r="G180" s="1468" t="s">
        <v>4620</v>
      </c>
      <c r="H180" s="1442">
        <f>NOMINA!H156</f>
        <v>44409</v>
      </c>
      <c r="I180" s="1105">
        <f>NOMINA!I156</f>
        <v>4</v>
      </c>
      <c r="J180" s="1106">
        <f>NOMINA!J156</f>
        <v>0</v>
      </c>
      <c r="K180" s="1105">
        <f t="shared" si="9"/>
        <v>4</v>
      </c>
      <c r="L180" s="1106" t="s">
        <v>4932</v>
      </c>
      <c r="M180" s="1106"/>
      <c r="N180" s="1443" t="str">
        <f>NOMINA!O156</f>
        <v>Guia de Centro II</v>
      </c>
      <c r="O180" s="1106">
        <v>1.02087691000006E+18</v>
      </c>
      <c r="P180" s="1107">
        <f>NOMINA!W156</f>
        <v>75</v>
      </c>
      <c r="Q180" s="1108">
        <f>NOMINA!AG156</f>
        <v>3</v>
      </c>
      <c r="R180" s="1108">
        <f>NOMINA!AI156</f>
        <v>65</v>
      </c>
      <c r="S180" s="1108">
        <f>NOMINA!AK156</f>
        <v>0</v>
      </c>
      <c r="T180" s="1108">
        <f>+NOMINA!AO156</f>
        <v>0</v>
      </c>
      <c r="U180" s="1108">
        <f>+NOMINA!AQ156</f>
        <v>0</v>
      </c>
      <c r="V180" s="1108">
        <f>+NOMINA!AR156</f>
        <v>0</v>
      </c>
      <c r="W180" s="1108">
        <f>+NOMINA!AS156</f>
        <v>0</v>
      </c>
      <c r="X180" s="1108">
        <f>ROUND(NOMINA!AW156,2)</f>
        <v>93.3</v>
      </c>
      <c r="Y180" s="1108">
        <f>ROUND(NOMINA!AX156,2)</f>
        <v>0</v>
      </c>
      <c r="Z180" s="1108">
        <f>ROUND(NOMINA!BB156,2)+ROUND(NOMINA!BF156,2)</f>
        <v>60.65</v>
      </c>
      <c r="AA180" s="1108">
        <f>ROUND(NOMINA!BK156,2)*0</f>
        <v>0</v>
      </c>
      <c r="AB180" s="1108">
        <f>+NOMINA!BJ156</f>
        <v>12.5</v>
      </c>
      <c r="AC180" s="1108">
        <f>ROUND(NOMINA!BG156,2)</f>
        <v>320</v>
      </c>
      <c r="AD180" s="1711">
        <f t="shared" si="8"/>
        <v>629.45000000000005</v>
      </c>
      <c r="AF180" s="625"/>
    </row>
    <row r="181" spans="1:32" s="620" customFormat="1" ht="18" customHeight="1" thickBot="1" x14ac:dyDescent="0.25">
      <c r="A181" s="758" t="s">
        <v>2846</v>
      </c>
      <c r="B181" s="508">
        <f t="shared" si="10"/>
        <v>114</v>
      </c>
      <c r="C181" s="1102">
        <f>NOMINA!C157</f>
        <v>15560762</v>
      </c>
      <c r="D181" s="1103" t="str">
        <f>NOMINA!D157</f>
        <v>Villalobos Javier Jose</v>
      </c>
      <c r="E181" s="1468" t="s">
        <v>4622</v>
      </c>
      <c r="F181" s="1110">
        <v>32351</v>
      </c>
      <c r="G181" s="1468" t="s">
        <v>4620</v>
      </c>
      <c r="H181" s="1442">
        <f>NOMINA!H157</f>
        <v>45474</v>
      </c>
      <c r="I181" s="1105">
        <f>NOMINA!I157</f>
        <v>1</v>
      </c>
      <c r="J181" s="1106">
        <f>NOMINA!J157</f>
        <v>0</v>
      </c>
      <c r="K181" s="1105">
        <f t="shared" si="9"/>
        <v>1</v>
      </c>
      <c r="L181" s="1106" t="s">
        <v>4932</v>
      </c>
      <c r="M181" s="1106"/>
      <c r="N181" s="1443" t="str">
        <f>NOMINA!O157</f>
        <v>Entrenador Deportivo IV</v>
      </c>
      <c r="O181" s="1106">
        <v>1.02087691000006E+18</v>
      </c>
      <c r="P181" s="1107">
        <f>NOMINA!W157</f>
        <v>123</v>
      </c>
      <c r="Q181" s="1108">
        <f>NOMINA!AG157</f>
        <v>1.23</v>
      </c>
      <c r="R181" s="1108">
        <f>NOMINA!AI157</f>
        <v>65</v>
      </c>
      <c r="S181" s="1108">
        <f>NOMINA!AK157</f>
        <v>48.87</v>
      </c>
      <c r="T181" s="1108">
        <f>+NOMINA!AO157</f>
        <v>12.5</v>
      </c>
      <c r="U181" s="1108">
        <f>+NOMINA!AQ157</f>
        <v>0</v>
      </c>
      <c r="V181" s="1108">
        <f>+NOMINA!AR157</f>
        <v>0</v>
      </c>
      <c r="W181" s="1108">
        <f>+NOMINA!AS157</f>
        <v>0</v>
      </c>
      <c r="X181" s="1108">
        <f>ROUND(NOMINA!AW157,2)</f>
        <v>0</v>
      </c>
      <c r="Y181" s="1108">
        <f>ROUND(NOMINA!AX157,2)</f>
        <v>0</v>
      </c>
      <c r="Z181" s="1108">
        <f>ROUND(NOMINA!BB157,2)+ROUND(NOMINA!BF157,2)</f>
        <v>0</v>
      </c>
      <c r="AA181" s="1108">
        <f>ROUND(NOMINA!BK157,2)*0</f>
        <v>0</v>
      </c>
      <c r="AB181" s="1108">
        <f>+NOMINA!BJ157</f>
        <v>12.5</v>
      </c>
      <c r="AC181" s="1108">
        <f>ROUND(NOMINA!BG157,2)</f>
        <v>320</v>
      </c>
      <c r="AD181" s="1711">
        <f t="shared" si="8"/>
        <v>583.1</v>
      </c>
      <c r="AF181" s="625"/>
    </row>
    <row r="182" spans="1:32" s="620" customFormat="1" ht="18" customHeight="1" thickBot="1" x14ac:dyDescent="0.25">
      <c r="A182" s="758" t="s">
        <v>2846</v>
      </c>
      <c r="B182" s="508">
        <f t="shared" si="10"/>
        <v>115</v>
      </c>
      <c r="C182" s="1102">
        <f>NOMINA!C158</f>
        <v>15583745</v>
      </c>
      <c r="D182" s="1103" t="str">
        <f>NOMINA!D158</f>
        <v>Briceño Araujo Alexander Javier</v>
      </c>
      <c r="E182" s="1468" t="s">
        <v>4622</v>
      </c>
      <c r="F182" s="1110">
        <v>32351</v>
      </c>
      <c r="G182" s="1468" t="s">
        <v>4620</v>
      </c>
      <c r="H182" s="1442">
        <f>NOMINA!H158</f>
        <v>43481</v>
      </c>
      <c r="I182" s="1105">
        <f>NOMINA!I158</f>
        <v>6</v>
      </c>
      <c r="J182" s="1106">
        <f>NOMINA!J158</f>
        <v>0</v>
      </c>
      <c r="K182" s="1105">
        <f t="shared" si="9"/>
        <v>6</v>
      </c>
      <c r="L182" s="1106" t="s">
        <v>4932</v>
      </c>
      <c r="M182" s="1106"/>
      <c r="N182" s="1443" t="str">
        <f>NOMINA!O158</f>
        <v>Administrador II</v>
      </c>
      <c r="O182" s="1106">
        <v>1.02087691000006E+18</v>
      </c>
      <c r="P182" s="1107">
        <f>NOMINA!W158</f>
        <v>139.5</v>
      </c>
      <c r="Q182" s="1108">
        <f>NOMINA!AG158</f>
        <v>8.65</v>
      </c>
      <c r="R182" s="1108">
        <f>NOMINA!AI158</f>
        <v>65</v>
      </c>
      <c r="S182" s="1108">
        <f>NOMINA!AK158</f>
        <v>53.29</v>
      </c>
      <c r="T182" s="1108">
        <f>+NOMINA!AO158</f>
        <v>0</v>
      </c>
      <c r="U182" s="1108">
        <f>+NOMINA!AQ158</f>
        <v>0</v>
      </c>
      <c r="V182" s="1108">
        <f>+NOMINA!AR158</f>
        <v>0</v>
      </c>
      <c r="W182" s="1108">
        <f>+NOMINA!AS158</f>
        <v>0</v>
      </c>
      <c r="X182" s="1108">
        <f>ROUND(NOMINA!AW158,2)</f>
        <v>0</v>
      </c>
      <c r="Y182" s="1108">
        <f>ROUND(NOMINA!AX158,2)</f>
        <v>0</v>
      </c>
      <c r="Z182" s="1108">
        <f>ROUND(NOMINA!BB158,2)+ROUND(NOMINA!BF158,2)</f>
        <v>0</v>
      </c>
      <c r="AA182" s="1108">
        <f>ROUND(NOMINA!BK158,2)*0</f>
        <v>0</v>
      </c>
      <c r="AB182" s="1108">
        <f>+NOMINA!BJ158</f>
        <v>12.5</v>
      </c>
      <c r="AC182" s="1108">
        <f>ROUND(NOMINA!BG158,2)</f>
        <v>320</v>
      </c>
      <c r="AD182" s="1711">
        <f t="shared" si="8"/>
        <v>598.94000000000005</v>
      </c>
      <c r="AF182" s="625"/>
    </row>
    <row r="183" spans="1:32" s="620" customFormat="1" ht="18" customHeight="1" thickBot="1" x14ac:dyDescent="0.25">
      <c r="A183" s="758" t="s">
        <v>2846</v>
      </c>
      <c r="B183" s="508">
        <f t="shared" si="10"/>
        <v>116</v>
      </c>
      <c r="C183" s="1102">
        <f>NOMINA!C159</f>
        <v>15588470</v>
      </c>
      <c r="D183" s="1103" t="str">
        <f>NOMINA!D159</f>
        <v>Briceño Lozada Maraiby Coromoto</v>
      </c>
      <c r="E183" s="1468" t="s">
        <v>4622</v>
      </c>
      <c r="F183" s="1110">
        <v>32351</v>
      </c>
      <c r="G183" s="1468" t="s">
        <v>4620</v>
      </c>
      <c r="H183" s="1442">
        <f>NOMINA!H159</f>
        <v>39098</v>
      </c>
      <c r="I183" s="1105">
        <f>NOMINA!I159</f>
        <v>18</v>
      </c>
      <c r="J183" s="1106">
        <f>NOMINA!J159</f>
        <v>0</v>
      </c>
      <c r="K183" s="1105">
        <f t="shared" si="9"/>
        <v>18</v>
      </c>
      <c r="L183" s="1106" t="s">
        <v>4932</v>
      </c>
      <c r="M183" s="1106"/>
      <c r="N183" s="1443" t="str">
        <f>NOMINA!O159</f>
        <v>Trabajador Social II</v>
      </c>
      <c r="O183" s="1106">
        <v>1.02087691000006E+18</v>
      </c>
      <c r="P183" s="1107">
        <f>NOMINA!W159</f>
        <v>114</v>
      </c>
      <c r="Q183" s="1108">
        <f>NOMINA!AG159</f>
        <v>25.99</v>
      </c>
      <c r="R183" s="1108">
        <f>NOMINA!AI159</f>
        <v>65</v>
      </c>
      <c r="S183" s="1108">
        <f>NOMINA!AK159</f>
        <v>42.25</v>
      </c>
      <c r="T183" s="1108">
        <f>+NOMINA!AO159</f>
        <v>12.5</v>
      </c>
      <c r="U183" s="1108">
        <f>+NOMINA!AQ159</f>
        <v>0</v>
      </c>
      <c r="V183" s="1108">
        <f>+NOMINA!AR159</f>
        <v>0</v>
      </c>
      <c r="W183" s="1108">
        <f>+NOMINA!AS159</f>
        <v>0</v>
      </c>
      <c r="X183" s="1108">
        <f>ROUND(NOMINA!AW159,2)</f>
        <v>0</v>
      </c>
      <c r="Y183" s="1108">
        <f>ROUND(NOMINA!AX159,2)</f>
        <v>0</v>
      </c>
      <c r="Z183" s="1108">
        <f>ROUND(NOMINA!BB159,2)+ROUND(NOMINA!BF159,2)</f>
        <v>0</v>
      </c>
      <c r="AA183" s="1108">
        <f>ROUND(NOMINA!BK159,2)*0</f>
        <v>0</v>
      </c>
      <c r="AB183" s="1108">
        <f>+NOMINA!BJ159</f>
        <v>12.5</v>
      </c>
      <c r="AC183" s="1108">
        <f>ROUND(NOMINA!BG159,2)</f>
        <v>320</v>
      </c>
      <c r="AD183" s="1711">
        <f t="shared" si="8"/>
        <v>592.24</v>
      </c>
      <c r="AF183" s="625"/>
    </row>
    <row r="184" spans="1:32" s="620" customFormat="1" ht="18" customHeight="1" thickBot="1" x14ac:dyDescent="0.25">
      <c r="A184" s="758" t="s">
        <v>2846</v>
      </c>
      <c r="B184" s="508">
        <f t="shared" si="10"/>
        <v>117</v>
      </c>
      <c r="C184" s="1102">
        <f>NOMINA!C160</f>
        <v>15752048</v>
      </c>
      <c r="D184" s="1103" t="str">
        <f>NOMINA!D160</f>
        <v>Briceño Rangel Sudney Dayan</v>
      </c>
      <c r="E184" s="1468" t="s">
        <v>4622</v>
      </c>
      <c r="F184" s="1110">
        <v>32351</v>
      </c>
      <c r="G184" s="1468" t="s">
        <v>4620</v>
      </c>
      <c r="H184" s="1442">
        <f>NOMINA!H160</f>
        <v>39679</v>
      </c>
      <c r="I184" s="1105">
        <f>NOMINA!I160</f>
        <v>17</v>
      </c>
      <c r="J184" s="1106">
        <f>NOMINA!J160</f>
        <v>0</v>
      </c>
      <c r="K184" s="1105">
        <f t="shared" si="9"/>
        <v>17</v>
      </c>
      <c r="L184" s="1106" t="s">
        <v>4932</v>
      </c>
      <c r="M184" s="1106"/>
      <c r="N184" s="1443" t="str">
        <f>NOMINA!O160</f>
        <v>Guia de Centro II</v>
      </c>
      <c r="O184" s="1106">
        <v>1.02087691000006E+18</v>
      </c>
      <c r="P184" s="1107">
        <f>NOMINA!W160</f>
        <v>157</v>
      </c>
      <c r="Q184" s="1108">
        <f>NOMINA!AG160</f>
        <v>33.28</v>
      </c>
      <c r="R184" s="1108">
        <f>NOMINA!AI160</f>
        <v>65</v>
      </c>
      <c r="S184" s="1108">
        <f>NOMINA!AK160</f>
        <v>89.35</v>
      </c>
      <c r="T184" s="1108">
        <f>+NOMINA!AO160</f>
        <v>0</v>
      </c>
      <c r="U184" s="1108">
        <f>+NOMINA!AQ160</f>
        <v>0</v>
      </c>
      <c r="V184" s="1108">
        <f>+NOMINA!AR160</f>
        <v>0</v>
      </c>
      <c r="W184" s="1108">
        <f>+NOMINA!AS160</f>
        <v>0</v>
      </c>
      <c r="X184" s="1108">
        <f>ROUND(NOMINA!AW160,2)</f>
        <v>0</v>
      </c>
      <c r="Y184" s="1108">
        <f>ROUND(NOMINA!AX160,2)</f>
        <v>0</v>
      </c>
      <c r="Z184" s="1108">
        <f>ROUND(NOMINA!BB160,2)+ROUND(NOMINA!BF160,2)</f>
        <v>0</v>
      </c>
      <c r="AA184" s="1108">
        <f>ROUND(NOMINA!BK160,2)*0</f>
        <v>0</v>
      </c>
      <c r="AB184" s="1108">
        <f>+NOMINA!BJ160</f>
        <v>12.5</v>
      </c>
      <c r="AC184" s="1108">
        <f>ROUND(NOMINA!BG160,2)</f>
        <v>320</v>
      </c>
      <c r="AD184" s="1711">
        <f t="shared" si="8"/>
        <v>677.13</v>
      </c>
      <c r="AF184" s="625"/>
    </row>
    <row r="185" spans="1:32" s="620" customFormat="1" ht="18" customHeight="1" thickBot="1" x14ac:dyDescent="0.25">
      <c r="A185" s="758" t="s">
        <v>2846</v>
      </c>
      <c r="B185" s="508">
        <f t="shared" si="10"/>
        <v>118</v>
      </c>
      <c r="C185" s="1102">
        <f>NOMINA!C161</f>
        <v>15752183</v>
      </c>
      <c r="D185" s="1103" t="str">
        <f>NOMINA!D161</f>
        <v>Delduca Adriana del Valle</v>
      </c>
      <c r="E185" s="1468" t="s">
        <v>4622</v>
      </c>
      <c r="F185" s="1110">
        <v>32351</v>
      </c>
      <c r="G185" s="1468" t="s">
        <v>4620</v>
      </c>
      <c r="H185" s="1442">
        <f>NOMINA!H161</f>
        <v>38930</v>
      </c>
      <c r="I185" s="1105">
        <f>NOMINA!I161</f>
        <v>19</v>
      </c>
      <c r="J185" s="1106">
        <f>NOMINA!J161</f>
        <v>0</v>
      </c>
      <c r="K185" s="1105">
        <f t="shared" si="9"/>
        <v>19</v>
      </c>
      <c r="L185" s="1106" t="s">
        <v>4932</v>
      </c>
      <c r="M185" s="1106"/>
      <c r="N185" s="1443" t="str">
        <f>NOMINA!O161</f>
        <v>Analista de Presupuesto IV</v>
      </c>
      <c r="O185" s="1106">
        <v>1.02087691000006E+18</v>
      </c>
      <c r="P185" s="1107">
        <f>NOMINA!W161</f>
        <v>0</v>
      </c>
      <c r="Q185" s="1108">
        <f>NOMINA!AG161</f>
        <v>0</v>
      </c>
      <c r="R185" s="1108">
        <f>NOMINA!AI161</f>
        <v>0</v>
      </c>
      <c r="S185" s="1108">
        <f>NOMINA!AK161</f>
        <v>0</v>
      </c>
      <c r="T185" s="1108">
        <f>+NOMINA!AO161</f>
        <v>0</v>
      </c>
      <c r="U185" s="1108">
        <f>+NOMINA!AQ161</f>
        <v>0</v>
      </c>
      <c r="V185" s="1108">
        <f>+NOMINA!AR161</f>
        <v>0</v>
      </c>
      <c r="W185" s="1108">
        <f>+NOMINA!AS161</f>
        <v>0</v>
      </c>
      <c r="X185" s="1108">
        <f>ROUND(NOMINA!AW161,2)</f>
        <v>0</v>
      </c>
      <c r="Y185" s="1108">
        <f>ROUND(NOMINA!AX161,2)</f>
        <v>0</v>
      </c>
      <c r="Z185" s="1108">
        <f>ROUND(NOMINA!BB161,2)+ROUND(NOMINA!BF161,2)</f>
        <v>0</v>
      </c>
      <c r="AA185" s="1108">
        <f>ROUND(NOMINA!BK161,2)*0</f>
        <v>0</v>
      </c>
      <c r="AB185" s="1108">
        <f>+NOMINA!BJ161</f>
        <v>0</v>
      </c>
      <c r="AC185" s="1108">
        <f>ROUND(NOMINA!BG161,2)</f>
        <v>0</v>
      </c>
      <c r="AD185" s="1711">
        <f t="shared" si="8"/>
        <v>0</v>
      </c>
      <c r="AF185" s="625"/>
    </row>
    <row r="186" spans="1:32" s="620" customFormat="1" ht="18" customHeight="1" thickBot="1" x14ac:dyDescent="0.25">
      <c r="A186" s="758" t="s">
        <v>2846</v>
      </c>
      <c r="B186" s="508">
        <f t="shared" si="10"/>
        <v>119</v>
      </c>
      <c r="C186" s="1102">
        <f>NOMINA!C162</f>
        <v>15752386</v>
      </c>
      <c r="D186" s="1103" t="str">
        <f>NOMINA!D162</f>
        <v>Villegas Gonzalez Mileide Karine</v>
      </c>
      <c r="E186" s="1468" t="s">
        <v>4622</v>
      </c>
      <c r="F186" s="1110">
        <v>32351</v>
      </c>
      <c r="G186" s="1468" t="s">
        <v>4620</v>
      </c>
      <c r="H186" s="1442">
        <f>NOMINA!H162</f>
        <v>38930</v>
      </c>
      <c r="I186" s="1105">
        <f>NOMINA!I162</f>
        <v>19</v>
      </c>
      <c r="J186" s="1106">
        <f>NOMINA!J162</f>
        <v>0</v>
      </c>
      <c r="K186" s="1105">
        <f t="shared" si="9"/>
        <v>19</v>
      </c>
      <c r="L186" s="1106" t="s">
        <v>4932</v>
      </c>
      <c r="M186" s="1106"/>
      <c r="N186" s="1443" t="str">
        <f>NOMINA!O162</f>
        <v>Guia de Centro II</v>
      </c>
      <c r="O186" s="1106">
        <v>1.02087691000006E+18</v>
      </c>
      <c r="P186" s="1107">
        <f>NOMINA!W162</f>
        <v>114</v>
      </c>
      <c r="Q186" s="1108">
        <f>NOMINA!AG162</f>
        <v>27.81</v>
      </c>
      <c r="R186" s="1108">
        <f>NOMINA!AI162</f>
        <v>65</v>
      </c>
      <c r="S186" s="1108">
        <f>NOMINA!AK162</f>
        <v>43.86</v>
      </c>
      <c r="T186" s="1108">
        <f>+NOMINA!AO162</f>
        <v>0</v>
      </c>
      <c r="U186" s="1108">
        <f>+NOMINA!AQ162</f>
        <v>0</v>
      </c>
      <c r="V186" s="1108">
        <f>+NOMINA!AR162</f>
        <v>0</v>
      </c>
      <c r="W186" s="1108">
        <f>+NOMINA!AS162</f>
        <v>0</v>
      </c>
      <c r="X186" s="1108">
        <f>ROUND(NOMINA!AW162,2)</f>
        <v>157.91</v>
      </c>
      <c r="Y186" s="1108">
        <f>ROUND(NOMINA!AX162,2)</f>
        <v>0</v>
      </c>
      <c r="Z186" s="1108">
        <f>ROUND(NOMINA!BB162,2)+ROUND(NOMINA!BF162,2)</f>
        <v>102.64</v>
      </c>
      <c r="AA186" s="1108">
        <f>ROUND(NOMINA!BK162,2)*0</f>
        <v>0</v>
      </c>
      <c r="AB186" s="1108">
        <f>+NOMINA!BJ162</f>
        <v>12.5</v>
      </c>
      <c r="AC186" s="1108">
        <f>ROUND(NOMINA!BG162,2)</f>
        <v>320</v>
      </c>
      <c r="AD186" s="1711">
        <f t="shared" si="8"/>
        <v>843.72</v>
      </c>
      <c r="AF186" s="625"/>
    </row>
    <row r="187" spans="1:32" s="620" customFormat="1" ht="18" customHeight="1" thickBot="1" x14ac:dyDescent="0.25">
      <c r="A187" s="758" t="s">
        <v>2846</v>
      </c>
      <c r="B187" s="508">
        <f t="shared" si="10"/>
        <v>120</v>
      </c>
      <c r="C187" s="1102">
        <f>NOMINA!C163</f>
        <v>15752435</v>
      </c>
      <c r="D187" s="1103" t="str">
        <f>NOMINA!D163</f>
        <v>Gonzalez de Sayago Damarys Coromoto</v>
      </c>
      <c r="E187" s="1468" t="s">
        <v>4622</v>
      </c>
      <c r="F187" s="1110">
        <v>32351</v>
      </c>
      <c r="G187" s="1468" t="s">
        <v>4620</v>
      </c>
      <c r="H187" s="1442">
        <f>NOMINA!H163</f>
        <v>38930</v>
      </c>
      <c r="I187" s="1105">
        <f>NOMINA!I163</f>
        <v>19</v>
      </c>
      <c r="J187" s="1106">
        <f>NOMINA!J163</f>
        <v>0</v>
      </c>
      <c r="K187" s="1105">
        <f t="shared" si="9"/>
        <v>19</v>
      </c>
      <c r="L187" s="1106" t="s">
        <v>4932</v>
      </c>
      <c r="M187" s="1106"/>
      <c r="N187" s="1443" t="str">
        <f>NOMINA!O163</f>
        <v>Trabajador Social II</v>
      </c>
      <c r="O187" s="1106">
        <v>1.02087691000006E+18</v>
      </c>
      <c r="P187" s="1107">
        <f>NOMINA!W163</f>
        <v>114</v>
      </c>
      <c r="Q187" s="1108">
        <f>NOMINA!AG163</f>
        <v>27.81</v>
      </c>
      <c r="R187" s="1108">
        <f>NOMINA!AI163</f>
        <v>65</v>
      </c>
      <c r="S187" s="1108">
        <f>NOMINA!AK163</f>
        <v>43.86</v>
      </c>
      <c r="T187" s="1108">
        <f>+NOMINA!AO163</f>
        <v>0</v>
      </c>
      <c r="U187" s="1108">
        <f>+NOMINA!AQ163</f>
        <v>0</v>
      </c>
      <c r="V187" s="1108">
        <f>+NOMINA!AR163</f>
        <v>0</v>
      </c>
      <c r="W187" s="1108">
        <f>+NOMINA!AS163</f>
        <v>0</v>
      </c>
      <c r="X187" s="1108">
        <f>ROUND(NOMINA!AW163,2)</f>
        <v>0</v>
      </c>
      <c r="Y187" s="1108">
        <f>ROUND(NOMINA!AX163,2)</f>
        <v>0</v>
      </c>
      <c r="Z187" s="1108">
        <f>ROUND(NOMINA!BB163,2)+ROUND(NOMINA!BF163,2)</f>
        <v>0</v>
      </c>
      <c r="AA187" s="1108">
        <f>ROUND(NOMINA!BK163,2)*0</f>
        <v>0</v>
      </c>
      <c r="AB187" s="1108">
        <f>+NOMINA!BJ163</f>
        <v>12.5</v>
      </c>
      <c r="AC187" s="1108">
        <f>ROUND(NOMINA!BG163,2)</f>
        <v>320</v>
      </c>
      <c r="AD187" s="1711">
        <f t="shared" si="8"/>
        <v>583.17000000000007</v>
      </c>
      <c r="AF187" s="625"/>
    </row>
    <row r="188" spans="1:32" s="620" customFormat="1" ht="18" customHeight="1" thickBot="1" x14ac:dyDescent="0.25">
      <c r="A188" s="758" t="s">
        <v>2846</v>
      </c>
      <c r="B188" s="508">
        <f t="shared" si="10"/>
        <v>121</v>
      </c>
      <c r="C188" s="1102">
        <f>NOMINA!C164</f>
        <v>15780354</v>
      </c>
      <c r="D188" s="1103" t="str">
        <f>NOMINA!D164</f>
        <v>Yndriago Blanco Lismiley Andreina</v>
      </c>
      <c r="E188" s="1468" t="s">
        <v>4622</v>
      </c>
      <c r="F188" s="1110">
        <v>32351</v>
      </c>
      <c r="G188" s="1468" t="s">
        <v>4620</v>
      </c>
      <c r="H188" s="1442">
        <f>NOMINA!H164</f>
        <v>44409</v>
      </c>
      <c r="I188" s="1105">
        <f>NOMINA!I164</f>
        <v>4</v>
      </c>
      <c r="J188" s="1106">
        <f>NOMINA!J164</f>
        <v>0</v>
      </c>
      <c r="K188" s="1105">
        <f t="shared" si="9"/>
        <v>4</v>
      </c>
      <c r="L188" s="1106" t="s">
        <v>4932</v>
      </c>
      <c r="M188" s="1106"/>
      <c r="N188" s="1443" t="str">
        <f>NOMINA!O164</f>
        <v>Guia de Centro I</v>
      </c>
      <c r="O188" s="1106">
        <v>1.02087691000006E+18</v>
      </c>
      <c r="P188" s="1107">
        <f>NOMINA!W164</f>
        <v>109.5</v>
      </c>
      <c r="Q188" s="1108">
        <f>NOMINA!AG164</f>
        <v>4.38</v>
      </c>
      <c r="R188" s="1108">
        <f>NOMINA!AI164</f>
        <v>65</v>
      </c>
      <c r="S188" s="1108">
        <f>NOMINA!AK164</f>
        <v>44.72</v>
      </c>
      <c r="T188" s="1108">
        <f>+NOMINA!AO164</f>
        <v>0</v>
      </c>
      <c r="U188" s="1108">
        <f>+NOMINA!AQ164</f>
        <v>0</v>
      </c>
      <c r="V188" s="1108">
        <f>+NOMINA!AR164</f>
        <v>0</v>
      </c>
      <c r="W188" s="1108">
        <f>+NOMINA!AS164</f>
        <v>0</v>
      </c>
      <c r="X188" s="1108">
        <f>ROUND(NOMINA!AW164,2)</f>
        <v>134.16</v>
      </c>
      <c r="Y188" s="1108">
        <f>ROUND(NOMINA!AX164,2)</f>
        <v>0</v>
      </c>
      <c r="Z188" s="1108">
        <f>ROUND(NOMINA!BB164,2)+ROUND(NOMINA!BF164,2)</f>
        <v>0</v>
      </c>
      <c r="AA188" s="1108">
        <f>ROUND(NOMINA!BK164,2)*0</f>
        <v>0</v>
      </c>
      <c r="AB188" s="1108">
        <f>+NOMINA!BJ164</f>
        <v>12.5</v>
      </c>
      <c r="AC188" s="1108">
        <f>ROUND(NOMINA!BG164,2)</f>
        <v>320</v>
      </c>
      <c r="AD188" s="1711">
        <f t="shared" si="8"/>
        <v>690.26</v>
      </c>
      <c r="AF188" s="625"/>
    </row>
    <row r="189" spans="1:32" s="620" customFormat="1" ht="18" customHeight="1" thickBot="1" x14ac:dyDescent="0.25">
      <c r="A189" s="758" t="s">
        <v>2846</v>
      </c>
      <c r="B189" s="508">
        <f t="shared" si="10"/>
        <v>122</v>
      </c>
      <c r="C189" s="1102">
        <f>NOMINA!C165</f>
        <v>15824548</v>
      </c>
      <c r="D189" s="1103" t="str">
        <f>NOMINA!D165</f>
        <v>Moreno Maria Angelica</v>
      </c>
      <c r="E189" s="1468" t="s">
        <v>4622</v>
      </c>
      <c r="F189" s="1110">
        <v>32351</v>
      </c>
      <c r="G189" s="1468" t="s">
        <v>4620</v>
      </c>
      <c r="H189" s="1442">
        <f>NOMINA!H165</f>
        <v>44317</v>
      </c>
      <c r="I189" s="1105">
        <f>NOMINA!I165</f>
        <v>4</v>
      </c>
      <c r="J189" s="1106">
        <f>NOMINA!J165</f>
        <v>0</v>
      </c>
      <c r="K189" s="1105">
        <f t="shared" si="9"/>
        <v>4</v>
      </c>
      <c r="L189" s="1106" t="s">
        <v>4932</v>
      </c>
      <c r="M189" s="1106"/>
      <c r="N189" s="1443" t="str">
        <f>NOMINA!O165</f>
        <v>Tecnico Superior en Trabajo Social II</v>
      </c>
      <c r="O189" s="1106">
        <v>1.02087691000006E+18</v>
      </c>
      <c r="P189" s="1107">
        <f>NOMINA!W165</f>
        <v>109.5</v>
      </c>
      <c r="Q189" s="1108">
        <f>NOMINA!AG165</f>
        <v>4.38</v>
      </c>
      <c r="R189" s="1108">
        <f>NOMINA!AI165</f>
        <v>65</v>
      </c>
      <c r="S189" s="1108">
        <f>NOMINA!AK165</f>
        <v>37.020000000000003</v>
      </c>
      <c r="T189" s="1108">
        <f>+NOMINA!AO165</f>
        <v>12.5</v>
      </c>
      <c r="U189" s="1108">
        <f>+NOMINA!AQ165</f>
        <v>0</v>
      </c>
      <c r="V189" s="1108">
        <f>+NOMINA!AR165</f>
        <v>0</v>
      </c>
      <c r="W189" s="1108">
        <f>+NOMINA!AS165</f>
        <v>0</v>
      </c>
      <c r="X189" s="1108">
        <f>ROUND(NOMINA!AW165,2)</f>
        <v>0</v>
      </c>
      <c r="Y189" s="1108">
        <f>ROUND(NOMINA!AX165,2)</f>
        <v>0</v>
      </c>
      <c r="Z189" s="1108">
        <f>ROUND(NOMINA!BB165,2)+ROUND(NOMINA!BF165,2)</f>
        <v>0</v>
      </c>
      <c r="AA189" s="1108">
        <f>ROUND(NOMINA!BK165,2)*0</f>
        <v>0</v>
      </c>
      <c r="AB189" s="1108">
        <f>+NOMINA!BJ165</f>
        <v>12.5</v>
      </c>
      <c r="AC189" s="1108">
        <f>ROUND(NOMINA!BG165,2)</f>
        <v>320</v>
      </c>
      <c r="AD189" s="1711">
        <f t="shared" si="8"/>
        <v>560.9</v>
      </c>
      <c r="AF189" s="625"/>
    </row>
    <row r="190" spans="1:32" s="620" customFormat="1" ht="18" customHeight="1" thickBot="1" x14ac:dyDescent="0.25">
      <c r="A190" s="758" t="s">
        <v>2846</v>
      </c>
      <c r="B190" s="508">
        <f t="shared" si="10"/>
        <v>123</v>
      </c>
      <c r="C190" s="1102">
        <f>NOMINA!C166</f>
        <v>15904692</v>
      </c>
      <c r="D190" s="1103" t="str">
        <f>NOMINA!D166</f>
        <v>Sifontes Sosa Mayulis Dayana</v>
      </c>
      <c r="E190" s="1468" t="s">
        <v>4622</v>
      </c>
      <c r="F190" s="1110">
        <v>32351</v>
      </c>
      <c r="G190" s="1468" t="s">
        <v>4620</v>
      </c>
      <c r="H190" s="1442">
        <f>NOMINA!H166</f>
        <v>39756</v>
      </c>
      <c r="I190" s="1105">
        <f>NOMINA!I166</f>
        <v>16</v>
      </c>
      <c r="J190" s="1106">
        <f>NOMINA!J166</f>
        <v>0</v>
      </c>
      <c r="K190" s="1105">
        <f t="shared" si="9"/>
        <v>16</v>
      </c>
      <c r="L190" s="1106" t="s">
        <v>4932</v>
      </c>
      <c r="M190" s="1106"/>
      <c r="N190" s="1443" t="str">
        <f>NOMINA!O166</f>
        <v>Guia de Centro II</v>
      </c>
      <c r="O190" s="1106">
        <v>1.02087691000006E+18</v>
      </c>
      <c r="P190" s="1107">
        <f>NOMINA!W166</f>
        <v>113</v>
      </c>
      <c r="Q190" s="1108">
        <f>NOMINA!AG166</f>
        <v>22.15</v>
      </c>
      <c r="R190" s="1108">
        <f>NOMINA!AI166</f>
        <v>65</v>
      </c>
      <c r="S190" s="1108">
        <f>NOMINA!AK166</f>
        <v>42.53</v>
      </c>
      <c r="T190" s="1108">
        <f>+NOMINA!AO166</f>
        <v>25</v>
      </c>
      <c r="U190" s="1108">
        <f>+NOMINA!AQ166</f>
        <v>0</v>
      </c>
      <c r="V190" s="1108">
        <f>+NOMINA!AR166</f>
        <v>0</v>
      </c>
      <c r="W190" s="1108">
        <f>+NOMINA!AS166</f>
        <v>0</v>
      </c>
      <c r="X190" s="1108">
        <f>ROUND(NOMINA!AW166,2)</f>
        <v>153.11000000000001</v>
      </c>
      <c r="Y190" s="1108">
        <f>ROUND(NOMINA!AX166,2)</f>
        <v>0</v>
      </c>
      <c r="Z190" s="1108">
        <f>ROUND(NOMINA!BB166,2)+ROUND(NOMINA!BF166,2)</f>
        <v>0</v>
      </c>
      <c r="AA190" s="1108">
        <f>ROUND(NOMINA!BK166,2)*0</f>
        <v>0</v>
      </c>
      <c r="AB190" s="1108">
        <f>+NOMINA!BJ166</f>
        <v>12.5</v>
      </c>
      <c r="AC190" s="1108">
        <f>ROUND(NOMINA!BG166,2)</f>
        <v>320</v>
      </c>
      <c r="AD190" s="1711">
        <f t="shared" si="8"/>
        <v>753.29</v>
      </c>
      <c r="AF190" s="625"/>
    </row>
    <row r="191" spans="1:32" s="620" customFormat="1" ht="18" customHeight="1" thickBot="1" x14ac:dyDescent="0.25">
      <c r="A191" s="758" t="s">
        <v>2846</v>
      </c>
      <c r="B191" s="508">
        <f t="shared" si="10"/>
        <v>124</v>
      </c>
      <c r="C191" s="1102">
        <f>NOMINA!C167</f>
        <v>16015833</v>
      </c>
      <c r="D191" s="1103" t="str">
        <f>NOMINA!D167</f>
        <v>Briceño Doris Elena</v>
      </c>
      <c r="E191" s="1468" t="s">
        <v>4622</v>
      </c>
      <c r="F191" s="1110">
        <v>32351</v>
      </c>
      <c r="G191" s="1468" t="s">
        <v>4620</v>
      </c>
      <c r="H191" s="1442">
        <f>NOMINA!H167</f>
        <v>42948</v>
      </c>
      <c r="I191" s="1105">
        <f>NOMINA!I167</f>
        <v>8</v>
      </c>
      <c r="J191" s="1106">
        <f>NOMINA!J167</f>
        <v>0</v>
      </c>
      <c r="K191" s="1105">
        <f t="shared" si="9"/>
        <v>8</v>
      </c>
      <c r="L191" s="1106" t="s">
        <v>4932</v>
      </c>
      <c r="M191" s="1106"/>
      <c r="N191" s="1443" t="str">
        <f>NOMINA!O167</f>
        <v>Guia de Centro II</v>
      </c>
      <c r="O191" s="1106">
        <v>1.02087691000006E+18</v>
      </c>
      <c r="P191" s="1107">
        <f>NOMINA!W167</f>
        <v>139.5</v>
      </c>
      <c r="Q191" s="1108">
        <f>NOMINA!AG167</f>
        <v>11.99</v>
      </c>
      <c r="R191" s="1108">
        <f>NOMINA!AI167</f>
        <v>65</v>
      </c>
      <c r="S191" s="1108">
        <f>NOMINA!AK167</f>
        <v>55.68</v>
      </c>
      <c r="T191" s="1108">
        <f>+NOMINA!AO167</f>
        <v>12.5</v>
      </c>
      <c r="U191" s="1108">
        <f>+NOMINA!AQ167</f>
        <v>0</v>
      </c>
      <c r="V191" s="1108">
        <f>+NOMINA!AR167</f>
        <v>0</v>
      </c>
      <c r="W191" s="1108">
        <f>+NOMINA!AS167</f>
        <v>0</v>
      </c>
      <c r="X191" s="1108">
        <f>ROUND(NOMINA!AW167,2)</f>
        <v>167.06</v>
      </c>
      <c r="Y191" s="1108">
        <f>ROUND(NOMINA!AX167,2)</f>
        <v>0</v>
      </c>
      <c r="Z191" s="1108">
        <f>ROUND(NOMINA!BB167,2)+ROUND(NOMINA!BF167,2)</f>
        <v>0</v>
      </c>
      <c r="AA191" s="1108">
        <f>ROUND(NOMINA!BK167,2)*0</f>
        <v>0</v>
      </c>
      <c r="AB191" s="1108">
        <f>+NOMINA!BJ167</f>
        <v>12.5</v>
      </c>
      <c r="AC191" s="1108">
        <f>ROUND(NOMINA!BG167,2)</f>
        <v>320</v>
      </c>
      <c r="AD191" s="1711">
        <f t="shared" si="8"/>
        <v>784.23</v>
      </c>
      <c r="AF191" s="625"/>
    </row>
    <row r="192" spans="1:32" s="620" customFormat="1" ht="18" customHeight="1" thickBot="1" x14ac:dyDescent="0.25">
      <c r="A192" s="758" t="s">
        <v>2846</v>
      </c>
      <c r="B192" s="508">
        <f t="shared" si="10"/>
        <v>125</v>
      </c>
      <c r="C192" s="1102">
        <f>NOMINA!C168</f>
        <v>16065580</v>
      </c>
      <c r="D192" s="1103" t="str">
        <f>NOMINA!D168</f>
        <v>Paredes de Rendon Zuly Josefina</v>
      </c>
      <c r="E192" s="1468" t="s">
        <v>4622</v>
      </c>
      <c r="F192" s="1110">
        <v>32351</v>
      </c>
      <c r="G192" s="1468" t="s">
        <v>4620</v>
      </c>
      <c r="H192" s="1442">
        <f>NOMINA!H168</f>
        <v>44363</v>
      </c>
      <c r="I192" s="1105">
        <f>NOMINA!I168</f>
        <v>4</v>
      </c>
      <c r="J192" s="1106">
        <f>NOMINA!J168</f>
        <v>0</v>
      </c>
      <c r="K192" s="1105">
        <f t="shared" si="9"/>
        <v>4</v>
      </c>
      <c r="L192" s="1106" t="s">
        <v>4932</v>
      </c>
      <c r="M192" s="1106"/>
      <c r="N192" s="1443" t="str">
        <f>NOMINA!O168</f>
        <v>Tutor Facilitador II</v>
      </c>
      <c r="O192" s="1106">
        <v>1.02087691000006E+18</v>
      </c>
      <c r="P192" s="1107">
        <f>NOMINA!W168</f>
        <v>138.5</v>
      </c>
      <c r="Q192" s="1108">
        <f>NOMINA!AG168</f>
        <v>5.54</v>
      </c>
      <c r="R192" s="1108">
        <f>NOMINA!AI168</f>
        <v>65</v>
      </c>
      <c r="S192" s="1108">
        <f>NOMINA!AK168</f>
        <v>53.82</v>
      </c>
      <c r="T192" s="1108">
        <f>+NOMINA!AO168</f>
        <v>0</v>
      </c>
      <c r="U192" s="1108">
        <f>+NOMINA!AQ168</f>
        <v>0</v>
      </c>
      <c r="V192" s="1108">
        <f>+NOMINA!AR168</f>
        <v>0</v>
      </c>
      <c r="W192" s="1108">
        <f>+NOMINA!AS168</f>
        <v>0</v>
      </c>
      <c r="X192" s="1108">
        <f>ROUND(NOMINA!AW168,2)</f>
        <v>0</v>
      </c>
      <c r="Y192" s="1108">
        <f>ROUND(NOMINA!AX168,2)</f>
        <v>0</v>
      </c>
      <c r="Z192" s="1108">
        <f>ROUND(NOMINA!BB168,2)+ROUND(NOMINA!BF168,2)</f>
        <v>0</v>
      </c>
      <c r="AA192" s="1108">
        <f>ROUND(NOMINA!BK168,2)*0</f>
        <v>0</v>
      </c>
      <c r="AB192" s="1108">
        <f>+NOMINA!BJ168</f>
        <v>12.5</v>
      </c>
      <c r="AC192" s="1108">
        <f>ROUND(NOMINA!BG168,2)</f>
        <v>320</v>
      </c>
      <c r="AD192" s="1711">
        <f t="shared" si="8"/>
        <v>595.36</v>
      </c>
      <c r="AF192" s="625"/>
    </row>
    <row r="193" spans="1:32" s="620" customFormat="1" ht="18" customHeight="1" thickBot="1" x14ac:dyDescent="0.25">
      <c r="A193" s="758" t="s">
        <v>2846</v>
      </c>
      <c r="B193" s="508">
        <f t="shared" si="10"/>
        <v>126</v>
      </c>
      <c r="C193" s="1102">
        <f>NOMINA!C169</f>
        <v>16065861</v>
      </c>
      <c r="D193" s="1103" t="str">
        <f>NOMINA!D169</f>
        <v>Gonzalez Pineda Eduardo Manuel</v>
      </c>
      <c r="E193" s="1468" t="s">
        <v>4622</v>
      </c>
      <c r="F193" s="1110">
        <v>32351</v>
      </c>
      <c r="G193" s="1468" t="s">
        <v>4620</v>
      </c>
      <c r="H193" s="1442">
        <f>NOMINA!H169</f>
        <v>43906</v>
      </c>
      <c r="I193" s="1105">
        <f>NOMINA!I169</f>
        <v>5</v>
      </c>
      <c r="J193" s="1106">
        <f>NOMINA!J169</f>
        <v>13</v>
      </c>
      <c r="K193" s="1105">
        <f t="shared" si="9"/>
        <v>18</v>
      </c>
      <c r="L193" s="1106" t="s">
        <v>4932</v>
      </c>
      <c r="M193" s="1106"/>
      <c r="N193" s="1443" t="str">
        <f>NOMINA!O169</f>
        <v>Entrenador Deportivo VI</v>
      </c>
      <c r="O193" s="1106">
        <v>1.02087691000006E+18</v>
      </c>
      <c r="P193" s="1107">
        <f>NOMINA!W169</f>
        <v>143.5</v>
      </c>
      <c r="Q193" s="1108">
        <f>NOMINA!AG169</f>
        <v>32.72</v>
      </c>
      <c r="R193" s="1108">
        <f>NOMINA!AI169</f>
        <v>65</v>
      </c>
      <c r="S193" s="1108">
        <f>NOMINA!AK169</f>
        <v>60.3</v>
      </c>
      <c r="T193" s="1108">
        <f>+NOMINA!AO169</f>
        <v>0</v>
      </c>
      <c r="U193" s="1108">
        <f>+NOMINA!AQ169</f>
        <v>0</v>
      </c>
      <c r="V193" s="1108">
        <f>+NOMINA!AR169</f>
        <v>0</v>
      </c>
      <c r="W193" s="1108">
        <f>+NOMINA!AS169</f>
        <v>0</v>
      </c>
      <c r="X193" s="1108">
        <f>ROUND(NOMINA!AW169,2)</f>
        <v>0</v>
      </c>
      <c r="Y193" s="1108">
        <f>ROUND(NOMINA!AX169,2)</f>
        <v>0</v>
      </c>
      <c r="Z193" s="1108">
        <f>ROUND(NOMINA!BB169,2)+ROUND(NOMINA!BF169,2)</f>
        <v>0</v>
      </c>
      <c r="AA193" s="1108">
        <f>ROUND(NOMINA!BK169,2)*0</f>
        <v>0</v>
      </c>
      <c r="AB193" s="1108">
        <f>+NOMINA!BJ169</f>
        <v>12.5</v>
      </c>
      <c r="AC193" s="1108">
        <f>ROUND(NOMINA!BG169,2)</f>
        <v>320</v>
      </c>
      <c r="AD193" s="1711">
        <f t="shared" si="8"/>
        <v>634.02</v>
      </c>
      <c r="AF193" s="625"/>
    </row>
    <row r="194" spans="1:32" s="620" customFormat="1" ht="18" customHeight="1" thickBot="1" x14ac:dyDescent="0.25">
      <c r="A194" s="758" t="s">
        <v>2846</v>
      </c>
      <c r="B194" s="508">
        <f t="shared" si="10"/>
        <v>127</v>
      </c>
      <c r="C194" s="1102">
        <f>NOMINA!C170</f>
        <v>16066524</v>
      </c>
      <c r="D194" s="1103" t="str">
        <f>NOMINA!D170</f>
        <v>Carmona Peñaloza Yaneth Coromoto</v>
      </c>
      <c r="E194" s="1468" t="s">
        <v>4622</v>
      </c>
      <c r="F194" s="1110">
        <v>32351</v>
      </c>
      <c r="G194" s="1468" t="s">
        <v>4620</v>
      </c>
      <c r="H194" s="1442">
        <f>NOMINA!H170</f>
        <v>41456</v>
      </c>
      <c r="I194" s="1105">
        <f>NOMINA!I170</f>
        <v>12</v>
      </c>
      <c r="J194" s="1106">
        <f>NOMINA!J170</f>
        <v>0</v>
      </c>
      <c r="K194" s="1105">
        <f t="shared" si="9"/>
        <v>12</v>
      </c>
      <c r="L194" s="1106" t="s">
        <v>4932</v>
      </c>
      <c r="M194" s="1106"/>
      <c r="N194" s="1443" t="str">
        <f>NOMINA!O170</f>
        <v>Asistente Administrativo III</v>
      </c>
      <c r="O194" s="1106">
        <v>1.02087691000006E+18</v>
      </c>
      <c r="P194" s="1107">
        <f>NOMINA!W170</f>
        <v>0</v>
      </c>
      <c r="Q194" s="1108">
        <f>NOMINA!AG170</f>
        <v>0</v>
      </c>
      <c r="R194" s="1108">
        <f>NOMINA!AI170</f>
        <v>0</v>
      </c>
      <c r="S194" s="1108">
        <f>NOMINA!AK170</f>
        <v>0</v>
      </c>
      <c r="T194" s="1108">
        <f>+NOMINA!AO170</f>
        <v>0</v>
      </c>
      <c r="U194" s="1108">
        <f>+NOMINA!AQ170</f>
        <v>0</v>
      </c>
      <c r="V194" s="1108">
        <f>+NOMINA!AR170</f>
        <v>0</v>
      </c>
      <c r="W194" s="1108">
        <f>+NOMINA!AS170</f>
        <v>0</v>
      </c>
      <c r="X194" s="1108">
        <f>ROUND(NOMINA!AW170,2)</f>
        <v>0</v>
      </c>
      <c r="Y194" s="1108">
        <f>ROUND(NOMINA!AX170,2)</f>
        <v>0</v>
      </c>
      <c r="Z194" s="1108">
        <f>ROUND(NOMINA!BB170,2)+ROUND(NOMINA!BF170,2)</f>
        <v>0</v>
      </c>
      <c r="AA194" s="1108">
        <f>ROUND(NOMINA!BK170,2)*0</f>
        <v>0</v>
      </c>
      <c r="AB194" s="1108">
        <f>+NOMINA!BJ170</f>
        <v>0</v>
      </c>
      <c r="AC194" s="1108">
        <f>ROUND(NOMINA!BG170,2)</f>
        <v>0</v>
      </c>
      <c r="AD194" s="1711">
        <f t="shared" si="8"/>
        <v>0</v>
      </c>
      <c r="AF194" s="625"/>
    </row>
    <row r="195" spans="1:32" s="620" customFormat="1" ht="18" customHeight="1" thickBot="1" x14ac:dyDescent="0.25">
      <c r="A195" s="758" t="s">
        <v>2846</v>
      </c>
      <c r="B195" s="508">
        <f t="shared" si="10"/>
        <v>128</v>
      </c>
      <c r="C195" s="1102">
        <f>NOMINA!C171</f>
        <v>16066554</v>
      </c>
      <c r="D195" s="1103" t="str">
        <f>NOMINA!D171</f>
        <v>Gonzalez Huerta Maria Josefina</v>
      </c>
      <c r="E195" s="1468" t="s">
        <v>4622</v>
      </c>
      <c r="F195" s="1110">
        <v>32351</v>
      </c>
      <c r="G195" s="1468" t="s">
        <v>4620</v>
      </c>
      <c r="H195" s="1442">
        <f>NOMINA!H171</f>
        <v>38797</v>
      </c>
      <c r="I195" s="1105">
        <f>NOMINA!I171</f>
        <v>19</v>
      </c>
      <c r="J195" s="1106">
        <f>NOMINA!J171</f>
        <v>0</v>
      </c>
      <c r="K195" s="1105">
        <f t="shared" si="9"/>
        <v>19</v>
      </c>
      <c r="L195" s="1106" t="s">
        <v>4932</v>
      </c>
      <c r="M195" s="1106"/>
      <c r="N195" s="1443" t="str">
        <f>NOMINA!O171</f>
        <v>Auditor IV</v>
      </c>
      <c r="O195" s="1106">
        <v>1.02087691000006E+18</v>
      </c>
      <c r="P195" s="1107">
        <f>NOMINA!W171</f>
        <v>143.5</v>
      </c>
      <c r="Q195" s="1108">
        <f>NOMINA!AG171</f>
        <v>35.01</v>
      </c>
      <c r="R195" s="1108">
        <f>NOMINA!AI171</f>
        <v>65</v>
      </c>
      <c r="S195" s="1108">
        <f>NOMINA!AK171</f>
        <v>64</v>
      </c>
      <c r="T195" s="1108">
        <f>+NOMINA!AO171</f>
        <v>0</v>
      </c>
      <c r="U195" s="1108">
        <f>+NOMINA!AQ171</f>
        <v>0</v>
      </c>
      <c r="V195" s="1108">
        <f>+NOMINA!AR171</f>
        <v>0</v>
      </c>
      <c r="W195" s="1108">
        <f>+NOMINA!AS171</f>
        <v>0</v>
      </c>
      <c r="X195" s="1108">
        <f>ROUND(NOMINA!AW171,2)</f>
        <v>0</v>
      </c>
      <c r="Y195" s="1108">
        <f>ROUND(NOMINA!AX171,2)</f>
        <v>0</v>
      </c>
      <c r="Z195" s="1108">
        <f>ROUND(NOMINA!BB171,2)+ROUND(NOMINA!BF171,2)</f>
        <v>0</v>
      </c>
      <c r="AA195" s="1108">
        <f>ROUND(NOMINA!BK171,2)*0</f>
        <v>0</v>
      </c>
      <c r="AB195" s="1108">
        <f>+NOMINA!BJ171</f>
        <v>12.5</v>
      </c>
      <c r="AC195" s="1108">
        <f>ROUND(NOMINA!BG171,2)</f>
        <v>320</v>
      </c>
      <c r="AD195" s="1711">
        <f t="shared" si="8"/>
        <v>640.01</v>
      </c>
      <c r="AF195" s="625"/>
    </row>
    <row r="196" spans="1:32" s="620" customFormat="1" ht="18" customHeight="1" thickBot="1" x14ac:dyDescent="0.25">
      <c r="A196" s="758" t="s">
        <v>2846</v>
      </c>
      <c r="B196" s="508">
        <f t="shared" si="10"/>
        <v>129</v>
      </c>
      <c r="C196" s="1102">
        <f>NOMINA!C172</f>
        <v>16266033</v>
      </c>
      <c r="D196" s="1103" t="str">
        <f>NOMINA!D172</f>
        <v>Montilla de Davila Nileidy del Valle</v>
      </c>
      <c r="E196" s="1468" t="s">
        <v>4622</v>
      </c>
      <c r="F196" s="1110">
        <v>32351</v>
      </c>
      <c r="G196" s="1468" t="s">
        <v>4620</v>
      </c>
      <c r="H196" s="1442">
        <f>NOMINA!H172</f>
        <v>44713</v>
      </c>
      <c r="I196" s="1105">
        <f>NOMINA!I172</f>
        <v>3</v>
      </c>
      <c r="J196" s="1106">
        <f>NOMINA!J172</f>
        <v>0</v>
      </c>
      <c r="K196" s="1105">
        <f t="shared" si="9"/>
        <v>3</v>
      </c>
      <c r="L196" s="1106" t="s">
        <v>4932</v>
      </c>
      <c r="M196" s="1106"/>
      <c r="N196" s="1443" t="str">
        <f>NOMINA!O172</f>
        <v>Guia de Centro I</v>
      </c>
      <c r="O196" s="1106">
        <v>1.02087691000006E+18</v>
      </c>
      <c r="P196" s="1107">
        <f>NOMINA!W172</f>
        <v>109.5</v>
      </c>
      <c r="Q196" s="1108">
        <f>NOMINA!AG172</f>
        <v>3.28</v>
      </c>
      <c r="R196" s="1108">
        <f>NOMINA!AI172</f>
        <v>65</v>
      </c>
      <c r="S196" s="1108">
        <f>NOMINA!AK172</f>
        <v>47.57</v>
      </c>
      <c r="T196" s="1108">
        <f>+NOMINA!AO172</f>
        <v>25</v>
      </c>
      <c r="U196" s="1108">
        <f>+NOMINA!AQ172</f>
        <v>0</v>
      </c>
      <c r="V196" s="1108">
        <f>+NOMINA!AR172</f>
        <v>0</v>
      </c>
      <c r="W196" s="1108">
        <f>+NOMINA!AS172</f>
        <v>0</v>
      </c>
      <c r="X196" s="1108">
        <f>ROUND(NOMINA!AW172,2)</f>
        <v>142.71</v>
      </c>
      <c r="Y196" s="1108">
        <f>ROUND(NOMINA!AX172,2)</f>
        <v>0</v>
      </c>
      <c r="Z196" s="1108">
        <f>ROUND(NOMINA!BB172,2)+ROUND(NOMINA!BF172,2)</f>
        <v>92.76</v>
      </c>
      <c r="AA196" s="1108">
        <f>ROUND(NOMINA!BK172,2)*0</f>
        <v>0</v>
      </c>
      <c r="AB196" s="1108">
        <f>+NOMINA!BJ172</f>
        <v>12.5</v>
      </c>
      <c r="AC196" s="1108">
        <f>ROUND(NOMINA!BG172,2)</f>
        <v>320</v>
      </c>
      <c r="AD196" s="1711">
        <f t="shared" ref="AD196:AD259" si="11">+P196+Q196+R196+S196+X196+Y196+Z196+AC196+AA196+T196+U196+V196+W196+AB196</f>
        <v>818.31999999999994</v>
      </c>
      <c r="AF196" s="625"/>
    </row>
    <row r="197" spans="1:32" s="620" customFormat="1" ht="18" customHeight="1" thickBot="1" x14ac:dyDescent="0.25">
      <c r="A197" s="758" t="s">
        <v>2846</v>
      </c>
      <c r="B197" s="508">
        <f t="shared" si="10"/>
        <v>130</v>
      </c>
      <c r="C197" s="1102">
        <f>NOMINA!C173</f>
        <v>16266989</v>
      </c>
      <c r="D197" s="1103" t="str">
        <f>NOMINA!D173</f>
        <v>Rincon Quevedo Angela Adriana</v>
      </c>
      <c r="E197" s="1468" t="s">
        <v>4622</v>
      </c>
      <c r="F197" s="1110">
        <v>32351</v>
      </c>
      <c r="G197" s="1468" t="s">
        <v>4620</v>
      </c>
      <c r="H197" s="1442">
        <f>NOMINA!H173</f>
        <v>43040</v>
      </c>
      <c r="I197" s="1105">
        <f>NOMINA!I173</f>
        <v>7</v>
      </c>
      <c r="J197" s="1106">
        <f>NOMINA!J173</f>
        <v>0</v>
      </c>
      <c r="K197" s="1105">
        <f t="shared" ref="K197:K260" si="12">I197+J197</f>
        <v>7</v>
      </c>
      <c r="L197" s="1106" t="s">
        <v>4932</v>
      </c>
      <c r="M197" s="1106"/>
      <c r="N197" s="1443" t="str">
        <f>NOMINA!O173</f>
        <v>Guia de Centro II</v>
      </c>
      <c r="O197" s="1106">
        <v>1.02087691000006E+18</v>
      </c>
      <c r="P197" s="1107">
        <f>NOMINA!W173</f>
        <v>139.5</v>
      </c>
      <c r="Q197" s="1108">
        <f>NOMINA!AG173</f>
        <v>10.32</v>
      </c>
      <c r="R197" s="1108">
        <f>NOMINA!AI173</f>
        <v>65</v>
      </c>
      <c r="S197" s="1108">
        <f>NOMINA!AK173</f>
        <v>56.83</v>
      </c>
      <c r="T197" s="1108">
        <f>+NOMINA!AO173</f>
        <v>0</v>
      </c>
      <c r="U197" s="1108">
        <f>+NOMINA!AQ173</f>
        <v>0</v>
      </c>
      <c r="V197" s="1108">
        <f>+NOMINA!AR173</f>
        <v>0</v>
      </c>
      <c r="W197" s="1108">
        <f>+NOMINA!AS173</f>
        <v>0</v>
      </c>
      <c r="X197" s="1108">
        <f>ROUND(NOMINA!AW173,2)</f>
        <v>170.49</v>
      </c>
      <c r="Y197" s="1108">
        <f>ROUND(NOMINA!AX173,2)</f>
        <v>0</v>
      </c>
      <c r="Z197" s="1108">
        <f>ROUND(NOMINA!BB173,2)+ROUND(NOMINA!BF173,2)</f>
        <v>0</v>
      </c>
      <c r="AA197" s="1108">
        <f>ROUND(NOMINA!BK173,2)*0</f>
        <v>0</v>
      </c>
      <c r="AB197" s="1108">
        <f>+NOMINA!BJ173</f>
        <v>12.5</v>
      </c>
      <c r="AC197" s="1108">
        <f>ROUND(NOMINA!BG173,2)</f>
        <v>320</v>
      </c>
      <c r="AD197" s="1711">
        <f t="shared" si="11"/>
        <v>774.64</v>
      </c>
      <c r="AF197" s="625"/>
    </row>
    <row r="198" spans="1:32" s="620" customFormat="1" ht="18" customHeight="1" thickBot="1" x14ac:dyDescent="0.25">
      <c r="A198" s="758" t="s">
        <v>2846</v>
      </c>
      <c r="B198" s="508">
        <f t="shared" ref="B198:B261" si="13">+B197+1</f>
        <v>131</v>
      </c>
      <c r="C198" s="1102">
        <f>NOMINA!C174</f>
        <v>16267940</v>
      </c>
      <c r="D198" s="1103" t="str">
        <f>NOMINA!D174</f>
        <v>Araujo Moreno Elisaelith</v>
      </c>
      <c r="E198" s="1468" t="s">
        <v>4622</v>
      </c>
      <c r="F198" s="1110">
        <v>32351</v>
      </c>
      <c r="G198" s="1468" t="s">
        <v>4620</v>
      </c>
      <c r="H198" s="1442">
        <f>NOMINA!H174</f>
        <v>44600</v>
      </c>
      <c r="I198" s="1105">
        <f>NOMINA!I174</f>
        <v>3</v>
      </c>
      <c r="J198" s="1106">
        <f>NOMINA!J174</f>
        <v>0</v>
      </c>
      <c r="K198" s="1105">
        <f t="shared" si="12"/>
        <v>3</v>
      </c>
      <c r="L198" s="1106" t="s">
        <v>4932</v>
      </c>
      <c r="M198" s="1106"/>
      <c r="N198" s="1443" t="str">
        <f>NOMINA!O174</f>
        <v>Tecnico Superior en Trabajo Social II</v>
      </c>
      <c r="O198" s="1106">
        <v>1.02087691000006E+18</v>
      </c>
      <c r="P198" s="1107">
        <f>NOMINA!W174</f>
        <v>109.5</v>
      </c>
      <c r="Q198" s="1108">
        <f>NOMINA!AG174</f>
        <v>3.28</v>
      </c>
      <c r="R198" s="1108">
        <f>NOMINA!AI174</f>
        <v>65</v>
      </c>
      <c r="S198" s="1108">
        <f>NOMINA!AK174</f>
        <v>36.799999999999997</v>
      </c>
      <c r="T198" s="1108">
        <f>+NOMINA!AO174</f>
        <v>0</v>
      </c>
      <c r="U198" s="1108">
        <f>+NOMINA!AQ174</f>
        <v>0</v>
      </c>
      <c r="V198" s="1108">
        <f>+NOMINA!AR174</f>
        <v>0</v>
      </c>
      <c r="W198" s="1108">
        <f>+NOMINA!AS174</f>
        <v>0</v>
      </c>
      <c r="X198" s="1108">
        <f>ROUND(NOMINA!AW174,2)</f>
        <v>0</v>
      </c>
      <c r="Y198" s="1108">
        <f>ROUND(NOMINA!AX174,2)</f>
        <v>0</v>
      </c>
      <c r="Z198" s="1108">
        <f>ROUND(NOMINA!BB174,2)+ROUND(NOMINA!BF174,2)</f>
        <v>0</v>
      </c>
      <c r="AA198" s="1108">
        <f>ROUND(NOMINA!BK174,2)*0</f>
        <v>0</v>
      </c>
      <c r="AB198" s="1108">
        <f>+NOMINA!BJ174</f>
        <v>12.5</v>
      </c>
      <c r="AC198" s="1108">
        <f>ROUND(NOMINA!BG174,2)</f>
        <v>320</v>
      </c>
      <c r="AD198" s="1711">
        <f t="shared" si="11"/>
        <v>547.07999999999993</v>
      </c>
      <c r="AF198" s="625"/>
    </row>
    <row r="199" spans="1:32" s="620" customFormat="1" ht="18" customHeight="1" thickBot="1" x14ac:dyDescent="0.25">
      <c r="A199" s="758" t="s">
        <v>2846</v>
      </c>
      <c r="B199" s="508">
        <f t="shared" si="13"/>
        <v>132</v>
      </c>
      <c r="C199" s="1102">
        <f>NOMINA!C175</f>
        <v>16376534</v>
      </c>
      <c r="D199" s="1103" t="str">
        <f>NOMINA!D175</f>
        <v>Lugo Moreno Yenny Katiuska</v>
      </c>
      <c r="E199" s="1468" t="s">
        <v>4622</v>
      </c>
      <c r="F199" s="1110">
        <v>32351</v>
      </c>
      <c r="G199" s="1468" t="s">
        <v>4620</v>
      </c>
      <c r="H199" s="1442">
        <f>NOMINA!H175</f>
        <v>43754</v>
      </c>
      <c r="I199" s="1105">
        <f>NOMINA!I175</f>
        <v>5</v>
      </c>
      <c r="J199" s="1106">
        <f>NOMINA!J175</f>
        <v>0</v>
      </c>
      <c r="K199" s="1105">
        <f t="shared" si="12"/>
        <v>5</v>
      </c>
      <c r="L199" s="1106" t="s">
        <v>4932</v>
      </c>
      <c r="M199" s="1106"/>
      <c r="N199" s="1443" t="str">
        <f>NOMINA!O175</f>
        <v>Guia de Centro II</v>
      </c>
      <c r="O199" s="1106">
        <v>1.02087691000006E+18</v>
      </c>
      <c r="P199" s="1107">
        <f>NOMINA!W175</f>
        <v>138.5</v>
      </c>
      <c r="Q199" s="1108">
        <f>NOMINA!AG175</f>
        <v>6.92</v>
      </c>
      <c r="R199" s="1108">
        <f>NOMINA!AI175</f>
        <v>65</v>
      </c>
      <c r="S199" s="1108">
        <f>NOMINA!AK175</f>
        <v>54.17</v>
      </c>
      <c r="T199" s="1108">
        <f>+NOMINA!AO175</f>
        <v>0</v>
      </c>
      <c r="U199" s="1108">
        <f>+NOMINA!AQ175</f>
        <v>0</v>
      </c>
      <c r="V199" s="1108">
        <f>+NOMINA!AR175</f>
        <v>0</v>
      </c>
      <c r="W199" s="1108">
        <f>+NOMINA!AS175</f>
        <v>0</v>
      </c>
      <c r="X199" s="1108">
        <f>ROUND(NOMINA!AW175,2)</f>
        <v>162.51</v>
      </c>
      <c r="Y199" s="1108">
        <f>ROUND(NOMINA!AX175,2)</f>
        <v>0</v>
      </c>
      <c r="Z199" s="1108">
        <f>ROUND(NOMINA!BB175,2)+ROUND(NOMINA!BF175,2)</f>
        <v>105.63</v>
      </c>
      <c r="AA199" s="1108">
        <f>ROUND(NOMINA!BK175,2)*0</f>
        <v>0</v>
      </c>
      <c r="AB199" s="1108">
        <f>+NOMINA!BJ175</f>
        <v>12.5</v>
      </c>
      <c r="AC199" s="1108">
        <f>ROUND(NOMINA!BG175,2)</f>
        <v>320</v>
      </c>
      <c r="AD199" s="1711">
        <f t="shared" si="11"/>
        <v>865.23</v>
      </c>
      <c r="AF199" s="625"/>
    </row>
    <row r="200" spans="1:32" s="620" customFormat="1" ht="18" customHeight="1" thickBot="1" x14ac:dyDescent="0.25">
      <c r="A200" s="758" t="s">
        <v>2846</v>
      </c>
      <c r="B200" s="508">
        <f t="shared" si="13"/>
        <v>133</v>
      </c>
      <c r="C200" s="1102">
        <f>NOMINA!C176</f>
        <v>16376698</v>
      </c>
      <c r="D200" s="1103" t="str">
        <f>NOMINA!D176</f>
        <v>Barreto Maldonado Jose Luis</v>
      </c>
      <c r="E200" s="1468" t="s">
        <v>4622</v>
      </c>
      <c r="F200" s="1110">
        <v>32351</v>
      </c>
      <c r="G200" s="1468" t="s">
        <v>4620</v>
      </c>
      <c r="H200" s="1442">
        <f>NOMINA!H176</f>
        <v>40909</v>
      </c>
      <c r="I200" s="1105">
        <f>NOMINA!I176</f>
        <v>13</v>
      </c>
      <c r="J200" s="1106">
        <f>NOMINA!J176</f>
        <v>0</v>
      </c>
      <c r="K200" s="1105">
        <f t="shared" si="12"/>
        <v>13</v>
      </c>
      <c r="L200" s="1106" t="s">
        <v>4932</v>
      </c>
      <c r="M200" s="1106"/>
      <c r="N200" s="1443" t="str">
        <f>NOMINA!O176</f>
        <v>Supervisor de Servicios Generales IV</v>
      </c>
      <c r="O200" s="1106">
        <v>1.02087691000006E+18</v>
      </c>
      <c r="P200" s="1107">
        <f>NOMINA!W176</f>
        <v>87</v>
      </c>
      <c r="Q200" s="1108">
        <f>NOMINA!AG176</f>
        <v>13.22</v>
      </c>
      <c r="R200" s="1108">
        <f>NOMINA!AI176</f>
        <v>65</v>
      </c>
      <c r="S200" s="1108">
        <f>NOMINA!AK176</f>
        <v>0</v>
      </c>
      <c r="T200" s="1108">
        <f>+NOMINA!AO176</f>
        <v>0</v>
      </c>
      <c r="U200" s="1108">
        <f>+NOMINA!AQ176</f>
        <v>0</v>
      </c>
      <c r="V200" s="1108">
        <f>+NOMINA!AR176</f>
        <v>0</v>
      </c>
      <c r="W200" s="1108">
        <f>+NOMINA!AS176</f>
        <v>0</v>
      </c>
      <c r="X200" s="1108">
        <f>ROUND(NOMINA!AW176,2)</f>
        <v>0</v>
      </c>
      <c r="Y200" s="1108">
        <f>ROUND(NOMINA!AX176,2)</f>
        <v>0</v>
      </c>
      <c r="Z200" s="1108">
        <f>ROUND(NOMINA!BB176,2)+ROUND(NOMINA!BF176,2)</f>
        <v>0</v>
      </c>
      <c r="AA200" s="1108">
        <f>ROUND(NOMINA!BK176,2)*0</f>
        <v>0</v>
      </c>
      <c r="AB200" s="1108">
        <f>+NOMINA!BJ176</f>
        <v>12.5</v>
      </c>
      <c r="AC200" s="1108">
        <f>ROUND(NOMINA!BG176,2)</f>
        <v>320</v>
      </c>
      <c r="AD200" s="1711">
        <f t="shared" si="11"/>
        <v>497.72</v>
      </c>
      <c r="AF200" s="625"/>
    </row>
    <row r="201" spans="1:32" s="620" customFormat="1" ht="18" customHeight="1" thickBot="1" x14ac:dyDescent="0.25">
      <c r="A201" s="758" t="s">
        <v>2846</v>
      </c>
      <c r="B201" s="508">
        <f t="shared" si="13"/>
        <v>134</v>
      </c>
      <c r="C201" s="1102">
        <f>NOMINA!C177</f>
        <v>16377159</v>
      </c>
      <c r="D201" s="1103" t="str">
        <f>NOMINA!D177</f>
        <v>Carrillo Uzcategui Tahiyuani Carolina</v>
      </c>
      <c r="E201" s="1468" t="s">
        <v>4622</v>
      </c>
      <c r="F201" s="1110">
        <v>32351</v>
      </c>
      <c r="G201" s="1468" t="s">
        <v>4620</v>
      </c>
      <c r="H201" s="1442">
        <f>NOMINA!H177</f>
        <v>44743</v>
      </c>
      <c r="I201" s="1105">
        <f>NOMINA!I177</f>
        <v>3</v>
      </c>
      <c r="J201" s="1106">
        <f>NOMINA!J177</f>
        <v>0</v>
      </c>
      <c r="K201" s="1105">
        <f t="shared" si="12"/>
        <v>3</v>
      </c>
      <c r="L201" s="1106" t="s">
        <v>4932</v>
      </c>
      <c r="M201" s="1106"/>
      <c r="N201" s="1443" t="str">
        <f>NOMINA!O177</f>
        <v>Guia de Centro I</v>
      </c>
      <c r="O201" s="1106">
        <v>1.02087691000006E+18</v>
      </c>
      <c r="P201" s="1107">
        <f>NOMINA!W177</f>
        <v>109.5</v>
      </c>
      <c r="Q201" s="1108">
        <f>NOMINA!AG177</f>
        <v>3.28</v>
      </c>
      <c r="R201" s="1108">
        <f>NOMINA!AI177</f>
        <v>65</v>
      </c>
      <c r="S201" s="1108">
        <f>NOMINA!AK177</f>
        <v>38.049999999999997</v>
      </c>
      <c r="T201" s="1108">
        <f>+NOMINA!AO177</f>
        <v>0</v>
      </c>
      <c r="U201" s="1108">
        <f>+NOMINA!AQ177</f>
        <v>0</v>
      </c>
      <c r="V201" s="1108">
        <f>+NOMINA!AR177</f>
        <v>0</v>
      </c>
      <c r="W201" s="1108">
        <f>+NOMINA!AS177</f>
        <v>0</v>
      </c>
      <c r="X201" s="1108">
        <f>ROUND(NOMINA!AW177,2)</f>
        <v>137</v>
      </c>
      <c r="Y201" s="1108">
        <f>ROUND(NOMINA!AX177,2)</f>
        <v>0</v>
      </c>
      <c r="Z201" s="1108">
        <f>ROUND(NOMINA!BB177,2)+ROUND(NOMINA!BF177,2)</f>
        <v>89.05</v>
      </c>
      <c r="AA201" s="1108">
        <f>ROUND(NOMINA!BK177,2)*0</f>
        <v>0</v>
      </c>
      <c r="AB201" s="1108">
        <f>+NOMINA!BJ177</f>
        <v>12.5</v>
      </c>
      <c r="AC201" s="1108">
        <f>ROUND(NOMINA!BG177,2)</f>
        <v>320</v>
      </c>
      <c r="AD201" s="1711">
        <f t="shared" si="11"/>
        <v>774.38</v>
      </c>
      <c r="AF201" s="625"/>
    </row>
    <row r="202" spans="1:32" s="620" customFormat="1" ht="18" customHeight="1" thickBot="1" x14ac:dyDescent="0.25">
      <c r="A202" s="758" t="s">
        <v>2846</v>
      </c>
      <c r="B202" s="508">
        <f t="shared" si="13"/>
        <v>135</v>
      </c>
      <c r="C202" s="1102">
        <f>NOMINA!C178</f>
        <v>16377588</v>
      </c>
      <c r="D202" s="1103" t="str">
        <f>NOMINA!D178</f>
        <v>Perdomo Linares Alejandra Carolina</v>
      </c>
      <c r="E202" s="1468" t="s">
        <v>4622</v>
      </c>
      <c r="F202" s="1110">
        <v>32351</v>
      </c>
      <c r="G202" s="1468" t="s">
        <v>4620</v>
      </c>
      <c r="H202" s="1442">
        <f>NOMINA!H178</f>
        <v>44059</v>
      </c>
      <c r="I202" s="1105">
        <f>NOMINA!I178</f>
        <v>5</v>
      </c>
      <c r="J202" s="1106">
        <f>NOMINA!J178</f>
        <v>0</v>
      </c>
      <c r="K202" s="1105">
        <f t="shared" si="12"/>
        <v>5</v>
      </c>
      <c r="L202" s="1106" t="s">
        <v>4932</v>
      </c>
      <c r="M202" s="1106"/>
      <c r="N202" s="1443" t="str">
        <f>NOMINA!O178</f>
        <v>Tutor Facilitador II</v>
      </c>
      <c r="O202" s="1106">
        <v>1.02087691000006E+18</v>
      </c>
      <c r="P202" s="1107">
        <f>NOMINA!W178</f>
        <v>138.5</v>
      </c>
      <c r="Q202" s="1108">
        <f>NOMINA!AG178</f>
        <v>6.92</v>
      </c>
      <c r="R202" s="1108">
        <f>NOMINA!AI178</f>
        <v>65</v>
      </c>
      <c r="S202" s="1108">
        <f>NOMINA!AK178</f>
        <v>54.17</v>
      </c>
      <c r="T202" s="1108">
        <f>+NOMINA!AO178</f>
        <v>0</v>
      </c>
      <c r="U202" s="1108">
        <f>+NOMINA!AQ178</f>
        <v>0</v>
      </c>
      <c r="V202" s="1108">
        <f>+NOMINA!AR178</f>
        <v>0</v>
      </c>
      <c r="W202" s="1108">
        <f>+NOMINA!AS178</f>
        <v>0</v>
      </c>
      <c r="X202" s="1108">
        <f>ROUND(NOMINA!AW178,2)</f>
        <v>0</v>
      </c>
      <c r="Y202" s="1108">
        <f>ROUND(NOMINA!AX178,2)</f>
        <v>0</v>
      </c>
      <c r="Z202" s="1108">
        <f>ROUND(NOMINA!BB178,2)+ROUND(NOMINA!BF178,2)</f>
        <v>0</v>
      </c>
      <c r="AA202" s="1108">
        <f>ROUND(NOMINA!BK178,2)*0</f>
        <v>0</v>
      </c>
      <c r="AB202" s="1108">
        <f>+NOMINA!BJ178</f>
        <v>12.5</v>
      </c>
      <c r="AC202" s="1108">
        <f>ROUND(NOMINA!BG178,2)</f>
        <v>320</v>
      </c>
      <c r="AD202" s="1711">
        <f t="shared" si="11"/>
        <v>597.08999999999992</v>
      </c>
      <c r="AF202" s="625"/>
    </row>
    <row r="203" spans="1:32" s="620" customFormat="1" ht="18" customHeight="1" thickBot="1" x14ac:dyDescent="0.25">
      <c r="A203" s="758" t="s">
        <v>2846</v>
      </c>
      <c r="B203" s="508">
        <f t="shared" si="13"/>
        <v>136</v>
      </c>
      <c r="C203" s="1102">
        <f>NOMINA!C179</f>
        <v>16377628</v>
      </c>
      <c r="D203" s="1103" t="str">
        <f>NOMINA!D179</f>
        <v>Peña Nava Maria Gabriela</v>
      </c>
      <c r="E203" s="1468" t="s">
        <v>4622</v>
      </c>
      <c r="F203" s="1110">
        <v>32351</v>
      </c>
      <c r="G203" s="1468" t="s">
        <v>4620</v>
      </c>
      <c r="H203" s="1442">
        <f>NOMINA!H179</f>
        <v>44743</v>
      </c>
      <c r="I203" s="1105">
        <f>NOMINA!I179</f>
        <v>3</v>
      </c>
      <c r="J203" s="1106">
        <f>NOMINA!J179</f>
        <v>9</v>
      </c>
      <c r="K203" s="1105">
        <f t="shared" si="12"/>
        <v>12</v>
      </c>
      <c r="L203" s="1106" t="s">
        <v>4932</v>
      </c>
      <c r="M203" s="1106"/>
      <c r="N203" s="1443" t="str">
        <f>NOMINA!O179</f>
        <v>Guia de Centro II</v>
      </c>
      <c r="O203" s="1106">
        <v>1.02087691000006E+18</v>
      </c>
      <c r="P203" s="1107">
        <f>NOMINA!W179</f>
        <v>141.5</v>
      </c>
      <c r="Q203" s="1108">
        <f>NOMINA!AG179</f>
        <v>19.52</v>
      </c>
      <c r="R203" s="1108">
        <f>NOMINA!AI179</f>
        <v>65</v>
      </c>
      <c r="S203" s="1108">
        <f>NOMINA!AK179</f>
        <v>58.07</v>
      </c>
      <c r="T203" s="1108">
        <f>+NOMINA!AO179</f>
        <v>0</v>
      </c>
      <c r="U203" s="1108">
        <f>+NOMINA!AQ179</f>
        <v>0</v>
      </c>
      <c r="V203" s="1108">
        <f>+NOMINA!AR179</f>
        <v>0</v>
      </c>
      <c r="W203" s="1108">
        <f>+NOMINA!AS179</f>
        <v>0</v>
      </c>
      <c r="X203" s="1108">
        <f>ROUND(NOMINA!AW179,2)</f>
        <v>174.21</v>
      </c>
      <c r="Y203" s="1108">
        <f>ROUND(NOMINA!AX179,2)</f>
        <v>0</v>
      </c>
      <c r="Z203" s="1108">
        <f>ROUND(NOMINA!BB179,2)+ROUND(NOMINA!BF179,2)</f>
        <v>113.24</v>
      </c>
      <c r="AA203" s="1108">
        <f>ROUND(NOMINA!BK179,2)*0</f>
        <v>0</v>
      </c>
      <c r="AB203" s="1108">
        <f>+NOMINA!BJ179</f>
        <v>12.5</v>
      </c>
      <c r="AC203" s="1108">
        <f>ROUND(NOMINA!BG179,2)</f>
        <v>320</v>
      </c>
      <c r="AD203" s="1711">
        <f t="shared" si="11"/>
        <v>904.04000000000008</v>
      </c>
      <c r="AF203" s="625"/>
    </row>
    <row r="204" spans="1:32" s="620" customFormat="1" ht="18" customHeight="1" thickBot="1" x14ac:dyDescent="0.25">
      <c r="A204" s="758" t="s">
        <v>2846</v>
      </c>
      <c r="B204" s="508">
        <f t="shared" si="13"/>
        <v>137</v>
      </c>
      <c r="C204" s="1102">
        <f>NOMINA!C180</f>
        <v>16533566</v>
      </c>
      <c r="D204" s="1103" t="str">
        <f>NOMINA!D180</f>
        <v>Materan Gallardo Vivian Katiana</v>
      </c>
      <c r="E204" s="1468" t="s">
        <v>4622</v>
      </c>
      <c r="F204" s="1110">
        <v>32351</v>
      </c>
      <c r="G204" s="1468" t="s">
        <v>4620</v>
      </c>
      <c r="H204" s="1442">
        <f>NOMINA!H180</f>
        <v>44683</v>
      </c>
      <c r="I204" s="1105">
        <f>NOMINA!I180</f>
        <v>3</v>
      </c>
      <c r="J204" s="1106">
        <f>NOMINA!J180</f>
        <v>0</v>
      </c>
      <c r="K204" s="1105">
        <f t="shared" si="12"/>
        <v>3</v>
      </c>
      <c r="L204" s="1106" t="s">
        <v>4932</v>
      </c>
      <c r="M204" s="1106"/>
      <c r="N204" s="1443" t="str">
        <f>NOMINA!O180</f>
        <v>Guia de Centro I</v>
      </c>
      <c r="O204" s="1106">
        <v>1.02087691000006E+18</v>
      </c>
      <c r="P204" s="1107">
        <f>NOMINA!W180</f>
        <v>75</v>
      </c>
      <c r="Q204" s="1108">
        <f>NOMINA!AG180</f>
        <v>2.25</v>
      </c>
      <c r="R204" s="1108">
        <f>NOMINA!AI180</f>
        <v>65</v>
      </c>
      <c r="S204" s="1108">
        <f>NOMINA!AK180</f>
        <v>0</v>
      </c>
      <c r="T204" s="1108">
        <f>+NOMINA!AO180</f>
        <v>0</v>
      </c>
      <c r="U204" s="1108">
        <f>+NOMINA!AQ180</f>
        <v>0</v>
      </c>
      <c r="V204" s="1108">
        <f>+NOMINA!AR180</f>
        <v>0</v>
      </c>
      <c r="W204" s="1108">
        <f>+NOMINA!AS180</f>
        <v>0</v>
      </c>
      <c r="X204" s="1108">
        <f>ROUND(NOMINA!AW180,2)</f>
        <v>92.85</v>
      </c>
      <c r="Y204" s="1108">
        <f>ROUND(NOMINA!AX180,2)</f>
        <v>0</v>
      </c>
      <c r="Z204" s="1108">
        <f>ROUND(NOMINA!BB180,2)+ROUND(NOMINA!BF180,2)</f>
        <v>60.35</v>
      </c>
      <c r="AA204" s="1108">
        <f>ROUND(NOMINA!BK180,2)*0</f>
        <v>0</v>
      </c>
      <c r="AB204" s="1108">
        <f>+NOMINA!BJ180</f>
        <v>12.5</v>
      </c>
      <c r="AC204" s="1108">
        <f>ROUND(NOMINA!BG180,2)</f>
        <v>320</v>
      </c>
      <c r="AD204" s="1711">
        <f t="shared" si="11"/>
        <v>627.95000000000005</v>
      </c>
      <c r="AF204" s="625"/>
    </row>
    <row r="205" spans="1:32" s="620" customFormat="1" ht="18" customHeight="1" thickBot="1" x14ac:dyDescent="0.25">
      <c r="A205" s="758" t="s">
        <v>2846</v>
      </c>
      <c r="B205" s="508">
        <f t="shared" si="13"/>
        <v>138</v>
      </c>
      <c r="C205" s="1102">
        <f>NOMINA!C181</f>
        <v>16533615</v>
      </c>
      <c r="D205" s="1103" t="str">
        <f>NOMINA!D181</f>
        <v>Valero Sulbaran Urquia Del Mar</v>
      </c>
      <c r="E205" s="1468" t="s">
        <v>4622</v>
      </c>
      <c r="F205" s="1110">
        <v>32351</v>
      </c>
      <c r="G205" s="1468" t="s">
        <v>4620</v>
      </c>
      <c r="H205" s="1442">
        <f>NOMINA!H181</f>
        <v>45474</v>
      </c>
      <c r="I205" s="1105">
        <f>NOMINA!I181</f>
        <v>1</v>
      </c>
      <c r="J205" s="1106">
        <f>NOMINA!J181</f>
        <v>0</v>
      </c>
      <c r="K205" s="1105">
        <f t="shared" si="12"/>
        <v>1</v>
      </c>
      <c r="L205" s="1106" t="s">
        <v>4932</v>
      </c>
      <c r="M205" s="1106"/>
      <c r="N205" s="1443" t="str">
        <f>NOMINA!O181</f>
        <v>Guia de Centro I</v>
      </c>
      <c r="O205" s="1106">
        <v>1.02087691000006E+18</v>
      </c>
      <c r="P205" s="1107">
        <f>NOMINA!W181</f>
        <v>123</v>
      </c>
      <c r="Q205" s="1108">
        <f>NOMINA!AG181</f>
        <v>1.23</v>
      </c>
      <c r="R205" s="1108">
        <f>NOMINA!AI181</f>
        <v>65</v>
      </c>
      <c r="S205" s="1108">
        <f>NOMINA!AK181</f>
        <v>48.87</v>
      </c>
      <c r="T205" s="1108">
        <f>+NOMINA!AO181</f>
        <v>12.5</v>
      </c>
      <c r="U205" s="1108">
        <f>+NOMINA!AQ181</f>
        <v>0</v>
      </c>
      <c r="V205" s="1108">
        <f>+NOMINA!AR181</f>
        <v>0</v>
      </c>
      <c r="W205" s="1108">
        <f>+NOMINA!AS181</f>
        <v>0</v>
      </c>
      <c r="X205" s="1108">
        <f>ROUND(NOMINA!AW181,2)</f>
        <v>146.61000000000001</v>
      </c>
      <c r="Y205" s="1108">
        <f>ROUND(NOMINA!AX181,2)</f>
        <v>0</v>
      </c>
      <c r="Z205" s="1108">
        <f>ROUND(NOMINA!BB181,2)+ROUND(NOMINA!BF181,2)</f>
        <v>95.3</v>
      </c>
      <c r="AA205" s="1108">
        <f>ROUND(NOMINA!BK181,2)*0</f>
        <v>0</v>
      </c>
      <c r="AB205" s="1108">
        <f>+NOMINA!BJ181</f>
        <v>12.5</v>
      </c>
      <c r="AC205" s="1108">
        <f>ROUND(NOMINA!BG181,2)</f>
        <v>320</v>
      </c>
      <c r="AD205" s="1711">
        <f t="shared" si="11"/>
        <v>825.01</v>
      </c>
      <c r="AF205" s="625"/>
    </row>
    <row r="206" spans="1:32" s="620" customFormat="1" ht="18" customHeight="1" thickBot="1" x14ac:dyDescent="0.25">
      <c r="A206" s="758" t="s">
        <v>2846</v>
      </c>
      <c r="B206" s="508">
        <f t="shared" si="13"/>
        <v>139</v>
      </c>
      <c r="C206" s="1102">
        <f>NOMINA!C182</f>
        <v>16533986</v>
      </c>
      <c r="D206" s="1103" t="str">
        <f>NOMINA!D182</f>
        <v>Serrada Bustos Gladys Magaly</v>
      </c>
      <c r="E206" s="1468" t="s">
        <v>4622</v>
      </c>
      <c r="F206" s="1110">
        <v>32351</v>
      </c>
      <c r="G206" s="1468" t="s">
        <v>4620</v>
      </c>
      <c r="H206" s="1442">
        <f>NOMINA!H182</f>
        <v>42948</v>
      </c>
      <c r="I206" s="1105">
        <f>NOMINA!I182</f>
        <v>8</v>
      </c>
      <c r="J206" s="1106">
        <f>NOMINA!J182</f>
        <v>0</v>
      </c>
      <c r="K206" s="1105">
        <f t="shared" si="12"/>
        <v>8</v>
      </c>
      <c r="L206" s="1106" t="s">
        <v>4932</v>
      </c>
      <c r="M206" s="1106"/>
      <c r="N206" s="1443" t="str">
        <f>NOMINA!O182</f>
        <v>INGENIERO ELECTRICISTA JEFE</v>
      </c>
      <c r="O206" s="1106">
        <v>1.02087691000006E+18</v>
      </c>
      <c r="P206" s="1107">
        <f>NOMINA!W182</f>
        <v>139.5</v>
      </c>
      <c r="Q206" s="1108">
        <f>NOMINA!AG182</f>
        <v>11.99</v>
      </c>
      <c r="R206" s="1108">
        <f>NOMINA!AI182</f>
        <v>65</v>
      </c>
      <c r="S206" s="1108">
        <f>NOMINA!AK182</f>
        <v>55.68</v>
      </c>
      <c r="T206" s="1108">
        <f>+NOMINA!AO182</f>
        <v>0</v>
      </c>
      <c r="U206" s="1108">
        <f>+NOMINA!AQ182</f>
        <v>0</v>
      </c>
      <c r="V206" s="1108">
        <f>+NOMINA!AR182</f>
        <v>0</v>
      </c>
      <c r="W206" s="1108">
        <f>+NOMINA!AS182</f>
        <v>0</v>
      </c>
      <c r="X206" s="1108">
        <f>ROUND(NOMINA!AW182,2)</f>
        <v>0</v>
      </c>
      <c r="Y206" s="1108">
        <f>ROUND(NOMINA!AX182,2)</f>
        <v>0</v>
      </c>
      <c r="Z206" s="1108">
        <f>ROUND(NOMINA!BB182,2)+ROUND(NOMINA!BF182,2)</f>
        <v>0</v>
      </c>
      <c r="AA206" s="1108">
        <f>ROUND(NOMINA!BK182,2)*0</f>
        <v>0</v>
      </c>
      <c r="AB206" s="1108">
        <f>+NOMINA!BJ182</f>
        <v>12.5</v>
      </c>
      <c r="AC206" s="1108">
        <f>ROUND(NOMINA!BG182,2)</f>
        <v>320</v>
      </c>
      <c r="AD206" s="1711">
        <f t="shared" si="11"/>
        <v>604.67000000000007</v>
      </c>
      <c r="AF206" s="625"/>
    </row>
    <row r="207" spans="1:32" s="620" customFormat="1" ht="18" customHeight="1" thickBot="1" x14ac:dyDescent="0.25">
      <c r="A207" s="758" t="s">
        <v>2846</v>
      </c>
      <c r="B207" s="508">
        <f t="shared" si="13"/>
        <v>140</v>
      </c>
      <c r="C207" s="1102">
        <f>NOMINA!C183</f>
        <v>16739081</v>
      </c>
      <c r="D207" s="1103" t="str">
        <f>NOMINA!D183</f>
        <v>Albarran Araujo Yely Coromoto</v>
      </c>
      <c r="E207" s="1468" t="s">
        <v>4622</v>
      </c>
      <c r="F207" s="1110">
        <v>32351</v>
      </c>
      <c r="G207" s="1468" t="s">
        <v>4620</v>
      </c>
      <c r="H207" s="1442">
        <f>NOMINA!H183</f>
        <v>42948</v>
      </c>
      <c r="I207" s="1105">
        <f>NOMINA!I183</f>
        <v>8</v>
      </c>
      <c r="J207" s="1106">
        <f>NOMINA!J183</f>
        <v>0</v>
      </c>
      <c r="K207" s="1105">
        <f t="shared" si="12"/>
        <v>8</v>
      </c>
      <c r="L207" s="1106" t="s">
        <v>4932</v>
      </c>
      <c r="M207" s="1106"/>
      <c r="N207" s="1443" t="str">
        <f>NOMINA!O183</f>
        <v>Asistente Administrativo III</v>
      </c>
      <c r="O207" s="1106">
        <v>1.02087691000006E+18</v>
      </c>
      <c r="P207" s="1107">
        <f>NOMINA!W183</f>
        <v>0</v>
      </c>
      <c r="Q207" s="1108">
        <f>NOMINA!AG183</f>
        <v>0</v>
      </c>
      <c r="R207" s="1108">
        <f>NOMINA!AI183</f>
        <v>0</v>
      </c>
      <c r="S207" s="1108">
        <f>NOMINA!AK183</f>
        <v>0</v>
      </c>
      <c r="T207" s="1108">
        <f>+NOMINA!AO183</f>
        <v>0</v>
      </c>
      <c r="U207" s="1108">
        <f>+NOMINA!AQ183</f>
        <v>0</v>
      </c>
      <c r="V207" s="1108">
        <f>+NOMINA!AR183</f>
        <v>0</v>
      </c>
      <c r="W207" s="1108">
        <f>+NOMINA!AS183</f>
        <v>0</v>
      </c>
      <c r="X207" s="1108">
        <f>ROUND(NOMINA!AW183,2)</f>
        <v>0</v>
      </c>
      <c r="Y207" s="1108">
        <f>ROUND(NOMINA!AX183,2)</f>
        <v>0</v>
      </c>
      <c r="Z207" s="1108">
        <f>ROUND(NOMINA!BB183,2)+ROUND(NOMINA!BF183,2)</f>
        <v>0</v>
      </c>
      <c r="AA207" s="1108">
        <f>ROUND(NOMINA!BK183,2)*0</f>
        <v>0</v>
      </c>
      <c r="AB207" s="1108">
        <f>+NOMINA!BJ183</f>
        <v>0</v>
      </c>
      <c r="AC207" s="1108">
        <f>ROUND(NOMINA!BG183,2)</f>
        <v>0</v>
      </c>
      <c r="AD207" s="1711">
        <f t="shared" si="11"/>
        <v>0</v>
      </c>
      <c r="AF207" s="625"/>
    </row>
    <row r="208" spans="1:32" s="620" customFormat="1" ht="18" customHeight="1" thickBot="1" x14ac:dyDescent="0.25">
      <c r="A208" s="758" t="s">
        <v>2846</v>
      </c>
      <c r="B208" s="508">
        <f t="shared" si="13"/>
        <v>141</v>
      </c>
      <c r="C208" s="1102">
        <f>NOMINA!C184</f>
        <v>16740261</v>
      </c>
      <c r="D208" s="1103" t="str">
        <f>NOMINA!D184</f>
        <v>Rivas Briceño Nathaly Del Carmen</v>
      </c>
      <c r="E208" s="1468" t="s">
        <v>4622</v>
      </c>
      <c r="F208" s="1110">
        <v>32351</v>
      </c>
      <c r="G208" s="1468" t="s">
        <v>4620</v>
      </c>
      <c r="H208" s="1442">
        <f>NOMINA!H184</f>
        <v>45505</v>
      </c>
      <c r="I208" s="1105">
        <f>NOMINA!I184</f>
        <v>1</v>
      </c>
      <c r="J208" s="1106">
        <f>NOMINA!J184</f>
        <v>0</v>
      </c>
      <c r="K208" s="1105">
        <f t="shared" si="12"/>
        <v>1</v>
      </c>
      <c r="L208" s="1106" t="s">
        <v>4932</v>
      </c>
      <c r="M208" s="1106"/>
      <c r="N208" s="1443" t="str">
        <f>NOMINA!O184</f>
        <v>Tecnico Superior en Trabajo Social I</v>
      </c>
      <c r="O208" s="1106">
        <v>1.02087691000006E+18</v>
      </c>
      <c r="P208" s="1107">
        <f>NOMINA!W184</f>
        <v>96</v>
      </c>
      <c r="Q208" s="1108">
        <f>NOMINA!AG184</f>
        <v>0.96</v>
      </c>
      <c r="R208" s="1108">
        <f>NOMINA!AI184</f>
        <v>65</v>
      </c>
      <c r="S208" s="1108">
        <f>NOMINA!AK184</f>
        <v>33.64</v>
      </c>
      <c r="T208" s="1108">
        <f>+NOMINA!AO184</f>
        <v>0</v>
      </c>
      <c r="U208" s="1108">
        <f>+NOMINA!AQ184</f>
        <v>0</v>
      </c>
      <c r="V208" s="1108">
        <f>+NOMINA!AR184</f>
        <v>0</v>
      </c>
      <c r="W208" s="1108">
        <f>+NOMINA!AS184</f>
        <v>0</v>
      </c>
      <c r="X208" s="1108">
        <f>ROUND(NOMINA!AW184,2)</f>
        <v>0</v>
      </c>
      <c r="Y208" s="1108">
        <f>ROUND(NOMINA!AX184,2)</f>
        <v>0</v>
      </c>
      <c r="Z208" s="1108">
        <f>ROUND(NOMINA!BB184,2)+ROUND(NOMINA!BF184,2)</f>
        <v>0</v>
      </c>
      <c r="AA208" s="1108">
        <f>ROUND(NOMINA!BK184,2)*0</f>
        <v>0</v>
      </c>
      <c r="AB208" s="1108">
        <f>+NOMINA!BJ184</f>
        <v>12.5</v>
      </c>
      <c r="AC208" s="1108">
        <f>ROUND(NOMINA!BG184,2)</f>
        <v>320</v>
      </c>
      <c r="AD208" s="1711">
        <f t="shared" si="11"/>
        <v>528.09999999999991</v>
      </c>
      <c r="AF208" s="625"/>
    </row>
    <row r="209" spans="1:32" s="620" customFormat="1" ht="18" customHeight="1" thickBot="1" x14ac:dyDescent="0.25">
      <c r="A209" s="758" t="s">
        <v>2846</v>
      </c>
      <c r="B209" s="508">
        <f t="shared" si="13"/>
        <v>142</v>
      </c>
      <c r="C209" s="1102">
        <f>NOMINA!C185</f>
        <v>16881384</v>
      </c>
      <c r="D209" s="1103" t="str">
        <f>NOMINA!D185</f>
        <v>Perez Ramirez Yonathan Jesus</v>
      </c>
      <c r="E209" s="1468" t="s">
        <v>4622</v>
      </c>
      <c r="F209" s="1110">
        <v>32351</v>
      </c>
      <c r="G209" s="1468" t="s">
        <v>4620</v>
      </c>
      <c r="H209" s="1442">
        <f>NOMINA!H185</f>
        <v>43906</v>
      </c>
      <c r="I209" s="1105">
        <f>NOMINA!I185</f>
        <v>5</v>
      </c>
      <c r="J209" s="1106">
        <f>NOMINA!J185</f>
        <v>9</v>
      </c>
      <c r="K209" s="1105">
        <f t="shared" si="12"/>
        <v>14</v>
      </c>
      <c r="L209" s="1106" t="s">
        <v>4932</v>
      </c>
      <c r="M209" s="1106"/>
      <c r="N209" s="1443" t="str">
        <f>NOMINA!O185</f>
        <v>Guia de Centro II</v>
      </c>
      <c r="O209" s="1106">
        <v>1.02087691000006E+18</v>
      </c>
      <c r="P209" s="1107">
        <f>NOMINA!W185</f>
        <v>112.5</v>
      </c>
      <c r="Q209" s="1108">
        <f>NOMINA!AG185</f>
        <v>18.670000000000002</v>
      </c>
      <c r="R209" s="1108">
        <f>NOMINA!AI185</f>
        <v>65</v>
      </c>
      <c r="S209" s="1108">
        <f>NOMINA!AK185</f>
        <v>39.229999999999997</v>
      </c>
      <c r="T209" s="1108">
        <f>+NOMINA!AO185</f>
        <v>0</v>
      </c>
      <c r="U209" s="1108">
        <f>+NOMINA!AQ185</f>
        <v>0</v>
      </c>
      <c r="V209" s="1108">
        <f>+NOMINA!AR185</f>
        <v>0</v>
      </c>
      <c r="W209" s="1108">
        <f>+NOMINA!AS185</f>
        <v>0</v>
      </c>
      <c r="X209" s="1108">
        <f>ROUND(NOMINA!AW185,2)</f>
        <v>141.25</v>
      </c>
      <c r="Y209" s="1108">
        <f>ROUND(NOMINA!AX185,2)</f>
        <v>0</v>
      </c>
      <c r="Z209" s="1108">
        <f>ROUND(NOMINA!BB185,2)+ROUND(NOMINA!BF185,2)</f>
        <v>91.81</v>
      </c>
      <c r="AA209" s="1108">
        <f>ROUND(NOMINA!BK185,2)*0</f>
        <v>0</v>
      </c>
      <c r="AB209" s="1108">
        <f>+NOMINA!BJ185</f>
        <v>12.5</v>
      </c>
      <c r="AC209" s="1108">
        <f>ROUND(NOMINA!BG185,2)</f>
        <v>320</v>
      </c>
      <c r="AD209" s="1711">
        <f t="shared" si="11"/>
        <v>800.96</v>
      </c>
      <c r="AF209" s="625"/>
    </row>
    <row r="210" spans="1:32" s="620" customFormat="1" ht="18" customHeight="1" thickBot="1" x14ac:dyDescent="0.25">
      <c r="A210" s="758" t="s">
        <v>2846</v>
      </c>
      <c r="B210" s="508">
        <f t="shared" si="13"/>
        <v>143</v>
      </c>
      <c r="C210" s="1102">
        <f>NOMINA!C186</f>
        <v>16882467</v>
      </c>
      <c r="D210" s="1103" t="str">
        <f>NOMINA!D186</f>
        <v>Mejia Araujo Sandra Coromoto</v>
      </c>
      <c r="E210" s="1468" t="s">
        <v>4622</v>
      </c>
      <c r="F210" s="1110">
        <v>32351</v>
      </c>
      <c r="G210" s="1468" t="s">
        <v>4620</v>
      </c>
      <c r="H210" s="1442">
        <f>NOMINA!H186</f>
        <v>42948</v>
      </c>
      <c r="I210" s="1105">
        <f>NOMINA!I186</f>
        <v>8</v>
      </c>
      <c r="J210" s="1106">
        <f>NOMINA!J186</f>
        <v>7</v>
      </c>
      <c r="K210" s="1105">
        <f t="shared" si="12"/>
        <v>15</v>
      </c>
      <c r="L210" s="1106" t="s">
        <v>4932</v>
      </c>
      <c r="M210" s="1106"/>
      <c r="N210" s="1443" t="str">
        <f>NOMINA!O186</f>
        <v>Analista de Personal IV</v>
      </c>
      <c r="O210" s="1106">
        <v>1.02087691000006E+18</v>
      </c>
      <c r="P210" s="1107">
        <f>NOMINA!W186</f>
        <v>142.5</v>
      </c>
      <c r="Q210" s="1108">
        <f>NOMINA!AG186</f>
        <v>25.65</v>
      </c>
      <c r="R210" s="1108">
        <f>NOMINA!AI186</f>
        <v>65</v>
      </c>
      <c r="S210" s="1108">
        <f>NOMINA!AK186</f>
        <v>58.29</v>
      </c>
      <c r="T210" s="1108">
        <f>+NOMINA!AO186</f>
        <v>12.5</v>
      </c>
      <c r="U210" s="1108">
        <f>+NOMINA!AQ186</f>
        <v>0</v>
      </c>
      <c r="V210" s="1108">
        <f>+NOMINA!AR186</f>
        <v>0</v>
      </c>
      <c r="W210" s="1108">
        <f>+NOMINA!AS186</f>
        <v>0</v>
      </c>
      <c r="X210" s="1108">
        <f>ROUND(NOMINA!AW186,2)</f>
        <v>0</v>
      </c>
      <c r="Y210" s="1108">
        <f>ROUND(NOMINA!AX186,2)</f>
        <v>0</v>
      </c>
      <c r="Z210" s="1108">
        <f>ROUND(NOMINA!BB186,2)+ROUND(NOMINA!BF186,2)</f>
        <v>0</v>
      </c>
      <c r="AA210" s="1108">
        <f>ROUND(NOMINA!BK186,2)*0</f>
        <v>0</v>
      </c>
      <c r="AB210" s="1108">
        <f>+NOMINA!BJ186</f>
        <v>12.5</v>
      </c>
      <c r="AC210" s="1108">
        <f>ROUND(NOMINA!BG186,2)</f>
        <v>320</v>
      </c>
      <c r="AD210" s="1711">
        <f t="shared" si="11"/>
        <v>636.44000000000005</v>
      </c>
      <c r="AF210" s="625"/>
    </row>
    <row r="211" spans="1:32" s="620" customFormat="1" ht="18" customHeight="1" thickBot="1" x14ac:dyDescent="0.25">
      <c r="A211" s="758" t="s">
        <v>2846</v>
      </c>
      <c r="B211" s="508">
        <f t="shared" si="13"/>
        <v>144</v>
      </c>
      <c r="C211" s="1102">
        <f>NOMINA!C187</f>
        <v>16883267</v>
      </c>
      <c r="D211" s="1103" t="str">
        <f>NOMINA!D187</f>
        <v>Matheus Rondon Aida</v>
      </c>
      <c r="E211" s="1468" t="s">
        <v>4622</v>
      </c>
      <c r="F211" s="1110">
        <v>32351</v>
      </c>
      <c r="G211" s="1468" t="s">
        <v>4620</v>
      </c>
      <c r="H211" s="1442">
        <f>NOMINA!H187</f>
        <v>38930</v>
      </c>
      <c r="I211" s="1105">
        <f>NOMINA!I187</f>
        <v>19</v>
      </c>
      <c r="J211" s="1106">
        <f>NOMINA!J187</f>
        <v>0</v>
      </c>
      <c r="K211" s="1105">
        <f t="shared" si="12"/>
        <v>19</v>
      </c>
      <c r="L211" s="1106" t="s">
        <v>4932</v>
      </c>
      <c r="M211" s="1106"/>
      <c r="N211" s="1443" t="str">
        <f>NOMINA!O187</f>
        <v>Guia de Centro II</v>
      </c>
      <c r="O211" s="1106">
        <v>1.02087691000006E+18</v>
      </c>
      <c r="P211" s="1107">
        <f>NOMINA!W187</f>
        <v>114</v>
      </c>
      <c r="Q211" s="1108">
        <f>NOMINA!AG187</f>
        <v>27.81</v>
      </c>
      <c r="R211" s="1108">
        <f>NOMINA!AI187</f>
        <v>65</v>
      </c>
      <c r="S211" s="1108">
        <f>NOMINA!AK187</f>
        <v>41.36</v>
      </c>
      <c r="T211" s="1108">
        <f>+NOMINA!AO187</f>
        <v>0</v>
      </c>
      <c r="U211" s="1108">
        <f>+NOMINA!AQ187</f>
        <v>0</v>
      </c>
      <c r="V211" s="1108">
        <f>+NOMINA!AR187</f>
        <v>0</v>
      </c>
      <c r="W211" s="1108">
        <f>+NOMINA!AS187</f>
        <v>0</v>
      </c>
      <c r="X211" s="1108">
        <f>ROUND(NOMINA!AW187,2)</f>
        <v>0</v>
      </c>
      <c r="Y211" s="1108">
        <f>ROUND(NOMINA!AX187,2)</f>
        <v>0</v>
      </c>
      <c r="Z211" s="1108">
        <f>ROUND(NOMINA!BB187,2)+ROUND(NOMINA!BF187,2)</f>
        <v>0</v>
      </c>
      <c r="AA211" s="1108">
        <f>ROUND(NOMINA!BK187,2)*0</f>
        <v>0</v>
      </c>
      <c r="AB211" s="1108">
        <f>+NOMINA!BJ187</f>
        <v>12.5</v>
      </c>
      <c r="AC211" s="1108">
        <f>ROUND(NOMINA!BG187,2)</f>
        <v>320</v>
      </c>
      <c r="AD211" s="1711">
        <f t="shared" si="11"/>
        <v>580.67000000000007</v>
      </c>
      <c r="AF211" s="625"/>
    </row>
    <row r="212" spans="1:32" s="620" customFormat="1" ht="18" customHeight="1" thickBot="1" x14ac:dyDescent="0.25">
      <c r="A212" s="758" t="s">
        <v>2846</v>
      </c>
      <c r="B212" s="508">
        <f t="shared" si="13"/>
        <v>145</v>
      </c>
      <c r="C212" s="1102">
        <f>NOMINA!C188</f>
        <v>17037244</v>
      </c>
      <c r="D212" s="1103" t="str">
        <f>NOMINA!D188</f>
        <v>Bastidas Yelitza del Carmen</v>
      </c>
      <c r="E212" s="1468" t="s">
        <v>4622</v>
      </c>
      <c r="F212" s="1110">
        <v>32351</v>
      </c>
      <c r="G212" s="1468" t="s">
        <v>4620</v>
      </c>
      <c r="H212" s="1442">
        <f>NOMINA!H188</f>
        <v>40087</v>
      </c>
      <c r="I212" s="1105">
        <f>NOMINA!I188</f>
        <v>15</v>
      </c>
      <c r="J212" s="1106">
        <f>NOMINA!J188</f>
        <v>0</v>
      </c>
      <c r="K212" s="1105">
        <f t="shared" si="12"/>
        <v>15</v>
      </c>
      <c r="L212" s="1106" t="s">
        <v>4932</v>
      </c>
      <c r="M212" s="1106"/>
      <c r="N212" s="1443" t="str">
        <f>NOMINA!O188</f>
        <v>Guia de Centro II</v>
      </c>
      <c r="O212" s="1106">
        <v>1.02087691000006E+18</v>
      </c>
      <c r="P212" s="1107">
        <f>NOMINA!W188</f>
        <v>113</v>
      </c>
      <c r="Q212" s="1108">
        <f>NOMINA!AG188</f>
        <v>20.34</v>
      </c>
      <c r="R212" s="1108">
        <f>NOMINA!AI188</f>
        <v>65</v>
      </c>
      <c r="S212" s="1108">
        <f>NOMINA!AK188</f>
        <v>42.17</v>
      </c>
      <c r="T212" s="1108">
        <f>+NOMINA!AO188</f>
        <v>0</v>
      </c>
      <c r="U212" s="1108">
        <f>+NOMINA!AQ188</f>
        <v>0</v>
      </c>
      <c r="V212" s="1108">
        <f>+NOMINA!AR188</f>
        <v>0</v>
      </c>
      <c r="W212" s="1108">
        <f>+NOMINA!AS188</f>
        <v>0</v>
      </c>
      <c r="X212" s="1108">
        <f>ROUND(NOMINA!AW188,2)</f>
        <v>151.81</v>
      </c>
      <c r="Y212" s="1108">
        <f>ROUND(NOMINA!AX188,2)</f>
        <v>0</v>
      </c>
      <c r="Z212" s="1108">
        <f>ROUND(NOMINA!BB188,2)+ROUND(NOMINA!BF188,2)</f>
        <v>98.67</v>
      </c>
      <c r="AA212" s="1108">
        <f>ROUND(NOMINA!BK188,2)*0</f>
        <v>0</v>
      </c>
      <c r="AB212" s="1108">
        <f>+NOMINA!BJ188</f>
        <v>12.5</v>
      </c>
      <c r="AC212" s="1108">
        <f>ROUND(NOMINA!BG188,2)</f>
        <v>320</v>
      </c>
      <c r="AD212" s="1711">
        <f t="shared" si="11"/>
        <v>823.49</v>
      </c>
      <c r="AF212" s="625"/>
    </row>
    <row r="213" spans="1:32" s="620" customFormat="1" ht="18" customHeight="1" thickBot="1" x14ac:dyDescent="0.25">
      <c r="A213" s="758" t="s">
        <v>2846</v>
      </c>
      <c r="B213" s="508">
        <f t="shared" si="13"/>
        <v>146</v>
      </c>
      <c r="C213" s="1102">
        <f>NOMINA!C189</f>
        <v>17038061</v>
      </c>
      <c r="D213" s="1103" t="str">
        <f>NOMINA!D189</f>
        <v>Ruendez Araujo Omaira del Carmen</v>
      </c>
      <c r="E213" s="1468" t="s">
        <v>4622</v>
      </c>
      <c r="F213" s="1110">
        <v>32351</v>
      </c>
      <c r="G213" s="1468" t="s">
        <v>4620</v>
      </c>
      <c r="H213" s="1442">
        <f>NOMINA!H189</f>
        <v>45809</v>
      </c>
      <c r="I213" s="1105">
        <f>NOMINA!I189</f>
        <v>0</v>
      </c>
      <c r="J213" s="1106">
        <f>NOMINA!J189</f>
        <v>1</v>
      </c>
      <c r="K213" s="1105">
        <f t="shared" si="12"/>
        <v>1</v>
      </c>
      <c r="L213" s="1106" t="s">
        <v>4932</v>
      </c>
      <c r="M213" s="1106"/>
      <c r="N213" s="1443" t="str">
        <f>NOMINA!O189</f>
        <v>Guia de Centro I</v>
      </c>
      <c r="O213" s="1106">
        <v>1.02087691000006E+18</v>
      </c>
      <c r="P213" s="1107">
        <f>NOMINA!W189</f>
        <v>65</v>
      </c>
      <c r="Q213" s="1108">
        <f>NOMINA!AG189</f>
        <v>0.65</v>
      </c>
      <c r="R213" s="1108">
        <f>NOMINA!AI189</f>
        <v>65</v>
      </c>
      <c r="S213" s="1108">
        <f>NOMINA!AK189</f>
        <v>0</v>
      </c>
      <c r="T213" s="1108">
        <f>+NOMINA!AO189</f>
        <v>0</v>
      </c>
      <c r="U213" s="1108">
        <f>+NOMINA!AQ189</f>
        <v>0</v>
      </c>
      <c r="V213" s="1108">
        <f>+NOMINA!AR189</f>
        <v>0</v>
      </c>
      <c r="W213" s="1108">
        <f>+NOMINA!AS189</f>
        <v>0</v>
      </c>
      <c r="X213" s="1108">
        <f>ROUND(NOMINA!AW189,2)</f>
        <v>85.89</v>
      </c>
      <c r="Y213" s="1108">
        <f>ROUND(NOMINA!AX189,2)</f>
        <v>0</v>
      </c>
      <c r="Z213" s="1108">
        <f>ROUND(NOMINA!BB189,2)+ROUND(NOMINA!BF189,2)</f>
        <v>55.83</v>
      </c>
      <c r="AA213" s="1108">
        <f>ROUND(NOMINA!BK189,2)*0</f>
        <v>0</v>
      </c>
      <c r="AB213" s="1108">
        <f>+NOMINA!BJ189</f>
        <v>12.5</v>
      </c>
      <c r="AC213" s="1108">
        <f>ROUND(NOMINA!BG189,2)</f>
        <v>320</v>
      </c>
      <c r="AD213" s="1711">
        <f t="shared" si="11"/>
        <v>604.87</v>
      </c>
      <c r="AF213" s="625"/>
    </row>
    <row r="214" spans="1:32" s="620" customFormat="1" ht="18" customHeight="1" thickBot="1" x14ac:dyDescent="0.25">
      <c r="A214" s="758" t="s">
        <v>2846</v>
      </c>
      <c r="B214" s="508">
        <f t="shared" si="13"/>
        <v>147</v>
      </c>
      <c r="C214" s="1102">
        <f>NOMINA!C190</f>
        <v>17094419</v>
      </c>
      <c r="D214" s="1103" t="str">
        <f>NOMINA!D190</f>
        <v>Aponte Rivera Lenismar del Valle</v>
      </c>
      <c r="E214" s="1468" t="s">
        <v>4622</v>
      </c>
      <c r="F214" s="1110">
        <v>32351</v>
      </c>
      <c r="G214" s="1468" t="s">
        <v>4620</v>
      </c>
      <c r="H214" s="1442">
        <f>NOMINA!H190</f>
        <v>44409</v>
      </c>
      <c r="I214" s="1105">
        <f>NOMINA!I190</f>
        <v>4</v>
      </c>
      <c r="J214" s="1106">
        <f>NOMINA!J190</f>
        <v>0</v>
      </c>
      <c r="K214" s="1105">
        <f t="shared" si="12"/>
        <v>4</v>
      </c>
      <c r="L214" s="1106" t="s">
        <v>4932</v>
      </c>
      <c r="M214" s="1106"/>
      <c r="N214" s="1443" t="str">
        <f>NOMINA!O190</f>
        <v>Guia de Centro I</v>
      </c>
      <c r="O214" s="1106">
        <v>1.02087691000006E+18</v>
      </c>
      <c r="P214" s="1107">
        <f>NOMINA!W190</f>
        <v>75</v>
      </c>
      <c r="Q214" s="1108">
        <f>NOMINA!AG190</f>
        <v>3</v>
      </c>
      <c r="R214" s="1108">
        <f>NOMINA!AI190</f>
        <v>65</v>
      </c>
      <c r="S214" s="1108">
        <f>NOMINA!AK190</f>
        <v>0</v>
      </c>
      <c r="T214" s="1108">
        <f>+NOMINA!AO190</f>
        <v>0</v>
      </c>
      <c r="U214" s="1108">
        <f>+NOMINA!AQ190</f>
        <v>0</v>
      </c>
      <c r="V214" s="1108">
        <f>+NOMINA!AR190</f>
        <v>0</v>
      </c>
      <c r="W214" s="1108">
        <f>+NOMINA!AS190</f>
        <v>0</v>
      </c>
      <c r="X214" s="1108">
        <f>ROUND(NOMINA!AW190,2)</f>
        <v>89.55</v>
      </c>
      <c r="Y214" s="1108">
        <f>ROUND(NOMINA!AX190,2)</f>
        <v>0</v>
      </c>
      <c r="Z214" s="1108">
        <f>ROUND(NOMINA!BB190,2)+ROUND(NOMINA!BF190,2)</f>
        <v>58.21</v>
      </c>
      <c r="AA214" s="1108">
        <f>ROUND(NOMINA!BK190,2)*0</f>
        <v>0</v>
      </c>
      <c r="AB214" s="1108">
        <f>+NOMINA!BJ190</f>
        <v>12.5</v>
      </c>
      <c r="AC214" s="1108">
        <f>ROUND(NOMINA!BG190,2)</f>
        <v>320</v>
      </c>
      <c r="AD214" s="1711">
        <f t="shared" si="11"/>
        <v>623.26</v>
      </c>
      <c r="AF214" s="625"/>
    </row>
    <row r="215" spans="1:32" s="620" customFormat="1" ht="18" customHeight="1" thickBot="1" x14ac:dyDescent="0.25">
      <c r="A215" s="758" t="s">
        <v>2846</v>
      </c>
      <c r="B215" s="508">
        <f>+B214+1</f>
        <v>148</v>
      </c>
      <c r="C215" s="1102">
        <f>NOMINA!C191</f>
        <v>17094426</v>
      </c>
      <c r="D215" s="1103" t="str">
        <f>NOMINA!D191</f>
        <v>Manzanilla Araujo Richard Jose</v>
      </c>
      <c r="E215" s="1468" t="s">
        <v>4622</v>
      </c>
      <c r="F215" s="1110">
        <v>32351</v>
      </c>
      <c r="G215" s="1468" t="s">
        <v>4620</v>
      </c>
      <c r="H215" s="1442">
        <f>NOMINA!H191</f>
        <v>43344</v>
      </c>
      <c r="I215" s="1105">
        <f>NOMINA!I191</f>
        <v>7</v>
      </c>
      <c r="J215" s="1106">
        <f>NOMINA!J191</f>
        <v>0</v>
      </c>
      <c r="K215" s="1105">
        <f t="shared" si="12"/>
        <v>7</v>
      </c>
      <c r="L215" s="1106" t="s">
        <v>4932</v>
      </c>
      <c r="M215" s="1106"/>
      <c r="N215" s="1443" t="str">
        <f>NOMINA!O191</f>
        <v>Guia de Centro II</v>
      </c>
      <c r="O215" s="1106">
        <v>1.02087691000006E+18</v>
      </c>
      <c r="P215" s="1107">
        <f>NOMINA!W191</f>
        <v>139.5</v>
      </c>
      <c r="Q215" s="1108">
        <f>NOMINA!AG191</f>
        <v>10.32</v>
      </c>
      <c r="R215" s="1108">
        <f>NOMINA!AI191</f>
        <v>65</v>
      </c>
      <c r="S215" s="1108">
        <f>NOMINA!AK191</f>
        <v>55.27</v>
      </c>
      <c r="T215" s="1108">
        <f>+NOMINA!AO191</f>
        <v>0</v>
      </c>
      <c r="U215" s="1108">
        <f>+NOMINA!AQ191</f>
        <v>0</v>
      </c>
      <c r="V215" s="1108">
        <f>+NOMINA!AR191</f>
        <v>0</v>
      </c>
      <c r="W215" s="1108">
        <f>+NOMINA!AS191</f>
        <v>0</v>
      </c>
      <c r="X215" s="1108">
        <f>ROUND(NOMINA!AW191,2)</f>
        <v>165.81</v>
      </c>
      <c r="Y215" s="1108">
        <f>ROUND(NOMINA!AX191,2)</f>
        <v>5748</v>
      </c>
      <c r="Z215" s="1108">
        <f>ROUND(NOMINA!BB191,2)+ROUND(NOMINA!BF191,2)</f>
        <v>143.69999999999999</v>
      </c>
      <c r="AA215" s="1108">
        <f>ROUND(NOMINA!BK191,2)*0</f>
        <v>0</v>
      </c>
      <c r="AB215" s="1108">
        <f>+NOMINA!BJ191</f>
        <v>12.5</v>
      </c>
      <c r="AC215" s="1108">
        <f>ROUND(NOMINA!BG191,2)</f>
        <v>320</v>
      </c>
      <c r="AD215" s="1711">
        <f t="shared" si="11"/>
        <v>6660.0999999999995</v>
      </c>
      <c r="AF215" s="625"/>
    </row>
    <row r="216" spans="1:32" s="620" customFormat="1" ht="18" customHeight="1" thickBot="1" x14ac:dyDescent="0.25">
      <c r="A216" s="758" t="s">
        <v>2846</v>
      </c>
      <c r="B216" s="508">
        <f t="shared" si="13"/>
        <v>149</v>
      </c>
      <c r="C216" s="1102">
        <f>NOMINA!C192</f>
        <v>17130893</v>
      </c>
      <c r="D216" s="1103" t="str">
        <f>NOMINA!D192</f>
        <v>Leon Valero Ceila Maria</v>
      </c>
      <c r="E216" s="1468" t="s">
        <v>4622</v>
      </c>
      <c r="F216" s="1110">
        <v>32351</v>
      </c>
      <c r="G216" s="1468" t="s">
        <v>4620</v>
      </c>
      <c r="H216" s="1442">
        <f>NOMINA!H192</f>
        <v>39602</v>
      </c>
      <c r="I216" s="1105">
        <f>NOMINA!I192</f>
        <v>17</v>
      </c>
      <c r="J216" s="1106">
        <f>NOMINA!J192</f>
        <v>0</v>
      </c>
      <c r="K216" s="1105">
        <f t="shared" si="12"/>
        <v>17</v>
      </c>
      <c r="L216" s="1106" t="s">
        <v>4932</v>
      </c>
      <c r="M216" s="1106"/>
      <c r="N216" s="1443" t="str">
        <f>NOMINA!O192</f>
        <v>Tutor Facilitador III</v>
      </c>
      <c r="O216" s="1106">
        <v>1.02087691000006E+18</v>
      </c>
      <c r="P216" s="1107">
        <f>NOMINA!W192</f>
        <v>142.5</v>
      </c>
      <c r="Q216" s="1108">
        <f>NOMINA!AG192</f>
        <v>30.21</v>
      </c>
      <c r="R216" s="1108">
        <f>NOMINA!AI192</f>
        <v>65</v>
      </c>
      <c r="S216" s="1108">
        <f>NOMINA!AK192</f>
        <v>62.55</v>
      </c>
      <c r="T216" s="1108">
        <f>+NOMINA!AO192</f>
        <v>25</v>
      </c>
      <c r="U216" s="1108">
        <f>+NOMINA!AQ192</f>
        <v>0</v>
      </c>
      <c r="V216" s="1108">
        <f>+NOMINA!AR192</f>
        <v>0</v>
      </c>
      <c r="W216" s="1108">
        <f>+NOMINA!AS192</f>
        <v>0</v>
      </c>
      <c r="X216" s="1108">
        <f>ROUND(NOMINA!AW192,2)</f>
        <v>0</v>
      </c>
      <c r="Y216" s="1108">
        <f>ROUND(NOMINA!AX192,2)</f>
        <v>0</v>
      </c>
      <c r="Z216" s="1108">
        <f>ROUND(NOMINA!BB192,2)+ROUND(NOMINA!BF192,2)</f>
        <v>0</v>
      </c>
      <c r="AA216" s="1108">
        <f>ROUND(NOMINA!BK192,2)*0</f>
        <v>0</v>
      </c>
      <c r="AB216" s="1108">
        <f>+NOMINA!BJ192</f>
        <v>12.5</v>
      </c>
      <c r="AC216" s="1108">
        <f>ROUND(NOMINA!BG192,2)</f>
        <v>320</v>
      </c>
      <c r="AD216" s="1711">
        <f t="shared" si="11"/>
        <v>657.76</v>
      </c>
      <c r="AF216" s="625"/>
    </row>
    <row r="217" spans="1:32" s="620" customFormat="1" ht="18" customHeight="1" thickBot="1" x14ac:dyDescent="0.25">
      <c r="A217" s="758" t="s">
        <v>2846</v>
      </c>
      <c r="B217" s="508">
        <f t="shared" si="13"/>
        <v>150</v>
      </c>
      <c r="C217" s="1102">
        <f>NOMINA!C193</f>
        <v>17265578</v>
      </c>
      <c r="D217" s="1103" t="str">
        <f>NOMINA!D193</f>
        <v>Briceño Aguilar Rebeca Andreina</v>
      </c>
      <c r="E217" s="1468" t="s">
        <v>4622</v>
      </c>
      <c r="F217" s="1110">
        <v>32351</v>
      </c>
      <c r="G217" s="1468" t="s">
        <v>4620</v>
      </c>
      <c r="H217" s="1442">
        <f>NOMINA!H193</f>
        <v>45047</v>
      </c>
      <c r="I217" s="1105">
        <f>NOMINA!I193</f>
        <v>2</v>
      </c>
      <c r="J217" s="1106">
        <f>NOMINA!J193</f>
        <v>2</v>
      </c>
      <c r="K217" s="1105">
        <f t="shared" si="12"/>
        <v>4</v>
      </c>
      <c r="L217" s="1106" t="s">
        <v>4932</v>
      </c>
      <c r="M217" s="1106"/>
      <c r="N217" s="1443" t="str">
        <f>NOMINA!O193</f>
        <v>Tecnico Superior en Trabajo Social II</v>
      </c>
      <c r="O217" s="1106">
        <v>1.02087691000006E+18</v>
      </c>
      <c r="P217" s="1107">
        <f>NOMINA!W193</f>
        <v>109.5</v>
      </c>
      <c r="Q217" s="1108">
        <f>NOMINA!AG193</f>
        <v>4.38</v>
      </c>
      <c r="R217" s="1108">
        <f>NOMINA!AI193</f>
        <v>65</v>
      </c>
      <c r="S217" s="1108">
        <f>NOMINA!AK193</f>
        <v>37.020000000000003</v>
      </c>
      <c r="T217" s="1108">
        <f>+NOMINA!AO193</f>
        <v>0</v>
      </c>
      <c r="U217" s="1108">
        <f>+NOMINA!AQ193</f>
        <v>0</v>
      </c>
      <c r="V217" s="1108">
        <f>+NOMINA!AR193</f>
        <v>0</v>
      </c>
      <c r="W217" s="1108">
        <f>+NOMINA!AS193</f>
        <v>0</v>
      </c>
      <c r="X217" s="1108">
        <f>ROUND(NOMINA!AW193,2)</f>
        <v>0</v>
      </c>
      <c r="Y217" s="1108">
        <f>ROUND(NOMINA!AX193,2)</f>
        <v>0</v>
      </c>
      <c r="Z217" s="1108">
        <f>ROUND(NOMINA!BB193,2)+ROUND(NOMINA!BF193,2)</f>
        <v>0</v>
      </c>
      <c r="AA217" s="1108">
        <f>ROUND(NOMINA!BK193,2)*0</f>
        <v>0</v>
      </c>
      <c r="AB217" s="1108">
        <f>+NOMINA!BJ193</f>
        <v>12.5</v>
      </c>
      <c r="AC217" s="1108">
        <f>ROUND(NOMINA!BG193,2)</f>
        <v>320</v>
      </c>
      <c r="AD217" s="1711">
        <f t="shared" si="11"/>
        <v>548.4</v>
      </c>
      <c r="AF217" s="625"/>
    </row>
    <row r="218" spans="1:32" s="620" customFormat="1" ht="18" customHeight="1" thickBot="1" x14ac:dyDescent="0.25">
      <c r="A218" s="758" t="s">
        <v>2846</v>
      </c>
      <c r="B218" s="508">
        <f t="shared" si="13"/>
        <v>151</v>
      </c>
      <c r="C218" s="1102">
        <f>NOMINA!C194</f>
        <v>17265648</v>
      </c>
      <c r="D218" s="1103" t="str">
        <f>NOMINA!D194</f>
        <v>Carrizo Mary Alejandra</v>
      </c>
      <c r="E218" s="1468" t="s">
        <v>4622</v>
      </c>
      <c r="F218" s="1110">
        <v>32351</v>
      </c>
      <c r="G218" s="1468" t="s">
        <v>4620</v>
      </c>
      <c r="H218" s="1442">
        <f>NOMINA!H194</f>
        <v>43709</v>
      </c>
      <c r="I218" s="1105">
        <f>NOMINA!I194</f>
        <v>6</v>
      </c>
      <c r="J218" s="1106">
        <f>NOMINA!J194</f>
        <v>0</v>
      </c>
      <c r="K218" s="1105">
        <f t="shared" si="12"/>
        <v>6</v>
      </c>
      <c r="L218" s="1106" t="s">
        <v>4932</v>
      </c>
      <c r="M218" s="1106"/>
      <c r="N218" s="1443" t="str">
        <f>NOMINA!O194</f>
        <v>Guia de Centro II</v>
      </c>
      <c r="O218" s="1106">
        <v>1.02087691000006E+18</v>
      </c>
      <c r="P218" s="1107">
        <f>NOMINA!W194</f>
        <v>85</v>
      </c>
      <c r="Q218" s="1108">
        <f>NOMINA!AG194</f>
        <v>5.27</v>
      </c>
      <c r="R218" s="1108">
        <f>NOMINA!AI194</f>
        <v>65</v>
      </c>
      <c r="S218" s="1108">
        <f>NOMINA!AK194</f>
        <v>0</v>
      </c>
      <c r="T218" s="1108">
        <f>+NOMINA!AO194</f>
        <v>0</v>
      </c>
      <c r="U218" s="1108">
        <f>+NOMINA!AQ194</f>
        <v>0</v>
      </c>
      <c r="V218" s="1108">
        <f>+NOMINA!AR194</f>
        <v>0</v>
      </c>
      <c r="W218" s="1108">
        <f>+NOMINA!AS194</f>
        <v>0</v>
      </c>
      <c r="X218" s="1108">
        <f>ROUND(NOMINA!AW194,2)</f>
        <v>100.66</v>
      </c>
      <c r="Y218" s="1108">
        <f>ROUND(NOMINA!AX194,2)</f>
        <v>3489.6</v>
      </c>
      <c r="Z218" s="1108">
        <f>ROUND(NOMINA!BB194,2)+ROUND(NOMINA!BF194,2)</f>
        <v>65.430000000000007</v>
      </c>
      <c r="AA218" s="1108">
        <f>ROUND(NOMINA!BK194,2)*0</f>
        <v>0</v>
      </c>
      <c r="AB218" s="1108">
        <f>+NOMINA!BJ194</f>
        <v>12.5</v>
      </c>
      <c r="AC218" s="1108">
        <f>ROUND(NOMINA!BG194,2)</f>
        <v>320</v>
      </c>
      <c r="AD218" s="1711">
        <f t="shared" si="11"/>
        <v>4143.4599999999991</v>
      </c>
      <c r="AF218" s="625"/>
    </row>
    <row r="219" spans="1:32" s="620" customFormat="1" ht="18" customHeight="1" thickBot="1" x14ac:dyDescent="0.25">
      <c r="A219" s="758" t="s">
        <v>2846</v>
      </c>
      <c r="B219" s="508">
        <f t="shared" si="13"/>
        <v>152</v>
      </c>
      <c r="C219" s="1102">
        <f>NOMINA!C195</f>
        <v>17267324</v>
      </c>
      <c r="D219" s="1103" t="str">
        <f>NOMINA!D195</f>
        <v>Urdaneta Soto Katherine Esther</v>
      </c>
      <c r="E219" s="1468" t="s">
        <v>4622</v>
      </c>
      <c r="F219" s="1110">
        <v>32351</v>
      </c>
      <c r="G219" s="1468" t="s">
        <v>4620</v>
      </c>
      <c r="H219" s="1442">
        <f>NOMINA!H195</f>
        <v>43785</v>
      </c>
      <c r="I219" s="1105">
        <f>NOMINA!I195</f>
        <v>5</v>
      </c>
      <c r="J219" s="1106">
        <f>NOMINA!J195</f>
        <v>0</v>
      </c>
      <c r="K219" s="1105">
        <f t="shared" si="12"/>
        <v>5</v>
      </c>
      <c r="L219" s="1106" t="s">
        <v>4932</v>
      </c>
      <c r="M219" s="1106"/>
      <c r="N219" s="1443" t="str">
        <f>NOMINA!O195</f>
        <v>Guia de Centro II</v>
      </c>
      <c r="O219" s="1106">
        <v>1.02087691000006E+18</v>
      </c>
      <c r="P219" s="1107">
        <f>NOMINA!W195</f>
        <v>75</v>
      </c>
      <c r="Q219" s="1108">
        <f>NOMINA!AG195</f>
        <v>3.75</v>
      </c>
      <c r="R219" s="1108">
        <f>NOMINA!AI195</f>
        <v>65</v>
      </c>
      <c r="S219" s="1108">
        <f>NOMINA!AK195</f>
        <v>0</v>
      </c>
      <c r="T219" s="1108">
        <f>+NOMINA!AO195</f>
        <v>0</v>
      </c>
      <c r="U219" s="1108">
        <f>+NOMINA!AQ195</f>
        <v>0</v>
      </c>
      <c r="V219" s="1108">
        <f>+NOMINA!AR195</f>
        <v>0</v>
      </c>
      <c r="W219" s="1108">
        <f>+NOMINA!AS195</f>
        <v>0</v>
      </c>
      <c r="X219" s="1108">
        <f>ROUND(NOMINA!AW195,2)</f>
        <v>90</v>
      </c>
      <c r="Y219" s="1108">
        <f>ROUND(NOMINA!AX195,2)</f>
        <v>0</v>
      </c>
      <c r="Z219" s="1108">
        <f>ROUND(NOMINA!BB195,2)+ROUND(NOMINA!BF195,2)</f>
        <v>58.5</v>
      </c>
      <c r="AA219" s="1108">
        <f>ROUND(NOMINA!BK195,2)*0</f>
        <v>0</v>
      </c>
      <c r="AB219" s="1108">
        <f>+NOMINA!BJ195</f>
        <v>12.5</v>
      </c>
      <c r="AC219" s="1108">
        <f>ROUND(NOMINA!BG195,2)</f>
        <v>320</v>
      </c>
      <c r="AD219" s="1711">
        <f t="shared" si="11"/>
        <v>624.75</v>
      </c>
      <c r="AF219" s="625"/>
    </row>
    <row r="220" spans="1:32" s="620" customFormat="1" ht="18" customHeight="1" thickBot="1" x14ac:dyDescent="0.25">
      <c r="A220" s="758" t="s">
        <v>2846</v>
      </c>
      <c r="B220" s="508">
        <f t="shared" si="13"/>
        <v>153</v>
      </c>
      <c r="C220" s="1102">
        <f>NOMINA!C196</f>
        <v>17391316</v>
      </c>
      <c r="D220" s="1103" t="str">
        <f>NOMINA!D196</f>
        <v>Torres Aranguren Lilibeth del Valle</v>
      </c>
      <c r="E220" s="1468" t="s">
        <v>4622</v>
      </c>
      <c r="F220" s="1110">
        <v>32351</v>
      </c>
      <c r="G220" s="1468" t="s">
        <v>4620</v>
      </c>
      <c r="H220" s="1442">
        <f>NOMINA!H196</f>
        <v>44713</v>
      </c>
      <c r="I220" s="1105">
        <f>NOMINA!I196</f>
        <v>3</v>
      </c>
      <c r="J220" s="1106">
        <f>NOMINA!J196</f>
        <v>0</v>
      </c>
      <c r="K220" s="1105">
        <f t="shared" si="12"/>
        <v>3</v>
      </c>
      <c r="L220" s="1106" t="s">
        <v>4932</v>
      </c>
      <c r="M220" s="1106"/>
      <c r="N220" s="1443" t="str">
        <f>NOMINA!O196</f>
        <v>Guia de Centro I</v>
      </c>
      <c r="O220" s="1106">
        <v>1.02087691000006E+18</v>
      </c>
      <c r="P220" s="1107">
        <f>NOMINA!W196</f>
        <v>109.5</v>
      </c>
      <c r="Q220" s="1108">
        <f>NOMINA!AG196</f>
        <v>3.28</v>
      </c>
      <c r="R220" s="1108">
        <f>NOMINA!AI196</f>
        <v>65</v>
      </c>
      <c r="S220" s="1108">
        <f>NOMINA!AK196</f>
        <v>36.799999999999997</v>
      </c>
      <c r="T220" s="1108">
        <f>+NOMINA!AO196</f>
        <v>0</v>
      </c>
      <c r="U220" s="1108">
        <f>+NOMINA!AQ196</f>
        <v>0</v>
      </c>
      <c r="V220" s="1108">
        <f>+NOMINA!AR196</f>
        <v>0</v>
      </c>
      <c r="W220" s="1108">
        <f>+NOMINA!AS196</f>
        <v>0</v>
      </c>
      <c r="X220" s="1108">
        <f>ROUND(NOMINA!AW196,2)</f>
        <v>132.5</v>
      </c>
      <c r="Y220" s="1108">
        <f>ROUND(NOMINA!AX196,2)</f>
        <v>0</v>
      </c>
      <c r="Z220" s="1108">
        <f>ROUND(NOMINA!BB196,2)+ROUND(NOMINA!BF196,2)</f>
        <v>86.13</v>
      </c>
      <c r="AA220" s="1108">
        <f>ROUND(NOMINA!BK196,2)*0</f>
        <v>0</v>
      </c>
      <c r="AB220" s="1108">
        <f>+NOMINA!BJ196</f>
        <v>12.5</v>
      </c>
      <c r="AC220" s="1108">
        <f>ROUND(NOMINA!BG196,2)</f>
        <v>320</v>
      </c>
      <c r="AD220" s="1711">
        <f t="shared" si="11"/>
        <v>765.71</v>
      </c>
      <c r="AF220" s="625"/>
    </row>
    <row r="221" spans="1:32" s="620" customFormat="1" ht="18" customHeight="1" thickBot="1" x14ac:dyDescent="0.25">
      <c r="A221" s="758" t="s">
        <v>2846</v>
      </c>
      <c r="B221" s="508">
        <f t="shared" si="13"/>
        <v>154</v>
      </c>
      <c r="C221" s="1102">
        <f>NOMINA!C197</f>
        <v>17391892</v>
      </c>
      <c r="D221" s="1103" t="str">
        <f>NOMINA!D197</f>
        <v>Godoy Padilla Darcy Yaneth</v>
      </c>
      <c r="E221" s="1468" t="s">
        <v>4622</v>
      </c>
      <c r="F221" s="1110">
        <v>32351</v>
      </c>
      <c r="G221" s="1468" t="s">
        <v>4620</v>
      </c>
      <c r="H221" s="1442">
        <f>NOMINA!H197</f>
        <v>45323</v>
      </c>
      <c r="I221" s="1105">
        <f>NOMINA!I197</f>
        <v>1</v>
      </c>
      <c r="J221" s="1106">
        <f>NOMINA!J197</f>
        <v>2</v>
      </c>
      <c r="K221" s="1105">
        <f t="shared" si="12"/>
        <v>3</v>
      </c>
      <c r="L221" s="1106" t="s">
        <v>4932</v>
      </c>
      <c r="M221" s="1106"/>
      <c r="N221" s="1443" t="str">
        <f>NOMINA!O197</f>
        <v>Analista de Personal I</v>
      </c>
      <c r="O221" s="1106">
        <v>1.02087691000006E+18</v>
      </c>
      <c r="P221" s="1107">
        <f>NOMINA!W197</f>
        <v>138.5</v>
      </c>
      <c r="Q221" s="1108">
        <f>NOMINA!AG197</f>
        <v>4.1500000000000004</v>
      </c>
      <c r="R221" s="1108">
        <f>NOMINA!AI197</f>
        <v>65</v>
      </c>
      <c r="S221" s="1108">
        <f>NOMINA!AK197</f>
        <v>55.04</v>
      </c>
      <c r="T221" s="1108">
        <f>+NOMINA!AO197</f>
        <v>25</v>
      </c>
      <c r="U221" s="1108">
        <f>+NOMINA!AQ197</f>
        <v>0</v>
      </c>
      <c r="V221" s="1108">
        <f>+NOMINA!AR197</f>
        <v>0</v>
      </c>
      <c r="W221" s="1108">
        <f>+NOMINA!AS197</f>
        <v>0</v>
      </c>
      <c r="X221" s="1108">
        <f>ROUND(NOMINA!AW197,2)</f>
        <v>0</v>
      </c>
      <c r="Y221" s="1108">
        <f>ROUND(NOMINA!AX197,2)</f>
        <v>0</v>
      </c>
      <c r="Z221" s="1108">
        <f>ROUND(NOMINA!BB197,2)+ROUND(NOMINA!BF197,2)</f>
        <v>0</v>
      </c>
      <c r="AA221" s="1108">
        <f>ROUND(NOMINA!BK197,2)*0</f>
        <v>0</v>
      </c>
      <c r="AB221" s="1108">
        <f>+NOMINA!BJ197</f>
        <v>12.5</v>
      </c>
      <c r="AC221" s="1108">
        <f>ROUND(NOMINA!BG197,2)</f>
        <v>320</v>
      </c>
      <c r="AD221" s="1711">
        <f t="shared" si="11"/>
        <v>620.19000000000005</v>
      </c>
      <c r="AF221" s="625"/>
    </row>
    <row r="222" spans="1:32" s="620" customFormat="1" ht="18" customHeight="1" thickBot="1" x14ac:dyDescent="0.25">
      <c r="A222" s="758" t="s">
        <v>2846</v>
      </c>
      <c r="B222" s="508">
        <f t="shared" si="13"/>
        <v>155</v>
      </c>
      <c r="C222" s="1102">
        <f>NOMINA!C198</f>
        <v>17392309</v>
      </c>
      <c r="D222" s="1103" t="str">
        <f>NOMINA!D198</f>
        <v>Torres Briceño Yarelis del Carmen</v>
      </c>
      <c r="E222" s="1468" t="s">
        <v>4622</v>
      </c>
      <c r="F222" s="1110">
        <v>32351</v>
      </c>
      <c r="G222" s="1468" t="s">
        <v>4620</v>
      </c>
      <c r="H222" s="1442">
        <f>NOMINA!H198</f>
        <v>43116</v>
      </c>
      <c r="I222" s="1105">
        <f>NOMINA!I198</f>
        <v>7</v>
      </c>
      <c r="J222" s="1106">
        <f>NOMINA!J198</f>
        <v>0</v>
      </c>
      <c r="K222" s="1105">
        <f t="shared" si="12"/>
        <v>7</v>
      </c>
      <c r="L222" s="1106" t="s">
        <v>4932</v>
      </c>
      <c r="M222" s="1106"/>
      <c r="N222" s="1443" t="str">
        <f>NOMINA!O198</f>
        <v>Administrador II</v>
      </c>
      <c r="O222" s="1106">
        <v>1.02087691000006E+18</v>
      </c>
      <c r="P222" s="1107">
        <f>NOMINA!W198</f>
        <v>139.5</v>
      </c>
      <c r="Q222" s="1108">
        <f>NOMINA!AG198</f>
        <v>10.32</v>
      </c>
      <c r="R222" s="1108">
        <f>NOMINA!AI198</f>
        <v>65</v>
      </c>
      <c r="S222" s="1108">
        <f>NOMINA!AK198</f>
        <v>55.27</v>
      </c>
      <c r="T222" s="1108">
        <f>+NOMINA!AO198</f>
        <v>12.5</v>
      </c>
      <c r="U222" s="1108">
        <f>+NOMINA!AQ198</f>
        <v>0</v>
      </c>
      <c r="V222" s="1108">
        <f>+NOMINA!AR198</f>
        <v>0</v>
      </c>
      <c r="W222" s="1108">
        <f>+NOMINA!AS198</f>
        <v>0</v>
      </c>
      <c r="X222" s="1108">
        <f>ROUND(NOMINA!AW198,2)</f>
        <v>0</v>
      </c>
      <c r="Y222" s="1108">
        <f>ROUND(NOMINA!AX198,2)</f>
        <v>0</v>
      </c>
      <c r="Z222" s="1108">
        <f>ROUND(NOMINA!BB198,2)+ROUND(NOMINA!BF198,2)</f>
        <v>0</v>
      </c>
      <c r="AA222" s="1108">
        <f>ROUND(NOMINA!BK198,2)*0</f>
        <v>0</v>
      </c>
      <c r="AB222" s="1108">
        <f>+NOMINA!BJ198</f>
        <v>12.5</v>
      </c>
      <c r="AC222" s="1108">
        <f>ROUND(NOMINA!BG198,2)</f>
        <v>320</v>
      </c>
      <c r="AD222" s="1711">
        <f t="shared" si="11"/>
        <v>615.08999999999992</v>
      </c>
      <c r="AF222" s="625"/>
    </row>
    <row r="223" spans="1:32" s="620" customFormat="1" ht="18" customHeight="1" thickBot="1" x14ac:dyDescent="0.25">
      <c r="A223" s="758" t="s">
        <v>2846</v>
      </c>
      <c r="B223" s="508">
        <f t="shared" si="13"/>
        <v>156</v>
      </c>
      <c r="C223" s="1102">
        <f>NOMINA!C199</f>
        <v>17393693</v>
      </c>
      <c r="D223" s="1103" t="str">
        <f>NOMINA!D199</f>
        <v>Nuñez Maria Gusmara</v>
      </c>
      <c r="E223" s="1468" t="s">
        <v>4622</v>
      </c>
      <c r="F223" s="1110">
        <v>32351</v>
      </c>
      <c r="G223" s="1468" t="s">
        <v>4620</v>
      </c>
      <c r="H223" s="1442">
        <f>NOMINA!H199</f>
        <v>44516</v>
      </c>
      <c r="I223" s="1105">
        <f>NOMINA!I199</f>
        <v>3</v>
      </c>
      <c r="J223" s="1106">
        <f>NOMINA!J199</f>
        <v>0</v>
      </c>
      <c r="K223" s="1105">
        <f t="shared" si="12"/>
        <v>3</v>
      </c>
      <c r="L223" s="1106" t="s">
        <v>4932</v>
      </c>
      <c r="M223" s="1106"/>
      <c r="N223" s="1443" t="str">
        <f>NOMINA!O199</f>
        <v>Asistente Administrativo II</v>
      </c>
      <c r="O223" s="1106">
        <v>1.02087691000006E+18</v>
      </c>
      <c r="P223" s="1107">
        <f>NOMINA!W199</f>
        <v>75</v>
      </c>
      <c r="Q223" s="1108">
        <f>NOMINA!AG199</f>
        <v>2.25</v>
      </c>
      <c r="R223" s="1108">
        <f>NOMINA!AI199</f>
        <v>65</v>
      </c>
      <c r="S223" s="1108">
        <f>NOMINA!AK199</f>
        <v>0</v>
      </c>
      <c r="T223" s="1108">
        <f>+NOMINA!AO199</f>
        <v>0</v>
      </c>
      <c r="U223" s="1108">
        <f>+NOMINA!AQ199</f>
        <v>0</v>
      </c>
      <c r="V223" s="1108">
        <f>+NOMINA!AR199</f>
        <v>0</v>
      </c>
      <c r="W223" s="1108">
        <f>+NOMINA!AS199</f>
        <v>0</v>
      </c>
      <c r="X223" s="1108">
        <f>ROUND(NOMINA!AW199,2)</f>
        <v>0</v>
      </c>
      <c r="Y223" s="1108">
        <f>ROUND(NOMINA!AX199,2)</f>
        <v>0</v>
      </c>
      <c r="Z223" s="1108">
        <f>ROUND(NOMINA!BB199,2)+ROUND(NOMINA!BF199,2)</f>
        <v>0</v>
      </c>
      <c r="AA223" s="1108">
        <f>ROUND(NOMINA!BK199,2)*0</f>
        <v>0</v>
      </c>
      <c r="AB223" s="1108">
        <f>+NOMINA!BJ199</f>
        <v>12.5</v>
      </c>
      <c r="AC223" s="1108">
        <f>ROUND(NOMINA!BG199,2)</f>
        <v>320</v>
      </c>
      <c r="AD223" s="1711">
        <f t="shared" si="11"/>
        <v>474.75</v>
      </c>
      <c r="AF223" s="625"/>
    </row>
    <row r="224" spans="1:32" s="620" customFormat="1" ht="18" customHeight="1" thickBot="1" x14ac:dyDescent="0.25">
      <c r="A224" s="758" t="s">
        <v>2846</v>
      </c>
      <c r="B224" s="508">
        <f t="shared" si="13"/>
        <v>157</v>
      </c>
      <c r="C224" s="1102">
        <f>NOMINA!C200</f>
        <v>17596844</v>
      </c>
      <c r="D224" s="1103" t="str">
        <f>NOMINA!D200</f>
        <v>Colmenares Jorge Luis</v>
      </c>
      <c r="E224" s="1468" t="s">
        <v>4622</v>
      </c>
      <c r="F224" s="1110">
        <v>32351</v>
      </c>
      <c r="G224" s="1468" t="s">
        <v>4620</v>
      </c>
      <c r="H224" s="1442">
        <f>NOMINA!H200</f>
        <v>45474</v>
      </c>
      <c r="I224" s="1105">
        <f>NOMINA!I200</f>
        <v>1</v>
      </c>
      <c r="J224" s="1106">
        <f>NOMINA!J200</f>
        <v>0</v>
      </c>
      <c r="K224" s="1105">
        <f t="shared" si="12"/>
        <v>1</v>
      </c>
      <c r="L224" s="1106" t="s">
        <v>4932</v>
      </c>
      <c r="M224" s="1106"/>
      <c r="N224" s="1443" t="str">
        <f>NOMINA!O200</f>
        <v>Guia de Centro I</v>
      </c>
      <c r="O224" s="1106">
        <v>1.02087691000006E+18</v>
      </c>
      <c r="P224" s="1107">
        <f>NOMINA!W200</f>
        <v>96</v>
      </c>
      <c r="Q224" s="1108">
        <f>NOMINA!AG200</f>
        <v>0.96</v>
      </c>
      <c r="R224" s="1108">
        <f>NOMINA!AI200</f>
        <v>65</v>
      </c>
      <c r="S224" s="1108">
        <f>NOMINA!AK200</f>
        <v>34.89</v>
      </c>
      <c r="T224" s="1108">
        <f>+NOMINA!AO200</f>
        <v>0</v>
      </c>
      <c r="U224" s="1108">
        <f>+NOMINA!AQ200</f>
        <v>0</v>
      </c>
      <c r="V224" s="1108">
        <f>+NOMINA!AR200</f>
        <v>0</v>
      </c>
      <c r="W224" s="1108">
        <f>+NOMINA!AS200</f>
        <v>0</v>
      </c>
      <c r="X224" s="1108">
        <f>ROUND(NOMINA!AW200,2)</f>
        <v>125.61</v>
      </c>
      <c r="Y224" s="1108">
        <f>ROUND(NOMINA!AX200,2)</f>
        <v>0</v>
      </c>
      <c r="Z224" s="1108">
        <f>ROUND(NOMINA!BB200,2)+ROUND(NOMINA!BF200,2)</f>
        <v>81.650000000000006</v>
      </c>
      <c r="AA224" s="1108">
        <f>ROUND(NOMINA!BK200,2)*0</f>
        <v>0</v>
      </c>
      <c r="AB224" s="1108">
        <f>+NOMINA!BJ200</f>
        <v>12.5</v>
      </c>
      <c r="AC224" s="1108">
        <f>ROUND(NOMINA!BG200,2)</f>
        <v>320</v>
      </c>
      <c r="AD224" s="1711">
        <f t="shared" si="11"/>
        <v>736.61</v>
      </c>
      <c r="AF224" s="625"/>
    </row>
    <row r="225" spans="1:32" s="620" customFormat="1" ht="18" customHeight="1" thickBot="1" x14ac:dyDescent="0.25">
      <c r="A225" s="758" t="s">
        <v>2846</v>
      </c>
      <c r="B225" s="508">
        <f t="shared" si="13"/>
        <v>158</v>
      </c>
      <c r="C225" s="1102">
        <f>NOMINA!C201</f>
        <v>17597257</v>
      </c>
      <c r="D225" s="1103" t="str">
        <f>NOMINA!D201</f>
        <v>Linares Barreto Jorge Luis</v>
      </c>
      <c r="E225" s="1468" t="s">
        <v>4622</v>
      </c>
      <c r="F225" s="1110">
        <v>32351</v>
      </c>
      <c r="G225" s="1468" t="s">
        <v>4620</v>
      </c>
      <c r="H225" s="1442">
        <f>NOMINA!H201</f>
        <v>45536</v>
      </c>
      <c r="I225" s="1105">
        <f>NOMINA!I201</f>
        <v>1</v>
      </c>
      <c r="J225" s="1106">
        <f>NOMINA!J201</f>
        <v>0</v>
      </c>
      <c r="K225" s="1105">
        <f t="shared" si="12"/>
        <v>1</v>
      </c>
      <c r="L225" s="1106" t="s">
        <v>4932</v>
      </c>
      <c r="M225" s="1106"/>
      <c r="N225" s="1443" t="str">
        <f>NOMINA!O201</f>
        <v>GUIA DE CENTRO I</v>
      </c>
      <c r="O225" s="1106">
        <v>1.02087691000006E+18</v>
      </c>
      <c r="P225" s="1107">
        <f>NOMINA!W201</f>
        <v>96</v>
      </c>
      <c r="Q225" s="1108">
        <f>NOMINA!AG201</f>
        <v>0.96</v>
      </c>
      <c r="R225" s="1108">
        <f>NOMINA!AI201</f>
        <v>65</v>
      </c>
      <c r="S225" s="1108">
        <f>NOMINA!AK201</f>
        <v>33.64</v>
      </c>
      <c r="T225" s="1108">
        <f>+NOMINA!AO201</f>
        <v>0</v>
      </c>
      <c r="U225" s="1108">
        <f>+NOMINA!AQ201</f>
        <v>0</v>
      </c>
      <c r="V225" s="1108">
        <f>+NOMINA!AR201</f>
        <v>0</v>
      </c>
      <c r="W225" s="1108">
        <f>+NOMINA!AS201</f>
        <v>0</v>
      </c>
      <c r="X225" s="1108">
        <f>ROUND(NOMINA!AW201,2)</f>
        <v>121.11</v>
      </c>
      <c r="Y225" s="1108">
        <f>ROUND(NOMINA!AX201,2)</f>
        <v>4198.4799999999996</v>
      </c>
      <c r="Z225" s="1108">
        <f>ROUND(NOMINA!BB201,2)+ROUND(NOMINA!BF201,2)</f>
        <v>78.72</v>
      </c>
      <c r="AA225" s="1108">
        <f>ROUND(NOMINA!BK201,2)*0</f>
        <v>0</v>
      </c>
      <c r="AB225" s="1108">
        <f>+NOMINA!BJ201</f>
        <v>12.5</v>
      </c>
      <c r="AC225" s="1108">
        <f>ROUND(NOMINA!BG201,2)</f>
        <v>320</v>
      </c>
      <c r="AD225" s="1711">
        <f t="shared" si="11"/>
        <v>4926.41</v>
      </c>
      <c r="AF225" s="625"/>
    </row>
    <row r="226" spans="1:32" s="620" customFormat="1" ht="18" customHeight="1" thickBot="1" x14ac:dyDescent="0.25">
      <c r="A226" s="758" t="s">
        <v>2846</v>
      </c>
      <c r="B226" s="508">
        <f t="shared" si="13"/>
        <v>159</v>
      </c>
      <c r="C226" s="1102">
        <f>NOMINA!C202</f>
        <v>17597285</v>
      </c>
      <c r="D226" s="1103" t="str">
        <f>NOMINA!D202</f>
        <v>Duarte Portillo Dani Vicente</v>
      </c>
      <c r="E226" s="1468" t="s">
        <v>4622</v>
      </c>
      <c r="F226" s="1110">
        <v>32351</v>
      </c>
      <c r="G226" s="1468" t="s">
        <v>4620</v>
      </c>
      <c r="H226" s="1442">
        <f>NOMINA!H202</f>
        <v>42782</v>
      </c>
      <c r="I226" s="1105">
        <f>NOMINA!I202</f>
        <v>8</v>
      </c>
      <c r="J226" s="1106">
        <f>NOMINA!J202</f>
        <v>0</v>
      </c>
      <c r="K226" s="1105">
        <f t="shared" si="12"/>
        <v>8</v>
      </c>
      <c r="L226" s="1106" t="s">
        <v>4932</v>
      </c>
      <c r="M226" s="1106"/>
      <c r="N226" s="1443" t="str">
        <f>NOMINA!O202</f>
        <v>Tecnico Superior en Trabajo Social II</v>
      </c>
      <c r="O226" s="1106">
        <v>1.02087691000006E+18</v>
      </c>
      <c r="P226" s="1107">
        <f>NOMINA!W202</f>
        <v>110.5</v>
      </c>
      <c r="Q226" s="1108">
        <f>NOMINA!AG202</f>
        <v>9.5</v>
      </c>
      <c r="R226" s="1108">
        <f>NOMINA!AI202</f>
        <v>65</v>
      </c>
      <c r="S226" s="1108">
        <f>NOMINA!AK202</f>
        <v>37</v>
      </c>
      <c r="T226" s="1108">
        <f>+NOMINA!AO202</f>
        <v>0</v>
      </c>
      <c r="U226" s="1108">
        <f>+NOMINA!AQ202</f>
        <v>0</v>
      </c>
      <c r="V226" s="1108">
        <f>+NOMINA!AR202</f>
        <v>0</v>
      </c>
      <c r="W226" s="1108">
        <f>+NOMINA!AS202</f>
        <v>0</v>
      </c>
      <c r="X226" s="1108">
        <f>ROUND(NOMINA!AW202,2)</f>
        <v>0</v>
      </c>
      <c r="Y226" s="1108">
        <f>ROUND(NOMINA!AX202,2)</f>
        <v>0</v>
      </c>
      <c r="Z226" s="1108">
        <f>ROUND(NOMINA!BB202,2)+ROUND(NOMINA!BF202,2)</f>
        <v>0</v>
      </c>
      <c r="AA226" s="1108">
        <f>ROUND(NOMINA!BK202,2)*0</f>
        <v>0</v>
      </c>
      <c r="AB226" s="1108">
        <f>+NOMINA!BJ202</f>
        <v>12.5</v>
      </c>
      <c r="AC226" s="1108">
        <f>ROUND(NOMINA!BG202,2)</f>
        <v>320</v>
      </c>
      <c r="AD226" s="1711">
        <f t="shared" si="11"/>
        <v>554.5</v>
      </c>
      <c r="AF226" s="625"/>
    </row>
    <row r="227" spans="1:32" s="620" customFormat="1" ht="18" customHeight="1" thickBot="1" x14ac:dyDescent="0.25">
      <c r="A227" s="758" t="s">
        <v>2846</v>
      </c>
      <c r="B227" s="508">
        <f t="shared" si="13"/>
        <v>160</v>
      </c>
      <c r="C227" s="1102">
        <f>NOMINA!C203</f>
        <v>17604568</v>
      </c>
      <c r="D227" s="1103" t="str">
        <f>NOMINA!D203</f>
        <v>Rivera Gil Christian Rafael</v>
      </c>
      <c r="E227" s="1468" t="s">
        <v>4622</v>
      </c>
      <c r="F227" s="1110">
        <v>32351</v>
      </c>
      <c r="G227" s="1468" t="s">
        <v>4620</v>
      </c>
      <c r="H227" s="1442">
        <f>NOMINA!H203</f>
        <v>43831</v>
      </c>
      <c r="I227" s="1105">
        <f>NOMINA!I203</f>
        <v>5</v>
      </c>
      <c r="J227" s="1106">
        <f>NOMINA!J203</f>
        <v>0</v>
      </c>
      <c r="K227" s="1105">
        <f t="shared" si="12"/>
        <v>5</v>
      </c>
      <c r="L227" s="1106" t="s">
        <v>4932</v>
      </c>
      <c r="M227" s="1106"/>
      <c r="N227" s="1443" t="str">
        <f>NOMINA!O203</f>
        <v>Tecnico en Reparacion y Mantenimiento I</v>
      </c>
      <c r="O227" s="1106">
        <v>1.02087691000006E+18</v>
      </c>
      <c r="P227" s="1107">
        <f>NOMINA!W203</f>
        <v>109.5</v>
      </c>
      <c r="Q227" s="1108">
        <f>NOMINA!AG203</f>
        <v>5.47</v>
      </c>
      <c r="R227" s="1108">
        <f>NOMINA!AI203</f>
        <v>65</v>
      </c>
      <c r="S227" s="1108">
        <f>NOMINA!AK203</f>
        <v>38.49</v>
      </c>
      <c r="T227" s="1108">
        <f>+NOMINA!AO203</f>
        <v>25</v>
      </c>
      <c r="U227" s="1108">
        <f>+NOMINA!AQ203</f>
        <v>0</v>
      </c>
      <c r="V227" s="1108">
        <f>+NOMINA!AR203</f>
        <v>0</v>
      </c>
      <c r="W227" s="1108">
        <f>+NOMINA!AS203</f>
        <v>0</v>
      </c>
      <c r="X227" s="1108">
        <f>ROUND(NOMINA!AW203,2)</f>
        <v>0</v>
      </c>
      <c r="Y227" s="1108">
        <f>ROUND(NOMINA!AX203,2)</f>
        <v>0</v>
      </c>
      <c r="Z227" s="1108">
        <f>ROUND(NOMINA!BB203,2)+ROUND(NOMINA!BF203,2)</f>
        <v>23.1</v>
      </c>
      <c r="AA227" s="1108">
        <f>ROUND(NOMINA!BK203,2)*0</f>
        <v>0</v>
      </c>
      <c r="AB227" s="1108">
        <f>+NOMINA!BJ203</f>
        <v>12.5</v>
      </c>
      <c r="AC227" s="1108">
        <f>ROUND(NOMINA!BG203,2)</f>
        <v>320</v>
      </c>
      <c r="AD227" s="1711">
        <f t="shared" si="11"/>
        <v>599.05999999999995</v>
      </c>
      <c r="AF227" s="625"/>
    </row>
    <row r="228" spans="1:32" s="620" customFormat="1" ht="18" customHeight="1" thickBot="1" x14ac:dyDescent="0.25">
      <c r="A228" s="758" t="s">
        <v>2846</v>
      </c>
      <c r="B228" s="508">
        <f t="shared" si="13"/>
        <v>161</v>
      </c>
      <c r="C228" s="1102">
        <f>NOMINA!C204</f>
        <v>17605222</v>
      </c>
      <c r="D228" s="1103" t="str">
        <f>NOMINA!D204</f>
        <v>Aguial Dayana Carolina</v>
      </c>
      <c r="E228" s="1468" t="s">
        <v>4622</v>
      </c>
      <c r="F228" s="1110">
        <v>32351</v>
      </c>
      <c r="G228" s="1468" t="s">
        <v>4620</v>
      </c>
      <c r="H228" s="1442">
        <f>NOMINA!H204</f>
        <v>42737</v>
      </c>
      <c r="I228" s="1105">
        <f>NOMINA!I204</f>
        <v>8</v>
      </c>
      <c r="J228" s="1106">
        <f>NOMINA!J204</f>
        <v>0</v>
      </c>
      <c r="K228" s="1105">
        <f t="shared" si="12"/>
        <v>8</v>
      </c>
      <c r="L228" s="1106" t="s">
        <v>4932</v>
      </c>
      <c r="M228" s="1106"/>
      <c r="N228" s="1443" t="str">
        <f>NOMINA!O204</f>
        <v>Guia de Centro II</v>
      </c>
      <c r="O228" s="1106">
        <v>1.02087691000006E+18</v>
      </c>
      <c r="P228" s="1107">
        <f>NOMINA!W204</f>
        <v>110.5</v>
      </c>
      <c r="Q228" s="1108">
        <f>NOMINA!AG204</f>
        <v>9.5</v>
      </c>
      <c r="R228" s="1108">
        <f>NOMINA!AI204</f>
        <v>65</v>
      </c>
      <c r="S228" s="1108">
        <f>NOMINA!AK204</f>
        <v>46.25</v>
      </c>
      <c r="T228" s="1108">
        <f>+NOMINA!AO204</f>
        <v>0</v>
      </c>
      <c r="U228" s="1108">
        <f>+NOMINA!AQ204</f>
        <v>0</v>
      </c>
      <c r="V228" s="1108">
        <f>+NOMINA!AR204</f>
        <v>0</v>
      </c>
      <c r="W228" s="1108">
        <f>+NOMINA!AS204</f>
        <v>0</v>
      </c>
      <c r="X228" s="1108">
        <f>ROUND(NOMINA!AW204,2)</f>
        <v>138.75</v>
      </c>
      <c r="Y228" s="1108">
        <f>ROUND(NOMINA!AX204,2)</f>
        <v>0</v>
      </c>
      <c r="Z228" s="1108">
        <f>ROUND(NOMINA!BB204,2)+ROUND(NOMINA!BF204,2)</f>
        <v>90.19</v>
      </c>
      <c r="AA228" s="1108">
        <f>ROUND(NOMINA!BK204,2)*0</f>
        <v>0</v>
      </c>
      <c r="AB228" s="1108">
        <f>+NOMINA!BJ204</f>
        <v>12.5</v>
      </c>
      <c r="AC228" s="1108">
        <f>ROUND(NOMINA!BG204,2)</f>
        <v>320</v>
      </c>
      <c r="AD228" s="1711">
        <f t="shared" si="11"/>
        <v>792.69</v>
      </c>
      <c r="AF228" s="625"/>
    </row>
    <row r="229" spans="1:32" s="620" customFormat="1" ht="18" customHeight="1" thickBot="1" x14ac:dyDescent="0.25">
      <c r="A229" s="758" t="s">
        <v>2846</v>
      </c>
      <c r="B229" s="508">
        <f t="shared" si="13"/>
        <v>162</v>
      </c>
      <c r="C229" s="1102">
        <f>NOMINA!C205</f>
        <v>17605492</v>
      </c>
      <c r="D229" s="1103" t="str">
        <f>NOMINA!D205</f>
        <v>Briceño Briceño Naibely Carolina</v>
      </c>
      <c r="E229" s="1468" t="s">
        <v>4622</v>
      </c>
      <c r="F229" s="1110">
        <v>32351</v>
      </c>
      <c r="G229" s="1468" t="s">
        <v>4620</v>
      </c>
      <c r="H229" s="1442">
        <f>NOMINA!H205</f>
        <v>43967</v>
      </c>
      <c r="I229" s="1105">
        <f>NOMINA!I205</f>
        <v>5</v>
      </c>
      <c r="J229" s="1106">
        <f>NOMINA!J205</f>
        <v>0</v>
      </c>
      <c r="K229" s="1105">
        <f t="shared" si="12"/>
        <v>5</v>
      </c>
      <c r="L229" s="1106" t="s">
        <v>4932</v>
      </c>
      <c r="M229" s="1106"/>
      <c r="N229" s="1443" t="str">
        <f>NOMINA!O205</f>
        <v>Asistente Administrativo V</v>
      </c>
      <c r="O229" s="1106">
        <v>1.02087691000006E+18</v>
      </c>
      <c r="P229" s="1107">
        <f>NOMINA!W205</f>
        <v>138.5</v>
      </c>
      <c r="Q229" s="1108">
        <f>NOMINA!AG205</f>
        <v>6.92</v>
      </c>
      <c r="R229" s="1108">
        <f>NOMINA!AI205</f>
        <v>65</v>
      </c>
      <c r="S229" s="1108">
        <f>NOMINA!AK205</f>
        <v>52.6</v>
      </c>
      <c r="T229" s="1108">
        <f>+NOMINA!AO205</f>
        <v>0</v>
      </c>
      <c r="U229" s="1108">
        <f>+NOMINA!AQ205</f>
        <v>0</v>
      </c>
      <c r="V229" s="1108">
        <f>+NOMINA!AR205</f>
        <v>0</v>
      </c>
      <c r="W229" s="1108">
        <f>+NOMINA!AS205</f>
        <v>0</v>
      </c>
      <c r="X229" s="1108">
        <f>ROUND(NOMINA!AW205,2)</f>
        <v>0</v>
      </c>
      <c r="Y229" s="1108">
        <f>ROUND(NOMINA!AX205,2)</f>
        <v>0</v>
      </c>
      <c r="Z229" s="1108">
        <f>ROUND(NOMINA!BB205,2)+ROUND(NOMINA!BF205,2)</f>
        <v>0</v>
      </c>
      <c r="AA229" s="1108">
        <f>ROUND(NOMINA!BK205,2)*0</f>
        <v>0</v>
      </c>
      <c r="AB229" s="1108">
        <f>+NOMINA!BJ205</f>
        <v>12.5</v>
      </c>
      <c r="AC229" s="1108">
        <f>ROUND(NOMINA!BG205,2)</f>
        <v>320</v>
      </c>
      <c r="AD229" s="1711">
        <f t="shared" si="11"/>
        <v>595.52</v>
      </c>
      <c r="AF229" s="625"/>
    </row>
    <row r="230" spans="1:32" s="620" customFormat="1" ht="18" customHeight="1" thickBot="1" x14ac:dyDescent="0.25">
      <c r="A230" s="758" t="s">
        <v>2846</v>
      </c>
      <c r="B230" s="508">
        <f t="shared" si="13"/>
        <v>163</v>
      </c>
      <c r="C230" s="1102">
        <f>NOMINA!C206</f>
        <v>17606237</v>
      </c>
      <c r="D230" s="1103" t="str">
        <f>NOMINA!D206</f>
        <v>Castellano Rivera Maria Antonina</v>
      </c>
      <c r="E230" s="1468" t="s">
        <v>4622</v>
      </c>
      <c r="F230" s="1110">
        <v>32351</v>
      </c>
      <c r="G230" s="1468" t="s">
        <v>4620</v>
      </c>
      <c r="H230" s="1442">
        <f>NOMINA!H206</f>
        <v>40909</v>
      </c>
      <c r="I230" s="1105">
        <f>NOMINA!I206</f>
        <v>13</v>
      </c>
      <c r="J230" s="1106">
        <f>NOMINA!J206</f>
        <v>0</v>
      </c>
      <c r="K230" s="1105">
        <f t="shared" si="12"/>
        <v>13</v>
      </c>
      <c r="L230" s="1106" t="s">
        <v>4932</v>
      </c>
      <c r="M230" s="1106"/>
      <c r="N230" s="1443" t="str">
        <f>NOMINA!O206</f>
        <v>Asistente Administrativo III</v>
      </c>
      <c r="O230" s="1106">
        <v>1.02087691000006E+18</v>
      </c>
      <c r="P230" s="1107">
        <f>NOMINA!W206</f>
        <v>87</v>
      </c>
      <c r="Q230" s="1108">
        <f>NOMINA!AG206</f>
        <v>13.22</v>
      </c>
      <c r="R230" s="1108">
        <f>NOMINA!AI206</f>
        <v>65</v>
      </c>
      <c r="S230" s="1108">
        <f>NOMINA!AK206</f>
        <v>34.29</v>
      </c>
      <c r="T230" s="1108">
        <f>+NOMINA!AO206</f>
        <v>0</v>
      </c>
      <c r="U230" s="1108">
        <f>+NOMINA!AQ206</f>
        <v>0</v>
      </c>
      <c r="V230" s="1108">
        <f>+NOMINA!AR206</f>
        <v>0</v>
      </c>
      <c r="W230" s="1108">
        <f>+NOMINA!AS206</f>
        <v>0</v>
      </c>
      <c r="X230" s="1108">
        <f>ROUND(NOMINA!AW206,2)</f>
        <v>0</v>
      </c>
      <c r="Y230" s="1108">
        <f>ROUND(NOMINA!AX206,2)</f>
        <v>0</v>
      </c>
      <c r="Z230" s="1108">
        <f>ROUND(NOMINA!BB206,2)+ROUND(NOMINA!BF206,2)</f>
        <v>0</v>
      </c>
      <c r="AA230" s="1108">
        <f>ROUND(NOMINA!BK206,2)*0</f>
        <v>0</v>
      </c>
      <c r="AB230" s="1108">
        <f>+NOMINA!BJ206</f>
        <v>12.5</v>
      </c>
      <c r="AC230" s="1108">
        <f>ROUND(NOMINA!BG206,2)</f>
        <v>320</v>
      </c>
      <c r="AD230" s="1711">
        <f t="shared" si="11"/>
        <v>532.01</v>
      </c>
      <c r="AF230" s="625"/>
    </row>
    <row r="231" spans="1:32" s="620" customFormat="1" ht="18" customHeight="1" thickBot="1" x14ac:dyDescent="0.25">
      <c r="A231" s="758" t="s">
        <v>2846</v>
      </c>
      <c r="B231" s="508">
        <f t="shared" si="13"/>
        <v>164</v>
      </c>
      <c r="C231" s="1102">
        <f>NOMINA!C207</f>
        <v>17830972</v>
      </c>
      <c r="D231" s="1103" t="str">
        <f>NOMINA!D207</f>
        <v>Bastidas Franco Dianellys Sarain</v>
      </c>
      <c r="E231" s="1468" t="s">
        <v>4622</v>
      </c>
      <c r="F231" s="1110">
        <v>32351</v>
      </c>
      <c r="G231" s="1468" t="s">
        <v>4620</v>
      </c>
      <c r="H231" s="1442">
        <f>NOMINA!H207</f>
        <v>44713</v>
      </c>
      <c r="I231" s="1105">
        <f>NOMINA!I207</f>
        <v>3</v>
      </c>
      <c r="J231" s="1106">
        <f>NOMINA!J207</f>
        <v>0</v>
      </c>
      <c r="K231" s="1105">
        <f t="shared" si="12"/>
        <v>3</v>
      </c>
      <c r="L231" s="1106" t="s">
        <v>4932</v>
      </c>
      <c r="M231" s="1106"/>
      <c r="N231" s="1443" t="str">
        <f>NOMINA!O207</f>
        <v>Entrenador Deportivo IV</v>
      </c>
      <c r="O231" s="1106">
        <v>1.02087691000006E+18</v>
      </c>
      <c r="P231" s="1107">
        <f>NOMINA!W207</f>
        <v>138.5</v>
      </c>
      <c r="Q231" s="1108">
        <f>NOMINA!AG207</f>
        <v>4.1500000000000004</v>
      </c>
      <c r="R231" s="1108">
        <f>NOMINA!AI207</f>
        <v>65</v>
      </c>
      <c r="S231" s="1108">
        <f>NOMINA!AK207</f>
        <v>51.91</v>
      </c>
      <c r="T231" s="1108">
        <f>+NOMINA!AO207</f>
        <v>0</v>
      </c>
      <c r="U231" s="1108">
        <f>+NOMINA!AQ207</f>
        <v>0</v>
      </c>
      <c r="V231" s="1108">
        <f>+NOMINA!AR207</f>
        <v>0</v>
      </c>
      <c r="W231" s="1108">
        <f>+NOMINA!AS207</f>
        <v>0</v>
      </c>
      <c r="X231" s="1108">
        <f>ROUND(NOMINA!AW207,2)</f>
        <v>0</v>
      </c>
      <c r="Y231" s="1108">
        <f>ROUND(NOMINA!AX207,2)</f>
        <v>0</v>
      </c>
      <c r="Z231" s="1108">
        <f>ROUND(NOMINA!BB207,2)+ROUND(NOMINA!BF207,2)</f>
        <v>0</v>
      </c>
      <c r="AA231" s="1108">
        <f>ROUND(NOMINA!BK207,2)*0</f>
        <v>0</v>
      </c>
      <c r="AB231" s="1108">
        <f>+NOMINA!BJ207</f>
        <v>12.5</v>
      </c>
      <c r="AC231" s="1108">
        <f>ROUND(NOMINA!BG207,2)</f>
        <v>320</v>
      </c>
      <c r="AD231" s="1711">
        <f t="shared" si="11"/>
        <v>592.05999999999995</v>
      </c>
      <c r="AF231" s="625"/>
    </row>
    <row r="232" spans="1:32" s="620" customFormat="1" ht="18" customHeight="1" thickBot="1" x14ac:dyDescent="0.25">
      <c r="A232" s="758" t="s">
        <v>2846</v>
      </c>
      <c r="B232" s="508">
        <f t="shared" si="13"/>
        <v>165</v>
      </c>
      <c r="C232" s="1102">
        <f>NOMINA!C208</f>
        <v>17831012</v>
      </c>
      <c r="D232" s="1103" t="str">
        <f>NOMINA!D208</f>
        <v>Valera Briceño Jesus Enrique</v>
      </c>
      <c r="E232" s="1468" t="s">
        <v>4622</v>
      </c>
      <c r="F232" s="1110">
        <v>32351</v>
      </c>
      <c r="G232" s="1468" t="s">
        <v>4620</v>
      </c>
      <c r="H232" s="1442">
        <f>NOMINA!H208</f>
        <v>45474</v>
      </c>
      <c r="I232" s="1105">
        <f>NOMINA!I208</f>
        <v>1</v>
      </c>
      <c r="J232" s="1106">
        <f>NOMINA!J208</f>
        <v>5</v>
      </c>
      <c r="K232" s="1105">
        <f t="shared" si="12"/>
        <v>6</v>
      </c>
      <c r="L232" s="1106" t="s">
        <v>4932</v>
      </c>
      <c r="M232" s="1106"/>
      <c r="N232" s="1443" t="str">
        <f>NOMINA!O208</f>
        <v>Guia de Centro I</v>
      </c>
      <c r="O232" s="1106">
        <v>1.02087691000006E+18</v>
      </c>
      <c r="P232" s="1107">
        <f>NOMINA!W208</f>
        <v>85</v>
      </c>
      <c r="Q232" s="1108">
        <f>NOMINA!AG208</f>
        <v>5.27</v>
      </c>
      <c r="R232" s="1108">
        <f>NOMINA!AI208</f>
        <v>65</v>
      </c>
      <c r="S232" s="1108">
        <f>NOMINA!AK208</f>
        <v>0</v>
      </c>
      <c r="T232" s="1108">
        <f>+NOMINA!AO208</f>
        <v>12.5</v>
      </c>
      <c r="U232" s="1108">
        <f>+NOMINA!AQ208</f>
        <v>0</v>
      </c>
      <c r="V232" s="1108">
        <f>+NOMINA!AR208</f>
        <v>0</v>
      </c>
      <c r="W232" s="1108">
        <f>+NOMINA!AS208</f>
        <v>0</v>
      </c>
      <c r="X232" s="1108">
        <f>ROUND(NOMINA!AW208,2)</f>
        <v>96.91</v>
      </c>
      <c r="Y232" s="1108">
        <f>ROUND(NOMINA!AX208,2)</f>
        <v>0</v>
      </c>
      <c r="Z232" s="1108">
        <f>ROUND(NOMINA!BB208,2)+ROUND(NOMINA!BF208,2)</f>
        <v>62.99</v>
      </c>
      <c r="AA232" s="1108">
        <f>ROUND(NOMINA!BK208,2)*0</f>
        <v>0</v>
      </c>
      <c r="AB232" s="1108">
        <f>+NOMINA!BJ208</f>
        <v>12.5</v>
      </c>
      <c r="AC232" s="1108">
        <f>ROUND(NOMINA!BG208,2)</f>
        <v>320</v>
      </c>
      <c r="AD232" s="1711">
        <f t="shared" si="11"/>
        <v>660.17</v>
      </c>
      <c r="AF232" s="625"/>
    </row>
    <row r="233" spans="1:32" s="620" customFormat="1" ht="18" customHeight="1" thickBot="1" x14ac:dyDescent="0.25">
      <c r="A233" s="758" t="s">
        <v>2846</v>
      </c>
      <c r="B233" s="508">
        <f t="shared" si="13"/>
        <v>166</v>
      </c>
      <c r="C233" s="1102">
        <f>NOMINA!C209</f>
        <v>17832396</v>
      </c>
      <c r="D233" s="1103" t="str">
        <f>NOMINA!D209</f>
        <v>Pulido Sanchez Joalina Vanessa</v>
      </c>
      <c r="E233" s="1468" t="s">
        <v>4622</v>
      </c>
      <c r="F233" s="1110">
        <v>32351</v>
      </c>
      <c r="G233" s="1468" t="s">
        <v>4620</v>
      </c>
      <c r="H233" s="1442">
        <f>NOMINA!H209</f>
        <v>43191</v>
      </c>
      <c r="I233" s="1105">
        <f>NOMINA!I209</f>
        <v>7</v>
      </c>
      <c r="J233" s="1106">
        <f>NOMINA!J209</f>
        <v>0</v>
      </c>
      <c r="K233" s="1105">
        <f t="shared" si="12"/>
        <v>7</v>
      </c>
      <c r="L233" s="1106" t="s">
        <v>4932</v>
      </c>
      <c r="M233" s="1106"/>
      <c r="N233" s="1443" t="str">
        <f>NOMINA!O209</f>
        <v>Enfermera Jefe I</v>
      </c>
      <c r="O233" s="1106">
        <v>1.02087691000006E+18</v>
      </c>
      <c r="P233" s="1107">
        <f>NOMINA!W209</f>
        <v>110.5</v>
      </c>
      <c r="Q233" s="1108">
        <f>NOMINA!AG209</f>
        <v>8.17</v>
      </c>
      <c r="R233" s="1108">
        <f>NOMINA!AI209</f>
        <v>65</v>
      </c>
      <c r="S233" s="1108">
        <f>NOMINA!AK209</f>
        <v>39.229999999999997</v>
      </c>
      <c r="T233" s="1108">
        <f>+NOMINA!AO209</f>
        <v>0</v>
      </c>
      <c r="U233" s="1108">
        <f>+NOMINA!AQ209</f>
        <v>0</v>
      </c>
      <c r="V233" s="1108">
        <f>+NOMINA!AR209</f>
        <v>0</v>
      </c>
      <c r="W233" s="1108">
        <f>+NOMINA!AS209</f>
        <v>0</v>
      </c>
      <c r="X233" s="1108">
        <f>ROUND(NOMINA!AW209,2)</f>
        <v>0</v>
      </c>
      <c r="Y233" s="1108">
        <f>ROUND(NOMINA!AX209,2)</f>
        <v>0</v>
      </c>
      <c r="Z233" s="1108">
        <f>ROUND(NOMINA!BB209,2)+ROUND(NOMINA!BF209,2)</f>
        <v>0</v>
      </c>
      <c r="AA233" s="1108">
        <f>ROUND(NOMINA!BK209,2)*0</f>
        <v>0</v>
      </c>
      <c r="AB233" s="1108">
        <f>+NOMINA!BJ209</f>
        <v>12.5</v>
      </c>
      <c r="AC233" s="1108">
        <f>ROUND(NOMINA!BG209,2)</f>
        <v>320</v>
      </c>
      <c r="AD233" s="1711">
        <f t="shared" si="11"/>
        <v>555.4</v>
      </c>
      <c r="AF233" s="625"/>
    </row>
    <row r="234" spans="1:32" s="620" customFormat="1" ht="18" customHeight="1" thickBot="1" x14ac:dyDescent="0.25">
      <c r="A234" s="758" t="s">
        <v>2846</v>
      </c>
      <c r="B234" s="508">
        <f t="shared" si="13"/>
        <v>167</v>
      </c>
      <c r="C234" s="1102">
        <f>NOMINA!C210</f>
        <v>17865154</v>
      </c>
      <c r="D234" s="1103" t="str">
        <f>NOMINA!D210</f>
        <v>Serrano Ingrid Maria</v>
      </c>
      <c r="E234" s="1468" t="s">
        <v>4622</v>
      </c>
      <c r="F234" s="1110">
        <v>32351</v>
      </c>
      <c r="G234" s="1468" t="s">
        <v>4620</v>
      </c>
      <c r="H234" s="1442">
        <f>NOMINA!H210</f>
        <v>43846</v>
      </c>
      <c r="I234" s="1105">
        <f>NOMINA!I210</f>
        <v>5</v>
      </c>
      <c r="J234" s="1106">
        <f>NOMINA!J210</f>
        <v>0</v>
      </c>
      <c r="K234" s="1105">
        <f t="shared" si="12"/>
        <v>5</v>
      </c>
      <c r="L234" s="1106" t="s">
        <v>4932</v>
      </c>
      <c r="M234" s="1106"/>
      <c r="N234" s="1443" t="str">
        <f>NOMINA!O210</f>
        <v>Guia de Centro I</v>
      </c>
      <c r="O234" s="1106">
        <v>1.02087691000006E+18</v>
      </c>
      <c r="P234" s="1107">
        <f>NOMINA!W210</f>
        <v>75</v>
      </c>
      <c r="Q234" s="1108">
        <f>NOMINA!AG210</f>
        <v>3.75</v>
      </c>
      <c r="R234" s="1108">
        <f>NOMINA!AI210</f>
        <v>65</v>
      </c>
      <c r="S234" s="1108">
        <f>NOMINA!AK210</f>
        <v>0</v>
      </c>
      <c r="T234" s="1108">
        <f>+NOMINA!AO210</f>
        <v>0</v>
      </c>
      <c r="U234" s="1108">
        <f>+NOMINA!AQ210</f>
        <v>0</v>
      </c>
      <c r="V234" s="1108">
        <f>+NOMINA!AR210</f>
        <v>0</v>
      </c>
      <c r="W234" s="1108">
        <f>+NOMINA!AS210</f>
        <v>0</v>
      </c>
      <c r="X234" s="1108">
        <f>ROUND(NOMINA!AW210,2)</f>
        <v>86.25</v>
      </c>
      <c r="Y234" s="1108">
        <f>ROUND(NOMINA!AX210,2)</f>
        <v>0</v>
      </c>
      <c r="Z234" s="1108">
        <f>ROUND(NOMINA!BB210,2)+ROUND(NOMINA!BF210,2)</f>
        <v>56.06</v>
      </c>
      <c r="AA234" s="1108">
        <f>ROUND(NOMINA!BK210,2)*0</f>
        <v>0</v>
      </c>
      <c r="AB234" s="1108">
        <f>+NOMINA!BJ210</f>
        <v>12.5</v>
      </c>
      <c r="AC234" s="1108">
        <f>ROUND(NOMINA!BG210,2)</f>
        <v>320</v>
      </c>
      <c r="AD234" s="1711">
        <f t="shared" si="11"/>
        <v>618.55999999999995</v>
      </c>
      <c r="AF234" s="625"/>
    </row>
    <row r="235" spans="1:32" s="620" customFormat="1" ht="18" customHeight="1" thickBot="1" x14ac:dyDescent="0.25">
      <c r="A235" s="758" t="s">
        <v>2846</v>
      </c>
      <c r="B235" s="508">
        <f t="shared" si="13"/>
        <v>168</v>
      </c>
      <c r="C235" s="1102">
        <f>NOMINA!C211</f>
        <v>18036203</v>
      </c>
      <c r="D235" s="1103" t="str">
        <f>NOMINA!D211</f>
        <v>Yepes Caceres Mervis Javier</v>
      </c>
      <c r="E235" s="1468" t="s">
        <v>4622</v>
      </c>
      <c r="F235" s="1110">
        <v>32351</v>
      </c>
      <c r="G235" s="1468" t="s">
        <v>4620</v>
      </c>
      <c r="H235" s="1442">
        <f>NOMINA!H211</f>
        <v>45505</v>
      </c>
      <c r="I235" s="1105">
        <f>NOMINA!I211</f>
        <v>1</v>
      </c>
      <c r="J235" s="1106">
        <f>NOMINA!J211</f>
        <v>0</v>
      </c>
      <c r="K235" s="1105">
        <f t="shared" si="12"/>
        <v>1</v>
      </c>
      <c r="L235" s="1106" t="s">
        <v>4932</v>
      </c>
      <c r="M235" s="1106"/>
      <c r="N235" s="1443" t="str">
        <f>NOMINA!O211</f>
        <v>Guia de Centro I</v>
      </c>
      <c r="O235" s="1106">
        <v>1.02087691000006E+18</v>
      </c>
      <c r="P235" s="1107">
        <f>NOMINA!W211</f>
        <v>65</v>
      </c>
      <c r="Q235" s="1108">
        <f>NOMINA!AG211</f>
        <v>0.65</v>
      </c>
      <c r="R235" s="1108">
        <f>NOMINA!AI211</f>
        <v>65</v>
      </c>
      <c r="S235" s="1108">
        <f>NOMINA!AK211</f>
        <v>0</v>
      </c>
      <c r="T235" s="1108">
        <f>+NOMINA!AO211</f>
        <v>12.5</v>
      </c>
      <c r="U235" s="1108">
        <f>+NOMINA!AQ211</f>
        <v>0</v>
      </c>
      <c r="V235" s="1108">
        <f>+NOMINA!AR211</f>
        <v>0</v>
      </c>
      <c r="W235" s="1108">
        <f>+NOMINA!AS211</f>
        <v>0</v>
      </c>
      <c r="X235" s="1108">
        <f>ROUND(NOMINA!AW211,2)</f>
        <v>85.89</v>
      </c>
      <c r="Y235" s="1108">
        <f>ROUND(NOMINA!AX211,2)</f>
        <v>0</v>
      </c>
      <c r="Z235" s="1108">
        <f>ROUND(NOMINA!BB211,2)+ROUND(NOMINA!BF211,2)</f>
        <v>55.83</v>
      </c>
      <c r="AA235" s="1108">
        <f>ROUND(NOMINA!BK211,2)*0</f>
        <v>0</v>
      </c>
      <c r="AB235" s="1108">
        <f>+NOMINA!BJ211</f>
        <v>12.5</v>
      </c>
      <c r="AC235" s="1108">
        <f>ROUND(NOMINA!BG211,2)</f>
        <v>320</v>
      </c>
      <c r="AD235" s="1711">
        <f t="shared" si="11"/>
        <v>617.37</v>
      </c>
      <c r="AF235" s="625"/>
    </row>
    <row r="236" spans="1:32" s="620" customFormat="1" ht="18" customHeight="1" thickBot="1" x14ac:dyDescent="0.25">
      <c r="A236" s="758" t="s">
        <v>2846</v>
      </c>
      <c r="B236" s="508">
        <f t="shared" si="13"/>
        <v>169</v>
      </c>
      <c r="C236" s="1102">
        <f>NOMINA!C212</f>
        <v>18036156</v>
      </c>
      <c r="D236" s="1103" t="str">
        <f>NOMINA!D212</f>
        <v>Ruiz Vasquez Endri Ramon</v>
      </c>
      <c r="E236" s="1468" t="s">
        <v>4622</v>
      </c>
      <c r="F236" s="1110">
        <v>32351</v>
      </c>
      <c r="G236" s="1468" t="s">
        <v>4620</v>
      </c>
      <c r="H236" s="1442">
        <f>NOMINA!H212</f>
        <v>45597</v>
      </c>
      <c r="I236" s="1105">
        <f>NOMINA!I212</f>
        <v>0</v>
      </c>
      <c r="J236" s="1106">
        <f>NOMINA!J212</f>
        <v>0</v>
      </c>
      <c r="K236" s="1105">
        <f t="shared" si="12"/>
        <v>0</v>
      </c>
      <c r="L236" s="1106" t="s">
        <v>4932</v>
      </c>
      <c r="M236" s="1106"/>
      <c r="N236" s="1443" t="str">
        <f>NOMINA!O212</f>
        <v>Guia de Centro I</v>
      </c>
      <c r="O236" s="1106">
        <v>1.02087691000006E+18</v>
      </c>
      <c r="P236" s="1107">
        <f>NOMINA!W212</f>
        <v>65</v>
      </c>
      <c r="Q236" s="1108">
        <f>NOMINA!AG212</f>
        <v>0</v>
      </c>
      <c r="R236" s="1108">
        <f>NOMINA!AI212</f>
        <v>65</v>
      </c>
      <c r="S236" s="1108">
        <f>NOMINA!AK212</f>
        <v>0</v>
      </c>
      <c r="T236" s="1108">
        <f>+NOMINA!AO212</f>
        <v>0</v>
      </c>
      <c r="U236" s="1108">
        <f>+NOMINA!AQ212</f>
        <v>0</v>
      </c>
      <c r="V236" s="1108">
        <f>+NOMINA!AR212</f>
        <v>0</v>
      </c>
      <c r="W236" s="1108">
        <f>+NOMINA!AS212</f>
        <v>0</v>
      </c>
      <c r="X236" s="1108">
        <f>ROUND(NOMINA!AW212,2)</f>
        <v>78</v>
      </c>
      <c r="Y236" s="1108">
        <f>ROUND(NOMINA!AX212,2)</f>
        <v>0</v>
      </c>
      <c r="Z236" s="1108">
        <f>ROUND(NOMINA!BB212,2)+ROUND(NOMINA!BF212,2)</f>
        <v>50.7</v>
      </c>
      <c r="AA236" s="1108">
        <f>ROUND(NOMINA!BK212,2)*0</f>
        <v>0</v>
      </c>
      <c r="AB236" s="1108">
        <f>+NOMINA!BJ212</f>
        <v>12.5</v>
      </c>
      <c r="AC236" s="1108">
        <f>ROUND(NOMINA!BG212,2)</f>
        <v>320</v>
      </c>
      <c r="AD236" s="1711">
        <f t="shared" si="11"/>
        <v>591.20000000000005</v>
      </c>
      <c r="AF236" s="625"/>
    </row>
    <row r="237" spans="1:32" s="620" customFormat="1" ht="18" customHeight="1" thickBot="1" x14ac:dyDescent="0.25">
      <c r="A237" s="758" t="s">
        <v>2846</v>
      </c>
      <c r="B237" s="508">
        <f t="shared" si="13"/>
        <v>170</v>
      </c>
      <c r="C237" s="1102">
        <f>NOMINA!C213</f>
        <v>18095603</v>
      </c>
      <c r="D237" s="1103" t="str">
        <f>NOMINA!D213</f>
        <v>Lozada Bencomo Daniela Carolina</v>
      </c>
      <c r="E237" s="1468" t="s">
        <v>4622</v>
      </c>
      <c r="F237" s="1110">
        <v>32351</v>
      </c>
      <c r="G237" s="1468" t="s">
        <v>4620</v>
      </c>
      <c r="H237" s="1442">
        <f>NOMINA!H213</f>
        <v>42963</v>
      </c>
      <c r="I237" s="1105">
        <f>NOMINA!I213</f>
        <v>8</v>
      </c>
      <c r="J237" s="1106">
        <f>NOMINA!J213</f>
        <v>0</v>
      </c>
      <c r="K237" s="1105">
        <f t="shared" si="12"/>
        <v>8</v>
      </c>
      <c r="L237" s="1106" t="s">
        <v>4932</v>
      </c>
      <c r="M237" s="1106"/>
      <c r="N237" s="1443" t="str">
        <f>NOMINA!O213</f>
        <v>Tecnico Superior en Trabajo Social II</v>
      </c>
      <c r="O237" s="1106">
        <v>1.02087691000006E+18</v>
      </c>
      <c r="P237" s="1107">
        <f>NOMINA!W213</f>
        <v>110.5</v>
      </c>
      <c r="Q237" s="1108">
        <f>NOMINA!AG213</f>
        <v>9.5</v>
      </c>
      <c r="R237" s="1108">
        <f>NOMINA!AI213</f>
        <v>65</v>
      </c>
      <c r="S237" s="1108">
        <f>NOMINA!AK213</f>
        <v>47.81</v>
      </c>
      <c r="T237" s="1108">
        <f>+NOMINA!AO213</f>
        <v>0</v>
      </c>
      <c r="U237" s="1108">
        <f>+NOMINA!AQ213</f>
        <v>0</v>
      </c>
      <c r="V237" s="1108">
        <f>+NOMINA!AR213</f>
        <v>0</v>
      </c>
      <c r="W237" s="1108">
        <f>+NOMINA!AS213</f>
        <v>0</v>
      </c>
      <c r="X237" s="1108">
        <f>ROUND(NOMINA!AW213,2)</f>
        <v>0</v>
      </c>
      <c r="Y237" s="1108">
        <f>ROUND(NOMINA!AX213,2)</f>
        <v>0</v>
      </c>
      <c r="Z237" s="1108">
        <f>ROUND(NOMINA!BB213,2)+ROUND(NOMINA!BF213,2)</f>
        <v>0</v>
      </c>
      <c r="AA237" s="1108">
        <f>ROUND(NOMINA!BK213,2)*0</f>
        <v>0</v>
      </c>
      <c r="AB237" s="1108">
        <f>+NOMINA!BJ213</f>
        <v>12.5</v>
      </c>
      <c r="AC237" s="1108">
        <f>ROUND(NOMINA!BG213,2)</f>
        <v>320</v>
      </c>
      <c r="AD237" s="1711">
        <f t="shared" si="11"/>
        <v>565.30999999999995</v>
      </c>
      <c r="AF237" s="625"/>
    </row>
    <row r="238" spans="1:32" s="620" customFormat="1" ht="18" customHeight="1" thickBot="1" x14ac:dyDescent="0.25">
      <c r="A238" s="758" t="s">
        <v>2846</v>
      </c>
      <c r="B238" s="508">
        <f t="shared" si="13"/>
        <v>171</v>
      </c>
      <c r="C238" s="1102">
        <f>NOMINA!C214</f>
        <v>18096996</v>
      </c>
      <c r="D238" s="1103" t="str">
        <f>NOMINA!D214</f>
        <v>Diaz Maldonado Anny Jackeline</v>
      </c>
      <c r="E238" s="1468" t="s">
        <v>4622</v>
      </c>
      <c r="F238" s="1110">
        <v>32351</v>
      </c>
      <c r="G238" s="1468" t="s">
        <v>4620</v>
      </c>
      <c r="H238" s="1442">
        <f>NOMINA!H214</f>
        <v>44743</v>
      </c>
      <c r="I238" s="1105">
        <f>NOMINA!I214</f>
        <v>3</v>
      </c>
      <c r="J238" s="1106">
        <f>NOMINA!J214</f>
        <v>0</v>
      </c>
      <c r="K238" s="1105">
        <f t="shared" si="12"/>
        <v>3</v>
      </c>
      <c r="L238" s="1106" t="s">
        <v>4932</v>
      </c>
      <c r="M238" s="1106"/>
      <c r="N238" s="1443" t="str">
        <f>NOMINA!O214</f>
        <v>CONTABILISTA III</v>
      </c>
      <c r="O238" s="1106">
        <v>1.02087691000006E+18</v>
      </c>
      <c r="P238" s="1107">
        <f>NOMINA!W214</f>
        <v>109.5</v>
      </c>
      <c r="Q238" s="1108">
        <f>NOMINA!AG214</f>
        <v>3.28</v>
      </c>
      <c r="R238" s="1108">
        <f>NOMINA!AI214</f>
        <v>65</v>
      </c>
      <c r="S238" s="1108">
        <f>NOMINA!AK214</f>
        <v>36.799999999999997</v>
      </c>
      <c r="T238" s="1108">
        <f>+NOMINA!AO214</f>
        <v>12.5</v>
      </c>
      <c r="U238" s="1108">
        <f>+NOMINA!AQ214</f>
        <v>0</v>
      </c>
      <c r="V238" s="1108">
        <f>+NOMINA!AR214</f>
        <v>0</v>
      </c>
      <c r="W238" s="1108">
        <f>+NOMINA!AS214</f>
        <v>0</v>
      </c>
      <c r="X238" s="1108">
        <f>ROUND(NOMINA!AW214,2)</f>
        <v>0</v>
      </c>
      <c r="Y238" s="1108">
        <f>ROUND(NOMINA!AX214,2)</f>
        <v>0</v>
      </c>
      <c r="Z238" s="1108">
        <f>ROUND(NOMINA!BB214,2)+ROUND(NOMINA!BF214,2)</f>
        <v>0</v>
      </c>
      <c r="AA238" s="1108">
        <f>ROUND(NOMINA!BK214,2)*0</f>
        <v>0</v>
      </c>
      <c r="AB238" s="1108">
        <f>+NOMINA!BJ214</f>
        <v>12.5</v>
      </c>
      <c r="AC238" s="1108">
        <f>ROUND(NOMINA!BG214,2)</f>
        <v>320</v>
      </c>
      <c r="AD238" s="1711">
        <f t="shared" si="11"/>
        <v>559.57999999999993</v>
      </c>
      <c r="AF238" s="625"/>
    </row>
    <row r="239" spans="1:32" s="620" customFormat="1" ht="18" customHeight="1" thickBot="1" x14ac:dyDescent="0.25">
      <c r="A239" s="758" t="s">
        <v>2846</v>
      </c>
      <c r="B239" s="508">
        <f t="shared" si="13"/>
        <v>172</v>
      </c>
      <c r="C239" s="1102">
        <f>NOMINA!C215</f>
        <v>18097528</v>
      </c>
      <c r="D239" s="1103" t="str">
        <f>NOMINA!D215</f>
        <v>Godoy Suarez Nelson Jose</v>
      </c>
      <c r="E239" s="1468" t="s">
        <v>4622</v>
      </c>
      <c r="F239" s="1110">
        <v>32351</v>
      </c>
      <c r="G239" s="1468" t="s">
        <v>4620</v>
      </c>
      <c r="H239" s="1442">
        <f>NOMINA!H215</f>
        <v>45536</v>
      </c>
      <c r="I239" s="1105">
        <f>NOMINA!I215</f>
        <v>1</v>
      </c>
      <c r="J239" s="1106">
        <f>NOMINA!J215</f>
        <v>0</v>
      </c>
      <c r="K239" s="1105">
        <f t="shared" si="12"/>
        <v>1</v>
      </c>
      <c r="L239" s="1106" t="s">
        <v>4932</v>
      </c>
      <c r="M239" s="1106"/>
      <c r="N239" s="1443" t="str">
        <f>NOMINA!O215</f>
        <v>Guia de Centro I</v>
      </c>
      <c r="O239" s="1106">
        <v>1.02087691000006E+18</v>
      </c>
      <c r="P239" s="1107">
        <f>NOMINA!W215</f>
        <v>65</v>
      </c>
      <c r="Q239" s="1108">
        <f>NOMINA!AG215</f>
        <v>0.65</v>
      </c>
      <c r="R239" s="1108">
        <f>NOMINA!AI215</f>
        <v>65</v>
      </c>
      <c r="S239" s="1108">
        <f>NOMINA!AK215</f>
        <v>0</v>
      </c>
      <c r="T239" s="1108">
        <f>+NOMINA!AO215</f>
        <v>0</v>
      </c>
      <c r="U239" s="1108">
        <f>+NOMINA!AQ215</f>
        <v>0</v>
      </c>
      <c r="V239" s="1108">
        <f>+NOMINA!AR215</f>
        <v>0</v>
      </c>
      <c r="W239" s="1108">
        <f>+NOMINA!AS215</f>
        <v>0</v>
      </c>
      <c r="X239" s="1108">
        <f>ROUND(NOMINA!AW215,2)</f>
        <v>85.89</v>
      </c>
      <c r="Y239" s="1108">
        <f>ROUND(NOMINA!AX215,2)</f>
        <v>2977.52</v>
      </c>
      <c r="Z239" s="1108">
        <f>ROUND(NOMINA!BB215,2)+ROUND(NOMINA!BF215,2)</f>
        <v>55.83</v>
      </c>
      <c r="AA239" s="1108">
        <f>ROUND(NOMINA!BK215,2)*0</f>
        <v>0</v>
      </c>
      <c r="AB239" s="1108">
        <f>+NOMINA!BJ215</f>
        <v>12.5</v>
      </c>
      <c r="AC239" s="1108">
        <f>ROUND(NOMINA!BG215,2)</f>
        <v>320</v>
      </c>
      <c r="AD239" s="1711">
        <f t="shared" si="11"/>
        <v>3582.39</v>
      </c>
      <c r="AF239" s="625"/>
    </row>
    <row r="240" spans="1:32" s="620" customFormat="1" ht="18" customHeight="1" thickBot="1" x14ac:dyDescent="0.25">
      <c r="A240" s="758" t="s">
        <v>2846</v>
      </c>
      <c r="B240" s="508">
        <f t="shared" si="13"/>
        <v>173</v>
      </c>
      <c r="C240" s="1102">
        <f>NOMINA!C216</f>
        <v>18097873</v>
      </c>
      <c r="D240" s="1103" t="str">
        <f>NOMINA!D216</f>
        <v>Villarreal Prada Yoriangela Nataly</v>
      </c>
      <c r="E240" s="1468" t="s">
        <v>4622</v>
      </c>
      <c r="F240" s="1110">
        <v>32351</v>
      </c>
      <c r="G240" s="1468" t="s">
        <v>4620</v>
      </c>
      <c r="H240" s="1442">
        <f>NOMINA!H216</f>
        <v>44531</v>
      </c>
      <c r="I240" s="1105">
        <f>NOMINA!I216</f>
        <v>3</v>
      </c>
      <c r="J240" s="1106">
        <f>NOMINA!J216</f>
        <v>0</v>
      </c>
      <c r="K240" s="1105">
        <f t="shared" si="12"/>
        <v>3</v>
      </c>
      <c r="L240" s="1106" t="s">
        <v>4932</v>
      </c>
      <c r="M240" s="1106"/>
      <c r="N240" s="1443" t="str">
        <f>NOMINA!O216</f>
        <v>Guia de Centro I</v>
      </c>
      <c r="O240" s="1106">
        <v>1.02087691000006E+18</v>
      </c>
      <c r="P240" s="1107">
        <f>NOMINA!W216</f>
        <v>75</v>
      </c>
      <c r="Q240" s="1108">
        <f>NOMINA!AG216</f>
        <v>2.25</v>
      </c>
      <c r="R240" s="1108">
        <f>NOMINA!AI216</f>
        <v>65</v>
      </c>
      <c r="S240" s="1108">
        <f>NOMINA!AK216</f>
        <v>0</v>
      </c>
      <c r="T240" s="1108">
        <f>+NOMINA!AO216</f>
        <v>25</v>
      </c>
      <c r="U240" s="1108">
        <f>+NOMINA!AQ216</f>
        <v>0</v>
      </c>
      <c r="V240" s="1108">
        <f>+NOMINA!AR216</f>
        <v>0</v>
      </c>
      <c r="W240" s="1108">
        <f>+NOMINA!AS216</f>
        <v>0</v>
      </c>
      <c r="X240" s="1108">
        <f>ROUND(NOMINA!AW216,2)</f>
        <v>92.85</v>
      </c>
      <c r="Y240" s="1108">
        <f>ROUND(NOMINA!AX216,2)</f>
        <v>0</v>
      </c>
      <c r="Z240" s="1108">
        <f>ROUND(NOMINA!BB216,2)+ROUND(NOMINA!BF216,2)</f>
        <v>60.35</v>
      </c>
      <c r="AA240" s="1108">
        <f>ROUND(NOMINA!BK216,2)*0</f>
        <v>0</v>
      </c>
      <c r="AB240" s="1108">
        <f>+NOMINA!BJ216</f>
        <v>12.5</v>
      </c>
      <c r="AC240" s="1108">
        <f>ROUND(NOMINA!BG216,2)</f>
        <v>320</v>
      </c>
      <c r="AD240" s="1711">
        <f t="shared" si="11"/>
        <v>652.95000000000005</v>
      </c>
      <c r="AF240" s="625"/>
    </row>
    <row r="241" spans="1:32" s="620" customFormat="1" ht="18" customHeight="1" thickBot="1" x14ac:dyDescent="0.25">
      <c r="A241" s="758" t="s">
        <v>2846</v>
      </c>
      <c r="B241" s="508">
        <f t="shared" si="13"/>
        <v>174</v>
      </c>
      <c r="C241" s="1102">
        <f>NOMINA!C217</f>
        <v>18348317</v>
      </c>
      <c r="D241" s="1103" t="str">
        <f>NOMINA!D217</f>
        <v>Abreu Araujo Gilmer Francisco</v>
      </c>
      <c r="E241" s="1468" t="s">
        <v>4622</v>
      </c>
      <c r="F241" s="1110">
        <v>32351</v>
      </c>
      <c r="G241" s="1468" t="s">
        <v>4620</v>
      </c>
      <c r="H241" s="1442">
        <f>NOMINA!H217</f>
        <v>43160</v>
      </c>
      <c r="I241" s="1105">
        <f>NOMINA!I217</f>
        <v>7</v>
      </c>
      <c r="J241" s="1106">
        <f>NOMINA!J217</f>
        <v>0</v>
      </c>
      <c r="K241" s="1105">
        <f t="shared" si="12"/>
        <v>7</v>
      </c>
      <c r="L241" s="1106" t="s">
        <v>4932</v>
      </c>
      <c r="M241" s="1106"/>
      <c r="N241" s="1443" t="str">
        <f>NOMINA!O217</f>
        <v>Tutor Facilitador III</v>
      </c>
      <c r="O241" s="1106">
        <v>1.02087691000006E+18</v>
      </c>
      <c r="P241" s="1107">
        <f>NOMINA!W217</f>
        <v>139.5</v>
      </c>
      <c r="Q241" s="1108">
        <f>NOMINA!AG217</f>
        <v>10.32</v>
      </c>
      <c r="R241" s="1108">
        <f>NOMINA!AI217</f>
        <v>65</v>
      </c>
      <c r="S241" s="1108">
        <f>NOMINA!AK217</f>
        <v>66.319999999999993</v>
      </c>
      <c r="T241" s="1108">
        <f>+NOMINA!AO217</f>
        <v>12.5</v>
      </c>
      <c r="U241" s="1108">
        <f>+NOMINA!AQ217</f>
        <v>0</v>
      </c>
      <c r="V241" s="1108">
        <f>+NOMINA!AR217</f>
        <v>0</v>
      </c>
      <c r="W241" s="1108">
        <f>+NOMINA!AS217</f>
        <v>0</v>
      </c>
      <c r="X241" s="1108">
        <f>ROUND(NOMINA!AW217,2)</f>
        <v>0</v>
      </c>
      <c r="Y241" s="1108">
        <f>ROUND(NOMINA!AX217,2)</f>
        <v>0</v>
      </c>
      <c r="Z241" s="1108">
        <f>ROUND(NOMINA!BB217,2)+ROUND(NOMINA!BF217,2)</f>
        <v>0</v>
      </c>
      <c r="AA241" s="1108">
        <f>ROUND(NOMINA!BK217,2)*0</f>
        <v>0</v>
      </c>
      <c r="AB241" s="1108">
        <f>+NOMINA!BJ217</f>
        <v>12.5</v>
      </c>
      <c r="AC241" s="1108">
        <f>ROUND(NOMINA!BG217,2)</f>
        <v>320</v>
      </c>
      <c r="AD241" s="1711">
        <f t="shared" si="11"/>
        <v>626.14</v>
      </c>
      <c r="AF241" s="625"/>
    </row>
    <row r="242" spans="1:32" s="620" customFormat="1" ht="18" customHeight="1" thickBot="1" x14ac:dyDescent="0.25">
      <c r="A242" s="758" t="s">
        <v>2846</v>
      </c>
      <c r="B242" s="508">
        <f t="shared" si="13"/>
        <v>175</v>
      </c>
      <c r="C242" s="1102">
        <f>NOMINA!C218</f>
        <v>18348721</v>
      </c>
      <c r="D242" s="1103" t="str">
        <f>NOMINA!D218</f>
        <v>Villarreal Lusana Carolina</v>
      </c>
      <c r="E242" s="1468" t="s">
        <v>4622</v>
      </c>
      <c r="F242" s="1110">
        <v>32351</v>
      </c>
      <c r="G242" s="1468" t="s">
        <v>4620</v>
      </c>
      <c r="H242" s="1442">
        <f>NOMINA!H218</f>
        <v>42948</v>
      </c>
      <c r="I242" s="1105">
        <f>NOMINA!I218</f>
        <v>8</v>
      </c>
      <c r="J242" s="1106">
        <f>NOMINA!J218</f>
        <v>0</v>
      </c>
      <c r="K242" s="1105">
        <f t="shared" si="12"/>
        <v>8</v>
      </c>
      <c r="L242" s="1106" t="s">
        <v>4932</v>
      </c>
      <c r="M242" s="1106"/>
      <c r="N242" s="1443" t="str">
        <f>NOMINA!O218</f>
        <v>Tecnico Superior en Trabajo Social II</v>
      </c>
      <c r="O242" s="1106">
        <v>1.02087691000006E+18</v>
      </c>
      <c r="P242" s="1107">
        <f>NOMINA!W218</f>
        <v>110.5</v>
      </c>
      <c r="Q242" s="1108">
        <f>NOMINA!AG218</f>
        <v>9.5</v>
      </c>
      <c r="R242" s="1108">
        <f>NOMINA!AI218</f>
        <v>65</v>
      </c>
      <c r="S242" s="1108">
        <f>NOMINA!AK218</f>
        <v>39.5</v>
      </c>
      <c r="T242" s="1108">
        <f>+NOMINA!AO218</f>
        <v>25</v>
      </c>
      <c r="U242" s="1108">
        <f>+NOMINA!AQ218</f>
        <v>0</v>
      </c>
      <c r="V242" s="1108">
        <f>+NOMINA!AR218</f>
        <v>0</v>
      </c>
      <c r="W242" s="1108">
        <f>+NOMINA!AS218</f>
        <v>0</v>
      </c>
      <c r="X242" s="1108">
        <f>ROUND(NOMINA!AW218,2)</f>
        <v>0</v>
      </c>
      <c r="Y242" s="1108">
        <f>ROUND(NOMINA!AX218,2)</f>
        <v>0</v>
      </c>
      <c r="Z242" s="1108">
        <f>ROUND(NOMINA!BB218,2)+ROUND(NOMINA!BF218,2)</f>
        <v>0</v>
      </c>
      <c r="AA242" s="1108">
        <f>ROUND(NOMINA!BK218,2)*0</f>
        <v>0</v>
      </c>
      <c r="AB242" s="1108">
        <f>+NOMINA!BJ218</f>
        <v>12.5</v>
      </c>
      <c r="AC242" s="1108">
        <f>ROUND(NOMINA!BG218,2)</f>
        <v>320</v>
      </c>
      <c r="AD242" s="1711">
        <f t="shared" si="11"/>
        <v>582</v>
      </c>
      <c r="AF242" s="625"/>
    </row>
    <row r="243" spans="1:32" s="620" customFormat="1" ht="18" customHeight="1" thickBot="1" x14ac:dyDescent="0.25">
      <c r="A243" s="758" t="s">
        <v>2846</v>
      </c>
      <c r="B243" s="508">
        <f t="shared" si="13"/>
        <v>176</v>
      </c>
      <c r="C243" s="1102">
        <f>NOMINA!C219</f>
        <v>18349021</v>
      </c>
      <c r="D243" s="1103" t="str">
        <f>NOMINA!D219</f>
        <v>Godoy Linares Amenaida del Valle</v>
      </c>
      <c r="E243" s="1468" t="s">
        <v>4622</v>
      </c>
      <c r="F243" s="1110">
        <v>32351</v>
      </c>
      <c r="G243" s="1468" t="s">
        <v>4620</v>
      </c>
      <c r="H243" s="1442">
        <f>NOMINA!H219</f>
        <v>44683</v>
      </c>
      <c r="I243" s="1105">
        <f>NOMINA!I219</f>
        <v>3</v>
      </c>
      <c r="J243" s="1106">
        <f>NOMINA!J219</f>
        <v>0</v>
      </c>
      <c r="K243" s="1105">
        <f t="shared" si="12"/>
        <v>3</v>
      </c>
      <c r="L243" s="1106" t="s">
        <v>4932</v>
      </c>
      <c r="M243" s="1106"/>
      <c r="N243" s="1443" t="str">
        <f>NOMINA!O219</f>
        <v>Guia de Centro I</v>
      </c>
      <c r="O243" s="1106">
        <v>1.02087691000006E+18</v>
      </c>
      <c r="P243" s="1107">
        <f>NOMINA!W219</f>
        <v>109.5</v>
      </c>
      <c r="Q243" s="1108">
        <f>NOMINA!AG219</f>
        <v>3.28</v>
      </c>
      <c r="R243" s="1108">
        <f>NOMINA!AI219</f>
        <v>65</v>
      </c>
      <c r="S243" s="1108">
        <f>NOMINA!AK219</f>
        <v>46.01</v>
      </c>
      <c r="T243" s="1108">
        <f>+NOMINA!AO219</f>
        <v>12.5</v>
      </c>
      <c r="U243" s="1108">
        <f>+NOMINA!AQ219</f>
        <v>0</v>
      </c>
      <c r="V243" s="1108">
        <f>+NOMINA!AR219</f>
        <v>0</v>
      </c>
      <c r="W243" s="1108">
        <f>+NOMINA!AS219</f>
        <v>0</v>
      </c>
      <c r="X243" s="1108">
        <f>ROUND(NOMINA!AW219,2)</f>
        <v>138.03</v>
      </c>
      <c r="Y243" s="1108">
        <f>ROUND(NOMINA!AX219,2)</f>
        <v>0</v>
      </c>
      <c r="Z243" s="1108">
        <f>ROUND(NOMINA!BB219,2)+ROUND(NOMINA!BF219,2)</f>
        <v>89.72</v>
      </c>
      <c r="AA243" s="1108">
        <f>ROUND(NOMINA!BK219,2)*0</f>
        <v>0</v>
      </c>
      <c r="AB243" s="1108">
        <f>+NOMINA!BJ219</f>
        <v>12.5</v>
      </c>
      <c r="AC243" s="1108">
        <f>ROUND(NOMINA!BG219,2)</f>
        <v>320</v>
      </c>
      <c r="AD243" s="1711">
        <f t="shared" si="11"/>
        <v>796.54</v>
      </c>
      <c r="AF243" s="625"/>
    </row>
    <row r="244" spans="1:32" s="620" customFormat="1" ht="18" customHeight="1" thickBot="1" x14ac:dyDescent="0.25">
      <c r="A244" s="758" t="s">
        <v>2846</v>
      </c>
      <c r="B244" s="508">
        <f t="shared" si="13"/>
        <v>177</v>
      </c>
      <c r="C244" s="1102">
        <f>NOMINA!C220</f>
        <v>18349409</v>
      </c>
      <c r="D244" s="1103" t="str">
        <f>NOMINA!D220</f>
        <v>Fernandez Mendoza Maria Alejandra</v>
      </c>
      <c r="E244" s="1468" t="s">
        <v>4622</v>
      </c>
      <c r="F244" s="1110">
        <v>32351</v>
      </c>
      <c r="G244" s="1468" t="s">
        <v>4620</v>
      </c>
      <c r="H244" s="1442">
        <f>NOMINA!H220</f>
        <v>45839</v>
      </c>
      <c r="I244" s="1105">
        <f>NOMINA!I220</f>
        <v>0</v>
      </c>
      <c r="J244" s="1106">
        <f>NOMINA!J220</f>
        <v>0</v>
      </c>
      <c r="K244" s="1105">
        <f t="shared" si="12"/>
        <v>0</v>
      </c>
      <c r="L244" s="1106" t="s">
        <v>4932</v>
      </c>
      <c r="M244" s="1106"/>
      <c r="N244" s="1443" t="str">
        <f>NOMINA!O220</f>
        <v>Guia de Centro I</v>
      </c>
      <c r="O244" s="1106">
        <v>1.02087691000006E+18</v>
      </c>
      <c r="P244" s="1107">
        <f>NOMINA!W220</f>
        <v>65</v>
      </c>
      <c r="Q244" s="1108">
        <f>NOMINA!AG220</f>
        <v>0</v>
      </c>
      <c r="R244" s="1108">
        <f>NOMINA!AI220</f>
        <v>65</v>
      </c>
      <c r="S244" s="1108">
        <f>NOMINA!AK220</f>
        <v>0</v>
      </c>
      <c r="T244" s="1108">
        <f>+NOMINA!AO220</f>
        <v>0</v>
      </c>
      <c r="U244" s="1108">
        <f>+NOMINA!AQ220</f>
        <v>0</v>
      </c>
      <c r="V244" s="1108">
        <f>+NOMINA!AR220</f>
        <v>0</v>
      </c>
      <c r="W244" s="1108">
        <f>+NOMINA!AS220</f>
        <v>0</v>
      </c>
      <c r="X244" s="1108">
        <f>ROUND(NOMINA!AW220,2)</f>
        <v>81.75</v>
      </c>
      <c r="Y244" s="1108">
        <f>ROUND(NOMINA!AX220,2)</f>
        <v>0</v>
      </c>
      <c r="Z244" s="1108">
        <f>ROUND(NOMINA!BB220,2)+ROUND(NOMINA!BF220,2)</f>
        <v>53.14</v>
      </c>
      <c r="AA244" s="1108">
        <f>ROUND(NOMINA!BK220,2)*0</f>
        <v>0</v>
      </c>
      <c r="AB244" s="1108">
        <f>+NOMINA!BJ220</f>
        <v>12.5</v>
      </c>
      <c r="AC244" s="1108">
        <f>ROUND(NOMINA!BG220,2)</f>
        <v>320</v>
      </c>
      <c r="AD244" s="1711">
        <f t="shared" si="11"/>
        <v>597.39</v>
      </c>
      <c r="AF244" s="625"/>
    </row>
    <row r="245" spans="1:32" s="620" customFormat="1" ht="18" customHeight="1" thickBot="1" x14ac:dyDescent="0.25">
      <c r="A245" s="758" t="s">
        <v>2846</v>
      </c>
      <c r="B245" s="508">
        <f t="shared" si="13"/>
        <v>178</v>
      </c>
      <c r="C245" s="1102">
        <f>NOMINA!C221</f>
        <v>18349653</v>
      </c>
      <c r="D245" s="1103" t="str">
        <f>NOMINA!D221</f>
        <v>Baptista Finol Violexy del Valle</v>
      </c>
      <c r="E245" s="1468" t="s">
        <v>4622</v>
      </c>
      <c r="F245" s="1110">
        <v>32351</v>
      </c>
      <c r="G245" s="1468" t="s">
        <v>4620</v>
      </c>
      <c r="H245" s="1442">
        <f>NOMINA!H221</f>
        <v>45627</v>
      </c>
      <c r="I245" s="1105">
        <f>NOMINA!I221</f>
        <v>0</v>
      </c>
      <c r="J245" s="1106">
        <f>NOMINA!J221</f>
        <v>0</v>
      </c>
      <c r="K245" s="1105">
        <f t="shared" si="12"/>
        <v>0</v>
      </c>
      <c r="L245" s="1106" t="s">
        <v>4932</v>
      </c>
      <c r="M245" s="1106"/>
      <c r="N245" s="1443" t="str">
        <f>NOMINA!O221</f>
        <v>Guia de Centro I</v>
      </c>
      <c r="O245" s="1106">
        <v>1.02087691000006E+18</v>
      </c>
      <c r="P245" s="1107">
        <f>NOMINA!W221</f>
        <v>96</v>
      </c>
      <c r="Q245" s="1108">
        <f>NOMINA!AG221</f>
        <v>0</v>
      </c>
      <c r="R245" s="1108">
        <f>NOMINA!AI221</f>
        <v>65</v>
      </c>
      <c r="S245" s="1108">
        <f>NOMINA!AK221</f>
        <v>43.37</v>
      </c>
      <c r="T245" s="1108">
        <f>+NOMINA!AO221</f>
        <v>25</v>
      </c>
      <c r="U245" s="1108">
        <f>+NOMINA!AQ221</f>
        <v>0</v>
      </c>
      <c r="V245" s="1108">
        <f>+NOMINA!AR221</f>
        <v>0</v>
      </c>
      <c r="W245" s="1108">
        <f>+NOMINA!AS221</f>
        <v>0</v>
      </c>
      <c r="X245" s="1108">
        <f>ROUND(NOMINA!AW221,2)</f>
        <v>130.13</v>
      </c>
      <c r="Y245" s="1108">
        <f>ROUND(NOMINA!AX221,2)</f>
        <v>0</v>
      </c>
      <c r="Z245" s="1108">
        <f>ROUND(NOMINA!BB221,2)+ROUND(NOMINA!BF221,2)</f>
        <v>84.58</v>
      </c>
      <c r="AA245" s="1108">
        <f>ROUND(NOMINA!BK221,2)*0</f>
        <v>0</v>
      </c>
      <c r="AB245" s="1108">
        <f>+NOMINA!BJ221</f>
        <v>12.5</v>
      </c>
      <c r="AC245" s="1108">
        <f>ROUND(NOMINA!BG221,2)</f>
        <v>320</v>
      </c>
      <c r="AD245" s="1711">
        <f t="shared" si="11"/>
        <v>776.57999999999993</v>
      </c>
      <c r="AF245" s="625"/>
    </row>
    <row r="246" spans="1:32" s="620" customFormat="1" ht="18" customHeight="1" thickBot="1" x14ac:dyDescent="0.25">
      <c r="A246" s="758" t="s">
        <v>2846</v>
      </c>
      <c r="B246" s="508">
        <f t="shared" si="13"/>
        <v>179</v>
      </c>
      <c r="C246" s="1102">
        <f>NOMINA!C222</f>
        <v>18350884</v>
      </c>
      <c r="D246" s="1103" t="str">
        <f>NOMINA!D222</f>
        <v>Araujo Mendoza Mirelis Carolina</v>
      </c>
      <c r="E246" s="1468" t="s">
        <v>4622</v>
      </c>
      <c r="F246" s="1110">
        <v>32351</v>
      </c>
      <c r="G246" s="1468" t="s">
        <v>4620</v>
      </c>
      <c r="H246" s="1442">
        <f>NOMINA!H222</f>
        <v>45474</v>
      </c>
      <c r="I246" s="1105">
        <f>NOMINA!I222</f>
        <v>1</v>
      </c>
      <c r="J246" s="1106">
        <f>NOMINA!J222</f>
        <v>0</v>
      </c>
      <c r="K246" s="1105">
        <f t="shared" si="12"/>
        <v>1</v>
      </c>
      <c r="L246" s="1106" t="s">
        <v>4932</v>
      </c>
      <c r="M246" s="1106"/>
      <c r="N246" s="1443" t="str">
        <f>NOMINA!O222</f>
        <v>Guia de Centro I</v>
      </c>
      <c r="O246" s="1106">
        <v>1.02087691000006E+18</v>
      </c>
      <c r="P246" s="1107">
        <f>NOMINA!W222</f>
        <v>65</v>
      </c>
      <c r="Q246" s="1108">
        <f>NOMINA!AG222</f>
        <v>0.65</v>
      </c>
      <c r="R246" s="1108">
        <f>NOMINA!AI222</f>
        <v>65</v>
      </c>
      <c r="S246" s="1108">
        <f>NOMINA!AK222</f>
        <v>0</v>
      </c>
      <c r="T246" s="1108">
        <f>+NOMINA!AO222</f>
        <v>12.5</v>
      </c>
      <c r="U246" s="1108">
        <f>+NOMINA!AQ222</f>
        <v>0</v>
      </c>
      <c r="V246" s="1108">
        <f>+NOMINA!AR222</f>
        <v>0</v>
      </c>
      <c r="W246" s="1108">
        <f>+NOMINA!AS222</f>
        <v>0</v>
      </c>
      <c r="X246" s="1108">
        <f>ROUND(NOMINA!AW222,2)</f>
        <v>82.14</v>
      </c>
      <c r="Y246" s="1108">
        <f>ROUND(NOMINA!AX222,2)</f>
        <v>0</v>
      </c>
      <c r="Z246" s="1108">
        <f>ROUND(NOMINA!BB222,2)+ROUND(NOMINA!BF222,2)</f>
        <v>53.39</v>
      </c>
      <c r="AA246" s="1108">
        <f>ROUND(NOMINA!BK222,2)*0</f>
        <v>0</v>
      </c>
      <c r="AB246" s="1108">
        <f>+NOMINA!BJ222</f>
        <v>12.5</v>
      </c>
      <c r="AC246" s="1108">
        <f>ROUND(NOMINA!BG222,2)</f>
        <v>320</v>
      </c>
      <c r="AD246" s="1711">
        <f t="shared" si="11"/>
        <v>611.18000000000006</v>
      </c>
      <c r="AF246" s="625"/>
    </row>
    <row r="247" spans="1:32" s="620" customFormat="1" ht="18" customHeight="1" thickBot="1" x14ac:dyDescent="0.25">
      <c r="A247" s="758" t="s">
        <v>2846</v>
      </c>
      <c r="B247" s="508">
        <f t="shared" si="13"/>
        <v>180</v>
      </c>
      <c r="C247" s="1102">
        <f>NOMINA!C223</f>
        <v>18378985</v>
      </c>
      <c r="D247" s="1103" t="str">
        <f>NOMINA!D223</f>
        <v>Quintero Paradas Ilse Maria</v>
      </c>
      <c r="E247" s="1468" t="s">
        <v>4622</v>
      </c>
      <c r="F247" s="1110">
        <v>32351</v>
      </c>
      <c r="G247" s="1468" t="s">
        <v>4620</v>
      </c>
      <c r="H247" s="1442">
        <f>NOMINA!H223</f>
        <v>43147</v>
      </c>
      <c r="I247" s="1105">
        <f>NOMINA!I223</f>
        <v>7</v>
      </c>
      <c r="J247" s="1106">
        <f>NOMINA!J223</f>
        <v>0</v>
      </c>
      <c r="K247" s="1105">
        <f t="shared" si="12"/>
        <v>7</v>
      </c>
      <c r="L247" s="1106" t="s">
        <v>4932</v>
      </c>
      <c r="M247" s="1106"/>
      <c r="N247" s="1443" t="str">
        <f>NOMINA!O223</f>
        <v>Analista de Procesamiento de Datos II</v>
      </c>
      <c r="O247" s="1106">
        <v>1.02087691000006E+18</v>
      </c>
      <c r="P247" s="1107">
        <f>NOMINA!W223</f>
        <v>139.5</v>
      </c>
      <c r="Q247" s="1108">
        <f>NOMINA!AG223</f>
        <v>10.32</v>
      </c>
      <c r="R247" s="1108">
        <f>NOMINA!AI223</f>
        <v>65</v>
      </c>
      <c r="S247" s="1108">
        <f>NOMINA!AK223</f>
        <v>56.83</v>
      </c>
      <c r="T247" s="1108">
        <f>+NOMINA!AO223</f>
        <v>12.5</v>
      </c>
      <c r="U247" s="1108">
        <f>+NOMINA!AQ223</f>
        <v>0</v>
      </c>
      <c r="V247" s="1108">
        <f>+NOMINA!AR223</f>
        <v>0</v>
      </c>
      <c r="W247" s="1108">
        <f>+NOMINA!AS223</f>
        <v>0</v>
      </c>
      <c r="X247" s="1108">
        <f>ROUND(NOMINA!AW223,2)</f>
        <v>0</v>
      </c>
      <c r="Y247" s="1108">
        <f>ROUND(NOMINA!AX223,2)</f>
        <v>0</v>
      </c>
      <c r="Z247" s="1108">
        <f>ROUND(NOMINA!BB223,2)+ROUND(NOMINA!BF223,2)</f>
        <v>0</v>
      </c>
      <c r="AA247" s="1108">
        <f>ROUND(NOMINA!BK223,2)*0</f>
        <v>0</v>
      </c>
      <c r="AB247" s="1108">
        <f>+NOMINA!BJ223</f>
        <v>12.5</v>
      </c>
      <c r="AC247" s="1108">
        <f>ROUND(NOMINA!BG223,2)</f>
        <v>320</v>
      </c>
      <c r="AD247" s="1711">
        <f t="shared" si="11"/>
        <v>616.65</v>
      </c>
      <c r="AF247" s="625"/>
    </row>
    <row r="248" spans="1:32" s="620" customFormat="1" ht="18" customHeight="1" thickBot="1" x14ac:dyDescent="0.25">
      <c r="A248" s="758" t="s">
        <v>2846</v>
      </c>
      <c r="B248" s="508">
        <f t="shared" si="13"/>
        <v>181</v>
      </c>
      <c r="C248" s="1102">
        <f>NOMINA!C224</f>
        <v>18456345</v>
      </c>
      <c r="D248" s="1103" t="str">
        <f>NOMINA!D224</f>
        <v>Peñaloza Olmos Eduardo Jose</v>
      </c>
      <c r="E248" s="1468" t="s">
        <v>4622</v>
      </c>
      <c r="F248" s="1110">
        <v>32351</v>
      </c>
      <c r="G248" s="1468" t="s">
        <v>4620</v>
      </c>
      <c r="H248" s="1442">
        <f>NOMINA!H224</f>
        <v>44774</v>
      </c>
      <c r="I248" s="1105">
        <f>NOMINA!I224</f>
        <v>3</v>
      </c>
      <c r="J248" s="1106">
        <f>NOMINA!J224</f>
        <v>0</v>
      </c>
      <c r="K248" s="1105">
        <f t="shared" si="12"/>
        <v>3</v>
      </c>
      <c r="L248" s="1106" t="s">
        <v>4932</v>
      </c>
      <c r="M248" s="1106"/>
      <c r="N248" s="1443" t="str">
        <f>NOMINA!O224</f>
        <v>ESPECIALISTA EN INFORMATICA I</v>
      </c>
      <c r="O248" s="1106">
        <v>1.02087691000006E+18</v>
      </c>
      <c r="P248" s="1107">
        <f>NOMINA!W224</f>
        <v>138.5</v>
      </c>
      <c r="Q248" s="1108">
        <f>NOMINA!AG224</f>
        <v>4.1500000000000004</v>
      </c>
      <c r="R248" s="1108">
        <f>NOMINA!AI224</f>
        <v>65</v>
      </c>
      <c r="S248" s="1108">
        <f>NOMINA!AK224</f>
        <v>51.91</v>
      </c>
      <c r="T248" s="1108">
        <f>+NOMINA!AO224</f>
        <v>0</v>
      </c>
      <c r="U248" s="1108">
        <f>+NOMINA!AQ224</f>
        <v>0</v>
      </c>
      <c r="V248" s="1108">
        <f>+NOMINA!AR224</f>
        <v>0</v>
      </c>
      <c r="W248" s="1108">
        <f>+NOMINA!AS224</f>
        <v>0</v>
      </c>
      <c r="X248" s="1108">
        <f>ROUND(NOMINA!AW224,2)</f>
        <v>0</v>
      </c>
      <c r="Y248" s="1108">
        <f>ROUND(NOMINA!AX224,2)</f>
        <v>0</v>
      </c>
      <c r="Z248" s="1108">
        <f>ROUND(NOMINA!BB224,2)+ROUND(NOMINA!BF224,2)</f>
        <v>0</v>
      </c>
      <c r="AA248" s="1108">
        <f>ROUND(NOMINA!BK224,2)*0</f>
        <v>0</v>
      </c>
      <c r="AB248" s="1108">
        <f>+NOMINA!BJ224</f>
        <v>12.5</v>
      </c>
      <c r="AC248" s="1108">
        <f>ROUND(NOMINA!BG224,2)</f>
        <v>320</v>
      </c>
      <c r="AD248" s="1711">
        <f t="shared" si="11"/>
        <v>592.05999999999995</v>
      </c>
      <c r="AF248" s="625"/>
    </row>
    <row r="249" spans="1:32" s="620" customFormat="1" ht="18" customHeight="1" thickBot="1" x14ac:dyDescent="0.25">
      <c r="A249" s="758" t="s">
        <v>2846</v>
      </c>
      <c r="B249" s="508">
        <f t="shared" si="13"/>
        <v>182</v>
      </c>
      <c r="C249" s="1102">
        <f>NOMINA!C225</f>
        <v>18457406</v>
      </c>
      <c r="D249" s="1103" t="str">
        <f>NOMINA!D225</f>
        <v>Rivero Zambrano Herluis Jose</v>
      </c>
      <c r="E249" s="1468" t="s">
        <v>4622</v>
      </c>
      <c r="F249" s="1110">
        <v>32351</v>
      </c>
      <c r="G249" s="1468" t="s">
        <v>4620</v>
      </c>
      <c r="H249" s="1442">
        <f>NOMINA!H225</f>
        <v>41548</v>
      </c>
      <c r="I249" s="1105">
        <f>NOMINA!I225</f>
        <v>11</v>
      </c>
      <c r="J249" s="1106">
        <f>NOMINA!J225</f>
        <v>0</v>
      </c>
      <c r="K249" s="1105">
        <f t="shared" si="12"/>
        <v>11</v>
      </c>
      <c r="L249" s="1106" t="s">
        <v>4932</v>
      </c>
      <c r="M249" s="1106"/>
      <c r="N249" s="1443" t="str">
        <f>NOMINA!O225</f>
        <v>Ingeniero Agronomo IV</v>
      </c>
      <c r="O249" s="1106">
        <v>1.02087691000006E+18</v>
      </c>
      <c r="P249" s="1107">
        <f>NOMINA!W225</f>
        <v>0</v>
      </c>
      <c r="Q249" s="1108">
        <f>NOMINA!AG225</f>
        <v>0</v>
      </c>
      <c r="R249" s="1108">
        <f>NOMINA!AI225</f>
        <v>0</v>
      </c>
      <c r="S249" s="1108">
        <f>NOMINA!AK225</f>
        <v>0</v>
      </c>
      <c r="T249" s="1108">
        <f>+NOMINA!AO225</f>
        <v>0</v>
      </c>
      <c r="U249" s="1108">
        <f>+NOMINA!AQ225</f>
        <v>0</v>
      </c>
      <c r="V249" s="1108">
        <f>+NOMINA!AR225</f>
        <v>0</v>
      </c>
      <c r="W249" s="1108">
        <f>+NOMINA!AS225</f>
        <v>0</v>
      </c>
      <c r="X249" s="1108">
        <f>ROUND(NOMINA!AW225,2)</f>
        <v>0</v>
      </c>
      <c r="Y249" s="1108">
        <f>ROUND(NOMINA!AX225,2)</f>
        <v>0</v>
      </c>
      <c r="Z249" s="1108">
        <f>ROUND(NOMINA!BB225,2)+ROUND(NOMINA!BF225,2)</f>
        <v>0</v>
      </c>
      <c r="AA249" s="1108">
        <f>ROUND(NOMINA!BK225,2)*0</f>
        <v>0</v>
      </c>
      <c r="AB249" s="1108">
        <f>+NOMINA!BJ225</f>
        <v>0</v>
      </c>
      <c r="AC249" s="1108">
        <f>ROUND(NOMINA!BG225,2)</f>
        <v>0</v>
      </c>
      <c r="AD249" s="1711">
        <f t="shared" si="11"/>
        <v>0</v>
      </c>
      <c r="AF249" s="625"/>
    </row>
    <row r="250" spans="1:32" s="620" customFormat="1" ht="18" customHeight="1" thickBot="1" x14ac:dyDescent="0.25">
      <c r="A250" s="758" t="s">
        <v>2846</v>
      </c>
      <c r="B250" s="508">
        <f t="shared" si="13"/>
        <v>183</v>
      </c>
      <c r="C250" s="1102">
        <f>NOMINA!C226</f>
        <v>18458012</v>
      </c>
      <c r="D250" s="1103" t="str">
        <f>NOMINA!D226</f>
        <v>Briceño Uzcategui Maria Esperanza</v>
      </c>
      <c r="E250" s="1468" t="s">
        <v>4622</v>
      </c>
      <c r="F250" s="1110">
        <v>32351</v>
      </c>
      <c r="G250" s="1468" t="s">
        <v>4620</v>
      </c>
      <c r="H250" s="1442">
        <f>NOMINA!H226</f>
        <v>44636</v>
      </c>
      <c r="I250" s="1105">
        <f>NOMINA!I226</f>
        <v>3</v>
      </c>
      <c r="J250" s="1106">
        <f>NOMINA!J226</f>
        <v>0</v>
      </c>
      <c r="K250" s="1105">
        <f t="shared" si="12"/>
        <v>3</v>
      </c>
      <c r="L250" s="1106" t="s">
        <v>4932</v>
      </c>
      <c r="M250" s="1106"/>
      <c r="N250" s="1443" t="str">
        <f>NOMINA!O226</f>
        <v>Asistente Administrativo III</v>
      </c>
      <c r="O250" s="1106">
        <v>1.02087691000006E+18</v>
      </c>
      <c r="P250" s="1107">
        <f>NOMINA!W226</f>
        <v>109.5</v>
      </c>
      <c r="Q250" s="1108">
        <f>NOMINA!AG226</f>
        <v>3.28</v>
      </c>
      <c r="R250" s="1108">
        <f>NOMINA!AI226</f>
        <v>65</v>
      </c>
      <c r="S250" s="1108">
        <f>NOMINA!AK226</f>
        <v>38.049999999999997</v>
      </c>
      <c r="T250" s="1108">
        <f>+NOMINA!AO226</f>
        <v>25</v>
      </c>
      <c r="U250" s="1108">
        <f>+NOMINA!AQ226</f>
        <v>0</v>
      </c>
      <c r="V250" s="1108">
        <f>+NOMINA!AR226</f>
        <v>0</v>
      </c>
      <c r="W250" s="1108">
        <f>+NOMINA!AS226</f>
        <v>0</v>
      </c>
      <c r="X250" s="1108">
        <f>ROUND(NOMINA!AW226,2)</f>
        <v>0</v>
      </c>
      <c r="Y250" s="1108">
        <f>ROUND(NOMINA!AX226,2)</f>
        <v>0</v>
      </c>
      <c r="Z250" s="1108">
        <f>ROUND(NOMINA!BB226,2)+ROUND(NOMINA!BF226,2)</f>
        <v>0</v>
      </c>
      <c r="AA250" s="1108">
        <f>ROUND(NOMINA!BK226,2)*0</f>
        <v>0</v>
      </c>
      <c r="AB250" s="1108">
        <f>+NOMINA!BJ226</f>
        <v>12.5</v>
      </c>
      <c r="AC250" s="1108">
        <f>ROUND(NOMINA!BG226,2)</f>
        <v>320</v>
      </c>
      <c r="AD250" s="1711">
        <f t="shared" si="11"/>
        <v>573.32999999999993</v>
      </c>
      <c r="AF250" s="625"/>
    </row>
    <row r="251" spans="1:32" s="620" customFormat="1" ht="18" customHeight="1" thickBot="1" x14ac:dyDescent="0.25">
      <c r="A251" s="758" t="s">
        <v>2846</v>
      </c>
      <c r="B251" s="508">
        <f t="shared" si="13"/>
        <v>184</v>
      </c>
      <c r="C251" s="1102">
        <f>NOMINA!C227</f>
        <v>18733682</v>
      </c>
      <c r="D251" s="1103" t="str">
        <f>NOMINA!D227</f>
        <v>Ocanto Ramirez Maria Alejandra</v>
      </c>
      <c r="E251" s="1468" t="s">
        <v>4622</v>
      </c>
      <c r="F251" s="1110">
        <v>32351</v>
      </c>
      <c r="G251" s="1468" t="s">
        <v>4620</v>
      </c>
      <c r="H251" s="1442">
        <f>NOMINA!H227</f>
        <v>45474</v>
      </c>
      <c r="I251" s="1105">
        <f>NOMINA!I227</f>
        <v>1</v>
      </c>
      <c r="J251" s="1106">
        <f>NOMINA!J227</f>
        <v>0</v>
      </c>
      <c r="K251" s="1105">
        <f t="shared" si="12"/>
        <v>1</v>
      </c>
      <c r="L251" s="1106" t="s">
        <v>4932</v>
      </c>
      <c r="M251" s="1106"/>
      <c r="N251" s="1443" t="str">
        <f>NOMINA!O227</f>
        <v>Guia de Centro I</v>
      </c>
      <c r="O251" s="1106">
        <v>1.02087691000006E+18</v>
      </c>
      <c r="P251" s="1107">
        <f>NOMINA!W227</f>
        <v>65</v>
      </c>
      <c r="Q251" s="1108">
        <f>NOMINA!AG227</f>
        <v>0.65</v>
      </c>
      <c r="R251" s="1108">
        <f>NOMINA!AI227</f>
        <v>65</v>
      </c>
      <c r="S251" s="1108">
        <f>NOMINA!AK227</f>
        <v>0</v>
      </c>
      <c r="T251" s="1108">
        <f>+NOMINA!AO227</f>
        <v>12.5</v>
      </c>
      <c r="U251" s="1108">
        <f>+NOMINA!AQ227</f>
        <v>0</v>
      </c>
      <c r="V251" s="1108">
        <f>+NOMINA!AR227</f>
        <v>0</v>
      </c>
      <c r="W251" s="1108">
        <f>+NOMINA!AS227</f>
        <v>0</v>
      </c>
      <c r="X251" s="1108">
        <f>ROUND(NOMINA!AW227,2)</f>
        <v>82.14</v>
      </c>
      <c r="Y251" s="1108">
        <f>ROUND(NOMINA!AX227,2)</f>
        <v>0</v>
      </c>
      <c r="Z251" s="1108">
        <f>ROUND(NOMINA!BB227,2)+ROUND(NOMINA!BF227,2)</f>
        <v>53.39</v>
      </c>
      <c r="AA251" s="1108">
        <f>ROUND(NOMINA!BK227,2)*0</f>
        <v>0</v>
      </c>
      <c r="AB251" s="1108">
        <f>+NOMINA!BJ227</f>
        <v>12.5</v>
      </c>
      <c r="AC251" s="1108">
        <f>ROUND(NOMINA!BG227,2)</f>
        <v>320</v>
      </c>
      <c r="AD251" s="1711">
        <f t="shared" si="11"/>
        <v>611.18000000000006</v>
      </c>
      <c r="AF251" s="625"/>
    </row>
    <row r="252" spans="1:32" s="620" customFormat="1" ht="18" customHeight="1" thickBot="1" x14ac:dyDescent="0.25">
      <c r="A252" s="758" t="s">
        <v>2846</v>
      </c>
      <c r="B252" s="508">
        <f t="shared" si="13"/>
        <v>185</v>
      </c>
      <c r="C252" s="1102">
        <f>NOMINA!C228</f>
        <v>18801597</v>
      </c>
      <c r="D252" s="1103" t="str">
        <f>NOMINA!D228</f>
        <v>Rodriguez Salas Mary Carmen</v>
      </c>
      <c r="E252" s="1468" t="s">
        <v>4622</v>
      </c>
      <c r="F252" s="1110">
        <v>32351</v>
      </c>
      <c r="G252" s="1468" t="s">
        <v>4620</v>
      </c>
      <c r="H252" s="1442">
        <f>NOMINA!H228</f>
        <v>43359</v>
      </c>
      <c r="I252" s="1105">
        <f>NOMINA!I228</f>
        <v>7</v>
      </c>
      <c r="J252" s="1106">
        <f>NOMINA!J228</f>
        <v>0</v>
      </c>
      <c r="K252" s="1105">
        <f t="shared" si="12"/>
        <v>7</v>
      </c>
      <c r="L252" s="1106" t="s">
        <v>4932</v>
      </c>
      <c r="M252" s="1106"/>
      <c r="N252" s="1443" t="str">
        <f>NOMINA!O228</f>
        <v>Tutor Facilitador III</v>
      </c>
      <c r="O252" s="1106">
        <v>1.02087691000006E+18</v>
      </c>
      <c r="P252" s="1107">
        <f>NOMINA!W228</f>
        <v>139.5</v>
      </c>
      <c r="Q252" s="1108">
        <f>NOMINA!AG228</f>
        <v>10.32</v>
      </c>
      <c r="R252" s="1108">
        <f>NOMINA!AI228</f>
        <v>65</v>
      </c>
      <c r="S252" s="1108">
        <f>NOMINA!AK228</f>
        <v>56.83</v>
      </c>
      <c r="T252" s="1108">
        <f>+NOMINA!AO228</f>
        <v>25</v>
      </c>
      <c r="U252" s="1108">
        <f>+NOMINA!AQ228</f>
        <v>0</v>
      </c>
      <c r="V252" s="1108">
        <f>+NOMINA!AR228</f>
        <v>0</v>
      </c>
      <c r="W252" s="1108">
        <f>+NOMINA!AS228</f>
        <v>0</v>
      </c>
      <c r="X252" s="1108">
        <f>ROUND(NOMINA!AW228,2)</f>
        <v>0</v>
      </c>
      <c r="Y252" s="1108">
        <f>ROUND(NOMINA!AX228,2)</f>
        <v>4546.4799999999996</v>
      </c>
      <c r="Z252" s="1108">
        <f>ROUND(NOMINA!BB228,2)+ROUND(NOMINA!BF228,2)</f>
        <v>0</v>
      </c>
      <c r="AA252" s="1108">
        <f>ROUND(NOMINA!BK228,2)*0</f>
        <v>0</v>
      </c>
      <c r="AB252" s="1108">
        <f>+NOMINA!BJ228</f>
        <v>12.5</v>
      </c>
      <c r="AC252" s="1108">
        <f>ROUND(NOMINA!BG228,2)</f>
        <v>320</v>
      </c>
      <c r="AD252" s="1711">
        <f t="shared" si="11"/>
        <v>5175.6299999999992</v>
      </c>
      <c r="AF252" s="625"/>
    </row>
    <row r="253" spans="1:32" s="620" customFormat="1" ht="18" customHeight="1" thickBot="1" x14ac:dyDescent="0.25">
      <c r="A253" s="758" t="s">
        <v>2846</v>
      </c>
      <c r="B253" s="508">
        <f t="shared" si="13"/>
        <v>186</v>
      </c>
      <c r="C253" s="1102">
        <f>NOMINA!C229</f>
        <v>18802405</v>
      </c>
      <c r="D253" s="1103" t="str">
        <f>NOMINA!D229</f>
        <v>Ramirez Rodriguez Rudys Arelys</v>
      </c>
      <c r="E253" s="1468" t="s">
        <v>4622</v>
      </c>
      <c r="F253" s="1110">
        <v>32351</v>
      </c>
      <c r="G253" s="1468" t="s">
        <v>4620</v>
      </c>
      <c r="H253" s="1442">
        <f>NOMINA!H229</f>
        <v>44332</v>
      </c>
      <c r="I253" s="1105">
        <f>NOMINA!I229</f>
        <v>4</v>
      </c>
      <c r="J253" s="1106">
        <f>NOMINA!J229</f>
        <v>0</v>
      </c>
      <c r="K253" s="1105">
        <f t="shared" si="12"/>
        <v>4</v>
      </c>
      <c r="L253" s="1106" t="s">
        <v>4932</v>
      </c>
      <c r="M253" s="1106"/>
      <c r="N253" s="1443" t="str">
        <f>NOMINA!O229</f>
        <v>Tutor Facilitador I</v>
      </c>
      <c r="O253" s="1106">
        <v>1.02087691000006E+18</v>
      </c>
      <c r="P253" s="1107">
        <f>NOMINA!W229</f>
        <v>138.5</v>
      </c>
      <c r="Q253" s="1108">
        <f>NOMINA!AG229</f>
        <v>5.54</v>
      </c>
      <c r="R253" s="1108">
        <f>NOMINA!AI229</f>
        <v>65</v>
      </c>
      <c r="S253" s="1108">
        <f>NOMINA!AK229</f>
        <v>55.38</v>
      </c>
      <c r="T253" s="1108">
        <f>+NOMINA!AO229</f>
        <v>12.5</v>
      </c>
      <c r="U253" s="1108">
        <f>+NOMINA!AQ229</f>
        <v>0</v>
      </c>
      <c r="V253" s="1108">
        <f>+NOMINA!AR229</f>
        <v>0</v>
      </c>
      <c r="W253" s="1108">
        <f>+NOMINA!AS229</f>
        <v>0</v>
      </c>
      <c r="X253" s="1108">
        <f>ROUND(NOMINA!AW229,2)</f>
        <v>0</v>
      </c>
      <c r="Y253" s="1108">
        <f>ROUND(NOMINA!AX229,2)</f>
        <v>0</v>
      </c>
      <c r="Z253" s="1108">
        <f>ROUND(NOMINA!BB229,2)+ROUND(NOMINA!BF229,2)</f>
        <v>0</v>
      </c>
      <c r="AA253" s="1108">
        <f>ROUND(NOMINA!BK229,2)*0</f>
        <v>0</v>
      </c>
      <c r="AB253" s="1108">
        <f>+NOMINA!BJ229</f>
        <v>12.5</v>
      </c>
      <c r="AC253" s="1108">
        <f>ROUND(NOMINA!BG229,2)</f>
        <v>320</v>
      </c>
      <c r="AD253" s="1711">
        <f t="shared" si="11"/>
        <v>609.42000000000007</v>
      </c>
      <c r="AF253" s="625"/>
    </row>
    <row r="254" spans="1:32" s="620" customFormat="1" ht="18" customHeight="1" thickBot="1" x14ac:dyDescent="0.25">
      <c r="A254" s="758" t="s">
        <v>2846</v>
      </c>
      <c r="B254" s="508">
        <f t="shared" si="13"/>
        <v>187</v>
      </c>
      <c r="C254" s="1102">
        <f>NOMINA!C230</f>
        <v>18984406</v>
      </c>
      <c r="D254" s="1103" t="str">
        <f>NOMINA!D230</f>
        <v>Torres Santiago Eduardo David</v>
      </c>
      <c r="E254" s="1468" t="s">
        <v>4622</v>
      </c>
      <c r="F254" s="1110">
        <v>32351</v>
      </c>
      <c r="G254" s="1468" t="s">
        <v>4620</v>
      </c>
      <c r="H254" s="1442">
        <f>NOMINA!H230</f>
        <v>45200</v>
      </c>
      <c r="I254" s="1105">
        <f>NOMINA!I230</f>
        <v>1</v>
      </c>
      <c r="J254" s="1106">
        <f>NOMINA!J230</f>
        <v>0</v>
      </c>
      <c r="K254" s="1105">
        <f t="shared" si="12"/>
        <v>1</v>
      </c>
      <c r="L254" s="1106" t="s">
        <v>4932</v>
      </c>
      <c r="M254" s="1106"/>
      <c r="N254" s="1443" t="str">
        <f>NOMINA!O230</f>
        <v>Guia de Centro I</v>
      </c>
      <c r="O254" s="1106">
        <v>1.02087691000006E+18</v>
      </c>
      <c r="P254" s="1107">
        <f>NOMINA!W230</f>
        <v>65</v>
      </c>
      <c r="Q254" s="1108">
        <f>NOMINA!AG230</f>
        <v>0.65</v>
      </c>
      <c r="R254" s="1108">
        <f>NOMINA!AI230</f>
        <v>65</v>
      </c>
      <c r="S254" s="1108">
        <f>NOMINA!AK230</f>
        <v>0</v>
      </c>
      <c r="T254" s="1108">
        <f>+NOMINA!AO230</f>
        <v>0</v>
      </c>
      <c r="U254" s="1108">
        <f>+NOMINA!AQ230</f>
        <v>0</v>
      </c>
      <c r="V254" s="1108">
        <f>+NOMINA!AR230</f>
        <v>0</v>
      </c>
      <c r="W254" s="1108">
        <f>+NOMINA!AS230</f>
        <v>0</v>
      </c>
      <c r="X254" s="1108">
        <f>ROUND(NOMINA!AW230,2)</f>
        <v>78.39</v>
      </c>
      <c r="Y254" s="1108">
        <f>ROUND(NOMINA!AX230,2)</f>
        <v>0</v>
      </c>
      <c r="Z254" s="1108">
        <f>ROUND(NOMINA!BB230,2)+ROUND(NOMINA!BF230,2)</f>
        <v>50.95</v>
      </c>
      <c r="AA254" s="1108">
        <f>ROUND(NOMINA!BK230,2)*0</f>
        <v>0</v>
      </c>
      <c r="AB254" s="1108">
        <f>+NOMINA!BJ230</f>
        <v>12.5</v>
      </c>
      <c r="AC254" s="1108">
        <f>ROUND(NOMINA!BG230,2)</f>
        <v>320</v>
      </c>
      <c r="AD254" s="1711">
        <f t="shared" si="11"/>
        <v>592.49</v>
      </c>
      <c r="AF254" s="625"/>
    </row>
    <row r="255" spans="1:32" s="620" customFormat="1" ht="18" customHeight="1" thickBot="1" x14ac:dyDescent="0.25">
      <c r="A255" s="758" t="s">
        <v>2846</v>
      </c>
      <c r="B255" s="508">
        <f t="shared" si="13"/>
        <v>188</v>
      </c>
      <c r="C255" s="1102">
        <f>NOMINA!C231</f>
        <v>19101647</v>
      </c>
      <c r="D255" s="1103" t="str">
        <f>NOMINA!D231</f>
        <v>Uzcategui Urbina Madeley Tatiana</v>
      </c>
      <c r="E255" s="1468" t="s">
        <v>4622</v>
      </c>
      <c r="F255" s="1110">
        <v>32351</v>
      </c>
      <c r="G255" s="1468" t="s">
        <v>4620</v>
      </c>
      <c r="H255" s="1442">
        <f>NOMINA!H231</f>
        <v>43845</v>
      </c>
      <c r="I255" s="1105">
        <f>NOMINA!I231</f>
        <v>5</v>
      </c>
      <c r="J255" s="1106">
        <f>NOMINA!J231</f>
        <v>0</v>
      </c>
      <c r="K255" s="1105">
        <f t="shared" si="12"/>
        <v>5</v>
      </c>
      <c r="L255" s="1106" t="s">
        <v>4932</v>
      </c>
      <c r="M255" s="1106"/>
      <c r="N255" s="1443" t="str">
        <f>NOMINA!O231</f>
        <v>Guia de Centro I</v>
      </c>
      <c r="O255" s="1106">
        <v>1.02087691000006E+18</v>
      </c>
      <c r="P255" s="1107">
        <f>NOMINA!W231</f>
        <v>75</v>
      </c>
      <c r="Q255" s="1108">
        <f>NOMINA!AG231</f>
        <v>3.75</v>
      </c>
      <c r="R255" s="1108">
        <f>NOMINA!AI231</f>
        <v>65</v>
      </c>
      <c r="S255" s="1108">
        <f>NOMINA!AK231</f>
        <v>0</v>
      </c>
      <c r="T255" s="1108">
        <f>+NOMINA!AO231</f>
        <v>0</v>
      </c>
      <c r="U255" s="1108">
        <f>+NOMINA!AQ231</f>
        <v>0</v>
      </c>
      <c r="V255" s="1108">
        <f>+NOMINA!AR231</f>
        <v>0</v>
      </c>
      <c r="W255" s="1108">
        <f>+NOMINA!AS231</f>
        <v>0</v>
      </c>
      <c r="X255" s="1108">
        <f>ROUND(NOMINA!AW231,2)</f>
        <v>93.75</v>
      </c>
      <c r="Y255" s="1108">
        <f>ROUND(NOMINA!AX231,2)</f>
        <v>0</v>
      </c>
      <c r="Z255" s="1108">
        <f>ROUND(NOMINA!BB231,2)+ROUND(NOMINA!BF231,2)</f>
        <v>20.309999999999999</v>
      </c>
      <c r="AA255" s="1108">
        <f>ROUND(NOMINA!BK231,2)*0</f>
        <v>0</v>
      </c>
      <c r="AB255" s="1108">
        <f>+NOMINA!BJ231</f>
        <v>12.5</v>
      </c>
      <c r="AC255" s="1108">
        <f>ROUND(NOMINA!BG231,2)</f>
        <v>320</v>
      </c>
      <c r="AD255" s="1711">
        <f t="shared" si="11"/>
        <v>590.30999999999995</v>
      </c>
      <c r="AF255" s="625"/>
    </row>
    <row r="256" spans="1:32" s="620" customFormat="1" ht="18" customHeight="1" thickBot="1" x14ac:dyDescent="0.25">
      <c r="A256" s="758" t="s">
        <v>2846</v>
      </c>
      <c r="B256" s="508">
        <f t="shared" si="13"/>
        <v>189</v>
      </c>
      <c r="C256" s="1102">
        <f>NOMINA!C232</f>
        <v>19101773</v>
      </c>
      <c r="D256" s="1103" t="str">
        <f>NOMINA!D232</f>
        <v>Gil Molina Maite Karina</v>
      </c>
      <c r="E256" s="1468" t="s">
        <v>4622</v>
      </c>
      <c r="F256" s="1110">
        <v>32351</v>
      </c>
      <c r="G256" s="1468" t="s">
        <v>4620</v>
      </c>
      <c r="H256" s="1442">
        <f>NOMINA!H232</f>
        <v>45200</v>
      </c>
      <c r="I256" s="1105">
        <f>NOMINA!I232</f>
        <v>1</v>
      </c>
      <c r="J256" s="1106">
        <f>NOMINA!J232</f>
        <v>0</v>
      </c>
      <c r="K256" s="1105">
        <f t="shared" si="12"/>
        <v>1</v>
      </c>
      <c r="L256" s="1106" t="s">
        <v>4932</v>
      </c>
      <c r="M256" s="1106"/>
      <c r="N256" s="1443" t="str">
        <f>NOMINA!O232</f>
        <v>Guia de Centro I</v>
      </c>
      <c r="O256" s="1106">
        <v>1.02087691000006E+18</v>
      </c>
      <c r="P256" s="1107">
        <f>NOMINA!W232</f>
        <v>96</v>
      </c>
      <c r="Q256" s="1108">
        <f>NOMINA!AG232</f>
        <v>0.96</v>
      </c>
      <c r="R256" s="1108">
        <f>NOMINA!AI232</f>
        <v>65</v>
      </c>
      <c r="S256" s="1108">
        <f>NOMINA!AK232</f>
        <v>32.39</v>
      </c>
      <c r="T256" s="1108">
        <f>+NOMINA!AO232</f>
        <v>0</v>
      </c>
      <c r="U256" s="1108">
        <f>+NOMINA!AQ232</f>
        <v>0</v>
      </c>
      <c r="V256" s="1108">
        <f>+NOMINA!AR232</f>
        <v>0</v>
      </c>
      <c r="W256" s="1108">
        <f>+NOMINA!AS232</f>
        <v>0</v>
      </c>
      <c r="X256" s="1108">
        <f>ROUND(NOMINA!AW232,2)</f>
        <v>116.61</v>
      </c>
      <c r="Y256" s="1108">
        <f>ROUND(NOMINA!AX232,2)</f>
        <v>0</v>
      </c>
      <c r="Z256" s="1108">
        <f>ROUND(NOMINA!BB232,2)+ROUND(NOMINA!BF232,2)</f>
        <v>101.06</v>
      </c>
      <c r="AA256" s="1108">
        <f>ROUND(NOMINA!BK232,2)*0</f>
        <v>0</v>
      </c>
      <c r="AB256" s="1108">
        <f>+NOMINA!BJ232</f>
        <v>12.5</v>
      </c>
      <c r="AC256" s="1108">
        <f>ROUND(NOMINA!BG232,2)</f>
        <v>320</v>
      </c>
      <c r="AD256" s="1711">
        <f t="shared" si="11"/>
        <v>744.52</v>
      </c>
      <c r="AF256" s="625"/>
    </row>
    <row r="257" spans="1:32" s="620" customFormat="1" ht="18" customHeight="1" thickBot="1" x14ac:dyDescent="0.25">
      <c r="A257" s="758" t="s">
        <v>2846</v>
      </c>
      <c r="B257" s="508">
        <f t="shared" si="13"/>
        <v>190</v>
      </c>
      <c r="C257" s="1102">
        <f>NOMINA!C233</f>
        <v>19103118</v>
      </c>
      <c r="D257" s="1103" t="str">
        <f>NOMINA!D233</f>
        <v>Plaza Quintero Orelis Maria</v>
      </c>
      <c r="E257" s="1468" t="s">
        <v>4622</v>
      </c>
      <c r="F257" s="1110">
        <v>32351</v>
      </c>
      <c r="G257" s="1468" t="s">
        <v>4620</v>
      </c>
      <c r="H257" s="1442">
        <f>NOMINA!H233</f>
        <v>43724</v>
      </c>
      <c r="I257" s="1105">
        <f>NOMINA!I233</f>
        <v>6</v>
      </c>
      <c r="J257" s="1106">
        <f>NOMINA!J233</f>
        <v>0</v>
      </c>
      <c r="K257" s="1105">
        <f t="shared" si="12"/>
        <v>6</v>
      </c>
      <c r="L257" s="1106" t="s">
        <v>4932</v>
      </c>
      <c r="M257" s="1106"/>
      <c r="N257" s="1443" t="str">
        <f>NOMINA!O233</f>
        <v>Tecnico Superior en Trabajo Social II</v>
      </c>
      <c r="O257" s="1106">
        <v>1.02087691000006E+18</v>
      </c>
      <c r="P257" s="1107">
        <f>NOMINA!W233</f>
        <v>110.5</v>
      </c>
      <c r="Q257" s="1108">
        <f>NOMINA!AG233</f>
        <v>6.85</v>
      </c>
      <c r="R257" s="1108">
        <f>NOMINA!AI233</f>
        <v>65</v>
      </c>
      <c r="S257" s="1108">
        <f>NOMINA!AK233</f>
        <v>37.72</v>
      </c>
      <c r="T257" s="1108">
        <f>+NOMINA!AO233</f>
        <v>0</v>
      </c>
      <c r="U257" s="1108">
        <f>+NOMINA!AQ233</f>
        <v>0</v>
      </c>
      <c r="V257" s="1108">
        <f>+NOMINA!AR233</f>
        <v>0</v>
      </c>
      <c r="W257" s="1108">
        <f>+NOMINA!AS233</f>
        <v>0</v>
      </c>
      <c r="X257" s="1108">
        <f>ROUND(NOMINA!AW233,2)</f>
        <v>0</v>
      </c>
      <c r="Y257" s="1108">
        <f>ROUND(NOMINA!AX233,2)</f>
        <v>3621.12</v>
      </c>
      <c r="Z257" s="1108">
        <f>ROUND(NOMINA!BB233,2)+ROUND(NOMINA!BF233,2)</f>
        <v>0</v>
      </c>
      <c r="AA257" s="1108">
        <f>ROUND(NOMINA!BK233,2)*0</f>
        <v>0</v>
      </c>
      <c r="AB257" s="1108">
        <f>+NOMINA!BJ233</f>
        <v>12.5</v>
      </c>
      <c r="AC257" s="1108">
        <f>ROUND(NOMINA!BG233,2)</f>
        <v>320</v>
      </c>
      <c r="AD257" s="1711">
        <f t="shared" si="11"/>
        <v>4173.6900000000005</v>
      </c>
      <c r="AF257" s="625"/>
    </row>
    <row r="258" spans="1:32" s="620" customFormat="1" ht="18" customHeight="1" thickBot="1" x14ac:dyDescent="0.25">
      <c r="A258" s="758" t="s">
        <v>2846</v>
      </c>
      <c r="B258" s="508">
        <f t="shared" si="13"/>
        <v>191</v>
      </c>
      <c r="C258" s="1102">
        <f>NOMINA!C234</f>
        <v>19103604</v>
      </c>
      <c r="D258" s="1103" t="str">
        <f>NOMINA!D234</f>
        <v>Hernandez Graterol Gleidys Coromoto</v>
      </c>
      <c r="E258" s="1468" t="s">
        <v>4622</v>
      </c>
      <c r="F258" s="1110">
        <v>32351</v>
      </c>
      <c r="G258" s="1468" t="s">
        <v>4620</v>
      </c>
      <c r="H258" s="1442">
        <f>NOMINA!H234</f>
        <v>44600</v>
      </c>
      <c r="I258" s="1105">
        <f>NOMINA!I234</f>
        <v>3</v>
      </c>
      <c r="J258" s="1106">
        <f>NOMINA!J234</f>
        <v>0</v>
      </c>
      <c r="K258" s="1105">
        <f t="shared" si="12"/>
        <v>3</v>
      </c>
      <c r="L258" s="1106" t="s">
        <v>4932</v>
      </c>
      <c r="M258" s="1106"/>
      <c r="N258" s="1443" t="str">
        <f>NOMINA!O234</f>
        <v>Asistente Administrativo III</v>
      </c>
      <c r="O258" s="1106">
        <v>1.02087691000006E+18</v>
      </c>
      <c r="P258" s="1107">
        <f>NOMINA!W234</f>
        <v>109.5</v>
      </c>
      <c r="Q258" s="1108">
        <f>NOMINA!AG234</f>
        <v>3.28</v>
      </c>
      <c r="R258" s="1108">
        <f>NOMINA!AI234</f>
        <v>65</v>
      </c>
      <c r="S258" s="1108">
        <f>NOMINA!AK234</f>
        <v>38.049999999999997</v>
      </c>
      <c r="T258" s="1108">
        <f>+NOMINA!AO234</f>
        <v>25</v>
      </c>
      <c r="U258" s="1108">
        <f>+NOMINA!AQ234</f>
        <v>0</v>
      </c>
      <c r="V258" s="1108">
        <f>+NOMINA!AR234</f>
        <v>0</v>
      </c>
      <c r="W258" s="1108">
        <f>+NOMINA!AS234</f>
        <v>0</v>
      </c>
      <c r="X258" s="1108">
        <f>ROUND(NOMINA!AW234,2)</f>
        <v>0</v>
      </c>
      <c r="Y258" s="1108">
        <f>ROUND(NOMINA!AX234,2)</f>
        <v>0</v>
      </c>
      <c r="Z258" s="1108">
        <f>ROUND(NOMINA!BB234,2)+ROUND(NOMINA!BF234,2)</f>
        <v>0</v>
      </c>
      <c r="AA258" s="1108">
        <f>ROUND(NOMINA!BK234,2)*0</f>
        <v>0</v>
      </c>
      <c r="AB258" s="1108">
        <f>+NOMINA!BJ234</f>
        <v>12.5</v>
      </c>
      <c r="AC258" s="1108">
        <f>ROUND(NOMINA!BG234,2)</f>
        <v>320</v>
      </c>
      <c r="AD258" s="1711">
        <f t="shared" si="11"/>
        <v>573.32999999999993</v>
      </c>
      <c r="AF258" s="625"/>
    </row>
    <row r="259" spans="1:32" s="620" customFormat="1" ht="18" customHeight="1" thickBot="1" x14ac:dyDescent="0.25">
      <c r="A259" s="758" t="s">
        <v>2846</v>
      </c>
      <c r="B259" s="508">
        <f t="shared" si="13"/>
        <v>192</v>
      </c>
      <c r="C259" s="1102">
        <f>NOMINA!C235</f>
        <v>19103823</v>
      </c>
      <c r="D259" s="1103" t="str">
        <f>NOMINA!D235</f>
        <v>Valero Sanchez Zulay del Valle</v>
      </c>
      <c r="E259" s="1468" t="s">
        <v>4622</v>
      </c>
      <c r="F259" s="1110">
        <v>32351</v>
      </c>
      <c r="G259" s="1468" t="s">
        <v>4620</v>
      </c>
      <c r="H259" s="1442">
        <f>NOMINA!H235</f>
        <v>42795</v>
      </c>
      <c r="I259" s="1105">
        <f>NOMINA!I235</f>
        <v>8</v>
      </c>
      <c r="J259" s="1106">
        <f>NOMINA!J235</f>
        <v>0</v>
      </c>
      <c r="K259" s="1105">
        <f t="shared" si="12"/>
        <v>8</v>
      </c>
      <c r="L259" s="1106" t="s">
        <v>4932</v>
      </c>
      <c r="M259" s="1106"/>
      <c r="N259" s="1443" t="str">
        <f>NOMINA!O235</f>
        <v>Tutor Facilitador III</v>
      </c>
      <c r="O259" s="1106">
        <v>1.02087691000006E+18</v>
      </c>
      <c r="P259" s="1107">
        <f>NOMINA!W235</f>
        <v>154</v>
      </c>
      <c r="Q259" s="1108">
        <f>NOMINA!AG235</f>
        <v>13.24</v>
      </c>
      <c r="R259" s="1108">
        <f>NOMINA!AI235</f>
        <v>65</v>
      </c>
      <c r="S259" s="1108">
        <f>NOMINA!AK235</f>
        <v>83.47</v>
      </c>
      <c r="T259" s="1108">
        <f>+NOMINA!AO235</f>
        <v>0</v>
      </c>
      <c r="U259" s="1108">
        <f>+NOMINA!AQ235</f>
        <v>0</v>
      </c>
      <c r="V259" s="1108">
        <f>+NOMINA!AR235</f>
        <v>0</v>
      </c>
      <c r="W259" s="1108">
        <f>+NOMINA!AS235</f>
        <v>0</v>
      </c>
      <c r="X259" s="1108">
        <f>ROUND(NOMINA!AW235,2)</f>
        <v>0</v>
      </c>
      <c r="Y259" s="1108">
        <f>ROUND(NOMINA!AX235,2)</f>
        <v>0</v>
      </c>
      <c r="Z259" s="1108">
        <f>ROUND(NOMINA!BB235,2)+ROUND(NOMINA!BF235,2)</f>
        <v>0</v>
      </c>
      <c r="AA259" s="1108">
        <f>ROUND(NOMINA!BK235,2)*0</f>
        <v>0</v>
      </c>
      <c r="AB259" s="1108">
        <f>+NOMINA!BJ235</f>
        <v>12.5</v>
      </c>
      <c r="AC259" s="1108">
        <f>ROUND(NOMINA!BG235,2)</f>
        <v>320</v>
      </c>
      <c r="AD259" s="1711">
        <f t="shared" si="11"/>
        <v>648.21</v>
      </c>
      <c r="AF259" s="625"/>
    </row>
    <row r="260" spans="1:32" s="620" customFormat="1" ht="18" customHeight="1" thickBot="1" x14ac:dyDescent="0.25">
      <c r="A260" s="758" t="s">
        <v>2846</v>
      </c>
      <c r="B260" s="508">
        <f t="shared" si="13"/>
        <v>193</v>
      </c>
      <c r="C260" s="1102">
        <f>NOMINA!C236</f>
        <v>19286780</v>
      </c>
      <c r="D260" s="1103" t="str">
        <f>NOMINA!D236</f>
        <v>Mejia Rosales Katiusca Josefina</v>
      </c>
      <c r="E260" s="1468" t="s">
        <v>4622</v>
      </c>
      <c r="F260" s="1110">
        <v>32351</v>
      </c>
      <c r="G260" s="1468" t="s">
        <v>4620</v>
      </c>
      <c r="H260" s="1442">
        <f>NOMINA!H236</f>
        <v>42492</v>
      </c>
      <c r="I260" s="1105">
        <f>NOMINA!I236</f>
        <v>9</v>
      </c>
      <c r="J260" s="1106">
        <f>NOMINA!J236</f>
        <v>0</v>
      </c>
      <c r="K260" s="1105">
        <f t="shared" si="12"/>
        <v>9</v>
      </c>
      <c r="L260" s="1106" t="s">
        <v>4932</v>
      </c>
      <c r="M260" s="1106"/>
      <c r="N260" s="1443" t="str">
        <f>NOMINA!O236</f>
        <v>Asistente Administrativo III</v>
      </c>
      <c r="O260" s="1106">
        <v>1.02087691000006E+18</v>
      </c>
      <c r="P260" s="1107">
        <f>NOMINA!W236</f>
        <v>111.5</v>
      </c>
      <c r="Q260" s="1108">
        <f>NOMINA!AG236</f>
        <v>10.92</v>
      </c>
      <c r="R260" s="1108">
        <f>NOMINA!AI236</f>
        <v>65</v>
      </c>
      <c r="S260" s="1108">
        <f>NOMINA!AK236</f>
        <v>39.979999999999997</v>
      </c>
      <c r="T260" s="1108">
        <f>+NOMINA!AO236</f>
        <v>0</v>
      </c>
      <c r="U260" s="1108">
        <f>+NOMINA!AQ236</f>
        <v>0</v>
      </c>
      <c r="V260" s="1108">
        <f>+NOMINA!AR236</f>
        <v>0</v>
      </c>
      <c r="W260" s="1108">
        <f>+NOMINA!AS236</f>
        <v>0</v>
      </c>
      <c r="X260" s="1108">
        <f>ROUND(NOMINA!AW236,2)</f>
        <v>0</v>
      </c>
      <c r="Y260" s="1108">
        <f>ROUND(NOMINA!AX236,2)</f>
        <v>0</v>
      </c>
      <c r="Z260" s="1108">
        <f>ROUND(NOMINA!BB236,2)+ROUND(NOMINA!BF236,2)</f>
        <v>0</v>
      </c>
      <c r="AA260" s="1108">
        <f>ROUND(NOMINA!BK236,2)*0</f>
        <v>0</v>
      </c>
      <c r="AB260" s="1108">
        <f>+NOMINA!BJ236</f>
        <v>12.5</v>
      </c>
      <c r="AC260" s="1108">
        <f>ROUND(NOMINA!BG236,2)</f>
        <v>320</v>
      </c>
      <c r="AD260" s="1711">
        <f t="shared" ref="AD260:AD323" si="14">+P260+Q260+R260+S260+X260+Y260+Z260+AC260+AA260+T260+U260+V260+W260+AB260</f>
        <v>559.9</v>
      </c>
      <c r="AF260" s="625"/>
    </row>
    <row r="261" spans="1:32" s="620" customFormat="1" ht="18" customHeight="1" thickBot="1" x14ac:dyDescent="0.25">
      <c r="A261" s="758" t="s">
        <v>2846</v>
      </c>
      <c r="B261" s="508">
        <f t="shared" si="13"/>
        <v>194</v>
      </c>
      <c r="C261" s="1102">
        <f>NOMINA!C237</f>
        <v>19287100</v>
      </c>
      <c r="D261" s="1103" t="str">
        <f>NOMINA!D237</f>
        <v>Leal Mejia Fraineli Yoset</v>
      </c>
      <c r="E261" s="1468" t="s">
        <v>4622</v>
      </c>
      <c r="F261" s="1110">
        <v>32351</v>
      </c>
      <c r="G261" s="1468" t="s">
        <v>4620</v>
      </c>
      <c r="H261" s="1442">
        <f>NOMINA!H237</f>
        <v>44713</v>
      </c>
      <c r="I261" s="1105">
        <f>NOMINA!I237</f>
        <v>3</v>
      </c>
      <c r="J261" s="1106">
        <f>NOMINA!J237</f>
        <v>0</v>
      </c>
      <c r="K261" s="1105">
        <f t="shared" ref="K261:K324" si="15">I261+J261</f>
        <v>3</v>
      </c>
      <c r="L261" s="1106" t="s">
        <v>4932</v>
      </c>
      <c r="M261" s="1106"/>
      <c r="N261" s="1443" t="str">
        <f>NOMINA!O237</f>
        <v>Tecnico Superior en Trabajo Social II</v>
      </c>
      <c r="O261" s="1106">
        <v>1.02087691000006E+18</v>
      </c>
      <c r="P261" s="1107">
        <f>NOMINA!W237</f>
        <v>109.5</v>
      </c>
      <c r="Q261" s="1108">
        <f>NOMINA!AG237</f>
        <v>3.28</v>
      </c>
      <c r="R261" s="1108">
        <f>NOMINA!AI237</f>
        <v>65</v>
      </c>
      <c r="S261" s="1108">
        <f>NOMINA!AK237</f>
        <v>38.049999999999997</v>
      </c>
      <c r="T261" s="1108">
        <f>+NOMINA!AO237</f>
        <v>25</v>
      </c>
      <c r="U261" s="1108">
        <f>+NOMINA!AQ237</f>
        <v>0</v>
      </c>
      <c r="V261" s="1108">
        <f>+NOMINA!AR237</f>
        <v>0</v>
      </c>
      <c r="W261" s="1108">
        <f>+NOMINA!AS237</f>
        <v>0</v>
      </c>
      <c r="X261" s="1108">
        <f>ROUND(NOMINA!AW237,2)</f>
        <v>0</v>
      </c>
      <c r="Y261" s="1108">
        <f>ROUND(NOMINA!AX237,2)</f>
        <v>0</v>
      </c>
      <c r="Z261" s="1108">
        <f>ROUND(NOMINA!BB237,2)+ROUND(NOMINA!BF237,2)</f>
        <v>0</v>
      </c>
      <c r="AA261" s="1108">
        <f>ROUND(NOMINA!BK237,2)*0</f>
        <v>0</v>
      </c>
      <c r="AB261" s="1108">
        <f>+NOMINA!BJ237</f>
        <v>12.5</v>
      </c>
      <c r="AC261" s="1108">
        <f>ROUND(NOMINA!BG237,2)</f>
        <v>320</v>
      </c>
      <c r="AD261" s="1711">
        <f t="shared" si="14"/>
        <v>573.32999999999993</v>
      </c>
      <c r="AF261" s="625"/>
    </row>
    <row r="262" spans="1:32" s="620" customFormat="1" ht="18" customHeight="1" thickBot="1" x14ac:dyDescent="0.25">
      <c r="A262" s="758" t="s">
        <v>2846</v>
      </c>
      <c r="B262" s="508">
        <f t="shared" ref="B262:B326" si="16">+B261+1</f>
        <v>195</v>
      </c>
      <c r="C262" s="1102">
        <f>NOMINA!C238</f>
        <v>19610534</v>
      </c>
      <c r="D262" s="1103" t="str">
        <f>NOMINA!D238</f>
        <v>Santos Saavedra Greosmar Johan</v>
      </c>
      <c r="E262" s="1468" t="s">
        <v>4622</v>
      </c>
      <c r="F262" s="1110">
        <v>32351</v>
      </c>
      <c r="G262" s="1468" t="s">
        <v>4620</v>
      </c>
      <c r="H262" s="1442">
        <f>NOMINA!H238</f>
        <v>44713</v>
      </c>
      <c r="I262" s="1105">
        <f>NOMINA!I238</f>
        <v>3</v>
      </c>
      <c r="J262" s="1106">
        <f>NOMINA!J238</f>
        <v>0</v>
      </c>
      <c r="K262" s="1105">
        <f t="shared" si="15"/>
        <v>3</v>
      </c>
      <c r="L262" s="1106" t="s">
        <v>4932</v>
      </c>
      <c r="M262" s="1106"/>
      <c r="N262" s="1443" t="str">
        <f>NOMINA!O238</f>
        <v>Guia de Centro I</v>
      </c>
      <c r="O262" s="1106">
        <v>1.02087691000006E+18</v>
      </c>
      <c r="P262" s="1107">
        <f>NOMINA!W238</f>
        <v>109.5</v>
      </c>
      <c r="Q262" s="1108">
        <f>NOMINA!AG238</f>
        <v>3.28</v>
      </c>
      <c r="R262" s="1108">
        <f>NOMINA!AI238</f>
        <v>65</v>
      </c>
      <c r="S262" s="1108">
        <f>NOMINA!AK238</f>
        <v>36.799999999999997</v>
      </c>
      <c r="T262" s="1108">
        <f>+NOMINA!AO238</f>
        <v>0</v>
      </c>
      <c r="U262" s="1108">
        <f>+NOMINA!AQ238</f>
        <v>0</v>
      </c>
      <c r="V262" s="1108">
        <f>+NOMINA!AR238</f>
        <v>0</v>
      </c>
      <c r="W262" s="1108">
        <f>+NOMINA!AS238</f>
        <v>0</v>
      </c>
      <c r="X262" s="1108">
        <f>ROUND(NOMINA!AW238,2)</f>
        <v>0</v>
      </c>
      <c r="Y262" s="1108">
        <f>ROUND(NOMINA!AX238,2)</f>
        <v>0</v>
      </c>
      <c r="Z262" s="1108">
        <f>ROUND(NOMINA!BB238,2)+ROUND(NOMINA!BF238,2)</f>
        <v>0</v>
      </c>
      <c r="AA262" s="1108">
        <f>ROUND(NOMINA!BK238,2)*0</f>
        <v>0</v>
      </c>
      <c r="AB262" s="1108">
        <f>+NOMINA!BJ238</f>
        <v>12.5</v>
      </c>
      <c r="AC262" s="1108">
        <f>ROUND(NOMINA!BG238,2)</f>
        <v>320</v>
      </c>
      <c r="AD262" s="1711">
        <f t="shared" si="14"/>
        <v>547.07999999999993</v>
      </c>
      <c r="AF262" s="625"/>
    </row>
    <row r="263" spans="1:32" s="620" customFormat="1" ht="18" customHeight="1" thickBot="1" x14ac:dyDescent="0.25">
      <c r="A263" s="758" t="s">
        <v>2846</v>
      </c>
      <c r="B263" s="508">
        <f t="shared" si="16"/>
        <v>196</v>
      </c>
      <c r="C263" s="1102">
        <f>NOMINA!C239</f>
        <v>19610565</v>
      </c>
      <c r="D263" s="1103" t="str">
        <f>NOMINA!D239</f>
        <v>Uzcategui Uzcategui Saray Cristina</v>
      </c>
      <c r="E263" s="1468" t="s">
        <v>4622</v>
      </c>
      <c r="F263" s="1110">
        <v>32351</v>
      </c>
      <c r="G263" s="1468" t="s">
        <v>4620</v>
      </c>
      <c r="H263" s="1442">
        <f>NOMINA!H239</f>
        <v>44713</v>
      </c>
      <c r="I263" s="1105">
        <f>NOMINA!I239</f>
        <v>3</v>
      </c>
      <c r="J263" s="1106">
        <f>NOMINA!J239</f>
        <v>0</v>
      </c>
      <c r="K263" s="1105">
        <f t="shared" si="15"/>
        <v>3</v>
      </c>
      <c r="L263" s="1106" t="s">
        <v>4932</v>
      </c>
      <c r="M263" s="1106"/>
      <c r="N263" s="1443" t="str">
        <f>NOMINA!O239</f>
        <v>Guia de Centro I</v>
      </c>
      <c r="O263" s="1106">
        <v>1.02087691000006E+18</v>
      </c>
      <c r="P263" s="1107">
        <f>NOMINA!W239</f>
        <v>109.5</v>
      </c>
      <c r="Q263" s="1108">
        <f>NOMINA!AG239</f>
        <v>3.28</v>
      </c>
      <c r="R263" s="1108">
        <f>NOMINA!AI239</f>
        <v>65</v>
      </c>
      <c r="S263" s="1108">
        <f>NOMINA!AK239</f>
        <v>47.57</v>
      </c>
      <c r="T263" s="1108">
        <f>+NOMINA!AO239</f>
        <v>12.5</v>
      </c>
      <c r="U263" s="1108">
        <f>+NOMINA!AQ239</f>
        <v>0</v>
      </c>
      <c r="V263" s="1108">
        <f>+NOMINA!AR239</f>
        <v>0</v>
      </c>
      <c r="W263" s="1108">
        <f>+NOMINA!AS239</f>
        <v>0</v>
      </c>
      <c r="X263" s="1108">
        <f>ROUND(NOMINA!AW239,2)</f>
        <v>0</v>
      </c>
      <c r="Y263" s="1108">
        <f>ROUND(NOMINA!AX239,2)</f>
        <v>0</v>
      </c>
      <c r="Z263" s="1108">
        <f>ROUND(NOMINA!BB239,2)+ROUND(NOMINA!BF239,2)</f>
        <v>0</v>
      </c>
      <c r="AA263" s="1108">
        <f>ROUND(NOMINA!BK239,2)*0</f>
        <v>0</v>
      </c>
      <c r="AB263" s="1108">
        <f>+NOMINA!BJ239</f>
        <v>12.5</v>
      </c>
      <c r="AC263" s="1108">
        <f>ROUND(NOMINA!BG239,2)</f>
        <v>320</v>
      </c>
      <c r="AD263" s="1711">
        <f t="shared" si="14"/>
        <v>570.35</v>
      </c>
      <c r="AF263" s="625"/>
    </row>
    <row r="264" spans="1:32" s="620" customFormat="1" ht="18" customHeight="1" thickBot="1" x14ac:dyDescent="0.25">
      <c r="A264" s="758" t="s">
        <v>2846</v>
      </c>
      <c r="B264" s="508">
        <f t="shared" si="16"/>
        <v>197</v>
      </c>
      <c r="C264" s="1102">
        <f>NOMINA!C240</f>
        <v>19643405</v>
      </c>
      <c r="D264" s="1103" t="str">
        <f>NOMINA!D240</f>
        <v>Valero Mejia Aleidy Rosana</v>
      </c>
      <c r="E264" s="1468" t="s">
        <v>4622</v>
      </c>
      <c r="F264" s="1110">
        <v>32351</v>
      </c>
      <c r="G264" s="1468" t="s">
        <v>4620</v>
      </c>
      <c r="H264" s="1442">
        <f>NOMINA!H240</f>
        <v>43221</v>
      </c>
      <c r="I264" s="1105">
        <f>NOMINA!I240</f>
        <v>7</v>
      </c>
      <c r="J264" s="1106">
        <f>NOMINA!J240</f>
        <v>0</v>
      </c>
      <c r="K264" s="1105">
        <f t="shared" si="15"/>
        <v>7</v>
      </c>
      <c r="L264" s="1106" t="s">
        <v>4932</v>
      </c>
      <c r="M264" s="1106"/>
      <c r="N264" s="1443" t="str">
        <f>NOMINA!O240</f>
        <v>Guia de Centro II</v>
      </c>
      <c r="O264" s="1106">
        <v>1.02087691000006E+18</v>
      </c>
      <c r="P264" s="1107">
        <f>NOMINA!W240</f>
        <v>110.5</v>
      </c>
      <c r="Q264" s="1108">
        <f>NOMINA!AG240</f>
        <v>8.17</v>
      </c>
      <c r="R264" s="1108">
        <f>NOMINA!AI240</f>
        <v>65</v>
      </c>
      <c r="S264" s="1108">
        <f>NOMINA!AK240</f>
        <v>37.979999999999997</v>
      </c>
      <c r="T264" s="1108">
        <f>+NOMINA!AO240</f>
        <v>0</v>
      </c>
      <c r="U264" s="1108">
        <f>+NOMINA!AQ240</f>
        <v>0</v>
      </c>
      <c r="V264" s="1108">
        <f>+NOMINA!AR240</f>
        <v>0</v>
      </c>
      <c r="W264" s="1108">
        <f>+NOMINA!AS240</f>
        <v>0</v>
      </c>
      <c r="X264" s="1108">
        <f>ROUND(NOMINA!AW240,2)</f>
        <v>136.75</v>
      </c>
      <c r="Y264" s="1108">
        <f>ROUND(NOMINA!AX240,2)</f>
        <v>0</v>
      </c>
      <c r="Z264" s="1108">
        <f>ROUND(NOMINA!BB240,2)+ROUND(NOMINA!BF240,2)</f>
        <v>88.89</v>
      </c>
      <c r="AA264" s="1108">
        <f>ROUND(NOMINA!BK240,2)*0</f>
        <v>0</v>
      </c>
      <c r="AB264" s="1108">
        <f>+NOMINA!BJ240</f>
        <v>12.5</v>
      </c>
      <c r="AC264" s="1108">
        <f>ROUND(NOMINA!BG240,2)</f>
        <v>320</v>
      </c>
      <c r="AD264" s="1711">
        <f t="shared" si="14"/>
        <v>779.79</v>
      </c>
      <c r="AF264" s="625"/>
    </row>
    <row r="265" spans="1:32" s="620" customFormat="1" ht="18" customHeight="1" thickBot="1" x14ac:dyDescent="0.25">
      <c r="A265" s="758" t="s">
        <v>2846</v>
      </c>
      <c r="B265" s="508">
        <f t="shared" si="16"/>
        <v>198</v>
      </c>
      <c r="C265" s="1102">
        <f>NOMINA!C241</f>
        <v>19643806</v>
      </c>
      <c r="D265" s="1103" t="str">
        <f>NOMINA!D241</f>
        <v>Vazquez Hernandez Doris Mercedes</v>
      </c>
      <c r="E265" s="1468" t="s">
        <v>4622</v>
      </c>
      <c r="F265" s="1110">
        <v>32351</v>
      </c>
      <c r="G265" s="1468" t="s">
        <v>4620</v>
      </c>
      <c r="H265" s="1442">
        <f>NOMINA!H241</f>
        <v>45505</v>
      </c>
      <c r="I265" s="1105">
        <f>NOMINA!I241</f>
        <v>1</v>
      </c>
      <c r="J265" s="1106">
        <f>NOMINA!J241</f>
        <v>0</v>
      </c>
      <c r="K265" s="1105">
        <f t="shared" si="15"/>
        <v>1</v>
      </c>
      <c r="L265" s="1106" t="s">
        <v>4932</v>
      </c>
      <c r="M265" s="1106"/>
      <c r="N265" s="1443" t="str">
        <f>NOMINA!O241</f>
        <v>Asistente Administrativo III</v>
      </c>
      <c r="O265" s="1106">
        <v>1.02087691000006E+18</v>
      </c>
      <c r="P265" s="1107">
        <f>NOMINA!W241</f>
        <v>96</v>
      </c>
      <c r="Q265" s="1108">
        <f>NOMINA!AG241</f>
        <v>0.96</v>
      </c>
      <c r="R265" s="1108">
        <f>NOMINA!AI241</f>
        <v>65</v>
      </c>
      <c r="S265" s="1108">
        <f>NOMINA!AK241</f>
        <v>43.61</v>
      </c>
      <c r="T265" s="1108">
        <f>+NOMINA!AO241</f>
        <v>25</v>
      </c>
      <c r="U265" s="1108">
        <f>+NOMINA!AQ241</f>
        <v>0</v>
      </c>
      <c r="V265" s="1108">
        <f>+NOMINA!AR241</f>
        <v>0</v>
      </c>
      <c r="W265" s="1108">
        <f>+NOMINA!AS241</f>
        <v>0</v>
      </c>
      <c r="X265" s="1108">
        <f>ROUND(NOMINA!AW241,2)</f>
        <v>0</v>
      </c>
      <c r="Y265" s="1108">
        <f>ROUND(NOMINA!AX241,2)</f>
        <v>0</v>
      </c>
      <c r="Z265" s="1108">
        <f>ROUND(NOMINA!BB241,2)+ROUND(NOMINA!BF241,2)</f>
        <v>0</v>
      </c>
      <c r="AA265" s="1108">
        <f>ROUND(NOMINA!BK241,2)*0</f>
        <v>0</v>
      </c>
      <c r="AB265" s="1108">
        <f>+NOMINA!BJ241</f>
        <v>12.5</v>
      </c>
      <c r="AC265" s="1108">
        <f>ROUND(NOMINA!BG241,2)</f>
        <v>320</v>
      </c>
      <c r="AD265" s="1711">
        <f t="shared" si="14"/>
        <v>563.06999999999994</v>
      </c>
      <c r="AF265" s="625"/>
    </row>
    <row r="266" spans="1:32" s="620" customFormat="1" ht="18" customHeight="1" thickBot="1" x14ac:dyDescent="0.25">
      <c r="A266" s="758" t="s">
        <v>2846</v>
      </c>
      <c r="B266" s="508">
        <f t="shared" si="16"/>
        <v>199</v>
      </c>
      <c r="C266" s="1102">
        <f>NOMINA!C242</f>
        <v>19644743</v>
      </c>
      <c r="D266" s="1103" t="str">
        <f>NOMINA!D242</f>
        <v>Villa Daniela Carolina</v>
      </c>
      <c r="E266" s="1468" t="s">
        <v>4622</v>
      </c>
      <c r="F266" s="1110">
        <v>32351</v>
      </c>
      <c r="G266" s="1468" t="s">
        <v>4620</v>
      </c>
      <c r="H266" s="1442">
        <f>NOMINA!H242</f>
        <v>43967</v>
      </c>
      <c r="I266" s="1105">
        <f>NOMINA!I242</f>
        <v>5</v>
      </c>
      <c r="J266" s="1106">
        <f>NOMINA!J242</f>
        <v>0</v>
      </c>
      <c r="K266" s="1105">
        <f t="shared" si="15"/>
        <v>5</v>
      </c>
      <c r="L266" s="1106" t="s">
        <v>4932</v>
      </c>
      <c r="M266" s="1106"/>
      <c r="N266" s="1443" t="str">
        <f>NOMINA!O242</f>
        <v>Analista de Procesamiento de Datos II</v>
      </c>
      <c r="O266" s="1106">
        <v>1.02087691000006E+18</v>
      </c>
      <c r="P266" s="1107">
        <f>NOMINA!W242</f>
        <v>138.5</v>
      </c>
      <c r="Q266" s="1108">
        <f>NOMINA!AG242</f>
        <v>6.92</v>
      </c>
      <c r="R266" s="1108">
        <f>NOMINA!AI242</f>
        <v>65</v>
      </c>
      <c r="S266" s="1108">
        <f>NOMINA!AK242</f>
        <v>55.73</v>
      </c>
      <c r="T266" s="1108">
        <f>+NOMINA!AO242</f>
        <v>12.5</v>
      </c>
      <c r="U266" s="1108">
        <f>+NOMINA!AQ242</f>
        <v>0</v>
      </c>
      <c r="V266" s="1108">
        <f>+NOMINA!AR242</f>
        <v>0</v>
      </c>
      <c r="W266" s="1108">
        <f>+NOMINA!AS242</f>
        <v>0</v>
      </c>
      <c r="X266" s="1108">
        <f>ROUND(NOMINA!AW242,2)</f>
        <v>0</v>
      </c>
      <c r="Y266" s="1108">
        <f>ROUND(NOMINA!AX242,2)</f>
        <v>0</v>
      </c>
      <c r="Z266" s="1108">
        <f>ROUND(NOMINA!BB242,2)+ROUND(NOMINA!BF242,2)</f>
        <v>0</v>
      </c>
      <c r="AA266" s="1108">
        <f>ROUND(NOMINA!BK242,2)*0</f>
        <v>0</v>
      </c>
      <c r="AB266" s="1108">
        <f>+NOMINA!BJ242</f>
        <v>12.5</v>
      </c>
      <c r="AC266" s="1108">
        <f>ROUND(NOMINA!BG242,2)</f>
        <v>320</v>
      </c>
      <c r="AD266" s="1711">
        <f t="shared" si="14"/>
        <v>611.15</v>
      </c>
      <c r="AF266" s="625"/>
    </row>
    <row r="267" spans="1:32" s="620" customFormat="1" ht="18" customHeight="1" thickBot="1" x14ac:dyDescent="0.25">
      <c r="A267" s="758" t="s">
        <v>2846</v>
      </c>
      <c r="B267" s="508">
        <f t="shared" si="16"/>
        <v>200</v>
      </c>
      <c r="C267" s="1102">
        <f>NOMINA!C243</f>
        <v>19644756</v>
      </c>
      <c r="D267" s="1103" t="str">
        <f>NOMINA!D243</f>
        <v>Mejia Aldana Norbelys Carolina</v>
      </c>
      <c r="E267" s="1468" t="s">
        <v>4622</v>
      </c>
      <c r="F267" s="1110">
        <v>32351</v>
      </c>
      <c r="G267" s="1468" t="s">
        <v>4620</v>
      </c>
      <c r="H267" s="1442">
        <f>NOMINA!H243</f>
        <v>44470</v>
      </c>
      <c r="I267" s="1105">
        <f>NOMINA!I243</f>
        <v>3</v>
      </c>
      <c r="J267" s="1106">
        <f>NOMINA!J243</f>
        <v>0</v>
      </c>
      <c r="K267" s="1105">
        <f t="shared" si="15"/>
        <v>3</v>
      </c>
      <c r="L267" s="1106" t="s">
        <v>4932</v>
      </c>
      <c r="M267" s="1106"/>
      <c r="N267" s="1443" t="str">
        <f>NOMINA!O243</f>
        <v>Economa II</v>
      </c>
      <c r="O267" s="1106">
        <v>1.02087691000006E+18</v>
      </c>
      <c r="P267" s="1107">
        <f>NOMINA!W243</f>
        <v>75</v>
      </c>
      <c r="Q267" s="1108">
        <f>NOMINA!AG243</f>
        <v>2.25</v>
      </c>
      <c r="R267" s="1108">
        <f>NOMINA!AI243</f>
        <v>65</v>
      </c>
      <c r="S267" s="1108">
        <f>NOMINA!AK243</f>
        <v>0</v>
      </c>
      <c r="T267" s="1108">
        <f>+NOMINA!AO243</f>
        <v>25</v>
      </c>
      <c r="U267" s="1108">
        <f>+NOMINA!AQ243</f>
        <v>0</v>
      </c>
      <c r="V267" s="1108">
        <f>+NOMINA!AR243</f>
        <v>0</v>
      </c>
      <c r="W267" s="1108">
        <f>+NOMINA!AS243</f>
        <v>0</v>
      </c>
      <c r="X267" s="1108">
        <f>ROUND(NOMINA!AW243,2)</f>
        <v>0</v>
      </c>
      <c r="Y267" s="1108">
        <f>ROUND(NOMINA!AX243,2)</f>
        <v>0</v>
      </c>
      <c r="Z267" s="1108">
        <f>ROUND(NOMINA!BB243,2)+ROUND(NOMINA!BF243,2)</f>
        <v>0</v>
      </c>
      <c r="AA267" s="1108">
        <f>ROUND(NOMINA!BK243,2)*0</f>
        <v>0</v>
      </c>
      <c r="AB267" s="1108">
        <f>+NOMINA!BJ243</f>
        <v>12.5</v>
      </c>
      <c r="AC267" s="1108">
        <f>ROUND(NOMINA!BG243,2)</f>
        <v>320</v>
      </c>
      <c r="AD267" s="1711">
        <f t="shared" si="14"/>
        <v>499.75</v>
      </c>
      <c r="AF267" s="625"/>
    </row>
    <row r="268" spans="1:32" s="620" customFormat="1" ht="18" customHeight="1" thickBot="1" x14ac:dyDescent="0.25">
      <c r="A268" s="758" t="s">
        <v>2846</v>
      </c>
      <c r="B268" s="508">
        <f t="shared" si="16"/>
        <v>201</v>
      </c>
      <c r="C268" s="1102">
        <f>NOMINA!C244</f>
        <v>19794217</v>
      </c>
      <c r="D268" s="1103" t="str">
        <f>NOMINA!D244</f>
        <v>Suarez Leal Betzabeth Daimar</v>
      </c>
      <c r="E268" s="1468" t="s">
        <v>4622</v>
      </c>
      <c r="F268" s="1110">
        <v>32351</v>
      </c>
      <c r="G268" s="1468" t="s">
        <v>4620</v>
      </c>
      <c r="H268" s="1442">
        <f>NOMINA!H244</f>
        <v>44683</v>
      </c>
      <c r="I268" s="1105">
        <f>NOMINA!I244</f>
        <v>3</v>
      </c>
      <c r="J268" s="1106">
        <f>NOMINA!J244</f>
        <v>0</v>
      </c>
      <c r="K268" s="1105">
        <f t="shared" si="15"/>
        <v>3</v>
      </c>
      <c r="L268" s="1106" t="s">
        <v>4932</v>
      </c>
      <c r="M268" s="1106"/>
      <c r="N268" s="1443" t="str">
        <f>NOMINA!O244</f>
        <v>Guia de Centro I</v>
      </c>
      <c r="O268" s="1106">
        <v>1.02087691000006E+18</v>
      </c>
      <c r="P268" s="1107">
        <f>NOMINA!W244</f>
        <v>109.5</v>
      </c>
      <c r="Q268" s="1108">
        <f>NOMINA!AG244</f>
        <v>3.28</v>
      </c>
      <c r="R268" s="1108">
        <f>NOMINA!AI244</f>
        <v>65</v>
      </c>
      <c r="S268" s="1108">
        <f>NOMINA!AK244</f>
        <v>36.799999999999997</v>
      </c>
      <c r="T268" s="1108">
        <f>+NOMINA!AO244</f>
        <v>12.5</v>
      </c>
      <c r="U268" s="1108">
        <f>+NOMINA!AQ244</f>
        <v>0</v>
      </c>
      <c r="V268" s="1108">
        <f>+NOMINA!AR244</f>
        <v>0</v>
      </c>
      <c r="W268" s="1108">
        <f>+NOMINA!AS244</f>
        <v>0</v>
      </c>
      <c r="X268" s="1108">
        <f>ROUND(NOMINA!AW244,2)</f>
        <v>132.5</v>
      </c>
      <c r="Y268" s="1108">
        <f>ROUND(NOMINA!AX244,2)</f>
        <v>0</v>
      </c>
      <c r="Z268" s="1108">
        <f>ROUND(NOMINA!BB244,2)+ROUND(NOMINA!BF244,2)</f>
        <v>86.13</v>
      </c>
      <c r="AA268" s="1108">
        <f>ROUND(NOMINA!BK244,2)*0</f>
        <v>0</v>
      </c>
      <c r="AB268" s="1108">
        <f>+NOMINA!BJ244</f>
        <v>12.5</v>
      </c>
      <c r="AC268" s="1108">
        <f>ROUND(NOMINA!BG244,2)</f>
        <v>320</v>
      </c>
      <c r="AD268" s="1711">
        <f t="shared" si="14"/>
        <v>778.21</v>
      </c>
      <c r="AF268" s="625"/>
    </row>
    <row r="269" spans="1:32" s="620" customFormat="1" ht="18" customHeight="1" thickBot="1" x14ac:dyDescent="0.25">
      <c r="A269" s="758" t="s">
        <v>2846</v>
      </c>
      <c r="B269" s="508">
        <f t="shared" si="16"/>
        <v>202</v>
      </c>
      <c r="C269" s="1102">
        <f>NOMINA!C245</f>
        <v>20038162</v>
      </c>
      <c r="D269" s="1103" t="str">
        <f>NOMINA!D245</f>
        <v>Jerez Rangel Gleidy Andreina</v>
      </c>
      <c r="E269" s="1468" t="s">
        <v>4622</v>
      </c>
      <c r="F269" s="1110">
        <v>32351</v>
      </c>
      <c r="G269" s="1468" t="s">
        <v>4620</v>
      </c>
      <c r="H269" s="1442">
        <f>NOMINA!H245</f>
        <v>45597</v>
      </c>
      <c r="I269" s="1105">
        <f>NOMINA!I245</f>
        <v>0</v>
      </c>
      <c r="J269" s="1106">
        <f>NOMINA!J245</f>
        <v>0</v>
      </c>
      <c r="K269" s="1105">
        <f t="shared" si="15"/>
        <v>0</v>
      </c>
      <c r="L269" s="1106" t="s">
        <v>4932</v>
      </c>
      <c r="M269" s="1106"/>
      <c r="N269" s="1443" t="str">
        <f>NOMINA!O245</f>
        <v>Guia de Centro I</v>
      </c>
      <c r="O269" s="1106">
        <v>1.02087691000006E+18</v>
      </c>
      <c r="P269" s="1107">
        <f>NOMINA!W245</f>
        <v>96</v>
      </c>
      <c r="Q269" s="1108">
        <f>NOMINA!AG245</f>
        <v>0</v>
      </c>
      <c r="R269" s="1108">
        <f>NOMINA!AI245</f>
        <v>65</v>
      </c>
      <c r="S269" s="1108">
        <f>NOMINA!AK245</f>
        <v>43.37</v>
      </c>
      <c r="T269" s="1108">
        <f>+NOMINA!AO245</f>
        <v>12.5</v>
      </c>
      <c r="U269" s="1108">
        <f>+NOMINA!AQ245</f>
        <v>0</v>
      </c>
      <c r="V269" s="1108">
        <f>+NOMINA!AR245</f>
        <v>0</v>
      </c>
      <c r="W269" s="1108">
        <f>+NOMINA!AS245</f>
        <v>0</v>
      </c>
      <c r="X269" s="1108">
        <f>ROUND(NOMINA!AW245,2)</f>
        <v>130.13</v>
      </c>
      <c r="Y269" s="1108">
        <f>ROUND(NOMINA!AX245,2)</f>
        <v>0</v>
      </c>
      <c r="Z269" s="1108">
        <f>ROUND(NOMINA!BB245,2)+ROUND(NOMINA!BF245,2)</f>
        <v>84.58</v>
      </c>
      <c r="AA269" s="1108">
        <f>ROUND(NOMINA!BK245,2)*0</f>
        <v>0</v>
      </c>
      <c r="AB269" s="1108">
        <f>+NOMINA!BJ245</f>
        <v>12.5</v>
      </c>
      <c r="AC269" s="1108">
        <f>ROUND(NOMINA!BG245,2)</f>
        <v>320</v>
      </c>
      <c r="AD269" s="1711">
        <f t="shared" si="14"/>
        <v>764.07999999999993</v>
      </c>
      <c r="AF269" s="625"/>
    </row>
    <row r="270" spans="1:32" s="620" customFormat="1" ht="18" customHeight="1" thickBot="1" x14ac:dyDescent="0.25">
      <c r="A270" s="758" t="s">
        <v>2846</v>
      </c>
      <c r="B270" s="508">
        <f t="shared" si="16"/>
        <v>203</v>
      </c>
      <c r="C270" s="1102">
        <f>NOMINA!C246</f>
        <v>20040405</v>
      </c>
      <c r="D270" s="1103" t="str">
        <f>NOMINA!D246</f>
        <v>Lopez Padilla Angela Maria</v>
      </c>
      <c r="E270" s="1468" t="s">
        <v>4622</v>
      </c>
      <c r="F270" s="1110">
        <v>32351</v>
      </c>
      <c r="G270" s="1468" t="s">
        <v>4620</v>
      </c>
      <c r="H270" s="1442">
        <f>NOMINA!H246</f>
        <v>45717</v>
      </c>
      <c r="I270" s="1105">
        <f>NOMINA!I246</f>
        <v>0</v>
      </c>
      <c r="J270" s="1106">
        <f>NOMINA!J246</f>
        <v>0</v>
      </c>
      <c r="K270" s="1105">
        <f t="shared" si="15"/>
        <v>0</v>
      </c>
      <c r="L270" s="1106" t="s">
        <v>4932</v>
      </c>
      <c r="M270" s="1106"/>
      <c r="N270" s="1443" t="str">
        <f>NOMINA!O246</f>
        <v>Tutor Facilitador I</v>
      </c>
      <c r="O270" s="1106">
        <v>1.02087691000006E+18</v>
      </c>
      <c r="P270" s="1107">
        <f>NOMINA!W246</f>
        <v>123</v>
      </c>
      <c r="Q270" s="1108">
        <f>NOMINA!AG246</f>
        <v>0</v>
      </c>
      <c r="R270" s="1108">
        <f>NOMINA!AI246</f>
        <v>65</v>
      </c>
      <c r="S270" s="1108">
        <f>NOMINA!AK246</f>
        <v>47</v>
      </c>
      <c r="T270" s="1108">
        <f>+NOMINA!AO246</f>
        <v>0</v>
      </c>
      <c r="U270" s="1108">
        <f>+NOMINA!AQ246</f>
        <v>0</v>
      </c>
      <c r="V270" s="1108">
        <f>+NOMINA!AR246</f>
        <v>0</v>
      </c>
      <c r="W270" s="1108">
        <f>+NOMINA!AS246</f>
        <v>0</v>
      </c>
      <c r="X270" s="1108">
        <f>ROUND(NOMINA!AW246,2)</f>
        <v>0</v>
      </c>
      <c r="Y270" s="1108">
        <f>ROUND(NOMINA!AX246,2)</f>
        <v>0</v>
      </c>
      <c r="Z270" s="1108">
        <f>ROUND(NOMINA!BB246,2)+ROUND(NOMINA!BF246,2)</f>
        <v>0</v>
      </c>
      <c r="AA270" s="1108">
        <f>ROUND(NOMINA!BK246,2)*0</f>
        <v>0</v>
      </c>
      <c r="AB270" s="1108">
        <f>+NOMINA!BJ246</f>
        <v>12.5</v>
      </c>
      <c r="AC270" s="1108">
        <f>ROUND(NOMINA!BG246,2)</f>
        <v>320</v>
      </c>
      <c r="AD270" s="1711">
        <f t="shared" si="14"/>
        <v>567.5</v>
      </c>
      <c r="AF270" s="625"/>
    </row>
    <row r="271" spans="1:32" s="620" customFormat="1" ht="18" customHeight="1" thickBot="1" x14ac:dyDescent="0.25">
      <c r="A271" s="758" t="s">
        <v>2846</v>
      </c>
      <c r="B271" s="508">
        <f t="shared" si="16"/>
        <v>204</v>
      </c>
      <c r="C271" s="1102">
        <f>NOMINA!C247</f>
        <v>20655363</v>
      </c>
      <c r="D271" s="1103" t="str">
        <f>NOMINA!D247</f>
        <v>Sarache Ramirez Maryelis Stefani</v>
      </c>
      <c r="E271" s="1468" t="s">
        <v>4622</v>
      </c>
      <c r="F271" s="1110">
        <v>32351</v>
      </c>
      <c r="G271" s="1468" t="s">
        <v>4620</v>
      </c>
      <c r="H271" s="1442">
        <f>NOMINA!H247</f>
        <v>45323</v>
      </c>
      <c r="I271" s="1105">
        <f>NOMINA!I247</f>
        <v>1</v>
      </c>
      <c r="J271" s="1106">
        <f>NOMINA!J247</f>
        <v>0</v>
      </c>
      <c r="K271" s="1105">
        <f t="shared" si="15"/>
        <v>1</v>
      </c>
      <c r="L271" s="1106" t="s">
        <v>4932</v>
      </c>
      <c r="M271" s="1106"/>
      <c r="N271" s="1443" t="str">
        <f>NOMINA!O247</f>
        <v>Guia de Centro I</v>
      </c>
      <c r="O271" s="1106">
        <v>1.02087691000006E+18</v>
      </c>
      <c r="P271" s="1107">
        <f>NOMINA!W247</f>
        <v>96</v>
      </c>
      <c r="Q271" s="1108">
        <f>NOMINA!AG247</f>
        <v>0.96</v>
      </c>
      <c r="R271" s="1108">
        <f>NOMINA!AI247</f>
        <v>65</v>
      </c>
      <c r="S271" s="1108">
        <f>NOMINA!AK247</f>
        <v>43.61</v>
      </c>
      <c r="T271" s="1108">
        <f>+NOMINA!AO247</f>
        <v>25</v>
      </c>
      <c r="U271" s="1108">
        <f>+NOMINA!AQ247</f>
        <v>0</v>
      </c>
      <c r="V271" s="1108">
        <f>+NOMINA!AR247</f>
        <v>0</v>
      </c>
      <c r="W271" s="1108">
        <f>+NOMINA!AS247</f>
        <v>0</v>
      </c>
      <c r="X271" s="1108">
        <f>ROUND(NOMINA!AW247,2)</f>
        <v>130.85</v>
      </c>
      <c r="Y271" s="1108">
        <f>ROUND(NOMINA!AX247,2)</f>
        <v>0</v>
      </c>
      <c r="Z271" s="1108">
        <f>ROUND(NOMINA!BB247,2)+ROUND(NOMINA!BF247,2)</f>
        <v>85.05</v>
      </c>
      <c r="AA271" s="1108">
        <f>ROUND(NOMINA!BK247,2)*0</f>
        <v>0</v>
      </c>
      <c r="AB271" s="1108">
        <f>+NOMINA!BJ247</f>
        <v>12.5</v>
      </c>
      <c r="AC271" s="1108">
        <f>ROUND(NOMINA!BG247,2)</f>
        <v>320</v>
      </c>
      <c r="AD271" s="1711">
        <f t="shared" si="14"/>
        <v>778.97</v>
      </c>
      <c r="AF271" s="625"/>
    </row>
    <row r="272" spans="1:32" s="620" customFormat="1" ht="18" customHeight="1" thickBot="1" x14ac:dyDescent="0.25">
      <c r="A272" s="758" t="s">
        <v>2846</v>
      </c>
      <c r="B272" s="508">
        <f t="shared" si="16"/>
        <v>205</v>
      </c>
      <c r="C272" s="1102">
        <f>NOMINA!C248</f>
        <v>20401711</v>
      </c>
      <c r="D272" s="1103" t="str">
        <f>NOMINA!D248</f>
        <v>Mendez Giro Maryely Roxana</v>
      </c>
      <c r="E272" s="1468" t="s">
        <v>4622</v>
      </c>
      <c r="F272" s="1110">
        <v>32351</v>
      </c>
      <c r="G272" s="1468" t="s">
        <v>4620</v>
      </c>
      <c r="H272" s="1442">
        <f>NOMINA!H248</f>
        <v>44363</v>
      </c>
      <c r="I272" s="1105">
        <f>NOMINA!I248</f>
        <v>4</v>
      </c>
      <c r="J272" s="1106">
        <f>NOMINA!J248</f>
        <v>2</v>
      </c>
      <c r="K272" s="1105">
        <f t="shared" si="15"/>
        <v>6</v>
      </c>
      <c r="L272" s="1106" t="s">
        <v>4932</v>
      </c>
      <c r="M272" s="1106"/>
      <c r="N272" s="1443" t="str">
        <f>NOMINA!O248</f>
        <v>Guia de Centro II</v>
      </c>
      <c r="O272" s="1106">
        <v>1.02087691000006E+18</v>
      </c>
      <c r="P272" s="1107">
        <f>NOMINA!W248</f>
        <v>110.5</v>
      </c>
      <c r="Q272" s="1108">
        <f>NOMINA!AG248</f>
        <v>6.85</v>
      </c>
      <c r="R272" s="1108">
        <f>NOMINA!AI248</f>
        <v>65</v>
      </c>
      <c r="S272" s="1108">
        <f>NOMINA!AK248</f>
        <v>38.97</v>
      </c>
      <c r="T272" s="1108">
        <f>+NOMINA!AO248</f>
        <v>12.5</v>
      </c>
      <c r="U272" s="1108">
        <f>+NOMINA!AQ248</f>
        <v>0</v>
      </c>
      <c r="V272" s="1108">
        <f>+NOMINA!AR248</f>
        <v>0</v>
      </c>
      <c r="W272" s="1108">
        <f>+NOMINA!AS248</f>
        <v>0</v>
      </c>
      <c r="X272" s="1108">
        <f>ROUND(NOMINA!AW248,2)</f>
        <v>140.29</v>
      </c>
      <c r="Y272" s="1108">
        <f>ROUND(NOMINA!AX248,2)</f>
        <v>0</v>
      </c>
      <c r="Z272" s="1108">
        <f>ROUND(NOMINA!BB248,2)+ROUND(NOMINA!BF248,2)</f>
        <v>91.19</v>
      </c>
      <c r="AA272" s="1108">
        <f>ROUND(NOMINA!BK248,2)*0</f>
        <v>0</v>
      </c>
      <c r="AB272" s="1108">
        <f>+NOMINA!BJ248</f>
        <v>12.5</v>
      </c>
      <c r="AC272" s="1108">
        <f>ROUND(NOMINA!BG248,2)</f>
        <v>320</v>
      </c>
      <c r="AD272" s="1711">
        <f t="shared" si="14"/>
        <v>797.8</v>
      </c>
      <c r="AF272" s="625"/>
    </row>
    <row r="273" spans="1:32" s="620" customFormat="1" ht="18" customHeight="1" thickBot="1" x14ac:dyDescent="0.25">
      <c r="A273" s="758" t="s">
        <v>2846</v>
      </c>
      <c r="B273" s="508">
        <f t="shared" si="16"/>
        <v>206</v>
      </c>
      <c r="C273" s="1102">
        <f>NOMINA!C249</f>
        <v>20428039</v>
      </c>
      <c r="D273" s="1103" t="str">
        <f>NOMINA!D249</f>
        <v>Manzanilla Juan Roberto Antonio</v>
      </c>
      <c r="E273" s="1468" t="s">
        <v>4622</v>
      </c>
      <c r="F273" s="1110">
        <v>32351</v>
      </c>
      <c r="G273" s="1468" t="s">
        <v>4620</v>
      </c>
      <c r="H273" s="1442">
        <f>NOMINA!H249</f>
        <v>45566</v>
      </c>
      <c r="I273" s="1105">
        <f>NOMINA!I249</f>
        <v>0</v>
      </c>
      <c r="J273" s="1106">
        <f>NOMINA!J249</f>
        <v>4</v>
      </c>
      <c r="K273" s="1105">
        <f t="shared" si="15"/>
        <v>4</v>
      </c>
      <c r="L273" s="1106" t="s">
        <v>4932</v>
      </c>
      <c r="M273" s="1106"/>
      <c r="N273" s="1443" t="str">
        <f>NOMINA!O249</f>
        <v>Guia de Centro I</v>
      </c>
      <c r="O273" s="1106">
        <v>1.02087691000006E+18</v>
      </c>
      <c r="P273" s="1107">
        <f>NOMINA!W249</f>
        <v>65</v>
      </c>
      <c r="Q273" s="1108">
        <f>NOMINA!AG249</f>
        <v>2.6</v>
      </c>
      <c r="R273" s="1108">
        <f>NOMINA!AI249</f>
        <v>65</v>
      </c>
      <c r="S273" s="1108">
        <f>NOMINA!AK249</f>
        <v>0</v>
      </c>
      <c r="T273" s="1108">
        <f>+NOMINA!AO249</f>
        <v>25</v>
      </c>
      <c r="U273" s="1108">
        <f>+NOMINA!AQ249</f>
        <v>0</v>
      </c>
      <c r="V273" s="1108">
        <f>+NOMINA!AR249</f>
        <v>0</v>
      </c>
      <c r="W273" s="1108">
        <f>+NOMINA!AS249</f>
        <v>0</v>
      </c>
      <c r="X273" s="1108">
        <f>ROUND(NOMINA!AW249,2)</f>
        <v>87.06</v>
      </c>
      <c r="Y273" s="1108">
        <f>ROUND(NOMINA!AX249,2)</f>
        <v>0</v>
      </c>
      <c r="Z273" s="1108">
        <f>ROUND(NOMINA!BB249,2)+ROUND(NOMINA!BF249,2)</f>
        <v>56.59</v>
      </c>
      <c r="AA273" s="1108">
        <f>ROUND(NOMINA!BK249,2)*0</f>
        <v>0</v>
      </c>
      <c r="AB273" s="1108">
        <f>+NOMINA!BJ249</f>
        <v>12.5</v>
      </c>
      <c r="AC273" s="1108">
        <f>ROUND(NOMINA!BG249,2)</f>
        <v>320</v>
      </c>
      <c r="AD273" s="1711">
        <f t="shared" si="14"/>
        <v>633.75</v>
      </c>
      <c r="AF273" s="625"/>
    </row>
    <row r="274" spans="1:32" s="620" customFormat="1" ht="18" customHeight="1" thickBot="1" x14ac:dyDescent="0.25">
      <c r="A274" s="758" t="s">
        <v>2846</v>
      </c>
      <c r="B274" s="508">
        <f t="shared" si="16"/>
        <v>207</v>
      </c>
      <c r="C274" s="1102">
        <f>NOMINA!C250</f>
        <v>20603227</v>
      </c>
      <c r="D274" s="1103" t="str">
        <f>NOMINA!D250</f>
        <v>Morillo Garces Yeniree Lourdes</v>
      </c>
      <c r="E274" s="1468" t="s">
        <v>4622</v>
      </c>
      <c r="F274" s="1110">
        <v>32351</v>
      </c>
      <c r="G274" s="1468" t="s">
        <v>4620</v>
      </c>
      <c r="H274" s="1442">
        <f>NOMINA!H250</f>
        <v>44470</v>
      </c>
      <c r="I274" s="1105">
        <f>NOMINA!I250</f>
        <v>3</v>
      </c>
      <c r="J274" s="1106">
        <f>NOMINA!J250</f>
        <v>0</v>
      </c>
      <c r="K274" s="1105">
        <f t="shared" si="15"/>
        <v>3</v>
      </c>
      <c r="L274" s="1106" t="s">
        <v>4932</v>
      </c>
      <c r="M274" s="1106"/>
      <c r="N274" s="1443" t="str">
        <f>NOMINA!O250</f>
        <v>Tecnico Superior en Trabajo Social II</v>
      </c>
      <c r="O274" s="1106">
        <v>1.02087691000006E+18</v>
      </c>
      <c r="P274" s="1107">
        <f>NOMINA!W250</f>
        <v>109.5</v>
      </c>
      <c r="Q274" s="1108">
        <f>NOMINA!AG250</f>
        <v>3.28</v>
      </c>
      <c r="R274" s="1108">
        <f>NOMINA!AI250</f>
        <v>65</v>
      </c>
      <c r="S274" s="1108">
        <f>NOMINA!AK250</f>
        <v>38.049999999999997</v>
      </c>
      <c r="T274" s="1108">
        <f>+NOMINA!AO250</f>
        <v>25</v>
      </c>
      <c r="U274" s="1108">
        <f>+NOMINA!AQ250</f>
        <v>0</v>
      </c>
      <c r="V274" s="1108">
        <f>+NOMINA!AR250</f>
        <v>0</v>
      </c>
      <c r="W274" s="1108">
        <f>+NOMINA!AS250</f>
        <v>0</v>
      </c>
      <c r="X274" s="1108">
        <f>ROUND(NOMINA!AW250,2)</f>
        <v>0</v>
      </c>
      <c r="Y274" s="1108">
        <f>ROUND(NOMINA!AX250,2)</f>
        <v>0</v>
      </c>
      <c r="Z274" s="1108">
        <f>ROUND(NOMINA!BB250,2)+ROUND(NOMINA!BF250,2)</f>
        <v>0</v>
      </c>
      <c r="AA274" s="1108">
        <f>ROUND(NOMINA!BK250,2)*0</f>
        <v>0</v>
      </c>
      <c r="AB274" s="1108">
        <f>+NOMINA!BJ250</f>
        <v>12.5</v>
      </c>
      <c r="AC274" s="1108">
        <f>ROUND(NOMINA!BG250,2)</f>
        <v>320</v>
      </c>
      <c r="AD274" s="1711">
        <f t="shared" si="14"/>
        <v>573.32999999999993</v>
      </c>
      <c r="AF274" s="625"/>
    </row>
    <row r="275" spans="1:32" s="620" customFormat="1" ht="18" customHeight="1" thickBot="1" x14ac:dyDescent="0.25">
      <c r="A275" s="758" t="s">
        <v>2846</v>
      </c>
      <c r="B275" s="508">
        <f t="shared" si="16"/>
        <v>208</v>
      </c>
      <c r="C275" s="1102">
        <f>NOMINA!C251</f>
        <v>20707490</v>
      </c>
      <c r="D275" s="1103" t="str">
        <f>NOMINA!D251</f>
        <v>Saavedra Valera Keila Andreina</v>
      </c>
      <c r="E275" s="1468" t="s">
        <v>4622</v>
      </c>
      <c r="F275" s="1110">
        <v>32351</v>
      </c>
      <c r="G275" s="1468" t="s">
        <v>4620</v>
      </c>
      <c r="H275" s="1442">
        <f>NOMINA!H251</f>
        <v>42751</v>
      </c>
      <c r="I275" s="1105">
        <f>NOMINA!I251</f>
        <v>8</v>
      </c>
      <c r="J275" s="1106">
        <f>NOMINA!J251</f>
        <v>0</v>
      </c>
      <c r="K275" s="1105">
        <f t="shared" si="15"/>
        <v>8</v>
      </c>
      <c r="L275" s="1106" t="s">
        <v>4932</v>
      </c>
      <c r="M275" s="1106"/>
      <c r="N275" s="1443" t="str">
        <f>NOMINA!O251</f>
        <v>Tutor Facilitador III</v>
      </c>
      <c r="O275" s="1106">
        <v>1.02087691000006E+18</v>
      </c>
      <c r="P275" s="1107">
        <f>NOMINA!W251</f>
        <v>139.5</v>
      </c>
      <c r="Q275" s="1108">
        <f>NOMINA!AG251</f>
        <v>11.99</v>
      </c>
      <c r="R275" s="1108">
        <f>NOMINA!AI251</f>
        <v>65</v>
      </c>
      <c r="S275" s="1108">
        <f>NOMINA!AK251</f>
        <v>0</v>
      </c>
      <c r="T275" s="1108">
        <f>+NOMINA!AO251</f>
        <v>0</v>
      </c>
      <c r="U275" s="1108">
        <f>+NOMINA!AQ251</f>
        <v>0</v>
      </c>
      <c r="V275" s="1108">
        <f>+NOMINA!AR251</f>
        <v>0</v>
      </c>
      <c r="W275" s="1108">
        <f>+NOMINA!AS251</f>
        <v>0</v>
      </c>
      <c r="X275" s="1108">
        <f>ROUND(NOMINA!AW251,2)</f>
        <v>0</v>
      </c>
      <c r="Y275" s="1108">
        <f>ROUND(NOMINA!AX251,2)</f>
        <v>0</v>
      </c>
      <c r="Z275" s="1108">
        <f>ROUND(NOMINA!BB251,2)+ROUND(NOMINA!BF251,2)</f>
        <v>0</v>
      </c>
      <c r="AA275" s="1108">
        <f>ROUND(NOMINA!BK251,2)*0</f>
        <v>0</v>
      </c>
      <c r="AB275" s="1108">
        <f>+NOMINA!BJ251</f>
        <v>12.5</v>
      </c>
      <c r="AC275" s="1108">
        <f>ROUND(NOMINA!BG251,2)</f>
        <v>320</v>
      </c>
      <c r="AD275" s="1711">
        <f t="shared" si="14"/>
        <v>548.99</v>
      </c>
      <c r="AF275" s="625"/>
    </row>
    <row r="276" spans="1:32" s="620" customFormat="1" ht="18" customHeight="1" thickBot="1" x14ac:dyDescent="0.25">
      <c r="A276" s="758" t="s">
        <v>2846</v>
      </c>
      <c r="B276" s="508">
        <f t="shared" si="16"/>
        <v>209</v>
      </c>
      <c r="C276" s="1102">
        <f>NOMINA!C252</f>
        <v>20789286</v>
      </c>
      <c r="D276" s="1103" t="str">
        <f>NOMINA!D252</f>
        <v>Viloria Jessica del Carmen</v>
      </c>
      <c r="E276" s="1468" t="s">
        <v>4622</v>
      </c>
      <c r="F276" s="1110">
        <v>32351</v>
      </c>
      <c r="G276" s="1468" t="s">
        <v>4620</v>
      </c>
      <c r="H276" s="1442">
        <f>NOMINA!H252</f>
        <v>44713</v>
      </c>
      <c r="I276" s="1105">
        <f>NOMINA!I252</f>
        <v>3</v>
      </c>
      <c r="J276" s="1106">
        <f>NOMINA!J252</f>
        <v>0</v>
      </c>
      <c r="K276" s="1105">
        <f t="shared" si="15"/>
        <v>3</v>
      </c>
      <c r="L276" s="1106" t="s">
        <v>4932</v>
      </c>
      <c r="M276" s="1106"/>
      <c r="N276" s="1443" t="str">
        <f>NOMINA!O252</f>
        <v>Asistente Administrativo IV</v>
      </c>
      <c r="O276" s="1106">
        <v>1.02087691000006E+18</v>
      </c>
      <c r="P276" s="1107">
        <f>NOMINA!W252</f>
        <v>138.5</v>
      </c>
      <c r="Q276" s="1108">
        <f>NOMINA!AG252</f>
        <v>4.1500000000000004</v>
      </c>
      <c r="R276" s="1108">
        <f>NOMINA!AI252</f>
        <v>65</v>
      </c>
      <c r="S276" s="1108">
        <f>NOMINA!AK252</f>
        <v>53.47</v>
      </c>
      <c r="T276" s="1108">
        <f>+NOMINA!AO252</f>
        <v>0</v>
      </c>
      <c r="U276" s="1108">
        <f>+NOMINA!AQ252</f>
        <v>0</v>
      </c>
      <c r="V276" s="1108">
        <f>+NOMINA!AR252</f>
        <v>0</v>
      </c>
      <c r="W276" s="1108">
        <f>+NOMINA!AS252</f>
        <v>0</v>
      </c>
      <c r="X276" s="1108">
        <f>ROUND(NOMINA!AW252,2)</f>
        <v>0</v>
      </c>
      <c r="Y276" s="1108">
        <f>ROUND(NOMINA!AX252,2)</f>
        <v>0</v>
      </c>
      <c r="Z276" s="1108">
        <f>ROUND(NOMINA!BB252,2)+ROUND(NOMINA!BF252,2)</f>
        <v>0</v>
      </c>
      <c r="AA276" s="1108">
        <f>ROUND(NOMINA!BK252,2)*0</f>
        <v>0</v>
      </c>
      <c r="AB276" s="1108">
        <f>+NOMINA!BJ252</f>
        <v>12.5</v>
      </c>
      <c r="AC276" s="1108">
        <f>ROUND(NOMINA!BG252,2)</f>
        <v>320</v>
      </c>
      <c r="AD276" s="1711">
        <f t="shared" si="14"/>
        <v>593.62</v>
      </c>
      <c r="AF276" s="625"/>
    </row>
    <row r="277" spans="1:32" s="620" customFormat="1" ht="18" customHeight="1" thickBot="1" x14ac:dyDescent="0.25">
      <c r="A277" s="758" t="s">
        <v>2846</v>
      </c>
      <c r="B277" s="508">
        <f t="shared" si="16"/>
        <v>210</v>
      </c>
      <c r="C277" s="1102">
        <f>NOMINA!C253</f>
        <v>20790947</v>
      </c>
      <c r="D277" s="1103" t="str">
        <f>NOMINA!D253</f>
        <v>Urbina Cuellar Tannessy Lenery</v>
      </c>
      <c r="E277" s="1468" t="s">
        <v>4622</v>
      </c>
      <c r="F277" s="1110">
        <v>32351</v>
      </c>
      <c r="G277" s="1468" t="s">
        <v>4620</v>
      </c>
      <c r="H277" s="1442">
        <f>NOMINA!H253</f>
        <v>43967</v>
      </c>
      <c r="I277" s="1105">
        <f>NOMINA!I253</f>
        <v>5</v>
      </c>
      <c r="J277" s="1106">
        <f>NOMINA!J253</f>
        <v>0</v>
      </c>
      <c r="K277" s="1105">
        <f t="shared" si="15"/>
        <v>5</v>
      </c>
      <c r="L277" s="1106" t="s">
        <v>4932</v>
      </c>
      <c r="M277" s="1106"/>
      <c r="N277" s="1443" t="str">
        <f>NOMINA!O253</f>
        <v>Asistente Administrativo IV</v>
      </c>
      <c r="O277" s="1106">
        <v>1.02087691000006E+18</v>
      </c>
      <c r="P277" s="1107">
        <f>NOMINA!W253</f>
        <v>0</v>
      </c>
      <c r="Q277" s="1108">
        <f>NOMINA!AG253</f>
        <v>0</v>
      </c>
      <c r="R277" s="1108">
        <f>NOMINA!AI253</f>
        <v>0</v>
      </c>
      <c r="S277" s="1108">
        <f>NOMINA!AK253</f>
        <v>0</v>
      </c>
      <c r="T277" s="1108">
        <f>+NOMINA!AO253</f>
        <v>0</v>
      </c>
      <c r="U277" s="1108">
        <f>+NOMINA!AQ253</f>
        <v>0</v>
      </c>
      <c r="V277" s="1108">
        <f>+NOMINA!AR253</f>
        <v>0</v>
      </c>
      <c r="W277" s="1108">
        <f>+NOMINA!AS253</f>
        <v>0</v>
      </c>
      <c r="X277" s="1108">
        <f>ROUND(NOMINA!AW253,2)</f>
        <v>0</v>
      </c>
      <c r="Y277" s="1108">
        <f>ROUND(NOMINA!AX253,2)</f>
        <v>0</v>
      </c>
      <c r="Z277" s="1108">
        <f>ROUND(NOMINA!BB253,2)+ROUND(NOMINA!BF253,2)</f>
        <v>0</v>
      </c>
      <c r="AA277" s="1108">
        <f>ROUND(NOMINA!BK253,2)*0</f>
        <v>0</v>
      </c>
      <c r="AB277" s="1108">
        <f>+NOMINA!BJ253</f>
        <v>0</v>
      </c>
      <c r="AC277" s="1108">
        <f>ROUND(NOMINA!BG253,2)</f>
        <v>0</v>
      </c>
      <c r="AD277" s="1711">
        <f t="shared" si="14"/>
        <v>0</v>
      </c>
      <c r="AF277" s="625"/>
    </row>
    <row r="278" spans="1:32" s="620" customFormat="1" ht="18" customHeight="1" thickBot="1" x14ac:dyDescent="0.25">
      <c r="A278" s="758" t="s">
        <v>2846</v>
      </c>
      <c r="B278" s="508">
        <f t="shared" si="16"/>
        <v>211</v>
      </c>
      <c r="C278" s="1102">
        <f>NOMINA!C254</f>
        <v>21061126</v>
      </c>
      <c r="D278" s="1103" t="str">
        <f>NOMINA!D254</f>
        <v>Olivar Nava Robinson de Jesus</v>
      </c>
      <c r="E278" s="1468" t="s">
        <v>4622</v>
      </c>
      <c r="F278" s="1110">
        <v>32351</v>
      </c>
      <c r="G278" s="1468" t="s">
        <v>4620</v>
      </c>
      <c r="H278" s="1442">
        <f>NOMINA!H254</f>
        <v>45047</v>
      </c>
      <c r="I278" s="1105">
        <f>NOMINA!I254</f>
        <v>2</v>
      </c>
      <c r="J278" s="1106">
        <f>NOMINA!J254</f>
        <v>0</v>
      </c>
      <c r="K278" s="1105">
        <f t="shared" si="15"/>
        <v>2</v>
      </c>
      <c r="L278" s="1106" t="s">
        <v>4932</v>
      </c>
      <c r="M278" s="1106"/>
      <c r="N278" s="1443" t="str">
        <f>NOMINA!O254</f>
        <v>Guia de Centro I</v>
      </c>
      <c r="O278" s="1106">
        <v>1.02087691000006E+18</v>
      </c>
      <c r="P278" s="1107">
        <f>NOMINA!W254</f>
        <v>96</v>
      </c>
      <c r="Q278" s="1108">
        <f>NOMINA!AG254</f>
        <v>1.92</v>
      </c>
      <c r="R278" s="1108">
        <f>NOMINA!AI254</f>
        <v>65</v>
      </c>
      <c r="S278" s="1108">
        <f>NOMINA!AK254</f>
        <v>40.729999999999997</v>
      </c>
      <c r="T278" s="1108">
        <f>+NOMINA!AO254</f>
        <v>0</v>
      </c>
      <c r="U278" s="1108">
        <f>+NOMINA!AQ254</f>
        <v>0</v>
      </c>
      <c r="V278" s="1108">
        <f>+NOMINA!AR254</f>
        <v>0</v>
      </c>
      <c r="W278" s="1108">
        <f>+NOMINA!AS254</f>
        <v>0</v>
      </c>
      <c r="X278" s="1108">
        <f>ROUND(NOMINA!AW254,2)</f>
        <v>122.19</v>
      </c>
      <c r="Y278" s="1108">
        <f>ROUND(NOMINA!AX254,2)</f>
        <v>0</v>
      </c>
      <c r="Z278" s="1108">
        <f>ROUND(NOMINA!BB254,2)+ROUND(NOMINA!BF254,2)</f>
        <v>79.42</v>
      </c>
      <c r="AA278" s="1108">
        <f>ROUND(NOMINA!BK254,2)*0</f>
        <v>0</v>
      </c>
      <c r="AB278" s="1108">
        <f>+NOMINA!BJ254</f>
        <v>12.5</v>
      </c>
      <c r="AC278" s="1108">
        <f>ROUND(NOMINA!BG254,2)</f>
        <v>320</v>
      </c>
      <c r="AD278" s="1711">
        <f t="shared" si="14"/>
        <v>737.76</v>
      </c>
      <c r="AF278" s="625"/>
    </row>
    <row r="279" spans="1:32" s="620" customFormat="1" ht="18" customHeight="1" thickBot="1" x14ac:dyDescent="0.25">
      <c r="A279" s="758" t="s">
        <v>2846</v>
      </c>
      <c r="B279" s="508">
        <f t="shared" si="16"/>
        <v>212</v>
      </c>
      <c r="C279" s="1102">
        <f>NOMINA!C255</f>
        <v>21061789</v>
      </c>
      <c r="D279" s="1103" t="str">
        <f>NOMINA!D255</f>
        <v>Suarez Briceño Daiver Jose</v>
      </c>
      <c r="E279" s="1468" t="s">
        <v>4622</v>
      </c>
      <c r="F279" s="1110">
        <v>32351</v>
      </c>
      <c r="G279" s="1468" t="s">
        <v>4620</v>
      </c>
      <c r="H279" s="1442">
        <f>NOMINA!H255</f>
        <v>44713</v>
      </c>
      <c r="I279" s="1105">
        <f>NOMINA!I255</f>
        <v>3</v>
      </c>
      <c r="J279" s="1106">
        <f>NOMINA!J255</f>
        <v>0</v>
      </c>
      <c r="K279" s="1105">
        <f t="shared" si="15"/>
        <v>3</v>
      </c>
      <c r="L279" s="1106" t="s">
        <v>4932</v>
      </c>
      <c r="M279" s="1106"/>
      <c r="N279" s="1443" t="str">
        <f>NOMINA!O255</f>
        <v>Abogado I</v>
      </c>
      <c r="O279" s="1106">
        <v>1.02087691000006E+18</v>
      </c>
      <c r="P279" s="1107">
        <f>NOMINA!W255</f>
        <v>138.5</v>
      </c>
      <c r="Q279" s="1108">
        <f>NOMINA!AG255</f>
        <v>4.1500000000000004</v>
      </c>
      <c r="R279" s="1108">
        <f>NOMINA!AI255</f>
        <v>65</v>
      </c>
      <c r="S279" s="1108">
        <f>NOMINA!AK255</f>
        <v>51.91</v>
      </c>
      <c r="T279" s="1108">
        <f>+NOMINA!AO255</f>
        <v>0</v>
      </c>
      <c r="U279" s="1108">
        <f>+NOMINA!AQ255</f>
        <v>0</v>
      </c>
      <c r="V279" s="1108">
        <f>+NOMINA!AR255</f>
        <v>0</v>
      </c>
      <c r="W279" s="1108">
        <f>+NOMINA!AS255</f>
        <v>0</v>
      </c>
      <c r="X279" s="1108">
        <f>ROUND(NOMINA!AW255,2)</f>
        <v>0</v>
      </c>
      <c r="Y279" s="1108">
        <f>ROUND(NOMINA!AX255,2)</f>
        <v>0</v>
      </c>
      <c r="Z279" s="1108">
        <f>ROUND(NOMINA!BB255,2)+ROUND(NOMINA!BF255,2)</f>
        <v>0</v>
      </c>
      <c r="AA279" s="1108">
        <f>ROUND(NOMINA!BK255,2)*0</f>
        <v>0</v>
      </c>
      <c r="AB279" s="1108">
        <f>+NOMINA!BJ255</f>
        <v>12.5</v>
      </c>
      <c r="AC279" s="1108">
        <f>ROUND(NOMINA!BG255,2)</f>
        <v>320</v>
      </c>
      <c r="AD279" s="1711">
        <f t="shared" si="14"/>
        <v>592.05999999999995</v>
      </c>
      <c r="AF279" s="625"/>
    </row>
    <row r="280" spans="1:32" s="620" customFormat="1" ht="18" customHeight="1" thickBot="1" x14ac:dyDescent="0.25">
      <c r="A280" s="758" t="s">
        <v>2846</v>
      </c>
      <c r="B280" s="508">
        <f t="shared" si="16"/>
        <v>213</v>
      </c>
      <c r="C280" s="1102">
        <f>NOMINA!C256</f>
        <v>21365212</v>
      </c>
      <c r="D280" s="1103" t="str">
        <f>NOMINA!D256</f>
        <v>Manzanilla Gonzalez Landkler Josue</v>
      </c>
      <c r="E280" s="1468" t="s">
        <v>4622</v>
      </c>
      <c r="F280" s="1110">
        <v>32351</v>
      </c>
      <c r="G280" s="1468" t="s">
        <v>4620</v>
      </c>
      <c r="H280" s="1442">
        <f>NOMINA!H256</f>
        <v>44317</v>
      </c>
      <c r="I280" s="1105">
        <f>NOMINA!I256</f>
        <v>4</v>
      </c>
      <c r="J280" s="1106">
        <f>NOMINA!J256</f>
        <v>0</v>
      </c>
      <c r="K280" s="1105">
        <f t="shared" si="15"/>
        <v>4</v>
      </c>
      <c r="L280" s="1106" t="s">
        <v>4932</v>
      </c>
      <c r="M280" s="1106"/>
      <c r="N280" s="1443" t="str">
        <f>NOMINA!O256</f>
        <v>Asistente Administrativo II</v>
      </c>
      <c r="O280" s="1106">
        <v>1.02087691000006E+18</v>
      </c>
      <c r="P280" s="1107">
        <f>NOMINA!W256</f>
        <v>75</v>
      </c>
      <c r="Q280" s="1108">
        <f>NOMINA!AG256</f>
        <v>3</v>
      </c>
      <c r="R280" s="1108">
        <f>NOMINA!AI256</f>
        <v>65</v>
      </c>
      <c r="S280" s="1108">
        <f>NOMINA!AK256</f>
        <v>0</v>
      </c>
      <c r="T280" s="1108">
        <f>+NOMINA!AO256</f>
        <v>0</v>
      </c>
      <c r="U280" s="1108">
        <f>+NOMINA!AQ256</f>
        <v>0</v>
      </c>
      <c r="V280" s="1108">
        <f>+NOMINA!AR256</f>
        <v>0</v>
      </c>
      <c r="W280" s="1108">
        <f>+NOMINA!AS256</f>
        <v>0</v>
      </c>
      <c r="X280" s="1108">
        <f>ROUND(NOMINA!AW256,2)</f>
        <v>0</v>
      </c>
      <c r="Y280" s="1108">
        <f>ROUND(NOMINA!AX256,2)</f>
        <v>0</v>
      </c>
      <c r="Z280" s="1108">
        <f>ROUND(NOMINA!BB256,2)+ROUND(NOMINA!BF256,2)</f>
        <v>0</v>
      </c>
      <c r="AA280" s="1108">
        <f>ROUND(NOMINA!BK256,2)*0</f>
        <v>0</v>
      </c>
      <c r="AB280" s="1108">
        <f>+NOMINA!BJ256</f>
        <v>12.5</v>
      </c>
      <c r="AC280" s="1108">
        <f>ROUND(NOMINA!BG256,2)</f>
        <v>320</v>
      </c>
      <c r="AD280" s="1711">
        <f t="shared" si="14"/>
        <v>475.5</v>
      </c>
      <c r="AF280" s="625"/>
    </row>
    <row r="281" spans="1:32" s="620" customFormat="1" ht="18" customHeight="1" thickBot="1" x14ac:dyDescent="0.25">
      <c r="A281" s="758" t="s">
        <v>2846</v>
      </c>
      <c r="B281" s="508">
        <f t="shared" si="16"/>
        <v>214</v>
      </c>
      <c r="C281" s="1102">
        <f>NOMINA!C257</f>
        <v>21592108</v>
      </c>
      <c r="D281" s="1103" t="str">
        <f>NOMINA!D257</f>
        <v>Coy Andara Darlin Gabriela</v>
      </c>
      <c r="E281" s="1468" t="s">
        <v>4622</v>
      </c>
      <c r="F281" s="1110">
        <v>32351</v>
      </c>
      <c r="G281" s="1468" t="s">
        <v>4620</v>
      </c>
      <c r="H281" s="1442">
        <f>NOMINA!H257</f>
        <v>43024</v>
      </c>
      <c r="I281" s="1105">
        <f>NOMINA!I257</f>
        <v>7</v>
      </c>
      <c r="J281" s="1106">
        <f>NOMINA!J257</f>
        <v>0</v>
      </c>
      <c r="K281" s="1105">
        <f t="shared" si="15"/>
        <v>7</v>
      </c>
      <c r="L281" s="1106" t="s">
        <v>4932</v>
      </c>
      <c r="M281" s="1106"/>
      <c r="N281" s="1443" t="str">
        <f>NOMINA!O257</f>
        <v>PLANIFICADOR I</v>
      </c>
      <c r="O281" s="1106">
        <v>1.02087691000006E+18</v>
      </c>
      <c r="P281" s="1107">
        <f>NOMINA!W257</f>
        <v>0</v>
      </c>
      <c r="Q281" s="1108">
        <f>NOMINA!AG257</f>
        <v>0</v>
      </c>
      <c r="R281" s="1108">
        <f>NOMINA!AI257</f>
        <v>0</v>
      </c>
      <c r="S281" s="1108">
        <f>NOMINA!AK257</f>
        <v>0</v>
      </c>
      <c r="T281" s="1108">
        <f>+NOMINA!AO257</f>
        <v>0</v>
      </c>
      <c r="U281" s="1108">
        <f>+NOMINA!AQ257</f>
        <v>0</v>
      </c>
      <c r="V281" s="1108">
        <f>+NOMINA!AR257</f>
        <v>0</v>
      </c>
      <c r="W281" s="1108">
        <f>+NOMINA!AS257</f>
        <v>0</v>
      </c>
      <c r="X281" s="1108">
        <f>ROUND(NOMINA!AW257,2)</f>
        <v>0</v>
      </c>
      <c r="Y281" s="1108">
        <f>ROUND(NOMINA!AX257,2)</f>
        <v>0</v>
      </c>
      <c r="Z281" s="1108">
        <f>ROUND(NOMINA!BB257,2)+ROUND(NOMINA!BF257,2)</f>
        <v>0</v>
      </c>
      <c r="AA281" s="1108">
        <f>ROUND(NOMINA!BK257,2)*0</f>
        <v>0</v>
      </c>
      <c r="AB281" s="1108">
        <f>+NOMINA!BJ257</f>
        <v>0</v>
      </c>
      <c r="AC281" s="1108">
        <f>ROUND(NOMINA!BG257,2)</f>
        <v>0</v>
      </c>
      <c r="AD281" s="1711">
        <f t="shared" si="14"/>
        <v>0</v>
      </c>
      <c r="AF281" s="625"/>
    </row>
    <row r="282" spans="1:32" s="620" customFormat="1" ht="18" customHeight="1" thickBot="1" x14ac:dyDescent="0.25">
      <c r="A282" s="758" t="s">
        <v>2846</v>
      </c>
      <c r="B282" s="508">
        <f t="shared" si="16"/>
        <v>215</v>
      </c>
      <c r="C282" s="1102">
        <f>NOMINA!C258</f>
        <v>22622493</v>
      </c>
      <c r="D282" s="1103" t="str">
        <f>NOMINA!D258</f>
        <v>Barrios Olivar Geraldine Katiusca</v>
      </c>
      <c r="E282" s="1468" t="s">
        <v>4622</v>
      </c>
      <c r="F282" s="1110">
        <v>32351</v>
      </c>
      <c r="G282" s="1468" t="s">
        <v>4620</v>
      </c>
      <c r="H282" s="1442">
        <f>NOMINA!H258</f>
        <v>44363</v>
      </c>
      <c r="I282" s="1105">
        <f>NOMINA!I258</f>
        <v>4</v>
      </c>
      <c r="J282" s="1106">
        <f>NOMINA!J258</f>
        <v>0</v>
      </c>
      <c r="K282" s="1105">
        <f t="shared" si="15"/>
        <v>4</v>
      </c>
      <c r="L282" s="1106" t="s">
        <v>4932</v>
      </c>
      <c r="M282" s="1106"/>
      <c r="N282" s="1443" t="str">
        <f>NOMINA!O258</f>
        <v>Guia de Centro I</v>
      </c>
      <c r="O282" s="1106">
        <v>1.02087691000006E+18</v>
      </c>
      <c r="P282" s="1107">
        <f>NOMINA!W258</f>
        <v>75</v>
      </c>
      <c r="Q282" s="1108">
        <f>NOMINA!AG258</f>
        <v>3</v>
      </c>
      <c r="R282" s="1108">
        <f>NOMINA!AI258</f>
        <v>65</v>
      </c>
      <c r="S282" s="1108">
        <f>NOMINA!AK258</f>
        <v>0</v>
      </c>
      <c r="T282" s="1108">
        <f>+NOMINA!AO258</f>
        <v>25</v>
      </c>
      <c r="U282" s="1108">
        <f>+NOMINA!AQ258</f>
        <v>0</v>
      </c>
      <c r="V282" s="1108">
        <f>+NOMINA!AR258</f>
        <v>0</v>
      </c>
      <c r="W282" s="1108">
        <f>+NOMINA!AS258</f>
        <v>0</v>
      </c>
      <c r="X282" s="1108">
        <f>ROUND(NOMINA!AW258,2)</f>
        <v>93.3</v>
      </c>
      <c r="Y282" s="1108">
        <f>ROUND(NOMINA!AX258,2)</f>
        <v>0</v>
      </c>
      <c r="Z282" s="1108">
        <f>ROUND(NOMINA!BB258,2)+ROUND(NOMINA!BF258,2)</f>
        <v>60.65</v>
      </c>
      <c r="AA282" s="1108">
        <f>ROUND(NOMINA!BK258,2)*0</f>
        <v>0</v>
      </c>
      <c r="AB282" s="1108">
        <f>+NOMINA!BJ258</f>
        <v>12.5</v>
      </c>
      <c r="AC282" s="1108">
        <f>ROUND(NOMINA!BG258,2)</f>
        <v>320</v>
      </c>
      <c r="AD282" s="1711">
        <f t="shared" si="14"/>
        <v>654.45000000000005</v>
      </c>
      <c r="AF282" s="625"/>
    </row>
    <row r="283" spans="1:32" s="620" customFormat="1" ht="18" customHeight="1" thickBot="1" x14ac:dyDescent="0.25">
      <c r="A283" s="758" t="s">
        <v>2846</v>
      </c>
      <c r="B283" s="508">
        <f t="shared" si="16"/>
        <v>216</v>
      </c>
      <c r="C283" s="1102">
        <f>NOMINA!C259</f>
        <v>22892886</v>
      </c>
      <c r="D283" s="1103" t="str">
        <f>NOMINA!D259</f>
        <v>Rivas Gonzalez Eddy Carolina</v>
      </c>
      <c r="E283" s="1468" t="s">
        <v>4622</v>
      </c>
      <c r="F283" s="1110">
        <v>32351</v>
      </c>
      <c r="G283" s="1468" t="s">
        <v>4620</v>
      </c>
      <c r="H283" s="1442">
        <f>NOMINA!H259</f>
        <v>45748</v>
      </c>
      <c r="I283" s="1105">
        <f>NOMINA!I259</f>
        <v>0</v>
      </c>
      <c r="J283" s="1106">
        <f>NOMINA!J259</f>
        <v>0</v>
      </c>
      <c r="K283" s="1105">
        <f t="shared" si="15"/>
        <v>0</v>
      </c>
      <c r="L283" s="1106" t="s">
        <v>4932</v>
      </c>
      <c r="M283" s="1106"/>
      <c r="N283" s="1443" t="str">
        <f>NOMINA!O259</f>
        <v>Guia de Centro I</v>
      </c>
      <c r="O283" s="1106">
        <v>1.02087691000006E+18</v>
      </c>
      <c r="P283" s="1107">
        <f>NOMINA!W259</f>
        <v>65</v>
      </c>
      <c r="Q283" s="1108">
        <f>NOMINA!AG259</f>
        <v>0</v>
      </c>
      <c r="R283" s="1108">
        <f>NOMINA!AI259</f>
        <v>65</v>
      </c>
      <c r="S283" s="1108">
        <f>NOMINA!AK259</f>
        <v>0</v>
      </c>
      <c r="T283" s="1108">
        <f>+NOMINA!AO259</f>
        <v>0</v>
      </c>
      <c r="U283" s="1108">
        <f>+NOMINA!AQ259</f>
        <v>0</v>
      </c>
      <c r="V283" s="1108">
        <f>+NOMINA!AR259</f>
        <v>0</v>
      </c>
      <c r="W283" s="1108">
        <f>+NOMINA!AS259</f>
        <v>0</v>
      </c>
      <c r="X283" s="1108">
        <f>ROUND(NOMINA!AW259,2)</f>
        <v>78</v>
      </c>
      <c r="Y283" s="1108">
        <f>ROUND(NOMINA!AX259,2)</f>
        <v>0</v>
      </c>
      <c r="Z283" s="1108">
        <f>ROUND(NOMINA!BB259,2)+ROUND(NOMINA!BF259,2)</f>
        <v>50.7</v>
      </c>
      <c r="AA283" s="1108">
        <f>ROUND(NOMINA!BK259,2)*0</f>
        <v>0</v>
      </c>
      <c r="AB283" s="1108">
        <f>+NOMINA!BJ259</f>
        <v>12.5</v>
      </c>
      <c r="AC283" s="1108">
        <f>ROUND(NOMINA!BG259,2)</f>
        <v>320</v>
      </c>
      <c r="AD283" s="1711">
        <f t="shared" si="14"/>
        <v>591.20000000000005</v>
      </c>
      <c r="AF283" s="625"/>
    </row>
    <row r="284" spans="1:32" s="620" customFormat="1" ht="18" customHeight="1" thickBot="1" x14ac:dyDescent="0.25">
      <c r="A284" s="758" t="s">
        <v>2846</v>
      </c>
      <c r="B284" s="508">
        <f t="shared" si="16"/>
        <v>217</v>
      </c>
      <c r="C284" s="1102">
        <f>NOMINA!C260</f>
        <v>23254359</v>
      </c>
      <c r="D284" s="1103" t="str">
        <f>NOMINA!D260</f>
        <v>Calles Villarreal Jose Bertilio</v>
      </c>
      <c r="E284" s="1468" t="s">
        <v>4622</v>
      </c>
      <c r="F284" s="1110">
        <v>32351</v>
      </c>
      <c r="G284" s="1468" t="s">
        <v>4620</v>
      </c>
      <c r="H284" s="1442">
        <f>NOMINA!H260</f>
        <v>45748</v>
      </c>
      <c r="I284" s="1105">
        <f>NOMINA!I260</f>
        <v>0</v>
      </c>
      <c r="J284" s="1106">
        <f>NOMINA!J260</f>
        <v>0</v>
      </c>
      <c r="K284" s="1105">
        <f t="shared" si="15"/>
        <v>0</v>
      </c>
      <c r="L284" s="1106" t="s">
        <v>4932</v>
      </c>
      <c r="M284" s="1106"/>
      <c r="N284" s="1443" t="str">
        <f>NOMINA!O260</f>
        <v>Guia de Centro I</v>
      </c>
      <c r="O284" s="1106">
        <v>1.02087691000006E+18</v>
      </c>
      <c r="P284" s="1107">
        <f>NOMINA!W260</f>
        <v>65</v>
      </c>
      <c r="Q284" s="1108">
        <f>NOMINA!AG260</f>
        <v>0</v>
      </c>
      <c r="R284" s="1108">
        <f>NOMINA!AI260</f>
        <v>65</v>
      </c>
      <c r="S284" s="1108">
        <f>NOMINA!AK260</f>
        <v>0</v>
      </c>
      <c r="T284" s="1108">
        <f>+NOMINA!AO260</f>
        <v>0</v>
      </c>
      <c r="U284" s="1108">
        <f>+NOMINA!AQ260</f>
        <v>0</v>
      </c>
      <c r="V284" s="1108">
        <f>+NOMINA!AR260</f>
        <v>0</v>
      </c>
      <c r="W284" s="1108">
        <f>+NOMINA!AS260</f>
        <v>0</v>
      </c>
      <c r="X284" s="1108">
        <f>ROUND(NOMINA!AW260,2)</f>
        <v>78</v>
      </c>
      <c r="Y284" s="1108">
        <f>ROUND(NOMINA!AX260,2)</f>
        <v>0</v>
      </c>
      <c r="Z284" s="1108">
        <f>ROUND(NOMINA!BB260,2)+ROUND(NOMINA!BF260,2)</f>
        <v>50.7</v>
      </c>
      <c r="AA284" s="1108">
        <f>ROUND(NOMINA!BK260,2)*0</f>
        <v>0</v>
      </c>
      <c r="AB284" s="1108">
        <f>+NOMINA!BJ260</f>
        <v>12.5</v>
      </c>
      <c r="AC284" s="1108">
        <f>ROUND(NOMINA!BG260,2)</f>
        <v>320</v>
      </c>
      <c r="AD284" s="1711">
        <f t="shared" si="14"/>
        <v>591.20000000000005</v>
      </c>
      <c r="AF284" s="625"/>
    </row>
    <row r="285" spans="1:32" s="620" customFormat="1" ht="18" customHeight="1" thickBot="1" x14ac:dyDescent="0.25">
      <c r="A285" s="758" t="s">
        <v>2846</v>
      </c>
      <c r="B285" s="508">
        <f t="shared" si="16"/>
        <v>218</v>
      </c>
      <c r="C285" s="1102">
        <f>NOMINA!C261</f>
        <v>23782360</v>
      </c>
      <c r="D285" s="1103" t="str">
        <f>NOMINA!D261</f>
        <v>Rivera Sandoval Ilva Azucena</v>
      </c>
      <c r="E285" s="1468" t="s">
        <v>4622</v>
      </c>
      <c r="F285" s="1110">
        <v>32351</v>
      </c>
      <c r="G285" s="1468" t="s">
        <v>4620</v>
      </c>
      <c r="H285" s="1442">
        <f>NOMINA!H261</f>
        <v>39203</v>
      </c>
      <c r="I285" s="1105">
        <f>NOMINA!I261</f>
        <v>18</v>
      </c>
      <c r="J285" s="1106">
        <f>NOMINA!J261</f>
        <v>0</v>
      </c>
      <c r="K285" s="1105">
        <f t="shared" si="15"/>
        <v>18</v>
      </c>
      <c r="L285" s="1106" t="s">
        <v>4932</v>
      </c>
      <c r="M285" s="1106"/>
      <c r="N285" s="1443" t="str">
        <f>NOMINA!O261</f>
        <v>Administrador III</v>
      </c>
      <c r="O285" s="1106">
        <v>1.02087691000006E+18</v>
      </c>
      <c r="P285" s="1107">
        <f>NOMINA!W261</f>
        <v>143.5</v>
      </c>
      <c r="Q285" s="1108">
        <f>NOMINA!AG261</f>
        <v>32.72</v>
      </c>
      <c r="R285" s="1108">
        <f>NOMINA!AI261</f>
        <v>65</v>
      </c>
      <c r="S285" s="1108">
        <f>NOMINA!AK261</f>
        <v>60.3</v>
      </c>
      <c r="T285" s="1108">
        <f>+NOMINA!AO261</f>
        <v>0</v>
      </c>
      <c r="U285" s="1108">
        <f>+NOMINA!AQ261</f>
        <v>0</v>
      </c>
      <c r="V285" s="1108">
        <f>+NOMINA!AR261</f>
        <v>0</v>
      </c>
      <c r="W285" s="1108">
        <f>+NOMINA!AS261</f>
        <v>0</v>
      </c>
      <c r="X285" s="1108">
        <f>ROUND(NOMINA!AW261,2)</f>
        <v>0</v>
      </c>
      <c r="Y285" s="1108">
        <f>ROUND(NOMINA!AX261,2)</f>
        <v>0</v>
      </c>
      <c r="Z285" s="1108">
        <f>ROUND(NOMINA!BB261,2)+ROUND(NOMINA!BF261,2)</f>
        <v>0</v>
      </c>
      <c r="AA285" s="1108">
        <f>ROUND(NOMINA!BK261,2)*0</f>
        <v>0</v>
      </c>
      <c r="AB285" s="1108">
        <f>+NOMINA!BJ261</f>
        <v>12.5</v>
      </c>
      <c r="AC285" s="1108">
        <f>ROUND(NOMINA!BG261,2)</f>
        <v>320</v>
      </c>
      <c r="AD285" s="1711">
        <f t="shared" si="14"/>
        <v>634.02</v>
      </c>
      <c r="AF285" s="625"/>
    </row>
    <row r="286" spans="1:32" s="620" customFormat="1" ht="18" customHeight="1" thickBot="1" x14ac:dyDescent="0.25">
      <c r="A286" s="758" t="s">
        <v>2846</v>
      </c>
      <c r="B286" s="508">
        <f t="shared" si="16"/>
        <v>219</v>
      </c>
      <c r="C286" s="1102">
        <f>NOMINA!C262</f>
        <v>23960738</v>
      </c>
      <c r="D286" s="1103" t="str">
        <f>NOMINA!D262</f>
        <v>Molina Briceño Maria de los Angeles</v>
      </c>
      <c r="E286" s="1468" t="s">
        <v>4622</v>
      </c>
      <c r="F286" s="1110">
        <v>32351</v>
      </c>
      <c r="G286" s="1468" t="s">
        <v>4620</v>
      </c>
      <c r="H286" s="1442">
        <f>NOMINA!H262</f>
        <v>43497</v>
      </c>
      <c r="I286" s="1105">
        <f>NOMINA!I262</f>
        <v>6</v>
      </c>
      <c r="J286" s="1106">
        <f>NOMINA!J262</f>
        <v>0</v>
      </c>
      <c r="K286" s="1105">
        <f t="shared" si="15"/>
        <v>6</v>
      </c>
      <c r="L286" s="1106" t="s">
        <v>4932</v>
      </c>
      <c r="M286" s="1106"/>
      <c r="N286" s="1443" t="str">
        <f>NOMINA!O262</f>
        <v>Psicologo II</v>
      </c>
      <c r="O286" s="1106">
        <v>1.02087691000006E+18</v>
      </c>
      <c r="P286" s="1107">
        <f>NOMINA!W262</f>
        <v>139.5</v>
      </c>
      <c r="Q286" s="1108">
        <f>NOMINA!AG262</f>
        <v>8.65</v>
      </c>
      <c r="R286" s="1108">
        <f>NOMINA!AI262</f>
        <v>65</v>
      </c>
      <c r="S286" s="1108">
        <f>NOMINA!AK262</f>
        <v>53.29</v>
      </c>
      <c r="T286" s="1108">
        <f>+NOMINA!AO262</f>
        <v>0</v>
      </c>
      <c r="U286" s="1108">
        <f>+NOMINA!AQ262</f>
        <v>0</v>
      </c>
      <c r="V286" s="1108">
        <f>+NOMINA!AR262</f>
        <v>0</v>
      </c>
      <c r="W286" s="1108">
        <f>+NOMINA!AS262</f>
        <v>0</v>
      </c>
      <c r="X286" s="1108">
        <f>ROUND(NOMINA!AW262,2)</f>
        <v>0</v>
      </c>
      <c r="Y286" s="1108">
        <f>ROUND(NOMINA!AX262,2)</f>
        <v>0</v>
      </c>
      <c r="Z286" s="1108">
        <f>ROUND(NOMINA!BB262,2)+ROUND(NOMINA!BF262,2)</f>
        <v>0</v>
      </c>
      <c r="AA286" s="1108">
        <f>ROUND(NOMINA!BK262,2)*0</f>
        <v>0</v>
      </c>
      <c r="AB286" s="1108">
        <f>+NOMINA!BJ262</f>
        <v>12.5</v>
      </c>
      <c r="AC286" s="1108">
        <f>ROUND(NOMINA!BG262,2)</f>
        <v>320</v>
      </c>
      <c r="AD286" s="1711">
        <f t="shared" si="14"/>
        <v>598.94000000000005</v>
      </c>
      <c r="AF286" s="625"/>
    </row>
    <row r="287" spans="1:32" s="620" customFormat="1" ht="18" customHeight="1" thickBot="1" x14ac:dyDescent="0.25">
      <c r="A287" s="758" t="s">
        <v>2846</v>
      </c>
      <c r="B287" s="508">
        <f t="shared" si="16"/>
        <v>220</v>
      </c>
      <c r="C287" s="1102">
        <f>NOMINA!C263</f>
        <v>24135378</v>
      </c>
      <c r="D287" s="1103" t="str">
        <f>NOMINA!D263</f>
        <v>Rivas Hurtado Orleidys Betania</v>
      </c>
      <c r="E287" s="1468" t="s">
        <v>4622</v>
      </c>
      <c r="F287" s="1110">
        <v>32351</v>
      </c>
      <c r="G287" s="1468" t="s">
        <v>4620</v>
      </c>
      <c r="H287" s="1442">
        <f>NOMINA!H263</f>
        <v>43862</v>
      </c>
      <c r="I287" s="1105">
        <f>NOMINA!I263</f>
        <v>5</v>
      </c>
      <c r="J287" s="1106">
        <f>NOMINA!J263</f>
        <v>0</v>
      </c>
      <c r="K287" s="1105">
        <f t="shared" si="15"/>
        <v>5</v>
      </c>
      <c r="L287" s="1106" t="s">
        <v>4932</v>
      </c>
      <c r="M287" s="1106"/>
      <c r="N287" s="1443" t="str">
        <f>NOMINA!O263</f>
        <v>Asistente Administrativo IV</v>
      </c>
      <c r="O287" s="1106">
        <v>1.02087691000006E+18</v>
      </c>
      <c r="P287" s="1107">
        <f>NOMINA!W263</f>
        <v>138.5</v>
      </c>
      <c r="Q287" s="1108">
        <f>NOMINA!AG263</f>
        <v>6.92</v>
      </c>
      <c r="R287" s="1108">
        <f>NOMINA!AI263</f>
        <v>65</v>
      </c>
      <c r="S287" s="1108">
        <f>NOMINA!AK263</f>
        <v>55.73</v>
      </c>
      <c r="T287" s="1108">
        <f>+NOMINA!AO263</f>
        <v>12.5</v>
      </c>
      <c r="U287" s="1108">
        <f>+NOMINA!AQ263</f>
        <v>0</v>
      </c>
      <c r="V287" s="1108">
        <f>+NOMINA!AR263</f>
        <v>0</v>
      </c>
      <c r="W287" s="1108">
        <f>+NOMINA!AS263</f>
        <v>0</v>
      </c>
      <c r="X287" s="1108">
        <f>ROUND(NOMINA!AW263,2)</f>
        <v>0</v>
      </c>
      <c r="Y287" s="1108">
        <f>ROUND(NOMINA!AX263,2)</f>
        <v>0</v>
      </c>
      <c r="Z287" s="1108">
        <f>ROUND(NOMINA!BB263,2)+ROUND(NOMINA!BF263,2)</f>
        <v>0</v>
      </c>
      <c r="AA287" s="1108">
        <f>ROUND(NOMINA!BK263,2)*0</f>
        <v>0</v>
      </c>
      <c r="AB287" s="1108">
        <f>+NOMINA!BJ263</f>
        <v>12.5</v>
      </c>
      <c r="AC287" s="1108">
        <f>ROUND(NOMINA!BG263,2)</f>
        <v>320</v>
      </c>
      <c r="AD287" s="1711">
        <f t="shared" si="14"/>
        <v>611.15</v>
      </c>
      <c r="AF287" s="625"/>
    </row>
    <row r="288" spans="1:32" s="620" customFormat="1" ht="18" customHeight="1" thickBot="1" x14ac:dyDescent="0.25">
      <c r="A288" s="758" t="s">
        <v>2846</v>
      </c>
      <c r="B288" s="508">
        <f t="shared" si="16"/>
        <v>221</v>
      </c>
      <c r="C288" s="1102">
        <f>NOMINA!C264</f>
        <v>24136795</v>
      </c>
      <c r="D288" s="1103" t="str">
        <f>NOMINA!D264</f>
        <v>Viloria Maldonado Gerardo Jesus</v>
      </c>
      <c r="E288" s="1468" t="s">
        <v>4622</v>
      </c>
      <c r="F288" s="1110">
        <v>32351</v>
      </c>
      <c r="G288" s="1468" t="s">
        <v>4620</v>
      </c>
      <c r="H288" s="1442">
        <f>NOMINA!H264</f>
        <v>44600</v>
      </c>
      <c r="I288" s="1105">
        <f>NOMINA!I264</f>
        <v>3</v>
      </c>
      <c r="J288" s="1106">
        <f>NOMINA!J264</f>
        <v>0</v>
      </c>
      <c r="K288" s="1105">
        <f t="shared" si="15"/>
        <v>3</v>
      </c>
      <c r="L288" s="1106" t="s">
        <v>4932</v>
      </c>
      <c r="M288" s="1106"/>
      <c r="N288" s="1443" t="str">
        <f>NOMINA!O264</f>
        <v>Entrenador Deportivo II</v>
      </c>
      <c r="O288" s="1106">
        <v>1.02087691000006E+18</v>
      </c>
      <c r="P288" s="1107">
        <f>NOMINA!W264</f>
        <v>75</v>
      </c>
      <c r="Q288" s="1108">
        <f>NOMINA!AG264</f>
        <v>2.25</v>
      </c>
      <c r="R288" s="1108">
        <f>NOMINA!AI264</f>
        <v>65</v>
      </c>
      <c r="S288" s="1108">
        <f>NOMINA!AK264</f>
        <v>0</v>
      </c>
      <c r="T288" s="1108">
        <f>+NOMINA!AO264</f>
        <v>12.5</v>
      </c>
      <c r="U288" s="1108">
        <f>+NOMINA!AQ264</f>
        <v>0</v>
      </c>
      <c r="V288" s="1108">
        <f>+NOMINA!AR264</f>
        <v>0</v>
      </c>
      <c r="W288" s="1108">
        <f>+NOMINA!AS264</f>
        <v>0</v>
      </c>
      <c r="X288" s="1108">
        <f>ROUND(NOMINA!AW264,2)</f>
        <v>0</v>
      </c>
      <c r="Y288" s="1108">
        <f>ROUND(NOMINA!AX264,2)</f>
        <v>0</v>
      </c>
      <c r="Z288" s="1108">
        <f>ROUND(NOMINA!BB264,2)+ROUND(NOMINA!BF264,2)</f>
        <v>0</v>
      </c>
      <c r="AA288" s="1108">
        <f>ROUND(NOMINA!BK264,2)*0</f>
        <v>0</v>
      </c>
      <c r="AB288" s="1108">
        <f>+NOMINA!BJ264</f>
        <v>12.5</v>
      </c>
      <c r="AC288" s="1108">
        <f>ROUND(NOMINA!BG264,2)</f>
        <v>320</v>
      </c>
      <c r="AD288" s="1711">
        <f t="shared" si="14"/>
        <v>487.25</v>
      </c>
      <c r="AF288" s="625"/>
    </row>
    <row r="289" spans="1:32" s="620" customFormat="1" ht="18" customHeight="1" thickBot="1" x14ac:dyDescent="0.25">
      <c r="A289" s="758" t="s">
        <v>2846</v>
      </c>
      <c r="B289" s="508">
        <f t="shared" si="16"/>
        <v>222</v>
      </c>
      <c r="C289" s="1102">
        <f>NOMINA!C265</f>
        <v>23254845</v>
      </c>
      <c r="D289" s="1103" t="str">
        <f>NOMINA!D265</f>
        <v>Castellanos Paredes Luis Gregorio</v>
      </c>
      <c r="E289" s="1468" t="s">
        <v>4622</v>
      </c>
      <c r="F289" s="1110">
        <v>32351</v>
      </c>
      <c r="G289" s="1468" t="s">
        <v>4620</v>
      </c>
      <c r="H289" s="1442">
        <f>NOMINA!H265</f>
        <v>44332</v>
      </c>
      <c r="I289" s="1105">
        <f>NOMINA!I265</f>
        <v>4</v>
      </c>
      <c r="J289" s="1106">
        <f>NOMINA!J265</f>
        <v>0</v>
      </c>
      <c r="K289" s="1105">
        <f t="shared" si="15"/>
        <v>4</v>
      </c>
      <c r="L289" s="1106" t="s">
        <v>4932</v>
      </c>
      <c r="M289" s="1106"/>
      <c r="N289" s="1443" t="str">
        <f>NOMINA!O265</f>
        <v>Entrenador Deportivo II</v>
      </c>
      <c r="O289" s="1106">
        <v>1.02087691000006E+18</v>
      </c>
      <c r="P289" s="1107">
        <f>NOMINA!W265</f>
        <v>75</v>
      </c>
      <c r="Q289" s="1108">
        <f>NOMINA!AG265</f>
        <v>3</v>
      </c>
      <c r="R289" s="1108">
        <f>NOMINA!AI265</f>
        <v>65</v>
      </c>
      <c r="S289" s="1108">
        <f>NOMINA!AK265</f>
        <v>0</v>
      </c>
      <c r="T289" s="1108">
        <f>+NOMINA!AO265</f>
        <v>0</v>
      </c>
      <c r="U289" s="1108">
        <f>+NOMINA!AQ265</f>
        <v>0</v>
      </c>
      <c r="V289" s="1108">
        <f>+NOMINA!AR265</f>
        <v>0</v>
      </c>
      <c r="W289" s="1108">
        <f>+NOMINA!AS265</f>
        <v>0</v>
      </c>
      <c r="X289" s="1108">
        <f>ROUND(NOMINA!AW265,2)</f>
        <v>0</v>
      </c>
      <c r="Y289" s="1108">
        <f>ROUND(NOMINA!AX265,2)</f>
        <v>0</v>
      </c>
      <c r="Z289" s="1108">
        <f>ROUND(NOMINA!BB265,2)+ROUND(NOMINA!BF265,2)</f>
        <v>0</v>
      </c>
      <c r="AA289" s="1108">
        <f>ROUND(NOMINA!BK265,2)*0</f>
        <v>0</v>
      </c>
      <c r="AB289" s="1108">
        <f>+NOMINA!BJ265</f>
        <v>12.5</v>
      </c>
      <c r="AC289" s="1108">
        <f>ROUND(NOMINA!BG265,2)</f>
        <v>320</v>
      </c>
      <c r="AD289" s="1711">
        <f t="shared" si="14"/>
        <v>475.5</v>
      </c>
      <c r="AF289" s="625"/>
    </row>
    <row r="290" spans="1:32" s="620" customFormat="1" ht="18" customHeight="1" thickBot="1" x14ac:dyDescent="0.25">
      <c r="A290" s="758" t="s">
        <v>2846</v>
      </c>
      <c r="B290" s="508">
        <f t="shared" si="16"/>
        <v>223</v>
      </c>
      <c r="C290" s="1102">
        <f>NOMINA!C266</f>
        <v>23594366</v>
      </c>
      <c r="D290" s="1103" t="str">
        <f>NOMINA!D266</f>
        <v>Quintero Montilla Merly Paula</v>
      </c>
      <c r="E290" s="1468" t="s">
        <v>4622</v>
      </c>
      <c r="F290" s="1110">
        <v>32351</v>
      </c>
      <c r="G290" s="1468" t="s">
        <v>4620</v>
      </c>
      <c r="H290" s="1442">
        <f>NOMINA!H266</f>
        <v>45413</v>
      </c>
      <c r="I290" s="1105">
        <f>NOMINA!I266</f>
        <v>1</v>
      </c>
      <c r="J290" s="1106">
        <f>NOMINA!J266</f>
        <v>0</v>
      </c>
      <c r="K290" s="1105">
        <f t="shared" si="15"/>
        <v>1</v>
      </c>
      <c r="L290" s="1106" t="s">
        <v>4932</v>
      </c>
      <c r="M290" s="1106"/>
      <c r="N290" s="1443" t="str">
        <f>NOMINA!O266</f>
        <v>Tutor Facilitador I</v>
      </c>
      <c r="O290" s="1106">
        <v>1.02087691000006E+18</v>
      </c>
      <c r="P290" s="1107">
        <f>NOMINA!W266</f>
        <v>123</v>
      </c>
      <c r="Q290" s="1108">
        <f>NOMINA!AG266</f>
        <v>1.23</v>
      </c>
      <c r="R290" s="1108">
        <f>NOMINA!AI266</f>
        <v>65</v>
      </c>
      <c r="S290" s="1108">
        <f>NOMINA!AK266</f>
        <v>47.31</v>
      </c>
      <c r="T290" s="1108">
        <f>+NOMINA!AO266</f>
        <v>0</v>
      </c>
      <c r="U290" s="1108">
        <f>+NOMINA!AQ266</f>
        <v>0</v>
      </c>
      <c r="V290" s="1108">
        <f>+NOMINA!AR266</f>
        <v>0</v>
      </c>
      <c r="W290" s="1108">
        <f>+NOMINA!AS266</f>
        <v>0</v>
      </c>
      <c r="X290" s="1108">
        <f>ROUND(NOMINA!AW266,2)</f>
        <v>0</v>
      </c>
      <c r="Y290" s="1108">
        <f>ROUND(NOMINA!AX266,2)</f>
        <v>0</v>
      </c>
      <c r="Z290" s="1108">
        <f>ROUND(NOMINA!BB266,2)+ROUND(NOMINA!BF266,2)</f>
        <v>0</v>
      </c>
      <c r="AA290" s="1108">
        <f>ROUND(NOMINA!BK266,2)*0</f>
        <v>0</v>
      </c>
      <c r="AB290" s="1108">
        <f>+NOMINA!BJ266</f>
        <v>12.5</v>
      </c>
      <c r="AC290" s="1108">
        <f>ROUND(NOMINA!BG266,2)</f>
        <v>320</v>
      </c>
      <c r="AD290" s="1711">
        <f t="shared" si="14"/>
        <v>569.04</v>
      </c>
      <c r="AF290" s="625"/>
    </row>
    <row r="291" spans="1:32" s="620" customFormat="1" ht="18" customHeight="1" thickBot="1" x14ac:dyDescent="0.25">
      <c r="A291" s="758" t="s">
        <v>2846</v>
      </c>
      <c r="B291" s="508">
        <f t="shared" si="16"/>
        <v>224</v>
      </c>
      <c r="C291" s="1102">
        <f>NOMINA!C267</f>
        <v>23775734</v>
      </c>
      <c r="D291" s="1103" t="str">
        <f>NOMINA!D267</f>
        <v>Gonzalez Torres Klerwin Alfonso</v>
      </c>
      <c r="E291" s="1468" t="s">
        <v>4622</v>
      </c>
      <c r="F291" s="1110">
        <v>32351</v>
      </c>
      <c r="G291" s="1468" t="s">
        <v>4620</v>
      </c>
      <c r="H291" s="1442">
        <f>NOMINA!H267</f>
        <v>45627</v>
      </c>
      <c r="I291" s="1105">
        <f>NOMINA!I267</f>
        <v>0</v>
      </c>
      <c r="J291" s="1106">
        <f>NOMINA!J267</f>
        <v>5</v>
      </c>
      <c r="K291" s="1105">
        <f t="shared" si="15"/>
        <v>5</v>
      </c>
      <c r="L291" s="1106" t="s">
        <v>4932</v>
      </c>
      <c r="M291" s="1106"/>
      <c r="N291" s="1443" t="str">
        <f>NOMINA!O267</f>
        <v>Guia de Centro I</v>
      </c>
      <c r="O291" s="1106">
        <v>1.02087691000006E+18</v>
      </c>
      <c r="P291" s="1107">
        <f>NOMINA!W267</f>
        <v>65</v>
      </c>
      <c r="Q291" s="1108">
        <f>NOMINA!AG267</f>
        <v>3.25</v>
      </c>
      <c r="R291" s="1108">
        <f>NOMINA!AI267</f>
        <v>65</v>
      </c>
      <c r="S291" s="1108">
        <f>NOMINA!AK267</f>
        <v>0</v>
      </c>
      <c r="T291" s="1108">
        <f>+NOMINA!AO267</f>
        <v>0</v>
      </c>
      <c r="U291" s="1108">
        <f>+NOMINA!AQ267</f>
        <v>0</v>
      </c>
      <c r="V291" s="1108">
        <f>+NOMINA!AR267</f>
        <v>0</v>
      </c>
      <c r="W291" s="1108">
        <f>+NOMINA!AS267</f>
        <v>0</v>
      </c>
      <c r="X291" s="1108">
        <f>ROUND(NOMINA!AW267,2)</f>
        <v>83.7</v>
      </c>
      <c r="Y291" s="1108">
        <f>ROUND(NOMINA!AX267,2)</f>
        <v>0</v>
      </c>
      <c r="Z291" s="1108">
        <f>ROUND(NOMINA!BB267,2)+ROUND(NOMINA!BF267,2)</f>
        <v>72.540000000000006</v>
      </c>
      <c r="AA291" s="1108">
        <f>ROUND(NOMINA!BK267,2)*0</f>
        <v>0</v>
      </c>
      <c r="AB291" s="1108">
        <f>+NOMINA!BJ267</f>
        <v>12.5</v>
      </c>
      <c r="AC291" s="1108">
        <f>ROUND(NOMINA!BG267,2)</f>
        <v>320</v>
      </c>
      <c r="AD291" s="1711">
        <f t="shared" si="14"/>
        <v>621.99</v>
      </c>
      <c r="AF291" s="625"/>
    </row>
    <row r="292" spans="1:32" s="620" customFormat="1" ht="18" customHeight="1" thickBot="1" x14ac:dyDescent="0.25">
      <c r="A292" s="758" t="s">
        <v>2846</v>
      </c>
      <c r="B292" s="508">
        <f t="shared" si="16"/>
        <v>225</v>
      </c>
      <c r="C292" s="1102">
        <f>NOMINA!C268</f>
        <v>24565372</v>
      </c>
      <c r="D292" s="1103" t="str">
        <f>NOMINA!D268</f>
        <v>Moreno Silva Alfredy Jose</v>
      </c>
      <c r="E292" s="1468" t="s">
        <v>4622</v>
      </c>
      <c r="F292" s="1110">
        <v>32351</v>
      </c>
      <c r="G292" s="1468" t="s">
        <v>4620</v>
      </c>
      <c r="H292" s="1442">
        <f>NOMINA!H268</f>
        <v>40360</v>
      </c>
      <c r="I292" s="1105">
        <f>NOMINA!I268</f>
        <v>15</v>
      </c>
      <c r="J292" s="1106">
        <f>NOMINA!J268</f>
        <v>0</v>
      </c>
      <c r="K292" s="1105">
        <f t="shared" si="15"/>
        <v>15</v>
      </c>
      <c r="L292" s="1106" t="s">
        <v>4932</v>
      </c>
      <c r="M292" s="1106"/>
      <c r="N292" s="1443" t="str">
        <f>NOMINA!O268</f>
        <v>Asistente de Relaciones Publicas</v>
      </c>
      <c r="O292" s="1106">
        <v>1.02087691000006E+18</v>
      </c>
      <c r="P292" s="1107">
        <f>NOMINA!W268</f>
        <v>0</v>
      </c>
      <c r="Q292" s="1108">
        <f>NOMINA!AG268</f>
        <v>0</v>
      </c>
      <c r="R292" s="1108">
        <f>NOMINA!AI268</f>
        <v>0</v>
      </c>
      <c r="S292" s="1108">
        <f>NOMINA!AK268</f>
        <v>0</v>
      </c>
      <c r="T292" s="1108">
        <f>+NOMINA!AO268</f>
        <v>0</v>
      </c>
      <c r="U292" s="1108">
        <f>+NOMINA!AQ268</f>
        <v>0</v>
      </c>
      <c r="V292" s="1108">
        <f>+NOMINA!AR268</f>
        <v>0</v>
      </c>
      <c r="W292" s="1108">
        <f>+NOMINA!AS268</f>
        <v>0</v>
      </c>
      <c r="X292" s="1108">
        <f>ROUND(NOMINA!AW268,2)</f>
        <v>0</v>
      </c>
      <c r="Y292" s="1108">
        <f>ROUND(NOMINA!AX268,2)</f>
        <v>0</v>
      </c>
      <c r="Z292" s="1108">
        <f>ROUND(NOMINA!BB268,2)+ROUND(NOMINA!BF268,2)</f>
        <v>0</v>
      </c>
      <c r="AA292" s="1108">
        <f>ROUND(NOMINA!BK268,2)*0</f>
        <v>0</v>
      </c>
      <c r="AB292" s="1108">
        <f>+NOMINA!BJ268</f>
        <v>0</v>
      </c>
      <c r="AC292" s="1108">
        <f>ROUND(NOMINA!BG268,2)</f>
        <v>0</v>
      </c>
      <c r="AD292" s="1711">
        <f t="shared" si="14"/>
        <v>0</v>
      </c>
      <c r="AF292" s="625"/>
    </row>
    <row r="293" spans="1:32" s="620" customFormat="1" ht="18" customHeight="1" thickBot="1" x14ac:dyDescent="0.25">
      <c r="A293" s="758" t="s">
        <v>2846</v>
      </c>
      <c r="B293" s="508">
        <f t="shared" si="16"/>
        <v>226</v>
      </c>
      <c r="C293" s="1102">
        <f>NOMINA!C269</f>
        <v>25006139</v>
      </c>
      <c r="D293" s="1103" t="str">
        <f>NOMINA!D269</f>
        <v>Ramirez Palomares Carmen Beatriz</v>
      </c>
      <c r="E293" s="1468" t="s">
        <v>4622</v>
      </c>
      <c r="F293" s="1110">
        <v>32351</v>
      </c>
      <c r="G293" s="1468" t="s">
        <v>4620</v>
      </c>
      <c r="H293" s="1442">
        <f>NOMINA!H269</f>
        <v>43512</v>
      </c>
      <c r="I293" s="1105">
        <f>NOMINA!I269</f>
        <v>6</v>
      </c>
      <c r="J293" s="1106">
        <f>NOMINA!J269</f>
        <v>0</v>
      </c>
      <c r="K293" s="1105">
        <f t="shared" si="15"/>
        <v>6</v>
      </c>
      <c r="L293" s="1106" t="s">
        <v>4932</v>
      </c>
      <c r="M293" s="1106"/>
      <c r="N293" s="1443" t="str">
        <f>NOMINA!O269</f>
        <v>Guia de Centro I</v>
      </c>
      <c r="O293" s="1106">
        <v>1.02087691000006E+18</v>
      </c>
      <c r="P293" s="1107">
        <f>NOMINA!W269</f>
        <v>85</v>
      </c>
      <c r="Q293" s="1108">
        <f>NOMINA!AG269</f>
        <v>5.27</v>
      </c>
      <c r="R293" s="1108">
        <f>NOMINA!AI269</f>
        <v>65</v>
      </c>
      <c r="S293" s="1108">
        <f>NOMINA!AK269</f>
        <v>0</v>
      </c>
      <c r="T293" s="1108">
        <f>+NOMINA!AO269</f>
        <v>0</v>
      </c>
      <c r="U293" s="1108">
        <f>+NOMINA!AQ269</f>
        <v>0</v>
      </c>
      <c r="V293" s="1108">
        <f>+NOMINA!AR269</f>
        <v>0</v>
      </c>
      <c r="W293" s="1108">
        <f>+NOMINA!AS269</f>
        <v>0</v>
      </c>
      <c r="X293" s="1108">
        <f>ROUND(NOMINA!AW269,2)</f>
        <v>100.66</v>
      </c>
      <c r="Y293" s="1108">
        <f>ROUND(NOMINA!AX269,2)</f>
        <v>0</v>
      </c>
      <c r="Z293" s="1108">
        <f>ROUND(NOMINA!BB269,2)+ROUND(NOMINA!BF269,2)</f>
        <v>21.81</v>
      </c>
      <c r="AA293" s="1108">
        <f>ROUND(NOMINA!BK269,2)*0</f>
        <v>0</v>
      </c>
      <c r="AB293" s="1108">
        <f>+NOMINA!BJ269</f>
        <v>12.5</v>
      </c>
      <c r="AC293" s="1108">
        <f>ROUND(NOMINA!BG269,2)</f>
        <v>320</v>
      </c>
      <c r="AD293" s="1711">
        <f t="shared" si="14"/>
        <v>610.24</v>
      </c>
      <c r="AF293" s="625"/>
    </row>
    <row r="294" spans="1:32" s="620" customFormat="1" ht="18" customHeight="1" thickBot="1" x14ac:dyDescent="0.25">
      <c r="A294" s="758" t="s">
        <v>2846</v>
      </c>
      <c r="B294" s="508">
        <f t="shared" si="16"/>
        <v>227</v>
      </c>
      <c r="C294" s="1102">
        <f>NOMINA!C270</f>
        <v>25006878</v>
      </c>
      <c r="D294" s="1103" t="str">
        <f>NOMINA!D270</f>
        <v>Fernandez Garcia Rafael Ramon</v>
      </c>
      <c r="E294" s="1468" t="s">
        <v>4622</v>
      </c>
      <c r="F294" s="1110">
        <v>32351</v>
      </c>
      <c r="G294" s="1468" t="s">
        <v>4620</v>
      </c>
      <c r="H294" s="1442">
        <f>NOMINA!H270</f>
        <v>44986</v>
      </c>
      <c r="I294" s="1105">
        <f>NOMINA!I270</f>
        <v>2</v>
      </c>
      <c r="J294" s="1106">
        <f>NOMINA!J270</f>
        <v>7</v>
      </c>
      <c r="K294" s="1105">
        <f t="shared" si="15"/>
        <v>9</v>
      </c>
      <c r="L294" s="1106" t="s">
        <v>4932</v>
      </c>
      <c r="M294" s="1106"/>
      <c r="N294" s="1443" t="str">
        <f>NOMINA!O270</f>
        <v>Guia de Centro I</v>
      </c>
      <c r="O294" s="1106">
        <v>1.02087691000006E+18</v>
      </c>
      <c r="P294" s="1107">
        <f>NOMINA!W270</f>
        <v>86</v>
      </c>
      <c r="Q294" s="1108">
        <f>NOMINA!AG270</f>
        <v>8.43</v>
      </c>
      <c r="R294" s="1108">
        <f>NOMINA!AI270</f>
        <v>65</v>
      </c>
      <c r="S294" s="1108">
        <f>NOMINA!AK270</f>
        <v>0</v>
      </c>
      <c r="T294" s="1108">
        <f>+NOMINA!AO270</f>
        <v>0</v>
      </c>
      <c r="U294" s="1108">
        <f>+NOMINA!AQ270</f>
        <v>0</v>
      </c>
      <c r="V294" s="1108">
        <f>+NOMINA!AR270</f>
        <v>0</v>
      </c>
      <c r="W294" s="1108">
        <f>+NOMINA!AS270</f>
        <v>0</v>
      </c>
      <c r="X294" s="1108">
        <f>ROUND(NOMINA!AW270,2)</f>
        <v>99.41</v>
      </c>
      <c r="Y294" s="1108">
        <f>ROUND(NOMINA!AX270,2)</f>
        <v>0</v>
      </c>
      <c r="Z294" s="1108">
        <f>ROUND(NOMINA!BB270,2)+ROUND(NOMINA!BF270,2)</f>
        <v>64.62</v>
      </c>
      <c r="AA294" s="1108">
        <f>ROUND(NOMINA!BK270,2)*0</f>
        <v>0</v>
      </c>
      <c r="AB294" s="1108">
        <f>+NOMINA!BJ270</f>
        <v>12.5</v>
      </c>
      <c r="AC294" s="1108">
        <f>ROUND(NOMINA!BG270,2)</f>
        <v>320</v>
      </c>
      <c r="AD294" s="1711">
        <f t="shared" si="14"/>
        <v>655.96</v>
      </c>
      <c r="AF294" s="625"/>
    </row>
    <row r="295" spans="1:32" s="620" customFormat="1" ht="18" customHeight="1" thickBot="1" x14ac:dyDescent="0.25">
      <c r="A295" s="758" t="s">
        <v>2846</v>
      </c>
      <c r="B295" s="508">
        <f t="shared" si="16"/>
        <v>228</v>
      </c>
      <c r="C295" s="1102">
        <f>NOMINA!C271</f>
        <v>25096069</v>
      </c>
      <c r="D295" s="1103" t="str">
        <f>NOMINA!D271</f>
        <v>Coello Diaz Yormileidys del Carmen</v>
      </c>
      <c r="E295" s="1468" t="s">
        <v>4622</v>
      </c>
      <c r="F295" s="1110">
        <v>32351</v>
      </c>
      <c r="G295" s="1468" t="s">
        <v>4620</v>
      </c>
      <c r="H295" s="1442">
        <f>NOMINA!H271</f>
        <v>44599</v>
      </c>
      <c r="I295" s="1105">
        <f>NOMINA!I271</f>
        <v>3</v>
      </c>
      <c r="J295" s="1106">
        <f>NOMINA!J271</f>
        <v>0</v>
      </c>
      <c r="K295" s="1105">
        <f t="shared" si="15"/>
        <v>3</v>
      </c>
      <c r="L295" s="1106" t="s">
        <v>4932</v>
      </c>
      <c r="M295" s="1106"/>
      <c r="N295" s="1443" t="str">
        <f>NOMINA!O271</f>
        <v>Guia de Centro I</v>
      </c>
      <c r="O295" s="1106">
        <v>1.02087691000006E+18</v>
      </c>
      <c r="P295" s="1107">
        <f>NOMINA!W271</f>
        <v>109.5</v>
      </c>
      <c r="Q295" s="1108">
        <f>NOMINA!AG271</f>
        <v>3.28</v>
      </c>
      <c r="R295" s="1108">
        <f>NOMINA!AI271</f>
        <v>65</v>
      </c>
      <c r="S295" s="1108">
        <f>NOMINA!AK271</f>
        <v>46.01</v>
      </c>
      <c r="T295" s="1108">
        <f>+NOMINA!AO271</f>
        <v>12.5</v>
      </c>
      <c r="U295" s="1108">
        <f>+NOMINA!AQ271</f>
        <v>0</v>
      </c>
      <c r="V295" s="1108">
        <f>+NOMINA!AR271</f>
        <v>0</v>
      </c>
      <c r="W295" s="1108">
        <f>+NOMINA!AS271</f>
        <v>0</v>
      </c>
      <c r="X295" s="1108">
        <f>ROUND(NOMINA!AW271,2)</f>
        <v>138.03</v>
      </c>
      <c r="Y295" s="1108">
        <f>ROUND(NOMINA!AX271,2)</f>
        <v>0</v>
      </c>
      <c r="Z295" s="1108">
        <f>ROUND(NOMINA!BB271,2)+ROUND(NOMINA!BF271,2)</f>
        <v>89.72</v>
      </c>
      <c r="AA295" s="1108">
        <f>ROUND(NOMINA!BK271,2)*0</f>
        <v>0</v>
      </c>
      <c r="AB295" s="1108">
        <f>+NOMINA!BJ271</f>
        <v>12.5</v>
      </c>
      <c r="AC295" s="1108">
        <f>ROUND(NOMINA!BG271,2)</f>
        <v>320</v>
      </c>
      <c r="AD295" s="1711">
        <f t="shared" si="14"/>
        <v>796.54</v>
      </c>
      <c r="AF295" s="625"/>
    </row>
    <row r="296" spans="1:32" s="620" customFormat="1" ht="18" customHeight="1" thickBot="1" x14ac:dyDescent="0.25">
      <c r="A296" s="758" t="s">
        <v>2846</v>
      </c>
      <c r="B296" s="508">
        <f t="shared" si="16"/>
        <v>229</v>
      </c>
      <c r="C296" s="1102">
        <f>NOMINA!C272</f>
        <v>25173983</v>
      </c>
      <c r="D296" s="1103" t="str">
        <f>NOMINA!D272</f>
        <v>Guanda Barazarte Roxely Andreina</v>
      </c>
      <c r="E296" s="1468" t="s">
        <v>4622</v>
      </c>
      <c r="F296" s="1110">
        <v>32351</v>
      </c>
      <c r="G296" s="1468" t="s">
        <v>4620</v>
      </c>
      <c r="H296" s="1442">
        <f>NOMINA!H272</f>
        <v>44363</v>
      </c>
      <c r="I296" s="1105">
        <f>NOMINA!I272</f>
        <v>4</v>
      </c>
      <c r="J296" s="1106">
        <f>NOMINA!J272</f>
        <v>0</v>
      </c>
      <c r="K296" s="1105">
        <f t="shared" si="15"/>
        <v>4</v>
      </c>
      <c r="L296" s="1106" t="s">
        <v>4932</v>
      </c>
      <c r="M296" s="1106"/>
      <c r="N296" s="1443" t="str">
        <f>NOMINA!O272</f>
        <v>Guia de Centro I</v>
      </c>
      <c r="O296" s="1106">
        <v>1.02087691000006E+18</v>
      </c>
      <c r="P296" s="1107">
        <f>NOMINA!W272</f>
        <v>75</v>
      </c>
      <c r="Q296" s="1108">
        <f>NOMINA!AG272</f>
        <v>3</v>
      </c>
      <c r="R296" s="1108">
        <f>NOMINA!AI272</f>
        <v>65</v>
      </c>
      <c r="S296" s="1108">
        <f>NOMINA!AK272</f>
        <v>0</v>
      </c>
      <c r="T296" s="1108">
        <f>+NOMINA!AO272</f>
        <v>12.5</v>
      </c>
      <c r="U296" s="1108">
        <f>+NOMINA!AQ272</f>
        <v>0</v>
      </c>
      <c r="V296" s="1108">
        <f>+NOMINA!AR272</f>
        <v>0</v>
      </c>
      <c r="W296" s="1108">
        <f>+NOMINA!AS272</f>
        <v>0</v>
      </c>
      <c r="X296" s="1108">
        <f>ROUND(NOMINA!AW272,2)</f>
        <v>0</v>
      </c>
      <c r="Y296" s="1108">
        <f>ROUND(NOMINA!AX272,2)</f>
        <v>0</v>
      </c>
      <c r="Z296" s="1108">
        <f>ROUND(NOMINA!BB272,2)+ROUND(NOMINA!BF272,2)</f>
        <v>0</v>
      </c>
      <c r="AA296" s="1108">
        <f>ROUND(NOMINA!BK272,2)*0</f>
        <v>0</v>
      </c>
      <c r="AB296" s="1108">
        <f>+NOMINA!BJ272</f>
        <v>12.5</v>
      </c>
      <c r="AC296" s="1108">
        <f>ROUND(NOMINA!BG272,2)</f>
        <v>320</v>
      </c>
      <c r="AD296" s="1711">
        <f t="shared" si="14"/>
        <v>488</v>
      </c>
      <c r="AF296" s="625"/>
    </row>
    <row r="297" spans="1:32" s="620" customFormat="1" ht="18" customHeight="1" thickBot="1" x14ac:dyDescent="0.25">
      <c r="A297" s="758" t="s">
        <v>2846</v>
      </c>
      <c r="B297" s="508">
        <f t="shared" si="16"/>
        <v>230</v>
      </c>
      <c r="C297" s="1102">
        <f>NOMINA!C273</f>
        <v>25303390</v>
      </c>
      <c r="D297" s="1103" t="str">
        <f>NOMINA!D273</f>
        <v>Graterol Castillo Yoselyn Zunedy</v>
      </c>
      <c r="E297" s="1468" t="s">
        <v>4622</v>
      </c>
      <c r="F297" s="1110">
        <v>32351</v>
      </c>
      <c r="G297" s="1468" t="s">
        <v>4620</v>
      </c>
      <c r="H297" s="1442">
        <f>NOMINA!H273</f>
        <v>43862</v>
      </c>
      <c r="I297" s="1105">
        <f>NOMINA!I273</f>
        <v>5</v>
      </c>
      <c r="J297" s="1106">
        <f>NOMINA!J273</f>
        <v>0</v>
      </c>
      <c r="K297" s="1105">
        <f t="shared" si="15"/>
        <v>5</v>
      </c>
      <c r="L297" s="1106" t="s">
        <v>4932</v>
      </c>
      <c r="M297" s="1106"/>
      <c r="N297" s="1443" t="str">
        <f>NOMINA!O273</f>
        <v>Guia de Centro I</v>
      </c>
      <c r="O297" s="1106">
        <v>1.02087691000006E+18</v>
      </c>
      <c r="P297" s="1107">
        <f>NOMINA!W273</f>
        <v>75</v>
      </c>
      <c r="Q297" s="1108">
        <f>NOMINA!AG273</f>
        <v>3.75</v>
      </c>
      <c r="R297" s="1108">
        <f>NOMINA!AI273</f>
        <v>65</v>
      </c>
      <c r="S297" s="1108">
        <f>NOMINA!AK273</f>
        <v>0</v>
      </c>
      <c r="T297" s="1108">
        <f>+NOMINA!AO273</f>
        <v>25</v>
      </c>
      <c r="U297" s="1108">
        <f>+NOMINA!AQ273</f>
        <v>0</v>
      </c>
      <c r="V297" s="1108">
        <f>+NOMINA!AR273</f>
        <v>0</v>
      </c>
      <c r="W297" s="1108">
        <f>+NOMINA!AS273</f>
        <v>0</v>
      </c>
      <c r="X297" s="1108">
        <f>ROUND(NOMINA!AW273,2)</f>
        <v>93.75</v>
      </c>
      <c r="Y297" s="1108">
        <f>ROUND(NOMINA!AX273,2)</f>
        <v>0</v>
      </c>
      <c r="Z297" s="1108">
        <f>ROUND(NOMINA!BB273,2)+ROUND(NOMINA!BF273,2)</f>
        <v>60.94</v>
      </c>
      <c r="AA297" s="1108">
        <f>ROUND(NOMINA!BK273,2)*0</f>
        <v>0</v>
      </c>
      <c r="AB297" s="1108">
        <f>+NOMINA!BJ273</f>
        <v>12.5</v>
      </c>
      <c r="AC297" s="1108">
        <f>ROUND(NOMINA!BG273,2)</f>
        <v>320</v>
      </c>
      <c r="AD297" s="1711">
        <f t="shared" si="14"/>
        <v>655.94</v>
      </c>
      <c r="AF297" s="625"/>
    </row>
    <row r="298" spans="1:32" s="620" customFormat="1" ht="18" customHeight="1" thickBot="1" x14ac:dyDescent="0.25">
      <c r="A298" s="758" t="s">
        <v>2846</v>
      </c>
      <c r="B298" s="508">
        <f t="shared" si="16"/>
        <v>231</v>
      </c>
      <c r="C298" s="1102">
        <f>NOMINA!C274</f>
        <v>25454143</v>
      </c>
      <c r="D298" s="1103" t="str">
        <f>NOMINA!D274</f>
        <v>Briceño Ana Beatriz</v>
      </c>
      <c r="E298" s="1468" t="s">
        <v>4622</v>
      </c>
      <c r="F298" s="1110">
        <v>32351</v>
      </c>
      <c r="G298" s="1468" t="s">
        <v>4620</v>
      </c>
      <c r="H298" s="1442">
        <f>NOMINA!H274</f>
        <v>45536</v>
      </c>
      <c r="I298" s="1105">
        <f>NOMINA!I274</f>
        <v>1</v>
      </c>
      <c r="J298" s="1106">
        <f>NOMINA!J274</f>
        <v>0</v>
      </c>
      <c r="K298" s="1105">
        <f t="shared" si="15"/>
        <v>1</v>
      </c>
      <c r="L298" s="1106" t="s">
        <v>4932</v>
      </c>
      <c r="M298" s="1106"/>
      <c r="N298" s="1443" t="str">
        <f>NOMINA!O274</f>
        <v>Guia de Centro I</v>
      </c>
      <c r="O298" s="1106">
        <v>1.02087691000006E+18</v>
      </c>
      <c r="P298" s="1107">
        <f>NOMINA!W274</f>
        <v>65</v>
      </c>
      <c r="Q298" s="1108">
        <f>NOMINA!AG274</f>
        <v>0.65</v>
      </c>
      <c r="R298" s="1108">
        <f>NOMINA!AI274</f>
        <v>65</v>
      </c>
      <c r="S298" s="1108">
        <f>NOMINA!AK274</f>
        <v>0</v>
      </c>
      <c r="T298" s="1108">
        <f>+NOMINA!AO274</f>
        <v>0</v>
      </c>
      <c r="U298" s="1108">
        <f>+NOMINA!AQ274</f>
        <v>0</v>
      </c>
      <c r="V298" s="1108">
        <f>+NOMINA!AR274</f>
        <v>0</v>
      </c>
      <c r="W298" s="1108">
        <f>+NOMINA!AS274</f>
        <v>0</v>
      </c>
      <c r="X298" s="1108">
        <f>ROUND(NOMINA!AW274,2)</f>
        <v>82.14</v>
      </c>
      <c r="Y298" s="1108">
        <f>ROUND(NOMINA!AX274,2)</f>
        <v>2847.52</v>
      </c>
      <c r="Z298" s="1108">
        <f>ROUND(NOMINA!BB274,2)+ROUND(NOMINA!BF274,2)</f>
        <v>53.39</v>
      </c>
      <c r="AA298" s="1108">
        <f>ROUND(NOMINA!BK274,2)*0</f>
        <v>0</v>
      </c>
      <c r="AB298" s="1108">
        <f>+NOMINA!BJ274</f>
        <v>12.5</v>
      </c>
      <c r="AC298" s="1108">
        <f>ROUND(NOMINA!BG274,2)</f>
        <v>320</v>
      </c>
      <c r="AD298" s="1711">
        <f t="shared" si="14"/>
        <v>3446.2</v>
      </c>
      <c r="AF298" s="625"/>
    </row>
    <row r="299" spans="1:32" s="620" customFormat="1" ht="18" customHeight="1" thickBot="1" x14ac:dyDescent="0.25">
      <c r="A299" s="758" t="s">
        <v>2846</v>
      </c>
      <c r="B299" s="508">
        <f t="shared" si="16"/>
        <v>232</v>
      </c>
      <c r="C299" s="1102">
        <f>NOMINA!C275</f>
        <v>25604733</v>
      </c>
      <c r="D299" s="1103" t="str">
        <f>NOMINA!D275</f>
        <v>Nava Carrillo Oriana Daniela</v>
      </c>
      <c r="E299" s="1468" t="s">
        <v>4622</v>
      </c>
      <c r="F299" s="1110">
        <v>32351</v>
      </c>
      <c r="G299" s="1468" t="s">
        <v>4620</v>
      </c>
      <c r="H299" s="1442">
        <f>NOMINA!H275</f>
        <v>43754</v>
      </c>
      <c r="I299" s="1105">
        <f>NOMINA!I275</f>
        <v>5</v>
      </c>
      <c r="J299" s="1106">
        <f>NOMINA!J275</f>
        <v>0</v>
      </c>
      <c r="K299" s="1105">
        <f t="shared" si="15"/>
        <v>5</v>
      </c>
      <c r="L299" s="1106" t="s">
        <v>4932</v>
      </c>
      <c r="M299" s="1106"/>
      <c r="N299" s="1443" t="str">
        <f>NOMINA!O275</f>
        <v>Entrenador Deportivo II</v>
      </c>
      <c r="O299" s="1106">
        <v>1.02087691000006E+18</v>
      </c>
      <c r="P299" s="1107">
        <f>NOMINA!W275</f>
        <v>75</v>
      </c>
      <c r="Q299" s="1108">
        <f>NOMINA!AG275</f>
        <v>3.75</v>
      </c>
      <c r="R299" s="1108">
        <f>NOMINA!AI275</f>
        <v>65</v>
      </c>
      <c r="S299" s="1108">
        <f>NOMINA!AK275</f>
        <v>0</v>
      </c>
      <c r="T299" s="1108">
        <f>+NOMINA!AO275</f>
        <v>0</v>
      </c>
      <c r="U299" s="1108">
        <f>+NOMINA!AQ275</f>
        <v>0</v>
      </c>
      <c r="V299" s="1108">
        <f>+NOMINA!AR275</f>
        <v>0</v>
      </c>
      <c r="W299" s="1108">
        <f>+NOMINA!AS275</f>
        <v>0</v>
      </c>
      <c r="X299" s="1108">
        <f>ROUND(NOMINA!AW275,2)</f>
        <v>0</v>
      </c>
      <c r="Y299" s="1108">
        <f>ROUND(NOMINA!AX275,2)</f>
        <v>0</v>
      </c>
      <c r="Z299" s="1108">
        <f>ROUND(NOMINA!BB275,2)+ROUND(NOMINA!BF275,2)</f>
        <v>0</v>
      </c>
      <c r="AA299" s="1108">
        <f>ROUND(NOMINA!BK275,2)*0</f>
        <v>0</v>
      </c>
      <c r="AB299" s="1108">
        <f>+NOMINA!BJ275</f>
        <v>12.5</v>
      </c>
      <c r="AC299" s="1108">
        <f>ROUND(NOMINA!BG275,2)</f>
        <v>320</v>
      </c>
      <c r="AD299" s="1711">
        <f t="shared" si="14"/>
        <v>476.25</v>
      </c>
      <c r="AF299" s="625"/>
    </row>
    <row r="300" spans="1:32" s="620" customFormat="1" ht="18" customHeight="1" thickBot="1" x14ac:dyDescent="0.25">
      <c r="A300" s="758" t="s">
        <v>2846</v>
      </c>
      <c r="B300" s="508">
        <f t="shared" si="16"/>
        <v>233</v>
      </c>
      <c r="C300" s="1102">
        <f>NOMINA!C276</f>
        <v>25619540</v>
      </c>
      <c r="D300" s="1103" t="str">
        <f>NOMINA!D276</f>
        <v>Balza Vetencourt Maria Gabriela</v>
      </c>
      <c r="E300" s="1468" t="s">
        <v>4622</v>
      </c>
      <c r="F300" s="1110">
        <v>32351</v>
      </c>
      <c r="G300" s="1468" t="s">
        <v>4620</v>
      </c>
      <c r="H300" s="1442">
        <f>NOMINA!H276</f>
        <v>44743</v>
      </c>
      <c r="I300" s="1105">
        <f>NOMINA!I276</f>
        <v>3</v>
      </c>
      <c r="J300" s="1106">
        <f>NOMINA!J276</f>
        <v>0</v>
      </c>
      <c r="K300" s="1105">
        <f t="shared" si="15"/>
        <v>3</v>
      </c>
      <c r="L300" s="1106" t="s">
        <v>4932</v>
      </c>
      <c r="M300" s="1106"/>
      <c r="N300" s="1443" t="str">
        <f>NOMINA!O276</f>
        <v>Guia de Centro I</v>
      </c>
      <c r="O300" s="1106">
        <v>1.02087691000006E+18</v>
      </c>
      <c r="P300" s="1107">
        <f>NOMINA!W276</f>
        <v>75</v>
      </c>
      <c r="Q300" s="1108">
        <f>NOMINA!AG276</f>
        <v>2.25</v>
      </c>
      <c r="R300" s="1108">
        <f>NOMINA!AI276</f>
        <v>65</v>
      </c>
      <c r="S300" s="1108">
        <f>NOMINA!AK276</f>
        <v>0</v>
      </c>
      <c r="T300" s="1108">
        <f>+NOMINA!AO276</f>
        <v>25</v>
      </c>
      <c r="U300" s="1108">
        <f>+NOMINA!AQ276</f>
        <v>0</v>
      </c>
      <c r="V300" s="1108">
        <f>+NOMINA!AR276</f>
        <v>0</v>
      </c>
      <c r="W300" s="1108">
        <f>+NOMINA!AS276</f>
        <v>0</v>
      </c>
      <c r="X300" s="1108">
        <f>ROUND(NOMINA!AW276,2)</f>
        <v>92.85</v>
      </c>
      <c r="Y300" s="1108">
        <f>ROUND(NOMINA!AX276,2)</f>
        <v>0</v>
      </c>
      <c r="Z300" s="1108">
        <f>ROUND(NOMINA!BB276,2)+ROUND(NOMINA!BF276,2)</f>
        <v>60.35</v>
      </c>
      <c r="AA300" s="1108">
        <f>ROUND(NOMINA!BK276,2)*0</f>
        <v>0</v>
      </c>
      <c r="AB300" s="1108">
        <f>+NOMINA!BJ276</f>
        <v>12.5</v>
      </c>
      <c r="AC300" s="1108">
        <f>ROUND(NOMINA!BG276,2)</f>
        <v>320</v>
      </c>
      <c r="AD300" s="1711">
        <f t="shared" si="14"/>
        <v>652.95000000000005</v>
      </c>
      <c r="AF300" s="625"/>
    </row>
    <row r="301" spans="1:32" s="620" customFormat="1" ht="18" customHeight="1" thickBot="1" x14ac:dyDescent="0.25">
      <c r="A301" s="758" t="s">
        <v>2846</v>
      </c>
      <c r="B301" s="508">
        <f t="shared" si="16"/>
        <v>234</v>
      </c>
      <c r="C301" s="1102">
        <f>NOMINA!C277</f>
        <v>26094609</v>
      </c>
      <c r="D301" s="1103" t="str">
        <f>NOMINA!D277</f>
        <v>Andara Moreno Marielena Nathaly</v>
      </c>
      <c r="E301" s="1468" t="s">
        <v>4622</v>
      </c>
      <c r="F301" s="1110">
        <v>32351</v>
      </c>
      <c r="G301" s="1468" t="s">
        <v>4620</v>
      </c>
      <c r="H301" s="1442">
        <f>NOMINA!H277</f>
        <v>44713</v>
      </c>
      <c r="I301" s="1105">
        <f>NOMINA!I277</f>
        <v>3</v>
      </c>
      <c r="J301" s="1106">
        <f>NOMINA!J277</f>
        <v>0</v>
      </c>
      <c r="K301" s="1105">
        <f t="shared" si="15"/>
        <v>3</v>
      </c>
      <c r="L301" s="1106" t="s">
        <v>4932</v>
      </c>
      <c r="M301" s="1106"/>
      <c r="N301" s="1443" t="str">
        <f>NOMINA!O277</f>
        <v>Abogado I</v>
      </c>
      <c r="O301" s="1106">
        <v>1.02087691000006E+18</v>
      </c>
      <c r="P301" s="1107">
        <f>NOMINA!W277</f>
        <v>138.5</v>
      </c>
      <c r="Q301" s="1108">
        <f>NOMINA!AG277</f>
        <v>4.1500000000000004</v>
      </c>
      <c r="R301" s="1108">
        <f>NOMINA!AI277</f>
        <v>65</v>
      </c>
      <c r="S301" s="1108">
        <f>NOMINA!AK277</f>
        <v>51.91</v>
      </c>
      <c r="T301" s="1108">
        <f>+NOMINA!AO277</f>
        <v>0</v>
      </c>
      <c r="U301" s="1108">
        <f>+NOMINA!AQ277</f>
        <v>0</v>
      </c>
      <c r="V301" s="1108">
        <f>+NOMINA!AR277</f>
        <v>0</v>
      </c>
      <c r="W301" s="1108">
        <f>+NOMINA!AS277</f>
        <v>0</v>
      </c>
      <c r="X301" s="1108">
        <f>ROUND(NOMINA!AW277,2)</f>
        <v>0</v>
      </c>
      <c r="Y301" s="1108">
        <f>ROUND(NOMINA!AX277,2)</f>
        <v>0</v>
      </c>
      <c r="Z301" s="1108">
        <f>ROUND(NOMINA!BB277,2)+ROUND(NOMINA!BF277,2)</f>
        <v>0</v>
      </c>
      <c r="AA301" s="1108">
        <f>ROUND(NOMINA!BK277,2)*0</f>
        <v>0</v>
      </c>
      <c r="AB301" s="1108">
        <f>+NOMINA!BJ277</f>
        <v>12.5</v>
      </c>
      <c r="AC301" s="1108">
        <f>ROUND(NOMINA!BG277,2)</f>
        <v>320</v>
      </c>
      <c r="AD301" s="1711">
        <f t="shared" si="14"/>
        <v>592.05999999999995</v>
      </c>
      <c r="AF301" s="625"/>
    </row>
    <row r="302" spans="1:32" s="620" customFormat="1" ht="18" customHeight="1" thickBot="1" x14ac:dyDescent="0.25">
      <c r="A302" s="758" t="s">
        <v>2846</v>
      </c>
      <c r="B302" s="508">
        <f t="shared" si="16"/>
        <v>235</v>
      </c>
      <c r="C302" s="1102">
        <f>NOMINA!C278</f>
        <v>26094690</v>
      </c>
      <c r="D302" s="1103" t="str">
        <f>NOMINA!D278</f>
        <v>Fernandez Romero Numa Manuel</v>
      </c>
      <c r="E302" s="1468" t="s">
        <v>4622</v>
      </c>
      <c r="F302" s="1110">
        <v>32351</v>
      </c>
      <c r="G302" s="1468" t="s">
        <v>4620</v>
      </c>
      <c r="H302" s="1442">
        <f>NOMINA!H278</f>
        <v>45017</v>
      </c>
      <c r="I302" s="1105">
        <f>NOMINA!I278</f>
        <v>2</v>
      </c>
      <c r="J302" s="1106">
        <f>NOMINA!J278</f>
        <v>0</v>
      </c>
      <c r="K302" s="1105">
        <f t="shared" si="15"/>
        <v>2</v>
      </c>
      <c r="L302" s="1106" t="s">
        <v>4932</v>
      </c>
      <c r="M302" s="1106"/>
      <c r="N302" s="1443" t="str">
        <f>NOMINA!O278</f>
        <v>Guia de Centro I</v>
      </c>
      <c r="O302" s="1106">
        <v>1.02087691000006E+18</v>
      </c>
      <c r="P302" s="1107">
        <f>NOMINA!W278</f>
        <v>65</v>
      </c>
      <c r="Q302" s="1108">
        <f>NOMINA!AG278</f>
        <v>1.3</v>
      </c>
      <c r="R302" s="1108">
        <f>NOMINA!AI278</f>
        <v>65</v>
      </c>
      <c r="S302" s="1108">
        <f>NOMINA!AK278</f>
        <v>0</v>
      </c>
      <c r="T302" s="1108">
        <f>+NOMINA!AO278</f>
        <v>0</v>
      </c>
      <c r="U302" s="1108">
        <f>+NOMINA!AQ278</f>
        <v>0</v>
      </c>
      <c r="V302" s="1108">
        <f>+NOMINA!AR278</f>
        <v>0</v>
      </c>
      <c r="W302" s="1108">
        <f>+NOMINA!AS278</f>
        <v>0</v>
      </c>
      <c r="X302" s="1108">
        <f>ROUND(NOMINA!AW278,2)</f>
        <v>86.28</v>
      </c>
      <c r="Y302" s="1108">
        <f>ROUND(NOMINA!AX278,2)</f>
        <v>0</v>
      </c>
      <c r="Z302" s="1108">
        <f>ROUND(NOMINA!BB278,2)+ROUND(NOMINA!BF278,2)</f>
        <v>56.08</v>
      </c>
      <c r="AA302" s="1108">
        <f>ROUND(NOMINA!BK278,2)*0</f>
        <v>0</v>
      </c>
      <c r="AB302" s="1108">
        <f>+NOMINA!BJ278</f>
        <v>12.5</v>
      </c>
      <c r="AC302" s="1108">
        <f>ROUND(NOMINA!BG278,2)</f>
        <v>320</v>
      </c>
      <c r="AD302" s="1711">
        <f t="shared" si="14"/>
        <v>606.16000000000008</v>
      </c>
      <c r="AF302" s="625"/>
    </row>
    <row r="303" spans="1:32" s="620" customFormat="1" ht="18" customHeight="1" thickBot="1" x14ac:dyDescent="0.25">
      <c r="A303" s="758" t="s">
        <v>2846</v>
      </c>
      <c r="B303" s="508">
        <f t="shared" si="16"/>
        <v>236</v>
      </c>
      <c r="C303" s="1102">
        <f>NOMINA!C279</f>
        <v>26114271</v>
      </c>
      <c r="D303" s="1103" t="str">
        <f>NOMINA!D279</f>
        <v>Moncayo Perez Ruddy Bellaliz</v>
      </c>
      <c r="E303" s="1468" t="s">
        <v>4622</v>
      </c>
      <c r="F303" s="1110">
        <v>32351</v>
      </c>
      <c r="G303" s="1468" t="s">
        <v>4620</v>
      </c>
      <c r="H303" s="1442">
        <f>NOMINA!H279</f>
        <v>44636</v>
      </c>
      <c r="I303" s="1105">
        <f>NOMINA!I279</f>
        <v>3</v>
      </c>
      <c r="J303" s="1106">
        <f>NOMINA!J279</f>
        <v>0</v>
      </c>
      <c r="K303" s="1105">
        <f t="shared" si="15"/>
        <v>3</v>
      </c>
      <c r="L303" s="1106" t="s">
        <v>4932</v>
      </c>
      <c r="M303" s="1106"/>
      <c r="N303" s="1443" t="str">
        <f>NOMINA!O279</f>
        <v>Abogado I</v>
      </c>
      <c r="O303" s="1106">
        <v>1.02087691000006E+18</v>
      </c>
      <c r="P303" s="1107">
        <f>NOMINA!W279</f>
        <v>138.5</v>
      </c>
      <c r="Q303" s="1108">
        <f>NOMINA!AG279</f>
        <v>4.1500000000000004</v>
      </c>
      <c r="R303" s="1108">
        <f>NOMINA!AI279</f>
        <v>65</v>
      </c>
      <c r="S303" s="1108">
        <f>NOMINA!AK279</f>
        <v>51.91</v>
      </c>
      <c r="T303" s="1108">
        <f>+NOMINA!AO279</f>
        <v>0</v>
      </c>
      <c r="U303" s="1108">
        <f>+NOMINA!AQ279</f>
        <v>0</v>
      </c>
      <c r="V303" s="1108">
        <f>+NOMINA!AR279</f>
        <v>0</v>
      </c>
      <c r="W303" s="1108">
        <f>+NOMINA!AS279</f>
        <v>0</v>
      </c>
      <c r="X303" s="1108">
        <f>ROUND(NOMINA!AW279,2)</f>
        <v>0</v>
      </c>
      <c r="Y303" s="1108">
        <f>ROUND(NOMINA!AX279,2)</f>
        <v>0</v>
      </c>
      <c r="Z303" s="1108">
        <f>ROUND(NOMINA!BB279,2)+ROUND(NOMINA!BF279,2)</f>
        <v>0</v>
      </c>
      <c r="AA303" s="1108">
        <f>ROUND(NOMINA!BK279,2)*0</f>
        <v>0</v>
      </c>
      <c r="AB303" s="1108">
        <f>+NOMINA!BJ279</f>
        <v>12.5</v>
      </c>
      <c r="AC303" s="1108">
        <f>ROUND(NOMINA!BG279,2)</f>
        <v>320</v>
      </c>
      <c r="AD303" s="1711">
        <f t="shared" si="14"/>
        <v>592.05999999999995</v>
      </c>
      <c r="AF303" s="625"/>
    </row>
    <row r="304" spans="1:32" s="620" customFormat="1" ht="18" customHeight="1" thickBot="1" x14ac:dyDescent="0.25">
      <c r="A304" s="758"/>
      <c r="B304" s="508">
        <f t="shared" si="16"/>
        <v>237</v>
      </c>
      <c r="C304" s="1102">
        <f>NOMINA!C280</f>
        <v>26191823</v>
      </c>
      <c r="D304" s="1103" t="str">
        <f>NOMINA!D280</f>
        <v>Briceño Espinoza Brayhan Jose</v>
      </c>
      <c r="E304" s="1468" t="s">
        <v>4622</v>
      </c>
      <c r="F304" s="1110">
        <v>32351</v>
      </c>
      <c r="G304" s="1468" t="s">
        <v>4620</v>
      </c>
      <c r="H304" s="1442">
        <f>NOMINA!H280</f>
        <v>44470</v>
      </c>
      <c r="I304" s="1105">
        <f>NOMINA!I280</f>
        <v>3</v>
      </c>
      <c r="J304" s="1106">
        <f>NOMINA!J280</f>
        <v>0</v>
      </c>
      <c r="K304" s="1105">
        <f t="shared" si="15"/>
        <v>3</v>
      </c>
      <c r="L304" s="1106" t="s">
        <v>4932</v>
      </c>
      <c r="M304" s="1106"/>
      <c r="N304" s="1443" t="str">
        <f>NOMINA!O280</f>
        <v>Abogado II</v>
      </c>
      <c r="O304" s="1106">
        <v>1.02087691000006E+18</v>
      </c>
      <c r="P304" s="1107">
        <f>NOMINA!W280</f>
        <v>138.5</v>
      </c>
      <c r="Q304" s="1108">
        <f>NOMINA!AG280</f>
        <v>4.1500000000000004</v>
      </c>
      <c r="R304" s="1108">
        <f>NOMINA!AI280</f>
        <v>65</v>
      </c>
      <c r="S304" s="1108">
        <f>NOMINA!AK280</f>
        <v>51.91</v>
      </c>
      <c r="T304" s="1108">
        <f>+NOMINA!AO280</f>
        <v>0</v>
      </c>
      <c r="U304" s="1108">
        <f>+NOMINA!AQ280</f>
        <v>0</v>
      </c>
      <c r="V304" s="1108">
        <f>+NOMINA!AR280</f>
        <v>0</v>
      </c>
      <c r="W304" s="1108">
        <f>+NOMINA!AS280</f>
        <v>0</v>
      </c>
      <c r="X304" s="1108">
        <f>ROUND(NOMINA!AW280,2)</f>
        <v>0</v>
      </c>
      <c r="Y304" s="1108">
        <f>ROUND(NOMINA!AX280,2)</f>
        <v>0</v>
      </c>
      <c r="Z304" s="1108">
        <f>ROUND(NOMINA!BB280,2)+ROUND(NOMINA!BF280,2)</f>
        <v>0</v>
      </c>
      <c r="AA304" s="1108">
        <f>ROUND(NOMINA!BK280,2)*0</f>
        <v>0</v>
      </c>
      <c r="AB304" s="1108">
        <f>+NOMINA!BJ280</f>
        <v>12.5</v>
      </c>
      <c r="AC304" s="1108">
        <f>ROUND(NOMINA!BG280,2)</f>
        <v>320</v>
      </c>
      <c r="AD304" s="1711">
        <f t="shared" si="14"/>
        <v>592.05999999999995</v>
      </c>
      <c r="AF304" s="625"/>
    </row>
    <row r="305" spans="1:32" s="620" customFormat="1" ht="18" customHeight="1" thickBot="1" x14ac:dyDescent="0.25">
      <c r="A305" s="758"/>
      <c r="B305" s="508">
        <f t="shared" si="16"/>
        <v>238</v>
      </c>
      <c r="C305" s="1102">
        <f>NOMINA!C281</f>
        <v>26235963</v>
      </c>
      <c r="D305" s="1103" t="str">
        <f>NOMINA!D281</f>
        <v>Segovia Segovia Freylu Margarita</v>
      </c>
      <c r="E305" s="1468" t="s">
        <v>4622</v>
      </c>
      <c r="F305" s="1110">
        <v>32351</v>
      </c>
      <c r="G305" s="1468" t="s">
        <v>4620</v>
      </c>
      <c r="H305" s="1442">
        <f>NOMINA!H281</f>
        <v>45383</v>
      </c>
      <c r="I305" s="1105">
        <f>NOMINA!I281</f>
        <v>1</v>
      </c>
      <c r="J305" s="1106">
        <f>NOMINA!J281</f>
        <v>0</v>
      </c>
      <c r="K305" s="1105">
        <f t="shared" si="15"/>
        <v>1</v>
      </c>
      <c r="L305" s="1106" t="s">
        <v>4932</v>
      </c>
      <c r="M305" s="1106"/>
      <c r="N305" s="1443" t="str">
        <f>NOMINA!O281</f>
        <v>Psicologo I</v>
      </c>
      <c r="O305" s="1106">
        <v>1.02087691000006E+18</v>
      </c>
      <c r="P305" s="1107">
        <f>NOMINA!W281</f>
        <v>123</v>
      </c>
      <c r="Q305" s="1108">
        <f>NOMINA!AG281</f>
        <v>1.23</v>
      </c>
      <c r="R305" s="1108">
        <f>NOMINA!AI281</f>
        <v>65</v>
      </c>
      <c r="S305" s="1108">
        <f>NOMINA!AK281</f>
        <v>48.87</v>
      </c>
      <c r="T305" s="1108">
        <f>+NOMINA!AO281</f>
        <v>0</v>
      </c>
      <c r="U305" s="1108">
        <f>+NOMINA!AQ281</f>
        <v>0</v>
      </c>
      <c r="V305" s="1108">
        <f>+NOMINA!AR281</f>
        <v>0</v>
      </c>
      <c r="W305" s="1108">
        <f>+NOMINA!AS281</f>
        <v>0</v>
      </c>
      <c r="X305" s="1108">
        <f>ROUND(NOMINA!AW281,2)</f>
        <v>0</v>
      </c>
      <c r="Y305" s="1108">
        <f>ROUND(NOMINA!AX281,2)</f>
        <v>0</v>
      </c>
      <c r="Z305" s="1108">
        <f>ROUND(NOMINA!BB281,2)+ROUND(NOMINA!BF281,2)</f>
        <v>0</v>
      </c>
      <c r="AA305" s="1108">
        <f>ROUND(NOMINA!BK281,2)*0</f>
        <v>0</v>
      </c>
      <c r="AB305" s="1108">
        <f>+NOMINA!BJ281</f>
        <v>12.5</v>
      </c>
      <c r="AC305" s="1108">
        <f>ROUND(NOMINA!BG281,2)</f>
        <v>320</v>
      </c>
      <c r="AD305" s="1711">
        <f t="shared" si="14"/>
        <v>570.6</v>
      </c>
      <c r="AF305" s="625"/>
    </row>
    <row r="306" spans="1:32" s="620" customFormat="1" ht="18" customHeight="1" thickBot="1" x14ac:dyDescent="0.25">
      <c r="A306" s="758"/>
      <c r="B306" s="508">
        <f t="shared" si="16"/>
        <v>239</v>
      </c>
      <c r="C306" s="1102">
        <f>NOMINA!C282</f>
        <v>26413871</v>
      </c>
      <c r="D306" s="1103" t="str">
        <f>NOMINA!D282</f>
        <v>Molina Rojas Genesis Angely</v>
      </c>
      <c r="E306" s="1468" t="s">
        <v>4622</v>
      </c>
      <c r="F306" s="1110">
        <v>32351</v>
      </c>
      <c r="G306" s="1468" t="s">
        <v>4620</v>
      </c>
      <c r="H306" s="1442">
        <f>NOMINA!H282</f>
        <v>44228</v>
      </c>
      <c r="I306" s="1105">
        <f>NOMINA!I282</f>
        <v>4</v>
      </c>
      <c r="J306" s="1106">
        <f>NOMINA!J282</f>
        <v>0</v>
      </c>
      <c r="K306" s="1105">
        <f t="shared" si="15"/>
        <v>4</v>
      </c>
      <c r="L306" s="1106" t="s">
        <v>4932</v>
      </c>
      <c r="M306" s="1106"/>
      <c r="N306" s="1443" t="str">
        <f>NOMINA!O282</f>
        <v>Guia de Centro I</v>
      </c>
      <c r="O306" s="1106">
        <v>1.02087691000006E+18</v>
      </c>
      <c r="P306" s="1107">
        <f>NOMINA!W282</f>
        <v>75</v>
      </c>
      <c r="Q306" s="1108">
        <f>NOMINA!AG282</f>
        <v>3</v>
      </c>
      <c r="R306" s="1108">
        <f>NOMINA!AI282</f>
        <v>65</v>
      </c>
      <c r="S306" s="1108">
        <f>NOMINA!AK282</f>
        <v>0</v>
      </c>
      <c r="T306" s="1108">
        <f>+NOMINA!AO282</f>
        <v>0</v>
      </c>
      <c r="U306" s="1108">
        <f>+NOMINA!AQ282</f>
        <v>0</v>
      </c>
      <c r="V306" s="1108">
        <f>+NOMINA!AR282</f>
        <v>0</v>
      </c>
      <c r="W306" s="1108">
        <f>+NOMINA!AS282</f>
        <v>0</v>
      </c>
      <c r="X306" s="1108">
        <f>ROUND(NOMINA!AW282,2)</f>
        <v>93.3</v>
      </c>
      <c r="Y306" s="1108">
        <f>ROUND(NOMINA!AX282,2)</f>
        <v>0</v>
      </c>
      <c r="Z306" s="1108">
        <f>ROUND(NOMINA!BB282,2)+ROUND(NOMINA!BF282,2)</f>
        <v>20.22</v>
      </c>
      <c r="AA306" s="1108">
        <f>ROUND(NOMINA!BK282,2)*0</f>
        <v>0</v>
      </c>
      <c r="AB306" s="1108">
        <f>+NOMINA!BJ282</f>
        <v>12.5</v>
      </c>
      <c r="AC306" s="1108">
        <f>ROUND(NOMINA!BG282,2)</f>
        <v>320</v>
      </c>
      <c r="AD306" s="1711">
        <f t="shared" si="14"/>
        <v>589.02</v>
      </c>
      <c r="AF306" s="625"/>
    </row>
    <row r="307" spans="1:32" s="620" customFormat="1" ht="18" customHeight="1" thickBot="1" x14ac:dyDescent="0.25">
      <c r="A307" s="758"/>
      <c r="B307" s="508">
        <f t="shared" si="16"/>
        <v>240</v>
      </c>
      <c r="C307" s="1102">
        <f>NOMINA!C283</f>
        <v>26591879</v>
      </c>
      <c r="D307" s="1103" t="str">
        <f>NOMINA!D283</f>
        <v>Delgado Cabezas Rosa Magdalena</v>
      </c>
      <c r="E307" s="1468" t="s">
        <v>4622</v>
      </c>
      <c r="F307" s="1110">
        <v>32351</v>
      </c>
      <c r="G307" s="1468" t="s">
        <v>4620</v>
      </c>
      <c r="H307" s="1442">
        <f>NOMINA!H283</f>
        <v>43587</v>
      </c>
      <c r="I307" s="1105">
        <f>NOMINA!I283</f>
        <v>6</v>
      </c>
      <c r="J307" s="1106">
        <f>NOMINA!J283</f>
        <v>0</v>
      </c>
      <c r="K307" s="1105">
        <f t="shared" si="15"/>
        <v>6</v>
      </c>
      <c r="L307" s="1106" t="s">
        <v>4932</v>
      </c>
      <c r="M307" s="1106"/>
      <c r="N307" s="1443" t="str">
        <f>NOMINA!O283</f>
        <v>Psicologo II</v>
      </c>
      <c r="O307" s="1106">
        <v>1.02087691000006E+18</v>
      </c>
      <c r="P307" s="1107">
        <f>NOMINA!W283</f>
        <v>139.5</v>
      </c>
      <c r="Q307" s="1108">
        <f>NOMINA!AG283</f>
        <v>8.65</v>
      </c>
      <c r="R307" s="1108">
        <f>NOMINA!AI283</f>
        <v>65</v>
      </c>
      <c r="S307" s="1108">
        <f>NOMINA!AK283</f>
        <v>54.85</v>
      </c>
      <c r="T307" s="1108">
        <f>+NOMINA!AO283</f>
        <v>0</v>
      </c>
      <c r="U307" s="1108">
        <f>+NOMINA!AQ283</f>
        <v>0</v>
      </c>
      <c r="V307" s="1108">
        <f>+NOMINA!AR283</f>
        <v>0</v>
      </c>
      <c r="W307" s="1108">
        <f>+NOMINA!AS283</f>
        <v>0</v>
      </c>
      <c r="X307" s="1108">
        <f>ROUND(NOMINA!AW283,2)</f>
        <v>0</v>
      </c>
      <c r="Y307" s="1108">
        <f>ROUND(NOMINA!AX283,2)</f>
        <v>0</v>
      </c>
      <c r="Z307" s="1108">
        <f>ROUND(NOMINA!BB283,2)+ROUND(NOMINA!BF283,2)</f>
        <v>0</v>
      </c>
      <c r="AA307" s="1108">
        <f>ROUND(NOMINA!BK283,2)*0</f>
        <v>0</v>
      </c>
      <c r="AB307" s="1108">
        <f>+NOMINA!BJ283</f>
        <v>12.5</v>
      </c>
      <c r="AC307" s="1108">
        <f>ROUND(NOMINA!BG283,2)</f>
        <v>320</v>
      </c>
      <c r="AD307" s="1711">
        <f t="shared" si="14"/>
        <v>600.5</v>
      </c>
      <c r="AF307" s="625"/>
    </row>
    <row r="308" spans="1:32" s="620" customFormat="1" ht="18" customHeight="1" thickBot="1" x14ac:dyDescent="0.25">
      <c r="A308" s="758"/>
      <c r="B308" s="508">
        <f t="shared" si="16"/>
        <v>241</v>
      </c>
      <c r="C308" s="1102">
        <f>NOMINA!C284</f>
        <v>26690908</v>
      </c>
      <c r="D308" s="1103" t="str">
        <f>NOMINA!D284</f>
        <v>Segovia Lisbeira del Carmen</v>
      </c>
      <c r="E308" s="1468" t="s">
        <v>4622</v>
      </c>
      <c r="F308" s="1110">
        <v>32351</v>
      </c>
      <c r="G308" s="1468" t="s">
        <v>4620</v>
      </c>
      <c r="H308" s="1442">
        <f>NOMINA!H284</f>
        <v>44228</v>
      </c>
      <c r="I308" s="1105">
        <f>NOMINA!I284</f>
        <v>4</v>
      </c>
      <c r="J308" s="1106">
        <f>NOMINA!J284</f>
        <v>0</v>
      </c>
      <c r="K308" s="1105">
        <f t="shared" si="15"/>
        <v>4</v>
      </c>
      <c r="L308" s="1106" t="s">
        <v>4932</v>
      </c>
      <c r="M308" s="1106"/>
      <c r="N308" s="1443" t="str">
        <f>NOMINA!O284</f>
        <v>Guia de Centro I</v>
      </c>
      <c r="O308" s="1106">
        <v>1.02087691000006E+18</v>
      </c>
      <c r="P308" s="1107">
        <f>NOMINA!W284</f>
        <v>75</v>
      </c>
      <c r="Q308" s="1108">
        <f>NOMINA!AG284</f>
        <v>3</v>
      </c>
      <c r="R308" s="1108">
        <f>NOMINA!AI284</f>
        <v>65</v>
      </c>
      <c r="S308" s="1108">
        <f>NOMINA!AK284</f>
        <v>0</v>
      </c>
      <c r="T308" s="1108">
        <f>+NOMINA!AO284</f>
        <v>0</v>
      </c>
      <c r="U308" s="1108">
        <f>+NOMINA!AQ284</f>
        <v>0</v>
      </c>
      <c r="V308" s="1108">
        <f>+NOMINA!AR284</f>
        <v>0</v>
      </c>
      <c r="W308" s="1108">
        <f>+NOMINA!AS284</f>
        <v>0</v>
      </c>
      <c r="X308" s="1108">
        <f>ROUND(NOMINA!AW284,2)</f>
        <v>89.55</v>
      </c>
      <c r="Y308" s="1108">
        <f>ROUND(NOMINA!AX284,2)</f>
        <v>0</v>
      </c>
      <c r="Z308" s="1108">
        <f>ROUND(NOMINA!BB284,2)+ROUND(NOMINA!BF284,2)</f>
        <v>58.21</v>
      </c>
      <c r="AA308" s="1108">
        <f>ROUND(NOMINA!BK284,2)*0</f>
        <v>0</v>
      </c>
      <c r="AB308" s="1108">
        <f>+NOMINA!BJ284</f>
        <v>12.5</v>
      </c>
      <c r="AC308" s="1108">
        <f>ROUND(NOMINA!BG284,2)</f>
        <v>320</v>
      </c>
      <c r="AD308" s="1711">
        <f t="shared" si="14"/>
        <v>623.26</v>
      </c>
      <c r="AF308" s="625"/>
    </row>
    <row r="309" spans="1:32" s="620" customFormat="1" ht="18" customHeight="1" thickBot="1" x14ac:dyDescent="0.25">
      <c r="A309" s="758"/>
      <c r="B309" s="508">
        <f t="shared" si="16"/>
        <v>242</v>
      </c>
      <c r="C309" s="1102">
        <f>NOMINA!C285</f>
        <v>26962104</v>
      </c>
      <c r="D309" s="1103" t="str">
        <f>NOMINA!D285</f>
        <v>Rubio Briceño Diana Carolina</v>
      </c>
      <c r="E309" s="1468" t="s">
        <v>4622</v>
      </c>
      <c r="F309" s="1110">
        <v>32351</v>
      </c>
      <c r="G309" s="1468" t="s">
        <v>4620</v>
      </c>
      <c r="H309" s="1442">
        <f>NOMINA!H285</f>
        <v>44393</v>
      </c>
      <c r="I309" s="1105">
        <f>NOMINA!I285</f>
        <v>4</v>
      </c>
      <c r="J309" s="1106">
        <f>NOMINA!J285</f>
        <v>0</v>
      </c>
      <c r="K309" s="1105">
        <f t="shared" si="15"/>
        <v>4</v>
      </c>
      <c r="L309" s="1106" t="s">
        <v>4932</v>
      </c>
      <c r="M309" s="1106"/>
      <c r="N309" s="1443" t="str">
        <f>NOMINA!O285</f>
        <v>Asistente Administrativo II</v>
      </c>
      <c r="O309" s="1106">
        <v>1.02087691000006E+18</v>
      </c>
      <c r="P309" s="1107">
        <f>NOMINA!W285</f>
        <v>75</v>
      </c>
      <c r="Q309" s="1108">
        <f>NOMINA!AG285</f>
        <v>3</v>
      </c>
      <c r="R309" s="1108">
        <f>NOMINA!AI285</f>
        <v>65</v>
      </c>
      <c r="S309" s="1108">
        <f>NOMINA!AK285</f>
        <v>0</v>
      </c>
      <c r="T309" s="1108">
        <f>+NOMINA!AO285</f>
        <v>0</v>
      </c>
      <c r="U309" s="1108">
        <f>+NOMINA!AQ285</f>
        <v>0</v>
      </c>
      <c r="V309" s="1108">
        <f>+NOMINA!AR285</f>
        <v>12.5</v>
      </c>
      <c r="W309" s="1108">
        <f>+NOMINA!AS285</f>
        <v>0</v>
      </c>
      <c r="X309" s="1108">
        <f>ROUND(NOMINA!AW285,2)</f>
        <v>0</v>
      </c>
      <c r="Y309" s="1108">
        <f>ROUND(NOMINA!AX285,2)</f>
        <v>0</v>
      </c>
      <c r="Z309" s="1108">
        <f>ROUND(NOMINA!BB285,2)+ROUND(NOMINA!BF285,2)</f>
        <v>0</v>
      </c>
      <c r="AA309" s="1108">
        <f>ROUND(NOMINA!BK285,2)*0</f>
        <v>0</v>
      </c>
      <c r="AB309" s="1108">
        <f>+NOMINA!BJ285</f>
        <v>12.5</v>
      </c>
      <c r="AC309" s="1108">
        <f>ROUND(NOMINA!BG285,2)</f>
        <v>320</v>
      </c>
      <c r="AD309" s="1711">
        <f t="shared" si="14"/>
        <v>488</v>
      </c>
      <c r="AF309" s="625"/>
    </row>
    <row r="310" spans="1:32" s="620" customFormat="1" ht="18" customHeight="1" thickBot="1" x14ac:dyDescent="0.25">
      <c r="A310" s="758"/>
      <c r="B310" s="508">
        <f t="shared" si="16"/>
        <v>243</v>
      </c>
      <c r="C310" s="1102">
        <f>NOMINA!C286</f>
        <v>27022450</v>
      </c>
      <c r="D310" s="1103" t="str">
        <f>NOMINA!D286</f>
        <v>Montilla Gonzalez Maria Alexandra</v>
      </c>
      <c r="E310" s="1468" t="s">
        <v>4622</v>
      </c>
      <c r="F310" s="1110">
        <v>32351</v>
      </c>
      <c r="G310" s="1468" t="s">
        <v>4620</v>
      </c>
      <c r="H310" s="1442">
        <f>NOMINA!H286</f>
        <v>45717</v>
      </c>
      <c r="I310" s="1105">
        <f>NOMINA!I286</f>
        <v>0</v>
      </c>
      <c r="J310" s="1106">
        <f>NOMINA!J286</f>
        <v>0</v>
      </c>
      <c r="K310" s="1105">
        <f t="shared" si="15"/>
        <v>0</v>
      </c>
      <c r="L310" s="1106" t="s">
        <v>4932</v>
      </c>
      <c r="M310" s="1106"/>
      <c r="N310" s="1443" t="str">
        <f>NOMINA!O286</f>
        <v>Tecnico Superior en Trabajo Social I</v>
      </c>
      <c r="O310" s="1106">
        <v>1.02087691000006E+18</v>
      </c>
      <c r="P310" s="1107">
        <f>NOMINA!W286</f>
        <v>96</v>
      </c>
      <c r="Q310" s="1108">
        <f>NOMINA!AG286</f>
        <v>0</v>
      </c>
      <c r="R310" s="1108">
        <f>NOMINA!AI286</f>
        <v>65</v>
      </c>
      <c r="S310" s="1108">
        <f>NOMINA!AK286</f>
        <v>32.200000000000003</v>
      </c>
      <c r="T310" s="1108">
        <f>+NOMINA!AO286</f>
        <v>0</v>
      </c>
      <c r="U310" s="1108">
        <f>+NOMINA!AQ286</f>
        <v>0</v>
      </c>
      <c r="V310" s="1108">
        <f>+NOMINA!AR286</f>
        <v>0</v>
      </c>
      <c r="W310" s="1108">
        <f>+NOMINA!AS286</f>
        <v>0</v>
      </c>
      <c r="X310" s="1108">
        <f>ROUND(NOMINA!AW286,2)</f>
        <v>0</v>
      </c>
      <c r="Y310" s="1108">
        <f>ROUND(NOMINA!AX286,2)</f>
        <v>0</v>
      </c>
      <c r="Z310" s="1108">
        <f>ROUND(NOMINA!BB286,2)+ROUND(NOMINA!BF286,2)</f>
        <v>0</v>
      </c>
      <c r="AA310" s="1108">
        <f>ROUND(NOMINA!BK286,2)*0</f>
        <v>0</v>
      </c>
      <c r="AB310" s="1108">
        <f>+NOMINA!BJ286</f>
        <v>12.5</v>
      </c>
      <c r="AC310" s="1108">
        <f>ROUND(NOMINA!BG286,2)</f>
        <v>320</v>
      </c>
      <c r="AD310" s="1711">
        <f t="shared" si="14"/>
        <v>525.70000000000005</v>
      </c>
      <c r="AF310" s="625"/>
    </row>
    <row r="311" spans="1:32" s="620" customFormat="1" ht="18" customHeight="1" thickBot="1" x14ac:dyDescent="0.25">
      <c r="A311" s="758"/>
      <c r="B311" s="508">
        <f t="shared" si="16"/>
        <v>244</v>
      </c>
      <c r="C311" s="1102">
        <f>NOMINA!C287</f>
        <v>27251885</v>
      </c>
      <c r="D311" s="1103" t="str">
        <f>NOMINA!D287</f>
        <v>Barrozo Godoy Kellem Daniela</v>
      </c>
      <c r="E311" s="1468" t="s">
        <v>4622</v>
      </c>
      <c r="F311" s="1110">
        <v>32351</v>
      </c>
      <c r="G311" s="1468" t="s">
        <v>4620</v>
      </c>
      <c r="H311" s="1442">
        <f>NOMINA!H287</f>
        <v>45474</v>
      </c>
      <c r="I311" s="1105">
        <f>NOMINA!I287</f>
        <v>1</v>
      </c>
      <c r="J311" s="1106">
        <f>NOMINA!J287</f>
        <v>0</v>
      </c>
      <c r="K311" s="1105">
        <f t="shared" si="15"/>
        <v>1</v>
      </c>
      <c r="L311" s="1106" t="s">
        <v>4932</v>
      </c>
      <c r="M311" s="1106"/>
      <c r="N311" s="1443" t="str">
        <f>NOMINA!O287</f>
        <v>Guia de Centro I</v>
      </c>
      <c r="O311" s="1106">
        <v>1.02087691000006E+18</v>
      </c>
      <c r="P311" s="1107">
        <f>NOMINA!W287</f>
        <v>65</v>
      </c>
      <c r="Q311" s="1108">
        <f>NOMINA!AG287</f>
        <v>0.65</v>
      </c>
      <c r="R311" s="1108">
        <f>NOMINA!AI287</f>
        <v>65</v>
      </c>
      <c r="S311" s="1108">
        <f>NOMINA!AK287</f>
        <v>0</v>
      </c>
      <c r="T311" s="1108">
        <f>+NOMINA!AO287</f>
        <v>12.5</v>
      </c>
      <c r="U311" s="1108">
        <f>+NOMINA!AQ287</f>
        <v>0</v>
      </c>
      <c r="V311" s="1108">
        <f>+NOMINA!AR287</f>
        <v>0</v>
      </c>
      <c r="W311" s="1108">
        <f>+NOMINA!AS287</f>
        <v>0</v>
      </c>
      <c r="X311" s="1108">
        <f>ROUND(NOMINA!AW287,2)</f>
        <v>82.14</v>
      </c>
      <c r="Y311" s="1108">
        <f>ROUND(NOMINA!AX287,2)</f>
        <v>0</v>
      </c>
      <c r="Z311" s="1108">
        <f>ROUND(NOMINA!BB287,2)+ROUND(NOMINA!BF287,2)</f>
        <v>53.39</v>
      </c>
      <c r="AA311" s="1108">
        <f>ROUND(NOMINA!BK287,2)*0</f>
        <v>0</v>
      </c>
      <c r="AB311" s="1108">
        <f>+NOMINA!BJ287</f>
        <v>12.5</v>
      </c>
      <c r="AC311" s="1108">
        <f>ROUND(NOMINA!BG287,2)</f>
        <v>320</v>
      </c>
      <c r="AD311" s="1711">
        <f t="shared" si="14"/>
        <v>611.18000000000006</v>
      </c>
      <c r="AF311" s="625"/>
    </row>
    <row r="312" spans="1:32" s="620" customFormat="1" ht="18" customHeight="1" thickBot="1" x14ac:dyDescent="0.25">
      <c r="A312" s="758"/>
      <c r="B312" s="508">
        <f t="shared" si="16"/>
        <v>245</v>
      </c>
      <c r="C312" s="1102">
        <f>NOMINA!C288</f>
        <v>27251899</v>
      </c>
      <c r="D312" s="1103" t="str">
        <f>NOMINA!D288</f>
        <v>Perez Gonzalez Maria Ines</v>
      </c>
      <c r="E312" s="1468" t="s">
        <v>4622</v>
      </c>
      <c r="F312" s="1110">
        <v>32351</v>
      </c>
      <c r="G312" s="1468" t="s">
        <v>4620</v>
      </c>
      <c r="H312" s="1442">
        <f>NOMINA!H288</f>
        <v>45474</v>
      </c>
      <c r="I312" s="1105">
        <f>NOMINA!I288</f>
        <v>1</v>
      </c>
      <c r="J312" s="1106">
        <f>NOMINA!J288</f>
        <v>0</v>
      </c>
      <c r="K312" s="1105">
        <f t="shared" si="15"/>
        <v>1</v>
      </c>
      <c r="L312" s="1106" t="s">
        <v>4932</v>
      </c>
      <c r="M312" s="1106"/>
      <c r="N312" s="1443" t="str">
        <f>NOMINA!O288</f>
        <v>Guia de Centro I</v>
      </c>
      <c r="O312" s="1106">
        <v>1.02087691000006E+18</v>
      </c>
      <c r="P312" s="1107">
        <f>NOMINA!W288</f>
        <v>65</v>
      </c>
      <c r="Q312" s="1108">
        <f>NOMINA!AG288</f>
        <v>0.65</v>
      </c>
      <c r="R312" s="1108">
        <f>NOMINA!AI288</f>
        <v>65</v>
      </c>
      <c r="S312" s="1108">
        <f>NOMINA!AK288</f>
        <v>0</v>
      </c>
      <c r="T312" s="1108">
        <f>+NOMINA!AO288</f>
        <v>0</v>
      </c>
      <c r="U312" s="1108">
        <f>+NOMINA!AQ288</f>
        <v>0</v>
      </c>
      <c r="V312" s="1108">
        <f>+NOMINA!AR288</f>
        <v>0</v>
      </c>
      <c r="W312" s="1108">
        <f>+NOMINA!AS288</f>
        <v>0</v>
      </c>
      <c r="X312" s="1108">
        <f>ROUND(NOMINA!AW288,2)</f>
        <v>82.14</v>
      </c>
      <c r="Y312" s="1108">
        <f>ROUND(NOMINA!AX288,2)</f>
        <v>0</v>
      </c>
      <c r="Z312" s="1108">
        <f>ROUND(NOMINA!BB288,2)+ROUND(NOMINA!BF288,2)</f>
        <v>53.39</v>
      </c>
      <c r="AA312" s="1108">
        <f>ROUND(NOMINA!BK288,2)*0</f>
        <v>0</v>
      </c>
      <c r="AB312" s="1108">
        <f>+NOMINA!BJ288</f>
        <v>12.5</v>
      </c>
      <c r="AC312" s="1108">
        <f>ROUND(NOMINA!BG288,2)</f>
        <v>320</v>
      </c>
      <c r="AD312" s="1711">
        <f t="shared" si="14"/>
        <v>598.68000000000006</v>
      </c>
      <c r="AF312" s="625"/>
    </row>
    <row r="313" spans="1:32" s="620" customFormat="1" ht="18" customHeight="1" thickBot="1" x14ac:dyDescent="0.25">
      <c r="A313" s="758"/>
      <c r="B313" s="508">
        <f t="shared" si="16"/>
        <v>246</v>
      </c>
      <c r="C313" s="1102">
        <f>NOMINA!C289</f>
        <v>27363633</v>
      </c>
      <c r="D313" s="1103" t="str">
        <f>NOMINA!D289</f>
        <v>Padilla Blanco Melany Marian</v>
      </c>
      <c r="E313" s="1468" t="s">
        <v>4622</v>
      </c>
      <c r="F313" s="1110">
        <v>32351</v>
      </c>
      <c r="G313" s="1468" t="s">
        <v>4620</v>
      </c>
      <c r="H313" s="1442">
        <f>NOMINA!H289</f>
        <v>45627</v>
      </c>
      <c r="I313" s="1105">
        <f>NOMINA!I289</f>
        <v>0</v>
      </c>
      <c r="J313" s="1106">
        <f>NOMINA!J289</f>
        <v>0</v>
      </c>
      <c r="K313" s="1105">
        <f t="shared" si="15"/>
        <v>0</v>
      </c>
      <c r="L313" s="1106" t="s">
        <v>4932</v>
      </c>
      <c r="M313" s="1106"/>
      <c r="N313" s="1443" t="str">
        <f>NOMINA!O289</f>
        <v>Guia de Centro I</v>
      </c>
      <c r="O313" s="1106">
        <v>1.02087691000006E+18</v>
      </c>
      <c r="P313" s="1107">
        <f>NOMINA!W289</f>
        <v>65</v>
      </c>
      <c r="Q313" s="1108">
        <f>NOMINA!AG289</f>
        <v>0</v>
      </c>
      <c r="R313" s="1108">
        <f>NOMINA!AI289</f>
        <v>65</v>
      </c>
      <c r="S313" s="1108">
        <f>NOMINA!AK289</f>
        <v>0</v>
      </c>
      <c r="T313" s="1108">
        <f>+NOMINA!AO289</f>
        <v>0</v>
      </c>
      <c r="U313" s="1108">
        <f>+NOMINA!AQ289</f>
        <v>0</v>
      </c>
      <c r="V313" s="1108">
        <f>+NOMINA!AR289</f>
        <v>0</v>
      </c>
      <c r="W313" s="1108">
        <f>+NOMINA!AS289</f>
        <v>0</v>
      </c>
      <c r="X313" s="1108">
        <f>ROUND(NOMINA!AW289,2)</f>
        <v>78</v>
      </c>
      <c r="Y313" s="1108">
        <f>ROUND(NOMINA!AX289,2)</f>
        <v>0</v>
      </c>
      <c r="Z313" s="1108">
        <f>ROUND(NOMINA!BB289,2)+ROUND(NOMINA!BF289,2)</f>
        <v>50.7</v>
      </c>
      <c r="AA313" s="1108">
        <f>ROUND(NOMINA!BK289,2)*0</f>
        <v>0</v>
      </c>
      <c r="AB313" s="1108">
        <f>+NOMINA!BJ289</f>
        <v>12.5</v>
      </c>
      <c r="AC313" s="1108">
        <f>ROUND(NOMINA!BG289,2)</f>
        <v>320</v>
      </c>
      <c r="AD313" s="1711">
        <f t="shared" si="14"/>
        <v>591.20000000000005</v>
      </c>
      <c r="AF313" s="625"/>
    </row>
    <row r="314" spans="1:32" s="620" customFormat="1" ht="18" customHeight="1" thickBot="1" x14ac:dyDescent="0.25">
      <c r="A314" s="758"/>
      <c r="B314" s="508">
        <f t="shared" si="16"/>
        <v>247</v>
      </c>
      <c r="C314" s="1102">
        <f>NOMINA!C290</f>
        <v>27415737</v>
      </c>
      <c r="D314" s="1103" t="str">
        <f>NOMINA!D290</f>
        <v>Rivas Torres Rosa Alba</v>
      </c>
      <c r="E314" s="1468" t="s">
        <v>4622</v>
      </c>
      <c r="F314" s="1110">
        <v>32351</v>
      </c>
      <c r="G314" s="1468" t="s">
        <v>4620</v>
      </c>
      <c r="H314" s="1442">
        <f>NOMINA!H290</f>
        <v>44363</v>
      </c>
      <c r="I314" s="1105">
        <f>NOMINA!I290</f>
        <v>4</v>
      </c>
      <c r="J314" s="1106">
        <f>NOMINA!J290</f>
        <v>0</v>
      </c>
      <c r="K314" s="1105">
        <f t="shared" si="15"/>
        <v>4</v>
      </c>
      <c r="L314" s="1106" t="s">
        <v>4932</v>
      </c>
      <c r="M314" s="1106"/>
      <c r="N314" s="1443" t="str">
        <f>NOMINA!O290</f>
        <v>Asistente Administrativo II</v>
      </c>
      <c r="O314" s="1106">
        <v>1.02087691000006E+18</v>
      </c>
      <c r="P314" s="1107">
        <f>NOMINA!W290</f>
        <v>75</v>
      </c>
      <c r="Q314" s="1108">
        <f>NOMINA!AG290</f>
        <v>3</v>
      </c>
      <c r="R314" s="1108">
        <f>NOMINA!AI290</f>
        <v>65</v>
      </c>
      <c r="S314" s="1108">
        <f>NOMINA!AK290</f>
        <v>0</v>
      </c>
      <c r="T314" s="1108">
        <f>+NOMINA!AO290</f>
        <v>0</v>
      </c>
      <c r="U314" s="1108">
        <f>+NOMINA!AQ290</f>
        <v>0</v>
      </c>
      <c r="V314" s="1108">
        <f>+NOMINA!AR290</f>
        <v>0</v>
      </c>
      <c r="W314" s="1108">
        <f>+NOMINA!AS290</f>
        <v>12.5</v>
      </c>
      <c r="X314" s="1108">
        <f>ROUND(NOMINA!AW290,2)</f>
        <v>0</v>
      </c>
      <c r="Y314" s="1108">
        <f>ROUND(NOMINA!AX290,2)</f>
        <v>0</v>
      </c>
      <c r="Z314" s="1108">
        <f>ROUND(NOMINA!BB290,2)+ROUND(NOMINA!BF290,2)</f>
        <v>0</v>
      </c>
      <c r="AA314" s="1108">
        <f>ROUND(NOMINA!BK290,2)*0</f>
        <v>0</v>
      </c>
      <c r="AB314" s="1108">
        <f>+NOMINA!BJ290</f>
        <v>12.5</v>
      </c>
      <c r="AC314" s="1108">
        <f>ROUND(NOMINA!BG290,2)</f>
        <v>320</v>
      </c>
      <c r="AD314" s="1711">
        <f t="shared" si="14"/>
        <v>488</v>
      </c>
      <c r="AF314" s="625"/>
    </row>
    <row r="315" spans="1:32" s="620" customFormat="1" ht="18" customHeight="1" thickBot="1" x14ac:dyDescent="0.25">
      <c r="A315" s="758"/>
      <c r="B315" s="508">
        <f t="shared" si="16"/>
        <v>248</v>
      </c>
      <c r="C315" s="1102">
        <f>NOMINA!C291</f>
        <v>27415888</v>
      </c>
      <c r="D315" s="1103" t="str">
        <f>NOMINA!D291</f>
        <v>Perdomo Juarez Jose de Jesus</v>
      </c>
      <c r="E315" s="1468" t="s">
        <v>4622</v>
      </c>
      <c r="F315" s="1110">
        <v>32351</v>
      </c>
      <c r="G315" s="1468" t="s">
        <v>4620</v>
      </c>
      <c r="H315" s="1442">
        <f>NOMINA!H291</f>
        <v>44713</v>
      </c>
      <c r="I315" s="1105">
        <f>NOMINA!I291</f>
        <v>3</v>
      </c>
      <c r="J315" s="1106">
        <f>NOMINA!J291</f>
        <v>3</v>
      </c>
      <c r="K315" s="1105">
        <f t="shared" si="15"/>
        <v>6</v>
      </c>
      <c r="L315" s="1106" t="s">
        <v>4932</v>
      </c>
      <c r="M315" s="1106"/>
      <c r="N315" s="1443" t="str">
        <f>NOMINA!O291</f>
        <v>Entrenador Deportivo II</v>
      </c>
      <c r="O315" s="1106">
        <v>1.02087691000006E+18</v>
      </c>
      <c r="P315" s="1107">
        <f>NOMINA!W291</f>
        <v>85</v>
      </c>
      <c r="Q315" s="1108">
        <f>NOMINA!AG291</f>
        <v>5.27</v>
      </c>
      <c r="R315" s="1108">
        <f>NOMINA!AI291</f>
        <v>65</v>
      </c>
      <c r="S315" s="1108">
        <f>NOMINA!AK291</f>
        <v>0</v>
      </c>
      <c r="T315" s="1108">
        <f>+NOMINA!AO291</f>
        <v>0</v>
      </c>
      <c r="U315" s="1108">
        <f>+NOMINA!AQ291</f>
        <v>0</v>
      </c>
      <c r="V315" s="1108">
        <f>+NOMINA!AR291</f>
        <v>0</v>
      </c>
      <c r="W315" s="1108">
        <f>+NOMINA!AS291</f>
        <v>0</v>
      </c>
      <c r="X315" s="1108">
        <f>ROUND(NOMINA!AW291,2)</f>
        <v>0</v>
      </c>
      <c r="Y315" s="1108">
        <f>ROUND(NOMINA!AX291,2)</f>
        <v>0</v>
      </c>
      <c r="Z315" s="1108">
        <f>ROUND(NOMINA!BB291,2)+ROUND(NOMINA!BF291,2)</f>
        <v>0</v>
      </c>
      <c r="AA315" s="1108">
        <f>ROUND(NOMINA!BK291,2)*0</f>
        <v>0</v>
      </c>
      <c r="AB315" s="1108">
        <f>+NOMINA!BJ291</f>
        <v>12.5</v>
      </c>
      <c r="AC315" s="1108">
        <f>ROUND(NOMINA!BG291,2)</f>
        <v>320</v>
      </c>
      <c r="AD315" s="1711">
        <f t="shared" si="14"/>
        <v>487.77</v>
      </c>
      <c r="AF315" s="625"/>
    </row>
    <row r="316" spans="1:32" s="620" customFormat="1" ht="18" customHeight="1" thickBot="1" x14ac:dyDescent="0.25">
      <c r="A316" s="758"/>
      <c r="B316" s="508">
        <f t="shared" si="16"/>
        <v>249</v>
      </c>
      <c r="C316" s="1102">
        <f>NOMINA!C292</f>
        <v>27628603</v>
      </c>
      <c r="D316" s="1103" t="str">
        <f>NOMINA!D292</f>
        <v>Mendoza Mendoza Kelasky Kixuy</v>
      </c>
      <c r="E316" s="1468" t="s">
        <v>4622</v>
      </c>
      <c r="F316" s="1110">
        <v>32351</v>
      </c>
      <c r="G316" s="1468" t="s">
        <v>4620</v>
      </c>
      <c r="H316" s="1442">
        <f>NOMINA!H292</f>
        <v>45139</v>
      </c>
      <c r="I316" s="1105">
        <f>NOMINA!I292</f>
        <v>2</v>
      </c>
      <c r="J316" s="1106">
        <f>NOMINA!J292</f>
        <v>0</v>
      </c>
      <c r="K316" s="1105">
        <f t="shared" si="15"/>
        <v>2</v>
      </c>
      <c r="L316" s="1106" t="s">
        <v>4932</v>
      </c>
      <c r="M316" s="1106"/>
      <c r="N316" s="1443" t="str">
        <f>NOMINA!O292</f>
        <v>Instructor De Formacion Empresarial</v>
      </c>
      <c r="O316" s="1106">
        <v>1.02087691000006E+18</v>
      </c>
      <c r="P316" s="1107">
        <f>NOMINA!W292</f>
        <v>65</v>
      </c>
      <c r="Q316" s="1108">
        <f>NOMINA!AG292</f>
        <v>1.3</v>
      </c>
      <c r="R316" s="1108">
        <f>NOMINA!AI292</f>
        <v>65</v>
      </c>
      <c r="S316" s="1108">
        <f>NOMINA!AK292</f>
        <v>0</v>
      </c>
      <c r="T316" s="1108">
        <f>+NOMINA!AO292</f>
        <v>0</v>
      </c>
      <c r="U316" s="1108">
        <f>+NOMINA!AQ292</f>
        <v>0</v>
      </c>
      <c r="V316" s="1108">
        <f>+NOMINA!AR292</f>
        <v>0</v>
      </c>
      <c r="W316" s="1108">
        <f>+NOMINA!AS292</f>
        <v>0</v>
      </c>
      <c r="X316" s="1108">
        <f>ROUND(NOMINA!AW292,2)</f>
        <v>0</v>
      </c>
      <c r="Y316" s="1108">
        <f>ROUND(NOMINA!AX292,2)</f>
        <v>0</v>
      </c>
      <c r="Z316" s="1108">
        <f>ROUND(NOMINA!BB292,2)+ROUND(NOMINA!BF292,2)</f>
        <v>0</v>
      </c>
      <c r="AA316" s="1108">
        <f>ROUND(NOMINA!BK292,2)*0</f>
        <v>0</v>
      </c>
      <c r="AB316" s="1108">
        <f>+NOMINA!BJ292</f>
        <v>12.5</v>
      </c>
      <c r="AC316" s="1108">
        <f>ROUND(NOMINA!BG292,2)</f>
        <v>320</v>
      </c>
      <c r="AD316" s="1711">
        <f t="shared" si="14"/>
        <v>463.8</v>
      </c>
      <c r="AF316" s="625"/>
    </row>
    <row r="317" spans="1:32" s="620" customFormat="1" ht="18" customHeight="1" thickBot="1" x14ac:dyDescent="0.25">
      <c r="A317" s="758"/>
      <c r="B317" s="508">
        <f t="shared" si="16"/>
        <v>250</v>
      </c>
      <c r="C317" s="1102">
        <f>NOMINA!C293</f>
        <v>27677242</v>
      </c>
      <c r="D317" s="1103" t="str">
        <f>NOMINA!D293</f>
        <v>Ramirez Torres Darwin Jose</v>
      </c>
      <c r="E317" s="1468" t="s">
        <v>4622</v>
      </c>
      <c r="F317" s="1110">
        <v>32351</v>
      </c>
      <c r="G317" s="1468" t="s">
        <v>4620</v>
      </c>
      <c r="H317" s="1442">
        <f>NOMINA!H293</f>
        <v>45139</v>
      </c>
      <c r="I317" s="1105">
        <f>NOMINA!I293</f>
        <v>2</v>
      </c>
      <c r="J317" s="1106">
        <f>NOMINA!J293</f>
        <v>0</v>
      </c>
      <c r="K317" s="1105">
        <f t="shared" si="15"/>
        <v>2</v>
      </c>
      <c r="L317" s="1106" t="s">
        <v>4932</v>
      </c>
      <c r="M317" s="1106"/>
      <c r="N317" s="1443" t="str">
        <f>NOMINA!O293</f>
        <v>Recreador</v>
      </c>
      <c r="O317" s="1106">
        <v>1.02087691000006E+18</v>
      </c>
      <c r="P317" s="1107">
        <f>NOMINA!W293</f>
        <v>65</v>
      </c>
      <c r="Q317" s="1108">
        <f>NOMINA!AG293</f>
        <v>1.3</v>
      </c>
      <c r="R317" s="1108">
        <f>NOMINA!AI293</f>
        <v>65</v>
      </c>
      <c r="S317" s="1108">
        <f>NOMINA!AK293</f>
        <v>0</v>
      </c>
      <c r="T317" s="1108">
        <f>+NOMINA!AO293</f>
        <v>0</v>
      </c>
      <c r="U317" s="1108">
        <f>+NOMINA!AQ293</f>
        <v>0</v>
      </c>
      <c r="V317" s="1108">
        <f>+NOMINA!AR293</f>
        <v>0</v>
      </c>
      <c r="W317" s="1108">
        <f>+NOMINA!AS293</f>
        <v>0</v>
      </c>
      <c r="X317" s="1108">
        <f>ROUND(NOMINA!AW293,2)</f>
        <v>0</v>
      </c>
      <c r="Y317" s="1108">
        <f>ROUND(NOMINA!AX293,2)</f>
        <v>0</v>
      </c>
      <c r="Z317" s="1108">
        <f>ROUND(NOMINA!BB293,2)+ROUND(NOMINA!BF293,2)</f>
        <v>0</v>
      </c>
      <c r="AA317" s="1108">
        <f>ROUND(NOMINA!BK293,2)*0</f>
        <v>0</v>
      </c>
      <c r="AB317" s="1108">
        <f>+NOMINA!BJ293</f>
        <v>12.5</v>
      </c>
      <c r="AC317" s="1108">
        <f>ROUND(NOMINA!BG293,2)</f>
        <v>320</v>
      </c>
      <c r="AD317" s="1711">
        <f t="shared" si="14"/>
        <v>463.8</v>
      </c>
      <c r="AF317" s="625"/>
    </row>
    <row r="318" spans="1:32" s="620" customFormat="1" ht="18" customHeight="1" thickBot="1" x14ac:dyDescent="0.25">
      <c r="A318" s="758"/>
      <c r="B318" s="508">
        <f t="shared" si="16"/>
        <v>251</v>
      </c>
      <c r="C318" s="1102">
        <f>NOMINA!C294</f>
        <v>27889180</v>
      </c>
      <c r="D318" s="1103" t="str">
        <f>NOMINA!D294</f>
        <v>Moreno Andreina del Valle</v>
      </c>
      <c r="E318" s="1468" t="s">
        <v>4622</v>
      </c>
      <c r="F318" s="1110">
        <v>32351</v>
      </c>
      <c r="G318" s="1468" t="s">
        <v>4620</v>
      </c>
      <c r="H318" s="1442">
        <f>NOMINA!H294</f>
        <v>44393</v>
      </c>
      <c r="I318" s="1105">
        <f>NOMINA!I294</f>
        <v>4</v>
      </c>
      <c r="J318" s="1106">
        <f>NOMINA!J294</f>
        <v>0</v>
      </c>
      <c r="K318" s="1105">
        <f t="shared" si="15"/>
        <v>4</v>
      </c>
      <c r="L318" s="1106" t="s">
        <v>4932</v>
      </c>
      <c r="M318" s="1106"/>
      <c r="N318" s="1443" t="str">
        <f>NOMINA!O294</f>
        <v>Asistente Administrativo II</v>
      </c>
      <c r="O318" s="1106">
        <v>1.02087691000006E+18</v>
      </c>
      <c r="P318" s="1107">
        <f>NOMINA!W294</f>
        <v>0</v>
      </c>
      <c r="Q318" s="1108">
        <f>NOMINA!AG294</f>
        <v>0</v>
      </c>
      <c r="R318" s="1108">
        <f>NOMINA!AI294</f>
        <v>0</v>
      </c>
      <c r="S318" s="1108">
        <f>NOMINA!AK294</f>
        <v>0</v>
      </c>
      <c r="T318" s="1108">
        <f>+NOMINA!AO294</f>
        <v>0</v>
      </c>
      <c r="U318" s="1108">
        <f>+NOMINA!AQ294</f>
        <v>0</v>
      </c>
      <c r="V318" s="1108">
        <f>+NOMINA!AR294</f>
        <v>0</v>
      </c>
      <c r="W318" s="1108">
        <f>+NOMINA!AS294</f>
        <v>0</v>
      </c>
      <c r="X318" s="1108">
        <f>ROUND(NOMINA!AW294,2)</f>
        <v>0</v>
      </c>
      <c r="Y318" s="1108">
        <f>ROUND(NOMINA!AX294,2)</f>
        <v>0</v>
      </c>
      <c r="Z318" s="1108">
        <f>ROUND(NOMINA!BB294,2)+ROUND(NOMINA!BF294,2)</f>
        <v>0</v>
      </c>
      <c r="AA318" s="1108">
        <f>ROUND(NOMINA!BK294,2)*0</f>
        <v>0</v>
      </c>
      <c r="AB318" s="1108">
        <f>+NOMINA!BJ294</f>
        <v>0</v>
      </c>
      <c r="AC318" s="1108">
        <f>ROUND(NOMINA!BG294,2)</f>
        <v>0</v>
      </c>
      <c r="AD318" s="1711">
        <f t="shared" si="14"/>
        <v>0</v>
      </c>
      <c r="AF318" s="625"/>
    </row>
    <row r="319" spans="1:32" s="620" customFormat="1" ht="18" customHeight="1" thickBot="1" x14ac:dyDescent="0.25">
      <c r="A319" s="758"/>
      <c r="B319" s="508">
        <f t="shared" si="16"/>
        <v>252</v>
      </c>
      <c r="C319" s="1102">
        <f>NOMINA!C295</f>
        <v>28079765</v>
      </c>
      <c r="D319" s="1103" t="str">
        <f>NOMINA!D295</f>
        <v>Mendoza Cardozo Josue Vicensio</v>
      </c>
      <c r="E319" s="1468" t="s">
        <v>4622</v>
      </c>
      <c r="F319" s="1110">
        <v>32351</v>
      </c>
      <c r="G319" s="1468" t="s">
        <v>4620</v>
      </c>
      <c r="H319" s="1442">
        <f>NOMINA!H295</f>
        <v>44348</v>
      </c>
      <c r="I319" s="1105">
        <f>NOMINA!I295</f>
        <v>4</v>
      </c>
      <c r="J319" s="1106">
        <f>NOMINA!J295</f>
        <v>0</v>
      </c>
      <c r="K319" s="1105">
        <f t="shared" si="15"/>
        <v>4</v>
      </c>
      <c r="L319" s="1106" t="s">
        <v>4932</v>
      </c>
      <c r="M319" s="1106"/>
      <c r="N319" s="1443" t="str">
        <f>NOMINA!O295</f>
        <v>Asistente Administrativo II</v>
      </c>
      <c r="O319" s="1106">
        <v>1.02087691000006E+18</v>
      </c>
      <c r="P319" s="1107">
        <f>NOMINA!W295</f>
        <v>109.5</v>
      </c>
      <c r="Q319" s="1108">
        <f>NOMINA!AG295</f>
        <v>4.38</v>
      </c>
      <c r="R319" s="1108">
        <f>NOMINA!AI295</f>
        <v>65</v>
      </c>
      <c r="S319" s="1108">
        <f>NOMINA!AK295</f>
        <v>35.770000000000003</v>
      </c>
      <c r="T319" s="1108">
        <f>+NOMINA!AO295</f>
        <v>0</v>
      </c>
      <c r="U319" s="1108">
        <f>+NOMINA!AQ295</f>
        <v>0</v>
      </c>
      <c r="V319" s="1108">
        <f>+NOMINA!AR295</f>
        <v>0</v>
      </c>
      <c r="W319" s="1108">
        <f>+NOMINA!AS295</f>
        <v>0</v>
      </c>
      <c r="X319" s="1108">
        <f>ROUND(NOMINA!AW295,2)</f>
        <v>0</v>
      </c>
      <c r="Y319" s="1108">
        <f>ROUND(NOMINA!AX295,2)</f>
        <v>0</v>
      </c>
      <c r="Z319" s="1108">
        <f>ROUND(NOMINA!BB295,2)+ROUND(NOMINA!BF295,2)</f>
        <v>0</v>
      </c>
      <c r="AA319" s="1108">
        <f>ROUND(NOMINA!BK295,2)*0</f>
        <v>0</v>
      </c>
      <c r="AB319" s="1108">
        <f>+NOMINA!BJ295</f>
        <v>12.5</v>
      </c>
      <c r="AC319" s="1108">
        <f>ROUND(NOMINA!BG295,2)</f>
        <v>320</v>
      </c>
      <c r="AD319" s="1711">
        <f t="shared" si="14"/>
        <v>547.15</v>
      </c>
      <c r="AF319" s="625"/>
    </row>
    <row r="320" spans="1:32" s="620" customFormat="1" ht="18" customHeight="1" thickBot="1" x14ac:dyDescent="0.25">
      <c r="A320" s="758"/>
      <c r="B320" s="508">
        <f t="shared" si="16"/>
        <v>253</v>
      </c>
      <c r="C320" s="1102">
        <f>NOMINA!C296</f>
        <v>28096003</v>
      </c>
      <c r="D320" s="1103" t="str">
        <f>NOMINA!D296</f>
        <v>Quintero Peña Maria Alejandra</v>
      </c>
      <c r="E320" s="1468" t="s">
        <v>4622</v>
      </c>
      <c r="F320" s="1110">
        <v>32351</v>
      </c>
      <c r="G320" s="1468" t="s">
        <v>4620</v>
      </c>
      <c r="H320" s="1442">
        <f>NOMINA!H296</f>
        <v>44228</v>
      </c>
      <c r="I320" s="1105">
        <f>NOMINA!I296</f>
        <v>4</v>
      </c>
      <c r="J320" s="1106">
        <f>NOMINA!J296</f>
        <v>0</v>
      </c>
      <c r="K320" s="1105">
        <f t="shared" si="15"/>
        <v>4</v>
      </c>
      <c r="L320" s="1106" t="s">
        <v>4932</v>
      </c>
      <c r="M320" s="1106"/>
      <c r="N320" s="1443" t="str">
        <f>NOMINA!O296</f>
        <v>Guia de Centro I</v>
      </c>
      <c r="O320" s="1106">
        <v>1.02087691000006E+18</v>
      </c>
      <c r="P320" s="1107">
        <f>NOMINA!W296</f>
        <v>75</v>
      </c>
      <c r="Q320" s="1108">
        <f>NOMINA!AG296</f>
        <v>3</v>
      </c>
      <c r="R320" s="1108">
        <f>NOMINA!AI296</f>
        <v>65</v>
      </c>
      <c r="S320" s="1108">
        <f>NOMINA!AK296</f>
        <v>0</v>
      </c>
      <c r="T320" s="1108">
        <f>+NOMINA!AO296</f>
        <v>0</v>
      </c>
      <c r="U320" s="1108">
        <f>+NOMINA!AQ296</f>
        <v>0</v>
      </c>
      <c r="V320" s="1108">
        <f>+NOMINA!AR296</f>
        <v>12.5</v>
      </c>
      <c r="W320" s="1108">
        <f>+NOMINA!AS296</f>
        <v>0</v>
      </c>
      <c r="X320" s="1108">
        <f>ROUND(NOMINA!AW296,2)</f>
        <v>85.8</v>
      </c>
      <c r="Y320" s="1108">
        <f>ROUND(NOMINA!AX296,2)</f>
        <v>0</v>
      </c>
      <c r="Z320" s="1108">
        <f>ROUND(NOMINA!BB296,2)+ROUND(NOMINA!BF296,2)</f>
        <v>55.77</v>
      </c>
      <c r="AA320" s="1108">
        <f>ROUND(NOMINA!BK296,2)*0</f>
        <v>0</v>
      </c>
      <c r="AB320" s="1108">
        <f>+NOMINA!BJ296</f>
        <v>12.5</v>
      </c>
      <c r="AC320" s="1108">
        <f>ROUND(NOMINA!BG296,2)</f>
        <v>320</v>
      </c>
      <c r="AD320" s="1711">
        <f t="shared" si="14"/>
        <v>629.56999999999994</v>
      </c>
      <c r="AF320" s="625"/>
    </row>
    <row r="321" spans="1:32" s="620" customFormat="1" ht="18" customHeight="1" thickBot="1" x14ac:dyDescent="0.25">
      <c r="A321" s="758"/>
      <c r="B321" s="508">
        <f t="shared" si="16"/>
        <v>254</v>
      </c>
      <c r="C321" s="1102">
        <f>NOMINA!C297</f>
        <v>28096576</v>
      </c>
      <c r="D321" s="1103" t="str">
        <f>NOMINA!D297</f>
        <v>Gutierrez Betania Belsally</v>
      </c>
      <c r="E321" s="1468" t="s">
        <v>4622</v>
      </c>
      <c r="F321" s="1110">
        <v>32351</v>
      </c>
      <c r="G321" s="1468" t="s">
        <v>4620</v>
      </c>
      <c r="H321" s="1442">
        <f>NOMINA!H297</f>
        <v>45017</v>
      </c>
      <c r="I321" s="1105">
        <f>NOMINA!I297</f>
        <v>2</v>
      </c>
      <c r="J321" s="1106">
        <f>NOMINA!J297</f>
        <v>0</v>
      </c>
      <c r="K321" s="1105">
        <f t="shared" si="15"/>
        <v>2</v>
      </c>
      <c r="L321" s="1106" t="s">
        <v>4932</v>
      </c>
      <c r="M321" s="1106"/>
      <c r="N321" s="1443" t="str">
        <f>NOMINA!O297</f>
        <v>Asistente Administrativo I</v>
      </c>
      <c r="O321" s="1106">
        <v>1.02087691000006E+18</v>
      </c>
      <c r="P321" s="1107">
        <f>NOMINA!W297</f>
        <v>65</v>
      </c>
      <c r="Q321" s="1108">
        <f>NOMINA!AG297</f>
        <v>1.3</v>
      </c>
      <c r="R321" s="1108">
        <f>NOMINA!AI297</f>
        <v>65</v>
      </c>
      <c r="S321" s="1108">
        <f>NOMINA!AK297</f>
        <v>0</v>
      </c>
      <c r="T321" s="1108">
        <f>+NOMINA!AO297</f>
        <v>0</v>
      </c>
      <c r="U321" s="1108">
        <f>+NOMINA!AQ297</f>
        <v>0</v>
      </c>
      <c r="V321" s="1108">
        <f>+NOMINA!AR297</f>
        <v>0</v>
      </c>
      <c r="W321" s="1108">
        <f>+NOMINA!AS297</f>
        <v>0</v>
      </c>
      <c r="X321" s="1108">
        <f>ROUND(NOMINA!AW297,2)</f>
        <v>0</v>
      </c>
      <c r="Y321" s="1108">
        <f>ROUND(NOMINA!AX297,2)</f>
        <v>0</v>
      </c>
      <c r="Z321" s="1108">
        <f>ROUND(NOMINA!BB297,2)+ROUND(NOMINA!BF297,2)</f>
        <v>0</v>
      </c>
      <c r="AA321" s="1108">
        <f>ROUND(NOMINA!BK297,2)*0</f>
        <v>0</v>
      </c>
      <c r="AB321" s="1108">
        <f>+NOMINA!BJ297</f>
        <v>12.5</v>
      </c>
      <c r="AC321" s="1108">
        <f>ROUND(NOMINA!BG297,2)</f>
        <v>320</v>
      </c>
      <c r="AD321" s="1711">
        <f t="shared" si="14"/>
        <v>463.8</v>
      </c>
      <c r="AF321" s="625"/>
    </row>
    <row r="322" spans="1:32" s="620" customFormat="1" ht="18" customHeight="1" thickBot="1" x14ac:dyDescent="0.25">
      <c r="A322" s="758"/>
      <c r="B322" s="508">
        <f t="shared" si="16"/>
        <v>255</v>
      </c>
      <c r="C322" s="1102">
        <f>NOMINA!C298</f>
        <v>28445465</v>
      </c>
      <c r="D322" s="1103" t="str">
        <f>NOMINA!D298</f>
        <v>Castillo Carrizo Katherine Cecilia</v>
      </c>
      <c r="E322" s="1468" t="s">
        <v>4622</v>
      </c>
      <c r="F322" s="1110">
        <v>32351</v>
      </c>
      <c r="G322" s="1468" t="s">
        <v>4620</v>
      </c>
      <c r="H322" s="1442">
        <f>NOMINA!H298</f>
        <v>43770</v>
      </c>
      <c r="I322" s="1105">
        <f>NOMINA!I298</f>
        <v>5</v>
      </c>
      <c r="J322" s="1106">
        <f>NOMINA!J298</f>
        <v>0</v>
      </c>
      <c r="K322" s="1105">
        <f t="shared" si="15"/>
        <v>5</v>
      </c>
      <c r="L322" s="1106" t="s">
        <v>4932</v>
      </c>
      <c r="M322" s="1106"/>
      <c r="N322" s="1443" t="str">
        <f>NOMINA!O298</f>
        <v>Asistente Administrativo II</v>
      </c>
      <c r="O322" s="1106">
        <v>1.02087691000006E+18</v>
      </c>
      <c r="P322" s="1107">
        <f>NOMINA!W298</f>
        <v>75</v>
      </c>
      <c r="Q322" s="1108">
        <f>NOMINA!AG298</f>
        <v>3.75</v>
      </c>
      <c r="R322" s="1108">
        <f>NOMINA!AI298</f>
        <v>65</v>
      </c>
      <c r="S322" s="1108">
        <f>NOMINA!AK298</f>
        <v>0</v>
      </c>
      <c r="T322" s="1108">
        <f>+NOMINA!AO298</f>
        <v>0</v>
      </c>
      <c r="U322" s="1108">
        <f>+NOMINA!AQ298</f>
        <v>0</v>
      </c>
      <c r="V322" s="1108">
        <f>+NOMINA!AR298</f>
        <v>12.5</v>
      </c>
      <c r="W322" s="1108">
        <f>+NOMINA!AS298</f>
        <v>0</v>
      </c>
      <c r="X322" s="1108">
        <f>ROUND(NOMINA!AW298,2)</f>
        <v>0</v>
      </c>
      <c r="Y322" s="1108">
        <f>ROUND(NOMINA!AX298,2)</f>
        <v>0</v>
      </c>
      <c r="Z322" s="1108">
        <f>ROUND(NOMINA!BB298,2)+ROUND(NOMINA!BF298,2)</f>
        <v>0</v>
      </c>
      <c r="AA322" s="1108">
        <f>ROUND(NOMINA!BK298,2)*0</f>
        <v>0</v>
      </c>
      <c r="AB322" s="1108">
        <f>+NOMINA!BJ298</f>
        <v>12.5</v>
      </c>
      <c r="AC322" s="1108">
        <f>ROUND(NOMINA!BG298,2)</f>
        <v>320</v>
      </c>
      <c r="AD322" s="1711">
        <f t="shared" si="14"/>
        <v>488.75</v>
      </c>
      <c r="AF322" s="625"/>
    </row>
    <row r="323" spans="1:32" s="620" customFormat="1" ht="18" customHeight="1" thickBot="1" x14ac:dyDescent="0.25">
      <c r="A323" s="758"/>
      <c r="B323" s="508">
        <f t="shared" si="16"/>
        <v>256</v>
      </c>
      <c r="C323" s="1102">
        <f>NOMINA!C299</f>
        <v>29539827</v>
      </c>
      <c r="D323" s="1103" t="str">
        <f>NOMINA!D299</f>
        <v>Rivero Fajardo Nohely Gabriela</v>
      </c>
      <c r="E323" s="1468" t="s">
        <v>4622</v>
      </c>
      <c r="F323" s="1110">
        <v>32351</v>
      </c>
      <c r="G323" s="1468" t="s">
        <v>4620</v>
      </c>
      <c r="H323" s="1442">
        <f>NOMINA!H299</f>
        <v>45901</v>
      </c>
      <c r="I323" s="1105">
        <f>NOMINA!I299</f>
        <v>0</v>
      </c>
      <c r="J323" s="1106">
        <f>NOMINA!J299</f>
        <v>0</v>
      </c>
      <c r="K323" s="1105">
        <f t="shared" si="15"/>
        <v>0</v>
      </c>
      <c r="L323" s="1106" t="s">
        <v>4932</v>
      </c>
      <c r="M323" s="1106"/>
      <c r="N323" s="1443" t="str">
        <f>NOMINA!O299</f>
        <v>PSICOLOGO I</v>
      </c>
      <c r="O323" s="1106">
        <v>1.02087691000006E+18</v>
      </c>
      <c r="P323" s="1107">
        <f>NOMINA!W299</f>
        <v>123</v>
      </c>
      <c r="Q323" s="1108">
        <f>NOMINA!AG299</f>
        <v>0</v>
      </c>
      <c r="R323" s="1108">
        <f>NOMINA!AI299</f>
        <v>65</v>
      </c>
      <c r="S323" s="1108">
        <f>NOMINA!AK299</f>
        <v>47</v>
      </c>
      <c r="T323" s="1108">
        <f>+NOMINA!AO299</f>
        <v>0</v>
      </c>
      <c r="U323" s="1108">
        <f>+NOMINA!AQ299</f>
        <v>0</v>
      </c>
      <c r="V323" s="1108">
        <f>+NOMINA!AR299</f>
        <v>0</v>
      </c>
      <c r="W323" s="1108">
        <f>+NOMINA!AS299</f>
        <v>0</v>
      </c>
      <c r="X323" s="1108">
        <f>ROUND(NOMINA!AW299,2)</f>
        <v>0</v>
      </c>
      <c r="Y323" s="1108">
        <f>ROUND(NOMINA!AX299,2)</f>
        <v>0</v>
      </c>
      <c r="Z323" s="1108">
        <f>ROUND(NOMINA!BB299,2)+ROUND(NOMINA!BF299,2)</f>
        <v>0</v>
      </c>
      <c r="AA323" s="1108">
        <f>ROUND(NOMINA!BK299,2)*0</f>
        <v>0</v>
      </c>
      <c r="AB323" s="1108">
        <f>+NOMINA!BJ299</f>
        <v>12.5</v>
      </c>
      <c r="AC323" s="1108">
        <f>ROUND(NOMINA!BG299,2)</f>
        <v>320</v>
      </c>
      <c r="AD323" s="1711">
        <f t="shared" si="14"/>
        <v>567.5</v>
      </c>
      <c r="AF323" s="625"/>
    </row>
    <row r="324" spans="1:32" s="620" customFormat="1" ht="18" customHeight="1" thickBot="1" x14ac:dyDescent="0.25">
      <c r="A324" s="758"/>
      <c r="B324" s="508">
        <f t="shared" si="16"/>
        <v>257</v>
      </c>
      <c r="C324" s="1102">
        <f>NOMINA!C300</f>
        <v>29585477</v>
      </c>
      <c r="D324" s="1103" t="str">
        <f>NOMINA!D300</f>
        <v>Gil Ruiz Marianyeli Sarait</v>
      </c>
      <c r="E324" s="1468" t="s">
        <v>4622</v>
      </c>
      <c r="F324" s="1110">
        <v>32351</v>
      </c>
      <c r="G324" s="1468" t="s">
        <v>4620</v>
      </c>
      <c r="H324" s="1442">
        <f>NOMINA!H300</f>
        <v>43512</v>
      </c>
      <c r="I324" s="1105">
        <f>NOMINA!I300</f>
        <v>6</v>
      </c>
      <c r="J324" s="1106">
        <f>NOMINA!J300</f>
        <v>0</v>
      </c>
      <c r="K324" s="1105">
        <f t="shared" si="15"/>
        <v>6</v>
      </c>
      <c r="L324" s="1106" t="s">
        <v>4932</v>
      </c>
      <c r="M324" s="1106"/>
      <c r="N324" s="1443" t="str">
        <f>NOMINA!O300</f>
        <v>Entrenador Deportivo II</v>
      </c>
      <c r="O324" s="1106">
        <v>1.02087691000006E+18</v>
      </c>
      <c r="P324" s="1107">
        <f>NOMINA!W300</f>
        <v>85</v>
      </c>
      <c r="Q324" s="1108">
        <f>NOMINA!AG300</f>
        <v>5.27</v>
      </c>
      <c r="R324" s="1108">
        <f>NOMINA!AI300</f>
        <v>65</v>
      </c>
      <c r="S324" s="1108">
        <f>NOMINA!AK300</f>
        <v>0</v>
      </c>
      <c r="T324" s="1108">
        <f>+NOMINA!AO300</f>
        <v>0</v>
      </c>
      <c r="U324" s="1108">
        <f>+NOMINA!AQ300</f>
        <v>0</v>
      </c>
      <c r="V324" s="1108">
        <f>+NOMINA!AR300</f>
        <v>0</v>
      </c>
      <c r="W324" s="1108">
        <f>+NOMINA!AS300</f>
        <v>0</v>
      </c>
      <c r="X324" s="1108">
        <f>ROUND(NOMINA!AW300,2)</f>
        <v>0</v>
      </c>
      <c r="Y324" s="1108">
        <f>ROUND(NOMINA!AX300,2)</f>
        <v>0</v>
      </c>
      <c r="Z324" s="1108">
        <f>ROUND(NOMINA!BB300,2)+ROUND(NOMINA!BF300,2)</f>
        <v>0</v>
      </c>
      <c r="AA324" s="1108">
        <f>ROUND(NOMINA!BK300,2)*0</f>
        <v>0</v>
      </c>
      <c r="AB324" s="1108">
        <f>+NOMINA!BJ300</f>
        <v>12.5</v>
      </c>
      <c r="AC324" s="1108">
        <f>ROUND(NOMINA!BG300,2)</f>
        <v>320</v>
      </c>
      <c r="AD324" s="1711">
        <f t="shared" ref="AD324:AD326" si="17">+P324+Q324+R324+S324+X324+Y324+Z324+AC324+AA324+T324+U324+V324+W324+AB324</f>
        <v>487.77</v>
      </c>
      <c r="AF324" s="625"/>
    </row>
    <row r="325" spans="1:32" s="620" customFormat="1" ht="18" customHeight="1" thickBot="1" x14ac:dyDescent="0.25">
      <c r="A325" s="758"/>
      <c r="B325" s="508">
        <f t="shared" si="16"/>
        <v>258</v>
      </c>
      <c r="C325" s="1102">
        <f>NOMINA!C301</f>
        <v>30190238</v>
      </c>
      <c r="D325" s="1103" t="str">
        <f>NOMINA!D301</f>
        <v>Mendoza Osuna Zaida Liseth</v>
      </c>
      <c r="E325" s="1468" t="s">
        <v>4622</v>
      </c>
      <c r="F325" s="1110">
        <v>32351</v>
      </c>
      <c r="G325" s="1468" t="s">
        <v>4620</v>
      </c>
      <c r="H325" s="1442">
        <f>NOMINA!H301</f>
        <v>45200</v>
      </c>
      <c r="I325" s="1105">
        <f>NOMINA!I301</f>
        <v>1</v>
      </c>
      <c r="J325" s="1106">
        <f>NOMINA!J301</f>
        <v>0</v>
      </c>
      <c r="K325" s="1105">
        <f t="shared" ref="K325:K326" si="18">I325+J325</f>
        <v>1</v>
      </c>
      <c r="L325" s="1106" t="s">
        <v>4932</v>
      </c>
      <c r="M325" s="1106"/>
      <c r="N325" s="1443" t="str">
        <f>NOMINA!O301</f>
        <v>Guia de Centro I</v>
      </c>
      <c r="O325" s="1106">
        <v>1.02087691000006E+18</v>
      </c>
      <c r="P325" s="1107">
        <f>NOMINA!W301</f>
        <v>65</v>
      </c>
      <c r="Q325" s="1108">
        <f>NOMINA!AG301</f>
        <v>0.65</v>
      </c>
      <c r="R325" s="1108">
        <f>NOMINA!AI301</f>
        <v>65</v>
      </c>
      <c r="S325" s="1108">
        <f>NOMINA!AK301</f>
        <v>0</v>
      </c>
      <c r="T325" s="1108">
        <f>+NOMINA!AO301</f>
        <v>0</v>
      </c>
      <c r="U325" s="1108">
        <f>+NOMINA!AQ301</f>
        <v>0</v>
      </c>
      <c r="V325" s="1108">
        <f>+NOMINA!AR301</f>
        <v>0</v>
      </c>
      <c r="W325" s="1108">
        <f>+NOMINA!AS301</f>
        <v>0</v>
      </c>
      <c r="X325" s="1108">
        <f>ROUND(NOMINA!AW301,2)</f>
        <v>78.39</v>
      </c>
      <c r="Y325" s="1108">
        <f>ROUND(NOMINA!AX301,2)</f>
        <v>0</v>
      </c>
      <c r="Z325" s="1108">
        <f>ROUND(NOMINA!BB301,2)+ROUND(NOMINA!BF301,2)</f>
        <v>50.95</v>
      </c>
      <c r="AA325" s="1108">
        <f>ROUND(NOMINA!BK301,2)*0</f>
        <v>0</v>
      </c>
      <c r="AB325" s="1108">
        <f>+NOMINA!BJ301</f>
        <v>12.5</v>
      </c>
      <c r="AC325" s="1108">
        <f>ROUND(NOMINA!BG301,2)</f>
        <v>320</v>
      </c>
      <c r="AD325" s="1711">
        <f t="shared" si="17"/>
        <v>592.49</v>
      </c>
      <c r="AF325" s="625"/>
    </row>
    <row r="326" spans="1:32" s="620" customFormat="1" ht="18" customHeight="1" thickBot="1" x14ac:dyDescent="0.25">
      <c r="A326" s="758"/>
      <c r="B326" s="508">
        <f t="shared" si="16"/>
        <v>259</v>
      </c>
      <c r="C326" s="1102">
        <f>NOMINA!C302</f>
        <v>30438508</v>
      </c>
      <c r="D326" s="1103" t="str">
        <f>NOMINA!D302</f>
        <v>Teran Araujo Marihangeli Nicoll</v>
      </c>
      <c r="E326" s="1468" t="s">
        <v>4622</v>
      </c>
      <c r="F326" s="1110">
        <v>32351</v>
      </c>
      <c r="G326" s="1468" t="s">
        <v>4620</v>
      </c>
      <c r="H326" s="1442">
        <f>NOMINA!H302</f>
        <v>45200</v>
      </c>
      <c r="I326" s="1105">
        <f>NOMINA!I302</f>
        <v>1</v>
      </c>
      <c r="J326" s="1106">
        <f>NOMINA!J302</f>
        <v>4</v>
      </c>
      <c r="K326" s="1105">
        <f t="shared" si="18"/>
        <v>5</v>
      </c>
      <c r="L326" s="1106" t="s">
        <v>4932</v>
      </c>
      <c r="M326" s="1106"/>
      <c r="N326" s="1443" t="str">
        <f>NOMINA!O302</f>
        <v>Asistente Administrativo II</v>
      </c>
      <c r="O326" s="1106">
        <v>1.02087691000006E+18</v>
      </c>
      <c r="P326" s="1107">
        <f>NOMINA!W302</f>
        <v>75</v>
      </c>
      <c r="Q326" s="1108">
        <f>NOMINA!AG302</f>
        <v>3.75</v>
      </c>
      <c r="R326" s="1108">
        <f>NOMINA!AI302</f>
        <v>65</v>
      </c>
      <c r="S326" s="1108">
        <f>NOMINA!AK302</f>
        <v>0</v>
      </c>
      <c r="T326" s="1108">
        <f>+NOMINA!AO302</f>
        <v>0</v>
      </c>
      <c r="U326" s="1108">
        <f>+NOMINA!AQ302</f>
        <v>0</v>
      </c>
      <c r="V326" s="1108">
        <f>+NOMINA!AR302</f>
        <v>12.5</v>
      </c>
      <c r="W326" s="1108">
        <f>+NOMINA!AS302</f>
        <v>0</v>
      </c>
      <c r="X326" s="1108">
        <f>ROUND(NOMINA!AW302,2)</f>
        <v>0</v>
      </c>
      <c r="Y326" s="1108">
        <f>ROUND(NOMINA!AX302,2)</f>
        <v>0</v>
      </c>
      <c r="Z326" s="1108">
        <f>ROUND(NOMINA!BB302,2)+ROUND(NOMINA!BF302,2)</f>
        <v>0</v>
      </c>
      <c r="AA326" s="1108">
        <f>ROUND(NOMINA!BK302,2)*0</f>
        <v>0</v>
      </c>
      <c r="AB326" s="1108">
        <f>+NOMINA!BJ302</f>
        <v>12.5</v>
      </c>
      <c r="AC326" s="1108">
        <f>ROUND(NOMINA!BG302,2)</f>
        <v>320</v>
      </c>
      <c r="AD326" s="1711">
        <f t="shared" si="17"/>
        <v>488.75</v>
      </c>
      <c r="AF326" s="625"/>
    </row>
    <row r="327" spans="1:32" s="620" customFormat="1" ht="39.950000000000003" customHeight="1" thickBot="1" x14ac:dyDescent="0.3">
      <c r="A327" s="684"/>
      <c r="B327" s="667"/>
      <c r="C327" s="1096" t="s">
        <v>4562</v>
      </c>
      <c r="D327" s="1065"/>
      <c r="E327" s="1065"/>
      <c r="F327" s="1065"/>
      <c r="G327" s="1065"/>
      <c r="H327" s="1066"/>
      <c r="I327" s="1065"/>
      <c r="J327" s="1065"/>
      <c r="K327" s="1065"/>
      <c r="L327" s="1065"/>
      <c r="M327" s="1065"/>
      <c r="N327" s="1097"/>
      <c r="O327" s="668"/>
      <c r="P327" s="685">
        <f t="shared" ref="P327:AD327" si="19">SUM(P68:P326)</f>
        <v>25791.5</v>
      </c>
      <c r="Q327" s="685">
        <f t="shared" si="19"/>
        <v>2840.3500000000072</v>
      </c>
      <c r="R327" s="685">
        <f t="shared" si="19"/>
        <v>15535</v>
      </c>
      <c r="S327" s="685">
        <f t="shared" si="19"/>
        <v>7638.52</v>
      </c>
      <c r="T327" s="685">
        <f t="shared" si="19"/>
        <v>1137.5</v>
      </c>
      <c r="U327" s="685">
        <f t="shared" si="19"/>
        <v>12.5</v>
      </c>
      <c r="V327" s="685">
        <f t="shared" si="19"/>
        <v>50</v>
      </c>
      <c r="W327" s="685">
        <f t="shared" si="19"/>
        <v>12.5</v>
      </c>
      <c r="X327" s="685">
        <f t="shared" si="19"/>
        <v>9858.3100000000013</v>
      </c>
      <c r="Y327" s="685">
        <f t="shared" si="19"/>
        <v>91495.12</v>
      </c>
      <c r="Z327" s="685">
        <f t="shared" si="19"/>
        <v>5466.2</v>
      </c>
      <c r="AA327" s="685">
        <f t="shared" si="19"/>
        <v>0</v>
      </c>
      <c r="AB327" s="685">
        <f t="shared" si="19"/>
        <v>2987.5</v>
      </c>
      <c r="AC327" s="685">
        <f t="shared" si="19"/>
        <v>76480</v>
      </c>
      <c r="AD327" s="687">
        <f t="shared" si="19"/>
        <v>239304.99999999994</v>
      </c>
      <c r="AE327" s="625">
        <f>+AD327-NOMINA!CC303</f>
        <v>0</v>
      </c>
      <c r="AF327" s="625"/>
    </row>
    <row r="328" spans="1:32" s="620" customFormat="1" ht="19.5" customHeight="1" x14ac:dyDescent="0.25">
      <c r="A328" s="699"/>
      <c r="B328" s="766"/>
      <c r="C328" s="802"/>
      <c r="D328" s="802"/>
      <c r="E328" s="802"/>
      <c r="F328" s="802"/>
      <c r="G328" s="802"/>
      <c r="H328" s="803"/>
      <c r="I328" s="802"/>
      <c r="J328" s="802"/>
      <c r="K328" s="774"/>
      <c r="L328" s="802"/>
      <c r="M328" s="802"/>
      <c r="N328" s="802"/>
      <c r="O328" s="802"/>
      <c r="P328" s="804"/>
      <c r="Q328" s="804"/>
      <c r="R328" s="804"/>
      <c r="S328" s="804"/>
      <c r="T328" s="804"/>
      <c r="U328" s="804"/>
      <c r="V328" s="804"/>
      <c r="W328" s="804"/>
      <c r="X328" s="804"/>
      <c r="Y328" s="804"/>
      <c r="Z328" s="804"/>
      <c r="AA328" s="804"/>
      <c r="AB328" s="804"/>
      <c r="AC328" s="804"/>
      <c r="AD328" s="804"/>
      <c r="AF328" s="625"/>
    </row>
    <row r="329" spans="1:32" s="620" customFormat="1" ht="19.5" customHeight="1" x14ac:dyDescent="0.25">
      <c r="A329" s="699"/>
      <c r="B329" s="711" t="s">
        <v>4664</v>
      </c>
      <c r="C329" s="691"/>
      <c r="D329" s="691"/>
      <c r="E329" s="691"/>
      <c r="F329" s="691"/>
      <c r="G329" s="691"/>
      <c r="H329" s="808"/>
      <c r="I329" s="691"/>
      <c r="J329" s="691"/>
      <c r="K329" s="602"/>
      <c r="L329" s="691"/>
      <c r="M329" s="691"/>
      <c r="N329" s="691"/>
      <c r="O329" s="691"/>
      <c r="P329" s="805"/>
      <c r="Q329" s="805"/>
      <c r="R329" s="805"/>
      <c r="S329" s="805"/>
      <c r="T329" s="805"/>
      <c r="U329" s="805"/>
      <c r="V329" s="805"/>
      <c r="W329" s="805"/>
      <c r="X329" s="805"/>
      <c r="Y329" s="805"/>
      <c r="Z329" s="805"/>
      <c r="AA329" s="805"/>
      <c r="AB329" s="805"/>
      <c r="AC329" s="805"/>
      <c r="AD329" s="805"/>
    </row>
    <row r="330" spans="1:32" s="620" customFormat="1" ht="19.5" customHeight="1" x14ac:dyDescent="0.25">
      <c r="A330" s="699"/>
      <c r="B330" s="711" t="s">
        <v>4665</v>
      </c>
      <c r="C330" s="691"/>
      <c r="D330" s="691"/>
      <c r="E330" s="691"/>
      <c r="F330" s="691"/>
      <c r="G330" s="691"/>
      <c r="H330" s="808"/>
      <c r="I330" s="691"/>
      <c r="J330" s="691"/>
      <c r="K330" s="602"/>
      <c r="L330" s="691"/>
      <c r="M330" s="691"/>
      <c r="N330" s="691"/>
      <c r="O330" s="691"/>
      <c r="P330" s="805"/>
      <c r="Q330" s="805"/>
      <c r="R330" s="805"/>
      <c r="S330" s="805"/>
      <c r="T330" s="805"/>
      <c r="U330" s="805"/>
      <c r="V330" s="805"/>
      <c r="W330" s="805"/>
      <c r="X330" s="805"/>
      <c r="Y330" s="805"/>
      <c r="Z330" s="805"/>
      <c r="AA330" s="805"/>
      <c r="AB330" s="805"/>
      <c r="AC330" s="805"/>
      <c r="AD330" s="805"/>
    </row>
    <row r="331" spans="1:32" s="620" customFormat="1" ht="19.5" customHeight="1" x14ac:dyDescent="0.25">
      <c r="A331" s="699"/>
      <c r="B331" s="711"/>
      <c r="C331" s="691"/>
      <c r="D331" s="691"/>
      <c r="E331" s="691"/>
      <c r="F331" s="691"/>
      <c r="G331" s="691"/>
      <c r="H331" s="808"/>
      <c r="I331" s="691"/>
      <c r="J331" s="691"/>
      <c r="K331" s="602"/>
      <c r="L331" s="691"/>
      <c r="M331" s="691"/>
      <c r="N331" s="691"/>
      <c r="O331" s="691"/>
      <c r="P331" s="805"/>
      <c r="Q331" s="805"/>
      <c r="R331" s="805"/>
      <c r="S331" s="805"/>
      <c r="T331" s="805"/>
      <c r="U331" s="805"/>
      <c r="V331" s="805"/>
      <c r="W331" s="805"/>
      <c r="X331" s="805"/>
      <c r="Y331" s="805"/>
      <c r="Z331" s="805"/>
      <c r="AA331" s="805"/>
      <c r="AB331" s="805"/>
      <c r="AC331" s="805"/>
      <c r="AD331" s="805"/>
    </row>
    <row r="332" spans="1:32" s="620" customFormat="1" ht="19.5" customHeight="1" x14ac:dyDescent="0.25">
      <c r="A332" s="699"/>
      <c r="B332" s="778"/>
      <c r="C332" s="691"/>
      <c r="D332" s="691"/>
      <c r="E332" s="691"/>
      <c r="F332" s="691"/>
      <c r="G332" s="691"/>
      <c r="H332" s="808"/>
      <c r="I332" s="691"/>
      <c r="J332" s="691"/>
      <c r="K332" s="602"/>
      <c r="L332" s="691"/>
      <c r="M332" s="691"/>
      <c r="N332" s="691"/>
      <c r="O332" s="691"/>
      <c r="P332" s="805"/>
      <c r="Q332" s="805"/>
      <c r="R332" s="805"/>
      <c r="S332" s="805"/>
      <c r="T332" s="805"/>
      <c r="U332" s="805"/>
      <c r="V332" s="805"/>
      <c r="W332" s="805"/>
      <c r="X332" s="805"/>
      <c r="Y332" s="805"/>
      <c r="Z332" s="805"/>
      <c r="AA332" s="805"/>
      <c r="AB332" s="805"/>
      <c r="AC332" s="805"/>
      <c r="AD332" s="805"/>
    </row>
    <row r="333" spans="1:32" s="620" customFormat="1" ht="19.5" customHeight="1" x14ac:dyDescent="0.2">
      <c r="A333" s="699"/>
      <c r="B333" s="778"/>
      <c r="C333" s="779"/>
      <c r="D333" s="726" t="s">
        <v>5833</v>
      </c>
      <c r="E333" s="699"/>
      <c r="F333" s="781"/>
      <c r="G333" s="699"/>
      <c r="H333" s="782"/>
      <c r="I333" s="783"/>
      <c r="J333" s="784"/>
      <c r="K333" s="602"/>
      <c r="L333" s="785"/>
      <c r="M333" s="784"/>
      <c r="N333" s="786"/>
      <c r="O333" s="784"/>
      <c r="R333" s="787"/>
      <c r="S333" s="787"/>
      <c r="T333" s="717" t="s">
        <v>5834</v>
      </c>
      <c r="U333" s="787"/>
      <c r="V333" s="787"/>
      <c r="W333" s="787"/>
      <c r="Y333" s="787"/>
      <c r="Z333" s="715" t="s">
        <v>5835</v>
      </c>
      <c r="AA333" s="787"/>
      <c r="AB333" s="787"/>
      <c r="AC333" s="805"/>
      <c r="AD333" s="805"/>
    </row>
    <row r="334" spans="1:32" s="620" customFormat="1" ht="19.5" customHeight="1" x14ac:dyDescent="0.2">
      <c r="A334" s="699"/>
      <c r="B334" s="778"/>
      <c r="C334" s="779"/>
      <c r="D334" s="780"/>
      <c r="E334" s="699"/>
      <c r="F334" s="781"/>
      <c r="G334" s="699"/>
      <c r="H334" s="782"/>
      <c r="I334" s="783"/>
      <c r="J334" s="784"/>
      <c r="K334" s="602"/>
      <c r="L334" s="785"/>
      <c r="M334" s="784"/>
      <c r="N334" s="786"/>
      <c r="O334" s="784"/>
      <c r="R334" s="787"/>
      <c r="S334" s="787"/>
      <c r="T334" s="787"/>
      <c r="U334" s="787"/>
      <c r="V334" s="787"/>
      <c r="W334" s="787"/>
      <c r="Y334" s="787"/>
      <c r="Z334" s="787"/>
      <c r="AA334" s="787"/>
      <c r="AB334" s="787"/>
      <c r="AC334" s="805"/>
      <c r="AD334" s="805"/>
    </row>
    <row r="335" spans="1:32" s="620" customFormat="1" ht="19.5" customHeight="1" x14ac:dyDescent="0.2">
      <c r="A335" s="699"/>
      <c r="B335" s="725" t="s">
        <v>6752</v>
      </c>
      <c r="C335" s="726"/>
      <c r="D335" s="724"/>
      <c r="E335" s="724"/>
      <c r="F335" s="724"/>
      <c r="G335" s="724"/>
      <c r="H335" s="725" t="s">
        <v>6116</v>
      </c>
      <c r="I335" s="725"/>
      <c r="K335" s="602"/>
      <c r="L335" s="785"/>
      <c r="M335" s="784"/>
      <c r="N335" s="786"/>
      <c r="O335" s="784"/>
      <c r="R335" s="787"/>
      <c r="S335" s="787"/>
      <c r="T335" s="727" t="s">
        <v>5836</v>
      </c>
      <c r="U335" s="787"/>
      <c r="V335" s="787"/>
      <c r="W335" s="787"/>
      <c r="Y335" s="787"/>
      <c r="Z335" s="715" t="s">
        <v>5847</v>
      </c>
      <c r="AA335" s="787"/>
      <c r="AB335" s="787"/>
      <c r="AC335" s="805"/>
      <c r="AD335" s="805"/>
    </row>
    <row r="336" spans="1:32" s="620" customFormat="1" ht="19.5" customHeight="1" x14ac:dyDescent="0.2">
      <c r="A336" s="699"/>
      <c r="B336" s="725" t="s">
        <v>6753</v>
      </c>
      <c r="C336" s="726"/>
      <c r="D336" s="724"/>
      <c r="E336" s="724"/>
      <c r="F336" s="724"/>
      <c r="G336" s="724"/>
      <c r="H336" s="725" t="s">
        <v>6117</v>
      </c>
      <c r="I336" s="725"/>
      <c r="K336" s="602"/>
      <c r="L336" s="785"/>
      <c r="M336" s="784"/>
      <c r="N336" s="786"/>
      <c r="O336" s="784"/>
      <c r="R336" s="787"/>
      <c r="S336" s="787"/>
      <c r="T336" s="727" t="s">
        <v>5838</v>
      </c>
      <c r="U336" s="787"/>
      <c r="V336" s="787"/>
      <c r="W336" s="787"/>
      <c r="Y336" s="787"/>
      <c r="Z336" s="725" t="s">
        <v>5839</v>
      </c>
      <c r="AA336" s="787"/>
      <c r="AB336" s="787"/>
      <c r="AC336" s="805"/>
      <c r="AD336" s="805"/>
    </row>
    <row r="337" spans="1:32" s="620" customFormat="1" ht="19.5" customHeight="1" x14ac:dyDescent="0.2">
      <c r="A337" s="699"/>
      <c r="B337" s="725" t="s">
        <v>5240</v>
      </c>
      <c r="C337" s="726"/>
      <c r="D337" s="724"/>
      <c r="E337" s="724"/>
      <c r="F337" s="724"/>
      <c r="G337" s="724"/>
      <c r="H337" s="725" t="s">
        <v>5261</v>
      </c>
      <c r="I337" s="725"/>
      <c r="K337" s="602"/>
      <c r="L337" s="785"/>
      <c r="M337" s="784"/>
      <c r="N337" s="786"/>
      <c r="O337" s="784"/>
      <c r="R337" s="787"/>
      <c r="S337" s="787"/>
      <c r="T337" s="727" t="s">
        <v>5840</v>
      </c>
      <c r="U337" s="787"/>
      <c r="V337" s="787"/>
      <c r="W337" s="787"/>
      <c r="Y337" s="787"/>
      <c r="Z337" s="715" t="s">
        <v>5841</v>
      </c>
      <c r="AA337" s="787"/>
      <c r="AB337" s="787"/>
      <c r="AC337" s="805"/>
      <c r="AD337" s="805"/>
    </row>
    <row r="338" spans="1:32" s="620" customFormat="1" ht="19.5" customHeight="1" thickBot="1" x14ac:dyDescent="0.3">
      <c r="A338" s="699"/>
      <c r="B338" s="691"/>
      <c r="C338" s="691"/>
      <c r="D338" s="691"/>
      <c r="E338" s="691"/>
      <c r="F338" s="691"/>
      <c r="G338" s="691"/>
      <c r="H338" s="808"/>
      <c r="I338" s="691"/>
      <c r="J338" s="691"/>
      <c r="K338" s="691"/>
      <c r="L338" s="691"/>
      <c r="M338" s="691"/>
      <c r="N338" s="809"/>
      <c r="O338" s="691"/>
      <c r="P338" s="787"/>
      <c r="Q338" s="787"/>
      <c r="R338" s="787"/>
      <c r="S338" s="787"/>
      <c r="T338" s="787"/>
      <c r="U338" s="787"/>
      <c r="V338" s="787"/>
      <c r="W338" s="787"/>
      <c r="X338" s="787"/>
      <c r="Y338" s="787"/>
      <c r="Z338" s="787"/>
      <c r="AA338" s="787"/>
      <c r="AB338" s="787"/>
      <c r="AC338" s="787"/>
      <c r="AD338" s="787"/>
    </row>
    <row r="339" spans="1:32" s="698" customFormat="1" ht="30" customHeight="1" thickBot="1" x14ac:dyDescent="0.3">
      <c r="A339" s="689" t="s">
        <v>4563</v>
      </c>
      <c r="B339" s="746" t="str">
        <f>+"OBREROS FIJOS_NOMINA_2A_QUINCENA_"&amp;NOMINA!F9&amp;"_"&amp;NOMINA!H9</f>
        <v>OBREROS FIJOS_NOMINA_2A_QUINCENA_SEPTIEMBRE_2025</v>
      </c>
      <c r="C339" s="690"/>
      <c r="D339" s="691"/>
      <c r="E339" s="692"/>
      <c r="F339" s="691"/>
      <c r="G339" s="693"/>
      <c r="H339" s="694"/>
      <c r="I339" s="695"/>
      <c r="J339" s="695"/>
      <c r="K339" s="695"/>
      <c r="L339" s="695"/>
      <c r="M339" s="695"/>
      <c r="N339" s="810"/>
      <c r="O339" s="695"/>
      <c r="P339" s="811"/>
      <c r="Q339" s="696"/>
      <c r="R339" s="696"/>
      <c r="S339" s="696"/>
      <c r="T339" s="696"/>
      <c r="U339" s="696"/>
      <c r="V339" s="696"/>
      <c r="W339" s="696"/>
      <c r="X339" s="811"/>
      <c r="Y339" s="696"/>
      <c r="Z339" s="811"/>
      <c r="AA339" s="811"/>
      <c r="AB339" s="811"/>
      <c r="AC339" s="696"/>
      <c r="AD339" s="697"/>
    </row>
    <row r="340" spans="1:32" s="620" customFormat="1" ht="20.100000000000001" customHeight="1" thickBot="1" x14ac:dyDescent="0.25">
      <c r="A340" s="758" t="s">
        <v>2846</v>
      </c>
      <c r="B340" s="508">
        <v>1</v>
      </c>
      <c r="C340" s="1102">
        <f>NOMINA!C305</f>
        <v>5505183</v>
      </c>
      <c r="D340" s="1103" t="str">
        <f>NOMINA!D305</f>
        <v>Paredes Marquez Eduardo Jesus</v>
      </c>
      <c r="E340" s="1468" t="s">
        <v>4622</v>
      </c>
      <c r="F340" s="1110">
        <v>32351</v>
      </c>
      <c r="G340" s="1468" t="s">
        <v>4620</v>
      </c>
      <c r="H340" s="1442">
        <f>NOMINA!H305</f>
        <v>44562</v>
      </c>
      <c r="I340" s="1105">
        <f>NOMINA!I305</f>
        <v>3</v>
      </c>
      <c r="J340" s="1106">
        <f>NOMINA!J305</f>
        <v>9</v>
      </c>
      <c r="K340" s="1105">
        <f t="shared" ref="K340" si="20">I340+J340</f>
        <v>12</v>
      </c>
      <c r="L340" s="1106" t="s">
        <v>4932</v>
      </c>
      <c r="M340" s="1106"/>
      <c r="N340" s="1443" t="str">
        <f>NOMINA!O305</f>
        <v>Ayudante de Servicios Generales</v>
      </c>
      <c r="O340" s="1106">
        <v>1.02087691000006E+18</v>
      </c>
      <c r="P340" s="1107">
        <f>NOMINA!W305</f>
        <v>76</v>
      </c>
      <c r="Q340" s="1108">
        <f>NOMINA!AG305</f>
        <v>10.49</v>
      </c>
      <c r="R340" s="1108">
        <f>NOMINA!AI305</f>
        <v>65</v>
      </c>
      <c r="S340" s="1108">
        <f>NOMINA!AK305</f>
        <v>0</v>
      </c>
      <c r="T340" s="1108">
        <f>+NOMINA!AO305</f>
        <v>0</v>
      </c>
      <c r="U340" s="1108">
        <f>+NOMINA!AQ305</f>
        <v>0</v>
      </c>
      <c r="V340" s="1108">
        <f>+NOMINA!AR305</f>
        <v>0</v>
      </c>
      <c r="W340" s="1108">
        <f>+NOMINA!AS305</f>
        <v>0</v>
      </c>
      <c r="X340" s="1108">
        <f>ROUND(NOMINA!AW305,2)</f>
        <v>0</v>
      </c>
      <c r="Y340" s="1108">
        <f>ROUND(NOMINA!AX305,2)</f>
        <v>0</v>
      </c>
      <c r="Z340" s="1108">
        <f>ROUND(NOMINA!BB305,2)+ROUND(NOMINA!BF305,2)</f>
        <v>0</v>
      </c>
      <c r="AA340" s="1108">
        <f>ROUND(NOMINA!BK305,2)</f>
        <v>0</v>
      </c>
      <c r="AB340" s="1108">
        <f>+NOMINA!BJ305</f>
        <v>0</v>
      </c>
      <c r="AC340" s="1108">
        <f>ROUND(NOMINA!BG305,2)</f>
        <v>310</v>
      </c>
      <c r="AD340" s="1711">
        <f t="shared" ref="AD340:AD403" si="21">+P340+Q340+R340+S340+X340+Y340+Z340+AC340+AA340+T340+U340+V340+W340+AB340</f>
        <v>461.49</v>
      </c>
      <c r="AF340" s="625"/>
    </row>
    <row r="341" spans="1:32" s="620" customFormat="1" ht="20.100000000000001" customHeight="1" thickBot="1" x14ac:dyDescent="0.25">
      <c r="A341" s="758" t="s">
        <v>2846</v>
      </c>
      <c r="B341" s="508">
        <f t="shared" ref="B341:B404" si="22">+B340+1</f>
        <v>2</v>
      </c>
      <c r="C341" s="1102">
        <f>NOMINA!C306</f>
        <v>5757455</v>
      </c>
      <c r="D341" s="1103" t="str">
        <f>NOMINA!D306</f>
        <v>Ramirez Garcia Maria Perpetua</v>
      </c>
      <c r="E341" s="1468" t="s">
        <v>4622</v>
      </c>
      <c r="F341" s="1110">
        <v>32351</v>
      </c>
      <c r="G341" s="1468" t="s">
        <v>4620</v>
      </c>
      <c r="H341" s="1442">
        <f>NOMINA!H306</f>
        <v>39409</v>
      </c>
      <c r="I341" s="1105">
        <f>NOMINA!I306</f>
        <v>17</v>
      </c>
      <c r="J341" s="1106">
        <f>NOMINA!J306</f>
        <v>0</v>
      </c>
      <c r="K341" s="1105">
        <f t="shared" ref="K341:K404" si="23">I341+J341</f>
        <v>17</v>
      </c>
      <c r="L341" s="1106" t="s">
        <v>4932</v>
      </c>
      <c r="M341" s="1106"/>
      <c r="N341" s="1443" t="str">
        <f>NOMINA!O306</f>
        <v>Cocinera</v>
      </c>
      <c r="O341" s="1106">
        <v>1.02087691000006E+18</v>
      </c>
      <c r="P341" s="1107">
        <f>NOMINA!W306</f>
        <v>85.5</v>
      </c>
      <c r="Q341" s="1108">
        <f>NOMINA!AG306</f>
        <v>18.12</v>
      </c>
      <c r="R341" s="1108">
        <f>NOMINA!AI306</f>
        <v>65</v>
      </c>
      <c r="S341" s="1108">
        <f>NOMINA!AK306</f>
        <v>0</v>
      </c>
      <c r="T341" s="1108">
        <f>+NOMINA!AO306</f>
        <v>0</v>
      </c>
      <c r="U341" s="1108">
        <f>+NOMINA!AQ306</f>
        <v>0</v>
      </c>
      <c r="V341" s="1108">
        <f>+NOMINA!AR306</f>
        <v>0</v>
      </c>
      <c r="W341" s="1108">
        <f>+NOMINA!AS306</f>
        <v>0</v>
      </c>
      <c r="X341" s="1108">
        <f>ROUND(NOMINA!AW306,2)</f>
        <v>0</v>
      </c>
      <c r="Y341" s="1108">
        <f>ROUND(NOMINA!AX306,2)</f>
        <v>0</v>
      </c>
      <c r="Z341" s="1108">
        <f>ROUND(NOMINA!BB306,2)+ROUND(NOMINA!BF306,2)</f>
        <v>0</v>
      </c>
      <c r="AA341" s="1108">
        <f>ROUND(NOMINA!BK306,2)</f>
        <v>0</v>
      </c>
      <c r="AB341" s="1108">
        <f>+NOMINA!BJ306</f>
        <v>0</v>
      </c>
      <c r="AC341" s="1108">
        <f>ROUND(NOMINA!BG306,2)</f>
        <v>310</v>
      </c>
      <c r="AD341" s="1711">
        <f t="shared" si="21"/>
        <v>478.62</v>
      </c>
      <c r="AF341" s="625"/>
    </row>
    <row r="342" spans="1:32" s="620" customFormat="1" ht="20.100000000000001" customHeight="1" thickBot="1" x14ac:dyDescent="0.25">
      <c r="A342" s="758" t="s">
        <v>2846</v>
      </c>
      <c r="B342" s="508">
        <f t="shared" si="22"/>
        <v>3</v>
      </c>
      <c r="C342" s="1102">
        <f>NOMINA!C307</f>
        <v>5762185</v>
      </c>
      <c r="D342" s="1103" t="str">
        <f>NOMINA!D307</f>
        <v>Salas Quintero Jose Gregorio</v>
      </c>
      <c r="E342" s="1468" t="s">
        <v>4622</v>
      </c>
      <c r="F342" s="1110">
        <v>32351</v>
      </c>
      <c r="G342" s="1468" t="s">
        <v>4620</v>
      </c>
      <c r="H342" s="1442">
        <f>NOMINA!H307</f>
        <v>37622</v>
      </c>
      <c r="I342" s="1105">
        <f>NOMINA!I307</f>
        <v>22</v>
      </c>
      <c r="J342" s="1106">
        <f>NOMINA!J307</f>
        <v>0</v>
      </c>
      <c r="K342" s="1105">
        <f t="shared" si="23"/>
        <v>22</v>
      </c>
      <c r="L342" s="1106" t="s">
        <v>4932</v>
      </c>
      <c r="M342" s="1106"/>
      <c r="N342" s="1443" t="str">
        <f>NOMINA!O307</f>
        <v>Vigilante</v>
      </c>
      <c r="O342" s="1106">
        <v>1.02087691000006E+18</v>
      </c>
      <c r="P342" s="1107">
        <f>NOMINA!W307</f>
        <v>85.5</v>
      </c>
      <c r="Q342" s="1108">
        <f>NOMINA!AG307</f>
        <v>25.31</v>
      </c>
      <c r="R342" s="1108">
        <f>NOMINA!AI307</f>
        <v>65</v>
      </c>
      <c r="S342" s="1108">
        <f>NOMINA!AK307</f>
        <v>0</v>
      </c>
      <c r="T342" s="1108">
        <f>+NOMINA!AO307</f>
        <v>0</v>
      </c>
      <c r="U342" s="1108">
        <f>+NOMINA!AQ307</f>
        <v>0</v>
      </c>
      <c r="V342" s="1108">
        <f>+NOMINA!AR307</f>
        <v>0</v>
      </c>
      <c r="W342" s="1108">
        <f>+NOMINA!AS307</f>
        <v>0</v>
      </c>
      <c r="X342" s="1108">
        <f>ROUND(NOMINA!AW307,2)</f>
        <v>0</v>
      </c>
      <c r="Y342" s="1108">
        <f>ROUND(NOMINA!AX307,2)</f>
        <v>0</v>
      </c>
      <c r="Z342" s="1108">
        <f>ROUND(NOMINA!BB307,2)+ROUND(NOMINA!BF307,2)</f>
        <v>0</v>
      </c>
      <c r="AA342" s="1108">
        <f>ROUND(NOMINA!BK307,2)</f>
        <v>0</v>
      </c>
      <c r="AB342" s="1108">
        <f>+NOMINA!BJ307</f>
        <v>0</v>
      </c>
      <c r="AC342" s="1108">
        <f>ROUND(NOMINA!BG307,2)</f>
        <v>310</v>
      </c>
      <c r="AD342" s="1711">
        <f t="shared" si="21"/>
        <v>485.81</v>
      </c>
      <c r="AF342" s="625"/>
    </row>
    <row r="343" spans="1:32" s="620" customFormat="1" ht="20.100000000000001" customHeight="1" thickBot="1" x14ac:dyDescent="0.25">
      <c r="A343" s="758" t="s">
        <v>2846</v>
      </c>
      <c r="B343" s="508">
        <f t="shared" si="22"/>
        <v>4</v>
      </c>
      <c r="C343" s="1102">
        <f>NOMINA!C308</f>
        <v>6332524</v>
      </c>
      <c r="D343" s="1103" t="str">
        <f>NOMINA!D308</f>
        <v>Flores Diana Yamilet</v>
      </c>
      <c r="E343" s="1468" t="s">
        <v>4622</v>
      </c>
      <c r="F343" s="1110">
        <v>32351</v>
      </c>
      <c r="G343" s="1468" t="s">
        <v>4620</v>
      </c>
      <c r="H343" s="1442">
        <f>NOMINA!H308</f>
        <v>42948</v>
      </c>
      <c r="I343" s="1105">
        <f>NOMINA!I308</f>
        <v>8</v>
      </c>
      <c r="J343" s="1106">
        <f>NOMINA!J308</f>
        <v>0</v>
      </c>
      <c r="K343" s="1105">
        <f t="shared" si="23"/>
        <v>8</v>
      </c>
      <c r="L343" s="1106" t="s">
        <v>4932</v>
      </c>
      <c r="M343" s="1106"/>
      <c r="N343" s="1443" t="str">
        <f>NOMINA!O308</f>
        <v>Cocinera</v>
      </c>
      <c r="O343" s="1106">
        <v>1.02087691000006E+18</v>
      </c>
      <c r="P343" s="1107">
        <f>NOMINA!W308</f>
        <v>85.5</v>
      </c>
      <c r="Q343" s="1108">
        <f>NOMINA!AG308</f>
        <v>7.35</v>
      </c>
      <c r="R343" s="1108">
        <f>NOMINA!AI308</f>
        <v>65</v>
      </c>
      <c r="S343" s="1108">
        <f>NOMINA!AK308</f>
        <v>0</v>
      </c>
      <c r="T343" s="1108">
        <f>+NOMINA!AO308</f>
        <v>0</v>
      </c>
      <c r="U343" s="1108">
        <f>+NOMINA!AQ308</f>
        <v>0</v>
      </c>
      <c r="V343" s="1108">
        <f>+NOMINA!AR308</f>
        <v>0</v>
      </c>
      <c r="W343" s="1108">
        <f>+NOMINA!AS308</f>
        <v>0</v>
      </c>
      <c r="X343" s="1108">
        <f>ROUND(NOMINA!AW308,2)</f>
        <v>0</v>
      </c>
      <c r="Y343" s="1108">
        <f>ROUND(NOMINA!AX308,2)</f>
        <v>0</v>
      </c>
      <c r="Z343" s="1108">
        <f>ROUND(NOMINA!BB308,2)+ROUND(NOMINA!BF308,2)</f>
        <v>0</v>
      </c>
      <c r="AA343" s="1108">
        <f>ROUND(NOMINA!BK308,2)</f>
        <v>0</v>
      </c>
      <c r="AB343" s="1108">
        <f>+NOMINA!BJ308</f>
        <v>0</v>
      </c>
      <c r="AC343" s="1108">
        <f>ROUND(NOMINA!BG308,2)</f>
        <v>310</v>
      </c>
      <c r="AD343" s="1711">
        <f t="shared" si="21"/>
        <v>467.85</v>
      </c>
      <c r="AF343" s="625"/>
    </row>
    <row r="344" spans="1:32" s="620" customFormat="1" ht="20.100000000000001" customHeight="1" thickBot="1" x14ac:dyDescent="0.25">
      <c r="A344" s="758" t="s">
        <v>2846</v>
      </c>
      <c r="B344" s="508">
        <f t="shared" si="22"/>
        <v>5</v>
      </c>
      <c r="C344" s="1102">
        <f>NOMINA!C309</f>
        <v>6902701</v>
      </c>
      <c r="D344" s="1103" t="str">
        <f>NOMINA!D309</f>
        <v>Santiago Torres Jose Ramon</v>
      </c>
      <c r="E344" s="1468" t="s">
        <v>4622</v>
      </c>
      <c r="F344" s="1110">
        <v>32351</v>
      </c>
      <c r="G344" s="1468" t="s">
        <v>4620</v>
      </c>
      <c r="H344" s="1442">
        <f>NOMINA!H309</f>
        <v>44228</v>
      </c>
      <c r="I344" s="1105">
        <f>NOMINA!I309</f>
        <v>4</v>
      </c>
      <c r="J344" s="1106">
        <f>NOMINA!J309</f>
        <v>0</v>
      </c>
      <c r="K344" s="1105">
        <f t="shared" si="23"/>
        <v>4</v>
      </c>
      <c r="L344" s="1106" t="s">
        <v>4932</v>
      </c>
      <c r="M344" s="1106"/>
      <c r="N344" s="1443" t="str">
        <f>NOMINA!O309</f>
        <v>Mensajero</v>
      </c>
      <c r="O344" s="1106">
        <v>1.02087691000006E+18</v>
      </c>
      <c r="P344" s="1107">
        <f>NOMINA!W309</f>
        <v>71</v>
      </c>
      <c r="Q344" s="1108">
        <f>NOMINA!AG309</f>
        <v>2.84</v>
      </c>
      <c r="R344" s="1108">
        <f>NOMINA!AI309</f>
        <v>65</v>
      </c>
      <c r="S344" s="1108">
        <f>NOMINA!AK309</f>
        <v>0</v>
      </c>
      <c r="T344" s="1108">
        <f>+NOMINA!AO309</f>
        <v>0</v>
      </c>
      <c r="U344" s="1108">
        <f>+NOMINA!AQ309</f>
        <v>0</v>
      </c>
      <c r="V344" s="1108">
        <f>+NOMINA!AR309</f>
        <v>0</v>
      </c>
      <c r="W344" s="1108">
        <f>+NOMINA!AS309</f>
        <v>0</v>
      </c>
      <c r="X344" s="1108">
        <f>ROUND(NOMINA!AW309,2)</f>
        <v>0</v>
      </c>
      <c r="Y344" s="1108">
        <f>ROUND(NOMINA!AX309,2)</f>
        <v>0</v>
      </c>
      <c r="Z344" s="1108">
        <f>ROUND(NOMINA!BB309,2)+ROUND(NOMINA!BF309,2)</f>
        <v>14.51</v>
      </c>
      <c r="AA344" s="1108">
        <f>ROUND(NOMINA!BK309,2)</f>
        <v>0</v>
      </c>
      <c r="AB344" s="1108">
        <f>+NOMINA!BJ309</f>
        <v>0</v>
      </c>
      <c r="AC344" s="1108">
        <f>ROUND(NOMINA!BG309,2)</f>
        <v>310</v>
      </c>
      <c r="AD344" s="1711">
        <f t="shared" si="21"/>
        <v>463.35</v>
      </c>
      <c r="AF344" s="625"/>
    </row>
    <row r="345" spans="1:32" s="620" customFormat="1" ht="20.100000000000001" customHeight="1" thickBot="1" x14ac:dyDescent="0.25">
      <c r="A345" s="758" t="s">
        <v>2846</v>
      </c>
      <c r="B345" s="508">
        <f t="shared" si="22"/>
        <v>6</v>
      </c>
      <c r="C345" s="1102">
        <f>NOMINA!C310</f>
        <v>7252065</v>
      </c>
      <c r="D345" s="1103" t="str">
        <f>NOMINA!D310</f>
        <v>Rivas Rivas Jose Gerardo</v>
      </c>
      <c r="E345" s="1468" t="s">
        <v>4622</v>
      </c>
      <c r="F345" s="1110">
        <v>32351</v>
      </c>
      <c r="G345" s="1468" t="s">
        <v>4620</v>
      </c>
      <c r="H345" s="1442">
        <f>NOMINA!H310</f>
        <v>43891</v>
      </c>
      <c r="I345" s="1105">
        <f>NOMINA!I310</f>
        <v>5</v>
      </c>
      <c r="J345" s="1106">
        <f>NOMINA!J310</f>
        <v>0</v>
      </c>
      <c r="K345" s="1105">
        <f t="shared" si="23"/>
        <v>5</v>
      </c>
      <c r="L345" s="1106" t="s">
        <v>4932</v>
      </c>
      <c r="M345" s="1106"/>
      <c r="N345" s="1443" t="str">
        <f>NOMINA!O310</f>
        <v>Ayudante de Servicios Generales</v>
      </c>
      <c r="O345" s="1106">
        <v>1.02087691000006E+18</v>
      </c>
      <c r="P345" s="1107">
        <f>NOMINA!W310</f>
        <v>76</v>
      </c>
      <c r="Q345" s="1108">
        <f>NOMINA!AG310</f>
        <v>3.8</v>
      </c>
      <c r="R345" s="1108">
        <f>NOMINA!AI310</f>
        <v>65</v>
      </c>
      <c r="S345" s="1108">
        <f>NOMINA!AK310</f>
        <v>0</v>
      </c>
      <c r="T345" s="1108">
        <f>+NOMINA!AO310</f>
        <v>0</v>
      </c>
      <c r="U345" s="1108">
        <f>+NOMINA!AQ310</f>
        <v>0</v>
      </c>
      <c r="V345" s="1108">
        <f>+NOMINA!AR310</f>
        <v>0</v>
      </c>
      <c r="W345" s="1108">
        <f>+NOMINA!AS310</f>
        <v>0</v>
      </c>
      <c r="X345" s="1108">
        <f>ROUND(NOMINA!AW310,2)</f>
        <v>86.88</v>
      </c>
      <c r="Y345" s="1108">
        <f>ROUND(NOMINA!AX310,2)</f>
        <v>0</v>
      </c>
      <c r="Z345" s="1108">
        <f>ROUND(NOMINA!BB310,2)+ROUND(NOMINA!BF310,2)</f>
        <v>0</v>
      </c>
      <c r="AA345" s="1108">
        <f>ROUND(NOMINA!BK310,2)</f>
        <v>0</v>
      </c>
      <c r="AB345" s="1108">
        <f>+NOMINA!BJ310</f>
        <v>0</v>
      </c>
      <c r="AC345" s="1108">
        <f>ROUND(NOMINA!BG310,2)</f>
        <v>310</v>
      </c>
      <c r="AD345" s="1711">
        <f t="shared" si="21"/>
        <v>541.68000000000006</v>
      </c>
      <c r="AF345" s="625"/>
    </row>
    <row r="346" spans="1:32" s="620" customFormat="1" ht="20.100000000000001" customHeight="1" thickBot="1" x14ac:dyDescent="0.25">
      <c r="A346" s="758" t="s">
        <v>2846</v>
      </c>
      <c r="B346" s="508">
        <f t="shared" si="22"/>
        <v>7</v>
      </c>
      <c r="C346" s="1102">
        <f>NOMINA!C311</f>
        <v>9008311</v>
      </c>
      <c r="D346" s="1103" t="str">
        <f>NOMINA!D311</f>
        <v>Toro Margi Enrique</v>
      </c>
      <c r="E346" s="1468" t="s">
        <v>4622</v>
      </c>
      <c r="F346" s="1110">
        <v>32351</v>
      </c>
      <c r="G346" s="1468" t="s">
        <v>4620</v>
      </c>
      <c r="H346" s="1442">
        <f>NOMINA!H311</f>
        <v>39265</v>
      </c>
      <c r="I346" s="1105">
        <f>NOMINA!I311</f>
        <v>18</v>
      </c>
      <c r="J346" s="1106">
        <f>NOMINA!J311</f>
        <v>0</v>
      </c>
      <c r="K346" s="1105">
        <f t="shared" si="23"/>
        <v>18</v>
      </c>
      <c r="L346" s="1106" t="s">
        <v>4932</v>
      </c>
      <c r="M346" s="1106"/>
      <c r="N346" s="1443" t="str">
        <f>NOMINA!O311</f>
        <v>Ayudante de Servicios Generales</v>
      </c>
      <c r="O346" s="1106">
        <v>1.02087691000006E+18</v>
      </c>
      <c r="P346" s="1107">
        <f>NOMINA!W311</f>
        <v>76</v>
      </c>
      <c r="Q346" s="1108">
        <f>NOMINA!AG311</f>
        <v>17.329999999999998</v>
      </c>
      <c r="R346" s="1108">
        <f>NOMINA!AI311</f>
        <v>65</v>
      </c>
      <c r="S346" s="1108">
        <f>NOMINA!AK311</f>
        <v>0</v>
      </c>
      <c r="T346" s="1108">
        <f>+NOMINA!AO311</f>
        <v>0</v>
      </c>
      <c r="U346" s="1108">
        <f>+NOMINA!AQ311</f>
        <v>0</v>
      </c>
      <c r="V346" s="1108">
        <f>+NOMINA!AR311</f>
        <v>0</v>
      </c>
      <c r="W346" s="1108">
        <f>+NOMINA!AS311</f>
        <v>0</v>
      </c>
      <c r="X346" s="1108">
        <f>ROUND(NOMINA!AW311,2)</f>
        <v>0</v>
      </c>
      <c r="Y346" s="1108">
        <f>ROUND(NOMINA!AX311,2)</f>
        <v>0</v>
      </c>
      <c r="Z346" s="1108">
        <f>ROUND(NOMINA!BB311,2)+ROUND(NOMINA!BF311,2)</f>
        <v>0</v>
      </c>
      <c r="AA346" s="1108">
        <f>ROUND(NOMINA!BK311,2)</f>
        <v>0</v>
      </c>
      <c r="AB346" s="1108">
        <f>+NOMINA!BJ311</f>
        <v>0</v>
      </c>
      <c r="AC346" s="1108">
        <f>ROUND(NOMINA!BG311,2)</f>
        <v>310</v>
      </c>
      <c r="AD346" s="1711">
        <f t="shared" si="21"/>
        <v>468.33</v>
      </c>
      <c r="AF346" s="625"/>
    </row>
    <row r="347" spans="1:32" s="620" customFormat="1" ht="20.100000000000001" customHeight="1" thickBot="1" x14ac:dyDescent="0.25">
      <c r="A347" s="758" t="s">
        <v>2846</v>
      </c>
      <c r="B347" s="508">
        <f t="shared" si="22"/>
        <v>8</v>
      </c>
      <c r="C347" s="1102">
        <f>NOMINA!C312</f>
        <v>9011963</v>
      </c>
      <c r="D347" s="1103" t="str">
        <f>NOMINA!D312</f>
        <v>Alarcon Argenio</v>
      </c>
      <c r="E347" s="1468" t="s">
        <v>4622</v>
      </c>
      <c r="F347" s="1110">
        <v>32351</v>
      </c>
      <c r="G347" s="1468" t="s">
        <v>4620</v>
      </c>
      <c r="H347" s="1442">
        <f>NOMINA!H312</f>
        <v>39820</v>
      </c>
      <c r="I347" s="1105">
        <f>NOMINA!I312</f>
        <v>16</v>
      </c>
      <c r="J347" s="1106">
        <f>NOMINA!J312</f>
        <v>0</v>
      </c>
      <c r="K347" s="1105">
        <f t="shared" si="23"/>
        <v>16</v>
      </c>
      <c r="L347" s="1106" t="s">
        <v>4932</v>
      </c>
      <c r="M347" s="1106"/>
      <c r="N347" s="1443" t="str">
        <f>NOMINA!O312</f>
        <v>Ayudante de Servicios Generales</v>
      </c>
      <c r="O347" s="1106">
        <v>1.02087691000006E+18</v>
      </c>
      <c r="P347" s="1107">
        <f>NOMINA!W312</f>
        <v>76</v>
      </c>
      <c r="Q347" s="1108">
        <f>NOMINA!AG312</f>
        <v>14.89</v>
      </c>
      <c r="R347" s="1108">
        <f>NOMINA!AI312</f>
        <v>65</v>
      </c>
      <c r="S347" s="1108">
        <f>NOMINA!AK312</f>
        <v>0</v>
      </c>
      <c r="T347" s="1108">
        <f>+NOMINA!AO312</f>
        <v>0</v>
      </c>
      <c r="U347" s="1108">
        <f>+NOMINA!AQ312</f>
        <v>0</v>
      </c>
      <c r="V347" s="1108">
        <f>+NOMINA!AR312</f>
        <v>0</v>
      </c>
      <c r="W347" s="1108">
        <f>+NOMINA!AS312</f>
        <v>0</v>
      </c>
      <c r="X347" s="1108">
        <f>ROUND(NOMINA!AW312,2)</f>
        <v>0</v>
      </c>
      <c r="Y347" s="1108">
        <f>ROUND(NOMINA!AX312,2)</f>
        <v>0</v>
      </c>
      <c r="Z347" s="1108">
        <f>ROUND(NOMINA!BB312,2)+ROUND(NOMINA!BF312,2)</f>
        <v>0</v>
      </c>
      <c r="AA347" s="1108">
        <f>ROUND(NOMINA!BK312,2)</f>
        <v>0</v>
      </c>
      <c r="AB347" s="1108">
        <f>+NOMINA!BJ312</f>
        <v>0</v>
      </c>
      <c r="AC347" s="1108">
        <f>ROUND(NOMINA!BG312,2)</f>
        <v>310</v>
      </c>
      <c r="AD347" s="1711">
        <f t="shared" si="21"/>
        <v>465.89</v>
      </c>
      <c r="AF347" s="625"/>
    </row>
    <row r="348" spans="1:32" s="620" customFormat="1" ht="20.100000000000001" customHeight="1" thickBot="1" x14ac:dyDescent="0.25">
      <c r="A348" s="758" t="s">
        <v>2846</v>
      </c>
      <c r="B348" s="508">
        <f t="shared" si="22"/>
        <v>9</v>
      </c>
      <c r="C348" s="1102">
        <f>NOMINA!C313</f>
        <v>9100500</v>
      </c>
      <c r="D348" s="1103" t="str">
        <f>NOMINA!D313</f>
        <v>Hernandez de Villegas Zoraida Elodia</v>
      </c>
      <c r="E348" s="1468" t="s">
        <v>4622</v>
      </c>
      <c r="F348" s="1110">
        <v>32351</v>
      </c>
      <c r="G348" s="1468" t="s">
        <v>4620</v>
      </c>
      <c r="H348" s="1442">
        <f>NOMINA!H313</f>
        <v>39496</v>
      </c>
      <c r="I348" s="1105">
        <f>NOMINA!I313</f>
        <v>17</v>
      </c>
      <c r="J348" s="1106">
        <f>NOMINA!J313</f>
        <v>0</v>
      </c>
      <c r="K348" s="1105">
        <f t="shared" si="23"/>
        <v>17</v>
      </c>
      <c r="L348" s="1106" t="s">
        <v>4932</v>
      </c>
      <c r="M348" s="1106"/>
      <c r="N348" s="1443" t="str">
        <f>NOMINA!O313</f>
        <v>Aseadora</v>
      </c>
      <c r="O348" s="1106">
        <v>1.02087691000006E+18</v>
      </c>
      <c r="P348" s="1107">
        <f>NOMINA!W313</f>
        <v>65</v>
      </c>
      <c r="Q348" s="1108">
        <f>NOMINA!AG313</f>
        <v>13.78</v>
      </c>
      <c r="R348" s="1108">
        <f>NOMINA!AI313</f>
        <v>65</v>
      </c>
      <c r="S348" s="1108">
        <f>NOMINA!AK313</f>
        <v>0</v>
      </c>
      <c r="T348" s="1108">
        <f>+NOMINA!AO313</f>
        <v>0</v>
      </c>
      <c r="U348" s="1108">
        <f>+NOMINA!AQ313</f>
        <v>0</v>
      </c>
      <c r="V348" s="1108">
        <f>+NOMINA!AR313</f>
        <v>0</v>
      </c>
      <c r="W348" s="1108">
        <f>+NOMINA!AS313</f>
        <v>0</v>
      </c>
      <c r="X348" s="1108">
        <f>ROUND(NOMINA!AW313,2)</f>
        <v>0</v>
      </c>
      <c r="Y348" s="1108">
        <f>ROUND(NOMINA!AX313,2)</f>
        <v>0</v>
      </c>
      <c r="Z348" s="1108">
        <f>ROUND(NOMINA!BB313,2)+ROUND(NOMINA!BF313,2)</f>
        <v>0</v>
      </c>
      <c r="AA348" s="1108">
        <f>ROUND(NOMINA!BK313,2)</f>
        <v>0</v>
      </c>
      <c r="AB348" s="1108">
        <f>+NOMINA!BJ313</f>
        <v>0</v>
      </c>
      <c r="AC348" s="1108">
        <f>ROUND(NOMINA!BG313,2)</f>
        <v>310</v>
      </c>
      <c r="AD348" s="1711">
        <f t="shared" si="21"/>
        <v>453.78</v>
      </c>
      <c r="AF348" s="625"/>
    </row>
    <row r="349" spans="1:32" s="620" customFormat="1" ht="20.100000000000001" customHeight="1" thickBot="1" x14ac:dyDescent="0.25">
      <c r="A349" s="758" t="s">
        <v>2846</v>
      </c>
      <c r="B349" s="508">
        <f t="shared" si="22"/>
        <v>10</v>
      </c>
      <c r="C349" s="1102">
        <f>NOMINA!C314</f>
        <v>9110498</v>
      </c>
      <c r="D349" s="1103" t="str">
        <f>NOMINA!D314</f>
        <v>Ruiz Alberto Jose</v>
      </c>
      <c r="E349" s="1468" t="s">
        <v>4622</v>
      </c>
      <c r="F349" s="1110">
        <v>32351</v>
      </c>
      <c r="G349" s="1468" t="s">
        <v>4620</v>
      </c>
      <c r="H349" s="1442">
        <f>NOMINA!H314</f>
        <v>37508</v>
      </c>
      <c r="I349" s="1105">
        <f>NOMINA!I314</f>
        <v>23</v>
      </c>
      <c r="J349" s="1106">
        <f>NOMINA!J314</f>
        <v>0</v>
      </c>
      <c r="K349" s="1105">
        <f t="shared" si="23"/>
        <v>23</v>
      </c>
      <c r="L349" s="1106" t="s">
        <v>4932</v>
      </c>
      <c r="M349" s="1106"/>
      <c r="N349" s="1443" t="str">
        <f>NOMINA!O314</f>
        <v>Ayudante de Servicios Generales</v>
      </c>
      <c r="O349" s="1106">
        <v>1.02087691000006E+18</v>
      </c>
      <c r="P349" s="1107">
        <f>NOMINA!W314</f>
        <v>76</v>
      </c>
      <c r="Q349" s="1108">
        <f>NOMINA!AG314</f>
        <v>22.8</v>
      </c>
      <c r="R349" s="1108">
        <f>NOMINA!AI314</f>
        <v>65</v>
      </c>
      <c r="S349" s="1108">
        <f>NOMINA!AK314</f>
        <v>0</v>
      </c>
      <c r="T349" s="1108">
        <f>+NOMINA!AO314</f>
        <v>0</v>
      </c>
      <c r="U349" s="1108">
        <f>+NOMINA!AQ314</f>
        <v>0</v>
      </c>
      <c r="V349" s="1108">
        <f>+NOMINA!AR314</f>
        <v>0</v>
      </c>
      <c r="W349" s="1108">
        <f>+NOMINA!AS314</f>
        <v>0</v>
      </c>
      <c r="X349" s="1108">
        <f>ROUND(NOMINA!AW314,2)</f>
        <v>0</v>
      </c>
      <c r="Y349" s="1108">
        <f>ROUND(NOMINA!AX314,2)</f>
        <v>2620.8000000000002</v>
      </c>
      <c r="Z349" s="1108">
        <f>ROUND(NOMINA!BB314,2)+ROUND(NOMINA!BF314,2)</f>
        <v>0</v>
      </c>
      <c r="AA349" s="1108">
        <f>ROUND(NOMINA!BK314,2)</f>
        <v>0</v>
      </c>
      <c r="AB349" s="1108">
        <f>+NOMINA!BJ314</f>
        <v>0</v>
      </c>
      <c r="AC349" s="1108">
        <f>ROUND(NOMINA!BG314,2)</f>
        <v>310</v>
      </c>
      <c r="AD349" s="1711">
        <f t="shared" si="21"/>
        <v>3094.6000000000004</v>
      </c>
      <c r="AF349" s="625"/>
    </row>
    <row r="350" spans="1:32" s="620" customFormat="1" ht="20.100000000000001" customHeight="1" thickBot="1" x14ac:dyDescent="0.25">
      <c r="A350" s="758" t="s">
        <v>2846</v>
      </c>
      <c r="B350" s="508">
        <f t="shared" si="22"/>
        <v>11</v>
      </c>
      <c r="C350" s="1102">
        <f>NOMINA!C315</f>
        <v>9163994</v>
      </c>
      <c r="D350" s="1103" t="str">
        <f>NOMINA!D315</f>
        <v>Rodriguez Fernandez Carlos Eduardo</v>
      </c>
      <c r="E350" s="1468" t="s">
        <v>4622</v>
      </c>
      <c r="F350" s="1110">
        <v>32351</v>
      </c>
      <c r="G350" s="1468" t="s">
        <v>4620</v>
      </c>
      <c r="H350" s="1442">
        <f>NOMINA!H315</f>
        <v>43770</v>
      </c>
      <c r="I350" s="1105">
        <f>NOMINA!I315</f>
        <v>5</v>
      </c>
      <c r="J350" s="1106">
        <f>NOMINA!J315</f>
        <v>0</v>
      </c>
      <c r="K350" s="1105">
        <f t="shared" si="23"/>
        <v>5</v>
      </c>
      <c r="L350" s="1106" t="s">
        <v>4932</v>
      </c>
      <c r="M350" s="1106"/>
      <c r="N350" s="1443" t="str">
        <f>NOMINA!O315</f>
        <v>Ayudante de Almacen</v>
      </c>
      <c r="O350" s="1106">
        <v>1.02087691000006E+18</v>
      </c>
      <c r="P350" s="1107">
        <f>NOMINA!W315</f>
        <v>85.5</v>
      </c>
      <c r="Q350" s="1108">
        <f>NOMINA!AG315</f>
        <v>4.2699999999999996</v>
      </c>
      <c r="R350" s="1108">
        <f>NOMINA!AI315</f>
        <v>65</v>
      </c>
      <c r="S350" s="1108">
        <f>NOMINA!AK315</f>
        <v>0</v>
      </c>
      <c r="T350" s="1108">
        <f>+NOMINA!AO315</f>
        <v>0</v>
      </c>
      <c r="U350" s="1108">
        <f>+NOMINA!AQ315</f>
        <v>0</v>
      </c>
      <c r="V350" s="1108">
        <f>+NOMINA!AR315</f>
        <v>0</v>
      </c>
      <c r="W350" s="1108">
        <f>+NOMINA!AS315</f>
        <v>0</v>
      </c>
      <c r="X350" s="1108">
        <f>ROUND(NOMINA!AW315,2)</f>
        <v>0</v>
      </c>
      <c r="Y350" s="1108">
        <f>ROUND(NOMINA!AX315,2)</f>
        <v>0</v>
      </c>
      <c r="Z350" s="1108">
        <f>ROUND(NOMINA!BB315,2)+ROUND(NOMINA!BF315,2)</f>
        <v>0</v>
      </c>
      <c r="AA350" s="1108">
        <f>ROUND(NOMINA!BK315,2)</f>
        <v>0</v>
      </c>
      <c r="AB350" s="1108">
        <f>+NOMINA!BJ315</f>
        <v>0</v>
      </c>
      <c r="AC350" s="1108">
        <f>ROUND(NOMINA!BG315,2)</f>
        <v>310</v>
      </c>
      <c r="AD350" s="1711">
        <f t="shared" si="21"/>
        <v>464.77</v>
      </c>
      <c r="AF350" s="625"/>
    </row>
    <row r="351" spans="1:32" s="620" customFormat="1" ht="20.100000000000001" customHeight="1" thickBot="1" x14ac:dyDescent="0.25">
      <c r="A351" s="758" t="s">
        <v>2846</v>
      </c>
      <c r="B351" s="508">
        <f t="shared" si="22"/>
        <v>12</v>
      </c>
      <c r="C351" s="1102">
        <f>NOMINA!C316</f>
        <v>9167342</v>
      </c>
      <c r="D351" s="1103" t="str">
        <f>NOMINA!D316</f>
        <v>Gutierrez Briceño Jose Justimiano</v>
      </c>
      <c r="E351" s="1468" t="s">
        <v>4622</v>
      </c>
      <c r="F351" s="1110">
        <v>32351</v>
      </c>
      <c r="G351" s="1468" t="s">
        <v>4620</v>
      </c>
      <c r="H351" s="1442">
        <f>NOMINA!H316</f>
        <v>43845</v>
      </c>
      <c r="I351" s="1105">
        <f>NOMINA!I316</f>
        <v>5</v>
      </c>
      <c r="J351" s="1106">
        <f>NOMINA!J316</f>
        <v>0</v>
      </c>
      <c r="K351" s="1105">
        <f t="shared" si="23"/>
        <v>5</v>
      </c>
      <c r="L351" s="1106" t="s">
        <v>4932</v>
      </c>
      <c r="M351" s="1106"/>
      <c r="N351" s="1443" t="str">
        <f>NOMINA!O316</f>
        <v>Ayudante Agropecuario</v>
      </c>
      <c r="O351" s="1106">
        <v>1.02087691000006E+18</v>
      </c>
      <c r="P351" s="1107">
        <f>NOMINA!W316</f>
        <v>76</v>
      </c>
      <c r="Q351" s="1108">
        <f>NOMINA!AG316</f>
        <v>3.8</v>
      </c>
      <c r="R351" s="1108">
        <f>NOMINA!AI316</f>
        <v>65</v>
      </c>
      <c r="S351" s="1108">
        <f>NOMINA!AK316</f>
        <v>0</v>
      </c>
      <c r="T351" s="1108">
        <f>+NOMINA!AO316</f>
        <v>0</v>
      </c>
      <c r="U351" s="1108">
        <f>+NOMINA!AQ316</f>
        <v>0</v>
      </c>
      <c r="V351" s="1108">
        <f>+NOMINA!AR316</f>
        <v>0</v>
      </c>
      <c r="W351" s="1108">
        <f>+NOMINA!AS316</f>
        <v>0</v>
      </c>
      <c r="X351" s="1108">
        <f>ROUND(NOMINA!AW316,2)</f>
        <v>0</v>
      </c>
      <c r="Y351" s="1108">
        <f>ROUND(NOMINA!AX316,2)</f>
        <v>0</v>
      </c>
      <c r="Z351" s="1108">
        <f>ROUND(NOMINA!BB316,2)+ROUND(NOMINA!BF316,2)</f>
        <v>0</v>
      </c>
      <c r="AA351" s="1108">
        <f>ROUND(NOMINA!BK316,2)</f>
        <v>0</v>
      </c>
      <c r="AB351" s="1108">
        <f>+NOMINA!BJ316</f>
        <v>0</v>
      </c>
      <c r="AC351" s="1108">
        <f>ROUND(NOMINA!BG316,2)</f>
        <v>310</v>
      </c>
      <c r="AD351" s="1711">
        <f t="shared" si="21"/>
        <v>454.8</v>
      </c>
      <c r="AF351" s="625"/>
    </row>
    <row r="352" spans="1:32" s="620" customFormat="1" ht="20.100000000000001" customHeight="1" thickBot="1" x14ac:dyDescent="0.25">
      <c r="A352" s="758" t="s">
        <v>2846</v>
      </c>
      <c r="B352" s="508">
        <f t="shared" si="22"/>
        <v>13</v>
      </c>
      <c r="C352" s="1102">
        <f>NOMINA!C317</f>
        <v>9310477</v>
      </c>
      <c r="D352" s="1103" t="str">
        <f>NOMINA!D317</f>
        <v>Campos Muchacho Rafael Angel</v>
      </c>
      <c r="E352" s="1468" t="s">
        <v>4622</v>
      </c>
      <c r="F352" s="1110">
        <v>32351</v>
      </c>
      <c r="G352" s="1468" t="s">
        <v>4620</v>
      </c>
      <c r="H352" s="1442">
        <f>NOMINA!H317</f>
        <v>44075</v>
      </c>
      <c r="I352" s="1105">
        <f>NOMINA!I317</f>
        <v>5</v>
      </c>
      <c r="J352" s="1106">
        <f>NOMINA!J317</f>
        <v>0</v>
      </c>
      <c r="K352" s="1105">
        <f t="shared" si="23"/>
        <v>5</v>
      </c>
      <c r="L352" s="1106" t="s">
        <v>4932</v>
      </c>
      <c r="M352" s="1106"/>
      <c r="N352" s="1443" t="str">
        <f>NOMINA!O317</f>
        <v>Ayudante Agropecuario</v>
      </c>
      <c r="O352" s="1106">
        <v>1.02087691000006E+18</v>
      </c>
      <c r="P352" s="1107">
        <f>NOMINA!W317</f>
        <v>76</v>
      </c>
      <c r="Q352" s="1108">
        <f>NOMINA!AG317</f>
        <v>3.8</v>
      </c>
      <c r="R352" s="1108">
        <f>NOMINA!AI317</f>
        <v>65</v>
      </c>
      <c r="S352" s="1108">
        <f>NOMINA!AK317</f>
        <v>0</v>
      </c>
      <c r="T352" s="1108">
        <f>+NOMINA!AO317</f>
        <v>0</v>
      </c>
      <c r="U352" s="1108">
        <f>+NOMINA!AQ317</f>
        <v>0</v>
      </c>
      <c r="V352" s="1108">
        <f>+NOMINA!AR317</f>
        <v>0</v>
      </c>
      <c r="W352" s="1108">
        <f>+NOMINA!AS317</f>
        <v>0</v>
      </c>
      <c r="X352" s="1108">
        <f>ROUND(NOMINA!AW317,2)</f>
        <v>0</v>
      </c>
      <c r="Y352" s="1108">
        <f>ROUND(NOMINA!AX317,2)</f>
        <v>2316.8000000000002</v>
      </c>
      <c r="Z352" s="1108">
        <f>ROUND(NOMINA!BB317,2)+ROUND(NOMINA!BF317,2)</f>
        <v>14.48</v>
      </c>
      <c r="AA352" s="1108">
        <f>ROUND(NOMINA!BK317,2)</f>
        <v>0</v>
      </c>
      <c r="AB352" s="1108">
        <f>+NOMINA!BJ317</f>
        <v>0</v>
      </c>
      <c r="AC352" s="1108">
        <f>ROUND(NOMINA!BG317,2)</f>
        <v>310</v>
      </c>
      <c r="AD352" s="1711">
        <f t="shared" si="21"/>
        <v>2786.0800000000004</v>
      </c>
      <c r="AF352" s="625"/>
    </row>
    <row r="353" spans="1:32" s="620" customFormat="1" ht="20.100000000000001" customHeight="1" thickBot="1" x14ac:dyDescent="0.25">
      <c r="A353" s="758" t="s">
        <v>2846</v>
      </c>
      <c r="B353" s="508">
        <f t="shared" si="22"/>
        <v>14</v>
      </c>
      <c r="C353" s="1102">
        <f>NOMINA!C318</f>
        <v>9323739</v>
      </c>
      <c r="D353" s="1103" t="str">
        <f>NOMINA!D318</f>
        <v>Vargas Benitez Jose Nerio</v>
      </c>
      <c r="E353" s="1468" t="s">
        <v>4622</v>
      </c>
      <c r="F353" s="1110">
        <v>32351</v>
      </c>
      <c r="G353" s="1468" t="s">
        <v>4620</v>
      </c>
      <c r="H353" s="1442">
        <f>NOMINA!H318</f>
        <v>39300</v>
      </c>
      <c r="I353" s="1105">
        <f>NOMINA!I318</f>
        <v>18</v>
      </c>
      <c r="J353" s="1106">
        <f>NOMINA!J318</f>
        <v>0</v>
      </c>
      <c r="K353" s="1105">
        <f t="shared" si="23"/>
        <v>18</v>
      </c>
      <c r="L353" s="1106" t="s">
        <v>4932</v>
      </c>
      <c r="M353" s="1106"/>
      <c r="N353" s="1443" t="str">
        <f>NOMINA!O318</f>
        <v>Ayudante de Servicios Generales</v>
      </c>
      <c r="O353" s="1106">
        <v>1.02087691000006E+18</v>
      </c>
      <c r="P353" s="1107">
        <f>NOMINA!W318</f>
        <v>76</v>
      </c>
      <c r="Q353" s="1108">
        <f>NOMINA!AG318</f>
        <v>17.329999999999998</v>
      </c>
      <c r="R353" s="1108">
        <f>NOMINA!AI318</f>
        <v>65</v>
      </c>
      <c r="S353" s="1108">
        <f>NOMINA!AK318</f>
        <v>0</v>
      </c>
      <c r="T353" s="1108">
        <f>+NOMINA!AO318</f>
        <v>0</v>
      </c>
      <c r="U353" s="1108">
        <f>+NOMINA!AQ318</f>
        <v>0</v>
      </c>
      <c r="V353" s="1108">
        <f>+NOMINA!AR318</f>
        <v>0</v>
      </c>
      <c r="W353" s="1108">
        <f>+NOMINA!AS318</f>
        <v>0</v>
      </c>
      <c r="X353" s="1108">
        <f>ROUND(NOMINA!AW318,2)</f>
        <v>0</v>
      </c>
      <c r="Y353" s="1108">
        <f>ROUND(NOMINA!AX318,2)</f>
        <v>0</v>
      </c>
      <c r="Z353" s="1108">
        <f>ROUND(NOMINA!BB318,2)+ROUND(NOMINA!BF318,2)</f>
        <v>15.83</v>
      </c>
      <c r="AA353" s="1108">
        <f>ROUND(NOMINA!BK318,2)</f>
        <v>0</v>
      </c>
      <c r="AB353" s="1108">
        <f>+NOMINA!BJ318</f>
        <v>0</v>
      </c>
      <c r="AC353" s="1108">
        <f>ROUND(NOMINA!BG318,2)</f>
        <v>310</v>
      </c>
      <c r="AD353" s="1711">
        <f t="shared" si="21"/>
        <v>484.15999999999997</v>
      </c>
      <c r="AF353" s="625"/>
    </row>
    <row r="354" spans="1:32" s="620" customFormat="1" ht="20.100000000000001" customHeight="1" thickBot="1" x14ac:dyDescent="0.25">
      <c r="A354" s="758" t="s">
        <v>2846</v>
      </c>
      <c r="B354" s="508">
        <f t="shared" si="22"/>
        <v>15</v>
      </c>
      <c r="C354" s="1102">
        <f>NOMINA!C319</f>
        <v>9325664</v>
      </c>
      <c r="D354" s="1103" t="str">
        <f>NOMINA!D319</f>
        <v>Lobo Mendoza Luz Marina</v>
      </c>
      <c r="E354" s="1468" t="s">
        <v>4622</v>
      </c>
      <c r="F354" s="1110">
        <v>32351</v>
      </c>
      <c r="G354" s="1468" t="s">
        <v>4620</v>
      </c>
      <c r="H354" s="1442">
        <f>NOMINA!H319</f>
        <v>42948</v>
      </c>
      <c r="I354" s="1105">
        <f>NOMINA!I319</f>
        <v>8</v>
      </c>
      <c r="J354" s="1106">
        <f>NOMINA!J319</f>
        <v>0</v>
      </c>
      <c r="K354" s="1105">
        <f t="shared" si="23"/>
        <v>8</v>
      </c>
      <c r="L354" s="1106" t="s">
        <v>4932</v>
      </c>
      <c r="M354" s="1106"/>
      <c r="N354" s="1443" t="str">
        <f>NOMINA!O319</f>
        <v>Ayudante de Servicios Generales</v>
      </c>
      <c r="O354" s="1106">
        <v>1.02087691000006E+18</v>
      </c>
      <c r="P354" s="1107">
        <f>NOMINA!W319</f>
        <v>76</v>
      </c>
      <c r="Q354" s="1108">
        <f>NOMINA!AG319</f>
        <v>6.53</v>
      </c>
      <c r="R354" s="1108">
        <f>NOMINA!AI319</f>
        <v>65</v>
      </c>
      <c r="S354" s="1108">
        <f>NOMINA!AK319</f>
        <v>0</v>
      </c>
      <c r="T354" s="1108">
        <f>+NOMINA!AO319</f>
        <v>0</v>
      </c>
      <c r="U354" s="1108">
        <f>+NOMINA!AQ319</f>
        <v>0</v>
      </c>
      <c r="V354" s="1108">
        <f>+NOMINA!AR319</f>
        <v>0</v>
      </c>
      <c r="W354" s="1108">
        <f>+NOMINA!AS319</f>
        <v>0</v>
      </c>
      <c r="X354" s="1108">
        <f>ROUND(NOMINA!AW319,2)</f>
        <v>0</v>
      </c>
      <c r="Y354" s="1108">
        <f>ROUND(NOMINA!AX319,2)</f>
        <v>0</v>
      </c>
      <c r="Z354" s="1108">
        <f>ROUND(NOMINA!BB319,2)+ROUND(NOMINA!BF319,2)</f>
        <v>0</v>
      </c>
      <c r="AA354" s="1108">
        <f>ROUND(NOMINA!BK319,2)</f>
        <v>0</v>
      </c>
      <c r="AB354" s="1108">
        <f>+NOMINA!BJ319</f>
        <v>0</v>
      </c>
      <c r="AC354" s="1108">
        <f>ROUND(NOMINA!BG319,2)</f>
        <v>310</v>
      </c>
      <c r="AD354" s="1711">
        <f t="shared" si="21"/>
        <v>457.53</v>
      </c>
      <c r="AF354" s="625"/>
    </row>
    <row r="355" spans="1:32" s="620" customFormat="1" ht="20.100000000000001" customHeight="1" thickBot="1" x14ac:dyDescent="0.25">
      <c r="A355" s="758" t="s">
        <v>2846</v>
      </c>
      <c r="B355" s="508">
        <f t="shared" si="22"/>
        <v>16</v>
      </c>
      <c r="C355" s="1102">
        <f>NOMINA!C320</f>
        <v>9328045</v>
      </c>
      <c r="D355" s="1103" t="str">
        <f>NOMINA!D320</f>
        <v>Paredes Quintero Jose Benigno</v>
      </c>
      <c r="E355" s="1468" t="s">
        <v>4622</v>
      </c>
      <c r="F355" s="1110">
        <v>32351</v>
      </c>
      <c r="G355" s="1468" t="s">
        <v>4620</v>
      </c>
      <c r="H355" s="1442">
        <f>NOMINA!H320</f>
        <v>44212</v>
      </c>
      <c r="I355" s="1105">
        <f>NOMINA!I320</f>
        <v>4</v>
      </c>
      <c r="J355" s="1106">
        <f>NOMINA!J320</f>
        <v>0</v>
      </c>
      <c r="K355" s="1105">
        <f t="shared" si="23"/>
        <v>4</v>
      </c>
      <c r="L355" s="1106" t="s">
        <v>4932</v>
      </c>
      <c r="M355" s="1106"/>
      <c r="N355" s="1443" t="str">
        <f>NOMINA!O320</f>
        <v>Ayudante de Servicios Generales</v>
      </c>
      <c r="O355" s="1106">
        <v>1.02087691000006E+18</v>
      </c>
      <c r="P355" s="1107">
        <f>NOMINA!W320</f>
        <v>76</v>
      </c>
      <c r="Q355" s="1108">
        <f>NOMINA!AG320</f>
        <v>3.04</v>
      </c>
      <c r="R355" s="1108">
        <f>NOMINA!AI320</f>
        <v>65</v>
      </c>
      <c r="S355" s="1108">
        <f>NOMINA!AK320</f>
        <v>0</v>
      </c>
      <c r="T355" s="1108">
        <f>+NOMINA!AO320</f>
        <v>0</v>
      </c>
      <c r="U355" s="1108">
        <f>+NOMINA!AQ320</f>
        <v>0</v>
      </c>
      <c r="V355" s="1108">
        <f>+NOMINA!AR320</f>
        <v>0</v>
      </c>
      <c r="W355" s="1108">
        <f>+NOMINA!AS320</f>
        <v>0</v>
      </c>
      <c r="X355" s="1108">
        <f>ROUND(NOMINA!AW320,2)</f>
        <v>0</v>
      </c>
      <c r="Y355" s="1108">
        <f>ROUND(NOMINA!AX320,2)</f>
        <v>0</v>
      </c>
      <c r="Z355" s="1108">
        <f>ROUND(NOMINA!BB320,2)+ROUND(NOMINA!BF320,2)</f>
        <v>0</v>
      </c>
      <c r="AA355" s="1108">
        <f>ROUND(NOMINA!BK320,2)</f>
        <v>0</v>
      </c>
      <c r="AB355" s="1108">
        <f>+NOMINA!BJ320</f>
        <v>0</v>
      </c>
      <c r="AC355" s="1108">
        <f>ROUND(NOMINA!BG320,2)</f>
        <v>310</v>
      </c>
      <c r="AD355" s="1711">
        <f t="shared" si="21"/>
        <v>454.04</v>
      </c>
      <c r="AF355" s="625"/>
    </row>
    <row r="356" spans="1:32" s="620" customFormat="1" ht="20.100000000000001" customHeight="1" thickBot="1" x14ac:dyDescent="0.25">
      <c r="A356" s="758" t="s">
        <v>2846</v>
      </c>
      <c r="B356" s="508">
        <f t="shared" si="22"/>
        <v>17</v>
      </c>
      <c r="C356" s="1102">
        <f>NOMINA!C321</f>
        <v>10178456</v>
      </c>
      <c r="D356" s="1103" t="str">
        <f>NOMINA!D321</f>
        <v>Figueroa Roa Yudith Griselda</v>
      </c>
      <c r="E356" s="1468" t="s">
        <v>4622</v>
      </c>
      <c r="F356" s="1110">
        <v>32351</v>
      </c>
      <c r="G356" s="1468" t="s">
        <v>4620</v>
      </c>
      <c r="H356" s="1442">
        <f>NOMINA!H321</f>
        <v>44287</v>
      </c>
      <c r="I356" s="1105">
        <f>NOMINA!I321</f>
        <v>4</v>
      </c>
      <c r="J356" s="1106">
        <f>NOMINA!J321</f>
        <v>0</v>
      </c>
      <c r="K356" s="1105">
        <f t="shared" si="23"/>
        <v>4</v>
      </c>
      <c r="L356" s="1106" t="s">
        <v>4932</v>
      </c>
      <c r="M356" s="1106"/>
      <c r="N356" s="1443" t="str">
        <f>NOMINA!O321</f>
        <v>Aseadora</v>
      </c>
      <c r="O356" s="1106">
        <v>1.02087691000006E+18</v>
      </c>
      <c r="P356" s="1107">
        <f>NOMINA!W321</f>
        <v>65</v>
      </c>
      <c r="Q356" s="1108">
        <f>NOMINA!AG321</f>
        <v>2.6</v>
      </c>
      <c r="R356" s="1108">
        <f>NOMINA!AI321</f>
        <v>65</v>
      </c>
      <c r="S356" s="1108">
        <f>NOMINA!AK321</f>
        <v>0</v>
      </c>
      <c r="T356" s="1108">
        <f>+NOMINA!AO321</f>
        <v>0</v>
      </c>
      <c r="U356" s="1108">
        <f>+NOMINA!AQ321</f>
        <v>0</v>
      </c>
      <c r="V356" s="1108">
        <f>+NOMINA!AR321</f>
        <v>0</v>
      </c>
      <c r="W356" s="1108">
        <f>+NOMINA!AS321</f>
        <v>0</v>
      </c>
      <c r="X356" s="1108">
        <f>ROUND(NOMINA!AW321,2)</f>
        <v>0</v>
      </c>
      <c r="Y356" s="1108">
        <f>ROUND(NOMINA!AX321,2)</f>
        <v>0</v>
      </c>
      <c r="Z356" s="1108">
        <f>ROUND(NOMINA!BB321,2)+ROUND(NOMINA!BF321,2)</f>
        <v>0</v>
      </c>
      <c r="AA356" s="1108">
        <f>ROUND(NOMINA!BK321,2)</f>
        <v>0</v>
      </c>
      <c r="AB356" s="1108">
        <f>+NOMINA!BJ321</f>
        <v>0</v>
      </c>
      <c r="AC356" s="1108">
        <f>ROUND(NOMINA!BG321,2)</f>
        <v>310</v>
      </c>
      <c r="AD356" s="1711">
        <f t="shared" si="21"/>
        <v>442.6</v>
      </c>
      <c r="AF356" s="625"/>
    </row>
    <row r="357" spans="1:32" s="620" customFormat="1" ht="20.100000000000001" customHeight="1" thickBot="1" x14ac:dyDescent="0.25">
      <c r="A357" s="758" t="s">
        <v>2846</v>
      </c>
      <c r="B357" s="508">
        <f t="shared" si="22"/>
        <v>18</v>
      </c>
      <c r="C357" s="1102">
        <f>NOMINA!C322</f>
        <v>10317435</v>
      </c>
      <c r="D357" s="1103" t="str">
        <f>NOMINA!D322</f>
        <v>Milla Ana Julia</v>
      </c>
      <c r="E357" s="1468" t="s">
        <v>4622</v>
      </c>
      <c r="F357" s="1110">
        <v>32351</v>
      </c>
      <c r="G357" s="1468" t="s">
        <v>4620</v>
      </c>
      <c r="H357" s="1442">
        <f>NOMINA!H322</f>
        <v>39559</v>
      </c>
      <c r="I357" s="1105">
        <f>NOMINA!I322</f>
        <v>17</v>
      </c>
      <c r="J357" s="1106">
        <f>NOMINA!J322</f>
        <v>0</v>
      </c>
      <c r="K357" s="1105">
        <f t="shared" si="23"/>
        <v>17</v>
      </c>
      <c r="L357" s="1106" t="s">
        <v>4932</v>
      </c>
      <c r="M357" s="1106"/>
      <c r="N357" s="1443" t="str">
        <f>NOMINA!O322</f>
        <v>Aseadora</v>
      </c>
      <c r="O357" s="1106">
        <v>1.02087691000006E+18</v>
      </c>
      <c r="P357" s="1107">
        <f>NOMINA!W322</f>
        <v>65</v>
      </c>
      <c r="Q357" s="1108">
        <f>NOMINA!AG322</f>
        <v>13.78</v>
      </c>
      <c r="R357" s="1108">
        <f>NOMINA!AI322</f>
        <v>65</v>
      </c>
      <c r="S357" s="1108">
        <f>NOMINA!AK322</f>
        <v>0</v>
      </c>
      <c r="T357" s="1108">
        <f>+NOMINA!AO322</f>
        <v>0</v>
      </c>
      <c r="U357" s="1108">
        <f>+NOMINA!AQ322</f>
        <v>0</v>
      </c>
      <c r="V357" s="1108">
        <f>+NOMINA!AR322</f>
        <v>0</v>
      </c>
      <c r="W357" s="1108">
        <f>+NOMINA!AS322</f>
        <v>0</v>
      </c>
      <c r="X357" s="1108">
        <f>ROUND(NOMINA!AW322,2)</f>
        <v>0</v>
      </c>
      <c r="Y357" s="1108">
        <f>ROUND(NOMINA!AX322,2)</f>
        <v>0</v>
      </c>
      <c r="Z357" s="1108">
        <f>ROUND(NOMINA!BB322,2)+ROUND(NOMINA!BF322,2)</f>
        <v>0</v>
      </c>
      <c r="AA357" s="1108">
        <f>ROUND(NOMINA!BK322,2)</f>
        <v>0</v>
      </c>
      <c r="AB357" s="1108">
        <f>+NOMINA!BJ322</f>
        <v>0</v>
      </c>
      <c r="AC357" s="1108">
        <f>ROUND(NOMINA!BG322,2)</f>
        <v>310</v>
      </c>
      <c r="AD357" s="1711">
        <f t="shared" si="21"/>
        <v>453.78</v>
      </c>
      <c r="AF357" s="625"/>
    </row>
    <row r="358" spans="1:32" s="620" customFormat="1" ht="20.100000000000001" customHeight="1" thickBot="1" x14ac:dyDescent="0.25">
      <c r="A358" s="758" t="s">
        <v>2846</v>
      </c>
      <c r="B358" s="508">
        <f t="shared" si="22"/>
        <v>19</v>
      </c>
      <c r="C358" s="1102">
        <f>NOMINA!C323</f>
        <v>10396367</v>
      </c>
      <c r="D358" s="1103" t="str">
        <f>NOMINA!D323</f>
        <v>Hidalgo Linares Gloria Margarita</v>
      </c>
      <c r="E358" s="1468" t="s">
        <v>4622</v>
      </c>
      <c r="F358" s="1110">
        <v>32351</v>
      </c>
      <c r="G358" s="1468" t="s">
        <v>4620</v>
      </c>
      <c r="H358" s="1442">
        <f>NOMINA!H323</f>
        <v>39722</v>
      </c>
      <c r="I358" s="1105">
        <f>NOMINA!I323</f>
        <v>16</v>
      </c>
      <c r="J358" s="1106">
        <f>NOMINA!J323</f>
        <v>0</v>
      </c>
      <c r="K358" s="1105">
        <f t="shared" si="23"/>
        <v>16</v>
      </c>
      <c r="L358" s="1106" t="s">
        <v>4932</v>
      </c>
      <c r="M358" s="1106"/>
      <c r="N358" s="1443" t="str">
        <f>NOMINA!O323</f>
        <v>Cocinera</v>
      </c>
      <c r="O358" s="1106">
        <v>1.02087691000006E+18</v>
      </c>
      <c r="P358" s="1107">
        <f>NOMINA!W323</f>
        <v>85.5</v>
      </c>
      <c r="Q358" s="1108">
        <f>NOMINA!AG323</f>
        <v>16.760000000000002</v>
      </c>
      <c r="R358" s="1108">
        <f>NOMINA!AI323</f>
        <v>65</v>
      </c>
      <c r="S358" s="1108">
        <f>NOMINA!AK323</f>
        <v>0</v>
      </c>
      <c r="T358" s="1108">
        <f>+NOMINA!AO323</f>
        <v>0</v>
      </c>
      <c r="U358" s="1108">
        <f>+NOMINA!AQ323</f>
        <v>0</v>
      </c>
      <c r="V358" s="1108">
        <f>+NOMINA!AR323</f>
        <v>0</v>
      </c>
      <c r="W358" s="1108">
        <f>+NOMINA!AS323</f>
        <v>0</v>
      </c>
      <c r="X358" s="1108">
        <f>ROUND(NOMINA!AW323,2)</f>
        <v>0</v>
      </c>
      <c r="Y358" s="1108">
        <f>ROUND(NOMINA!AX323,2)</f>
        <v>0</v>
      </c>
      <c r="Z358" s="1108">
        <f>ROUND(NOMINA!BB323,2)+ROUND(NOMINA!BF323,2)</f>
        <v>0</v>
      </c>
      <c r="AA358" s="1108">
        <f>ROUND(NOMINA!BK323,2)</f>
        <v>0</v>
      </c>
      <c r="AB358" s="1108">
        <f>+NOMINA!BJ323</f>
        <v>0</v>
      </c>
      <c r="AC358" s="1108">
        <f>ROUND(NOMINA!BG323,2)</f>
        <v>310</v>
      </c>
      <c r="AD358" s="1711">
        <f t="shared" si="21"/>
        <v>477.26</v>
      </c>
      <c r="AF358" s="625"/>
    </row>
    <row r="359" spans="1:32" s="620" customFormat="1" ht="20.100000000000001" customHeight="1" thickBot="1" x14ac:dyDescent="0.25">
      <c r="A359" s="758" t="s">
        <v>2846</v>
      </c>
      <c r="B359" s="508">
        <f t="shared" si="22"/>
        <v>20</v>
      </c>
      <c r="C359" s="1102">
        <f>NOMINA!C324</f>
        <v>10399474</v>
      </c>
      <c r="D359" s="1103" t="str">
        <f>NOMINA!D324</f>
        <v>Ramirez Araujo Teresa Maria</v>
      </c>
      <c r="E359" s="1468" t="s">
        <v>4622</v>
      </c>
      <c r="F359" s="1110">
        <v>32351</v>
      </c>
      <c r="G359" s="1468" t="s">
        <v>4620</v>
      </c>
      <c r="H359" s="1442">
        <f>NOMINA!H324</f>
        <v>45597</v>
      </c>
      <c r="I359" s="1105">
        <f>NOMINA!I324</f>
        <v>0</v>
      </c>
      <c r="J359" s="1106">
        <f>NOMINA!J324</f>
        <v>0</v>
      </c>
      <c r="K359" s="1105">
        <f t="shared" si="23"/>
        <v>0</v>
      </c>
      <c r="L359" s="1106" t="s">
        <v>4932</v>
      </c>
      <c r="M359" s="1106"/>
      <c r="N359" s="1443" t="str">
        <f>NOMINA!O324</f>
        <v>Ayudante de Servicios Generales</v>
      </c>
      <c r="O359" s="1106">
        <v>1.02087691000006E+18</v>
      </c>
      <c r="P359" s="1107">
        <f>NOMINA!W324</f>
        <v>71</v>
      </c>
      <c r="Q359" s="1108">
        <f>NOMINA!AG324</f>
        <v>0</v>
      </c>
      <c r="R359" s="1108">
        <f>NOMINA!AI324</f>
        <v>65</v>
      </c>
      <c r="S359" s="1108">
        <f>NOMINA!AK324</f>
        <v>0</v>
      </c>
      <c r="T359" s="1108">
        <f>+NOMINA!AO324</f>
        <v>0</v>
      </c>
      <c r="U359" s="1108">
        <f>+NOMINA!AQ324</f>
        <v>0</v>
      </c>
      <c r="V359" s="1108">
        <f>+NOMINA!AR324</f>
        <v>0</v>
      </c>
      <c r="W359" s="1108">
        <f>+NOMINA!AS324</f>
        <v>0</v>
      </c>
      <c r="X359" s="1108">
        <f>ROUND(NOMINA!AW324,2)</f>
        <v>0</v>
      </c>
      <c r="Y359" s="1108">
        <f>ROUND(NOMINA!AX324,2)</f>
        <v>0</v>
      </c>
      <c r="Z359" s="1108">
        <f>ROUND(NOMINA!BB324,2)+ROUND(NOMINA!BF324,2)</f>
        <v>27.2</v>
      </c>
      <c r="AA359" s="1108">
        <f>ROUND(NOMINA!BK324,2)</f>
        <v>0</v>
      </c>
      <c r="AB359" s="1108">
        <f>+NOMINA!BJ324</f>
        <v>0</v>
      </c>
      <c r="AC359" s="1108">
        <f>ROUND(NOMINA!BG324,2)</f>
        <v>310</v>
      </c>
      <c r="AD359" s="1711">
        <f t="shared" si="21"/>
        <v>473.2</v>
      </c>
      <c r="AF359" s="625"/>
    </row>
    <row r="360" spans="1:32" s="620" customFormat="1" ht="20.100000000000001" customHeight="1" thickBot="1" x14ac:dyDescent="0.25">
      <c r="A360" s="758" t="s">
        <v>2846</v>
      </c>
      <c r="B360" s="508">
        <f t="shared" si="22"/>
        <v>21</v>
      </c>
      <c r="C360" s="1102">
        <f>NOMINA!C325</f>
        <v>10401329</v>
      </c>
      <c r="D360" s="1103" t="str">
        <f>NOMINA!D325</f>
        <v>Gonzalez Torres Orangel Ramon</v>
      </c>
      <c r="E360" s="1468" t="s">
        <v>4622</v>
      </c>
      <c r="F360" s="1110">
        <v>32351</v>
      </c>
      <c r="G360" s="1468" t="s">
        <v>4620</v>
      </c>
      <c r="H360" s="1442">
        <f>NOMINA!H325</f>
        <v>39539</v>
      </c>
      <c r="I360" s="1105">
        <f>NOMINA!I325</f>
        <v>17</v>
      </c>
      <c r="J360" s="1106">
        <f>NOMINA!J325</f>
        <v>0</v>
      </c>
      <c r="K360" s="1105">
        <f t="shared" si="23"/>
        <v>17</v>
      </c>
      <c r="L360" s="1106" t="s">
        <v>4932</v>
      </c>
      <c r="M360" s="1106"/>
      <c r="N360" s="1443" t="str">
        <f>NOMINA!O325</f>
        <v>Chofer De Transporte</v>
      </c>
      <c r="O360" s="1106">
        <v>1.02087691000006E+18</v>
      </c>
      <c r="P360" s="1107">
        <f>NOMINA!W325</f>
        <v>85.5</v>
      </c>
      <c r="Q360" s="1108">
        <f>NOMINA!AG325</f>
        <v>18.12</v>
      </c>
      <c r="R360" s="1108">
        <f>NOMINA!AI325</f>
        <v>65</v>
      </c>
      <c r="S360" s="1108">
        <f>NOMINA!AK325</f>
        <v>0</v>
      </c>
      <c r="T360" s="1108">
        <f>+NOMINA!AO325</f>
        <v>0</v>
      </c>
      <c r="U360" s="1108">
        <f>+NOMINA!AQ325</f>
        <v>0</v>
      </c>
      <c r="V360" s="1108">
        <f>+NOMINA!AR325</f>
        <v>0</v>
      </c>
      <c r="W360" s="1108">
        <f>+NOMINA!AS325</f>
        <v>0</v>
      </c>
      <c r="X360" s="1108">
        <f>ROUND(NOMINA!AW325,2)</f>
        <v>101.18</v>
      </c>
      <c r="Y360" s="1108">
        <f>ROUND(NOMINA!AX325,2)</f>
        <v>0</v>
      </c>
      <c r="Z360" s="1108">
        <f>ROUND(NOMINA!BB325,2)+ROUND(NOMINA!BF325,2)</f>
        <v>43.84</v>
      </c>
      <c r="AA360" s="1108">
        <f>ROUND(NOMINA!BK325,2)</f>
        <v>0</v>
      </c>
      <c r="AB360" s="1108">
        <f>+NOMINA!BJ325</f>
        <v>0</v>
      </c>
      <c r="AC360" s="1108">
        <f>ROUND(NOMINA!BG325,2)</f>
        <v>310</v>
      </c>
      <c r="AD360" s="1711">
        <f t="shared" si="21"/>
        <v>623.64</v>
      </c>
      <c r="AF360" s="625"/>
    </row>
    <row r="361" spans="1:32" s="620" customFormat="1" ht="20.100000000000001" customHeight="1" thickBot="1" x14ac:dyDescent="0.25">
      <c r="A361" s="758" t="s">
        <v>2846</v>
      </c>
      <c r="B361" s="508">
        <f t="shared" si="22"/>
        <v>22</v>
      </c>
      <c r="C361" s="1102">
        <f>NOMINA!C326</f>
        <v>10907687</v>
      </c>
      <c r="D361" s="1103" t="str">
        <f>NOMINA!D326</f>
        <v>Viloria Garcia Karina Liseth</v>
      </c>
      <c r="E361" s="1468" t="s">
        <v>4622</v>
      </c>
      <c r="F361" s="1110">
        <v>32351</v>
      </c>
      <c r="G361" s="1468" t="s">
        <v>4620</v>
      </c>
      <c r="H361" s="1442">
        <f>NOMINA!H326</f>
        <v>38749</v>
      </c>
      <c r="I361" s="1105">
        <f>NOMINA!I326</f>
        <v>19</v>
      </c>
      <c r="J361" s="1106">
        <f>NOMINA!J326</f>
        <v>0</v>
      </c>
      <c r="K361" s="1105">
        <f t="shared" si="23"/>
        <v>19</v>
      </c>
      <c r="L361" s="1106" t="s">
        <v>4932</v>
      </c>
      <c r="M361" s="1106"/>
      <c r="N361" s="1443" t="str">
        <f>NOMINA!O326</f>
        <v>Cocinera</v>
      </c>
      <c r="O361" s="1106">
        <v>1.02087691000006E+18</v>
      </c>
      <c r="P361" s="1107">
        <f>NOMINA!W326</f>
        <v>85.5</v>
      </c>
      <c r="Q361" s="1108">
        <f>NOMINA!AG326</f>
        <v>20.86</v>
      </c>
      <c r="R361" s="1108">
        <f>NOMINA!AI326</f>
        <v>65</v>
      </c>
      <c r="S361" s="1108">
        <f>NOMINA!AK326</f>
        <v>0</v>
      </c>
      <c r="T361" s="1108">
        <f>+NOMINA!AO326</f>
        <v>0</v>
      </c>
      <c r="U361" s="1108">
        <f>+NOMINA!AQ326</f>
        <v>0</v>
      </c>
      <c r="V361" s="1108">
        <f>+NOMINA!AR326</f>
        <v>0</v>
      </c>
      <c r="W361" s="1108">
        <f>+NOMINA!AS326</f>
        <v>0</v>
      </c>
      <c r="X361" s="1108">
        <f>ROUND(NOMINA!AW326,2)</f>
        <v>0</v>
      </c>
      <c r="Y361" s="1108">
        <f>ROUND(NOMINA!AX326,2)</f>
        <v>0</v>
      </c>
      <c r="Z361" s="1108">
        <f>ROUND(NOMINA!BB326,2)+ROUND(NOMINA!BF326,2)</f>
        <v>34.270000000000003</v>
      </c>
      <c r="AA361" s="1108">
        <f>ROUND(NOMINA!BK326,2)</f>
        <v>0</v>
      </c>
      <c r="AB361" s="1108">
        <f>+NOMINA!BJ326</f>
        <v>0</v>
      </c>
      <c r="AC361" s="1108">
        <f>ROUND(NOMINA!BG326,2)</f>
        <v>310</v>
      </c>
      <c r="AD361" s="1711">
        <f t="shared" si="21"/>
        <v>515.63</v>
      </c>
      <c r="AF361" s="625"/>
    </row>
    <row r="362" spans="1:32" s="620" customFormat="1" ht="20.100000000000001" customHeight="1" thickBot="1" x14ac:dyDescent="0.25">
      <c r="A362" s="758" t="s">
        <v>2846</v>
      </c>
      <c r="B362" s="508">
        <f t="shared" si="22"/>
        <v>23</v>
      </c>
      <c r="C362" s="1102">
        <f>NOMINA!C327</f>
        <v>10908543</v>
      </c>
      <c r="D362" s="1103" t="str">
        <f>NOMINA!D327</f>
        <v>Quintero Eric Ludwig</v>
      </c>
      <c r="E362" s="1468" t="s">
        <v>4622</v>
      </c>
      <c r="F362" s="1110">
        <v>32351</v>
      </c>
      <c r="G362" s="1468" t="s">
        <v>4620</v>
      </c>
      <c r="H362" s="1442">
        <f>NOMINA!H327</f>
        <v>42751</v>
      </c>
      <c r="I362" s="1105">
        <f>NOMINA!I327</f>
        <v>8</v>
      </c>
      <c r="J362" s="1106">
        <f>NOMINA!J327</f>
        <v>0</v>
      </c>
      <c r="K362" s="1105">
        <f t="shared" si="23"/>
        <v>8</v>
      </c>
      <c r="L362" s="1106" t="s">
        <v>4932</v>
      </c>
      <c r="M362" s="1106"/>
      <c r="N362" s="1443" t="str">
        <f>NOMINA!O327</f>
        <v>Cocinero</v>
      </c>
      <c r="O362" s="1106">
        <v>1.02087691000006E+18</v>
      </c>
      <c r="P362" s="1107">
        <f>NOMINA!W327</f>
        <v>85.5</v>
      </c>
      <c r="Q362" s="1108">
        <f>NOMINA!AG327</f>
        <v>7.35</v>
      </c>
      <c r="R362" s="1108">
        <f>NOMINA!AI327</f>
        <v>65</v>
      </c>
      <c r="S362" s="1108">
        <f>NOMINA!AK327</f>
        <v>0</v>
      </c>
      <c r="T362" s="1108">
        <f>+NOMINA!AO327</f>
        <v>0</v>
      </c>
      <c r="U362" s="1108">
        <f>+NOMINA!AQ327</f>
        <v>0</v>
      </c>
      <c r="V362" s="1108">
        <f>+NOMINA!AR327</f>
        <v>0</v>
      </c>
      <c r="W362" s="1108">
        <f>+NOMINA!AS327</f>
        <v>0</v>
      </c>
      <c r="X362" s="1108">
        <f>ROUND(NOMINA!AW327,2)</f>
        <v>0</v>
      </c>
      <c r="Y362" s="1108">
        <f>ROUND(NOMINA!AX327,2)</f>
        <v>0</v>
      </c>
      <c r="Z362" s="1108">
        <f>ROUND(NOMINA!BB327,2)+ROUND(NOMINA!BF327,2)</f>
        <v>0</v>
      </c>
      <c r="AA362" s="1108">
        <f>ROUND(NOMINA!BK327,2)</f>
        <v>0</v>
      </c>
      <c r="AB362" s="1108">
        <f>+NOMINA!BJ327</f>
        <v>0</v>
      </c>
      <c r="AC362" s="1108">
        <f>ROUND(NOMINA!BG327,2)</f>
        <v>310</v>
      </c>
      <c r="AD362" s="1711">
        <f t="shared" si="21"/>
        <v>467.85</v>
      </c>
      <c r="AF362" s="625"/>
    </row>
    <row r="363" spans="1:32" s="620" customFormat="1" ht="20.100000000000001" customHeight="1" thickBot="1" x14ac:dyDescent="0.25">
      <c r="A363" s="758" t="s">
        <v>2846</v>
      </c>
      <c r="B363" s="508">
        <f t="shared" si="22"/>
        <v>24</v>
      </c>
      <c r="C363" s="1102">
        <f>NOMINA!C328</f>
        <v>10909678</v>
      </c>
      <c r="D363" s="1103" t="str">
        <f>NOMINA!D328</f>
        <v>Delgado Jose Argenis</v>
      </c>
      <c r="E363" s="1468" t="s">
        <v>4622</v>
      </c>
      <c r="F363" s="1110">
        <v>32351</v>
      </c>
      <c r="G363" s="1468" t="s">
        <v>4620</v>
      </c>
      <c r="H363" s="1442">
        <f>NOMINA!H328</f>
        <v>43952</v>
      </c>
      <c r="I363" s="1105">
        <f>NOMINA!I328</f>
        <v>5</v>
      </c>
      <c r="J363" s="1106">
        <f>NOMINA!J328</f>
        <v>0</v>
      </c>
      <c r="K363" s="1105">
        <f t="shared" si="23"/>
        <v>5</v>
      </c>
      <c r="L363" s="1106" t="s">
        <v>4932</v>
      </c>
      <c r="M363" s="1106"/>
      <c r="N363" s="1443" t="str">
        <f>NOMINA!O328</f>
        <v>Aseador</v>
      </c>
      <c r="O363" s="1106">
        <v>1.02087691000006E+18</v>
      </c>
      <c r="P363" s="1107">
        <f>NOMINA!W328</f>
        <v>65</v>
      </c>
      <c r="Q363" s="1108">
        <f>NOMINA!AG328</f>
        <v>3.25</v>
      </c>
      <c r="R363" s="1108">
        <f>NOMINA!AI328</f>
        <v>65</v>
      </c>
      <c r="S363" s="1108">
        <f>NOMINA!AK328</f>
        <v>0</v>
      </c>
      <c r="T363" s="1108">
        <f>+NOMINA!AO328</f>
        <v>0</v>
      </c>
      <c r="U363" s="1108">
        <f>+NOMINA!AQ328</f>
        <v>0</v>
      </c>
      <c r="V363" s="1108">
        <f>+NOMINA!AR328</f>
        <v>0</v>
      </c>
      <c r="W363" s="1108">
        <f>+NOMINA!AS328</f>
        <v>0</v>
      </c>
      <c r="X363" s="1108">
        <f>ROUND(NOMINA!AW328,2)</f>
        <v>0</v>
      </c>
      <c r="Y363" s="1108">
        <f>ROUND(NOMINA!AX328,2)</f>
        <v>0</v>
      </c>
      <c r="Z363" s="1108">
        <f>ROUND(NOMINA!BB328,2)+ROUND(NOMINA!BF328,2)</f>
        <v>0</v>
      </c>
      <c r="AA363" s="1108">
        <f>ROUND(NOMINA!BK328,2)</f>
        <v>0</v>
      </c>
      <c r="AB363" s="1108">
        <f>+NOMINA!BJ328</f>
        <v>0</v>
      </c>
      <c r="AC363" s="1108">
        <f>ROUND(NOMINA!BG328,2)</f>
        <v>310</v>
      </c>
      <c r="AD363" s="1711">
        <f t="shared" si="21"/>
        <v>443.25</v>
      </c>
      <c r="AF363" s="625"/>
    </row>
    <row r="364" spans="1:32" s="620" customFormat="1" ht="20.100000000000001" customHeight="1" thickBot="1" x14ac:dyDescent="0.25">
      <c r="A364" s="758" t="s">
        <v>2846</v>
      </c>
      <c r="B364" s="508">
        <f t="shared" si="22"/>
        <v>25</v>
      </c>
      <c r="C364" s="1102">
        <f>NOMINA!C329</f>
        <v>10909819</v>
      </c>
      <c r="D364" s="1103" t="str">
        <f>NOMINA!D329</f>
        <v>Carrizo Jose Waldo</v>
      </c>
      <c r="E364" s="1468" t="s">
        <v>4622</v>
      </c>
      <c r="F364" s="1110">
        <v>32351</v>
      </c>
      <c r="G364" s="1468" t="s">
        <v>4620</v>
      </c>
      <c r="H364" s="1442">
        <f>NOMINA!H329</f>
        <v>43359</v>
      </c>
      <c r="I364" s="1105">
        <f>NOMINA!I329</f>
        <v>7</v>
      </c>
      <c r="J364" s="1106">
        <f>NOMINA!J329</f>
        <v>0</v>
      </c>
      <c r="K364" s="1105">
        <f t="shared" si="23"/>
        <v>7</v>
      </c>
      <c r="L364" s="1106" t="s">
        <v>4932</v>
      </c>
      <c r="M364" s="1106"/>
      <c r="N364" s="1443" t="str">
        <f>NOMINA!O329</f>
        <v>Cocinero</v>
      </c>
      <c r="O364" s="1106">
        <v>1.02087691000006E+18</v>
      </c>
      <c r="P364" s="1107">
        <f>NOMINA!W329</f>
        <v>85.5</v>
      </c>
      <c r="Q364" s="1108">
        <f>NOMINA!AG329</f>
        <v>6.32</v>
      </c>
      <c r="R364" s="1108">
        <f>NOMINA!AI329</f>
        <v>65</v>
      </c>
      <c r="S364" s="1108">
        <f>NOMINA!AK329</f>
        <v>0</v>
      </c>
      <c r="T364" s="1108">
        <f>+NOMINA!AO329</f>
        <v>0</v>
      </c>
      <c r="U364" s="1108">
        <f>+NOMINA!AQ329</f>
        <v>0</v>
      </c>
      <c r="V364" s="1108">
        <f>+NOMINA!AR329</f>
        <v>0</v>
      </c>
      <c r="W364" s="1108">
        <f>+NOMINA!AS329</f>
        <v>0</v>
      </c>
      <c r="X364" s="1108">
        <f>ROUND(NOMINA!AW329,2)</f>
        <v>0</v>
      </c>
      <c r="Y364" s="1108">
        <f>ROUND(NOMINA!AX329,2)</f>
        <v>2509.1999999999998</v>
      </c>
      <c r="Z364" s="1108">
        <f>ROUND(NOMINA!BB329,2)+ROUND(NOMINA!BF329,2)</f>
        <v>0</v>
      </c>
      <c r="AA364" s="1108">
        <f>ROUND(NOMINA!BK329,2)</f>
        <v>0</v>
      </c>
      <c r="AB364" s="1108">
        <f>+NOMINA!BJ329</f>
        <v>0</v>
      </c>
      <c r="AC364" s="1108">
        <f>ROUND(NOMINA!BG329,2)</f>
        <v>310</v>
      </c>
      <c r="AD364" s="1711">
        <f t="shared" si="21"/>
        <v>2976.02</v>
      </c>
      <c r="AF364" s="625"/>
    </row>
    <row r="365" spans="1:32" s="620" customFormat="1" ht="20.100000000000001" customHeight="1" thickBot="1" x14ac:dyDescent="0.25">
      <c r="A365" s="758" t="s">
        <v>2846</v>
      </c>
      <c r="B365" s="508">
        <f t="shared" si="22"/>
        <v>26</v>
      </c>
      <c r="C365" s="1102">
        <f>NOMINA!C330</f>
        <v>10912635</v>
      </c>
      <c r="D365" s="1103" t="str">
        <f>NOMINA!D330</f>
        <v>Gutierrez Briceño Jose Orangel</v>
      </c>
      <c r="E365" s="1468" t="s">
        <v>4622</v>
      </c>
      <c r="F365" s="1110">
        <v>32351</v>
      </c>
      <c r="G365" s="1468" t="s">
        <v>4620</v>
      </c>
      <c r="H365" s="1442">
        <f>NOMINA!H330</f>
        <v>44348</v>
      </c>
      <c r="I365" s="1105">
        <f>NOMINA!I330</f>
        <v>4</v>
      </c>
      <c r="J365" s="1106">
        <f>NOMINA!J330</f>
        <v>0</v>
      </c>
      <c r="K365" s="1105">
        <f t="shared" si="23"/>
        <v>4</v>
      </c>
      <c r="L365" s="1106" t="s">
        <v>4932</v>
      </c>
      <c r="M365" s="1106"/>
      <c r="N365" s="1443" t="str">
        <f>NOMINA!O330</f>
        <v>Ayudante Agropecuario</v>
      </c>
      <c r="O365" s="1106">
        <v>1.02087691000006E+18</v>
      </c>
      <c r="P365" s="1107">
        <f>NOMINA!W330</f>
        <v>76</v>
      </c>
      <c r="Q365" s="1108">
        <f>NOMINA!AG330</f>
        <v>3.04</v>
      </c>
      <c r="R365" s="1108">
        <f>NOMINA!AI330</f>
        <v>65</v>
      </c>
      <c r="S365" s="1108">
        <f>NOMINA!AK330</f>
        <v>0</v>
      </c>
      <c r="T365" s="1108">
        <f>+NOMINA!AO330</f>
        <v>0</v>
      </c>
      <c r="U365" s="1108">
        <f>+NOMINA!AQ330</f>
        <v>0</v>
      </c>
      <c r="V365" s="1108">
        <f>+NOMINA!AR330</f>
        <v>0</v>
      </c>
      <c r="W365" s="1108">
        <f>+NOMINA!AS330</f>
        <v>0</v>
      </c>
      <c r="X365" s="1108">
        <f>ROUND(NOMINA!AW330,2)</f>
        <v>0</v>
      </c>
      <c r="Y365" s="1108">
        <f>ROUND(NOMINA!AX330,2)</f>
        <v>0</v>
      </c>
      <c r="Z365" s="1108">
        <f>ROUND(NOMINA!BB330,2)+ROUND(NOMINA!BF330,2)</f>
        <v>28.81</v>
      </c>
      <c r="AA365" s="1108">
        <f>ROUND(NOMINA!BK330,2)</f>
        <v>0</v>
      </c>
      <c r="AB365" s="1108">
        <f>+NOMINA!BJ330</f>
        <v>0</v>
      </c>
      <c r="AC365" s="1108">
        <f>ROUND(NOMINA!BG330,2)</f>
        <v>310</v>
      </c>
      <c r="AD365" s="1711">
        <f t="shared" si="21"/>
        <v>482.85</v>
      </c>
      <c r="AF365" s="625"/>
    </row>
    <row r="366" spans="1:32" s="620" customFormat="1" ht="20.100000000000001" customHeight="1" thickBot="1" x14ac:dyDescent="0.25">
      <c r="A366" s="758" t="s">
        <v>2846</v>
      </c>
      <c r="B366" s="508">
        <f t="shared" si="22"/>
        <v>27</v>
      </c>
      <c r="C366" s="1102">
        <f>NOMINA!C331</f>
        <v>10915274</v>
      </c>
      <c r="D366" s="1103" t="str">
        <f>NOMINA!D331</f>
        <v>Montilla Vergara Belkys Josefina</v>
      </c>
      <c r="E366" s="1468" t="s">
        <v>4622</v>
      </c>
      <c r="F366" s="1110">
        <v>32351</v>
      </c>
      <c r="G366" s="1468" t="s">
        <v>4620</v>
      </c>
      <c r="H366" s="1442">
        <f>NOMINA!H331</f>
        <v>44635</v>
      </c>
      <c r="I366" s="1105">
        <f>NOMINA!I331</f>
        <v>3</v>
      </c>
      <c r="J366" s="1106">
        <f>NOMINA!J331</f>
        <v>0</v>
      </c>
      <c r="K366" s="1105">
        <f t="shared" si="23"/>
        <v>3</v>
      </c>
      <c r="L366" s="1106" t="s">
        <v>4932</v>
      </c>
      <c r="M366" s="1106"/>
      <c r="N366" s="1443" t="str">
        <f>NOMINA!O331</f>
        <v>Ayudante de Servicios Generales</v>
      </c>
      <c r="O366" s="1106">
        <v>1.02087691000006E+18</v>
      </c>
      <c r="P366" s="1107">
        <f>NOMINA!W331</f>
        <v>76</v>
      </c>
      <c r="Q366" s="1108">
        <f>NOMINA!AG331</f>
        <v>2.2799999999999998</v>
      </c>
      <c r="R366" s="1108">
        <f>NOMINA!AI331</f>
        <v>65</v>
      </c>
      <c r="S366" s="1108">
        <f>NOMINA!AK331</f>
        <v>0</v>
      </c>
      <c r="T366" s="1108">
        <f>+NOMINA!AO331</f>
        <v>0</v>
      </c>
      <c r="U366" s="1108">
        <f>+NOMINA!AQ331</f>
        <v>0</v>
      </c>
      <c r="V366" s="1108">
        <f>+NOMINA!AR331</f>
        <v>0</v>
      </c>
      <c r="W366" s="1108">
        <f>+NOMINA!AS331</f>
        <v>0</v>
      </c>
      <c r="X366" s="1108">
        <f>ROUND(NOMINA!AW331,2)</f>
        <v>0</v>
      </c>
      <c r="Y366" s="1108">
        <f>ROUND(NOMINA!AX331,2)</f>
        <v>0</v>
      </c>
      <c r="Z366" s="1108">
        <f>ROUND(NOMINA!BB331,2)+ROUND(NOMINA!BF331,2)</f>
        <v>28.66</v>
      </c>
      <c r="AA366" s="1108">
        <f>ROUND(NOMINA!BK331,2)</f>
        <v>0</v>
      </c>
      <c r="AB366" s="1108">
        <f>+NOMINA!BJ331</f>
        <v>0</v>
      </c>
      <c r="AC366" s="1108">
        <f>ROUND(NOMINA!BG331,2)</f>
        <v>310</v>
      </c>
      <c r="AD366" s="1711">
        <f t="shared" si="21"/>
        <v>481.94</v>
      </c>
      <c r="AF366" s="625"/>
    </row>
    <row r="367" spans="1:32" s="620" customFormat="1" ht="20.100000000000001" customHeight="1" thickBot="1" x14ac:dyDescent="0.25">
      <c r="A367" s="758" t="s">
        <v>2846</v>
      </c>
      <c r="B367" s="508">
        <f t="shared" si="22"/>
        <v>28</v>
      </c>
      <c r="C367" s="1102">
        <f>NOMINA!C332</f>
        <v>11129355</v>
      </c>
      <c r="D367" s="1103" t="str">
        <f>NOMINA!D332</f>
        <v>Luque Azuaje Rigoberto</v>
      </c>
      <c r="E367" s="1468" t="s">
        <v>4622</v>
      </c>
      <c r="F367" s="1110">
        <v>32351</v>
      </c>
      <c r="G367" s="1468" t="s">
        <v>4620</v>
      </c>
      <c r="H367" s="1442">
        <f>NOMINA!H332</f>
        <v>39539</v>
      </c>
      <c r="I367" s="1105">
        <f>NOMINA!I332</f>
        <v>17</v>
      </c>
      <c r="J367" s="1106">
        <f>NOMINA!J332</f>
        <v>0</v>
      </c>
      <c r="K367" s="1105">
        <f t="shared" si="23"/>
        <v>17</v>
      </c>
      <c r="L367" s="1106" t="s">
        <v>4932</v>
      </c>
      <c r="M367" s="1106"/>
      <c r="N367" s="1443" t="str">
        <f>NOMINA!O332</f>
        <v>Ayudante de Servicios Generales</v>
      </c>
      <c r="O367" s="1106">
        <v>1.02087691000006E+18</v>
      </c>
      <c r="P367" s="1107">
        <f>NOMINA!W332</f>
        <v>76</v>
      </c>
      <c r="Q367" s="1108">
        <f>NOMINA!AG332</f>
        <v>16.11</v>
      </c>
      <c r="R367" s="1108">
        <f>NOMINA!AI332</f>
        <v>65</v>
      </c>
      <c r="S367" s="1108">
        <f>NOMINA!AK332</f>
        <v>0</v>
      </c>
      <c r="T367" s="1108">
        <f>+NOMINA!AO332</f>
        <v>0</v>
      </c>
      <c r="U367" s="1108">
        <f>+NOMINA!AQ332</f>
        <v>0</v>
      </c>
      <c r="V367" s="1108">
        <f>+NOMINA!AR332</f>
        <v>0</v>
      </c>
      <c r="W367" s="1108">
        <f>+NOMINA!AS332</f>
        <v>0</v>
      </c>
      <c r="X367" s="1108">
        <f>ROUND(NOMINA!AW332,2)</f>
        <v>94.27</v>
      </c>
      <c r="Y367" s="1108">
        <f>ROUND(NOMINA!AX332,2)</f>
        <v>0</v>
      </c>
      <c r="Z367" s="1108">
        <f>ROUND(NOMINA!BB332,2)+ROUND(NOMINA!BF332,2)</f>
        <v>0</v>
      </c>
      <c r="AA367" s="1108">
        <f>ROUND(NOMINA!BK332,2)</f>
        <v>0</v>
      </c>
      <c r="AB367" s="1108">
        <f>+NOMINA!BJ332</f>
        <v>0</v>
      </c>
      <c r="AC367" s="1108">
        <f>ROUND(NOMINA!BG332,2)</f>
        <v>310</v>
      </c>
      <c r="AD367" s="1711">
        <f t="shared" si="21"/>
        <v>561.38</v>
      </c>
      <c r="AF367" s="625"/>
    </row>
    <row r="368" spans="1:32" s="620" customFormat="1" ht="20.100000000000001" customHeight="1" thickBot="1" x14ac:dyDescent="0.25">
      <c r="A368" s="758" t="s">
        <v>2846</v>
      </c>
      <c r="B368" s="508">
        <f t="shared" si="22"/>
        <v>29</v>
      </c>
      <c r="C368" s="1102">
        <f>NOMINA!C333</f>
        <v>11315202</v>
      </c>
      <c r="D368" s="1103" t="str">
        <f>NOMINA!D333</f>
        <v>Barreto Maria Ramona</v>
      </c>
      <c r="E368" s="1468" t="s">
        <v>4622</v>
      </c>
      <c r="F368" s="1110">
        <v>32351</v>
      </c>
      <c r="G368" s="1468" t="s">
        <v>4620</v>
      </c>
      <c r="H368" s="1442">
        <f>NOMINA!H333</f>
        <v>39539</v>
      </c>
      <c r="I368" s="1105">
        <f>NOMINA!I333</f>
        <v>17</v>
      </c>
      <c r="J368" s="1106">
        <f>NOMINA!J333</f>
        <v>0</v>
      </c>
      <c r="K368" s="1105">
        <f t="shared" si="23"/>
        <v>17</v>
      </c>
      <c r="L368" s="1106" t="s">
        <v>4932</v>
      </c>
      <c r="M368" s="1106"/>
      <c r="N368" s="1443" t="str">
        <f>NOMINA!O333</f>
        <v>Cocinera</v>
      </c>
      <c r="O368" s="1106">
        <v>1.02087691000006E+18</v>
      </c>
      <c r="P368" s="1107">
        <f>NOMINA!W333</f>
        <v>85.5</v>
      </c>
      <c r="Q368" s="1108">
        <f>NOMINA!AG333</f>
        <v>18.12</v>
      </c>
      <c r="R368" s="1108">
        <f>NOMINA!AI333</f>
        <v>65</v>
      </c>
      <c r="S368" s="1108">
        <f>NOMINA!AK333</f>
        <v>0</v>
      </c>
      <c r="T368" s="1108">
        <f>+NOMINA!AO333</f>
        <v>0</v>
      </c>
      <c r="U368" s="1108">
        <f>+NOMINA!AQ333</f>
        <v>0</v>
      </c>
      <c r="V368" s="1108">
        <f>+NOMINA!AR333</f>
        <v>0</v>
      </c>
      <c r="W368" s="1108">
        <f>+NOMINA!AS333</f>
        <v>0</v>
      </c>
      <c r="X368" s="1108">
        <f>ROUND(NOMINA!AW333,2)</f>
        <v>0</v>
      </c>
      <c r="Y368" s="1108">
        <f>ROUND(NOMINA!AX333,2)</f>
        <v>0</v>
      </c>
      <c r="Z368" s="1108">
        <f>ROUND(NOMINA!BB333,2)+ROUND(NOMINA!BF333,2)</f>
        <v>33.729999999999997</v>
      </c>
      <c r="AA368" s="1108">
        <f>ROUND(NOMINA!BK333,2)</f>
        <v>0</v>
      </c>
      <c r="AB368" s="1108">
        <f>+NOMINA!BJ333</f>
        <v>0</v>
      </c>
      <c r="AC368" s="1108">
        <f>ROUND(NOMINA!BG333,2)</f>
        <v>310</v>
      </c>
      <c r="AD368" s="1711">
        <f t="shared" si="21"/>
        <v>512.35</v>
      </c>
      <c r="AF368" s="625"/>
    </row>
    <row r="369" spans="1:32" s="620" customFormat="1" ht="20.100000000000001" customHeight="1" thickBot="1" x14ac:dyDescent="0.25">
      <c r="A369" s="758" t="s">
        <v>2846</v>
      </c>
      <c r="B369" s="508">
        <f t="shared" si="22"/>
        <v>30</v>
      </c>
      <c r="C369" s="1102">
        <f>NOMINA!C334</f>
        <v>11321681</v>
      </c>
      <c r="D369" s="1103" t="str">
        <f>NOMINA!D334</f>
        <v>Bentancourt Rivas Luis Enrique</v>
      </c>
      <c r="E369" s="1468" t="s">
        <v>4622</v>
      </c>
      <c r="F369" s="1110">
        <v>32351</v>
      </c>
      <c r="G369" s="1468" t="s">
        <v>4620</v>
      </c>
      <c r="H369" s="1442">
        <f>NOMINA!H334</f>
        <v>44805</v>
      </c>
      <c r="I369" s="1105">
        <f>NOMINA!I334</f>
        <v>3</v>
      </c>
      <c r="J369" s="1106">
        <f>NOMINA!J334</f>
        <v>0</v>
      </c>
      <c r="K369" s="1105">
        <f t="shared" si="23"/>
        <v>3</v>
      </c>
      <c r="L369" s="1106" t="s">
        <v>4932</v>
      </c>
      <c r="M369" s="1106"/>
      <c r="N369" s="1443" t="str">
        <f>NOMINA!O334</f>
        <v>Ayudante de Servicios Generales</v>
      </c>
      <c r="O369" s="1106">
        <v>1.02087691000006E+18</v>
      </c>
      <c r="P369" s="1107">
        <f>NOMINA!W334</f>
        <v>76</v>
      </c>
      <c r="Q369" s="1108">
        <f>NOMINA!AG334</f>
        <v>2.2799999999999998</v>
      </c>
      <c r="R369" s="1108">
        <f>NOMINA!AI334</f>
        <v>65</v>
      </c>
      <c r="S369" s="1108">
        <f>NOMINA!AK334</f>
        <v>0</v>
      </c>
      <c r="T369" s="1108">
        <f>+NOMINA!AO334</f>
        <v>0</v>
      </c>
      <c r="U369" s="1108">
        <f>+NOMINA!AQ334</f>
        <v>0</v>
      </c>
      <c r="V369" s="1108">
        <f>+NOMINA!AR334</f>
        <v>0</v>
      </c>
      <c r="W369" s="1108">
        <f>+NOMINA!AS334</f>
        <v>0</v>
      </c>
      <c r="X369" s="1108">
        <f>ROUND(NOMINA!AW334,2)</f>
        <v>0</v>
      </c>
      <c r="Y369" s="1108">
        <f>ROUND(NOMINA!AX334,2)</f>
        <v>2292.48</v>
      </c>
      <c r="Z369" s="1108">
        <f>ROUND(NOMINA!BB334,2)+ROUND(NOMINA!BF334,2)</f>
        <v>0</v>
      </c>
      <c r="AA369" s="1108">
        <f>ROUND(NOMINA!BK334,2)</f>
        <v>0</v>
      </c>
      <c r="AB369" s="1108">
        <f>+NOMINA!BJ334</f>
        <v>0</v>
      </c>
      <c r="AC369" s="1108">
        <f>ROUND(NOMINA!BG334,2)</f>
        <v>310</v>
      </c>
      <c r="AD369" s="1711">
        <f t="shared" si="21"/>
        <v>2745.76</v>
      </c>
      <c r="AF369" s="625"/>
    </row>
    <row r="370" spans="1:32" s="620" customFormat="1" ht="20.100000000000001" customHeight="1" thickBot="1" x14ac:dyDescent="0.25">
      <c r="A370" s="758" t="s">
        <v>2846</v>
      </c>
      <c r="B370" s="508">
        <f t="shared" si="22"/>
        <v>31</v>
      </c>
      <c r="C370" s="1102">
        <f>NOMINA!C335</f>
        <v>11321782</v>
      </c>
      <c r="D370" s="1103" t="str">
        <f>NOMINA!D335</f>
        <v>Flores Camacho Maria Zoraida</v>
      </c>
      <c r="E370" s="1468" t="s">
        <v>4622</v>
      </c>
      <c r="F370" s="1110">
        <v>32351</v>
      </c>
      <c r="G370" s="1468" t="s">
        <v>4620</v>
      </c>
      <c r="H370" s="1442">
        <f>NOMINA!H335</f>
        <v>43815</v>
      </c>
      <c r="I370" s="1105">
        <f>NOMINA!I335</f>
        <v>5</v>
      </c>
      <c r="J370" s="1106">
        <f>NOMINA!J335</f>
        <v>0</v>
      </c>
      <c r="K370" s="1105">
        <f t="shared" si="23"/>
        <v>5</v>
      </c>
      <c r="L370" s="1106" t="s">
        <v>4932</v>
      </c>
      <c r="M370" s="1106"/>
      <c r="N370" s="1443" t="str">
        <f>NOMINA!O335</f>
        <v>Cocinera</v>
      </c>
      <c r="O370" s="1106">
        <v>1.02087691000006E+18</v>
      </c>
      <c r="P370" s="1107">
        <f>NOMINA!W335</f>
        <v>85.5</v>
      </c>
      <c r="Q370" s="1108">
        <f>NOMINA!AG335</f>
        <v>4.2699999999999996</v>
      </c>
      <c r="R370" s="1108">
        <f>NOMINA!AI335</f>
        <v>65</v>
      </c>
      <c r="S370" s="1108">
        <f>NOMINA!AK335</f>
        <v>0</v>
      </c>
      <c r="T370" s="1108">
        <f>+NOMINA!AO335</f>
        <v>0</v>
      </c>
      <c r="U370" s="1108">
        <f>+NOMINA!AQ335</f>
        <v>0</v>
      </c>
      <c r="V370" s="1108">
        <f>+NOMINA!AR335</f>
        <v>0</v>
      </c>
      <c r="W370" s="1108">
        <f>+NOMINA!AS335</f>
        <v>0</v>
      </c>
      <c r="X370" s="1108">
        <f>ROUND(NOMINA!AW335,2)</f>
        <v>0</v>
      </c>
      <c r="Y370" s="1108">
        <f>ROUND(NOMINA!AX335,2)</f>
        <v>0</v>
      </c>
      <c r="Z370" s="1108">
        <f>ROUND(NOMINA!BB335,2)+ROUND(NOMINA!BF335,2)</f>
        <v>30.96</v>
      </c>
      <c r="AA370" s="1108">
        <f>ROUND(NOMINA!BK335,2)</f>
        <v>0</v>
      </c>
      <c r="AB370" s="1108">
        <f>+NOMINA!BJ335</f>
        <v>0</v>
      </c>
      <c r="AC370" s="1108">
        <f>ROUND(NOMINA!BG335,2)</f>
        <v>310</v>
      </c>
      <c r="AD370" s="1711">
        <f t="shared" si="21"/>
        <v>495.73</v>
      </c>
      <c r="AF370" s="625"/>
    </row>
    <row r="371" spans="1:32" s="620" customFormat="1" ht="20.100000000000001" customHeight="1" thickBot="1" x14ac:dyDescent="0.25">
      <c r="A371" s="758" t="s">
        <v>2846</v>
      </c>
      <c r="B371" s="508">
        <f t="shared" si="22"/>
        <v>32</v>
      </c>
      <c r="C371" s="1102">
        <f>NOMINA!C336</f>
        <v>11324931</v>
      </c>
      <c r="D371" s="1103" t="str">
        <f>NOMINA!D336</f>
        <v>Sulbaran de Araujo Magaly</v>
      </c>
      <c r="E371" s="1468" t="s">
        <v>4622</v>
      </c>
      <c r="F371" s="1110">
        <v>32351</v>
      </c>
      <c r="G371" s="1468" t="s">
        <v>4620</v>
      </c>
      <c r="H371" s="1442">
        <f>NOMINA!H336</f>
        <v>38784</v>
      </c>
      <c r="I371" s="1105">
        <f>NOMINA!I336</f>
        <v>19</v>
      </c>
      <c r="J371" s="1106">
        <f>NOMINA!J336</f>
        <v>0</v>
      </c>
      <c r="K371" s="1105">
        <f t="shared" si="23"/>
        <v>19</v>
      </c>
      <c r="L371" s="1106" t="s">
        <v>4932</v>
      </c>
      <c r="M371" s="1106"/>
      <c r="N371" s="1443" t="str">
        <f>NOMINA!O336</f>
        <v>Cocinera</v>
      </c>
      <c r="O371" s="1106">
        <v>1.02087691000006E+18</v>
      </c>
      <c r="P371" s="1107">
        <f>NOMINA!W336</f>
        <v>85.5</v>
      </c>
      <c r="Q371" s="1108">
        <f>NOMINA!AG336</f>
        <v>20.86</v>
      </c>
      <c r="R371" s="1108">
        <f>NOMINA!AI336</f>
        <v>65</v>
      </c>
      <c r="S371" s="1108">
        <f>NOMINA!AK336</f>
        <v>0</v>
      </c>
      <c r="T371" s="1108">
        <f>+NOMINA!AO336</f>
        <v>0</v>
      </c>
      <c r="U371" s="1108">
        <f>+NOMINA!AQ336</f>
        <v>0</v>
      </c>
      <c r="V371" s="1108">
        <f>+NOMINA!AR336</f>
        <v>0</v>
      </c>
      <c r="W371" s="1108">
        <f>+NOMINA!AS336</f>
        <v>0</v>
      </c>
      <c r="X371" s="1108">
        <f>ROUND(NOMINA!AW336,2)</f>
        <v>0</v>
      </c>
      <c r="Y371" s="1108">
        <f>ROUND(NOMINA!AX336,2)</f>
        <v>0</v>
      </c>
      <c r="Z371" s="1108">
        <f>ROUND(NOMINA!BB336,2)+ROUND(NOMINA!BF336,2)</f>
        <v>0</v>
      </c>
      <c r="AA371" s="1108">
        <f>ROUND(NOMINA!BK336,2)</f>
        <v>0</v>
      </c>
      <c r="AB371" s="1108">
        <f>+NOMINA!BJ336</f>
        <v>0</v>
      </c>
      <c r="AC371" s="1108">
        <f>ROUND(NOMINA!BG336,2)</f>
        <v>310</v>
      </c>
      <c r="AD371" s="1711">
        <f t="shared" si="21"/>
        <v>481.36</v>
      </c>
      <c r="AF371" s="625"/>
    </row>
    <row r="372" spans="1:32" s="620" customFormat="1" ht="20.100000000000001" customHeight="1" thickBot="1" x14ac:dyDescent="0.25">
      <c r="A372" s="758" t="s">
        <v>2846</v>
      </c>
      <c r="B372" s="508">
        <f t="shared" si="22"/>
        <v>33</v>
      </c>
      <c r="C372" s="1102">
        <f>NOMINA!C337</f>
        <v>11894400</v>
      </c>
      <c r="D372" s="1103" t="str">
        <f>NOMINA!D337</f>
        <v>Aldana Olivar Maria del Carmen</v>
      </c>
      <c r="E372" s="1468" t="s">
        <v>4622</v>
      </c>
      <c r="F372" s="1110">
        <v>32351</v>
      </c>
      <c r="G372" s="1468" t="s">
        <v>4620</v>
      </c>
      <c r="H372" s="1442">
        <f>NOMINA!H337</f>
        <v>44287</v>
      </c>
      <c r="I372" s="1105">
        <f>NOMINA!I337</f>
        <v>4</v>
      </c>
      <c r="J372" s="1106">
        <f>NOMINA!J337</f>
        <v>0</v>
      </c>
      <c r="K372" s="1105">
        <f t="shared" si="23"/>
        <v>4</v>
      </c>
      <c r="L372" s="1106" t="s">
        <v>4932</v>
      </c>
      <c r="M372" s="1106"/>
      <c r="N372" s="1443" t="str">
        <f>NOMINA!O337</f>
        <v>Cocinera</v>
      </c>
      <c r="O372" s="1106">
        <v>1.02087691000006E+18</v>
      </c>
      <c r="P372" s="1107">
        <f>NOMINA!W337</f>
        <v>85.5</v>
      </c>
      <c r="Q372" s="1108">
        <f>NOMINA!AG337</f>
        <v>3.42</v>
      </c>
      <c r="R372" s="1108">
        <f>NOMINA!AI337</f>
        <v>65</v>
      </c>
      <c r="S372" s="1108">
        <f>NOMINA!AK337</f>
        <v>0</v>
      </c>
      <c r="T372" s="1108">
        <f>+NOMINA!AO337</f>
        <v>0</v>
      </c>
      <c r="U372" s="1108">
        <f>+NOMINA!AQ337</f>
        <v>0</v>
      </c>
      <c r="V372" s="1108">
        <f>+NOMINA!AR337</f>
        <v>0</v>
      </c>
      <c r="W372" s="1108">
        <f>+NOMINA!AS337</f>
        <v>0</v>
      </c>
      <c r="X372" s="1108">
        <f>ROUND(NOMINA!AW337,2)</f>
        <v>0</v>
      </c>
      <c r="Y372" s="1108">
        <f>ROUND(NOMINA!AX337,2)</f>
        <v>0</v>
      </c>
      <c r="Z372" s="1108">
        <f>ROUND(NOMINA!BB337,2)+ROUND(NOMINA!BF337,2)</f>
        <v>0</v>
      </c>
      <c r="AA372" s="1108">
        <f>ROUND(NOMINA!BK337,2)</f>
        <v>0</v>
      </c>
      <c r="AB372" s="1108">
        <f>+NOMINA!BJ337</f>
        <v>0</v>
      </c>
      <c r="AC372" s="1108">
        <f>ROUND(NOMINA!BG337,2)</f>
        <v>310</v>
      </c>
      <c r="AD372" s="1711">
        <f t="shared" si="21"/>
        <v>463.92</v>
      </c>
      <c r="AF372" s="625"/>
    </row>
    <row r="373" spans="1:32" s="620" customFormat="1" ht="20.100000000000001" customHeight="1" thickBot="1" x14ac:dyDescent="0.25">
      <c r="A373" s="758" t="s">
        <v>2846</v>
      </c>
      <c r="B373" s="508">
        <f t="shared" si="22"/>
        <v>34</v>
      </c>
      <c r="C373" s="1102">
        <f>NOMINA!C338</f>
        <v>11897863</v>
      </c>
      <c r="D373" s="1103" t="str">
        <f>NOMINA!D338</f>
        <v>Rodriguez Maria Ibel</v>
      </c>
      <c r="E373" s="1468" t="s">
        <v>4622</v>
      </c>
      <c r="F373" s="1110">
        <v>32351</v>
      </c>
      <c r="G373" s="1468" t="s">
        <v>4620</v>
      </c>
      <c r="H373" s="1442">
        <f>NOMINA!H338</f>
        <v>41548</v>
      </c>
      <c r="I373" s="1105">
        <f>NOMINA!I338</f>
        <v>11</v>
      </c>
      <c r="J373" s="1106">
        <f>NOMINA!J338</f>
        <v>0</v>
      </c>
      <c r="K373" s="1105">
        <f t="shared" si="23"/>
        <v>11</v>
      </c>
      <c r="L373" s="1106" t="s">
        <v>4932</v>
      </c>
      <c r="M373" s="1106"/>
      <c r="N373" s="1443" t="str">
        <f>NOMINA!O338</f>
        <v>Aseadora</v>
      </c>
      <c r="O373" s="1106">
        <v>1.02087691000006E+18</v>
      </c>
      <c r="P373" s="1107">
        <f>NOMINA!W338</f>
        <v>65</v>
      </c>
      <c r="Q373" s="1108">
        <f>NOMINA!AG338</f>
        <v>8.06</v>
      </c>
      <c r="R373" s="1108">
        <f>NOMINA!AI338</f>
        <v>65</v>
      </c>
      <c r="S373" s="1108">
        <f>NOMINA!AK338</f>
        <v>0</v>
      </c>
      <c r="T373" s="1108">
        <f>+NOMINA!AO338</f>
        <v>0</v>
      </c>
      <c r="U373" s="1108">
        <f>+NOMINA!AQ338</f>
        <v>0</v>
      </c>
      <c r="V373" s="1108">
        <f>+NOMINA!AR338</f>
        <v>0</v>
      </c>
      <c r="W373" s="1108">
        <f>+NOMINA!AS338</f>
        <v>0</v>
      </c>
      <c r="X373" s="1108">
        <f>ROUND(NOMINA!AW338,2)</f>
        <v>0</v>
      </c>
      <c r="Y373" s="1108">
        <f>ROUND(NOMINA!AX338,2)</f>
        <v>0</v>
      </c>
      <c r="Z373" s="1108">
        <f>ROUND(NOMINA!BB338,2)+ROUND(NOMINA!BF338,2)</f>
        <v>0</v>
      </c>
      <c r="AA373" s="1108">
        <f>ROUND(NOMINA!BK338,2)</f>
        <v>0</v>
      </c>
      <c r="AB373" s="1108">
        <f>+NOMINA!BJ338</f>
        <v>0</v>
      </c>
      <c r="AC373" s="1108">
        <f>ROUND(NOMINA!BG338,2)</f>
        <v>310</v>
      </c>
      <c r="AD373" s="1711">
        <f t="shared" si="21"/>
        <v>448.06</v>
      </c>
      <c r="AF373" s="625"/>
    </row>
    <row r="374" spans="1:32" s="620" customFormat="1" ht="20.100000000000001" customHeight="1" thickBot="1" x14ac:dyDescent="0.25">
      <c r="A374" s="758" t="s">
        <v>2846</v>
      </c>
      <c r="B374" s="508">
        <f t="shared" si="22"/>
        <v>35</v>
      </c>
      <c r="C374" s="1102">
        <f>NOMINA!C339</f>
        <v>12038359</v>
      </c>
      <c r="D374" s="1103" t="str">
        <f>NOMINA!D339</f>
        <v>Amaya Perez Carmen Elena</v>
      </c>
      <c r="E374" s="1468" t="s">
        <v>4622</v>
      </c>
      <c r="F374" s="1110">
        <v>32351</v>
      </c>
      <c r="G374" s="1468" t="s">
        <v>4620</v>
      </c>
      <c r="H374" s="1442">
        <f>NOMINA!H339</f>
        <v>38103</v>
      </c>
      <c r="I374" s="1105">
        <f>NOMINA!I339</f>
        <v>21</v>
      </c>
      <c r="J374" s="1106">
        <f>NOMINA!J339</f>
        <v>0</v>
      </c>
      <c r="K374" s="1105">
        <f t="shared" si="23"/>
        <v>21</v>
      </c>
      <c r="L374" s="1106" t="s">
        <v>4932</v>
      </c>
      <c r="M374" s="1106"/>
      <c r="N374" s="1443" t="str">
        <f>NOMINA!O339</f>
        <v>Cocinera</v>
      </c>
      <c r="O374" s="1106">
        <v>1.02087691000006E+18</v>
      </c>
      <c r="P374" s="1107">
        <f>NOMINA!W339</f>
        <v>85.5</v>
      </c>
      <c r="Q374" s="1108">
        <f>NOMINA!AG339</f>
        <v>23.77</v>
      </c>
      <c r="R374" s="1108">
        <f>NOMINA!AI339</f>
        <v>65</v>
      </c>
      <c r="S374" s="1108">
        <f>NOMINA!AK339</f>
        <v>0</v>
      </c>
      <c r="T374" s="1108">
        <f>+NOMINA!AO339</f>
        <v>0</v>
      </c>
      <c r="U374" s="1108">
        <f>+NOMINA!AQ339</f>
        <v>0</v>
      </c>
      <c r="V374" s="1108">
        <f>+NOMINA!AR339</f>
        <v>0</v>
      </c>
      <c r="W374" s="1108">
        <f>+NOMINA!AS339</f>
        <v>0</v>
      </c>
      <c r="X374" s="1108">
        <f>ROUND(NOMINA!AW339,2)</f>
        <v>0</v>
      </c>
      <c r="Y374" s="1108">
        <f>ROUND(NOMINA!AX339,2)</f>
        <v>0</v>
      </c>
      <c r="Z374" s="1108">
        <f>ROUND(NOMINA!BB339,2)+ROUND(NOMINA!BF339,2)</f>
        <v>0</v>
      </c>
      <c r="AA374" s="1108">
        <f>ROUND(NOMINA!BK339,2)</f>
        <v>0</v>
      </c>
      <c r="AB374" s="1108">
        <f>+NOMINA!BJ339</f>
        <v>0</v>
      </c>
      <c r="AC374" s="1108">
        <f>ROUND(NOMINA!BG339,2)</f>
        <v>310</v>
      </c>
      <c r="AD374" s="1711">
        <f t="shared" si="21"/>
        <v>484.27</v>
      </c>
      <c r="AF374" s="625"/>
    </row>
    <row r="375" spans="1:32" s="620" customFormat="1" ht="20.100000000000001" customHeight="1" thickBot="1" x14ac:dyDescent="0.25">
      <c r="A375" s="758" t="s">
        <v>2846</v>
      </c>
      <c r="B375" s="508">
        <f t="shared" si="22"/>
        <v>36</v>
      </c>
      <c r="C375" s="1102">
        <f>NOMINA!C340</f>
        <v>12042930</v>
      </c>
      <c r="D375" s="1103" t="str">
        <f>NOMINA!D340</f>
        <v>Barroeta Cardozo Leonid Andrei</v>
      </c>
      <c r="E375" s="1468" t="s">
        <v>4622</v>
      </c>
      <c r="F375" s="1110">
        <v>32351</v>
      </c>
      <c r="G375" s="1468" t="s">
        <v>4620</v>
      </c>
      <c r="H375" s="1442">
        <f>NOMINA!H340</f>
        <v>44986</v>
      </c>
      <c r="I375" s="1105">
        <f>NOMINA!I340</f>
        <v>2</v>
      </c>
      <c r="J375" s="1106">
        <f>NOMINA!J340</f>
        <v>0</v>
      </c>
      <c r="K375" s="1105">
        <f t="shared" si="23"/>
        <v>2</v>
      </c>
      <c r="L375" s="1106" t="s">
        <v>4932</v>
      </c>
      <c r="M375" s="1106"/>
      <c r="N375" s="1443" t="str">
        <f>NOMINA!O340</f>
        <v>Ayudante de Servicios Generales</v>
      </c>
      <c r="O375" s="1106">
        <v>1.02087691000006E+18</v>
      </c>
      <c r="P375" s="1107">
        <f>NOMINA!W340</f>
        <v>76</v>
      </c>
      <c r="Q375" s="1108">
        <f>NOMINA!AG340</f>
        <v>1.52</v>
      </c>
      <c r="R375" s="1108">
        <f>NOMINA!AI340</f>
        <v>65</v>
      </c>
      <c r="S375" s="1108">
        <f>NOMINA!AK340</f>
        <v>0</v>
      </c>
      <c r="T375" s="1108">
        <f>+NOMINA!AO340</f>
        <v>0</v>
      </c>
      <c r="U375" s="1108">
        <f>+NOMINA!AQ340</f>
        <v>0</v>
      </c>
      <c r="V375" s="1108">
        <f>+NOMINA!AR340</f>
        <v>0</v>
      </c>
      <c r="W375" s="1108">
        <f>+NOMINA!AS340</f>
        <v>0</v>
      </c>
      <c r="X375" s="1108">
        <f>ROUND(NOMINA!AW340,2)</f>
        <v>0</v>
      </c>
      <c r="Y375" s="1108">
        <f>ROUND(NOMINA!AX340,2)</f>
        <v>0</v>
      </c>
      <c r="Z375" s="1108">
        <f>ROUND(NOMINA!BB340,2)+ROUND(NOMINA!BF340,2)</f>
        <v>14.25</v>
      </c>
      <c r="AA375" s="1108">
        <f>ROUND(NOMINA!BK340,2)</f>
        <v>0</v>
      </c>
      <c r="AB375" s="1108">
        <f>+NOMINA!BJ340</f>
        <v>0</v>
      </c>
      <c r="AC375" s="1108">
        <f>ROUND(NOMINA!BG340,2)</f>
        <v>310</v>
      </c>
      <c r="AD375" s="1711">
        <f t="shared" si="21"/>
        <v>466.77</v>
      </c>
      <c r="AF375" s="625"/>
    </row>
    <row r="376" spans="1:32" s="620" customFormat="1" ht="20.100000000000001" customHeight="1" thickBot="1" x14ac:dyDescent="0.25">
      <c r="A376" s="758" t="s">
        <v>2846</v>
      </c>
      <c r="B376" s="508">
        <f t="shared" si="22"/>
        <v>37</v>
      </c>
      <c r="C376" s="1102">
        <f>NOMINA!C341</f>
        <v>12043135</v>
      </c>
      <c r="D376" s="1103" t="str">
        <f>NOMINA!D341</f>
        <v>Avila Salvio Rodolfo</v>
      </c>
      <c r="E376" s="1468" t="s">
        <v>4622</v>
      </c>
      <c r="F376" s="1110">
        <v>32351</v>
      </c>
      <c r="G376" s="1468" t="s">
        <v>4620</v>
      </c>
      <c r="H376" s="1442">
        <f>NOMINA!H341</f>
        <v>43724</v>
      </c>
      <c r="I376" s="1105">
        <f>NOMINA!I341</f>
        <v>6</v>
      </c>
      <c r="J376" s="1106">
        <f>NOMINA!J341</f>
        <v>0</v>
      </c>
      <c r="K376" s="1105">
        <f t="shared" si="23"/>
        <v>6</v>
      </c>
      <c r="L376" s="1106" t="s">
        <v>4932</v>
      </c>
      <c r="M376" s="1106"/>
      <c r="N376" s="1443" t="str">
        <f>NOMINA!O341</f>
        <v>Cocinero</v>
      </c>
      <c r="O376" s="1106">
        <v>1.02087691000006E+18</v>
      </c>
      <c r="P376" s="1107">
        <f>NOMINA!W341</f>
        <v>85.5</v>
      </c>
      <c r="Q376" s="1108">
        <f>NOMINA!AG341</f>
        <v>5.3</v>
      </c>
      <c r="R376" s="1108">
        <f>NOMINA!AI341</f>
        <v>65</v>
      </c>
      <c r="S376" s="1108">
        <f>NOMINA!AK341</f>
        <v>0</v>
      </c>
      <c r="T376" s="1108">
        <f>+NOMINA!AO341</f>
        <v>0</v>
      </c>
      <c r="U376" s="1108">
        <f>+NOMINA!AQ341</f>
        <v>0</v>
      </c>
      <c r="V376" s="1108">
        <f>+NOMINA!AR341</f>
        <v>0</v>
      </c>
      <c r="W376" s="1108">
        <f>+NOMINA!AS341</f>
        <v>0</v>
      </c>
      <c r="X376" s="1108">
        <f>ROUND(NOMINA!AW341,2)</f>
        <v>0</v>
      </c>
      <c r="Y376" s="1108">
        <f>ROUND(NOMINA!AX341,2)</f>
        <v>2492.8000000000002</v>
      </c>
      <c r="Z376" s="1108">
        <f>ROUND(NOMINA!BB341,2)+ROUND(NOMINA!BF341,2)</f>
        <v>31.16</v>
      </c>
      <c r="AA376" s="1108">
        <f>ROUND(NOMINA!BK341,2)</f>
        <v>0</v>
      </c>
      <c r="AB376" s="1108">
        <f>+NOMINA!BJ341</f>
        <v>0</v>
      </c>
      <c r="AC376" s="1108">
        <f>ROUND(NOMINA!BG341,2)</f>
        <v>310</v>
      </c>
      <c r="AD376" s="1711">
        <f t="shared" si="21"/>
        <v>2989.76</v>
      </c>
      <c r="AF376" s="625"/>
    </row>
    <row r="377" spans="1:32" s="620" customFormat="1" ht="20.100000000000001" customHeight="1" thickBot="1" x14ac:dyDescent="0.25">
      <c r="A377" s="758" t="s">
        <v>2846</v>
      </c>
      <c r="B377" s="508">
        <f t="shared" si="22"/>
        <v>38</v>
      </c>
      <c r="C377" s="1102">
        <f>NOMINA!C342</f>
        <v>12044124</v>
      </c>
      <c r="D377" s="1103" t="str">
        <f>NOMINA!D342</f>
        <v>Rivas Carlos Luis</v>
      </c>
      <c r="E377" s="1468" t="s">
        <v>4622</v>
      </c>
      <c r="F377" s="1110">
        <v>32351</v>
      </c>
      <c r="G377" s="1468" t="s">
        <v>4620</v>
      </c>
      <c r="H377" s="1442">
        <f>NOMINA!H342</f>
        <v>39539</v>
      </c>
      <c r="I377" s="1105">
        <f>NOMINA!I342</f>
        <v>17</v>
      </c>
      <c r="J377" s="1106">
        <f>NOMINA!J342</f>
        <v>0</v>
      </c>
      <c r="K377" s="1105">
        <f t="shared" si="23"/>
        <v>17</v>
      </c>
      <c r="L377" s="1106" t="s">
        <v>4932</v>
      </c>
      <c r="M377" s="1106"/>
      <c r="N377" s="1443" t="str">
        <f>NOMINA!O342</f>
        <v>Ayudante de Servicios Generales</v>
      </c>
      <c r="O377" s="1106">
        <v>1.02087691000006E+18</v>
      </c>
      <c r="P377" s="1107">
        <f>NOMINA!W342</f>
        <v>76</v>
      </c>
      <c r="Q377" s="1108">
        <f>NOMINA!AG342</f>
        <v>16.11</v>
      </c>
      <c r="R377" s="1108">
        <f>NOMINA!AI342</f>
        <v>65</v>
      </c>
      <c r="S377" s="1108">
        <f>NOMINA!AK342</f>
        <v>0</v>
      </c>
      <c r="T377" s="1108">
        <f>+NOMINA!AO342</f>
        <v>0</v>
      </c>
      <c r="U377" s="1108">
        <f>+NOMINA!AQ342</f>
        <v>0</v>
      </c>
      <c r="V377" s="1108">
        <f>+NOMINA!AR342</f>
        <v>0</v>
      </c>
      <c r="W377" s="1108">
        <f>+NOMINA!AS342</f>
        <v>0</v>
      </c>
      <c r="X377" s="1108">
        <f>ROUND(NOMINA!AW342,2)</f>
        <v>94.27</v>
      </c>
      <c r="Y377" s="1108">
        <f>ROUND(NOMINA!AX342,2)</f>
        <v>0</v>
      </c>
      <c r="Z377" s="1108">
        <f>ROUND(NOMINA!BB342,2)+ROUND(NOMINA!BF342,2)</f>
        <v>0</v>
      </c>
      <c r="AA377" s="1108">
        <f>ROUND(NOMINA!BK342,2)</f>
        <v>0</v>
      </c>
      <c r="AB377" s="1108">
        <f>+NOMINA!BJ342</f>
        <v>0</v>
      </c>
      <c r="AC377" s="1108">
        <f>ROUND(NOMINA!BG342,2)</f>
        <v>310</v>
      </c>
      <c r="AD377" s="1711">
        <f t="shared" si="21"/>
        <v>561.38</v>
      </c>
      <c r="AF377" s="625"/>
    </row>
    <row r="378" spans="1:32" s="620" customFormat="1" ht="20.100000000000001" customHeight="1" thickBot="1" x14ac:dyDescent="0.25">
      <c r="A378" s="758" t="s">
        <v>2846</v>
      </c>
      <c r="B378" s="508">
        <f t="shared" si="22"/>
        <v>39</v>
      </c>
      <c r="C378" s="1102">
        <f>NOMINA!C343</f>
        <v>12044754</v>
      </c>
      <c r="D378" s="1103" t="str">
        <f>NOMINA!D343</f>
        <v>Briceño Graterol Oscar Antonio</v>
      </c>
      <c r="E378" s="1468" t="s">
        <v>4622</v>
      </c>
      <c r="F378" s="1110">
        <v>32351</v>
      </c>
      <c r="G378" s="1468" t="s">
        <v>4620</v>
      </c>
      <c r="H378" s="1442">
        <f>NOMINA!H343</f>
        <v>43481</v>
      </c>
      <c r="I378" s="1105">
        <f>NOMINA!I343</f>
        <v>6</v>
      </c>
      <c r="J378" s="1106">
        <f>NOMINA!J343</f>
        <v>0</v>
      </c>
      <c r="K378" s="1105">
        <f t="shared" si="23"/>
        <v>6</v>
      </c>
      <c r="L378" s="1106" t="s">
        <v>4932</v>
      </c>
      <c r="M378" s="1106"/>
      <c r="N378" s="1443" t="str">
        <f>NOMINA!O343</f>
        <v>Ayudante de Servicios Generales</v>
      </c>
      <c r="O378" s="1106">
        <v>1.02087691000006E+18</v>
      </c>
      <c r="P378" s="1107">
        <f>NOMINA!W343</f>
        <v>76</v>
      </c>
      <c r="Q378" s="1108">
        <f>NOMINA!AG343</f>
        <v>4.71</v>
      </c>
      <c r="R378" s="1108">
        <f>NOMINA!AI343</f>
        <v>65</v>
      </c>
      <c r="S378" s="1108">
        <f>NOMINA!AK343</f>
        <v>0</v>
      </c>
      <c r="T378" s="1108">
        <f>+NOMINA!AO343</f>
        <v>0</v>
      </c>
      <c r="U378" s="1108">
        <f>+NOMINA!AQ343</f>
        <v>0</v>
      </c>
      <c r="V378" s="1108">
        <f>+NOMINA!AR343</f>
        <v>0</v>
      </c>
      <c r="W378" s="1108">
        <f>+NOMINA!AS343</f>
        <v>0</v>
      </c>
      <c r="X378" s="1108">
        <f>ROUND(NOMINA!AW343,2)</f>
        <v>0</v>
      </c>
      <c r="Y378" s="1108">
        <f>ROUND(NOMINA!AX343,2)</f>
        <v>0</v>
      </c>
      <c r="Z378" s="1108">
        <f>ROUND(NOMINA!BB343,2)+ROUND(NOMINA!BF343,2)</f>
        <v>14.57</v>
      </c>
      <c r="AA378" s="1108">
        <f>ROUND(NOMINA!BK343,2)</f>
        <v>0</v>
      </c>
      <c r="AB378" s="1108">
        <f>+NOMINA!BJ343</f>
        <v>0</v>
      </c>
      <c r="AC378" s="1108">
        <f>ROUND(NOMINA!BG343,2)</f>
        <v>310</v>
      </c>
      <c r="AD378" s="1711">
        <f t="shared" si="21"/>
        <v>470.28</v>
      </c>
      <c r="AF378" s="625"/>
    </row>
    <row r="379" spans="1:32" s="620" customFormat="1" ht="20.100000000000001" customHeight="1" thickBot="1" x14ac:dyDescent="0.25">
      <c r="A379" s="758" t="s">
        <v>2846</v>
      </c>
      <c r="B379" s="508">
        <f t="shared" si="22"/>
        <v>40</v>
      </c>
      <c r="C379" s="1102">
        <f>NOMINA!C344</f>
        <v>12046834</v>
      </c>
      <c r="D379" s="1103" t="str">
        <f>NOMINA!D344</f>
        <v>Perez Montilla William Jose</v>
      </c>
      <c r="E379" s="1468" t="s">
        <v>4622</v>
      </c>
      <c r="F379" s="1110">
        <v>32351</v>
      </c>
      <c r="G379" s="1468" t="s">
        <v>4620</v>
      </c>
      <c r="H379" s="1442">
        <f>NOMINA!H344</f>
        <v>43313</v>
      </c>
      <c r="I379" s="1105">
        <f>NOMINA!I344</f>
        <v>7</v>
      </c>
      <c r="J379" s="1106">
        <f>NOMINA!J344</f>
        <v>0</v>
      </c>
      <c r="K379" s="1105">
        <f t="shared" si="23"/>
        <v>7</v>
      </c>
      <c r="L379" s="1106" t="s">
        <v>4932</v>
      </c>
      <c r="M379" s="1106"/>
      <c r="N379" s="1443" t="str">
        <f>NOMINA!O344</f>
        <v>Cocinero</v>
      </c>
      <c r="O379" s="1106">
        <v>1.02087691000006E+18</v>
      </c>
      <c r="P379" s="1107">
        <f>NOMINA!W344</f>
        <v>85.5</v>
      </c>
      <c r="Q379" s="1108">
        <f>NOMINA!AG344</f>
        <v>6.32</v>
      </c>
      <c r="R379" s="1108">
        <f>NOMINA!AI344</f>
        <v>65</v>
      </c>
      <c r="S379" s="1108">
        <f>NOMINA!AK344</f>
        <v>0</v>
      </c>
      <c r="T379" s="1108">
        <f>+NOMINA!AO344</f>
        <v>12.5</v>
      </c>
      <c r="U379" s="1108">
        <f>+NOMINA!AQ344</f>
        <v>0</v>
      </c>
      <c r="V379" s="1108">
        <f>+NOMINA!AR344</f>
        <v>0</v>
      </c>
      <c r="W379" s="1108">
        <f>+NOMINA!AS344</f>
        <v>0</v>
      </c>
      <c r="X379" s="1108">
        <f>ROUND(NOMINA!AW344,2)</f>
        <v>0</v>
      </c>
      <c r="Y379" s="1108">
        <f>ROUND(NOMINA!AX344,2)</f>
        <v>0</v>
      </c>
      <c r="Z379" s="1108">
        <f>ROUND(NOMINA!BB344,2)+ROUND(NOMINA!BF344,2)</f>
        <v>32.619999999999997</v>
      </c>
      <c r="AA379" s="1108">
        <f>ROUND(NOMINA!BK344,2)</f>
        <v>0</v>
      </c>
      <c r="AB379" s="1108">
        <f>+NOMINA!BJ344</f>
        <v>0</v>
      </c>
      <c r="AC379" s="1108">
        <f>ROUND(NOMINA!BG344,2)</f>
        <v>310</v>
      </c>
      <c r="AD379" s="1711">
        <f t="shared" si="21"/>
        <v>511.94</v>
      </c>
      <c r="AF379" s="625"/>
    </row>
    <row r="380" spans="1:32" s="620" customFormat="1" ht="20.100000000000001" customHeight="1" thickBot="1" x14ac:dyDescent="0.25">
      <c r="A380" s="758" t="s">
        <v>2846</v>
      </c>
      <c r="B380" s="508">
        <f t="shared" si="22"/>
        <v>41</v>
      </c>
      <c r="C380" s="1102">
        <f>NOMINA!C345</f>
        <v>12047016</v>
      </c>
      <c r="D380" s="1103" t="str">
        <f>NOMINA!D345</f>
        <v>Lozada de Estenoz Maria Edicta</v>
      </c>
      <c r="E380" s="1468" t="s">
        <v>4622</v>
      </c>
      <c r="F380" s="1110">
        <v>32351</v>
      </c>
      <c r="G380" s="1468" t="s">
        <v>4620</v>
      </c>
      <c r="H380" s="1442">
        <f>NOMINA!H345</f>
        <v>42948</v>
      </c>
      <c r="I380" s="1105">
        <f>NOMINA!I345</f>
        <v>8</v>
      </c>
      <c r="J380" s="1106">
        <f>NOMINA!J345</f>
        <v>0</v>
      </c>
      <c r="K380" s="1105">
        <f t="shared" si="23"/>
        <v>8</v>
      </c>
      <c r="L380" s="1106" t="s">
        <v>4932</v>
      </c>
      <c r="M380" s="1106"/>
      <c r="N380" s="1443" t="str">
        <f>NOMINA!O345</f>
        <v>Cocinera</v>
      </c>
      <c r="O380" s="1106">
        <v>1.02087691000006E+18</v>
      </c>
      <c r="P380" s="1107">
        <f>NOMINA!W345</f>
        <v>85.5</v>
      </c>
      <c r="Q380" s="1108">
        <f>NOMINA!AG345</f>
        <v>7.35</v>
      </c>
      <c r="R380" s="1108">
        <f>NOMINA!AI345</f>
        <v>65</v>
      </c>
      <c r="S380" s="1108">
        <f>NOMINA!AK345</f>
        <v>0</v>
      </c>
      <c r="T380" s="1108">
        <f>+NOMINA!AO345</f>
        <v>0</v>
      </c>
      <c r="U380" s="1108">
        <f>+NOMINA!AQ345</f>
        <v>0</v>
      </c>
      <c r="V380" s="1108">
        <f>+NOMINA!AR345</f>
        <v>0</v>
      </c>
      <c r="W380" s="1108">
        <f>+NOMINA!AS345</f>
        <v>0</v>
      </c>
      <c r="X380" s="1108">
        <f>ROUND(NOMINA!AW345,2)</f>
        <v>0</v>
      </c>
      <c r="Y380" s="1108">
        <f>ROUND(NOMINA!AX345,2)</f>
        <v>0</v>
      </c>
      <c r="Z380" s="1108">
        <f>ROUND(NOMINA!BB345,2)+ROUND(NOMINA!BF345,2)</f>
        <v>0</v>
      </c>
      <c r="AA380" s="1108">
        <f>ROUND(NOMINA!BK345,2)</f>
        <v>0</v>
      </c>
      <c r="AB380" s="1108">
        <f>+NOMINA!BJ345</f>
        <v>0</v>
      </c>
      <c r="AC380" s="1108">
        <f>ROUND(NOMINA!BG345,2)</f>
        <v>310</v>
      </c>
      <c r="AD380" s="1711">
        <f t="shared" si="21"/>
        <v>467.85</v>
      </c>
      <c r="AF380" s="625"/>
    </row>
    <row r="381" spans="1:32" s="620" customFormat="1" ht="20.100000000000001" customHeight="1" thickBot="1" x14ac:dyDescent="0.25">
      <c r="A381" s="758" t="s">
        <v>2846</v>
      </c>
      <c r="B381" s="508">
        <f t="shared" si="22"/>
        <v>42</v>
      </c>
      <c r="C381" s="1102">
        <f>NOMINA!C346</f>
        <v>12797215</v>
      </c>
      <c r="D381" s="1103" t="str">
        <f>NOMINA!D346</f>
        <v>Briceño Matheus Yhonny Alberto</v>
      </c>
      <c r="E381" s="1468" t="s">
        <v>4622</v>
      </c>
      <c r="F381" s="1110">
        <v>32351</v>
      </c>
      <c r="G381" s="1468" t="s">
        <v>4620</v>
      </c>
      <c r="H381" s="1442">
        <f>NOMINA!H346</f>
        <v>45778</v>
      </c>
      <c r="I381" s="1105">
        <f>NOMINA!I346</f>
        <v>0</v>
      </c>
      <c r="J381" s="1106">
        <f>NOMINA!J346</f>
        <v>0</v>
      </c>
      <c r="K381" s="1105">
        <f t="shared" si="23"/>
        <v>0</v>
      </c>
      <c r="L381" s="1106" t="s">
        <v>4932</v>
      </c>
      <c r="M381" s="1106"/>
      <c r="N381" s="1443" t="str">
        <f>NOMINA!O346</f>
        <v>Aseador</v>
      </c>
      <c r="O381" s="1106">
        <v>1.02087691000006E+18</v>
      </c>
      <c r="P381" s="1107">
        <f>NOMINA!W346</f>
        <v>65</v>
      </c>
      <c r="Q381" s="1108">
        <f>NOMINA!AG346</f>
        <v>0</v>
      </c>
      <c r="R381" s="1108">
        <f>NOMINA!AI346</f>
        <v>65</v>
      </c>
      <c r="S381" s="1108">
        <f>NOMINA!AK346</f>
        <v>0</v>
      </c>
      <c r="T381" s="1108">
        <f>+NOMINA!AO346</f>
        <v>0</v>
      </c>
      <c r="U381" s="1108">
        <f>+NOMINA!AQ346</f>
        <v>0</v>
      </c>
      <c r="V381" s="1108">
        <f>+NOMINA!AR346</f>
        <v>0</v>
      </c>
      <c r="W381" s="1108">
        <f>+NOMINA!AS346</f>
        <v>0</v>
      </c>
      <c r="X381" s="1108">
        <f>ROUND(NOMINA!AW346,2)</f>
        <v>0</v>
      </c>
      <c r="Y381" s="1108">
        <f>ROUND(NOMINA!AX346,2)</f>
        <v>0</v>
      </c>
      <c r="Z381" s="1108">
        <f>ROUND(NOMINA!BB346,2)+ROUND(NOMINA!BF346,2)</f>
        <v>26</v>
      </c>
      <c r="AA381" s="1108">
        <f>ROUND(NOMINA!BK346,2)</f>
        <v>0</v>
      </c>
      <c r="AB381" s="1108">
        <f>+NOMINA!BJ346</f>
        <v>0</v>
      </c>
      <c r="AC381" s="1108">
        <f>ROUND(NOMINA!BG346,2)</f>
        <v>310</v>
      </c>
      <c r="AD381" s="1711">
        <f t="shared" si="21"/>
        <v>466</v>
      </c>
      <c r="AF381" s="625"/>
    </row>
    <row r="382" spans="1:32" s="620" customFormat="1" ht="20.100000000000001" customHeight="1" thickBot="1" x14ac:dyDescent="0.25">
      <c r="A382" s="758" t="s">
        <v>2846</v>
      </c>
      <c r="B382" s="508">
        <f t="shared" si="22"/>
        <v>43</v>
      </c>
      <c r="C382" s="1102">
        <f>NOMINA!C347</f>
        <v>12797543</v>
      </c>
      <c r="D382" s="1103" t="str">
        <f>NOMINA!D347</f>
        <v>Carrizo Blanco Doris Coromoto</v>
      </c>
      <c r="E382" s="1468" t="s">
        <v>4622</v>
      </c>
      <c r="F382" s="1110">
        <v>32351</v>
      </c>
      <c r="G382" s="1468" t="s">
        <v>4620</v>
      </c>
      <c r="H382" s="1442">
        <f>NOMINA!H347</f>
        <v>42948</v>
      </c>
      <c r="I382" s="1105">
        <f>NOMINA!I347</f>
        <v>8</v>
      </c>
      <c r="J382" s="1106">
        <f>NOMINA!J347</f>
        <v>0</v>
      </c>
      <c r="K382" s="1105">
        <f t="shared" si="23"/>
        <v>8</v>
      </c>
      <c r="L382" s="1106" t="s">
        <v>4932</v>
      </c>
      <c r="M382" s="1106"/>
      <c r="N382" s="1443" t="str">
        <f>NOMINA!O347</f>
        <v>Ayudante de Servicios Generales</v>
      </c>
      <c r="O382" s="1106">
        <v>1.02087691000006E+18</v>
      </c>
      <c r="P382" s="1107">
        <f>NOMINA!W347</f>
        <v>76</v>
      </c>
      <c r="Q382" s="1108">
        <f>NOMINA!AG347</f>
        <v>6.53</v>
      </c>
      <c r="R382" s="1108">
        <f>NOMINA!AI347</f>
        <v>65</v>
      </c>
      <c r="S382" s="1108">
        <f>NOMINA!AK347</f>
        <v>0</v>
      </c>
      <c r="T382" s="1108">
        <f>+NOMINA!AO347</f>
        <v>0</v>
      </c>
      <c r="U382" s="1108">
        <f>+NOMINA!AQ347</f>
        <v>0</v>
      </c>
      <c r="V382" s="1108">
        <f>+NOMINA!AR347</f>
        <v>0</v>
      </c>
      <c r="W382" s="1108">
        <f>+NOMINA!AS347</f>
        <v>12.5</v>
      </c>
      <c r="X382" s="1108">
        <f>ROUND(NOMINA!AW347,2)</f>
        <v>0</v>
      </c>
      <c r="Y382" s="1108">
        <f>ROUND(NOMINA!AX347,2)</f>
        <v>0</v>
      </c>
      <c r="Z382" s="1108">
        <f>ROUND(NOMINA!BB347,2)+ROUND(NOMINA!BF347,2)</f>
        <v>0</v>
      </c>
      <c r="AA382" s="1108">
        <f>ROUND(NOMINA!BK347,2)</f>
        <v>0</v>
      </c>
      <c r="AB382" s="1108">
        <f>+NOMINA!BJ347</f>
        <v>0</v>
      </c>
      <c r="AC382" s="1108">
        <f>ROUND(NOMINA!BG347,2)</f>
        <v>310</v>
      </c>
      <c r="AD382" s="1711">
        <f t="shared" si="21"/>
        <v>470.03</v>
      </c>
      <c r="AF382" s="625"/>
    </row>
    <row r="383" spans="1:32" s="620" customFormat="1" ht="20.100000000000001" customHeight="1" thickBot="1" x14ac:dyDescent="0.25">
      <c r="A383" s="758" t="s">
        <v>2846</v>
      </c>
      <c r="B383" s="508">
        <f t="shared" si="22"/>
        <v>44</v>
      </c>
      <c r="C383" s="1102">
        <f>NOMINA!C348</f>
        <v>12797598</v>
      </c>
      <c r="D383" s="1103" t="str">
        <f>NOMINA!D348</f>
        <v>Gutierrez Briceño Jose Gabriel</v>
      </c>
      <c r="E383" s="1468" t="s">
        <v>4622</v>
      </c>
      <c r="F383" s="1110">
        <v>32351</v>
      </c>
      <c r="G383" s="1468" t="s">
        <v>4620</v>
      </c>
      <c r="H383" s="1442">
        <f>NOMINA!H348</f>
        <v>44635</v>
      </c>
      <c r="I383" s="1105">
        <f>NOMINA!I348</f>
        <v>3</v>
      </c>
      <c r="J383" s="1106">
        <f>NOMINA!J348</f>
        <v>0</v>
      </c>
      <c r="K383" s="1105">
        <f t="shared" si="23"/>
        <v>3</v>
      </c>
      <c r="L383" s="1106" t="s">
        <v>4932</v>
      </c>
      <c r="M383" s="1106"/>
      <c r="N383" s="1443" t="str">
        <f>NOMINA!O348</f>
        <v>Cocinero</v>
      </c>
      <c r="O383" s="1106">
        <v>1.02087691000006E+18</v>
      </c>
      <c r="P383" s="1107">
        <f>NOMINA!W348</f>
        <v>85.5</v>
      </c>
      <c r="Q383" s="1108">
        <f>NOMINA!AG348</f>
        <v>2.56</v>
      </c>
      <c r="R383" s="1108">
        <f>NOMINA!AI348</f>
        <v>65</v>
      </c>
      <c r="S383" s="1108">
        <f>NOMINA!AK348</f>
        <v>0</v>
      </c>
      <c r="T383" s="1108">
        <f>+NOMINA!AO348</f>
        <v>12.5</v>
      </c>
      <c r="U383" s="1108">
        <f>+NOMINA!AQ348</f>
        <v>0</v>
      </c>
      <c r="V383" s="1108">
        <f>+NOMINA!AR348</f>
        <v>0</v>
      </c>
      <c r="W383" s="1108">
        <f>+NOMINA!AS348</f>
        <v>0</v>
      </c>
      <c r="X383" s="1108">
        <f>ROUND(NOMINA!AW348,2)</f>
        <v>0</v>
      </c>
      <c r="Y383" s="1108">
        <f>ROUND(NOMINA!AX348,2)</f>
        <v>0</v>
      </c>
      <c r="Z383" s="1108">
        <f>ROUND(NOMINA!BB348,2)+ROUND(NOMINA!BF348,2)</f>
        <v>31.86</v>
      </c>
      <c r="AA383" s="1108">
        <f>ROUND(NOMINA!BK348,2)</f>
        <v>0</v>
      </c>
      <c r="AB383" s="1108">
        <f>+NOMINA!BJ348</f>
        <v>0</v>
      </c>
      <c r="AC383" s="1108">
        <f>ROUND(NOMINA!BG348,2)</f>
        <v>310</v>
      </c>
      <c r="AD383" s="1711">
        <f t="shared" si="21"/>
        <v>507.42</v>
      </c>
      <c r="AF383" s="625"/>
    </row>
    <row r="384" spans="1:32" s="620" customFormat="1" ht="20.100000000000001" customHeight="1" thickBot="1" x14ac:dyDescent="0.25">
      <c r="A384" s="758" t="s">
        <v>2846</v>
      </c>
      <c r="B384" s="508">
        <f t="shared" si="22"/>
        <v>45</v>
      </c>
      <c r="C384" s="1102">
        <f>NOMINA!C349</f>
        <v>13049800</v>
      </c>
      <c r="D384" s="1103" t="str">
        <f>NOMINA!D349</f>
        <v>Artigas Sanchez Mereldes Corina</v>
      </c>
      <c r="E384" s="1468" t="s">
        <v>4622</v>
      </c>
      <c r="F384" s="1110">
        <v>32351</v>
      </c>
      <c r="G384" s="1468" t="s">
        <v>4620</v>
      </c>
      <c r="H384" s="1442">
        <f>NOMINA!H349</f>
        <v>42171</v>
      </c>
      <c r="I384" s="1105">
        <f>NOMINA!I349</f>
        <v>10</v>
      </c>
      <c r="J384" s="1106">
        <f>NOMINA!J349</f>
        <v>0</v>
      </c>
      <c r="K384" s="1105">
        <f t="shared" si="23"/>
        <v>10</v>
      </c>
      <c r="L384" s="1106" t="s">
        <v>4932</v>
      </c>
      <c r="M384" s="1106"/>
      <c r="N384" s="1443" t="str">
        <f>NOMINA!O349</f>
        <v>Aseadora</v>
      </c>
      <c r="O384" s="1106">
        <v>1.02087691000006E+18</v>
      </c>
      <c r="P384" s="1107">
        <f>NOMINA!W349</f>
        <v>65</v>
      </c>
      <c r="Q384" s="1108">
        <f>NOMINA!AG349</f>
        <v>7.15</v>
      </c>
      <c r="R384" s="1108">
        <f>NOMINA!AI349</f>
        <v>65</v>
      </c>
      <c r="S384" s="1108">
        <f>NOMINA!AK349</f>
        <v>0</v>
      </c>
      <c r="T384" s="1108">
        <f>+NOMINA!AO349</f>
        <v>0</v>
      </c>
      <c r="U384" s="1108">
        <f>+NOMINA!AQ349</f>
        <v>0</v>
      </c>
      <c r="V384" s="1108">
        <f>+NOMINA!AR349</f>
        <v>0</v>
      </c>
      <c r="W384" s="1108">
        <f>+NOMINA!AS349</f>
        <v>0</v>
      </c>
      <c r="X384" s="1108">
        <f>ROUND(NOMINA!AW349,2)</f>
        <v>0</v>
      </c>
      <c r="Y384" s="1108">
        <f>ROUND(NOMINA!AX349,2)</f>
        <v>0</v>
      </c>
      <c r="Z384" s="1108">
        <f>ROUND(NOMINA!BB349,2)+ROUND(NOMINA!BF349,2)</f>
        <v>0</v>
      </c>
      <c r="AA384" s="1108">
        <f>ROUND(NOMINA!BK349,2)</f>
        <v>0</v>
      </c>
      <c r="AB384" s="1108">
        <f>+NOMINA!BJ349</f>
        <v>0</v>
      </c>
      <c r="AC384" s="1108">
        <f>ROUND(NOMINA!BG349,2)</f>
        <v>310</v>
      </c>
      <c r="AD384" s="1711">
        <f t="shared" si="21"/>
        <v>447.15</v>
      </c>
      <c r="AF384" s="625"/>
    </row>
    <row r="385" spans="1:32" s="620" customFormat="1" ht="20.100000000000001" customHeight="1" thickBot="1" x14ac:dyDescent="0.25">
      <c r="A385" s="758" t="s">
        <v>2846</v>
      </c>
      <c r="B385" s="508">
        <f t="shared" si="22"/>
        <v>46</v>
      </c>
      <c r="C385" s="1102">
        <f>NOMINA!C350</f>
        <v>13376729</v>
      </c>
      <c r="D385" s="1103" t="str">
        <f>NOMINA!D350</f>
        <v>Briceño Aldana Yhon Mario</v>
      </c>
      <c r="E385" s="1468" t="s">
        <v>4622</v>
      </c>
      <c r="F385" s="1110">
        <v>32351</v>
      </c>
      <c r="G385" s="1468" t="s">
        <v>4620</v>
      </c>
      <c r="H385" s="1442">
        <f>NOMINA!H350</f>
        <v>42948</v>
      </c>
      <c r="I385" s="1105">
        <f>NOMINA!I350</f>
        <v>8</v>
      </c>
      <c r="J385" s="1106">
        <f>NOMINA!J350</f>
        <v>0</v>
      </c>
      <c r="K385" s="1105">
        <f t="shared" si="23"/>
        <v>8</v>
      </c>
      <c r="L385" s="1106" t="s">
        <v>4932</v>
      </c>
      <c r="M385" s="1106"/>
      <c r="N385" s="1443" t="str">
        <f>NOMINA!O350</f>
        <v>Vigilante</v>
      </c>
      <c r="O385" s="1106">
        <v>1.02087691000006E+18</v>
      </c>
      <c r="P385" s="1107">
        <f>NOMINA!W350</f>
        <v>85.5</v>
      </c>
      <c r="Q385" s="1108">
        <f>NOMINA!AG350</f>
        <v>7.35</v>
      </c>
      <c r="R385" s="1108">
        <f>NOMINA!AI350</f>
        <v>65</v>
      </c>
      <c r="S385" s="1108">
        <f>NOMINA!AK350</f>
        <v>0</v>
      </c>
      <c r="T385" s="1108">
        <f>+NOMINA!AO350</f>
        <v>0</v>
      </c>
      <c r="U385" s="1108">
        <f>+NOMINA!AQ350</f>
        <v>0</v>
      </c>
      <c r="V385" s="1108">
        <f>+NOMINA!AR350</f>
        <v>0</v>
      </c>
      <c r="W385" s="1108">
        <f>+NOMINA!AS350</f>
        <v>0</v>
      </c>
      <c r="X385" s="1108">
        <f>ROUND(NOMINA!AW350,2)</f>
        <v>98.46</v>
      </c>
      <c r="Y385" s="1108">
        <f>ROUND(NOMINA!AX350,2)</f>
        <v>0</v>
      </c>
      <c r="Z385" s="1108">
        <f>ROUND(NOMINA!BB350,2)+ROUND(NOMINA!BF350,2)</f>
        <v>0</v>
      </c>
      <c r="AA385" s="1108">
        <f>ROUND(NOMINA!BK350,2)</f>
        <v>0</v>
      </c>
      <c r="AB385" s="1108">
        <f>+NOMINA!BJ350</f>
        <v>0</v>
      </c>
      <c r="AC385" s="1108">
        <f>ROUND(NOMINA!BG350,2)</f>
        <v>310</v>
      </c>
      <c r="AD385" s="1711">
        <f t="shared" si="21"/>
        <v>566.30999999999995</v>
      </c>
      <c r="AF385" s="625"/>
    </row>
    <row r="386" spans="1:32" s="620" customFormat="1" ht="20.100000000000001" customHeight="1" thickBot="1" x14ac:dyDescent="0.25">
      <c r="A386" s="758" t="s">
        <v>2846</v>
      </c>
      <c r="B386" s="508">
        <f t="shared" si="22"/>
        <v>47</v>
      </c>
      <c r="C386" s="1102">
        <f>NOMINA!C351</f>
        <v>13404824</v>
      </c>
      <c r="D386" s="1103" t="str">
        <f>NOMINA!D351</f>
        <v>Malpica Rivas Julio Enrique</v>
      </c>
      <c r="E386" s="1468" t="s">
        <v>4622</v>
      </c>
      <c r="F386" s="1110">
        <v>32351</v>
      </c>
      <c r="G386" s="1468" t="s">
        <v>4620</v>
      </c>
      <c r="H386" s="1442">
        <f>NOMINA!H351</f>
        <v>45474</v>
      </c>
      <c r="I386" s="1105">
        <f>NOMINA!I351</f>
        <v>1</v>
      </c>
      <c r="J386" s="1106">
        <f>NOMINA!J351</f>
        <v>0</v>
      </c>
      <c r="K386" s="1105">
        <f t="shared" si="23"/>
        <v>1</v>
      </c>
      <c r="L386" s="1106" t="s">
        <v>4932</v>
      </c>
      <c r="M386" s="1106"/>
      <c r="N386" s="1443" t="str">
        <f>NOMINA!O351</f>
        <v>Ayudante de Servicios Generales</v>
      </c>
      <c r="O386" s="1106">
        <v>1.02087691000006E+18</v>
      </c>
      <c r="P386" s="1107">
        <f>NOMINA!W351</f>
        <v>76</v>
      </c>
      <c r="Q386" s="1108">
        <f>NOMINA!AG351</f>
        <v>0.76</v>
      </c>
      <c r="R386" s="1108">
        <f>NOMINA!AI351</f>
        <v>65</v>
      </c>
      <c r="S386" s="1108">
        <f>NOMINA!AK351</f>
        <v>0</v>
      </c>
      <c r="T386" s="1108">
        <f>+NOMINA!AO351</f>
        <v>0</v>
      </c>
      <c r="U386" s="1108">
        <f>+NOMINA!AQ351</f>
        <v>0</v>
      </c>
      <c r="V386" s="1108">
        <f>+NOMINA!AR351</f>
        <v>0</v>
      </c>
      <c r="W386" s="1108">
        <f>+NOMINA!AS351</f>
        <v>0</v>
      </c>
      <c r="X386" s="1108">
        <f>ROUND(NOMINA!AW351,2)</f>
        <v>0</v>
      </c>
      <c r="Y386" s="1108">
        <f>ROUND(NOMINA!AX351,2)</f>
        <v>0</v>
      </c>
      <c r="Z386" s="1108">
        <f>ROUND(NOMINA!BB351,2)+ROUND(NOMINA!BF351,2)</f>
        <v>14.18</v>
      </c>
      <c r="AA386" s="1108">
        <f>ROUND(NOMINA!BK351,2)</f>
        <v>0</v>
      </c>
      <c r="AB386" s="1108">
        <f>+NOMINA!BJ351</f>
        <v>0</v>
      </c>
      <c r="AC386" s="1108">
        <f>ROUND(NOMINA!BG351,2)</f>
        <v>310</v>
      </c>
      <c r="AD386" s="1711">
        <f t="shared" si="21"/>
        <v>465.94</v>
      </c>
      <c r="AF386" s="625"/>
    </row>
    <row r="387" spans="1:32" s="620" customFormat="1" ht="20.100000000000001" customHeight="1" thickBot="1" x14ac:dyDescent="0.25">
      <c r="A387" s="758" t="s">
        <v>2846</v>
      </c>
      <c r="B387" s="508">
        <f t="shared" si="22"/>
        <v>48</v>
      </c>
      <c r="C387" s="1102">
        <f>NOMINA!C352</f>
        <v>13745328</v>
      </c>
      <c r="D387" s="1103" t="str">
        <f>NOMINA!D352</f>
        <v>Arroyo Williams Jose</v>
      </c>
      <c r="E387" s="1468" t="s">
        <v>4622</v>
      </c>
      <c r="F387" s="1110">
        <v>32351</v>
      </c>
      <c r="G387" s="1468" t="s">
        <v>4620</v>
      </c>
      <c r="H387" s="1442">
        <f>NOMINA!H352</f>
        <v>44805</v>
      </c>
      <c r="I387" s="1105">
        <f>NOMINA!I352</f>
        <v>3</v>
      </c>
      <c r="J387" s="1106">
        <f>NOMINA!J352</f>
        <v>0</v>
      </c>
      <c r="K387" s="1105">
        <f t="shared" si="23"/>
        <v>3</v>
      </c>
      <c r="L387" s="1106" t="s">
        <v>4932</v>
      </c>
      <c r="M387" s="1106"/>
      <c r="N387" s="1443" t="str">
        <f>NOMINA!O352</f>
        <v>Ayudante de Servicios Generales</v>
      </c>
      <c r="O387" s="1106">
        <v>1.02087691000006E+18</v>
      </c>
      <c r="P387" s="1107">
        <f>NOMINA!W352</f>
        <v>76</v>
      </c>
      <c r="Q387" s="1108">
        <f>NOMINA!AG352</f>
        <v>2.2799999999999998</v>
      </c>
      <c r="R387" s="1108">
        <f>NOMINA!AI352</f>
        <v>65</v>
      </c>
      <c r="S387" s="1108">
        <f>NOMINA!AK352</f>
        <v>0</v>
      </c>
      <c r="T387" s="1108">
        <f>+NOMINA!AO352</f>
        <v>0</v>
      </c>
      <c r="U387" s="1108">
        <f>+NOMINA!AQ352</f>
        <v>0</v>
      </c>
      <c r="V387" s="1108">
        <f>+NOMINA!AR352</f>
        <v>0</v>
      </c>
      <c r="W387" s="1108">
        <f>+NOMINA!AS352</f>
        <v>0</v>
      </c>
      <c r="X387" s="1108">
        <f>ROUND(NOMINA!AW352,2)</f>
        <v>89.72</v>
      </c>
      <c r="Y387" s="1108">
        <f>ROUND(NOMINA!AX352,2)</f>
        <v>3110.24</v>
      </c>
      <c r="Z387" s="1108">
        <f>ROUND(NOMINA!BB352,2)+ROUND(NOMINA!BF352,2)</f>
        <v>0</v>
      </c>
      <c r="AA387" s="1108">
        <f>ROUND(NOMINA!BK352,2)</f>
        <v>0</v>
      </c>
      <c r="AB387" s="1108">
        <f>+NOMINA!BJ352</f>
        <v>0</v>
      </c>
      <c r="AC387" s="1108">
        <f>ROUND(NOMINA!BG352,2)</f>
        <v>310</v>
      </c>
      <c r="AD387" s="1711">
        <f t="shared" si="21"/>
        <v>3653.24</v>
      </c>
      <c r="AF387" s="625"/>
    </row>
    <row r="388" spans="1:32" s="620" customFormat="1" ht="20.100000000000001" customHeight="1" thickBot="1" x14ac:dyDescent="0.25">
      <c r="A388" s="758" t="s">
        <v>2846</v>
      </c>
      <c r="B388" s="508">
        <f t="shared" si="22"/>
        <v>49</v>
      </c>
      <c r="C388" s="1102">
        <f>NOMINA!C353</f>
        <v>13996661</v>
      </c>
      <c r="D388" s="1103" t="str">
        <f>NOMINA!D353</f>
        <v>Perez Montilla Yosmer Alexander</v>
      </c>
      <c r="E388" s="1468" t="s">
        <v>4622</v>
      </c>
      <c r="F388" s="1110">
        <v>32351</v>
      </c>
      <c r="G388" s="1468" t="s">
        <v>4620</v>
      </c>
      <c r="H388" s="1442">
        <f>NOMINA!H353</f>
        <v>44743</v>
      </c>
      <c r="I388" s="1105">
        <f>NOMINA!I353</f>
        <v>3</v>
      </c>
      <c r="J388" s="1106">
        <f>NOMINA!J353</f>
        <v>14</v>
      </c>
      <c r="K388" s="1105">
        <f t="shared" si="23"/>
        <v>17</v>
      </c>
      <c r="L388" s="1106" t="s">
        <v>4932</v>
      </c>
      <c r="M388" s="1106"/>
      <c r="N388" s="1443" t="str">
        <f>NOMINA!O353</f>
        <v>Chofer</v>
      </c>
      <c r="O388" s="1106">
        <v>1.02087691000006E+18</v>
      </c>
      <c r="P388" s="1107">
        <f>NOMINA!W353</f>
        <v>80.5</v>
      </c>
      <c r="Q388" s="1108">
        <f>NOMINA!AG353</f>
        <v>17.059999999999999</v>
      </c>
      <c r="R388" s="1108">
        <f>NOMINA!AI353</f>
        <v>65</v>
      </c>
      <c r="S388" s="1108">
        <f>NOMINA!AK353</f>
        <v>0</v>
      </c>
      <c r="T388" s="1108">
        <f>+NOMINA!AO353</f>
        <v>12.5</v>
      </c>
      <c r="U388" s="1108">
        <f>+NOMINA!AQ353</f>
        <v>0</v>
      </c>
      <c r="V388" s="1108">
        <f>+NOMINA!AR353</f>
        <v>0</v>
      </c>
      <c r="W388" s="1108">
        <f>+NOMINA!AS353</f>
        <v>0</v>
      </c>
      <c r="X388" s="1108">
        <f>ROUND(NOMINA!AW353,2)</f>
        <v>101.29</v>
      </c>
      <c r="Y388" s="1108">
        <f>ROUND(NOMINA!AX353,2)</f>
        <v>0</v>
      </c>
      <c r="Z388" s="1108">
        <f>ROUND(NOMINA!BB353,2)+ROUND(NOMINA!BF353,2)</f>
        <v>43.89</v>
      </c>
      <c r="AA388" s="1108">
        <f>ROUND(NOMINA!BK353,2)</f>
        <v>0</v>
      </c>
      <c r="AB388" s="1108">
        <f>+NOMINA!BJ353</f>
        <v>0</v>
      </c>
      <c r="AC388" s="1108">
        <f>ROUND(NOMINA!BG353,2)</f>
        <v>310</v>
      </c>
      <c r="AD388" s="1711">
        <f t="shared" si="21"/>
        <v>630.24</v>
      </c>
      <c r="AF388" s="625"/>
    </row>
    <row r="389" spans="1:32" s="620" customFormat="1" ht="20.100000000000001" customHeight="1" thickBot="1" x14ac:dyDescent="0.25">
      <c r="A389" s="758" t="s">
        <v>2846</v>
      </c>
      <c r="B389" s="508">
        <f t="shared" si="22"/>
        <v>50</v>
      </c>
      <c r="C389" s="1102">
        <f>NOMINA!C354</f>
        <v>13996885</v>
      </c>
      <c r="D389" s="1103" t="str">
        <f>NOMINA!D354</f>
        <v>Pulido Rojo Wilmer Jose</v>
      </c>
      <c r="E389" s="1468" t="s">
        <v>4622</v>
      </c>
      <c r="F389" s="1110">
        <v>32351</v>
      </c>
      <c r="G389" s="1468" t="s">
        <v>4620</v>
      </c>
      <c r="H389" s="1442">
        <f>NOMINA!H354</f>
        <v>44363</v>
      </c>
      <c r="I389" s="1105">
        <f>NOMINA!I354</f>
        <v>4</v>
      </c>
      <c r="J389" s="1106">
        <f>NOMINA!J354</f>
        <v>0</v>
      </c>
      <c r="K389" s="1105">
        <f t="shared" si="23"/>
        <v>4</v>
      </c>
      <c r="L389" s="1106" t="s">
        <v>4932</v>
      </c>
      <c r="M389" s="1106"/>
      <c r="N389" s="1443" t="str">
        <f>NOMINA!O354</f>
        <v>Chofer</v>
      </c>
      <c r="O389" s="1106">
        <v>1.02087691000006E+18</v>
      </c>
      <c r="P389" s="1107">
        <f>NOMINA!W354</f>
        <v>80.5</v>
      </c>
      <c r="Q389" s="1108">
        <f>NOMINA!AG354</f>
        <v>3.22</v>
      </c>
      <c r="R389" s="1108">
        <f>NOMINA!AI354</f>
        <v>65</v>
      </c>
      <c r="S389" s="1108">
        <f>NOMINA!AK354</f>
        <v>0</v>
      </c>
      <c r="T389" s="1108">
        <f>+NOMINA!AO354</f>
        <v>0</v>
      </c>
      <c r="U389" s="1108">
        <f>+NOMINA!AQ354</f>
        <v>0</v>
      </c>
      <c r="V389" s="1108">
        <f>+NOMINA!AR354</f>
        <v>0</v>
      </c>
      <c r="W389" s="1108">
        <f>+NOMINA!AS354</f>
        <v>0</v>
      </c>
      <c r="X389" s="1108">
        <f>ROUND(NOMINA!AW354,2)</f>
        <v>89.23</v>
      </c>
      <c r="Y389" s="1108">
        <f>ROUND(NOMINA!AX354,2)</f>
        <v>0</v>
      </c>
      <c r="Z389" s="1108">
        <f>ROUND(NOMINA!BB354,2)+ROUND(NOMINA!BF354,2)</f>
        <v>0</v>
      </c>
      <c r="AA389" s="1108">
        <f>ROUND(NOMINA!BK354,2)</f>
        <v>0</v>
      </c>
      <c r="AB389" s="1108">
        <f>+NOMINA!BJ354</f>
        <v>0</v>
      </c>
      <c r="AC389" s="1108">
        <f>ROUND(NOMINA!BG354,2)</f>
        <v>310</v>
      </c>
      <c r="AD389" s="1711">
        <f t="shared" si="21"/>
        <v>547.95000000000005</v>
      </c>
      <c r="AF389" s="625"/>
    </row>
    <row r="390" spans="1:32" s="620" customFormat="1" ht="20.100000000000001" customHeight="1" thickBot="1" x14ac:dyDescent="0.25">
      <c r="A390" s="758" t="s">
        <v>2846</v>
      </c>
      <c r="B390" s="508">
        <f t="shared" si="22"/>
        <v>51</v>
      </c>
      <c r="C390" s="1102">
        <f>NOMINA!C355</f>
        <v>14149971</v>
      </c>
      <c r="D390" s="1103" t="str">
        <f>NOMINA!D355</f>
        <v>Rivera Virginia del Carmen</v>
      </c>
      <c r="E390" s="1468" t="s">
        <v>4622</v>
      </c>
      <c r="F390" s="1110">
        <v>32351</v>
      </c>
      <c r="G390" s="1468" t="s">
        <v>4620</v>
      </c>
      <c r="H390" s="1442">
        <f>NOMINA!H355</f>
        <v>41091</v>
      </c>
      <c r="I390" s="1105">
        <f>NOMINA!I355</f>
        <v>13</v>
      </c>
      <c r="J390" s="1106">
        <f>NOMINA!J355</f>
        <v>0</v>
      </c>
      <c r="K390" s="1105">
        <f t="shared" si="23"/>
        <v>13</v>
      </c>
      <c r="L390" s="1106" t="s">
        <v>4932</v>
      </c>
      <c r="M390" s="1106"/>
      <c r="N390" s="1443" t="str">
        <f>NOMINA!O355</f>
        <v>Aseadora</v>
      </c>
      <c r="O390" s="1106">
        <v>1.02087691000006E+18</v>
      </c>
      <c r="P390" s="1107">
        <f>NOMINA!W355</f>
        <v>65</v>
      </c>
      <c r="Q390" s="1108">
        <f>NOMINA!AG355</f>
        <v>9.8800000000000008</v>
      </c>
      <c r="R390" s="1108">
        <f>NOMINA!AI355</f>
        <v>65</v>
      </c>
      <c r="S390" s="1108">
        <f>NOMINA!AK355</f>
        <v>0</v>
      </c>
      <c r="T390" s="1108">
        <f>+NOMINA!AO355</f>
        <v>0</v>
      </c>
      <c r="U390" s="1108">
        <f>+NOMINA!AQ355</f>
        <v>0</v>
      </c>
      <c r="V390" s="1108">
        <f>+NOMINA!AR355</f>
        <v>0</v>
      </c>
      <c r="W390" s="1108">
        <f>+NOMINA!AS355</f>
        <v>0</v>
      </c>
      <c r="X390" s="1108">
        <f>ROUND(NOMINA!AW355,2)</f>
        <v>0</v>
      </c>
      <c r="Y390" s="1108">
        <f>ROUND(NOMINA!AX355,2)</f>
        <v>0</v>
      </c>
      <c r="Z390" s="1108">
        <f>ROUND(NOMINA!BB355,2)+ROUND(NOMINA!BF355,2)</f>
        <v>0</v>
      </c>
      <c r="AA390" s="1108">
        <f>ROUND(NOMINA!BK355,2)</f>
        <v>0</v>
      </c>
      <c r="AB390" s="1108">
        <f>+NOMINA!BJ355</f>
        <v>0</v>
      </c>
      <c r="AC390" s="1108">
        <f>ROUND(NOMINA!BG355,2)</f>
        <v>310</v>
      </c>
      <c r="AD390" s="1711">
        <f t="shared" si="21"/>
        <v>449.88</v>
      </c>
      <c r="AF390" s="625"/>
    </row>
    <row r="391" spans="1:32" s="620" customFormat="1" ht="20.100000000000001" customHeight="1" thickBot="1" x14ac:dyDescent="0.25">
      <c r="A391" s="758" t="s">
        <v>2846</v>
      </c>
      <c r="B391" s="508">
        <f t="shared" si="22"/>
        <v>52</v>
      </c>
      <c r="C391" s="1102">
        <f>NOMINA!C356</f>
        <v>14150495</v>
      </c>
      <c r="D391" s="1103" t="str">
        <f>NOMINA!D356</f>
        <v>Umbria de Segovia Alexandra del Carmen</v>
      </c>
      <c r="E391" s="1468" t="s">
        <v>4622</v>
      </c>
      <c r="F391" s="1110">
        <v>32351</v>
      </c>
      <c r="G391" s="1468" t="s">
        <v>4620</v>
      </c>
      <c r="H391" s="1442">
        <f>NOMINA!H356</f>
        <v>44228</v>
      </c>
      <c r="I391" s="1105">
        <f>NOMINA!I356</f>
        <v>4</v>
      </c>
      <c r="J391" s="1106">
        <f>NOMINA!J356</f>
        <v>0</v>
      </c>
      <c r="K391" s="1105">
        <f t="shared" si="23"/>
        <v>4</v>
      </c>
      <c r="L391" s="1106" t="s">
        <v>4932</v>
      </c>
      <c r="M391" s="1106"/>
      <c r="N391" s="1443" t="str">
        <f>NOMINA!O356</f>
        <v>Ayudante de Almacen</v>
      </c>
      <c r="O391" s="1106">
        <v>1.02087691000006E+18</v>
      </c>
      <c r="P391" s="1107">
        <f>NOMINA!W356</f>
        <v>85.5</v>
      </c>
      <c r="Q391" s="1108">
        <f>NOMINA!AG356</f>
        <v>3.42</v>
      </c>
      <c r="R391" s="1108">
        <f>NOMINA!AI356</f>
        <v>65</v>
      </c>
      <c r="S391" s="1108">
        <f>NOMINA!AK356</f>
        <v>0</v>
      </c>
      <c r="T391" s="1108">
        <f>+NOMINA!AO356</f>
        <v>0</v>
      </c>
      <c r="U391" s="1108">
        <f>+NOMINA!AQ356</f>
        <v>0</v>
      </c>
      <c r="V391" s="1108">
        <f>+NOMINA!AR356</f>
        <v>0</v>
      </c>
      <c r="W391" s="1108">
        <f>+NOMINA!AS356</f>
        <v>0</v>
      </c>
      <c r="X391" s="1108">
        <f>ROUND(NOMINA!AW356,2)</f>
        <v>0</v>
      </c>
      <c r="Y391" s="1108">
        <f>ROUND(NOMINA!AX356,2)</f>
        <v>0</v>
      </c>
      <c r="Z391" s="1108">
        <f>ROUND(NOMINA!BB356,2)+ROUND(NOMINA!BF356,2)</f>
        <v>0</v>
      </c>
      <c r="AA391" s="1108">
        <f>ROUND(NOMINA!BK356,2)</f>
        <v>0</v>
      </c>
      <c r="AB391" s="1108">
        <f>+NOMINA!BJ356</f>
        <v>0</v>
      </c>
      <c r="AC391" s="1108">
        <f>ROUND(NOMINA!BG356,2)</f>
        <v>310</v>
      </c>
      <c r="AD391" s="1711">
        <f t="shared" si="21"/>
        <v>463.92</v>
      </c>
      <c r="AF391" s="625"/>
    </row>
    <row r="392" spans="1:32" s="620" customFormat="1" ht="20.100000000000001" customHeight="1" thickBot="1" x14ac:dyDescent="0.25">
      <c r="A392" s="758" t="s">
        <v>2846</v>
      </c>
      <c r="B392" s="508">
        <f t="shared" si="22"/>
        <v>53</v>
      </c>
      <c r="C392" s="1102">
        <f>NOMINA!C357</f>
        <v>14718369</v>
      </c>
      <c r="D392" s="1103" t="str">
        <f>NOMINA!D357</f>
        <v>Pacheco Yudith del Valle</v>
      </c>
      <c r="E392" s="1468" t="s">
        <v>4622</v>
      </c>
      <c r="F392" s="1110">
        <v>32351</v>
      </c>
      <c r="G392" s="1468" t="s">
        <v>4620</v>
      </c>
      <c r="H392" s="1442">
        <f>NOMINA!H357</f>
        <v>43147</v>
      </c>
      <c r="I392" s="1105">
        <f>NOMINA!I357</f>
        <v>7</v>
      </c>
      <c r="J392" s="1106">
        <f>NOMINA!J357</f>
        <v>0</v>
      </c>
      <c r="K392" s="1105">
        <f t="shared" si="23"/>
        <v>7</v>
      </c>
      <c r="L392" s="1106" t="s">
        <v>4932</v>
      </c>
      <c r="M392" s="1106"/>
      <c r="N392" s="1443" t="str">
        <f>NOMINA!O357</f>
        <v>Aseadora</v>
      </c>
      <c r="O392" s="1106">
        <v>1.02087691000006E+18</v>
      </c>
      <c r="P392" s="1107">
        <f>NOMINA!W357</f>
        <v>65</v>
      </c>
      <c r="Q392" s="1108">
        <f>NOMINA!AG357</f>
        <v>4.8099999999999996</v>
      </c>
      <c r="R392" s="1108">
        <f>NOMINA!AI357</f>
        <v>65</v>
      </c>
      <c r="S392" s="1108">
        <f>NOMINA!AK357</f>
        <v>0</v>
      </c>
      <c r="T392" s="1108">
        <f>+NOMINA!AO357</f>
        <v>0</v>
      </c>
      <c r="U392" s="1108">
        <f>+NOMINA!AQ357</f>
        <v>0</v>
      </c>
      <c r="V392" s="1108">
        <f>+NOMINA!AR357</f>
        <v>0</v>
      </c>
      <c r="W392" s="1108">
        <f>+NOMINA!AS357</f>
        <v>0</v>
      </c>
      <c r="X392" s="1108">
        <f>ROUND(NOMINA!AW357,2)</f>
        <v>0</v>
      </c>
      <c r="Y392" s="1108">
        <f>ROUND(NOMINA!AX357,2)</f>
        <v>0</v>
      </c>
      <c r="Z392" s="1108">
        <f>ROUND(NOMINA!BB357,2)+ROUND(NOMINA!BF357,2)</f>
        <v>0</v>
      </c>
      <c r="AA392" s="1108">
        <f>ROUND(NOMINA!BK357,2)</f>
        <v>0</v>
      </c>
      <c r="AB392" s="1108">
        <f>+NOMINA!BJ357</f>
        <v>0</v>
      </c>
      <c r="AC392" s="1108">
        <f>ROUND(NOMINA!BG357,2)</f>
        <v>310</v>
      </c>
      <c r="AD392" s="1711">
        <f t="shared" si="21"/>
        <v>444.81</v>
      </c>
      <c r="AF392" s="625"/>
    </row>
    <row r="393" spans="1:32" s="620" customFormat="1" ht="20.100000000000001" customHeight="1" thickBot="1" x14ac:dyDescent="0.25">
      <c r="A393" s="758" t="s">
        <v>2846</v>
      </c>
      <c r="B393" s="508">
        <f t="shared" si="22"/>
        <v>54</v>
      </c>
      <c r="C393" s="1102">
        <f>NOMINA!C358</f>
        <v>14718468</v>
      </c>
      <c r="D393" s="1103" t="str">
        <f>NOMINA!D358</f>
        <v>Frias Aldana Yhonny Ramon</v>
      </c>
      <c r="E393" s="1468" t="s">
        <v>4622</v>
      </c>
      <c r="F393" s="1110">
        <v>32351</v>
      </c>
      <c r="G393" s="1468" t="s">
        <v>4620</v>
      </c>
      <c r="H393" s="1442">
        <f>NOMINA!H358</f>
        <v>42948</v>
      </c>
      <c r="I393" s="1105">
        <f>NOMINA!I358</f>
        <v>8</v>
      </c>
      <c r="J393" s="1106">
        <f>NOMINA!J358</f>
        <v>0</v>
      </c>
      <c r="K393" s="1105">
        <f t="shared" si="23"/>
        <v>8</v>
      </c>
      <c r="L393" s="1106" t="s">
        <v>4932</v>
      </c>
      <c r="M393" s="1106"/>
      <c r="N393" s="1443" t="str">
        <f>NOMINA!O358</f>
        <v>Ayudante De Almacen</v>
      </c>
      <c r="O393" s="1106">
        <v>1.02087691000006E+18</v>
      </c>
      <c r="P393" s="1107">
        <f>NOMINA!W358</f>
        <v>85.5</v>
      </c>
      <c r="Q393" s="1108">
        <f>NOMINA!AG358</f>
        <v>7.35</v>
      </c>
      <c r="R393" s="1108">
        <f>NOMINA!AI358</f>
        <v>65</v>
      </c>
      <c r="S393" s="1108">
        <f>NOMINA!AK358</f>
        <v>0</v>
      </c>
      <c r="T393" s="1108">
        <f>+NOMINA!AO358</f>
        <v>12.5</v>
      </c>
      <c r="U393" s="1108">
        <f>+NOMINA!AQ358</f>
        <v>0</v>
      </c>
      <c r="V393" s="1108">
        <f>+NOMINA!AR358</f>
        <v>0</v>
      </c>
      <c r="W393" s="1108">
        <f>+NOMINA!AS358</f>
        <v>0</v>
      </c>
      <c r="X393" s="1108">
        <f>ROUND(NOMINA!AW358,2)</f>
        <v>0</v>
      </c>
      <c r="Y393" s="1108">
        <f>ROUND(NOMINA!AX358,2)</f>
        <v>0</v>
      </c>
      <c r="Z393" s="1108">
        <f>ROUND(NOMINA!BB358,2)+ROUND(NOMINA!BF358,2)</f>
        <v>0</v>
      </c>
      <c r="AA393" s="1108">
        <f>ROUND(NOMINA!BK358,2)</f>
        <v>0</v>
      </c>
      <c r="AB393" s="1108">
        <f>+NOMINA!BJ358</f>
        <v>0</v>
      </c>
      <c r="AC393" s="1108">
        <f>ROUND(NOMINA!BG358,2)</f>
        <v>310</v>
      </c>
      <c r="AD393" s="1711">
        <f t="shared" si="21"/>
        <v>480.35</v>
      </c>
      <c r="AF393" s="625"/>
    </row>
    <row r="394" spans="1:32" s="620" customFormat="1" ht="20.100000000000001" customHeight="1" thickBot="1" x14ac:dyDescent="0.25">
      <c r="A394" s="758" t="s">
        <v>2846</v>
      </c>
      <c r="B394" s="508">
        <f t="shared" si="22"/>
        <v>55</v>
      </c>
      <c r="C394" s="1102">
        <f>NOMINA!C359</f>
        <v>14719205</v>
      </c>
      <c r="D394" s="1103" t="str">
        <f>NOMINA!D359</f>
        <v>Chinchilla Perez Jean Carlos</v>
      </c>
      <c r="E394" s="1468" t="s">
        <v>4622</v>
      </c>
      <c r="F394" s="1110">
        <v>32351</v>
      </c>
      <c r="G394" s="1468" t="s">
        <v>4620</v>
      </c>
      <c r="H394" s="1442">
        <f>NOMINA!H359</f>
        <v>39861</v>
      </c>
      <c r="I394" s="1105">
        <f>NOMINA!I359</f>
        <v>16</v>
      </c>
      <c r="J394" s="1106">
        <f>NOMINA!J359</f>
        <v>0</v>
      </c>
      <c r="K394" s="1105">
        <f t="shared" si="23"/>
        <v>16</v>
      </c>
      <c r="L394" s="1106" t="s">
        <v>4932</v>
      </c>
      <c r="M394" s="1106"/>
      <c r="N394" s="1443" t="str">
        <f>NOMINA!O359</f>
        <v>Ayudante de Servicios Generales</v>
      </c>
      <c r="O394" s="1106">
        <v>1.02087691000006E+18</v>
      </c>
      <c r="P394" s="1107">
        <f>NOMINA!W359</f>
        <v>76</v>
      </c>
      <c r="Q394" s="1108">
        <f>NOMINA!AG359</f>
        <v>14.89</v>
      </c>
      <c r="R394" s="1108">
        <f>NOMINA!AI359</f>
        <v>65</v>
      </c>
      <c r="S394" s="1108">
        <f>NOMINA!AK359</f>
        <v>0</v>
      </c>
      <c r="T394" s="1108">
        <f>+NOMINA!AO359</f>
        <v>0</v>
      </c>
      <c r="U394" s="1108">
        <f>+NOMINA!AQ359</f>
        <v>12.5</v>
      </c>
      <c r="V394" s="1108">
        <f>+NOMINA!AR359</f>
        <v>0</v>
      </c>
      <c r="W394" s="1108">
        <f>+NOMINA!AS359</f>
        <v>0</v>
      </c>
      <c r="X394" s="1108">
        <f>ROUND(NOMINA!AW359,2)</f>
        <v>0</v>
      </c>
      <c r="Y394" s="1108">
        <f>ROUND(NOMINA!AX359,2)</f>
        <v>0</v>
      </c>
      <c r="Z394" s="1108">
        <f>ROUND(NOMINA!BB359,2)+ROUND(NOMINA!BF359,2)</f>
        <v>0</v>
      </c>
      <c r="AA394" s="1108">
        <f>ROUND(NOMINA!BK359,2)</f>
        <v>0</v>
      </c>
      <c r="AB394" s="1108">
        <f>+NOMINA!BJ359</f>
        <v>0</v>
      </c>
      <c r="AC394" s="1108">
        <f>ROUND(NOMINA!BG359,2)</f>
        <v>310</v>
      </c>
      <c r="AD394" s="1711">
        <f t="shared" si="21"/>
        <v>478.39</v>
      </c>
      <c r="AF394" s="625"/>
    </row>
    <row r="395" spans="1:32" s="620" customFormat="1" ht="20.100000000000001" customHeight="1" thickBot="1" x14ac:dyDescent="0.25">
      <c r="A395" s="758" t="s">
        <v>2846</v>
      </c>
      <c r="B395" s="508">
        <f t="shared" si="22"/>
        <v>56</v>
      </c>
      <c r="C395" s="1102">
        <f>NOMINA!C360</f>
        <v>14719356</v>
      </c>
      <c r="D395" s="1103" t="str">
        <f>NOMINA!D360</f>
        <v>Linares Montilla Gerardo Enrique</v>
      </c>
      <c r="E395" s="1468" t="s">
        <v>4622</v>
      </c>
      <c r="F395" s="1110">
        <v>32351</v>
      </c>
      <c r="G395" s="1468" t="s">
        <v>4620</v>
      </c>
      <c r="H395" s="1442">
        <f>NOMINA!H360</f>
        <v>44348</v>
      </c>
      <c r="I395" s="1105">
        <f>NOMINA!I360</f>
        <v>4</v>
      </c>
      <c r="J395" s="1106">
        <f>NOMINA!J360</f>
        <v>0</v>
      </c>
      <c r="K395" s="1105">
        <f t="shared" si="23"/>
        <v>4</v>
      </c>
      <c r="L395" s="1106" t="s">
        <v>4932</v>
      </c>
      <c r="M395" s="1106"/>
      <c r="N395" s="1443" t="str">
        <f>NOMINA!O360</f>
        <v>Ayudante de Servicios Generales</v>
      </c>
      <c r="O395" s="1106">
        <v>1.02087691000006E+18</v>
      </c>
      <c r="P395" s="1107">
        <f>NOMINA!W360</f>
        <v>76</v>
      </c>
      <c r="Q395" s="1108">
        <f>NOMINA!AG360</f>
        <v>3.04</v>
      </c>
      <c r="R395" s="1108">
        <f>NOMINA!AI360</f>
        <v>65</v>
      </c>
      <c r="S395" s="1108">
        <f>NOMINA!AK360</f>
        <v>0</v>
      </c>
      <c r="T395" s="1108">
        <f>+NOMINA!AO360</f>
        <v>0</v>
      </c>
      <c r="U395" s="1108">
        <f>+NOMINA!AQ360</f>
        <v>0</v>
      </c>
      <c r="V395" s="1108">
        <f>+NOMINA!AR360</f>
        <v>0</v>
      </c>
      <c r="W395" s="1108">
        <f>+NOMINA!AS360</f>
        <v>0</v>
      </c>
      <c r="X395" s="1108">
        <f>ROUND(NOMINA!AW360,2)</f>
        <v>0</v>
      </c>
      <c r="Y395" s="1108">
        <f>ROUND(NOMINA!AX360,2)</f>
        <v>0</v>
      </c>
      <c r="Z395" s="1108">
        <f>ROUND(NOMINA!BB360,2)+ROUND(NOMINA!BF360,2)</f>
        <v>0</v>
      </c>
      <c r="AA395" s="1108">
        <f>ROUND(NOMINA!BK360,2)</f>
        <v>0</v>
      </c>
      <c r="AB395" s="1108">
        <f>+NOMINA!BJ360</f>
        <v>0</v>
      </c>
      <c r="AC395" s="1108">
        <f>ROUND(NOMINA!BG360,2)</f>
        <v>310</v>
      </c>
      <c r="AD395" s="1711">
        <f t="shared" si="21"/>
        <v>454.04</v>
      </c>
      <c r="AF395" s="625"/>
    </row>
    <row r="396" spans="1:32" s="620" customFormat="1" ht="20.100000000000001" customHeight="1" thickBot="1" x14ac:dyDescent="0.25">
      <c r="A396" s="758" t="s">
        <v>2846</v>
      </c>
      <c r="B396" s="508">
        <f t="shared" si="22"/>
        <v>57</v>
      </c>
      <c r="C396" s="1102">
        <f>NOMINA!C361</f>
        <v>14780893</v>
      </c>
      <c r="D396" s="1103" t="str">
        <f>NOMINA!D361</f>
        <v>Perez Gonzalez Reinaldo Andre</v>
      </c>
      <c r="E396" s="1468" t="s">
        <v>4622</v>
      </c>
      <c r="F396" s="1110">
        <v>32351</v>
      </c>
      <c r="G396" s="1468" t="s">
        <v>4620</v>
      </c>
      <c r="H396" s="1442">
        <f>NOMINA!H361</f>
        <v>41570</v>
      </c>
      <c r="I396" s="1105">
        <f>NOMINA!I361</f>
        <v>11</v>
      </c>
      <c r="J396" s="1106">
        <f>NOMINA!J361</f>
        <v>0</v>
      </c>
      <c r="K396" s="1105">
        <f t="shared" si="23"/>
        <v>11</v>
      </c>
      <c r="L396" s="1106" t="s">
        <v>4932</v>
      </c>
      <c r="M396" s="1106"/>
      <c r="N396" s="1443" t="str">
        <f>NOMINA!O361</f>
        <v>Ayudante de Servicios Generales</v>
      </c>
      <c r="O396" s="1106">
        <v>1.02087691000006E+18</v>
      </c>
      <c r="P396" s="1107">
        <f>NOMINA!W361</f>
        <v>76</v>
      </c>
      <c r="Q396" s="1108">
        <f>NOMINA!AG361</f>
        <v>9.42</v>
      </c>
      <c r="R396" s="1108">
        <f>NOMINA!AI361</f>
        <v>65</v>
      </c>
      <c r="S396" s="1108">
        <f>NOMINA!AK361</f>
        <v>0</v>
      </c>
      <c r="T396" s="1108">
        <f>+NOMINA!AO361</f>
        <v>0</v>
      </c>
      <c r="U396" s="1108">
        <f>+NOMINA!AQ361</f>
        <v>0</v>
      </c>
      <c r="V396" s="1108">
        <f>+NOMINA!AR361</f>
        <v>0</v>
      </c>
      <c r="W396" s="1108">
        <f>+NOMINA!AS361</f>
        <v>0</v>
      </c>
      <c r="X396" s="1108">
        <f>ROUND(NOMINA!AW361,2)</f>
        <v>0</v>
      </c>
      <c r="Y396" s="1108">
        <f>ROUND(NOMINA!AX361,2)</f>
        <v>0</v>
      </c>
      <c r="Z396" s="1108">
        <f>ROUND(NOMINA!BB361,2)+ROUND(NOMINA!BF361,2)</f>
        <v>0</v>
      </c>
      <c r="AA396" s="1108">
        <f>ROUND(NOMINA!BK361,2)</f>
        <v>0</v>
      </c>
      <c r="AB396" s="1108">
        <f>+NOMINA!BJ361</f>
        <v>0</v>
      </c>
      <c r="AC396" s="1108">
        <f>ROUND(NOMINA!BG361,2)</f>
        <v>310</v>
      </c>
      <c r="AD396" s="1711">
        <f t="shared" si="21"/>
        <v>460.42</v>
      </c>
      <c r="AF396" s="625"/>
    </row>
    <row r="397" spans="1:32" s="620" customFormat="1" ht="20.100000000000001" customHeight="1" thickBot="1" x14ac:dyDescent="0.25">
      <c r="A397" s="758" t="s">
        <v>2846</v>
      </c>
      <c r="B397" s="508">
        <f t="shared" si="22"/>
        <v>58</v>
      </c>
      <c r="C397" s="1102">
        <f>NOMINA!C362</f>
        <v>14928047</v>
      </c>
      <c r="D397" s="1103" t="str">
        <f>NOMINA!D362</f>
        <v>Becerra Teran Maria Alejandra</v>
      </c>
      <c r="E397" s="1468" t="s">
        <v>4622</v>
      </c>
      <c r="F397" s="1110">
        <v>32351</v>
      </c>
      <c r="G397" s="1468" t="s">
        <v>4620</v>
      </c>
      <c r="H397" s="1442">
        <f>NOMINA!H362</f>
        <v>43297</v>
      </c>
      <c r="I397" s="1105">
        <f>NOMINA!I362</f>
        <v>7</v>
      </c>
      <c r="J397" s="1106">
        <f>NOMINA!J362</f>
        <v>0</v>
      </c>
      <c r="K397" s="1105">
        <f t="shared" si="23"/>
        <v>7</v>
      </c>
      <c r="L397" s="1106" t="s">
        <v>4932</v>
      </c>
      <c r="M397" s="1106"/>
      <c r="N397" s="1443" t="str">
        <f>NOMINA!O362</f>
        <v>Cocinera</v>
      </c>
      <c r="O397" s="1106">
        <v>1.02087691000006E+18</v>
      </c>
      <c r="P397" s="1107">
        <f>NOMINA!W362</f>
        <v>85.5</v>
      </c>
      <c r="Q397" s="1108">
        <f>NOMINA!AG362</f>
        <v>6.32</v>
      </c>
      <c r="R397" s="1108">
        <f>NOMINA!AI362</f>
        <v>65</v>
      </c>
      <c r="S397" s="1108">
        <f>NOMINA!AK362</f>
        <v>0</v>
      </c>
      <c r="T397" s="1108">
        <f>+NOMINA!AO362</f>
        <v>0</v>
      </c>
      <c r="U397" s="1108">
        <f>+NOMINA!AQ362</f>
        <v>0</v>
      </c>
      <c r="V397" s="1108">
        <f>+NOMINA!AR362</f>
        <v>0</v>
      </c>
      <c r="W397" s="1108">
        <f>+NOMINA!AS362</f>
        <v>0</v>
      </c>
      <c r="X397" s="1108">
        <f>ROUND(NOMINA!AW362,2)</f>
        <v>0</v>
      </c>
      <c r="Y397" s="1108">
        <f>ROUND(NOMINA!AX362,2)</f>
        <v>0</v>
      </c>
      <c r="Z397" s="1108">
        <f>ROUND(NOMINA!BB362,2)+ROUND(NOMINA!BF362,2)</f>
        <v>15.68</v>
      </c>
      <c r="AA397" s="1108">
        <f>ROUND(NOMINA!BK362,2)</f>
        <v>0</v>
      </c>
      <c r="AB397" s="1108">
        <f>+NOMINA!BJ362</f>
        <v>0</v>
      </c>
      <c r="AC397" s="1108">
        <f>ROUND(NOMINA!BG362,2)</f>
        <v>310</v>
      </c>
      <c r="AD397" s="1711">
        <f t="shared" si="21"/>
        <v>482.5</v>
      </c>
      <c r="AF397" s="625"/>
    </row>
    <row r="398" spans="1:32" s="620" customFormat="1" ht="20.100000000000001" customHeight="1" thickBot="1" x14ac:dyDescent="0.25">
      <c r="A398" s="758" t="s">
        <v>2846</v>
      </c>
      <c r="B398" s="508">
        <f t="shared" si="22"/>
        <v>59</v>
      </c>
      <c r="C398" s="1102">
        <f>NOMINA!C363</f>
        <v>15042683</v>
      </c>
      <c r="D398" s="1103" t="str">
        <f>NOMINA!D363</f>
        <v>Rivera Hermes Edixon</v>
      </c>
      <c r="E398" s="1468" t="s">
        <v>4622</v>
      </c>
      <c r="F398" s="1110">
        <v>32351</v>
      </c>
      <c r="G398" s="1468" t="s">
        <v>4620</v>
      </c>
      <c r="H398" s="1442">
        <f>NOMINA!H363</f>
        <v>45292</v>
      </c>
      <c r="I398" s="1105">
        <f>NOMINA!I363</f>
        <v>1</v>
      </c>
      <c r="J398" s="1106">
        <f>NOMINA!J363</f>
        <v>0</v>
      </c>
      <c r="K398" s="1105">
        <f t="shared" si="23"/>
        <v>1</v>
      </c>
      <c r="L398" s="1106" t="s">
        <v>4932</v>
      </c>
      <c r="M398" s="1106"/>
      <c r="N398" s="1443" t="str">
        <f>NOMINA!O363</f>
        <v>Aseador</v>
      </c>
      <c r="O398" s="1106">
        <v>1.02087691000006E+18</v>
      </c>
      <c r="P398" s="1107">
        <f>NOMINA!W363</f>
        <v>65</v>
      </c>
      <c r="Q398" s="1108">
        <f>NOMINA!AG363</f>
        <v>0.65</v>
      </c>
      <c r="R398" s="1108">
        <f>NOMINA!AI363</f>
        <v>65</v>
      </c>
      <c r="S398" s="1108">
        <f>NOMINA!AK363</f>
        <v>0</v>
      </c>
      <c r="T398" s="1108">
        <f>+NOMINA!AO363</f>
        <v>12.5</v>
      </c>
      <c r="U398" s="1108">
        <f>+NOMINA!AQ363</f>
        <v>0</v>
      </c>
      <c r="V398" s="1108">
        <f>+NOMINA!AR363</f>
        <v>0</v>
      </c>
      <c r="W398" s="1108">
        <f>+NOMINA!AS363</f>
        <v>0</v>
      </c>
      <c r="X398" s="1108">
        <f>ROUND(NOMINA!AW363,2)</f>
        <v>0</v>
      </c>
      <c r="Y398" s="1108">
        <f>ROUND(NOMINA!AX363,2)</f>
        <v>0</v>
      </c>
      <c r="Z398" s="1108">
        <f>ROUND(NOMINA!BB363,2)+ROUND(NOMINA!BF363,2)</f>
        <v>13.69</v>
      </c>
      <c r="AA398" s="1108">
        <f>ROUND(NOMINA!BK363,2)</f>
        <v>0</v>
      </c>
      <c r="AB398" s="1108">
        <f>+NOMINA!BJ363</f>
        <v>0</v>
      </c>
      <c r="AC398" s="1108">
        <f>ROUND(NOMINA!BG363,2)</f>
        <v>310</v>
      </c>
      <c r="AD398" s="1711">
        <f t="shared" si="21"/>
        <v>466.84000000000003</v>
      </c>
      <c r="AF398" s="625"/>
    </row>
    <row r="399" spans="1:32" s="620" customFormat="1" ht="20.100000000000001" customHeight="1" thickBot="1" x14ac:dyDescent="0.25">
      <c r="A399" s="758" t="s">
        <v>2846</v>
      </c>
      <c r="B399" s="508">
        <f t="shared" si="22"/>
        <v>60</v>
      </c>
      <c r="C399" s="1102">
        <f>NOMINA!C364</f>
        <v>15293784</v>
      </c>
      <c r="D399" s="1103" t="str">
        <f>NOMINA!D364</f>
        <v>Meza Alipio Jose</v>
      </c>
      <c r="E399" s="1468" t="s">
        <v>4622</v>
      </c>
      <c r="F399" s="1110">
        <v>32351</v>
      </c>
      <c r="G399" s="1468" t="s">
        <v>4620</v>
      </c>
      <c r="H399" s="1442">
        <f>NOMINA!H364</f>
        <v>45778</v>
      </c>
      <c r="I399" s="1105">
        <f>NOMINA!I364</f>
        <v>0</v>
      </c>
      <c r="J399" s="1106">
        <f>NOMINA!J364</f>
        <v>0</v>
      </c>
      <c r="K399" s="1105">
        <f t="shared" si="23"/>
        <v>0</v>
      </c>
      <c r="L399" s="1106" t="s">
        <v>4932</v>
      </c>
      <c r="M399" s="1106"/>
      <c r="N399" s="1443" t="str">
        <f>NOMINA!O364</f>
        <v>Aseador</v>
      </c>
      <c r="O399" s="1106">
        <v>1.02087691000006E+18</v>
      </c>
      <c r="P399" s="1107">
        <f>NOMINA!W364</f>
        <v>65</v>
      </c>
      <c r="Q399" s="1108">
        <f>NOMINA!AG364</f>
        <v>0</v>
      </c>
      <c r="R399" s="1108">
        <f>NOMINA!AI364</f>
        <v>65</v>
      </c>
      <c r="S399" s="1108">
        <f>NOMINA!AK364</f>
        <v>0</v>
      </c>
      <c r="T399" s="1108">
        <f>+NOMINA!AO364</f>
        <v>0</v>
      </c>
      <c r="U399" s="1108">
        <f>+NOMINA!AQ364</f>
        <v>0</v>
      </c>
      <c r="V399" s="1108">
        <f>+NOMINA!AR364</f>
        <v>0</v>
      </c>
      <c r="W399" s="1108">
        <f>+NOMINA!AS364</f>
        <v>0</v>
      </c>
      <c r="X399" s="1108">
        <f>ROUND(NOMINA!AW364,2)</f>
        <v>0</v>
      </c>
      <c r="Y399" s="1108">
        <f>ROUND(NOMINA!AX364,2)</f>
        <v>0</v>
      </c>
      <c r="Z399" s="1108">
        <f>ROUND(NOMINA!BB364,2)+ROUND(NOMINA!BF364,2)</f>
        <v>26</v>
      </c>
      <c r="AA399" s="1108">
        <f>ROUND(NOMINA!BK364,2)</f>
        <v>0</v>
      </c>
      <c r="AB399" s="1108">
        <f>+NOMINA!BJ364</f>
        <v>0</v>
      </c>
      <c r="AC399" s="1108">
        <f>ROUND(NOMINA!BG364,2)</f>
        <v>310</v>
      </c>
      <c r="AD399" s="1711">
        <f t="shared" si="21"/>
        <v>466</v>
      </c>
      <c r="AF399" s="625"/>
    </row>
    <row r="400" spans="1:32" s="620" customFormat="1" ht="20.100000000000001" customHeight="1" thickBot="1" x14ac:dyDescent="0.25">
      <c r="A400" s="758" t="s">
        <v>2846</v>
      </c>
      <c r="B400" s="508">
        <f t="shared" si="22"/>
        <v>61</v>
      </c>
      <c r="C400" s="1102">
        <f>NOMINA!C365</f>
        <v>15583194</v>
      </c>
      <c r="D400" s="1103" t="str">
        <f>NOMINA!D365</f>
        <v>Garcia Briceño Wuiston Andres</v>
      </c>
      <c r="E400" s="1468" t="s">
        <v>4622</v>
      </c>
      <c r="F400" s="1110">
        <v>32351</v>
      </c>
      <c r="G400" s="1468" t="s">
        <v>4620</v>
      </c>
      <c r="H400" s="1442">
        <f>NOMINA!H365</f>
        <v>44166</v>
      </c>
      <c r="I400" s="1105">
        <f>NOMINA!I365</f>
        <v>4</v>
      </c>
      <c r="J400" s="1106">
        <f>NOMINA!J365</f>
        <v>8</v>
      </c>
      <c r="K400" s="1105">
        <f t="shared" si="23"/>
        <v>12</v>
      </c>
      <c r="L400" s="1106" t="s">
        <v>4932</v>
      </c>
      <c r="M400" s="1106"/>
      <c r="N400" s="1443" t="str">
        <f>NOMINA!O365</f>
        <v>Cocinero</v>
      </c>
      <c r="O400" s="1106">
        <v>1.02087691000006E+18</v>
      </c>
      <c r="P400" s="1107">
        <f>NOMINA!W365</f>
        <v>85.5</v>
      </c>
      <c r="Q400" s="1108">
        <f>NOMINA!AG365</f>
        <v>11.8</v>
      </c>
      <c r="R400" s="1108">
        <f>NOMINA!AI365</f>
        <v>65</v>
      </c>
      <c r="S400" s="1108">
        <f>NOMINA!AK365</f>
        <v>0</v>
      </c>
      <c r="T400" s="1108">
        <f>+NOMINA!AO365</f>
        <v>12.5</v>
      </c>
      <c r="U400" s="1108">
        <f>+NOMINA!AQ365</f>
        <v>0</v>
      </c>
      <c r="V400" s="1108">
        <f>+NOMINA!AR365</f>
        <v>0</v>
      </c>
      <c r="W400" s="1108">
        <f>+NOMINA!AS365</f>
        <v>0</v>
      </c>
      <c r="X400" s="1108">
        <f>ROUND(NOMINA!AW365,2)</f>
        <v>0</v>
      </c>
      <c r="Y400" s="1108">
        <f>ROUND(NOMINA!AX365,2)</f>
        <v>0</v>
      </c>
      <c r="Z400" s="1108">
        <f>ROUND(NOMINA!BB365,2)+ROUND(NOMINA!BF365,2)</f>
        <v>0</v>
      </c>
      <c r="AA400" s="1108">
        <f>ROUND(NOMINA!BK365,2)</f>
        <v>0</v>
      </c>
      <c r="AB400" s="1108">
        <f>+NOMINA!BJ365</f>
        <v>0</v>
      </c>
      <c r="AC400" s="1108">
        <f>ROUND(NOMINA!BG365,2)</f>
        <v>310</v>
      </c>
      <c r="AD400" s="1711">
        <f t="shared" si="21"/>
        <v>484.8</v>
      </c>
      <c r="AF400" s="625"/>
    </row>
    <row r="401" spans="1:32" s="620" customFormat="1" ht="20.100000000000001" customHeight="1" thickBot="1" x14ac:dyDescent="0.25">
      <c r="A401" s="758" t="s">
        <v>2846</v>
      </c>
      <c r="B401" s="508">
        <f t="shared" si="22"/>
        <v>62</v>
      </c>
      <c r="C401" s="1102">
        <f>NOMINA!C366</f>
        <v>14928592</v>
      </c>
      <c r="D401" s="1103" t="str">
        <f>NOMINA!D366</f>
        <v>Rosales Ruiz Jesus Alberto</v>
      </c>
      <c r="E401" s="1468" t="s">
        <v>4622</v>
      </c>
      <c r="F401" s="1110">
        <v>32351</v>
      </c>
      <c r="G401" s="1468" t="s">
        <v>4620</v>
      </c>
      <c r="H401" s="1442">
        <f>NOMINA!H366</f>
        <v>45017</v>
      </c>
      <c r="I401" s="1105">
        <f>NOMINA!I366</f>
        <v>2</v>
      </c>
      <c r="J401" s="1106">
        <f>NOMINA!J366</f>
        <v>0</v>
      </c>
      <c r="K401" s="1105">
        <f t="shared" si="23"/>
        <v>2</v>
      </c>
      <c r="L401" s="1106" t="s">
        <v>4932</v>
      </c>
      <c r="M401" s="1106"/>
      <c r="N401" s="1443" t="str">
        <f>NOMINA!O366</f>
        <v>Cocinero</v>
      </c>
      <c r="O401" s="1106">
        <v>1.02087691000006E+18</v>
      </c>
      <c r="P401" s="1107">
        <f>NOMINA!W366</f>
        <v>85.5</v>
      </c>
      <c r="Q401" s="1108">
        <f>NOMINA!AG366</f>
        <v>1.71</v>
      </c>
      <c r="R401" s="1108">
        <f>NOMINA!AI366</f>
        <v>65</v>
      </c>
      <c r="S401" s="1108">
        <f>NOMINA!AK366</f>
        <v>0</v>
      </c>
      <c r="T401" s="1108">
        <f>+NOMINA!AO366</f>
        <v>0</v>
      </c>
      <c r="U401" s="1108">
        <f>+NOMINA!AQ366</f>
        <v>0</v>
      </c>
      <c r="V401" s="1108">
        <f>+NOMINA!AR366</f>
        <v>0</v>
      </c>
      <c r="W401" s="1108">
        <f>+NOMINA!AS366</f>
        <v>0</v>
      </c>
      <c r="X401" s="1108">
        <f>ROUND(NOMINA!AW366,2)</f>
        <v>0</v>
      </c>
      <c r="Y401" s="1108">
        <f>ROUND(NOMINA!AX366,2)</f>
        <v>0</v>
      </c>
      <c r="Z401" s="1108">
        <f>ROUND(NOMINA!BB366,2)+ROUND(NOMINA!BF366,2)</f>
        <v>30.44</v>
      </c>
      <c r="AA401" s="1108">
        <f>ROUND(NOMINA!BK366,2)</f>
        <v>0</v>
      </c>
      <c r="AB401" s="1108">
        <f>+NOMINA!BJ366</f>
        <v>0</v>
      </c>
      <c r="AC401" s="1108">
        <f>ROUND(NOMINA!BG366,2)</f>
        <v>310</v>
      </c>
      <c r="AD401" s="1711">
        <f t="shared" si="21"/>
        <v>492.65</v>
      </c>
      <c r="AF401" s="625"/>
    </row>
    <row r="402" spans="1:32" s="620" customFormat="1" ht="20.100000000000001" customHeight="1" thickBot="1" x14ac:dyDescent="0.25">
      <c r="A402" s="758" t="s">
        <v>2846</v>
      </c>
      <c r="B402" s="508">
        <f t="shared" si="22"/>
        <v>63</v>
      </c>
      <c r="C402" s="1102">
        <f>NOMINA!C367</f>
        <v>15952512</v>
      </c>
      <c r="D402" s="1103" t="str">
        <f>NOMINA!D367</f>
        <v>Graterol Gonzalez Maria Ysela</v>
      </c>
      <c r="E402" s="1468" t="s">
        <v>4622</v>
      </c>
      <c r="F402" s="1110">
        <v>32351</v>
      </c>
      <c r="G402" s="1468" t="s">
        <v>4620</v>
      </c>
      <c r="H402" s="1442">
        <f>NOMINA!H367</f>
        <v>40725</v>
      </c>
      <c r="I402" s="1105">
        <f>NOMINA!I367</f>
        <v>14</v>
      </c>
      <c r="J402" s="1106">
        <f>NOMINA!J367</f>
        <v>0</v>
      </c>
      <c r="K402" s="1105">
        <f t="shared" si="23"/>
        <v>14</v>
      </c>
      <c r="L402" s="1106" t="s">
        <v>4932</v>
      </c>
      <c r="M402" s="1106"/>
      <c r="N402" s="1443" t="str">
        <f>NOMINA!O367</f>
        <v>Aseadora</v>
      </c>
      <c r="O402" s="1106">
        <v>1.02087691000006E+18</v>
      </c>
      <c r="P402" s="1107">
        <f>NOMINA!W367</f>
        <v>65</v>
      </c>
      <c r="Q402" s="1108">
        <f>NOMINA!AG367</f>
        <v>10.79</v>
      </c>
      <c r="R402" s="1108">
        <f>NOMINA!AI367</f>
        <v>65</v>
      </c>
      <c r="S402" s="1108">
        <f>NOMINA!AK367</f>
        <v>0</v>
      </c>
      <c r="T402" s="1108">
        <f>+NOMINA!AO367</f>
        <v>0</v>
      </c>
      <c r="U402" s="1108">
        <f>+NOMINA!AQ367</f>
        <v>0</v>
      </c>
      <c r="V402" s="1108">
        <f>+NOMINA!AR367</f>
        <v>0</v>
      </c>
      <c r="W402" s="1108">
        <f>+NOMINA!AS367</f>
        <v>0</v>
      </c>
      <c r="X402" s="1108">
        <f>ROUND(NOMINA!AW367,2)</f>
        <v>0</v>
      </c>
      <c r="Y402" s="1108">
        <f>ROUND(NOMINA!AX367,2)</f>
        <v>0</v>
      </c>
      <c r="Z402" s="1108">
        <f>ROUND(NOMINA!BB367,2)+ROUND(NOMINA!BF367,2)</f>
        <v>0</v>
      </c>
      <c r="AA402" s="1108">
        <f>ROUND(NOMINA!BK367,2)</f>
        <v>0</v>
      </c>
      <c r="AB402" s="1108">
        <f>+NOMINA!BJ367</f>
        <v>0</v>
      </c>
      <c r="AC402" s="1108">
        <f>ROUND(NOMINA!BG367,2)</f>
        <v>310</v>
      </c>
      <c r="AD402" s="1711">
        <f t="shared" si="21"/>
        <v>450.78999999999996</v>
      </c>
      <c r="AF402" s="625"/>
    </row>
    <row r="403" spans="1:32" s="620" customFormat="1" ht="20.100000000000001" customHeight="1" thickBot="1" x14ac:dyDescent="0.25">
      <c r="A403" s="758" t="s">
        <v>2846</v>
      </c>
      <c r="B403" s="508">
        <f t="shared" si="22"/>
        <v>64</v>
      </c>
      <c r="C403" s="1102">
        <f>NOMINA!C368</f>
        <v>15953703</v>
      </c>
      <c r="D403" s="1103" t="str">
        <f>NOMINA!D368</f>
        <v>Briceño Salas Jose Leonardo</v>
      </c>
      <c r="E403" s="1468" t="s">
        <v>4622</v>
      </c>
      <c r="F403" s="1110">
        <v>32351</v>
      </c>
      <c r="G403" s="1468" t="s">
        <v>4620</v>
      </c>
      <c r="H403" s="1442">
        <f>NOMINA!H368</f>
        <v>38718</v>
      </c>
      <c r="I403" s="1105">
        <f>NOMINA!I368</f>
        <v>19</v>
      </c>
      <c r="J403" s="1106">
        <f>NOMINA!J368</f>
        <v>0</v>
      </c>
      <c r="K403" s="1105">
        <f t="shared" si="23"/>
        <v>19</v>
      </c>
      <c r="L403" s="1106" t="s">
        <v>4932</v>
      </c>
      <c r="M403" s="1106"/>
      <c r="N403" s="1443" t="str">
        <f>NOMINA!O368</f>
        <v>Ayudante de Servicios Generales</v>
      </c>
      <c r="O403" s="1106">
        <v>1.02087691000006E+18</v>
      </c>
      <c r="P403" s="1107">
        <f>NOMINA!W368</f>
        <v>76</v>
      </c>
      <c r="Q403" s="1108">
        <f>NOMINA!AG368</f>
        <v>18.54</v>
      </c>
      <c r="R403" s="1108">
        <f>NOMINA!AI368</f>
        <v>65</v>
      </c>
      <c r="S403" s="1108">
        <f>NOMINA!AK368</f>
        <v>0</v>
      </c>
      <c r="T403" s="1108">
        <f>+NOMINA!AO368</f>
        <v>0</v>
      </c>
      <c r="U403" s="1108">
        <f>+NOMINA!AQ368</f>
        <v>0</v>
      </c>
      <c r="V403" s="1108">
        <f>+NOMINA!AR368</f>
        <v>0</v>
      </c>
      <c r="W403" s="1108">
        <f>+NOMINA!AS368</f>
        <v>0</v>
      </c>
      <c r="X403" s="1108">
        <f>ROUND(NOMINA!AW368,2)</f>
        <v>0</v>
      </c>
      <c r="Y403" s="1108">
        <f>ROUND(NOMINA!AX368,2)</f>
        <v>0</v>
      </c>
      <c r="Z403" s="1108">
        <f>ROUND(NOMINA!BB368,2)+ROUND(NOMINA!BF368,2)</f>
        <v>0</v>
      </c>
      <c r="AA403" s="1108">
        <f>ROUND(NOMINA!BK368,2)</f>
        <v>0</v>
      </c>
      <c r="AB403" s="1108">
        <f>+NOMINA!BJ368</f>
        <v>0</v>
      </c>
      <c r="AC403" s="1108">
        <f>ROUND(NOMINA!BG368,2)</f>
        <v>310</v>
      </c>
      <c r="AD403" s="1711">
        <f t="shared" si="21"/>
        <v>469.53999999999996</v>
      </c>
      <c r="AF403" s="625"/>
    </row>
    <row r="404" spans="1:32" s="620" customFormat="1" ht="20.100000000000001" customHeight="1" thickBot="1" x14ac:dyDescent="0.25">
      <c r="A404" s="758" t="s">
        <v>2846</v>
      </c>
      <c r="B404" s="508">
        <f t="shared" si="22"/>
        <v>65</v>
      </c>
      <c r="C404" s="1102">
        <f>NOMINA!C369</f>
        <v>16266801</v>
      </c>
      <c r="D404" s="1103" t="str">
        <f>NOMINA!D369</f>
        <v>Briceño Gonzalez Mirla Carolina</v>
      </c>
      <c r="E404" s="1468" t="s">
        <v>4622</v>
      </c>
      <c r="F404" s="1110">
        <v>32351</v>
      </c>
      <c r="G404" s="1468" t="s">
        <v>4620</v>
      </c>
      <c r="H404" s="1442">
        <f>NOMINA!H369</f>
        <v>39496</v>
      </c>
      <c r="I404" s="1105">
        <f>NOMINA!I369</f>
        <v>17</v>
      </c>
      <c r="J404" s="1106">
        <f>NOMINA!J369</f>
        <v>0</v>
      </c>
      <c r="K404" s="1105">
        <f t="shared" si="23"/>
        <v>17</v>
      </c>
      <c r="L404" s="1106" t="s">
        <v>4932</v>
      </c>
      <c r="M404" s="1106"/>
      <c r="N404" s="1443" t="str">
        <f>NOMINA!O369</f>
        <v>Cocinera</v>
      </c>
      <c r="O404" s="1106">
        <v>1.02087691000006E+18</v>
      </c>
      <c r="P404" s="1107">
        <f>NOMINA!W369</f>
        <v>85.5</v>
      </c>
      <c r="Q404" s="1108">
        <f>NOMINA!AG369</f>
        <v>18.12</v>
      </c>
      <c r="R404" s="1108">
        <f>NOMINA!AI369</f>
        <v>65</v>
      </c>
      <c r="S404" s="1108">
        <f>NOMINA!AK369</f>
        <v>0</v>
      </c>
      <c r="T404" s="1108">
        <f>+NOMINA!AO369</f>
        <v>12.5</v>
      </c>
      <c r="U404" s="1108">
        <f>+NOMINA!AQ369</f>
        <v>0</v>
      </c>
      <c r="V404" s="1108">
        <f>+NOMINA!AR369</f>
        <v>0</v>
      </c>
      <c r="W404" s="1108">
        <f>+NOMINA!AS369</f>
        <v>0</v>
      </c>
      <c r="X404" s="1108">
        <f>ROUND(NOMINA!AW369,2)</f>
        <v>0</v>
      </c>
      <c r="Y404" s="1108">
        <f>ROUND(NOMINA!AX369,2)</f>
        <v>0</v>
      </c>
      <c r="Z404" s="1108">
        <f>ROUND(NOMINA!BB369,2)+ROUND(NOMINA!BF369,2)</f>
        <v>0</v>
      </c>
      <c r="AA404" s="1108">
        <f>ROUND(NOMINA!BK369,2)</f>
        <v>0</v>
      </c>
      <c r="AB404" s="1108">
        <f>+NOMINA!BJ369</f>
        <v>0</v>
      </c>
      <c r="AC404" s="1108">
        <f>ROUND(NOMINA!BG369,2)</f>
        <v>310</v>
      </c>
      <c r="AD404" s="1711">
        <f t="shared" ref="AD404:AD431" si="24">+P404+Q404+R404+S404+X404+Y404+Z404+AC404+AA404+T404+U404+V404+W404+AB404</f>
        <v>491.12</v>
      </c>
      <c r="AF404" s="625"/>
    </row>
    <row r="405" spans="1:32" s="620" customFormat="1" ht="20.100000000000001" customHeight="1" thickBot="1" x14ac:dyDescent="0.25">
      <c r="A405" s="758" t="s">
        <v>2846</v>
      </c>
      <c r="B405" s="508">
        <f t="shared" ref="B405:B431" si="25">+B404+1</f>
        <v>66</v>
      </c>
      <c r="C405" s="1102">
        <f>NOMINA!C370</f>
        <v>16739958</v>
      </c>
      <c r="D405" s="1103" t="str">
        <f>NOMINA!D370</f>
        <v>Ramirez Ramirez Natali Gabriela</v>
      </c>
      <c r="E405" s="1468" t="s">
        <v>4622</v>
      </c>
      <c r="F405" s="1110">
        <v>32351</v>
      </c>
      <c r="G405" s="1468" t="s">
        <v>4620</v>
      </c>
      <c r="H405" s="1442">
        <f>NOMINA!H370</f>
        <v>44866</v>
      </c>
      <c r="I405" s="1105">
        <f>NOMINA!I370</f>
        <v>2</v>
      </c>
      <c r="J405" s="1106">
        <f>NOMINA!J370</f>
        <v>0</v>
      </c>
      <c r="K405" s="1105">
        <f t="shared" ref="K405:K431" si="26">I405+J405</f>
        <v>2</v>
      </c>
      <c r="L405" s="1106" t="s">
        <v>4932</v>
      </c>
      <c r="M405" s="1106"/>
      <c r="N405" s="1443" t="str">
        <f>NOMINA!O370</f>
        <v>Ayud. Serv. De Cocina</v>
      </c>
      <c r="O405" s="1106">
        <v>1.02087691000006E+18</v>
      </c>
      <c r="P405" s="1107">
        <f>NOMINA!W370</f>
        <v>71</v>
      </c>
      <c r="Q405" s="1108">
        <f>NOMINA!AG370</f>
        <v>1.42</v>
      </c>
      <c r="R405" s="1108">
        <f>NOMINA!AI370</f>
        <v>65</v>
      </c>
      <c r="S405" s="1108">
        <f>NOMINA!AK370</f>
        <v>0</v>
      </c>
      <c r="T405" s="1108">
        <f>+NOMINA!AO370</f>
        <v>25</v>
      </c>
      <c r="U405" s="1108">
        <f>+NOMINA!AQ370</f>
        <v>0</v>
      </c>
      <c r="V405" s="1108">
        <f>+NOMINA!AR370</f>
        <v>0</v>
      </c>
      <c r="W405" s="1108">
        <f>+NOMINA!AS370</f>
        <v>0</v>
      </c>
      <c r="X405" s="1108">
        <f>ROUND(NOMINA!AW370,2)</f>
        <v>0</v>
      </c>
      <c r="Y405" s="1108">
        <f>ROUND(NOMINA!AX370,2)</f>
        <v>0</v>
      </c>
      <c r="Z405" s="1108">
        <f>ROUND(NOMINA!BB370,2)+ROUND(NOMINA!BF370,2)</f>
        <v>29.98</v>
      </c>
      <c r="AA405" s="1108">
        <f>ROUND(NOMINA!BK370,2)</f>
        <v>0</v>
      </c>
      <c r="AB405" s="1108">
        <f>+NOMINA!BJ370</f>
        <v>0</v>
      </c>
      <c r="AC405" s="1108">
        <f>ROUND(NOMINA!BG370,2)</f>
        <v>310</v>
      </c>
      <c r="AD405" s="1711">
        <f t="shared" si="24"/>
        <v>502.4</v>
      </c>
      <c r="AF405" s="625"/>
    </row>
    <row r="406" spans="1:32" s="620" customFormat="1" ht="20.100000000000001" customHeight="1" thickBot="1" x14ac:dyDescent="0.25">
      <c r="A406" s="758" t="s">
        <v>2846</v>
      </c>
      <c r="B406" s="508">
        <f t="shared" si="25"/>
        <v>67</v>
      </c>
      <c r="C406" s="1102">
        <f>NOMINA!C371</f>
        <v>16881526</v>
      </c>
      <c r="D406" s="1103" t="str">
        <f>NOMINA!D371</f>
        <v>Montilla Mendoza Addy Coromoto</v>
      </c>
      <c r="E406" s="1468" t="s">
        <v>4622</v>
      </c>
      <c r="F406" s="1110">
        <v>32351</v>
      </c>
      <c r="G406" s="1468" t="s">
        <v>4620</v>
      </c>
      <c r="H406" s="1442">
        <f>NOMINA!H371</f>
        <v>44470</v>
      </c>
      <c r="I406" s="1105">
        <f>NOMINA!I371</f>
        <v>3</v>
      </c>
      <c r="J406" s="1106">
        <f>NOMINA!J371</f>
        <v>0</v>
      </c>
      <c r="K406" s="1105">
        <f t="shared" si="26"/>
        <v>3</v>
      </c>
      <c r="L406" s="1106" t="s">
        <v>4932</v>
      </c>
      <c r="M406" s="1106"/>
      <c r="N406" s="1443" t="str">
        <f>NOMINA!O371</f>
        <v>Aseador</v>
      </c>
      <c r="O406" s="1106">
        <v>1.02087691000006E+18</v>
      </c>
      <c r="P406" s="1107">
        <f>NOMINA!W371</f>
        <v>65</v>
      </c>
      <c r="Q406" s="1108">
        <f>NOMINA!AG371</f>
        <v>1.95</v>
      </c>
      <c r="R406" s="1108">
        <f>NOMINA!AI371</f>
        <v>65</v>
      </c>
      <c r="S406" s="1108">
        <f>NOMINA!AK371</f>
        <v>0</v>
      </c>
      <c r="T406" s="1108">
        <f>+NOMINA!AO371</f>
        <v>12.5</v>
      </c>
      <c r="U406" s="1108">
        <f>+NOMINA!AQ371</f>
        <v>0</v>
      </c>
      <c r="V406" s="1108">
        <f>+NOMINA!AR371</f>
        <v>0</v>
      </c>
      <c r="W406" s="1108">
        <f>+NOMINA!AS371</f>
        <v>0</v>
      </c>
      <c r="X406" s="1108">
        <f>ROUND(NOMINA!AW371,2)</f>
        <v>0</v>
      </c>
      <c r="Y406" s="1108">
        <f>ROUND(NOMINA!AX371,2)</f>
        <v>0</v>
      </c>
      <c r="Z406" s="1108">
        <f>ROUND(NOMINA!BB371,2)+ROUND(NOMINA!BF371,2)</f>
        <v>0</v>
      </c>
      <c r="AA406" s="1108">
        <f>ROUND(NOMINA!BK371,2)</f>
        <v>0</v>
      </c>
      <c r="AB406" s="1108">
        <f>+NOMINA!BJ371</f>
        <v>0</v>
      </c>
      <c r="AC406" s="1108">
        <f>ROUND(NOMINA!BG371,2)</f>
        <v>310</v>
      </c>
      <c r="AD406" s="1711">
        <f t="shared" si="24"/>
        <v>454.45</v>
      </c>
      <c r="AF406" s="625"/>
    </row>
    <row r="407" spans="1:32" s="620" customFormat="1" ht="20.100000000000001" customHeight="1" thickBot="1" x14ac:dyDescent="0.25">
      <c r="A407" s="758" t="s">
        <v>2846</v>
      </c>
      <c r="B407" s="508">
        <f t="shared" si="25"/>
        <v>68</v>
      </c>
      <c r="C407" s="1102">
        <f>NOMINA!C372</f>
        <v>17093567</v>
      </c>
      <c r="D407" s="1103" t="str">
        <f>NOMINA!D372</f>
        <v>Torres Villarreal Yenny del Carmen</v>
      </c>
      <c r="E407" s="1468" t="s">
        <v>4622</v>
      </c>
      <c r="F407" s="1110">
        <v>32351</v>
      </c>
      <c r="G407" s="1468" t="s">
        <v>4620</v>
      </c>
      <c r="H407" s="1442">
        <f>NOMINA!H372</f>
        <v>39449</v>
      </c>
      <c r="I407" s="1105">
        <f>NOMINA!I372</f>
        <v>17</v>
      </c>
      <c r="J407" s="1106">
        <f>NOMINA!J372</f>
        <v>0</v>
      </c>
      <c r="K407" s="1105">
        <f t="shared" si="26"/>
        <v>17</v>
      </c>
      <c r="L407" s="1106" t="s">
        <v>4932</v>
      </c>
      <c r="M407" s="1106"/>
      <c r="N407" s="1443" t="str">
        <f>NOMINA!O372</f>
        <v>Ayudante de Servicios Generales</v>
      </c>
      <c r="O407" s="1106">
        <v>1.02087691000006E+18</v>
      </c>
      <c r="P407" s="1107">
        <f>NOMINA!W372</f>
        <v>76</v>
      </c>
      <c r="Q407" s="1108">
        <f>NOMINA!AG372</f>
        <v>16.11</v>
      </c>
      <c r="R407" s="1108">
        <f>NOMINA!AI372</f>
        <v>65</v>
      </c>
      <c r="S407" s="1108">
        <f>NOMINA!AK372</f>
        <v>0</v>
      </c>
      <c r="T407" s="1108">
        <f>+NOMINA!AO372</f>
        <v>0</v>
      </c>
      <c r="U407" s="1108">
        <f>+NOMINA!AQ372</f>
        <v>0</v>
      </c>
      <c r="V407" s="1108">
        <f>+NOMINA!AR372</f>
        <v>0</v>
      </c>
      <c r="W407" s="1108">
        <f>+NOMINA!AS372</f>
        <v>0</v>
      </c>
      <c r="X407" s="1108">
        <f>ROUND(NOMINA!AW372,2)</f>
        <v>0</v>
      </c>
      <c r="Y407" s="1108">
        <f>ROUND(NOMINA!AX372,2)</f>
        <v>0</v>
      </c>
      <c r="Z407" s="1108">
        <f>ROUND(NOMINA!BB372,2)+ROUND(NOMINA!BF372,2)</f>
        <v>0</v>
      </c>
      <c r="AA407" s="1108">
        <f>ROUND(NOMINA!BK372,2)</f>
        <v>0</v>
      </c>
      <c r="AB407" s="1108">
        <f>+NOMINA!BJ372</f>
        <v>0</v>
      </c>
      <c r="AC407" s="1108">
        <f>ROUND(NOMINA!BG372,2)</f>
        <v>310</v>
      </c>
      <c r="AD407" s="1711">
        <f t="shared" si="24"/>
        <v>467.11</v>
      </c>
      <c r="AF407" s="625"/>
    </row>
    <row r="408" spans="1:32" s="620" customFormat="1" ht="20.100000000000001" customHeight="1" thickBot="1" x14ac:dyDescent="0.25">
      <c r="A408" s="758" t="s">
        <v>2846</v>
      </c>
      <c r="B408" s="508">
        <f t="shared" si="25"/>
        <v>69</v>
      </c>
      <c r="C408" s="1102">
        <f>NOMINA!C373</f>
        <v>17093846</v>
      </c>
      <c r="D408" s="1103" t="str">
        <f>NOMINA!D373</f>
        <v>Bastidas Rivera Junior Antonio</v>
      </c>
      <c r="E408" s="1468" t="s">
        <v>4622</v>
      </c>
      <c r="F408" s="1110">
        <v>32351</v>
      </c>
      <c r="G408" s="1468" t="s">
        <v>4620</v>
      </c>
      <c r="H408" s="1442">
        <f>NOMINA!H373</f>
        <v>45017</v>
      </c>
      <c r="I408" s="1105">
        <f>NOMINA!I373</f>
        <v>2</v>
      </c>
      <c r="J408" s="1106">
        <f>NOMINA!J373</f>
        <v>0</v>
      </c>
      <c r="K408" s="1105">
        <f t="shared" si="26"/>
        <v>2</v>
      </c>
      <c r="L408" s="1106" t="s">
        <v>4932</v>
      </c>
      <c r="M408" s="1106"/>
      <c r="N408" s="1443" t="str">
        <f>NOMINA!O373</f>
        <v>Ayudante de Servicios Generales</v>
      </c>
      <c r="O408" s="1106">
        <v>1.02087691000006E+18</v>
      </c>
      <c r="P408" s="1107">
        <f>NOMINA!W373</f>
        <v>76</v>
      </c>
      <c r="Q408" s="1108">
        <f>NOMINA!AG373</f>
        <v>1.52</v>
      </c>
      <c r="R408" s="1108">
        <f>NOMINA!AI373</f>
        <v>65</v>
      </c>
      <c r="S408" s="1108">
        <f>NOMINA!AK373</f>
        <v>0</v>
      </c>
      <c r="T408" s="1108">
        <f>+NOMINA!AO373</f>
        <v>0</v>
      </c>
      <c r="U408" s="1108">
        <f>+NOMINA!AQ373</f>
        <v>0</v>
      </c>
      <c r="V408" s="1108">
        <f>+NOMINA!AR373</f>
        <v>0</v>
      </c>
      <c r="W408" s="1108">
        <f>+NOMINA!AS373</f>
        <v>0</v>
      </c>
      <c r="X408" s="1108">
        <f>ROUND(NOMINA!AW373,2)</f>
        <v>0</v>
      </c>
      <c r="Y408" s="1108">
        <f>ROUND(NOMINA!AX373,2)</f>
        <v>0</v>
      </c>
      <c r="Z408" s="1108">
        <f>ROUND(NOMINA!BB373,2)+ROUND(NOMINA!BF373,2)</f>
        <v>0</v>
      </c>
      <c r="AA408" s="1108">
        <f>ROUND(NOMINA!BK373,2)</f>
        <v>0</v>
      </c>
      <c r="AB408" s="1108">
        <f>+NOMINA!BJ373</f>
        <v>0</v>
      </c>
      <c r="AC408" s="1108">
        <f>ROUND(NOMINA!BG373,2)</f>
        <v>310</v>
      </c>
      <c r="AD408" s="1711">
        <f t="shared" si="24"/>
        <v>452.52</v>
      </c>
      <c r="AF408" s="625"/>
    </row>
    <row r="409" spans="1:32" s="620" customFormat="1" ht="20.100000000000001" customHeight="1" thickBot="1" x14ac:dyDescent="0.25">
      <c r="A409" s="758" t="s">
        <v>2846</v>
      </c>
      <c r="B409" s="508">
        <f t="shared" si="25"/>
        <v>70</v>
      </c>
      <c r="C409" s="1102">
        <f>NOMINA!C374</f>
        <v>17095084</v>
      </c>
      <c r="D409" s="1103" t="str">
        <f>NOMINA!D374</f>
        <v>Gonzalez Simancas Yulimar del Valle</v>
      </c>
      <c r="E409" s="1468" t="s">
        <v>4622</v>
      </c>
      <c r="F409" s="1110">
        <v>32351</v>
      </c>
      <c r="G409" s="1468" t="s">
        <v>4620</v>
      </c>
      <c r="H409" s="1442">
        <f>NOMINA!H374</f>
        <v>44317</v>
      </c>
      <c r="I409" s="1105">
        <f>NOMINA!I374</f>
        <v>4</v>
      </c>
      <c r="J409" s="1106">
        <f>NOMINA!J374</f>
        <v>0</v>
      </c>
      <c r="K409" s="1105">
        <f t="shared" si="26"/>
        <v>4</v>
      </c>
      <c r="L409" s="1106" t="s">
        <v>4932</v>
      </c>
      <c r="M409" s="1106"/>
      <c r="N409" s="1443" t="str">
        <f>NOMINA!O374</f>
        <v>Cocinera</v>
      </c>
      <c r="O409" s="1106">
        <v>1.02087691000006E+18</v>
      </c>
      <c r="P409" s="1107">
        <f>NOMINA!W374</f>
        <v>85.5</v>
      </c>
      <c r="Q409" s="1108">
        <f>NOMINA!AG374</f>
        <v>3.42</v>
      </c>
      <c r="R409" s="1108">
        <f>NOMINA!AI374</f>
        <v>65</v>
      </c>
      <c r="S409" s="1108">
        <f>NOMINA!AK374</f>
        <v>0</v>
      </c>
      <c r="T409" s="1108">
        <f>+NOMINA!AO374</f>
        <v>0</v>
      </c>
      <c r="U409" s="1108">
        <f>+NOMINA!AQ374</f>
        <v>0</v>
      </c>
      <c r="V409" s="1108">
        <f>+NOMINA!AR374</f>
        <v>0</v>
      </c>
      <c r="W409" s="1108">
        <f>+NOMINA!AS374</f>
        <v>0</v>
      </c>
      <c r="X409" s="1108">
        <f>ROUND(NOMINA!AW374,2)</f>
        <v>0</v>
      </c>
      <c r="Y409" s="1108">
        <f>ROUND(NOMINA!AX374,2)</f>
        <v>0</v>
      </c>
      <c r="Z409" s="1108">
        <f>ROUND(NOMINA!BB374,2)+ROUND(NOMINA!BF374,2)</f>
        <v>33.28</v>
      </c>
      <c r="AA409" s="1108">
        <f>ROUND(NOMINA!BK374,2)</f>
        <v>0</v>
      </c>
      <c r="AB409" s="1108">
        <f>+NOMINA!BJ374</f>
        <v>0</v>
      </c>
      <c r="AC409" s="1108">
        <f>ROUND(NOMINA!BG374,2)</f>
        <v>310</v>
      </c>
      <c r="AD409" s="1711">
        <f t="shared" si="24"/>
        <v>497.20000000000005</v>
      </c>
      <c r="AF409" s="625"/>
    </row>
    <row r="410" spans="1:32" s="620" customFormat="1" ht="20.100000000000001" customHeight="1" thickBot="1" x14ac:dyDescent="0.25">
      <c r="A410" s="758" t="s">
        <v>2846</v>
      </c>
      <c r="B410" s="508">
        <f t="shared" si="25"/>
        <v>71</v>
      </c>
      <c r="C410" s="1102">
        <f>NOMINA!C375</f>
        <v>17267173</v>
      </c>
      <c r="D410" s="1103" t="str">
        <f>NOMINA!D375</f>
        <v>Torres Alvarez Olga Josefina</v>
      </c>
      <c r="E410" s="1468" t="s">
        <v>4622</v>
      </c>
      <c r="F410" s="1110">
        <v>32351</v>
      </c>
      <c r="G410" s="1468" t="s">
        <v>4620</v>
      </c>
      <c r="H410" s="1442">
        <f>NOMINA!H375</f>
        <v>44317</v>
      </c>
      <c r="I410" s="1105">
        <f>NOMINA!I375</f>
        <v>4</v>
      </c>
      <c r="J410" s="1106">
        <f>NOMINA!J375</f>
        <v>6</v>
      </c>
      <c r="K410" s="1105">
        <f t="shared" si="26"/>
        <v>10</v>
      </c>
      <c r="L410" s="1106" t="s">
        <v>4932</v>
      </c>
      <c r="M410" s="1106"/>
      <c r="N410" s="1443" t="str">
        <f>NOMINA!O375</f>
        <v>Ayudante de Almacen</v>
      </c>
      <c r="O410" s="1106">
        <v>1.02087691000006E+18</v>
      </c>
      <c r="P410" s="1107">
        <f>NOMINA!W375</f>
        <v>85.5</v>
      </c>
      <c r="Q410" s="1108">
        <f>NOMINA!AG375</f>
        <v>9.4</v>
      </c>
      <c r="R410" s="1108">
        <f>NOMINA!AI375</f>
        <v>65</v>
      </c>
      <c r="S410" s="1108">
        <f>NOMINA!AK375</f>
        <v>0</v>
      </c>
      <c r="T410" s="1108">
        <f>+NOMINA!AO375</f>
        <v>0</v>
      </c>
      <c r="U410" s="1108">
        <f>+NOMINA!AQ375</f>
        <v>0</v>
      </c>
      <c r="V410" s="1108">
        <f>+NOMINA!AR375</f>
        <v>0</v>
      </c>
      <c r="W410" s="1108">
        <f>+NOMINA!AS375</f>
        <v>0</v>
      </c>
      <c r="X410" s="1108">
        <f>ROUND(NOMINA!AW375,2)</f>
        <v>0</v>
      </c>
      <c r="Y410" s="1108">
        <f>ROUND(NOMINA!AX375,2)</f>
        <v>0</v>
      </c>
      <c r="Z410" s="1108">
        <f>ROUND(NOMINA!BB375,2)+ROUND(NOMINA!BF375,2)</f>
        <v>0</v>
      </c>
      <c r="AA410" s="1108">
        <f>ROUND(NOMINA!BK375,2)</f>
        <v>0</v>
      </c>
      <c r="AB410" s="1108">
        <f>+NOMINA!BJ375</f>
        <v>0</v>
      </c>
      <c r="AC410" s="1108">
        <f>ROUND(NOMINA!BG375,2)</f>
        <v>310</v>
      </c>
      <c r="AD410" s="1711">
        <f t="shared" si="24"/>
        <v>469.9</v>
      </c>
      <c r="AF410" s="625"/>
    </row>
    <row r="411" spans="1:32" s="620" customFormat="1" ht="20.100000000000001" customHeight="1" thickBot="1" x14ac:dyDescent="0.25">
      <c r="A411" s="758" t="s">
        <v>2846</v>
      </c>
      <c r="B411" s="508">
        <f t="shared" si="25"/>
        <v>72</v>
      </c>
      <c r="C411" s="1102">
        <f>NOMINA!C376</f>
        <v>17267546</v>
      </c>
      <c r="D411" s="1103" t="str">
        <f>NOMINA!D376</f>
        <v>Bastidas Rivera Franklin Enrique</v>
      </c>
      <c r="E411" s="1468" t="s">
        <v>4622</v>
      </c>
      <c r="F411" s="1110">
        <v>32351</v>
      </c>
      <c r="G411" s="1468" t="s">
        <v>4620</v>
      </c>
      <c r="H411" s="1442">
        <f>NOMINA!H376</f>
        <v>39197</v>
      </c>
      <c r="I411" s="1105">
        <f>NOMINA!I376</f>
        <v>18</v>
      </c>
      <c r="J411" s="1106">
        <f>NOMINA!J376</f>
        <v>0</v>
      </c>
      <c r="K411" s="1105">
        <f t="shared" si="26"/>
        <v>18</v>
      </c>
      <c r="L411" s="1106" t="s">
        <v>4932</v>
      </c>
      <c r="M411" s="1106"/>
      <c r="N411" s="1443" t="str">
        <f>NOMINA!O376</f>
        <v>Ayudante de Servicios Generales</v>
      </c>
      <c r="O411" s="1106">
        <v>1.02087691000006E+18</v>
      </c>
      <c r="P411" s="1107">
        <f>NOMINA!W376</f>
        <v>76</v>
      </c>
      <c r="Q411" s="1108">
        <f>NOMINA!AG376</f>
        <v>17.329999999999998</v>
      </c>
      <c r="R411" s="1108">
        <f>NOMINA!AI376</f>
        <v>65</v>
      </c>
      <c r="S411" s="1108">
        <f>NOMINA!AK376</f>
        <v>0</v>
      </c>
      <c r="T411" s="1108">
        <f>+NOMINA!AO376</f>
        <v>12.5</v>
      </c>
      <c r="U411" s="1108">
        <f>+NOMINA!AQ376</f>
        <v>0</v>
      </c>
      <c r="V411" s="1108">
        <f>+NOMINA!AR376</f>
        <v>0</v>
      </c>
      <c r="W411" s="1108">
        <f>+NOMINA!AS376</f>
        <v>0</v>
      </c>
      <c r="X411" s="1108">
        <f>ROUND(NOMINA!AW376,2)</f>
        <v>0</v>
      </c>
      <c r="Y411" s="1108">
        <f>ROUND(NOMINA!AX376,2)</f>
        <v>0</v>
      </c>
      <c r="Z411" s="1108">
        <f>ROUND(NOMINA!BB376,2)+ROUND(NOMINA!BF376,2)</f>
        <v>0</v>
      </c>
      <c r="AA411" s="1108">
        <f>ROUND(NOMINA!BK376,2)</f>
        <v>0</v>
      </c>
      <c r="AB411" s="1108">
        <f>+NOMINA!BJ376</f>
        <v>0</v>
      </c>
      <c r="AC411" s="1108">
        <f>ROUND(NOMINA!BG376,2)</f>
        <v>310</v>
      </c>
      <c r="AD411" s="1711">
        <f t="shared" si="24"/>
        <v>480.83</v>
      </c>
      <c r="AF411" s="625"/>
    </row>
    <row r="412" spans="1:32" s="620" customFormat="1" ht="20.100000000000001" customHeight="1" thickBot="1" x14ac:dyDescent="0.25">
      <c r="A412" s="758" t="s">
        <v>2846</v>
      </c>
      <c r="B412" s="508">
        <f t="shared" si="25"/>
        <v>73</v>
      </c>
      <c r="C412" s="1102">
        <f>NOMINA!C377</f>
        <v>18096032</v>
      </c>
      <c r="D412" s="1103" t="str">
        <f>NOMINA!D377</f>
        <v>Graterol Graterol Isidro Antonio</v>
      </c>
      <c r="E412" s="1468" t="s">
        <v>4622</v>
      </c>
      <c r="F412" s="1110">
        <v>32351</v>
      </c>
      <c r="G412" s="1468" t="s">
        <v>4620</v>
      </c>
      <c r="H412" s="1442">
        <f>NOMINA!H377</f>
        <v>45566</v>
      </c>
      <c r="I412" s="1105">
        <f>NOMINA!I377</f>
        <v>0</v>
      </c>
      <c r="J412" s="1106">
        <f>NOMINA!J377</f>
        <v>16</v>
      </c>
      <c r="K412" s="1105">
        <f t="shared" si="26"/>
        <v>16</v>
      </c>
      <c r="L412" s="1106" t="s">
        <v>4932</v>
      </c>
      <c r="M412" s="1106"/>
      <c r="N412" s="1443" t="str">
        <f>NOMINA!O377</f>
        <v>Chofer</v>
      </c>
      <c r="O412" s="1106">
        <v>1.02087691000006E+18</v>
      </c>
      <c r="P412" s="1107">
        <f>NOMINA!W377</f>
        <v>80.5</v>
      </c>
      <c r="Q412" s="1108">
        <f>NOMINA!AG377</f>
        <v>15.78</v>
      </c>
      <c r="R412" s="1108">
        <f>NOMINA!AI377</f>
        <v>65</v>
      </c>
      <c r="S412" s="1108">
        <f>NOMINA!AK377</f>
        <v>0</v>
      </c>
      <c r="T412" s="1108">
        <f>+NOMINA!AO377</f>
        <v>0</v>
      </c>
      <c r="U412" s="1108">
        <f>+NOMINA!AQ377</f>
        <v>0</v>
      </c>
      <c r="V412" s="1108">
        <f>+NOMINA!AR377</f>
        <v>0</v>
      </c>
      <c r="W412" s="1108">
        <f>+NOMINA!AS377</f>
        <v>0</v>
      </c>
      <c r="X412" s="1108">
        <f>ROUND(NOMINA!AW377,2)</f>
        <v>104.27</v>
      </c>
      <c r="Y412" s="1108">
        <f>ROUND(NOMINA!AX377,2)</f>
        <v>0</v>
      </c>
      <c r="Z412" s="1108">
        <f>ROUND(NOMINA!BB377,2)+ROUND(NOMINA!BF377,2)</f>
        <v>45.18</v>
      </c>
      <c r="AA412" s="1108">
        <f>ROUND(NOMINA!BK377,2)</f>
        <v>0</v>
      </c>
      <c r="AB412" s="1108">
        <f>+NOMINA!BJ377</f>
        <v>0</v>
      </c>
      <c r="AC412" s="1108">
        <f>ROUND(NOMINA!BG377,2)</f>
        <v>310</v>
      </c>
      <c r="AD412" s="1711">
        <f t="shared" si="24"/>
        <v>620.73</v>
      </c>
      <c r="AF412" s="625"/>
    </row>
    <row r="413" spans="1:32" s="620" customFormat="1" ht="20.100000000000001" customHeight="1" thickBot="1" x14ac:dyDescent="0.25">
      <c r="A413" s="758" t="s">
        <v>2846</v>
      </c>
      <c r="B413" s="508">
        <f t="shared" si="25"/>
        <v>74</v>
      </c>
      <c r="C413" s="1102">
        <f>NOMINA!C378</f>
        <v>18096338</v>
      </c>
      <c r="D413" s="1103" t="str">
        <f>NOMINA!D378</f>
        <v>Ramirez Manzanilla Jose Jesus</v>
      </c>
      <c r="E413" s="1468" t="s">
        <v>4622</v>
      </c>
      <c r="F413" s="1110">
        <v>32351</v>
      </c>
      <c r="G413" s="1468" t="s">
        <v>4620</v>
      </c>
      <c r="H413" s="1442">
        <f>NOMINA!H378</f>
        <v>39463</v>
      </c>
      <c r="I413" s="1105">
        <f>NOMINA!I378</f>
        <v>17</v>
      </c>
      <c r="J413" s="1106">
        <f>NOMINA!J378</f>
        <v>3</v>
      </c>
      <c r="K413" s="1105">
        <f t="shared" si="26"/>
        <v>20</v>
      </c>
      <c r="L413" s="1106" t="s">
        <v>4932</v>
      </c>
      <c r="M413" s="1106"/>
      <c r="N413" s="1443" t="str">
        <f>NOMINA!O378</f>
        <v>Cocinero</v>
      </c>
      <c r="O413" s="1106">
        <v>1.02087691000006E+18</v>
      </c>
      <c r="P413" s="1107">
        <f>NOMINA!W378</f>
        <v>85.5</v>
      </c>
      <c r="Q413" s="1108">
        <f>NOMINA!AG378</f>
        <v>22.23</v>
      </c>
      <c r="R413" s="1108">
        <f>NOMINA!AI378</f>
        <v>65</v>
      </c>
      <c r="S413" s="1108">
        <f>NOMINA!AK378</f>
        <v>0</v>
      </c>
      <c r="T413" s="1108">
        <f>+NOMINA!AO378</f>
        <v>0</v>
      </c>
      <c r="U413" s="1108">
        <f>+NOMINA!AQ378</f>
        <v>0</v>
      </c>
      <c r="V413" s="1108">
        <f>+NOMINA!AR378</f>
        <v>0</v>
      </c>
      <c r="W413" s="1108">
        <f>+NOMINA!AS378</f>
        <v>0</v>
      </c>
      <c r="X413" s="1108">
        <f>ROUND(NOMINA!AW378,2)</f>
        <v>0</v>
      </c>
      <c r="Y413" s="1108">
        <f>ROUND(NOMINA!AX378,2)</f>
        <v>0</v>
      </c>
      <c r="Z413" s="1108">
        <f>ROUND(NOMINA!BB378,2)+ROUND(NOMINA!BF378,2)</f>
        <v>17.899999999999999</v>
      </c>
      <c r="AA413" s="1108">
        <f>ROUND(NOMINA!BK378,2)</f>
        <v>0</v>
      </c>
      <c r="AB413" s="1108">
        <f>+NOMINA!BJ378</f>
        <v>0</v>
      </c>
      <c r="AC413" s="1108">
        <f>ROUND(NOMINA!BG378,2)</f>
        <v>310</v>
      </c>
      <c r="AD413" s="1711">
        <f t="shared" si="24"/>
        <v>500.63</v>
      </c>
      <c r="AF413" s="625"/>
    </row>
    <row r="414" spans="1:32" s="620" customFormat="1" ht="20.100000000000001" customHeight="1" thickBot="1" x14ac:dyDescent="0.25">
      <c r="A414" s="758" t="s">
        <v>2846</v>
      </c>
      <c r="B414" s="508">
        <f t="shared" si="25"/>
        <v>75</v>
      </c>
      <c r="C414" s="1102">
        <f>NOMINA!C379</f>
        <v>18350780</v>
      </c>
      <c r="D414" s="1103" t="str">
        <f>NOMINA!D379</f>
        <v>Frias Aldana Giovanny Jacinto</v>
      </c>
      <c r="E414" s="1468" t="s">
        <v>4622</v>
      </c>
      <c r="F414" s="1110">
        <v>32351</v>
      </c>
      <c r="G414" s="1468" t="s">
        <v>4620</v>
      </c>
      <c r="H414" s="1442">
        <f>NOMINA!H379</f>
        <v>43116</v>
      </c>
      <c r="I414" s="1105">
        <f>NOMINA!I379</f>
        <v>7</v>
      </c>
      <c r="J414" s="1106">
        <f>NOMINA!J379</f>
        <v>0</v>
      </c>
      <c r="K414" s="1105">
        <f t="shared" si="26"/>
        <v>7</v>
      </c>
      <c r="L414" s="1106" t="s">
        <v>4932</v>
      </c>
      <c r="M414" s="1106"/>
      <c r="N414" s="1443" t="str">
        <f>NOMINA!O379</f>
        <v>Vigilante</v>
      </c>
      <c r="O414" s="1106">
        <v>1.02087691000006E+18</v>
      </c>
      <c r="P414" s="1107">
        <f>NOMINA!W379</f>
        <v>85.5</v>
      </c>
      <c r="Q414" s="1108">
        <f>NOMINA!AG379</f>
        <v>6.32</v>
      </c>
      <c r="R414" s="1108">
        <f>NOMINA!AI379</f>
        <v>65</v>
      </c>
      <c r="S414" s="1108">
        <f>NOMINA!AK379</f>
        <v>0</v>
      </c>
      <c r="T414" s="1108">
        <f>+NOMINA!AO379</f>
        <v>0</v>
      </c>
      <c r="U414" s="1108">
        <f>+NOMINA!AQ379</f>
        <v>0</v>
      </c>
      <c r="V414" s="1108">
        <f>+NOMINA!AR379</f>
        <v>0</v>
      </c>
      <c r="W414" s="1108">
        <f>+NOMINA!AS379</f>
        <v>0</v>
      </c>
      <c r="X414" s="1108">
        <f>ROUND(NOMINA!AW379,2)</f>
        <v>97.85</v>
      </c>
      <c r="Y414" s="1108">
        <f>ROUND(NOMINA!AX379,2)</f>
        <v>0</v>
      </c>
      <c r="Z414" s="1108">
        <f>ROUND(NOMINA!BB379,2)+ROUND(NOMINA!BF379,2)</f>
        <v>0</v>
      </c>
      <c r="AA414" s="1108">
        <f>ROUND(NOMINA!BK379,2)</f>
        <v>0</v>
      </c>
      <c r="AB414" s="1108">
        <f>+NOMINA!BJ379</f>
        <v>0</v>
      </c>
      <c r="AC414" s="1108">
        <f>ROUND(NOMINA!BG379,2)</f>
        <v>310</v>
      </c>
      <c r="AD414" s="1711">
        <f t="shared" si="24"/>
        <v>564.66999999999996</v>
      </c>
      <c r="AF414" s="625"/>
    </row>
    <row r="415" spans="1:32" s="620" customFormat="1" ht="20.100000000000001" customHeight="1" thickBot="1" x14ac:dyDescent="0.25">
      <c r="A415" s="758" t="s">
        <v>2846</v>
      </c>
      <c r="B415" s="508">
        <f t="shared" si="25"/>
        <v>76</v>
      </c>
      <c r="C415" s="1102">
        <f>NOMINA!C380</f>
        <v>18456167</v>
      </c>
      <c r="D415" s="1103" t="str">
        <f>NOMINA!D380</f>
        <v>Olmos Linares Luis Alberto</v>
      </c>
      <c r="E415" s="1468" t="s">
        <v>4622</v>
      </c>
      <c r="F415" s="1110">
        <v>32351</v>
      </c>
      <c r="G415" s="1468" t="s">
        <v>4620</v>
      </c>
      <c r="H415" s="1442">
        <f>NOMINA!H380</f>
        <v>44516</v>
      </c>
      <c r="I415" s="1105">
        <f>NOMINA!I380</f>
        <v>3</v>
      </c>
      <c r="J415" s="1106">
        <f>NOMINA!J380</f>
        <v>0</v>
      </c>
      <c r="K415" s="1105">
        <f t="shared" si="26"/>
        <v>3</v>
      </c>
      <c r="L415" s="1106" t="s">
        <v>4932</v>
      </c>
      <c r="M415" s="1106"/>
      <c r="N415" s="1443" t="str">
        <f>NOMINA!O380</f>
        <v>Cocinero</v>
      </c>
      <c r="O415" s="1106">
        <v>1.02087691000006E+18</v>
      </c>
      <c r="P415" s="1107">
        <f>NOMINA!W380</f>
        <v>85.5</v>
      </c>
      <c r="Q415" s="1108">
        <f>NOMINA!AG380</f>
        <v>2.56</v>
      </c>
      <c r="R415" s="1108">
        <f>NOMINA!AI380</f>
        <v>65</v>
      </c>
      <c r="S415" s="1108">
        <f>NOMINA!AK380</f>
        <v>0</v>
      </c>
      <c r="T415" s="1108">
        <f>+NOMINA!AO380</f>
        <v>25</v>
      </c>
      <c r="U415" s="1108">
        <f>+NOMINA!AQ380</f>
        <v>0</v>
      </c>
      <c r="V415" s="1108">
        <f>+NOMINA!AR380</f>
        <v>0</v>
      </c>
      <c r="W415" s="1108">
        <f>+NOMINA!AS380</f>
        <v>0</v>
      </c>
      <c r="X415" s="1108">
        <f>ROUND(NOMINA!AW380,2)</f>
        <v>0</v>
      </c>
      <c r="Y415" s="1108">
        <f>ROUND(NOMINA!AX380,2)</f>
        <v>0</v>
      </c>
      <c r="Z415" s="1108">
        <f>ROUND(NOMINA!BB380,2)+ROUND(NOMINA!BF380,2)</f>
        <v>33.11</v>
      </c>
      <c r="AA415" s="1108">
        <f>ROUND(NOMINA!BK380,2)</f>
        <v>0</v>
      </c>
      <c r="AB415" s="1108">
        <f>+NOMINA!BJ380</f>
        <v>0</v>
      </c>
      <c r="AC415" s="1108">
        <f>ROUND(NOMINA!BG380,2)</f>
        <v>310</v>
      </c>
      <c r="AD415" s="1711">
        <f t="shared" si="24"/>
        <v>521.17000000000007</v>
      </c>
      <c r="AF415" s="625"/>
    </row>
    <row r="416" spans="1:32" s="620" customFormat="1" ht="20.100000000000001" customHeight="1" thickBot="1" x14ac:dyDescent="0.25">
      <c r="A416" s="758" t="s">
        <v>2846</v>
      </c>
      <c r="B416" s="508">
        <f t="shared" si="25"/>
        <v>77</v>
      </c>
      <c r="C416" s="1102">
        <f>NOMINA!C381</f>
        <v>18456576</v>
      </c>
      <c r="D416" s="1103" t="str">
        <f>NOMINA!D381</f>
        <v>Quintero Duran Emilio Alfonso</v>
      </c>
      <c r="E416" s="1468" t="s">
        <v>4622</v>
      </c>
      <c r="F416" s="1110">
        <v>32351</v>
      </c>
      <c r="G416" s="1468" t="s">
        <v>4620</v>
      </c>
      <c r="H416" s="1442">
        <f>NOMINA!H381</f>
        <v>44743</v>
      </c>
      <c r="I416" s="1105">
        <f>NOMINA!I381</f>
        <v>3</v>
      </c>
      <c r="J416" s="1106">
        <f>NOMINA!J381</f>
        <v>0</v>
      </c>
      <c r="K416" s="1105">
        <f t="shared" si="26"/>
        <v>3</v>
      </c>
      <c r="L416" s="1106" t="s">
        <v>4932</v>
      </c>
      <c r="M416" s="1106"/>
      <c r="N416" s="1443" t="str">
        <f>NOMINA!O381</f>
        <v>Chofer</v>
      </c>
      <c r="O416" s="1106">
        <v>1.02087691000006E+18</v>
      </c>
      <c r="P416" s="1107">
        <f>NOMINA!W381</f>
        <v>80.5</v>
      </c>
      <c r="Q416" s="1108">
        <f>NOMINA!AG381</f>
        <v>2.41</v>
      </c>
      <c r="R416" s="1108">
        <f>NOMINA!AI381</f>
        <v>65</v>
      </c>
      <c r="S416" s="1108">
        <f>NOMINA!AK381</f>
        <v>0</v>
      </c>
      <c r="T416" s="1108">
        <f>+NOMINA!AO381</f>
        <v>0</v>
      </c>
      <c r="U416" s="1108">
        <f>+NOMINA!AQ381</f>
        <v>0</v>
      </c>
      <c r="V416" s="1108">
        <f>+NOMINA!AR381</f>
        <v>0</v>
      </c>
      <c r="W416" s="1108">
        <f>+NOMINA!AS381</f>
        <v>0</v>
      </c>
      <c r="X416" s="1108">
        <f>ROUND(NOMINA!AW381,2)</f>
        <v>96.25</v>
      </c>
      <c r="Y416" s="1108">
        <f>ROUND(NOMINA!AX381,2)</f>
        <v>0</v>
      </c>
      <c r="Z416" s="1108">
        <f>ROUND(NOMINA!BB381,2)+ROUND(NOMINA!BF381,2)</f>
        <v>0</v>
      </c>
      <c r="AA416" s="1108">
        <f>ROUND(NOMINA!BK381,2)</f>
        <v>0</v>
      </c>
      <c r="AB416" s="1108">
        <f>+NOMINA!BJ381</f>
        <v>0</v>
      </c>
      <c r="AC416" s="1108">
        <f>ROUND(NOMINA!BG381,2)</f>
        <v>310</v>
      </c>
      <c r="AD416" s="1711">
        <f t="shared" si="24"/>
        <v>554.16</v>
      </c>
      <c r="AF416" s="625"/>
    </row>
    <row r="417" spans="1:32" s="620" customFormat="1" ht="20.100000000000001" customHeight="1" thickBot="1" x14ac:dyDescent="0.25">
      <c r="A417" s="758" t="s">
        <v>2846</v>
      </c>
      <c r="B417" s="508">
        <f t="shared" si="25"/>
        <v>78</v>
      </c>
      <c r="C417" s="1102">
        <f>NOMINA!C382</f>
        <v>20039961</v>
      </c>
      <c r="D417" s="1103" t="str">
        <f>NOMINA!D382</f>
        <v>Torres Villarreal Lisbeth Carolina</v>
      </c>
      <c r="E417" s="1468" t="s">
        <v>4622</v>
      </c>
      <c r="F417" s="1110">
        <v>32351</v>
      </c>
      <c r="G417" s="1468" t="s">
        <v>4620</v>
      </c>
      <c r="H417" s="1442">
        <f>NOMINA!H382</f>
        <v>38412</v>
      </c>
      <c r="I417" s="1105">
        <f>NOMINA!I382</f>
        <v>20</v>
      </c>
      <c r="J417" s="1106">
        <f>NOMINA!J382</f>
        <v>0</v>
      </c>
      <c r="K417" s="1105">
        <f t="shared" si="26"/>
        <v>20</v>
      </c>
      <c r="L417" s="1106" t="s">
        <v>4932</v>
      </c>
      <c r="M417" s="1106"/>
      <c r="N417" s="1443" t="str">
        <f>NOMINA!O382</f>
        <v>Aseadora</v>
      </c>
      <c r="O417" s="1106">
        <v>1.02087691000006E+18</v>
      </c>
      <c r="P417" s="1107">
        <f>NOMINA!W382</f>
        <v>65</v>
      </c>
      <c r="Q417" s="1108">
        <f>NOMINA!AG382</f>
        <v>16.899999999999999</v>
      </c>
      <c r="R417" s="1108">
        <f>NOMINA!AI382</f>
        <v>65</v>
      </c>
      <c r="S417" s="1108">
        <f>NOMINA!AK382</f>
        <v>0</v>
      </c>
      <c r="T417" s="1108">
        <f>+NOMINA!AO382</f>
        <v>0</v>
      </c>
      <c r="U417" s="1108">
        <f>+NOMINA!AQ382</f>
        <v>0</v>
      </c>
      <c r="V417" s="1108">
        <f>+NOMINA!AR382</f>
        <v>0</v>
      </c>
      <c r="W417" s="1108">
        <f>+NOMINA!AS382</f>
        <v>0</v>
      </c>
      <c r="X417" s="1108">
        <f>ROUND(NOMINA!AW382,2)</f>
        <v>0</v>
      </c>
      <c r="Y417" s="1108">
        <f>ROUND(NOMINA!AX382,2)</f>
        <v>0</v>
      </c>
      <c r="Z417" s="1108">
        <f>ROUND(NOMINA!BB382,2)+ROUND(NOMINA!BF382,2)</f>
        <v>0</v>
      </c>
      <c r="AA417" s="1108">
        <f>ROUND(NOMINA!BK382,2)</f>
        <v>0</v>
      </c>
      <c r="AB417" s="1108">
        <f>+NOMINA!BJ382</f>
        <v>0</v>
      </c>
      <c r="AC417" s="1108">
        <f>ROUND(NOMINA!BG382,2)</f>
        <v>310</v>
      </c>
      <c r="AD417" s="1711">
        <f t="shared" si="24"/>
        <v>456.9</v>
      </c>
      <c r="AF417" s="625"/>
    </row>
    <row r="418" spans="1:32" s="620" customFormat="1" ht="20.100000000000001" customHeight="1" thickBot="1" x14ac:dyDescent="0.25">
      <c r="A418" s="758" t="s">
        <v>2846</v>
      </c>
      <c r="B418" s="508">
        <f t="shared" si="25"/>
        <v>79</v>
      </c>
      <c r="C418" s="1102">
        <f>NOMINA!C383</f>
        <v>20040649</v>
      </c>
      <c r="D418" s="1103" t="str">
        <f>NOMINA!D383</f>
        <v>Isarra Materan Jose de La Paz</v>
      </c>
      <c r="E418" s="1468" t="s">
        <v>4622</v>
      </c>
      <c r="F418" s="1110">
        <v>32351</v>
      </c>
      <c r="G418" s="1468" t="s">
        <v>4620</v>
      </c>
      <c r="H418" s="1442">
        <f>NOMINA!H383</f>
        <v>44743</v>
      </c>
      <c r="I418" s="1105">
        <f>NOMINA!I383</f>
        <v>3</v>
      </c>
      <c r="J418" s="1106">
        <f>NOMINA!J383</f>
        <v>0</v>
      </c>
      <c r="K418" s="1105">
        <f t="shared" si="26"/>
        <v>3</v>
      </c>
      <c r="L418" s="1106" t="s">
        <v>4932</v>
      </c>
      <c r="M418" s="1106"/>
      <c r="N418" s="1443" t="str">
        <f>NOMINA!O383</f>
        <v>Chofer</v>
      </c>
      <c r="O418" s="1106">
        <v>1.02087691000006E+18</v>
      </c>
      <c r="P418" s="1107">
        <f>NOMINA!W383</f>
        <v>80.5</v>
      </c>
      <c r="Q418" s="1108">
        <f>NOMINA!AG383</f>
        <v>2.41</v>
      </c>
      <c r="R418" s="1108">
        <f>NOMINA!AI383</f>
        <v>65</v>
      </c>
      <c r="S418" s="1108">
        <f>NOMINA!AK383</f>
        <v>0</v>
      </c>
      <c r="T418" s="1108">
        <f>+NOMINA!AO383</f>
        <v>0</v>
      </c>
      <c r="U418" s="1108">
        <f>+NOMINA!AQ383</f>
        <v>0</v>
      </c>
      <c r="V418" s="1108">
        <f>+NOMINA!AR383</f>
        <v>0</v>
      </c>
      <c r="W418" s="1108">
        <f>+NOMINA!AS383</f>
        <v>0</v>
      </c>
      <c r="X418" s="1108">
        <f>ROUND(NOMINA!AW383,2)</f>
        <v>96.25</v>
      </c>
      <c r="Y418" s="1108">
        <f>ROUND(NOMINA!AX383,2)</f>
        <v>0</v>
      </c>
      <c r="Z418" s="1108">
        <f>ROUND(NOMINA!BB383,2)+ROUND(NOMINA!BF383,2)</f>
        <v>41.71</v>
      </c>
      <c r="AA418" s="1108">
        <f>ROUND(NOMINA!BK383,2)</f>
        <v>0</v>
      </c>
      <c r="AB418" s="1108">
        <f>+NOMINA!BJ383</f>
        <v>0</v>
      </c>
      <c r="AC418" s="1108">
        <f>ROUND(NOMINA!BG383,2)</f>
        <v>310</v>
      </c>
      <c r="AD418" s="1711">
        <f t="shared" si="24"/>
        <v>595.87</v>
      </c>
      <c r="AF418" s="625"/>
    </row>
    <row r="419" spans="1:32" s="620" customFormat="1" ht="20.100000000000001" customHeight="1" thickBot="1" x14ac:dyDescent="0.25">
      <c r="A419" s="758" t="s">
        <v>2846</v>
      </c>
      <c r="B419" s="508">
        <f t="shared" si="25"/>
        <v>80</v>
      </c>
      <c r="C419" s="1102">
        <f>NOMINA!C384</f>
        <v>20788036</v>
      </c>
      <c r="D419" s="1103" t="str">
        <f>NOMINA!D384</f>
        <v>Cabrera Duran Albert Josue</v>
      </c>
      <c r="E419" s="1468" t="s">
        <v>4622</v>
      </c>
      <c r="F419" s="1110">
        <v>32351</v>
      </c>
      <c r="G419" s="1468" t="s">
        <v>4620</v>
      </c>
      <c r="H419" s="1442">
        <f>NOMINA!H384</f>
        <v>45778</v>
      </c>
      <c r="I419" s="1105">
        <f>NOMINA!I384</f>
        <v>0</v>
      </c>
      <c r="J419" s="1106">
        <f>NOMINA!J384</f>
        <v>0</v>
      </c>
      <c r="K419" s="1105">
        <f t="shared" si="26"/>
        <v>0</v>
      </c>
      <c r="L419" s="1106" t="s">
        <v>4932</v>
      </c>
      <c r="M419" s="1106"/>
      <c r="N419" s="1443" t="str">
        <f>NOMINA!O384</f>
        <v>Vigilante</v>
      </c>
      <c r="O419" s="1106">
        <v>1.02087691000006E+18</v>
      </c>
      <c r="P419" s="1107">
        <f>NOMINA!W384</f>
        <v>85.5</v>
      </c>
      <c r="Q419" s="1108">
        <f>NOMINA!AG384</f>
        <v>0</v>
      </c>
      <c r="R419" s="1108">
        <f>NOMINA!AI384</f>
        <v>65</v>
      </c>
      <c r="S419" s="1108">
        <f>NOMINA!AK384</f>
        <v>0</v>
      </c>
      <c r="T419" s="1108">
        <f>+NOMINA!AO384</f>
        <v>0</v>
      </c>
      <c r="U419" s="1108">
        <f>+NOMINA!AQ384</f>
        <v>0</v>
      </c>
      <c r="V419" s="1108">
        <f>+NOMINA!AR384</f>
        <v>0</v>
      </c>
      <c r="W419" s="1108">
        <f>+NOMINA!AS384</f>
        <v>0</v>
      </c>
      <c r="X419" s="1108">
        <f>ROUND(NOMINA!AW384,2)</f>
        <v>0</v>
      </c>
      <c r="Y419" s="1108">
        <f>ROUND(NOMINA!AX384,2)</f>
        <v>0</v>
      </c>
      <c r="Z419" s="1108">
        <f>ROUND(NOMINA!BB384,2)+ROUND(NOMINA!BF384,2)</f>
        <v>0</v>
      </c>
      <c r="AA419" s="1108">
        <f>ROUND(NOMINA!BK384,2)</f>
        <v>0</v>
      </c>
      <c r="AB419" s="1108">
        <f>+NOMINA!BJ384</f>
        <v>0</v>
      </c>
      <c r="AC419" s="1108">
        <f>ROUND(NOMINA!BG384,2)</f>
        <v>310</v>
      </c>
      <c r="AD419" s="1711">
        <f t="shared" si="24"/>
        <v>460.5</v>
      </c>
      <c r="AF419" s="625"/>
    </row>
    <row r="420" spans="1:32" s="620" customFormat="1" ht="20.100000000000001" customHeight="1" thickBot="1" x14ac:dyDescent="0.25">
      <c r="A420" s="758" t="s">
        <v>2846</v>
      </c>
      <c r="B420" s="508">
        <f t="shared" si="25"/>
        <v>81</v>
      </c>
      <c r="C420" s="1102">
        <f>NOMINA!C385</f>
        <v>21366579</v>
      </c>
      <c r="D420" s="1103" t="str">
        <f>NOMINA!D385</f>
        <v>Azuaje Espinoza Erick Enrique</v>
      </c>
      <c r="E420" s="1468" t="s">
        <v>4622</v>
      </c>
      <c r="F420" s="1110">
        <v>32351</v>
      </c>
      <c r="G420" s="1468" t="s">
        <v>4620</v>
      </c>
      <c r="H420" s="1442">
        <f>NOMINA!H385</f>
        <v>44774</v>
      </c>
      <c r="I420" s="1105">
        <f>NOMINA!I385</f>
        <v>3</v>
      </c>
      <c r="J420" s="1106">
        <f>NOMINA!J385</f>
        <v>0</v>
      </c>
      <c r="K420" s="1105">
        <f t="shared" si="26"/>
        <v>3</v>
      </c>
      <c r="L420" s="1106" t="s">
        <v>4932</v>
      </c>
      <c r="M420" s="1106"/>
      <c r="N420" s="1443" t="str">
        <f>NOMINA!O385</f>
        <v>Mensajero</v>
      </c>
      <c r="O420" s="1106">
        <v>1.02087691000006E+18</v>
      </c>
      <c r="P420" s="1107">
        <f>NOMINA!W385</f>
        <v>71</v>
      </c>
      <c r="Q420" s="1108">
        <f>NOMINA!AG385</f>
        <v>2.13</v>
      </c>
      <c r="R420" s="1108">
        <f>NOMINA!AI385</f>
        <v>65</v>
      </c>
      <c r="S420" s="1108">
        <f>NOMINA!AK385</f>
        <v>0</v>
      </c>
      <c r="T420" s="1108">
        <f>+NOMINA!AO385</f>
        <v>12.5</v>
      </c>
      <c r="U420" s="1108">
        <f>+NOMINA!AQ385</f>
        <v>0</v>
      </c>
      <c r="V420" s="1108">
        <f>+NOMINA!AR385</f>
        <v>0</v>
      </c>
      <c r="W420" s="1108">
        <f>+NOMINA!AS385</f>
        <v>0</v>
      </c>
      <c r="X420" s="1108">
        <f>ROUND(NOMINA!AW385,2)</f>
        <v>0</v>
      </c>
      <c r="Y420" s="1108">
        <f>ROUND(NOMINA!AX385,2)</f>
        <v>0</v>
      </c>
      <c r="Z420" s="1108">
        <f>ROUND(NOMINA!BB385,2)+ROUND(NOMINA!BF385,2)</f>
        <v>14.44</v>
      </c>
      <c r="AA420" s="1108">
        <f>ROUND(NOMINA!BK385,2)</f>
        <v>0</v>
      </c>
      <c r="AB420" s="1108">
        <f>+NOMINA!BJ385</f>
        <v>0</v>
      </c>
      <c r="AC420" s="1108">
        <f>ROUND(NOMINA!BG385,2)</f>
        <v>310</v>
      </c>
      <c r="AD420" s="1711">
        <f t="shared" si="24"/>
        <v>475.07</v>
      </c>
      <c r="AF420" s="625"/>
    </row>
    <row r="421" spans="1:32" s="620" customFormat="1" ht="20.100000000000001" customHeight="1" thickBot="1" x14ac:dyDescent="0.25">
      <c r="A421" s="758" t="s">
        <v>2846</v>
      </c>
      <c r="B421" s="508">
        <f t="shared" si="25"/>
        <v>82</v>
      </c>
      <c r="C421" s="1102">
        <f>NOMINA!C386</f>
        <v>23594381</v>
      </c>
      <c r="D421" s="1103" t="str">
        <f>NOMINA!D386</f>
        <v>Albornoz Montilla Daniel Enrique</v>
      </c>
      <c r="E421" s="1468" t="s">
        <v>4622</v>
      </c>
      <c r="F421" s="1110">
        <v>32351</v>
      </c>
      <c r="G421" s="1468" t="s">
        <v>4620</v>
      </c>
      <c r="H421" s="1442">
        <f>NOMINA!H386</f>
        <v>45597</v>
      </c>
      <c r="I421" s="1105">
        <f>NOMINA!I386</f>
        <v>0</v>
      </c>
      <c r="J421" s="1106">
        <f>NOMINA!J386</f>
        <v>0</v>
      </c>
      <c r="K421" s="1105">
        <f t="shared" si="26"/>
        <v>0</v>
      </c>
      <c r="L421" s="1106" t="s">
        <v>4932</v>
      </c>
      <c r="M421" s="1106"/>
      <c r="N421" s="1443" t="str">
        <f>NOMINA!O386</f>
        <v>Ayudante de Servicios Generales</v>
      </c>
      <c r="O421" s="1106">
        <v>1.02087691000006E+18</v>
      </c>
      <c r="P421" s="1107">
        <f>NOMINA!W386</f>
        <v>71</v>
      </c>
      <c r="Q421" s="1108">
        <f>NOMINA!AG386</f>
        <v>0</v>
      </c>
      <c r="R421" s="1108">
        <f>NOMINA!AI386</f>
        <v>65</v>
      </c>
      <c r="S421" s="1108">
        <f>NOMINA!AK386</f>
        <v>0</v>
      </c>
      <c r="T421" s="1108">
        <f>+NOMINA!AO386</f>
        <v>0</v>
      </c>
      <c r="U421" s="1108">
        <f>+NOMINA!AQ386</f>
        <v>0</v>
      </c>
      <c r="V421" s="1108">
        <f>+NOMINA!AR386</f>
        <v>0</v>
      </c>
      <c r="W421" s="1108">
        <f>+NOMINA!AS386</f>
        <v>0</v>
      </c>
      <c r="X421" s="1108">
        <f>ROUND(NOMINA!AW386,2)</f>
        <v>0</v>
      </c>
      <c r="Y421" s="1108">
        <f>ROUND(NOMINA!AX386,2)</f>
        <v>0</v>
      </c>
      <c r="Z421" s="1108">
        <f>ROUND(NOMINA!BB386,2)+ROUND(NOMINA!BF386,2)</f>
        <v>13.6</v>
      </c>
      <c r="AA421" s="1108">
        <f>ROUND(NOMINA!BK386,2)</f>
        <v>0</v>
      </c>
      <c r="AB421" s="1108">
        <f>+NOMINA!BJ386</f>
        <v>0</v>
      </c>
      <c r="AC421" s="1108">
        <f>ROUND(NOMINA!BG386,2)</f>
        <v>310</v>
      </c>
      <c r="AD421" s="1711">
        <f t="shared" si="24"/>
        <v>459.6</v>
      </c>
      <c r="AF421" s="625"/>
    </row>
    <row r="422" spans="1:32" s="620" customFormat="1" ht="20.100000000000001" customHeight="1" thickBot="1" x14ac:dyDescent="0.25">
      <c r="A422" s="758" t="s">
        <v>2846</v>
      </c>
      <c r="B422" s="508">
        <f t="shared" si="25"/>
        <v>83</v>
      </c>
      <c r="C422" s="1102">
        <f>NOMINA!C387</f>
        <v>25173228</v>
      </c>
      <c r="D422" s="1103" t="str">
        <f>NOMINA!D387</f>
        <v>Davila Sanchez Eduar Alexander</v>
      </c>
      <c r="E422" s="1468" t="s">
        <v>4622</v>
      </c>
      <c r="F422" s="1110">
        <v>32351</v>
      </c>
      <c r="G422" s="1468" t="s">
        <v>4620</v>
      </c>
      <c r="H422" s="1442">
        <f>NOMINA!H387</f>
        <v>44531</v>
      </c>
      <c r="I422" s="1105">
        <f>NOMINA!I387</f>
        <v>3</v>
      </c>
      <c r="J422" s="1106">
        <f>NOMINA!J387</f>
        <v>0</v>
      </c>
      <c r="K422" s="1105">
        <f t="shared" si="26"/>
        <v>3</v>
      </c>
      <c r="L422" s="1106" t="s">
        <v>4932</v>
      </c>
      <c r="M422" s="1106"/>
      <c r="N422" s="1443" t="str">
        <f>NOMINA!O387</f>
        <v>Ayudante de Servicios Generales</v>
      </c>
      <c r="O422" s="1106">
        <v>1.02087691000006E+18</v>
      </c>
      <c r="P422" s="1107">
        <f>NOMINA!W387</f>
        <v>76</v>
      </c>
      <c r="Q422" s="1108">
        <f>NOMINA!AG387</f>
        <v>2.2799999999999998</v>
      </c>
      <c r="R422" s="1108">
        <f>NOMINA!AI387</f>
        <v>65</v>
      </c>
      <c r="S422" s="1108">
        <f>NOMINA!AK387</f>
        <v>0</v>
      </c>
      <c r="T422" s="1108">
        <f>+NOMINA!AO387</f>
        <v>25</v>
      </c>
      <c r="U422" s="1108">
        <f>+NOMINA!AQ387</f>
        <v>0</v>
      </c>
      <c r="V422" s="1108">
        <f>+NOMINA!AR387</f>
        <v>0</v>
      </c>
      <c r="W422" s="1108">
        <f>+NOMINA!AS387</f>
        <v>0</v>
      </c>
      <c r="X422" s="1108">
        <f>ROUND(NOMINA!AW387,2)</f>
        <v>93.47</v>
      </c>
      <c r="Y422" s="1108">
        <f>ROUND(NOMINA!AX387,2)</f>
        <v>0</v>
      </c>
      <c r="Z422" s="1108">
        <f>ROUND(NOMINA!BB387,2)+ROUND(NOMINA!BF387,2)</f>
        <v>0</v>
      </c>
      <c r="AA422" s="1108">
        <f>ROUND(NOMINA!BK387,2)</f>
        <v>0</v>
      </c>
      <c r="AB422" s="1108">
        <f>+NOMINA!BJ387</f>
        <v>0</v>
      </c>
      <c r="AC422" s="1108">
        <f>ROUND(NOMINA!BG387,2)</f>
        <v>310</v>
      </c>
      <c r="AD422" s="1711">
        <f t="shared" si="24"/>
        <v>571.75</v>
      </c>
      <c r="AF422" s="625"/>
    </row>
    <row r="423" spans="1:32" s="620" customFormat="1" ht="20.100000000000001" customHeight="1" thickBot="1" x14ac:dyDescent="0.25">
      <c r="A423" s="758" t="s">
        <v>2846</v>
      </c>
      <c r="B423" s="508">
        <f t="shared" si="25"/>
        <v>84</v>
      </c>
      <c r="C423" s="1102">
        <f>NOMINA!C388</f>
        <v>25631811</v>
      </c>
      <c r="D423" s="1103" t="str">
        <f>NOMINA!D388</f>
        <v>Barrios Briceño Christian Xavier</v>
      </c>
      <c r="E423" s="1468" t="s">
        <v>4622</v>
      </c>
      <c r="F423" s="1110">
        <v>32351</v>
      </c>
      <c r="G423" s="1468" t="s">
        <v>4620</v>
      </c>
      <c r="H423" s="1442">
        <f>NOMINA!H388</f>
        <v>44440</v>
      </c>
      <c r="I423" s="1105">
        <f>NOMINA!I388</f>
        <v>4</v>
      </c>
      <c r="J423" s="1106">
        <f>NOMINA!J388</f>
        <v>0</v>
      </c>
      <c r="K423" s="1105">
        <f t="shared" si="26"/>
        <v>4</v>
      </c>
      <c r="L423" s="1106" t="s">
        <v>4932</v>
      </c>
      <c r="M423" s="1106"/>
      <c r="N423" s="1443" t="str">
        <f>NOMINA!O388</f>
        <v>Cocinero</v>
      </c>
      <c r="O423" s="1106">
        <v>1.02087691000006E+18</v>
      </c>
      <c r="P423" s="1107">
        <f>NOMINA!W388</f>
        <v>85.5</v>
      </c>
      <c r="Q423" s="1108">
        <f>NOMINA!AG388</f>
        <v>3.42</v>
      </c>
      <c r="R423" s="1108">
        <f>NOMINA!AI388</f>
        <v>65</v>
      </c>
      <c r="S423" s="1108">
        <f>NOMINA!AK388</f>
        <v>0</v>
      </c>
      <c r="T423" s="1108">
        <f>+NOMINA!AO388</f>
        <v>0</v>
      </c>
      <c r="U423" s="1108">
        <f>+NOMINA!AQ388</f>
        <v>0</v>
      </c>
      <c r="V423" s="1108">
        <f>+NOMINA!AR388</f>
        <v>0</v>
      </c>
      <c r="W423" s="1108">
        <f>+NOMINA!AS388</f>
        <v>0</v>
      </c>
      <c r="X423" s="1108">
        <f>ROUND(NOMINA!AW388,2)</f>
        <v>0</v>
      </c>
      <c r="Y423" s="1108">
        <f>ROUND(NOMINA!AX388,2)</f>
        <v>2462.7199999999998</v>
      </c>
      <c r="Z423" s="1108">
        <f>ROUND(NOMINA!BB388,2)+ROUND(NOMINA!BF388,2)</f>
        <v>30.78</v>
      </c>
      <c r="AA423" s="1108">
        <f>ROUND(NOMINA!BK388,2)</f>
        <v>0</v>
      </c>
      <c r="AB423" s="1108">
        <f>+NOMINA!BJ388</f>
        <v>0</v>
      </c>
      <c r="AC423" s="1108">
        <f>ROUND(NOMINA!BG388,2)</f>
        <v>310</v>
      </c>
      <c r="AD423" s="1711">
        <f t="shared" si="24"/>
        <v>2957.42</v>
      </c>
      <c r="AF423" s="625"/>
    </row>
    <row r="424" spans="1:32" s="620" customFormat="1" ht="20.100000000000001" customHeight="1" thickBot="1" x14ac:dyDescent="0.25">
      <c r="A424" s="758"/>
      <c r="B424" s="508">
        <f t="shared" si="25"/>
        <v>85</v>
      </c>
      <c r="C424" s="1102">
        <f>NOMINA!C389</f>
        <v>25919888</v>
      </c>
      <c r="D424" s="1103" t="str">
        <f>NOMINA!D389</f>
        <v>Rivero Lamus Ninoska del Valle</v>
      </c>
      <c r="E424" s="1468" t="s">
        <v>4622</v>
      </c>
      <c r="F424" s="1110">
        <v>32351</v>
      </c>
      <c r="G424" s="1468" t="s">
        <v>4620</v>
      </c>
      <c r="H424" s="1442">
        <f>NOMINA!H389</f>
        <v>44805</v>
      </c>
      <c r="I424" s="1105">
        <f>NOMINA!I389</f>
        <v>3</v>
      </c>
      <c r="J424" s="1106">
        <f>NOMINA!J389</f>
        <v>0</v>
      </c>
      <c r="K424" s="1105">
        <f t="shared" si="26"/>
        <v>3</v>
      </c>
      <c r="L424" s="1106" t="s">
        <v>4932</v>
      </c>
      <c r="M424" s="1106"/>
      <c r="N424" s="1443" t="str">
        <f>NOMINA!O389</f>
        <v>Aseadora</v>
      </c>
      <c r="O424" s="1106">
        <v>1.02087691000006E+18</v>
      </c>
      <c r="P424" s="1107">
        <f>NOMINA!W389</f>
        <v>65</v>
      </c>
      <c r="Q424" s="1108">
        <f>NOMINA!AG389</f>
        <v>1.95</v>
      </c>
      <c r="R424" s="1108">
        <f>NOMINA!AI389</f>
        <v>65</v>
      </c>
      <c r="S424" s="1108">
        <f>NOMINA!AK389</f>
        <v>0</v>
      </c>
      <c r="T424" s="1108">
        <f>+NOMINA!AO389</f>
        <v>0</v>
      </c>
      <c r="U424" s="1108">
        <f>+NOMINA!AQ389</f>
        <v>0</v>
      </c>
      <c r="V424" s="1108">
        <f>+NOMINA!AR389</f>
        <v>0</v>
      </c>
      <c r="W424" s="1108">
        <f>+NOMINA!AS389</f>
        <v>0</v>
      </c>
      <c r="X424" s="1108">
        <f>ROUND(NOMINA!AW389,2)</f>
        <v>0</v>
      </c>
      <c r="Y424" s="1108">
        <f>ROUND(NOMINA!AX389,2)</f>
        <v>2311.1999999999998</v>
      </c>
      <c r="Z424" s="1108">
        <f>ROUND(NOMINA!BB389,2)+ROUND(NOMINA!BF389,2)</f>
        <v>0</v>
      </c>
      <c r="AA424" s="1108">
        <f>ROUND(NOMINA!BK389,2)</f>
        <v>0</v>
      </c>
      <c r="AB424" s="1108">
        <f>+NOMINA!BJ389</f>
        <v>0</v>
      </c>
      <c r="AC424" s="1108">
        <f>ROUND(NOMINA!BG389,2)</f>
        <v>310</v>
      </c>
      <c r="AD424" s="1711">
        <f t="shared" si="24"/>
        <v>2753.1499999999996</v>
      </c>
      <c r="AF424" s="625"/>
    </row>
    <row r="425" spans="1:32" s="620" customFormat="1" ht="20.100000000000001" customHeight="1" thickBot="1" x14ac:dyDescent="0.25">
      <c r="A425" s="758"/>
      <c r="B425" s="508">
        <f t="shared" si="25"/>
        <v>86</v>
      </c>
      <c r="C425" s="1102">
        <f>NOMINA!C390</f>
        <v>26235670</v>
      </c>
      <c r="D425" s="1103" t="str">
        <f>NOMINA!D390</f>
        <v>Viloria Garcia Kieny Keyvit</v>
      </c>
      <c r="E425" s="1468" t="s">
        <v>4622</v>
      </c>
      <c r="F425" s="1110">
        <v>32351</v>
      </c>
      <c r="G425" s="1468" t="s">
        <v>4620</v>
      </c>
      <c r="H425" s="1442">
        <f>NOMINA!H390</f>
        <v>45597</v>
      </c>
      <c r="I425" s="1105">
        <f>NOMINA!I390</f>
        <v>0</v>
      </c>
      <c r="J425" s="1106">
        <f>NOMINA!J390</f>
        <v>0</v>
      </c>
      <c r="K425" s="1105">
        <f t="shared" si="26"/>
        <v>0</v>
      </c>
      <c r="L425" s="1106" t="s">
        <v>4932</v>
      </c>
      <c r="M425" s="1106"/>
      <c r="N425" s="1443" t="str">
        <f>NOMINA!O390</f>
        <v>Ayudante de Servicios Generales</v>
      </c>
      <c r="O425" s="1106">
        <v>1.02087691000006E+18</v>
      </c>
      <c r="P425" s="1107">
        <f>NOMINA!W390</f>
        <v>71</v>
      </c>
      <c r="Q425" s="1108">
        <f>NOMINA!AG390</f>
        <v>0</v>
      </c>
      <c r="R425" s="1108">
        <f>NOMINA!AI390</f>
        <v>65</v>
      </c>
      <c r="S425" s="1108">
        <f>NOMINA!AK390</f>
        <v>0</v>
      </c>
      <c r="T425" s="1108">
        <f>+NOMINA!AO390</f>
        <v>0</v>
      </c>
      <c r="U425" s="1108">
        <f>+NOMINA!AQ390</f>
        <v>0</v>
      </c>
      <c r="V425" s="1108">
        <f>+NOMINA!AR390</f>
        <v>0</v>
      </c>
      <c r="W425" s="1108">
        <f>+NOMINA!AS390</f>
        <v>0</v>
      </c>
      <c r="X425" s="1108">
        <f>ROUND(NOMINA!AW390,2)</f>
        <v>0</v>
      </c>
      <c r="Y425" s="1108">
        <f>ROUND(NOMINA!AX390,2)</f>
        <v>0</v>
      </c>
      <c r="Z425" s="1108">
        <f>ROUND(NOMINA!BB390,2)+ROUND(NOMINA!BF390,2)</f>
        <v>0</v>
      </c>
      <c r="AA425" s="1108">
        <f>ROUND(NOMINA!BK390,2)</f>
        <v>0</v>
      </c>
      <c r="AB425" s="1108">
        <f>+NOMINA!BJ390</f>
        <v>0</v>
      </c>
      <c r="AC425" s="1108">
        <f>ROUND(NOMINA!BG390,2)</f>
        <v>310</v>
      </c>
      <c r="AD425" s="1711">
        <f t="shared" si="24"/>
        <v>446</v>
      </c>
      <c r="AF425" s="625"/>
    </row>
    <row r="426" spans="1:32" s="620" customFormat="1" ht="20.100000000000001" customHeight="1" thickBot="1" x14ac:dyDescent="0.25">
      <c r="A426" s="758"/>
      <c r="B426" s="508">
        <f t="shared" si="25"/>
        <v>87</v>
      </c>
      <c r="C426" s="1102">
        <f>NOMINA!C391</f>
        <v>26482867</v>
      </c>
      <c r="D426" s="1103" t="str">
        <f>NOMINA!D391</f>
        <v>Valecillos Duran Brando Jose</v>
      </c>
      <c r="E426" s="1468" t="s">
        <v>4622</v>
      </c>
      <c r="F426" s="1110">
        <v>32351</v>
      </c>
      <c r="G426" s="1468" t="s">
        <v>4620</v>
      </c>
      <c r="H426" s="1442">
        <f>NOMINA!H391</f>
        <v>45078</v>
      </c>
      <c r="I426" s="1105">
        <f>NOMINA!I391</f>
        <v>2</v>
      </c>
      <c r="J426" s="1106">
        <f>NOMINA!J391</f>
        <v>0</v>
      </c>
      <c r="K426" s="1105">
        <f t="shared" si="26"/>
        <v>2</v>
      </c>
      <c r="L426" s="1106" t="s">
        <v>4932</v>
      </c>
      <c r="M426" s="1106"/>
      <c r="N426" s="1443" t="str">
        <f>NOMINA!O391</f>
        <v>Ayudante de Servicios Generales</v>
      </c>
      <c r="O426" s="1106">
        <v>1.02087691000006E+18</v>
      </c>
      <c r="P426" s="1107">
        <f>NOMINA!W391</f>
        <v>76</v>
      </c>
      <c r="Q426" s="1108">
        <f>NOMINA!AG391</f>
        <v>1.52</v>
      </c>
      <c r="R426" s="1108">
        <f>NOMINA!AI391</f>
        <v>65</v>
      </c>
      <c r="S426" s="1108">
        <f>NOMINA!AK391</f>
        <v>0</v>
      </c>
      <c r="T426" s="1108">
        <f>+NOMINA!AO391</f>
        <v>0</v>
      </c>
      <c r="U426" s="1108">
        <f>+NOMINA!AQ391</f>
        <v>0</v>
      </c>
      <c r="V426" s="1108">
        <f>+NOMINA!AR391</f>
        <v>0</v>
      </c>
      <c r="W426" s="1108">
        <f>+NOMINA!AS391</f>
        <v>0</v>
      </c>
      <c r="X426" s="1108">
        <f>ROUND(NOMINA!AW391,2)</f>
        <v>0</v>
      </c>
      <c r="Y426" s="1108">
        <f>ROUND(NOMINA!AX391,2)</f>
        <v>0</v>
      </c>
      <c r="Z426" s="1108">
        <f>ROUND(NOMINA!BB391,2)+ROUND(NOMINA!BF391,2)</f>
        <v>0</v>
      </c>
      <c r="AA426" s="1108">
        <f>ROUND(NOMINA!BK391,2)</f>
        <v>0</v>
      </c>
      <c r="AB426" s="1108">
        <f>+NOMINA!BJ391</f>
        <v>0</v>
      </c>
      <c r="AC426" s="1108">
        <f>ROUND(NOMINA!BG391,2)</f>
        <v>310</v>
      </c>
      <c r="AD426" s="1711">
        <f t="shared" si="24"/>
        <v>452.52</v>
      </c>
      <c r="AF426" s="625"/>
    </row>
    <row r="427" spans="1:32" s="620" customFormat="1" ht="20.100000000000001" customHeight="1" thickBot="1" x14ac:dyDescent="0.25">
      <c r="A427" s="758"/>
      <c r="B427" s="508">
        <f t="shared" si="25"/>
        <v>88</v>
      </c>
      <c r="C427" s="1102">
        <f>NOMINA!C392</f>
        <v>27415509</v>
      </c>
      <c r="D427" s="1103" t="str">
        <f>NOMINA!D392</f>
        <v>Barreto Rivero Luis Diego</v>
      </c>
      <c r="E427" s="1468" t="s">
        <v>4622</v>
      </c>
      <c r="F427" s="1110">
        <v>32351</v>
      </c>
      <c r="G427" s="1468" t="s">
        <v>4620</v>
      </c>
      <c r="H427" s="1442">
        <f>NOMINA!H392</f>
        <v>43678</v>
      </c>
      <c r="I427" s="1105">
        <f>NOMINA!I392</f>
        <v>6</v>
      </c>
      <c r="J427" s="1106">
        <f>NOMINA!J392</f>
        <v>0</v>
      </c>
      <c r="K427" s="1105">
        <f t="shared" si="26"/>
        <v>6</v>
      </c>
      <c r="L427" s="1106" t="s">
        <v>4932</v>
      </c>
      <c r="M427" s="1106"/>
      <c r="N427" s="1443" t="str">
        <f>NOMINA!O392</f>
        <v>Ayudante de Servicios Generales</v>
      </c>
      <c r="O427" s="1106">
        <v>1.02087691000006E+18</v>
      </c>
      <c r="P427" s="1107">
        <f>NOMINA!W392</f>
        <v>76</v>
      </c>
      <c r="Q427" s="1108">
        <f>NOMINA!AG392</f>
        <v>4.71</v>
      </c>
      <c r="R427" s="1108">
        <f>NOMINA!AI392</f>
        <v>65</v>
      </c>
      <c r="S427" s="1108">
        <f>NOMINA!AK392</f>
        <v>0</v>
      </c>
      <c r="T427" s="1108">
        <f>+NOMINA!AO392</f>
        <v>0</v>
      </c>
      <c r="U427" s="1108">
        <f>+NOMINA!AQ392</f>
        <v>0</v>
      </c>
      <c r="V427" s="1108">
        <f>+NOMINA!AR392</f>
        <v>0</v>
      </c>
      <c r="W427" s="1108">
        <f>+NOMINA!AS392</f>
        <v>0</v>
      </c>
      <c r="X427" s="1108">
        <f>ROUND(NOMINA!AW392,2)</f>
        <v>0</v>
      </c>
      <c r="Y427" s="1108">
        <f>ROUND(NOMINA!AX392,2)</f>
        <v>0</v>
      </c>
      <c r="Z427" s="1108">
        <f>ROUND(NOMINA!BB392,2)+ROUND(NOMINA!BF392,2)</f>
        <v>0</v>
      </c>
      <c r="AA427" s="1108">
        <f>ROUND(NOMINA!BK392,2)</f>
        <v>0</v>
      </c>
      <c r="AB427" s="1108">
        <f>+NOMINA!BJ392</f>
        <v>0</v>
      </c>
      <c r="AC427" s="1108">
        <f>ROUND(NOMINA!BG392,2)</f>
        <v>310</v>
      </c>
      <c r="AD427" s="1711">
        <f t="shared" si="24"/>
        <v>455.71</v>
      </c>
      <c r="AF427" s="625"/>
    </row>
    <row r="428" spans="1:32" s="620" customFormat="1" ht="20.100000000000001" customHeight="1" thickBot="1" x14ac:dyDescent="0.25">
      <c r="A428" s="758"/>
      <c r="B428" s="508">
        <f t="shared" si="25"/>
        <v>89</v>
      </c>
      <c r="C428" s="1102">
        <f>NOMINA!C393</f>
        <v>27470077</v>
      </c>
      <c r="D428" s="1103" t="str">
        <f>NOMINA!D393</f>
        <v>Gonzalez Castellanos Yusberly Yohandri</v>
      </c>
      <c r="E428" s="1468" t="s">
        <v>4622</v>
      </c>
      <c r="F428" s="1110">
        <v>32351</v>
      </c>
      <c r="G428" s="1468" t="s">
        <v>4620</v>
      </c>
      <c r="H428" s="1442">
        <f>NOMINA!H393</f>
        <v>44743</v>
      </c>
      <c r="I428" s="1105">
        <f>NOMINA!I393</f>
        <v>3</v>
      </c>
      <c r="J428" s="1106">
        <f>NOMINA!J393</f>
        <v>0</v>
      </c>
      <c r="K428" s="1105">
        <f t="shared" si="26"/>
        <v>3</v>
      </c>
      <c r="L428" s="1106" t="s">
        <v>4932</v>
      </c>
      <c r="M428" s="1106"/>
      <c r="N428" s="1443" t="str">
        <f>NOMINA!O393</f>
        <v>Aseadora</v>
      </c>
      <c r="O428" s="1106">
        <v>1.02087691000006E+18</v>
      </c>
      <c r="P428" s="1107">
        <f>NOMINA!W393</f>
        <v>65</v>
      </c>
      <c r="Q428" s="1108">
        <f>NOMINA!AG393</f>
        <v>1.95</v>
      </c>
      <c r="R428" s="1108">
        <f>NOMINA!AI393</f>
        <v>65</v>
      </c>
      <c r="S428" s="1108">
        <f>NOMINA!AK393</f>
        <v>0</v>
      </c>
      <c r="T428" s="1108">
        <f>+NOMINA!AO393</f>
        <v>0</v>
      </c>
      <c r="U428" s="1108">
        <f>+NOMINA!AQ393</f>
        <v>0</v>
      </c>
      <c r="V428" s="1108">
        <f>+NOMINA!AR393</f>
        <v>0</v>
      </c>
      <c r="W428" s="1108">
        <f>+NOMINA!AS393</f>
        <v>0</v>
      </c>
      <c r="X428" s="1108">
        <f>ROUND(NOMINA!AW393,2)</f>
        <v>0</v>
      </c>
      <c r="Y428" s="1108">
        <f>ROUND(NOMINA!AX393,2)</f>
        <v>0</v>
      </c>
      <c r="Z428" s="1108">
        <f>ROUND(NOMINA!BB393,2)+ROUND(NOMINA!BF393,2)</f>
        <v>0</v>
      </c>
      <c r="AA428" s="1108">
        <f>ROUND(NOMINA!BK393,2)</f>
        <v>0</v>
      </c>
      <c r="AB428" s="1108">
        <f>+NOMINA!BJ393</f>
        <v>0</v>
      </c>
      <c r="AC428" s="1108">
        <f>ROUND(NOMINA!BG393,2)</f>
        <v>310</v>
      </c>
      <c r="AD428" s="1711">
        <f t="shared" si="24"/>
        <v>441.95</v>
      </c>
      <c r="AF428" s="625"/>
    </row>
    <row r="429" spans="1:32" s="620" customFormat="1" ht="20.100000000000001" customHeight="1" thickBot="1" x14ac:dyDescent="0.25">
      <c r="A429" s="758"/>
      <c r="B429" s="508">
        <f t="shared" si="25"/>
        <v>90</v>
      </c>
      <c r="C429" s="1102">
        <f>NOMINA!C394</f>
        <v>29539270</v>
      </c>
      <c r="D429" s="1103" t="str">
        <f>NOMINA!D394</f>
        <v>Rojas Carrillo Laureano Augusto</v>
      </c>
      <c r="E429" s="1468" t="s">
        <v>4622</v>
      </c>
      <c r="F429" s="1110">
        <v>32351</v>
      </c>
      <c r="G429" s="1468" t="s">
        <v>4620</v>
      </c>
      <c r="H429" s="1442">
        <f>NOMINA!H394</f>
        <v>44287</v>
      </c>
      <c r="I429" s="1105">
        <f>NOMINA!I394</f>
        <v>4</v>
      </c>
      <c r="J429" s="1106">
        <f>NOMINA!J394</f>
        <v>0</v>
      </c>
      <c r="K429" s="1105">
        <f t="shared" si="26"/>
        <v>4</v>
      </c>
      <c r="L429" s="1106" t="s">
        <v>4932</v>
      </c>
      <c r="M429" s="1106"/>
      <c r="N429" s="1443" t="str">
        <f>NOMINA!O394</f>
        <v>Ayudante de Servicios Generales</v>
      </c>
      <c r="O429" s="1106">
        <v>1.02087691000006E+18</v>
      </c>
      <c r="P429" s="1107">
        <f>NOMINA!W394</f>
        <v>76</v>
      </c>
      <c r="Q429" s="1108">
        <f>NOMINA!AG394</f>
        <v>3.04</v>
      </c>
      <c r="R429" s="1108">
        <f>NOMINA!AI394</f>
        <v>65</v>
      </c>
      <c r="S429" s="1108">
        <f>NOMINA!AK394</f>
        <v>0</v>
      </c>
      <c r="T429" s="1108">
        <f>+NOMINA!AO394</f>
        <v>0</v>
      </c>
      <c r="U429" s="1108">
        <f>+NOMINA!AQ394</f>
        <v>0</v>
      </c>
      <c r="V429" s="1108">
        <f>+NOMINA!AR394</f>
        <v>12.5</v>
      </c>
      <c r="W429" s="1108">
        <f>+NOMINA!AS394</f>
        <v>0</v>
      </c>
      <c r="X429" s="1108">
        <f>ROUND(NOMINA!AW394,2)</f>
        <v>0</v>
      </c>
      <c r="Y429" s="1108">
        <f>ROUND(NOMINA!AX394,2)</f>
        <v>0</v>
      </c>
      <c r="Z429" s="1108">
        <f>ROUND(NOMINA!BB394,2)+ROUND(NOMINA!BF394,2)</f>
        <v>0</v>
      </c>
      <c r="AA429" s="1108">
        <f>ROUND(NOMINA!BK394,2)</f>
        <v>0</v>
      </c>
      <c r="AB429" s="1108">
        <f>+NOMINA!BJ394</f>
        <v>0</v>
      </c>
      <c r="AC429" s="1108">
        <f>ROUND(NOMINA!BG394,2)</f>
        <v>310</v>
      </c>
      <c r="AD429" s="1711">
        <f t="shared" si="24"/>
        <v>466.54</v>
      </c>
      <c r="AF429" s="625"/>
    </row>
    <row r="430" spans="1:32" s="620" customFormat="1" ht="20.100000000000001" customHeight="1" thickBot="1" x14ac:dyDescent="0.25">
      <c r="A430" s="758"/>
      <c r="B430" s="508">
        <f t="shared" si="25"/>
        <v>91</v>
      </c>
      <c r="C430" s="1102">
        <f>NOMINA!C395</f>
        <v>29994277</v>
      </c>
      <c r="D430" s="1103" t="str">
        <f>NOMINA!D395</f>
        <v>Quintero Rangel Jose Arsenio</v>
      </c>
      <c r="E430" s="1468" t="s">
        <v>4622</v>
      </c>
      <c r="F430" s="1110">
        <v>32351</v>
      </c>
      <c r="G430" s="1468" t="s">
        <v>4620</v>
      </c>
      <c r="H430" s="1442">
        <f>NOMINA!H395</f>
        <v>44562</v>
      </c>
      <c r="I430" s="1105">
        <f>NOMINA!I395</f>
        <v>3</v>
      </c>
      <c r="J430" s="1106">
        <f>NOMINA!J395</f>
        <v>0</v>
      </c>
      <c r="K430" s="1105">
        <f t="shared" si="26"/>
        <v>3</v>
      </c>
      <c r="L430" s="1106" t="s">
        <v>4932</v>
      </c>
      <c r="M430" s="1106"/>
      <c r="N430" s="1443" t="str">
        <f>NOMINA!O395</f>
        <v>Ayudante de Servicios Generales</v>
      </c>
      <c r="O430" s="1106">
        <v>1.02087691000006E+18</v>
      </c>
      <c r="P430" s="1107">
        <f>NOMINA!W395</f>
        <v>76</v>
      </c>
      <c r="Q430" s="1108">
        <f>NOMINA!AG395</f>
        <v>2.2799999999999998</v>
      </c>
      <c r="R430" s="1108">
        <f>NOMINA!AI395</f>
        <v>65</v>
      </c>
      <c r="S430" s="1108">
        <f>NOMINA!AK395</f>
        <v>0</v>
      </c>
      <c r="T430" s="1108">
        <f>+NOMINA!AO395</f>
        <v>0</v>
      </c>
      <c r="U430" s="1108">
        <f>+NOMINA!AQ395</f>
        <v>0</v>
      </c>
      <c r="V430" s="1108">
        <f>+NOMINA!AR395</f>
        <v>0</v>
      </c>
      <c r="W430" s="1108">
        <f>+NOMINA!AS395</f>
        <v>0</v>
      </c>
      <c r="X430" s="1108">
        <f>ROUND(NOMINA!AW395,2)</f>
        <v>0</v>
      </c>
      <c r="Y430" s="1108">
        <f>ROUND(NOMINA!AX395,2)</f>
        <v>0</v>
      </c>
      <c r="Z430" s="1108">
        <f>ROUND(NOMINA!BB395,2)+ROUND(NOMINA!BF395,2)</f>
        <v>28.66</v>
      </c>
      <c r="AA430" s="1108">
        <f>ROUND(NOMINA!BK395,2)</f>
        <v>0</v>
      </c>
      <c r="AB430" s="1108">
        <f>+NOMINA!BJ395</f>
        <v>0</v>
      </c>
      <c r="AC430" s="1108">
        <f>ROUND(NOMINA!BG395,2)</f>
        <v>310</v>
      </c>
      <c r="AD430" s="1711">
        <f t="shared" si="24"/>
        <v>481.94</v>
      </c>
      <c r="AF430" s="625"/>
    </row>
    <row r="431" spans="1:32" s="620" customFormat="1" ht="20.100000000000001" customHeight="1" thickBot="1" x14ac:dyDescent="0.25">
      <c r="A431" s="758" t="s">
        <v>2846</v>
      </c>
      <c r="B431" s="508">
        <f t="shared" si="25"/>
        <v>92</v>
      </c>
      <c r="C431" s="1102">
        <f>NOMINA!C396</f>
        <v>32084560</v>
      </c>
      <c r="D431" s="1103" t="str">
        <f>NOMINA!D396</f>
        <v>Hernandez Gomez Carmen Elena</v>
      </c>
      <c r="E431" s="1468" t="s">
        <v>4622</v>
      </c>
      <c r="F431" s="1110">
        <v>32351</v>
      </c>
      <c r="G431" s="1468" t="s">
        <v>4620</v>
      </c>
      <c r="H431" s="1442">
        <f>NOMINA!H396</f>
        <v>44348</v>
      </c>
      <c r="I431" s="1105">
        <f>NOMINA!I396</f>
        <v>4</v>
      </c>
      <c r="J431" s="1106">
        <f>NOMINA!J396</f>
        <v>0</v>
      </c>
      <c r="K431" s="1105">
        <f t="shared" si="26"/>
        <v>4</v>
      </c>
      <c r="L431" s="1106" t="s">
        <v>4932</v>
      </c>
      <c r="M431" s="1106"/>
      <c r="N431" s="1443" t="str">
        <f>NOMINA!O396</f>
        <v xml:space="preserve">Cocinera </v>
      </c>
      <c r="O431" s="1106">
        <v>1.02087691000006E+18</v>
      </c>
      <c r="P431" s="1107">
        <f>NOMINA!W396</f>
        <v>85.5</v>
      </c>
      <c r="Q431" s="1108">
        <f>NOMINA!AG396</f>
        <v>3.42</v>
      </c>
      <c r="R431" s="1108">
        <f>NOMINA!AI396</f>
        <v>65</v>
      </c>
      <c r="S431" s="1108">
        <f>NOMINA!AK396</f>
        <v>0</v>
      </c>
      <c r="T431" s="1108">
        <f>+NOMINA!AO396</f>
        <v>0</v>
      </c>
      <c r="U431" s="1108">
        <f>+NOMINA!AQ396</f>
        <v>0</v>
      </c>
      <c r="V431" s="1108">
        <f>+NOMINA!AR396</f>
        <v>0</v>
      </c>
      <c r="W431" s="1108">
        <f>+NOMINA!AS396</f>
        <v>0</v>
      </c>
      <c r="X431" s="1108">
        <f>ROUND(NOMINA!AW396,2)</f>
        <v>0</v>
      </c>
      <c r="Y431" s="1108">
        <f>ROUND(NOMINA!AX396,2)</f>
        <v>0</v>
      </c>
      <c r="Z431" s="1108">
        <f>ROUND(NOMINA!BB396,2)+ROUND(NOMINA!BF396,2)</f>
        <v>32.03</v>
      </c>
      <c r="AA431" s="1108">
        <f>ROUND(NOMINA!BK396,2)</f>
        <v>0</v>
      </c>
      <c r="AB431" s="1108">
        <f>+NOMINA!BJ396</f>
        <v>0</v>
      </c>
      <c r="AC431" s="1108">
        <f>ROUND(NOMINA!BG396,2)</f>
        <v>310</v>
      </c>
      <c r="AD431" s="1711">
        <f t="shared" si="24"/>
        <v>495.95000000000005</v>
      </c>
      <c r="AF431" s="625"/>
    </row>
    <row r="432" spans="1:32" s="620" customFormat="1" ht="39.950000000000003" customHeight="1" thickBot="1" x14ac:dyDescent="0.3">
      <c r="A432" s="699"/>
      <c r="B432" s="667"/>
      <c r="C432" s="1087" t="s">
        <v>4493</v>
      </c>
      <c r="D432" s="1065"/>
      <c r="E432" s="1065"/>
      <c r="F432" s="1065"/>
      <c r="G432" s="1065"/>
      <c r="H432" s="1066"/>
      <c r="I432" s="1065"/>
      <c r="J432" s="1065"/>
      <c r="K432" s="1065"/>
      <c r="L432" s="1065"/>
      <c r="M432" s="1065"/>
      <c r="N432" s="1095"/>
      <c r="O432" s="668"/>
      <c r="P432" s="670">
        <f t="shared" ref="P432:AD432" si="27">SUM(P340:P431)</f>
        <v>7122</v>
      </c>
      <c r="Q432" s="670">
        <f t="shared" si="27"/>
        <v>722.14999999999975</v>
      </c>
      <c r="R432" s="670">
        <f t="shared" si="27"/>
        <v>5980</v>
      </c>
      <c r="S432" s="670">
        <f t="shared" si="27"/>
        <v>0</v>
      </c>
      <c r="T432" s="670">
        <f t="shared" si="27"/>
        <v>200</v>
      </c>
      <c r="U432" s="670">
        <f t="shared" si="27"/>
        <v>12.5</v>
      </c>
      <c r="V432" s="670">
        <f t="shared" si="27"/>
        <v>12.5</v>
      </c>
      <c r="W432" s="670">
        <f t="shared" si="27"/>
        <v>12.5</v>
      </c>
      <c r="X432" s="670">
        <f t="shared" si="27"/>
        <v>1243.3900000000001</v>
      </c>
      <c r="Y432" s="670">
        <f t="shared" si="27"/>
        <v>20116.240000000002</v>
      </c>
      <c r="Z432" s="670">
        <f t="shared" si="27"/>
        <v>887.30000000000007</v>
      </c>
      <c r="AA432" s="670">
        <f t="shared" si="27"/>
        <v>0</v>
      </c>
      <c r="AB432" s="670">
        <f t="shared" si="27"/>
        <v>0</v>
      </c>
      <c r="AC432" s="670">
        <f t="shared" si="27"/>
        <v>28520</v>
      </c>
      <c r="AD432" s="1449">
        <f t="shared" si="27"/>
        <v>64828.57999999998</v>
      </c>
      <c r="AE432" s="625">
        <f>+AD432-NOMINA!CC397</f>
        <v>0</v>
      </c>
      <c r="AF432" s="625"/>
    </row>
    <row r="433" spans="1:32" s="620" customFormat="1" x14ac:dyDescent="0.2">
      <c r="A433" s="1699"/>
      <c r="B433" s="619"/>
      <c r="D433" s="622"/>
      <c r="F433" s="622"/>
      <c r="G433" s="1699"/>
      <c r="H433" s="701"/>
      <c r="P433" s="619"/>
      <c r="Q433" s="619"/>
      <c r="R433" s="619"/>
      <c r="S433" s="619"/>
      <c r="T433" s="619"/>
      <c r="U433" s="619"/>
      <c r="V433" s="619"/>
      <c r="W433" s="619"/>
      <c r="X433" s="619"/>
      <c r="Y433" s="619"/>
      <c r="Z433" s="619"/>
      <c r="AA433" s="619"/>
      <c r="AB433" s="619"/>
      <c r="AC433" s="619"/>
      <c r="AF433" s="625"/>
    </row>
    <row r="434" spans="1:32" s="620" customFormat="1" ht="15.75" customHeight="1" thickBot="1" x14ac:dyDescent="0.25">
      <c r="A434" s="1699"/>
      <c r="B434" s="619"/>
      <c r="D434" s="622"/>
      <c r="F434" s="622"/>
      <c r="G434" s="1699"/>
      <c r="H434" s="701"/>
      <c r="P434" s="619"/>
      <c r="Q434" s="619"/>
      <c r="R434" s="619"/>
      <c r="S434" s="619"/>
      <c r="T434" s="619"/>
      <c r="U434" s="619"/>
      <c r="V434" s="619"/>
      <c r="W434" s="619"/>
      <c r="X434" s="619"/>
      <c r="Y434" s="619"/>
      <c r="Z434" s="619"/>
      <c r="AA434" s="619"/>
      <c r="AB434" s="619"/>
      <c r="AC434" s="619"/>
    </row>
    <row r="435" spans="1:32" s="702" customFormat="1" ht="39.950000000000003" customHeight="1" thickBot="1" x14ac:dyDescent="0.3">
      <c r="B435" s="1099">
        <f>+B431+B326+B57+B14</f>
        <v>378</v>
      </c>
      <c r="C435" s="1098" t="s">
        <v>2875</v>
      </c>
      <c r="D435" s="705"/>
      <c r="E435" s="706"/>
      <c r="F435" s="705"/>
      <c r="G435" s="706"/>
      <c r="H435" s="970"/>
      <c r="I435" s="706"/>
      <c r="J435" s="706"/>
      <c r="K435" s="706"/>
      <c r="L435" s="706"/>
      <c r="M435" s="706"/>
      <c r="N435" s="813"/>
      <c r="O435" s="706"/>
      <c r="P435" s="708">
        <f t="shared" ref="P435:AD435" si="28">P15+P58+P327+P432</f>
        <v>37335</v>
      </c>
      <c r="Q435" s="708">
        <f t="shared" si="28"/>
        <v>4297.070000000007</v>
      </c>
      <c r="R435" s="708">
        <f t="shared" si="28"/>
        <v>23140</v>
      </c>
      <c r="S435" s="708">
        <f t="shared" si="28"/>
        <v>8960.93</v>
      </c>
      <c r="T435" s="708">
        <f t="shared" si="28"/>
        <v>1437.5</v>
      </c>
      <c r="U435" s="708">
        <f t="shared" si="28"/>
        <v>25</v>
      </c>
      <c r="V435" s="708">
        <f t="shared" si="28"/>
        <v>62.5</v>
      </c>
      <c r="W435" s="708">
        <f t="shared" si="28"/>
        <v>25</v>
      </c>
      <c r="X435" s="708">
        <f t="shared" si="28"/>
        <v>11101.7</v>
      </c>
      <c r="Y435" s="708">
        <f t="shared" si="28"/>
        <v>131269.75999999998</v>
      </c>
      <c r="Z435" s="708">
        <f t="shared" si="28"/>
        <v>6353.5</v>
      </c>
      <c r="AA435" s="708">
        <f t="shared" si="28"/>
        <v>0</v>
      </c>
      <c r="AB435" s="708">
        <f t="shared" si="28"/>
        <v>3312.5</v>
      </c>
      <c r="AC435" s="708">
        <f t="shared" si="28"/>
        <v>113320</v>
      </c>
      <c r="AD435" s="708">
        <f t="shared" si="28"/>
        <v>340640.4599999999</v>
      </c>
      <c r="AE435" s="625">
        <f>+AD435-NOMINA!CC400</f>
        <v>0</v>
      </c>
      <c r="AF435" s="625"/>
    </row>
    <row r="436" spans="1:32" s="620" customFormat="1" ht="21.75" customHeight="1" x14ac:dyDescent="0.2">
      <c r="A436" s="1699"/>
      <c r="B436" s="619"/>
      <c r="D436" s="622"/>
      <c r="F436" s="622"/>
      <c r="G436" s="1699"/>
      <c r="H436" s="623"/>
      <c r="I436" s="1699"/>
      <c r="J436" s="1699"/>
      <c r="K436" s="1699"/>
      <c r="L436" s="1699"/>
      <c r="M436" s="1699"/>
      <c r="O436" s="1699"/>
      <c r="P436" s="624"/>
      <c r="Q436" s="624"/>
      <c r="R436" s="624"/>
      <c r="S436" s="624"/>
      <c r="T436" s="624"/>
      <c r="U436" s="624"/>
      <c r="V436" s="624"/>
      <c r="W436" s="624"/>
      <c r="X436" s="624"/>
      <c r="Y436" s="624"/>
      <c r="Z436" s="624"/>
      <c r="AA436" s="624"/>
      <c r="AB436" s="624"/>
      <c r="AC436" s="624"/>
      <c r="AD436" s="625"/>
    </row>
    <row r="437" spans="1:32" s="620" customFormat="1" x14ac:dyDescent="0.2">
      <c r="A437" s="1699"/>
      <c r="C437" s="714"/>
      <c r="D437" s="726" t="s">
        <v>5833</v>
      </c>
      <c r="E437" s="716"/>
      <c r="F437" s="716"/>
      <c r="G437" s="716"/>
      <c r="I437" s="715"/>
      <c r="L437" s="716"/>
      <c r="M437" s="716"/>
      <c r="N437" s="716"/>
      <c r="O437" s="716"/>
      <c r="R437" s="716"/>
      <c r="S437" s="717" t="s">
        <v>5834</v>
      </c>
      <c r="T437" s="814"/>
      <c r="U437" s="814"/>
      <c r="V437" s="814"/>
      <c r="W437" s="814"/>
      <c r="Z437" s="715" t="s">
        <v>5835</v>
      </c>
      <c r="AA437" s="716"/>
      <c r="AB437" s="716"/>
      <c r="AC437" s="815"/>
      <c r="AD437" s="625"/>
    </row>
    <row r="438" spans="1:32" s="620" customFormat="1" x14ac:dyDescent="0.2">
      <c r="A438" s="1699"/>
      <c r="B438" s="714"/>
      <c r="C438" s="714"/>
      <c r="D438" s="718"/>
      <c r="E438" s="716"/>
      <c r="F438" s="716"/>
      <c r="G438" s="716"/>
      <c r="I438" s="714"/>
      <c r="L438" s="716"/>
      <c r="M438" s="716"/>
      <c r="N438" s="719"/>
      <c r="O438" s="716"/>
      <c r="R438" s="716"/>
      <c r="S438" s="719"/>
      <c r="T438" s="719"/>
      <c r="U438" s="719"/>
      <c r="V438" s="719"/>
      <c r="W438" s="719"/>
      <c r="Z438" s="720"/>
      <c r="AA438" s="716"/>
      <c r="AB438" s="716"/>
      <c r="AC438" s="719"/>
      <c r="AD438" s="625"/>
    </row>
    <row r="439" spans="1:32" s="620" customFormat="1" x14ac:dyDescent="0.2">
      <c r="A439" s="1699"/>
      <c r="B439" s="721"/>
      <c r="C439" s="722"/>
      <c r="D439" s="723"/>
      <c r="E439" s="724"/>
      <c r="F439" s="724"/>
      <c r="G439" s="724"/>
      <c r="I439" s="721"/>
      <c r="L439" s="724"/>
      <c r="M439" s="724"/>
      <c r="N439" s="814"/>
      <c r="O439" s="724"/>
      <c r="R439" s="724"/>
      <c r="S439" s="722"/>
      <c r="T439" s="724"/>
      <c r="U439" s="724"/>
      <c r="V439" s="724"/>
      <c r="W439" s="724"/>
      <c r="Z439" s="715"/>
      <c r="AA439" s="724"/>
      <c r="AB439" s="724"/>
      <c r="AC439" s="724"/>
      <c r="AD439" s="625"/>
    </row>
    <row r="440" spans="1:32" s="620" customFormat="1" x14ac:dyDescent="0.2">
      <c r="A440" s="1699"/>
      <c r="B440" s="725" t="s">
        <v>6752</v>
      </c>
      <c r="C440" s="726"/>
      <c r="D440" s="724"/>
      <c r="E440" s="724"/>
      <c r="F440" s="724"/>
      <c r="G440" s="724"/>
      <c r="H440" s="725" t="s">
        <v>6116</v>
      </c>
      <c r="I440" s="725"/>
      <c r="K440" s="602"/>
      <c r="L440" s="785"/>
      <c r="M440" s="784"/>
      <c r="N440" s="786"/>
      <c r="O440" s="724"/>
      <c r="R440" s="724"/>
      <c r="S440" s="727" t="s">
        <v>5836</v>
      </c>
      <c r="T440" s="724"/>
      <c r="U440" s="724"/>
      <c r="V440" s="724"/>
      <c r="W440" s="724"/>
      <c r="Z440" s="715" t="s">
        <v>5847</v>
      </c>
      <c r="AA440" s="724"/>
      <c r="AB440" s="724"/>
      <c r="AC440" s="724"/>
      <c r="AD440" s="625"/>
    </row>
    <row r="441" spans="1:32" s="620" customFormat="1" x14ac:dyDescent="0.2">
      <c r="A441" s="1699"/>
      <c r="B441" s="725" t="s">
        <v>6753</v>
      </c>
      <c r="C441" s="726"/>
      <c r="D441" s="724"/>
      <c r="E441" s="724"/>
      <c r="F441" s="724"/>
      <c r="G441" s="724"/>
      <c r="H441" s="725" t="s">
        <v>6117</v>
      </c>
      <c r="I441" s="725"/>
      <c r="K441" s="602"/>
      <c r="L441" s="785"/>
      <c r="M441" s="784"/>
      <c r="N441" s="786"/>
      <c r="O441" s="724"/>
      <c r="R441" s="724"/>
      <c r="S441" s="727" t="s">
        <v>5838</v>
      </c>
      <c r="T441" s="724"/>
      <c r="U441" s="724"/>
      <c r="V441" s="724"/>
      <c r="W441" s="724"/>
      <c r="Z441" s="725" t="s">
        <v>5839</v>
      </c>
      <c r="AA441" s="724"/>
      <c r="AB441" s="724"/>
      <c r="AC441" s="814"/>
      <c r="AD441" s="625"/>
    </row>
    <row r="442" spans="1:32" s="620" customFormat="1" x14ac:dyDescent="0.2">
      <c r="A442" s="1699"/>
      <c r="B442" s="725" t="s">
        <v>5240</v>
      </c>
      <c r="C442" s="726"/>
      <c r="D442" s="724"/>
      <c r="E442" s="724"/>
      <c r="F442" s="724"/>
      <c r="G442" s="724"/>
      <c r="H442" s="725" t="s">
        <v>5261</v>
      </c>
      <c r="I442" s="725"/>
      <c r="K442" s="602"/>
      <c r="L442" s="785"/>
      <c r="M442" s="784"/>
      <c r="N442" s="786"/>
      <c r="O442" s="724"/>
      <c r="R442" s="724"/>
      <c r="S442" s="727" t="s">
        <v>5840</v>
      </c>
      <c r="T442" s="724"/>
      <c r="U442" s="724"/>
      <c r="V442" s="724"/>
      <c r="W442" s="724"/>
      <c r="Z442" s="715" t="s">
        <v>5841</v>
      </c>
      <c r="AA442" s="724"/>
      <c r="AB442" s="724"/>
      <c r="AC442" s="724"/>
      <c r="AD442" s="625"/>
    </row>
    <row r="443" spans="1:32" s="620" customFormat="1" x14ac:dyDescent="0.2">
      <c r="A443" s="1699"/>
      <c r="B443" s="619"/>
      <c r="D443" s="622"/>
      <c r="F443" s="622"/>
      <c r="G443" s="1699"/>
      <c r="H443" s="623"/>
      <c r="I443" s="1773"/>
      <c r="J443" s="1773"/>
      <c r="K443" s="1699"/>
      <c r="L443" s="1699"/>
      <c r="M443" s="1699"/>
      <c r="P443" s="624"/>
      <c r="Q443" s="624"/>
      <c r="R443" s="624"/>
      <c r="S443" s="624"/>
      <c r="T443" s="624"/>
      <c r="U443" s="624"/>
      <c r="V443" s="624"/>
      <c r="W443" s="624"/>
      <c r="X443" s="619"/>
      <c r="Y443" s="624"/>
      <c r="Z443" s="619"/>
      <c r="AA443" s="619"/>
      <c r="AB443" s="619"/>
      <c r="AC443" s="624"/>
      <c r="AD443" s="625"/>
    </row>
    <row r="444" spans="1:32" s="620" customFormat="1" x14ac:dyDescent="0.2">
      <c r="A444" s="1699"/>
      <c r="B444" s="619"/>
      <c r="D444" s="622"/>
      <c r="F444" s="622"/>
      <c r="G444" s="1699"/>
      <c r="H444" s="623"/>
      <c r="I444" s="1773"/>
      <c r="J444" s="1773"/>
      <c r="K444" s="1699"/>
      <c r="L444" s="1699"/>
      <c r="M444" s="1699"/>
      <c r="P444" s="624"/>
      <c r="Q444" s="624"/>
      <c r="R444" s="624"/>
      <c r="S444" s="624"/>
      <c r="T444" s="624"/>
      <c r="U444" s="624"/>
      <c r="V444" s="624"/>
      <c r="W444" s="624"/>
      <c r="X444" s="619"/>
      <c r="Y444" s="624"/>
      <c r="Z444" s="619"/>
      <c r="AA444" s="619"/>
      <c r="AB444" s="619"/>
      <c r="AC444" s="624"/>
      <c r="AD444" s="625"/>
    </row>
    <row r="445" spans="1:32" ht="12" x14ac:dyDescent="0.2">
      <c r="A445" s="265"/>
      <c r="B445" s="265"/>
      <c r="D445" s="265"/>
      <c r="F445" s="265"/>
      <c r="G445" s="265"/>
      <c r="H445" s="265"/>
      <c r="I445" s="265"/>
      <c r="J445" s="265"/>
      <c r="K445" s="265"/>
      <c r="L445" s="265"/>
      <c r="M445" s="265"/>
      <c r="P445" s="730"/>
      <c r="Q445" s="265"/>
      <c r="R445" s="265"/>
      <c r="S445" s="265"/>
      <c r="T445" s="265"/>
      <c r="U445" s="265"/>
      <c r="V445" s="265"/>
      <c r="W445" s="265"/>
      <c r="X445" s="265"/>
      <c r="Y445" s="265"/>
      <c r="Z445" s="265"/>
      <c r="AA445" s="265"/>
      <c r="AB445" s="265"/>
      <c r="AC445" s="265"/>
      <c r="AD445" s="265"/>
    </row>
    <row r="446" spans="1:32" ht="12" x14ac:dyDescent="0.2">
      <c r="A446" s="265"/>
      <c r="B446" s="265"/>
      <c r="D446" s="265"/>
      <c r="F446" s="265"/>
      <c r="G446" s="265"/>
      <c r="H446" s="265"/>
      <c r="I446" s="265"/>
      <c r="J446" s="265"/>
      <c r="K446" s="265"/>
      <c r="L446" s="265"/>
      <c r="M446" s="265"/>
      <c r="P446" s="730"/>
      <c r="Q446" s="265"/>
      <c r="R446" s="265"/>
      <c r="S446" s="265"/>
      <c r="T446" s="265"/>
      <c r="U446" s="265"/>
      <c r="V446" s="265"/>
      <c r="W446" s="265"/>
      <c r="X446" s="265"/>
      <c r="Y446" s="265"/>
      <c r="Z446" s="265"/>
      <c r="AA446" s="265"/>
      <c r="AB446" s="265"/>
      <c r="AC446" s="265"/>
      <c r="AD446" s="265"/>
    </row>
    <row r="447" spans="1:32" ht="12" x14ac:dyDescent="0.2">
      <c r="A447" s="265"/>
      <c r="B447" s="265"/>
      <c r="D447" s="265"/>
      <c r="F447" s="265"/>
      <c r="G447" s="265"/>
      <c r="H447" s="265"/>
      <c r="I447" s="265"/>
      <c r="J447" s="265"/>
      <c r="K447" s="265"/>
      <c r="L447" s="265"/>
      <c r="M447" s="265"/>
      <c r="P447" s="730"/>
      <c r="Q447" s="265"/>
      <c r="R447" s="265"/>
      <c r="S447" s="265"/>
      <c r="T447" s="265"/>
      <c r="U447" s="265"/>
      <c r="V447" s="265"/>
      <c r="W447" s="265"/>
      <c r="X447" s="265"/>
      <c r="Y447" s="265"/>
      <c r="Z447" s="265"/>
      <c r="AA447" s="265"/>
      <c r="AB447" s="265"/>
      <c r="AC447" s="265"/>
      <c r="AD447" s="265"/>
    </row>
    <row r="448" spans="1:32" ht="12" x14ac:dyDescent="0.2">
      <c r="A448" s="265"/>
      <c r="B448" s="265"/>
      <c r="D448" s="265"/>
      <c r="F448" s="265"/>
      <c r="G448" s="265"/>
      <c r="H448" s="265"/>
      <c r="I448" s="265"/>
      <c r="J448" s="265"/>
      <c r="K448" s="265"/>
      <c r="L448" s="265"/>
      <c r="M448" s="265"/>
      <c r="P448" s="730"/>
      <c r="Q448" s="265"/>
      <c r="R448" s="265"/>
      <c r="S448" s="265"/>
      <c r="T448" s="265"/>
      <c r="U448" s="265"/>
      <c r="V448" s="265"/>
      <c r="W448" s="265"/>
      <c r="X448" s="265"/>
      <c r="Y448" s="265"/>
      <c r="Z448" s="265"/>
      <c r="AA448" s="265"/>
      <c r="AB448" s="265"/>
      <c r="AC448" s="265"/>
      <c r="AD448" s="265"/>
    </row>
    <row r="449" spans="16:16" s="265" customFormat="1" ht="12" x14ac:dyDescent="0.2">
      <c r="P449" s="730"/>
    </row>
    <row r="450" spans="16:16" s="265" customFormat="1" ht="12" x14ac:dyDescent="0.2">
      <c r="P450" s="730"/>
    </row>
    <row r="451" spans="16:16" s="265" customFormat="1" ht="12" x14ac:dyDescent="0.2">
      <c r="P451" s="730"/>
    </row>
    <row r="452" spans="16:16" s="265" customFormat="1" ht="12" x14ac:dyDescent="0.2">
      <c r="P452" s="730"/>
    </row>
    <row r="453" spans="16:16" s="265" customFormat="1" ht="12" x14ac:dyDescent="0.2">
      <c r="P453" s="730"/>
    </row>
    <row r="454" spans="16:16" s="265" customFormat="1" ht="12" x14ac:dyDescent="0.2">
      <c r="P454" s="730"/>
    </row>
    <row r="455" spans="16:16" s="265" customFormat="1" ht="12" x14ac:dyDescent="0.2">
      <c r="P455" s="730"/>
    </row>
    <row r="456" spans="16:16" s="265" customFormat="1" ht="12" x14ac:dyDescent="0.2">
      <c r="P456" s="730"/>
    </row>
    <row r="457" spans="16:16" s="265" customFormat="1" ht="12" x14ac:dyDescent="0.2">
      <c r="P457" s="730"/>
    </row>
  </sheetData>
  <sheetProtection formatCells="0" formatColumns="0" formatRows="0" insertColumns="0" insertRows="0" deleteColumns="0" deleteRows="0" sort="0" autoFilter="0"/>
  <dataConsolidate/>
  <mergeCells count="4">
    <mergeCell ref="L10:M10"/>
    <mergeCell ref="Q10:R10"/>
    <mergeCell ref="I443:J443"/>
    <mergeCell ref="I444:J444"/>
  </mergeCells>
  <pageMargins left="0.39370078740157483" right="0" top="0.59055118110236227" bottom="0.59055118110236227" header="0.31496062992125984" footer="0.31496062992125984"/>
  <pageSetup paperSize="258" scale="46" orientation="landscape" r:id="rId1"/>
  <rowBreaks count="3" manualBreakCount="3">
    <brk id="31" min="1" max="45" man="1"/>
    <brk id="66" min="1" max="45" man="1"/>
    <brk id="338" min="1" max="4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FF0000"/>
  </sheetPr>
  <dimension ref="A1:AN414"/>
  <sheetViews>
    <sheetView view="pageBreakPreview" topLeftCell="C11" zoomScale="90" zoomScaleNormal="60" zoomScaleSheetLayoutView="90" workbookViewId="0">
      <pane ySplit="1680" activePane="bottomLeft"/>
      <selection activeCell="M11" sqref="M1:N1048576"/>
      <selection pane="bottomLeft" activeCell="L8" sqref="L8"/>
    </sheetView>
  </sheetViews>
  <sheetFormatPr baseColWidth="10" defaultRowHeight="15" x14ac:dyDescent="0.2"/>
  <cols>
    <col min="1" max="1" width="7.5703125" style="263" customWidth="1"/>
    <col min="2" max="2" width="13.85546875" style="265" customWidth="1"/>
    <col min="3" max="3" width="42.28515625" style="728" customWidth="1"/>
    <col min="4" max="4" width="13.42578125" style="265" hidden="1" customWidth="1"/>
    <col min="5" max="5" width="17" style="728" hidden="1" customWidth="1"/>
    <col min="6" max="6" width="8.7109375" style="594" hidden="1" customWidth="1"/>
    <col min="7" max="7" width="14.28515625" style="836" customWidth="1"/>
    <col min="8" max="8" width="9" style="594" bestFit="1" customWidth="1"/>
    <col min="9" max="9" width="10.140625" style="594" bestFit="1" customWidth="1"/>
    <col min="10" max="13" width="13.85546875" style="263" customWidth="1"/>
    <col min="14" max="15" width="12.28515625" style="730" customWidth="1"/>
    <col min="16" max="16" width="12.7109375" style="730" customWidth="1"/>
    <col min="17" max="17" width="15.85546875" style="730" customWidth="1"/>
    <col min="18" max="18" width="18.140625" style="730" customWidth="1"/>
    <col min="19" max="19" width="13" style="730" hidden="1" customWidth="1"/>
    <col min="20" max="20" width="15.140625" style="731" hidden="1" customWidth="1"/>
    <col min="21" max="21" width="12.85546875" style="731" hidden="1" customWidth="1"/>
    <col min="22" max="24" width="13.5703125" style="731" hidden="1" customWidth="1"/>
    <col min="25" max="25" width="16.140625" style="731" hidden="1" customWidth="1"/>
    <col min="26" max="31" width="14.28515625" style="731" hidden="1" customWidth="1"/>
    <col min="32" max="33" width="20.7109375" style="731" hidden="1" customWidth="1"/>
    <col min="34" max="34" width="19" style="731" hidden="1" customWidth="1"/>
    <col min="35" max="35" width="17.7109375" style="731" hidden="1" customWidth="1"/>
    <col min="36" max="37" width="14.28515625" style="731" hidden="1" customWidth="1"/>
    <col min="38" max="38" width="13.5703125" style="731" hidden="1" customWidth="1"/>
    <col min="39" max="39" width="14.5703125" style="265" customWidth="1"/>
    <col min="40" max="40" width="13.5703125" style="731" customWidth="1"/>
    <col min="41" max="16384" width="11.42578125" style="265"/>
  </cols>
  <sheetData>
    <row r="1" spans="1:40" s="620" customFormat="1" ht="22.5" customHeight="1" x14ac:dyDescent="0.25">
      <c r="A1" s="619"/>
      <c r="C1" s="621">
        <f>E9</f>
        <v>0</v>
      </c>
      <c r="E1" s="622"/>
      <c r="F1" s="920"/>
      <c r="G1" s="817"/>
      <c r="H1" s="920"/>
      <c r="I1" s="920"/>
      <c r="J1" s="619"/>
      <c r="K1" s="619"/>
      <c r="L1" s="619"/>
      <c r="M1" s="619"/>
      <c r="N1" s="624"/>
      <c r="O1" s="624"/>
      <c r="P1" s="624"/>
      <c r="Q1" s="624"/>
      <c r="R1" s="624"/>
      <c r="S1" s="624"/>
      <c r="T1" s="625"/>
      <c r="U1" s="625"/>
      <c r="V1" s="625"/>
      <c r="W1" s="625"/>
      <c r="X1" s="625"/>
      <c r="Y1" s="625"/>
      <c r="Z1" s="625"/>
      <c r="AA1" s="625"/>
      <c r="AB1" s="625"/>
      <c r="AC1" s="625"/>
      <c r="AD1" s="625"/>
      <c r="AE1" s="625"/>
      <c r="AF1" s="625"/>
      <c r="AG1" s="625"/>
      <c r="AH1" s="625"/>
      <c r="AI1" s="625"/>
      <c r="AJ1" s="625"/>
      <c r="AK1" s="625"/>
      <c r="AL1" s="625"/>
      <c r="AN1" s="625"/>
    </row>
    <row r="2" spans="1:40" s="620" customFormat="1" hidden="1" x14ac:dyDescent="0.2">
      <c r="A2" s="619"/>
      <c r="C2" s="622"/>
      <c r="E2" s="622"/>
      <c r="F2" s="920"/>
      <c r="G2" s="817"/>
      <c r="H2" s="920"/>
      <c r="I2" s="920"/>
      <c r="J2" s="619"/>
      <c r="K2" s="619"/>
      <c r="L2" s="619"/>
      <c r="M2" s="619"/>
      <c r="N2" s="624"/>
      <c r="O2" s="624"/>
      <c r="P2" s="624"/>
      <c r="Q2" s="624"/>
      <c r="R2" s="624"/>
      <c r="S2" s="624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5"/>
      <c r="AN2" s="625"/>
    </row>
    <row r="3" spans="1:40" s="620" customFormat="1" hidden="1" x14ac:dyDescent="0.2">
      <c r="A3" s="619"/>
      <c r="C3" s="622"/>
      <c r="E3" s="622"/>
      <c r="F3" s="920"/>
      <c r="G3" s="817"/>
      <c r="H3" s="920"/>
      <c r="I3" s="920"/>
      <c r="J3" s="619"/>
      <c r="K3" s="619"/>
      <c r="L3" s="619"/>
      <c r="M3" s="619"/>
      <c r="N3" s="624"/>
      <c r="O3" s="624"/>
      <c r="P3" s="624"/>
      <c r="Q3" s="624"/>
      <c r="R3" s="624"/>
      <c r="S3" s="624"/>
      <c r="T3" s="625"/>
      <c r="U3" s="625"/>
      <c r="V3" s="625"/>
      <c r="W3" s="625"/>
      <c r="X3" s="625"/>
      <c r="Y3" s="625"/>
      <c r="Z3" s="625"/>
      <c r="AA3" s="625"/>
      <c r="AB3" s="625"/>
      <c r="AC3" s="625"/>
      <c r="AD3" s="625"/>
      <c r="AE3" s="625"/>
      <c r="AF3" s="625"/>
      <c r="AG3" s="625"/>
      <c r="AH3" s="625"/>
      <c r="AI3" s="625"/>
      <c r="AJ3" s="625"/>
      <c r="AK3" s="625"/>
      <c r="AL3" s="625"/>
      <c r="AN3" s="625"/>
    </row>
    <row r="4" spans="1:40" s="620" customFormat="1" hidden="1" x14ac:dyDescent="0.2">
      <c r="A4" s="619"/>
      <c r="C4" s="622"/>
      <c r="E4" s="622"/>
      <c r="F4" s="920"/>
      <c r="G4" s="817"/>
      <c r="H4" s="920"/>
      <c r="I4" s="920"/>
      <c r="J4" s="619"/>
      <c r="K4" s="619"/>
      <c r="L4" s="619"/>
      <c r="M4" s="619"/>
      <c r="N4" s="624"/>
      <c r="O4" s="624"/>
      <c r="P4" s="624"/>
      <c r="Q4" s="624"/>
      <c r="R4" s="624"/>
      <c r="S4" s="624"/>
      <c r="T4" s="625"/>
      <c r="U4" s="625"/>
      <c r="V4" s="625"/>
      <c r="W4" s="625"/>
      <c r="X4" s="625"/>
      <c r="Y4" s="625"/>
      <c r="Z4" s="625"/>
      <c r="AA4" s="625"/>
      <c r="AB4" s="625"/>
      <c r="AC4" s="625"/>
      <c r="AD4" s="625"/>
      <c r="AE4" s="625"/>
      <c r="AF4" s="625"/>
      <c r="AG4" s="625"/>
      <c r="AH4" s="625"/>
      <c r="AI4" s="625"/>
      <c r="AJ4" s="625"/>
      <c r="AK4" s="625"/>
      <c r="AL4" s="625"/>
      <c r="AN4" s="625"/>
    </row>
    <row r="5" spans="1:40" s="620" customFormat="1" x14ac:dyDescent="0.2">
      <c r="A5" s="619"/>
      <c r="C5" s="622"/>
      <c r="E5" s="622"/>
      <c r="F5" s="920"/>
      <c r="G5" s="817"/>
      <c r="H5" s="920"/>
      <c r="I5" s="920"/>
      <c r="J5" s="619"/>
      <c r="K5" s="619"/>
      <c r="L5" s="619"/>
      <c r="M5" s="619"/>
      <c r="N5" s="624"/>
      <c r="O5" s="624"/>
      <c r="P5" s="624"/>
      <c r="Q5" s="624"/>
      <c r="R5" s="624"/>
      <c r="S5" s="624"/>
      <c r="T5" s="625"/>
      <c r="U5" s="625"/>
      <c r="V5" s="625"/>
      <c r="W5" s="625"/>
      <c r="X5" s="625"/>
      <c r="Y5" s="625"/>
      <c r="Z5" s="625"/>
      <c r="AA5" s="625"/>
      <c r="AB5" s="625"/>
      <c r="AC5" s="625"/>
      <c r="AD5" s="625"/>
      <c r="AE5" s="625"/>
      <c r="AF5" s="625"/>
      <c r="AG5" s="625"/>
      <c r="AH5" s="625"/>
      <c r="AI5" s="625"/>
      <c r="AJ5" s="625"/>
      <c r="AK5" s="625"/>
      <c r="AL5" s="625"/>
      <c r="AN5" s="625"/>
    </row>
    <row r="6" spans="1:40" s="620" customFormat="1" x14ac:dyDescent="0.2">
      <c r="A6" s="619"/>
      <c r="C6" s="622"/>
      <c r="E6" s="622"/>
      <c r="F6" s="920"/>
      <c r="G6" s="817"/>
      <c r="H6" s="920"/>
      <c r="I6" s="920"/>
      <c r="J6" s="619"/>
      <c r="K6" s="619"/>
      <c r="L6" s="619"/>
      <c r="M6" s="619"/>
      <c r="N6" s="624"/>
      <c r="O6" s="624"/>
      <c r="P6" s="624"/>
      <c r="Q6" s="624"/>
      <c r="R6" s="624"/>
      <c r="S6" s="624"/>
      <c r="T6" s="625"/>
      <c r="U6" s="625"/>
      <c r="V6" s="625"/>
      <c r="W6" s="625"/>
      <c r="X6" s="625"/>
      <c r="Y6" s="625"/>
      <c r="Z6" s="625"/>
      <c r="AA6" s="625"/>
      <c r="AB6" s="625"/>
      <c r="AC6" s="625"/>
      <c r="AD6" s="625"/>
      <c r="AE6" s="625"/>
      <c r="AF6" s="625"/>
      <c r="AG6" s="625"/>
      <c r="AH6" s="625"/>
      <c r="AI6" s="625"/>
      <c r="AJ6" s="625"/>
      <c r="AK6" s="625"/>
      <c r="AL6" s="625"/>
      <c r="AN6" s="625"/>
    </row>
    <row r="7" spans="1:40" s="620" customFormat="1" ht="37.5" customHeight="1" x14ac:dyDescent="0.2">
      <c r="A7" s="619"/>
      <c r="C7" s="622"/>
      <c r="E7" s="622"/>
      <c r="F7" s="920"/>
      <c r="G7" s="817"/>
      <c r="H7" s="920"/>
      <c r="I7" s="920"/>
      <c r="J7" s="619"/>
      <c r="K7" s="619"/>
      <c r="L7" s="619"/>
      <c r="M7" s="619"/>
      <c r="N7" s="818" t="s">
        <v>4567</v>
      </c>
      <c r="O7" s="818" t="s">
        <v>4618</v>
      </c>
      <c r="P7" s="819">
        <v>2023</v>
      </c>
      <c r="Q7" s="624"/>
      <c r="R7" s="624"/>
      <c r="S7" s="624"/>
      <c r="T7" s="625"/>
      <c r="U7" s="625"/>
      <c r="V7" s="625"/>
      <c r="W7" s="625"/>
      <c r="X7" s="625"/>
      <c r="Y7" s="625"/>
      <c r="Z7" s="625"/>
      <c r="AA7" s="625"/>
      <c r="AB7" s="625"/>
      <c r="AC7" s="625"/>
      <c r="AD7" s="625"/>
      <c r="AE7" s="625"/>
      <c r="AF7" s="625"/>
      <c r="AG7" s="625"/>
      <c r="AH7" s="625"/>
      <c r="AI7" s="625"/>
      <c r="AJ7" s="625"/>
      <c r="AK7" s="625"/>
      <c r="AL7" s="625"/>
      <c r="AN7" s="625"/>
    </row>
    <row r="8" spans="1:40" s="620" customFormat="1" ht="21" customHeight="1" x14ac:dyDescent="0.2">
      <c r="A8" s="619"/>
      <c r="C8" s="622"/>
      <c r="E8" s="622"/>
      <c r="F8" s="920"/>
      <c r="G8" s="817"/>
      <c r="H8" s="920"/>
      <c r="I8" s="920"/>
      <c r="J8" s="619"/>
      <c r="K8" s="619"/>
      <c r="L8" s="619"/>
      <c r="M8" s="619"/>
      <c r="N8" s="820"/>
      <c r="O8" s="820"/>
      <c r="P8" s="821"/>
      <c r="Q8" s="624"/>
      <c r="R8" s="624"/>
      <c r="S8" s="624"/>
      <c r="T8" s="625"/>
      <c r="U8" s="625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F8" s="625"/>
      <c r="AG8" s="625"/>
      <c r="AH8" s="625"/>
      <c r="AI8" s="625"/>
      <c r="AJ8" s="625"/>
      <c r="AK8" s="625"/>
      <c r="AL8" s="625"/>
      <c r="AN8" s="625"/>
    </row>
    <row r="9" spans="1:40" s="620" customFormat="1" ht="29.25" customHeight="1" thickBot="1" x14ac:dyDescent="0.3">
      <c r="A9" s="619"/>
      <c r="B9" s="1780" t="str">
        <f>+"MES DE "&amp;NOMINA!F9&amp;" "&amp;NOMINA!H9&amp;" - RETENCIONES Y APORTES"</f>
        <v>MES DE SEPTIEMBRE 2025 - RETENCIONES Y APORTES</v>
      </c>
      <c r="C9" s="1781"/>
      <c r="D9" s="1781"/>
      <c r="E9" s="1781"/>
      <c r="F9" s="1781"/>
      <c r="G9" s="1782"/>
      <c r="H9" s="630"/>
      <c r="I9" s="630"/>
      <c r="J9" s="619"/>
      <c r="K9" s="619"/>
      <c r="L9" s="619"/>
      <c r="M9" s="619"/>
      <c r="N9" s="624"/>
      <c r="O9" s="624"/>
      <c r="P9" s="624"/>
      <c r="Q9" s="624"/>
      <c r="R9" s="624"/>
      <c r="S9" s="624"/>
      <c r="T9" s="625"/>
      <c r="U9" s="625"/>
      <c r="V9" s="625"/>
      <c r="W9" s="625"/>
      <c r="X9" s="625"/>
      <c r="Y9" s="1774" t="s">
        <v>5502</v>
      </c>
      <c r="Z9" s="1775"/>
      <c r="AA9" s="1775"/>
      <c r="AB9" s="1775"/>
      <c r="AC9" s="1775"/>
      <c r="AD9" s="1776"/>
      <c r="AE9" s="631"/>
      <c r="AF9" s="631"/>
      <c r="AG9" s="631"/>
      <c r="AH9" s="631"/>
      <c r="AI9" s="631"/>
      <c r="AJ9" s="631"/>
      <c r="AK9" s="631"/>
      <c r="AL9" s="625"/>
      <c r="AN9" s="625"/>
    </row>
    <row r="10" spans="1:40" s="633" customFormat="1" ht="27.75" customHeight="1" thickBot="1" x14ac:dyDescent="0.3">
      <c r="A10" s="632"/>
      <c r="C10" s="634"/>
      <c r="E10" s="634"/>
      <c r="F10" s="632"/>
      <c r="G10" s="822"/>
      <c r="H10" s="632"/>
      <c r="I10" s="632"/>
      <c r="J10" s="1783" t="s">
        <v>4575</v>
      </c>
      <c r="K10" s="1784"/>
      <c r="L10" s="1785"/>
      <c r="M10" s="619"/>
      <c r="N10" s="921"/>
      <c r="O10" s="922" t="s">
        <v>14</v>
      </c>
      <c r="P10" s="923"/>
      <c r="Q10" s="624"/>
      <c r="R10" s="739">
        <v>1</v>
      </c>
      <c r="S10" s="867">
        <v>2</v>
      </c>
      <c r="T10" s="637">
        <v>3</v>
      </c>
      <c r="U10" s="638">
        <v>4</v>
      </c>
      <c r="Y10" s="951" t="s">
        <v>5491</v>
      </c>
      <c r="Z10" s="639"/>
      <c r="AA10" s="951" t="s">
        <v>5491</v>
      </c>
      <c r="AB10" s="951" t="s">
        <v>5491</v>
      </c>
      <c r="AC10" s="951"/>
      <c r="AD10" s="951" t="s">
        <v>5491</v>
      </c>
      <c r="AE10" s="951" t="s">
        <v>5491</v>
      </c>
      <c r="AF10" s="951" t="s">
        <v>5491</v>
      </c>
      <c r="AG10" s="640"/>
      <c r="AH10" s="640" t="s">
        <v>5491</v>
      </c>
      <c r="AI10" s="1777" t="s">
        <v>5492</v>
      </c>
      <c r="AJ10" s="1777"/>
      <c r="AK10" s="641"/>
    </row>
    <row r="11" spans="1:40" s="620" customFormat="1" ht="78.75" customHeight="1" thickBot="1" x14ac:dyDescent="0.25">
      <c r="A11" s="644" t="s">
        <v>0</v>
      </c>
      <c r="B11" s="645" t="s">
        <v>2</v>
      </c>
      <c r="C11" s="646" t="s">
        <v>3</v>
      </c>
      <c r="D11" s="645" t="s">
        <v>4619</v>
      </c>
      <c r="E11" s="647" t="s">
        <v>4580</v>
      </c>
      <c r="F11" s="645" t="s">
        <v>4623</v>
      </c>
      <c r="G11" s="645" t="s">
        <v>4</v>
      </c>
      <c r="H11" s="645" t="s">
        <v>4625</v>
      </c>
      <c r="I11" s="645" t="s">
        <v>4624</v>
      </c>
      <c r="J11" s="823" t="s">
        <v>4577</v>
      </c>
      <c r="K11" s="824" t="s">
        <v>4578</v>
      </c>
      <c r="L11" s="824" t="s">
        <v>4579</v>
      </c>
      <c r="M11" s="744" t="s">
        <v>4576</v>
      </c>
      <c r="N11" s="825" t="s">
        <v>4581</v>
      </c>
      <c r="O11" s="824" t="s">
        <v>4582</v>
      </c>
      <c r="P11" s="824" t="s">
        <v>4583</v>
      </c>
      <c r="Q11" s="826" t="s">
        <v>4635</v>
      </c>
      <c r="R11" s="649" t="s">
        <v>4662</v>
      </c>
      <c r="S11" s="649" t="s">
        <v>4661</v>
      </c>
      <c r="T11" s="649" t="s">
        <v>4568</v>
      </c>
      <c r="U11" s="648" t="s">
        <v>4569</v>
      </c>
      <c r="Y11" s="650" t="s">
        <v>5493</v>
      </c>
      <c r="Z11" s="651" t="s">
        <v>4637</v>
      </c>
      <c r="AA11" s="650" t="s">
        <v>5494</v>
      </c>
      <c r="AB11" s="650" t="s">
        <v>5495</v>
      </c>
      <c r="AC11" s="650" t="s">
        <v>5830</v>
      </c>
      <c r="AD11" s="650" t="s">
        <v>5497</v>
      </c>
      <c r="AE11" s="650" t="s">
        <v>5831</v>
      </c>
      <c r="AF11" s="652" t="s">
        <v>5498</v>
      </c>
      <c r="AG11" s="653" t="s">
        <v>5832</v>
      </c>
      <c r="AH11" s="650" t="s">
        <v>5499</v>
      </c>
      <c r="AI11" s="654" t="s">
        <v>5494</v>
      </c>
      <c r="AJ11" s="654" t="s">
        <v>5500</v>
      </c>
      <c r="AK11" s="650" t="s">
        <v>5501</v>
      </c>
      <c r="AL11" s="625"/>
    </row>
    <row r="12" spans="1:40" s="620" customFormat="1" ht="21.75" customHeight="1" x14ac:dyDescent="0.25">
      <c r="A12" s="656" t="str">
        <f>+"PERSONAL EN COMISION DE SERVICIO_"&amp;NOMINA!F9&amp;"_"&amp;NOMINA!H9</f>
        <v>PERSONAL EN COMISION DE SERVICIO_SEPTIEMBRE_2025</v>
      </c>
      <c r="B12" s="747"/>
      <c r="C12" s="748"/>
      <c r="D12" s="747"/>
      <c r="E12" s="748"/>
      <c r="F12" s="749"/>
      <c r="G12" s="827"/>
      <c r="H12" s="751"/>
      <c r="I12" s="751"/>
      <c r="J12" s="753"/>
      <c r="K12" s="753"/>
      <c r="L12" s="753"/>
      <c r="M12" s="753"/>
      <c r="N12" s="754"/>
      <c r="O12" s="754"/>
      <c r="P12" s="754"/>
      <c r="Q12" s="754"/>
      <c r="R12" s="754"/>
      <c r="S12" s="754"/>
      <c r="T12" s="828"/>
      <c r="AL12" s="625"/>
    </row>
    <row r="13" spans="1:40" s="620" customFormat="1" ht="20.100000000000001" customHeight="1" x14ac:dyDescent="0.2">
      <c r="A13" s="759">
        <v>1</v>
      </c>
      <c r="B13" s="957">
        <f>+NOMINA!C13</f>
        <v>19591141</v>
      </c>
      <c r="C13" s="958" t="str">
        <f>+NOMINA!D13</f>
        <v>Almazan Barragan Maria de los Angeles</v>
      </c>
      <c r="D13" s="955" t="s">
        <v>4622</v>
      </c>
      <c r="E13" s="959">
        <v>32351</v>
      </c>
      <c r="F13" s="955" t="s">
        <v>4620</v>
      </c>
      <c r="G13" s="971">
        <f>+NOMINA!H13</f>
        <v>44537</v>
      </c>
      <c r="H13" s="961">
        <f>IF(AND(YEAR(G13)&lt;2023,MONTH(G13)&gt;$N$8),2023-YEAR(G13)-1,IF(OR(G13="",YEAR(G13)&gt;2023),0,2023-YEAR(G13)))</f>
        <v>1</v>
      </c>
      <c r="I13" s="962">
        <v>0</v>
      </c>
      <c r="J13" s="968">
        <f>+NOMINA!BL13</f>
        <v>0</v>
      </c>
      <c r="K13" s="968">
        <f>+NOMINA!BM13</f>
        <v>0</v>
      </c>
      <c r="L13" s="968">
        <f>+NOMINA!BN13</f>
        <v>0</v>
      </c>
      <c r="M13" s="963">
        <f>ROUND(SUM(J13:L13),2)</f>
        <v>0</v>
      </c>
      <c r="N13" s="968">
        <f>+NOMINA!BR13</f>
        <v>0</v>
      </c>
      <c r="O13" s="968">
        <f>+NOMINA!BS13</f>
        <v>0</v>
      </c>
      <c r="P13" s="968">
        <f>+NOMINA!BT13</f>
        <v>0</v>
      </c>
      <c r="Q13" s="963">
        <f>ROUND(SUM(N13:P13),2)</f>
        <v>0</v>
      </c>
      <c r="R13" s="963">
        <f>M13+Q13</f>
        <v>0</v>
      </c>
      <c r="S13" s="972">
        <v>0</v>
      </c>
      <c r="T13" s="443" t="e">
        <f>#REF!+#REF!-M13</f>
        <v>#REF!</v>
      </c>
      <c r="U13" s="952" t="e">
        <f>ROUND((#REF!+#REF!+#REF!+#REF!+#REF!+#REF!+#REF!+#REF!+#REF!),2)</f>
        <v>#REF!</v>
      </c>
      <c r="Y13" s="953" t="e">
        <f>#REF!+#REF!-M13</f>
        <v>#REF!</v>
      </c>
      <c r="Z13" s="954" t="e">
        <f>#REF!</f>
        <v>#REF!</v>
      </c>
      <c r="AA13" s="953" t="e">
        <f>#REF!+#REF!</f>
        <v>#REF!</v>
      </c>
      <c r="AB13" s="954" t="e">
        <f>#REF!</f>
        <v>#REF!</v>
      </c>
      <c r="AC13" s="955">
        <v>0</v>
      </c>
      <c r="AD13" s="954" t="e">
        <f>#REF!</f>
        <v>#REF!</v>
      </c>
      <c r="AE13" s="956" t="e">
        <f>#REF!+#REF!</f>
        <v>#REF!</v>
      </c>
      <c r="AF13" s="956" t="e">
        <f>#REF!+#REF!</f>
        <v>#REF!</v>
      </c>
      <c r="AG13" s="956"/>
      <c r="AH13" s="954" t="e">
        <f>#REF!</f>
        <v>#REF!</v>
      </c>
      <c r="AI13" s="954" t="e">
        <f>SUM(AA13:AH13)</f>
        <v>#REF!</v>
      </c>
      <c r="AJ13" s="954">
        <f>M13+Q13</f>
        <v>0</v>
      </c>
      <c r="AK13" s="954">
        <f>S13</f>
        <v>0</v>
      </c>
      <c r="AL13" s="625"/>
    </row>
    <row r="14" spans="1:40" s="620" customFormat="1" ht="20.100000000000001" customHeight="1" thickBot="1" x14ac:dyDescent="0.25">
      <c r="A14" s="759">
        <v>2</v>
      </c>
      <c r="B14" s="1102">
        <f>+NOMINA!C14</f>
        <v>15827671</v>
      </c>
      <c r="C14" s="1103" t="str">
        <f>+NOMINA!D14</f>
        <v>Montilla Macias Lucy Margarita</v>
      </c>
      <c r="D14" s="1104" t="s">
        <v>4622</v>
      </c>
      <c r="E14" s="1110">
        <v>32351</v>
      </c>
      <c r="F14" s="1104" t="s">
        <v>4620</v>
      </c>
      <c r="G14" s="1111">
        <f>+NOMINA!H14</f>
        <v>44545</v>
      </c>
      <c r="H14" s="1105">
        <f>IF(AND(YEAR(G14)&lt;2023,MONTH(G14)&gt;$N$8),2023-YEAR(G14)-1,IF(OR(G14="",YEAR(G14)&gt;2023),0,2023-YEAR(G14)))</f>
        <v>1</v>
      </c>
      <c r="I14" s="1106">
        <v>0</v>
      </c>
      <c r="J14" s="1107">
        <f>+NOMINA!BL14</f>
        <v>0</v>
      </c>
      <c r="K14" s="1107">
        <f>+NOMINA!BM14</f>
        <v>0</v>
      </c>
      <c r="L14" s="1107">
        <f>+NOMINA!BN14</f>
        <v>0</v>
      </c>
      <c r="M14" s="1108">
        <f>ROUND(SUM(J14:L14),2)</f>
        <v>0</v>
      </c>
      <c r="N14" s="1107">
        <f>+NOMINA!BR14</f>
        <v>0</v>
      </c>
      <c r="O14" s="1107">
        <f>+NOMINA!BS14</f>
        <v>0</v>
      </c>
      <c r="P14" s="1107">
        <f>+NOMINA!BT14</f>
        <v>0</v>
      </c>
      <c r="Q14" s="1108">
        <f t="shared" ref="Q14" si="0">ROUND(SUM(N14:P14),2)</f>
        <v>0</v>
      </c>
      <c r="R14" s="1108">
        <f t="shared" ref="R14" si="1">M14+Q14</f>
        <v>0</v>
      </c>
      <c r="S14" s="1112"/>
      <c r="T14" s="1113"/>
      <c r="U14" s="1114"/>
      <c r="Y14" s="1076"/>
      <c r="Z14" s="1115"/>
      <c r="AA14" s="1076"/>
      <c r="AB14" s="1115"/>
      <c r="AC14" s="1104"/>
      <c r="AD14" s="1115"/>
      <c r="AE14" s="1116"/>
      <c r="AF14" s="1116"/>
      <c r="AG14" s="1116"/>
      <c r="AH14" s="1115"/>
      <c r="AI14" s="1115"/>
      <c r="AJ14" s="1115"/>
      <c r="AK14" s="1115"/>
      <c r="AL14" s="625"/>
    </row>
    <row r="15" spans="1:40" s="620" customFormat="1" ht="18.95" customHeight="1" thickBot="1" x14ac:dyDescent="0.25">
      <c r="A15" s="667"/>
      <c r="B15" s="760"/>
      <c r="C15" s="761"/>
      <c r="D15" s="762"/>
      <c r="E15" s="763"/>
      <c r="F15" s="762"/>
      <c r="G15" s="829"/>
      <c r="H15" s="764"/>
      <c r="I15" s="765"/>
      <c r="J15" s="685">
        <f t="shared" ref="J15:U15" si="2">SUM(J13:J14)</f>
        <v>0</v>
      </c>
      <c r="K15" s="685">
        <f t="shared" si="2"/>
        <v>0</v>
      </c>
      <c r="L15" s="685">
        <f t="shared" si="2"/>
        <v>0</v>
      </c>
      <c r="M15" s="685">
        <f t="shared" si="2"/>
        <v>0</v>
      </c>
      <c r="N15" s="685">
        <f t="shared" si="2"/>
        <v>0</v>
      </c>
      <c r="O15" s="685">
        <f t="shared" si="2"/>
        <v>0</v>
      </c>
      <c r="P15" s="685">
        <f t="shared" si="2"/>
        <v>0</v>
      </c>
      <c r="Q15" s="685">
        <f t="shared" si="2"/>
        <v>0</v>
      </c>
      <c r="R15" s="685">
        <f t="shared" si="2"/>
        <v>0</v>
      </c>
      <c r="S15" s="685">
        <f t="shared" si="2"/>
        <v>0</v>
      </c>
      <c r="T15" s="686" t="e">
        <f t="shared" si="2"/>
        <v>#REF!</v>
      </c>
      <c r="U15" s="685" t="e">
        <f t="shared" si="2"/>
        <v>#REF!</v>
      </c>
      <c r="X15" s="625"/>
      <c r="Y15" s="953"/>
      <c r="Z15" s="954"/>
      <c r="AA15" s="953"/>
      <c r="AB15" s="954"/>
      <c r="AC15" s="955"/>
      <c r="AD15" s="954"/>
      <c r="AE15" s="956"/>
      <c r="AF15" s="956"/>
      <c r="AG15" s="956"/>
      <c r="AH15" s="954"/>
      <c r="AI15" s="954"/>
      <c r="AJ15" s="954"/>
      <c r="AK15" s="954"/>
      <c r="AL15" s="625"/>
      <c r="AM15" s="625">
        <v>0</v>
      </c>
      <c r="AN15" s="625">
        <f>+R15-AM15</f>
        <v>0</v>
      </c>
    </row>
    <row r="16" spans="1:40" s="620" customFormat="1" ht="18.95" customHeight="1" x14ac:dyDescent="0.2">
      <c r="A16" s="656" t="str">
        <f>+"ALTO NIVEL Y DIRECCION_"&amp;NOMINA!F9&amp;"_"&amp;NOMINA!H9</f>
        <v>ALTO NIVEL Y DIRECCION_SEPTIEMBRE_2025</v>
      </c>
      <c r="B16" s="657"/>
      <c r="C16" s="658"/>
      <c r="D16" s="659"/>
      <c r="E16" s="660"/>
      <c r="F16" s="659"/>
      <c r="G16" s="830"/>
      <c r="H16" s="662"/>
      <c r="I16" s="663"/>
      <c r="J16" s="831"/>
      <c r="K16" s="831"/>
      <c r="L16" s="831"/>
      <c r="M16" s="343"/>
      <c r="N16" s="831"/>
      <c r="O16" s="831"/>
      <c r="P16" s="831"/>
      <c r="Q16" s="343"/>
      <c r="R16" s="664"/>
      <c r="S16" s="664"/>
      <c r="T16" s="665"/>
      <c r="U16" s="952"/>
      <c r="X16" s="625"/>
      <c r="Y16" s="953"/>
      <c r="Z16" s="954"/>
      <c r="AA16" s="953"/>
      <c r="AB16" s="954"/>
      <c r="AC16" s="955"/>
      <c r="AD16" s="954"/>
      <c r="AE16" s="956"/>
      <c r="AF16" s="956"/>
      <c r="AG16" s="956"/>
      <c r="AH16" s="954"/>
      <c r="AI16" s="954"/>
      <c r="AJ16" s="954"/>
      <c r="AK16" s="954"/>
      <c r="AL16" s="625"/>
    </row>
    <row r="17" spans="1:38" s="620" customFormat="1" ht="20.100000000000001" customHeight="1" x14ac:dyDescent="0.2">
      <c r="A17" s="759">
        <v>1</v>
      </c>
      <c r="B17" s="957">
        <f>+NOMINA!C17</f>
        <v>11894534</v>
      </c>
      <c r="C17" s="958" t="str">
        <f>+NOMINA!D17</f>
        <v>Olmos Rodriguez Eberto de Jesus</v>
      </c>
      <c r="D17" s="955" t="s">
        <v>4622</v>
      </c>
      <c r="E17" s="959">
        <v>32351</v>
      </c>
      <c r="F17" s="955" t="s">
        <v>4620</v>
      </c>
      <c r="G17" s="969">
        <f>+NOMINA!H17</f>
        <v>40909</v>
      </c>
      <c r="H17" s="961">
        <f>IF(AND(YEAR(G17)&lt;2023,MONTH(G17)&gt;$N$8),2023-YEAR(G17)-1,IF(OR(G17="",YEAR(G17)&gt;2023),0,2023-YEAR(G17)))</f>
        <v>10</v>
      </c>
      <c r="I17" s="962">
        <v>0</v>
      </c>
      <c r="J17" s="968">
        <f>+NOMINA!BL17</f>
        <v>34.729999999999997</v>
      </c>
      <c r="K17" s="968">
        <f>+NOMINA!BM17</f>
        <v>4.34</v>
      </c>
      <c r="L17" s="968">
        <f>+NOMINA!BN17</f>
        <v>7.52</v>
      </c>
      <c r="M17" s="963">
        <f>ROUND(SUM(J17:L17),2)</f>
        <v>46.59</v>
      </c>
      <c r="N17" s="968">
        <f>+NOMINA!BR17</f>
        <v>78.13</v>
      </c>
      <c r="O17" s="968">
        <f>+NOMINA!BS17</f>
        <v>17.36</v>
      </c>
      <c r="P17" s="968">
        <f>+NOMINA!BT17</f>
        <v>15.04</v>
      </c>
      <c r="Q17" s="963">
        <f>ROUND(SUM(N17:P17),2)</f>
        <v>110.53</v>
      </c>
      <c r="R17" s="963">
        <f>M17+Q17</f>
        <v>157.12</v>
      </c>
      <c r="S17" s="972">
        <v>0</v>
      </c>
      <c r="T17" s="443" t="e">
        <f>#REF!+#REF!-M17</f>
        <v>#REF!</v>
      </c>
      <c r="U17" s="952" t="e">
        <f>ROUND((#REF!+#REF!+#REF!+#REF!+#REF!+#REF!+#REF!+#REF!+#REF!),2)</f>
        <v>#REF!</v>
      </c>
      <c r="Y17" s="953" t="e">
        <f>#REF!+#REF!-M17</f>
        <v>#REF!</v>
      </c>
      <c r="Z17" s="954" t="e">
        <f>#REF!</f>
        <v>#REF!</v>
      </c>
      <c r="AA17" s="953" t="e">
        <f>#REF!+#REF!</f>
        <v>#REF!</v>
      </c>
      <c r="AB17" s="954" t="e">
        <f>#REF!</f>
        <v>#REF!</v>
      </c>
      <c r="AC17" s="955">
        <v>0</v>
      </c>
      <c r="AD17" s="954" t="e">
        <f>#REF!</f>
        <v>#REF!</v>
      </c>
      <c r="AE17" s="956" t="e">
        <f>#REF!+#REF!</f>
        <v>#REF!</v>
      </c>
      <c r="AF17" s="956" t="e">
        <f>#REF!+#REF!</f>
        <v>#REF!</v>
      </c>
      <c r="AG17" s="956"/>
      <c r="AH17" s="954" t="e">
        <f>#REF!</f>
        <v>#REF!</v>
      </c>
      <c r="AI17" s="954" t="e">
        <f>SUM(AA17:AH17)</f>
        <v>#REF!</v>
      </c>
      <c r="AJ17" s="954">
        <f t="shared" ref="AJ17:AJ41" si="3">M17+Q17</f>
        <v>157.12</v>
      </c>
      <c r="AK17" s="954">
        <f>S17</f>
        <v>0</v>
      </c>
      <c r="AL17" s="625"/>
    </row>
    <row r="18" spans="1:38" s="620" customFormat="1" ht="20.100000000000001" customHeight="1" x14ac:dyDescent="0.2">
      <c r="A18" s="759">
        <f>A17+1</f>
        <v>2</v>
      </c>
      <c r="B18" s="957">
        <f>+NOMINA!C18</f>
        <v>12458942</v>
      </c>
      <c r="C18" s="958" t="str">
        <f>+NOMINA!D18</f>
        <v>Mendoza Mendoza Mirian del Milagro</v>
      </c>
      <c r="D18" s="955" t="s">
        <v>4622</v>
      </c>
      <c r="E18" s="959">
        <v>32351</v>
      </c>
      <c r="F18" s="955" t="s">
        <v>4620</v>
      </c>
      <c r="G18" s="969">
        <f>+NOMINA!H18</f>
        <v>44424</v>
      </c>
      <c r="H18" s="961">
        <f t="shared" ref="H18:H41" si="4">IF(AND(YEAR(G18)&lt;2023,MONTH(G18)&gt;$N$8),2023-YEAR(G18)-1,IF(OR(G18="",YEAR(G18)&gt;2023),0,2023-YEAR(G18)))</f>
        <v>1</v>
      </c>
      <c r="I18" s="962">
        <v>0</v>
      </c>
      <c r="J18" s="968">
        <f>+NOMINA!BL18</f>
        <v>36.11</v>
      </c>
      <c r="K18" s="968">
        <f>+NOMINA!BM18</f>
        <v>4.51</v>
      </c>
      <c r="L18" s="968">
        <f>+NOMINA!BN18</f>
        <v>7.82</v>
      </c>
      <c r="M18" s="963">
        <f t="shared" ref="M18:M41" si="5">ROUND(SUM(J18:L18),2)</f>
        <v>48.44</v>
      </c>
      <c r="N18" s="968">
        <f>+NOMINA!BR18</f>
        <v>81.260000000000005</v>
      </c>
      <c r="O18" s="968">
        <f>+NOMINA!BS18</f>
        <v>18.059999999999999</v>
      </c>
      <c r="P18" s="968">
        <f>+NOMINA!BT18</f>
        <v>15.64</v>
      </c>
      <c r="Q18" s="963">
        <f t="shared" ref="Q18:Q41" si="6">ROUND(SUM(N18:P18),2)</f>
        <v>114.96</v>
      </c>
      <c r="R18" s="963">
        <f t="shared" ref="R18:R41" si="7">M18+Q18</f>
        <v>163.39999999999998</v>
      </c>
      <c r="S18" s="972">
        <v>0</v>
      </c>
      <c r="T18" s="443" t="e">
        <f>#REF!+#REF!-M18</f>
        <v>#REF!</v>
      </c>
      <c r="U18" s="952" t="e">
        <f>ROUND((#REF!+#REF!+#REF!+#REF!+#REF!+#REF!+#REF!+#REF!+#REF!),2)</f>
        <v>#REF!</v>
      </c>
      <c r="Y18" s="953" t="e">
        <f>#REF!+#REF!-M18</f>
        <v>#REF!</v>
      </c>
      <c r="Z18" s="954" t="e">
        <f>#REF!</f>
        <v>#REF!</v>
      </c>
      <c r="AA18" s="953" t="e">
        <f>#REF!+#REF!</f>
        <v>#REF!</v>
      </c>
      <c r="AB18" s="954" t="e">
        <f>#REF!</f>
        <v>#REF!</v>
      </c>
      <c r="AC18" s="955">
        <v>0</v>
      </c>
      <c r="AD18" s="954" t="e">
        <f>#REF!</f>
        <v>#REF!</v>
      </c>
      <c r="AE18" s="956" t="e">
        <f>#REF!+#REF!</f>
        <v>#REF!</v>
      </c>
      <c r="AF18" s="956" t="e">
        <f>#REF!+#REF!</f>
        <v>#REF!</v>
      </c>
      <c r="AG18" s="956"/>
      <c r="AH18" s="954" t="e">
        <f>#REF!</f>
        <v>#REF!</v>
      </c>
      <c r="AI18" s="954" t="e">
        <f t="shared" ref="AI18:AI41" si="8">SUM(AA18:AH18)</f>
        <v>#REF!</v>
      </c>
      <c r="AJ18" s="954">
        <f t="shared" si="3"/>
        <v>163.39999999999998</v>
      </c>
      <c r="AK18" s="954">
        <f t="shared" ref="AK18:AK41" si="9">S18</f>
        <v>0</v>
      </c>
      <c r="AL18" s="625"/>
    </row>
    <row r="19" spans="1:38" s="620" customFormat="1" ht="20.100000000000001" customHeight="1" x14ac:dyDescent="0.2">
      <c r="A19" s="759">
        <f t="shared" ref="A19:A41" si="10">A18+1</f>
        <v>3</v>
      </c>
      <c r="B19" s="957">
        <f>+NOMINA!C19</f>
        <v>8719807</v>
      </c>
      <c r="C19" s="958" t="str">
        <f>+NOMINA!D19</f>
        <v>Perez Saavedra Isabel Teresa</v>
      </c>
      <c r="D19" s="955" t="s">
        <v>4622</v>
      </c>
      <c r="E19" s="959">
        <v>32351</v>
      </c>
      <c r="F19" s="955" t="s">
        <v>4620</v>
      </c>
      <c r="G19" s="969">
        <f>+NOMINA!H19</f>
        <v>39874</v>
      </c>
      <c r="H19" s="961">
        <f t="shared" si="4"/>
        <v>13</v>
      </c>
      <c r="I19" s="962">
        <v>0</v>
      </c>
      <c r="J19" s="968">
        <f>+NOMINA!BL19</f>
        <v>33.89</v>
      </c>
      <c r="K19" s="968">
        <f>+NOMINA!BM19</f>
        <v>4.24</v>
      </c>
      <c r="L19" s="968">
        <f>+NOMINA!BN19</f>
        <v>7.34</v>
      </c>
      <c r="M19" s="963">
        <f t="shared" si="5"/>
        <v>45.47</v>
      </c>
      <c r="N19" s="968">
        <f>+NOMINA!BR19</f>
        <v>76.25</v>
      </c>
      <c r="O19" s="968">
        <f>+NOMINA!BS19</f>
        <v>16.940000000000001</v>
      </c>
      <c r="P19" s="968">
        <f>+NOMINA!BT19</f>
        <v>14.68</v>
      </c>
      <c r="Q19" s="963">
        <f t="shared" si="6"/>
        <v>107.87</v>
      </c>
      <c r="R19" s="963">
        <f t="shared" si="7"/>
        <v>153.34</v>
      </c>
      <c r="S19" s="972">
        <v>0</v>
      </c>
      <c r="T19" s="443" t="e">
        <f>#REF!+#REF!-M19</f>
        <v>#REF!</v>
      </c>
      <c r="U19" s="952" t="e">
        <f>ROUND((#REF!+#REF!+#REF!+#REF!+#REF!+#REF!+#REF!+#REF!+#REF!),2)</f>
        <v>#REF!</v>
      </c>
      <c r="Y19" s="953" t="e">
        <f>#REF!+#REF!-M19</f>
        <v>#REF!</v>
      </c>
      <c r="Z19" s="954" t="e">
        <f>#REF!</f>
        <v>#REF!</v>
      </c>
      <c r="AA19" s="953" t="e">
        <f>#REF!+#REF!</f>
        <v>#REF!</v>
      </c>
      <c r="AB19" s="954" t="e">
        <f>#REF!</f>
        <v>#REF!</v>
      </c>
      <c r="AC19" s="955">
        <v>0</v>
      </c>
      <c r="AD19" s="954" t="e">
        <f>#REF!</f>
        <v>#REF!</v>
      </c>
      <c r="AE19" s="956" t="e">
        <f>#REF!+#REF!</f>
        <v>#REF!</v>
      </c>
      <c r="AF19" s="956" t="e">
        <f>#REF!+#REF!</f>
        <v>#REF!</v>
      </c>
      <c r="AG19" s="956"/>
      <c r="AH19" s="954" t="e">
        <f>#REF!</f>
        <v>#REF!</v>
      </c>
      <c r="AI19" s="954" t="e">
        <f t="shared" si="8"/>
        <v>#REF!</v>
      </c>
      <c r="AJ19" s="954">
        <f t="shared" si="3"/>
        <v>153.34</v>
      </c>
      <c r="AK19" s="954">
        <f t="shared" si="9"/>
        <v>0</v>
      </c>
      <c r="AL19" s="625"/>
    </row>
    <row r="20" spans="1:38" s="620" customFormat="1" ht="20.100000000000001" customHeight="1" x14ac:dyDescent="0.2">
      <c r="A20" s="759">
        <f t="shared" si="10"/>
        <v>4</v>
      </c>
      <c r="B20" s="957">
        <f>+NOMINA!C20</f>
        <v>10404528</v>
      </c>
      <c r="C20" s="958" t="str">
        <f>+NOMINA!D20</f>
        <v>Perez Castellano Javier Horacio</v>
      </c>
      <c r="D20" s="955" t="s">
        <v>4622</v>
      </c>
      <c r="E20" s="959">
        <v>32351</v>
      </c>
      <c r="F20" s="955" t="s">
        <v>4620</v>
      </c>
      <c r="G20" s="969">
        <f>+NOMINA!H20</f>
        <v>37622</v>
      </c>
      <c r="H20" s="961">
        <f t="shared" si="4"/>
        <v>19</v>
      </c>
      <c r="I20" s="962">
        <v>0</v>
      </c>
      <c r="J20" s="968">
        <f>+NOMINA!BL20</f>
        <v>35.36</v>
      </c>
      <c r="K20" s="968">
        <f>+NOMINA!BM20</f>
        <v>4.42</v>
      </c>
      <c r="L20" s="968">
        <f>+NOMINA!BN20</f>
        <v>7.66</v>
      </c>
      <c r="M20" s="963">
        <f t="shared" si="5"/>
        <v>47.44</v>
      </c>
      <c r="N20" s="968">
        <f>+NOMINA!BR20</f>
        <v>79.569999999999993</v>
      </c>
      <c r="O20" s="968">
        <f>+NOMINA!BS20</f>
        <v>17.68</v>
      </c>
      <c r="P20" s="968">
        <f>+NOMINA!BT20</f>
        <v>15.32</v>
      </c>
      <c r="Q20" s="963">
        <f t="shared" si="6"/>
        <v>112.57</v>
      </c>
      <c r="R20" s="963">
        <f t="shared" si="7"/>
        <v>160.01</v>
      </c>
      <c r="S20" s="972">
        <v>0</v>
      </c>
      <c r="T20" s="443" t="e">
        <f>#REF!+#REF!-M20</f>
        <v>#REF!</v>
      </c>
      <c r="U20" s="952" t="e">
        <f>ROUND((#REF!+#REF!+#REF!+#REF!+#REF!+#REF!+#REF!+#REF!+#REF!),2)</f>
        <v>#REF!</v>
      </c>
      <c r="Y20" s="953" t="e">
        <f>#REF!+#REF!-M20</f>
        <v>#REF!</v>
      </c>
      <c r="Z20" s="954" t="e">
        <f>#REF!</f>
        <v>#REF!</v>
      </c>
      <c r="AA20" s="953" t="e">
        <f>#REF!+#REF!</f>
        <v>#REF!</v>
      </c>
      <c r="AB20" s="954" t="e">
        <f>#REF!</f>
        <v>#REF!</v>
      </c>
      <c r="AC20" s="955">
        <v>0</v>
      </c>
      <c r="AD20" s="954" t="e">
        <f>#REF!</f>
        <v>#REF!</v>
      </c>
      <c r="AE20" s="956" t="e">
        <f>#REF!+#REF!</f>
        <v>#REF!</v>
      </c>
      <c r="AF20" s="956" t="e">
        <f>#REF!+#REF!</f>
        <v>#REF!</v>
      </c>
      <c r="AG20" s="956"/>
      <c r="AH20" s="954" t="e">
        <f>#REF!</f>
        <v>#REF!</v>
      </c>
      <c r="AI20" s="954" t="e">
        <f t="shared" si="8"/>
        <v>#REF!</v>
      </c>
      <c r="AJ20" s="954">
        <f t="shared" si="3"/>
        <v>160.01</v>
      </c>
      <c r="AK20" s="954">
        <f t="shared" si="9"/>
        <v>0</v>
      </c>
      <c r="AL20" s="625"/>
    </row>
    <row r="21" spans="1:38" s="620" customFormat="1" ht="20.100000000000001" customHeight="1" x14ac:dyDescent="0.2">
      <c r="A21" s="759">
        <f t="shared" si="10"/>
        <v>5</v>
      </c>
      <c r="B21" s="957">
        <f>+NOMINA!C21</f>
        <v>9311822</v>
      </c>
      <c r="C21" s="958" t="str">
        <f>+NOMINA!D21</f>
        <v>Rojo Sanchez Alexis Omar</v>
      </c>
      <c r="D21" s="955" t="s">
        <v>4622</v>
      </c>
      <c r="E21" s="959">
        <v>32351</v>
      </c>
      <c r="F21" s="955" t="s">
        <v>4620</v>
      </c>
      <c r="G21" s="969">
        <f>+NOMINA!H21</f>
        <v>37662</v>
      </c>
      <c r="H21" s="961">
        <f t="shared" si="4"/>
        <v>19</v>
      </c>
      <c r="I21" s="962">
        <v>0</v>
      </c>
      <c r="J21" s="968">
        <f>+NOMINA!BL21</f>
        <v>27.71</v>
      </c>
      <c r="K21" s="968">
        <f>+NOMINA!BM21</f>
        <v>3.46</v>
      </c>
      <c r="L21" s="968">
        <f>+NOMINA!BN21</f>
        <v>6</v>
      </c>
      <c r="M21" s="963">
        <f t="shared" si="5"/>
        <v>37.17</v>
      </c>
      <c r="N21" s="968">
        <f>+NOMINA!BR21</f>
        <v>62.35</v>
      </c>
      <c r="O21" s="968">
        <f>+NOMINA!BS21</f>
        <v>13.86</v>
      </c>
      <c r="P21" s="968">
        <f>+NOMINA!BT21</f>
        <v>12</v>
      </c>
      <c r="Q21" s="963">
        <f t="shared" si="6"/>
        <v>88.21</v>
      </c>
      <c r="R21" s="963">
        <f t="shared" si="7"/>
        <v>125.38</v>
      </c>
      <c r="S21" s="972">
        <v>0</v>
      </c>
      <c r="T21" s="443" t="e">
        <f>#REF!+#REF!-M21</f>
        <v>#REF!</v>
      </c>
      <c r="U21" s="952" t="e">
        <f>ROUND((#REF!+#REF!+#REF!+#REF!+#REF!+#REF!+#REF!+#REF!+#REF!),2)</f>
        <v>#REF!</v>
      </c>
      <c r="Y21" s="953" t="e">
        <f>#REF!+#REF!-M21</f>
        <v>#REF!</v>
      </c>
      <c r="Z21" s="954" t="e">
        <f>#REF!</f>
        <v>#REF!</v>
      </c>
      <c r="AA21" s="953" t="e">
        <f>#REF!+#REF!</f>
        <v>#REF!</v>
      </c>
      <c r="AB21" s="954" t="e">
        <f>#REF!</f>
        <v>#REF!</v>
      </c>
      <c r="AC21" s="955">
        <v>0</v>
      </c>
      <c r="AD21" s="954" t="e">
        <f>#REF!</f>
        <v>#REF!</v>
      </c>
      <c r="AE21" s="956" t="e">
        <f>#REF!+#REF!</f>
        <v>#REF!</v>
      </c>
      <c r="AF21" s="956" t="e">
        <f>#REF!+#REF!</f>
        <v>#REF!</v>
      </c>
      <c r="AG21" s="956"/>
      <c r="AH21" s="954" t="e">
        <f>#REF!</f>
        <v>#REF!</v>
      </c>
      <c r="AI21" s="954" t="e">
        <f t="shared" si="8"/>
        <v>#REF!</v>
      </c>
      <c r="AJ21" s="954">
        <f t="shared" si="3"/>
        <v>125.38</v>
      </c>
      <c r="AK21" s="954">
        <f t="shared" si="9"/>
        <v>0</v>
      </c>
      <c r="AL21" s="625"/>
    </row>
    <row r="22" spans="1:38" s="620" customFormat="1" ht="20.100000000000001" customHeight="1" x14ac:dyDescent="0.2">
      <c r="A22" s="759">
        <f t="shared" si="10"/>
        <v>6</v>
      </c>
      <c r="B22" s="957">
        <f>+NOMINA!C22</f>
        <v>21592108</v>
      </c>
      <c r="C22" s="958" t="str">
        <f>+NOMINA!D22</f>
        <v>Coy Andara Darlin Gabriela</v>
      </c>
      <c r="D22" s="955" t="s">
        <v>4622</v>
      </c>
      <c r="E22" s="959">
        <v>32351</v>
      </c>
      <c r="F22" s="955" t="s">
        <v>4620</v>
      </c>
      <c r="G22" s="969">
        <f>+NOMINA!H22</f>
        <v>43024</v>
      </c>
      <c r="H22" s="961">
        <f t="shared" si="4"/>
        <v>5</v>
      </c>
      <c r="I22" s="962">
        <v>0</v>
      </c>
      <c r="J22" s="968">
        <f>+NOMINA!BL22</f>
        <v>29.48</v>
      </c>
      <c r="K22" s="968">
        <f>+NOMINA!BM22</f>
        <v>3.69</v>
      </c>
      <c r="L22" s="968">
        <f>+NOMINA!BN22</f>
        <v>6.39</v>
      </c>
      <c r="M22" s="963">
        <f t="shared" si="5"/>
        <v>39.56</v>
      </c>
      <c r="N22" s="968">
        <f>+NOMINA!BR22</f>
        <v>66.34</v>
      </c>
      <c r="O22" s="968">
        <f>+NOMINA!BS22</f>
        <v>14.74</v>
      </c>
      <c r="P22" s="968">
        <f>+NOMINA!BT22</f>
        <v>12.78</v>
      </c>
      <c r="Q22" s="963">
        <f t="shared" si="6"/>
        <v>93.86</v>
      </c>
      <c r="R22" s="963">
        <f t="shared" si="7"/>
        <v>133.42000000000002</v>
      </c>
      <c r="S22" s="972">
        <v>0</v>
      </c>
      <c r="T22" s="443" t="e">
        <f>#REF!+#REF!-M22</f>
        <v>#REF!</v>
      </c>
      <c r="U22" s="952" t="e">
        <f>ROUND((#REF!+#REF!+#REF!+#REF!+#REF!+#REF!+#REF!+#REF!+#REF!),2)</f>
        <v>#REF!</v>
      </c>
      <c r="Y22" s="953" t="e">
        <f>#REF!+#REF!-M22</f>
        <v>#REF!</v>
      </c>
      <c r="Z22" s="954" t="e">
        <f>#REF!</f>
        <v>#REF!</v>
      </c>
      <c r="AA22" s="953" t="e">
        <f>#REF!+#REF!</f>
        <v>#REF!</v>
      </c>
      <c r="AB22" s="954" t="e">
        <f>#REF!</f>
        <v>#REF!</v>
      </c>
      <c r="AC22" s="955">
        <v>0</v>
      </c>
      <c r="AD22" s="954" t="e">
        <f>#REF!</f>
        <v>#REF!</v>
      </c>
      <c r="AE22" s="956" t="e">
        <f>#REF!+#REF!</f>
        <v>#REF!</v>
      </c>
      <c r="AF22" s="956" t="e">
        <f>#REF!+#REF!</f>
        <v>#REF!</v>
      </c>
      <c r="AG22" s="956"/>
      <c r="AH22" s="954" t="e">
        <f>#REF!</f>
        <v>#REF!</v>
      </c>
      <c r="AI22" s="954" t="e">
        <f t="shared" si="8"/>
        <v>#REF!</v>
      </c>
      <c r="AJ22" s="954">
        <f t="shared" si="3"/>
        <v>133.42000000000002</v>
      </c>
      <c r="AK22" s="954">
        <f t="shared" si="9"/>
        <v>0</v>
      </c>
      <c r="AL22" s="625"/>
    </row>
    <row r="23" spans="1:38" s="620" customFormat="1" ht="20.100000000000001" customHeight="1" x14ac:dyDescent="0.2">
      <c r="A23" s="759">
        <f t="shared" si="10"/>
        <v>7</v>
      </c>
      <c r="B23" s="957">
        <f>+NOMINA!C23</f>
        <v>13206767</v>
      </c>
      <c r="C23" s="958" t="str">
        <f>+NOMINA!D23</f>
        <v>Bastidas Guerra Soralis del Valle</v>
      </c>
      <c r="D23" s="955" t="s">
        <v>4622</v>
      </c>
      <c r="E23" s="959">
        <v>32351</v>
      </c>
      <c r="F23" s="955" t="s">
        <v>4620</v>
      </c>
      <c r="G23" s="969">
        <f>+NOMINA!H23</f>
        <v>44713</v>
      </c>
      <c r="H23" s="961">
        <f t="shared" si="4"/>
        <v>0</v>
      </c>
      <c r="I23" s="962">
        <v>0</v>
      </c>
      <c r="J23" s="968">
        <f>+NOMINA!BL23</f>
        <v>28.18</v>
      </c>
      <c r="K23" s="968">
        <f>+NOMINA!BM23</f>
        <v>3.52</v>
      </c>
      <c r="L23" s="968">
        <f>+NOMINA!BN23</f>
        <v>6.11</v>
      </c>
      <c r="M23" s="963">
        <f t="shared" si="5"/>
        <v>37.81</v>
      </c>
      <c r="N23" s="968">
        <f>+NOMINA!BR23</f>
        <v>63.4</v>
      </c>
      <c r="O23" s="968">
        <f>+NOMINA!BS23</f>
        <v>14.09</v>
      </c>
      <c r="P23" s="968">
        <f>+NOMINA!BT23</f>
        <v>12.22</v>
      </c>
      <c r="Q23" s="963">
        <f t="shared" si="6"/>
        <v>89.71</v>
      </c>
      <c r="R23" s="963">
        <f t="shared" si="7"/>
        <v>127.52</v>
      </c>
      <c r="S23" s="972">
        <v>0</v>
      </c>
      <c r="T23" s="443" t="e">
        <f>#REF!+#REF!-M23</f>
        <v>#REF!</v>
      </c>
      <c r="U23" s="952" t="e">
        <f>ROUND((#REF!+#REF!+#REF!+#REF!+#REF!+#REF!+#REF!+#REF!+#REF!),2)</f>
        <v>#REF!</v>
      </c>
      <c r="Y23" s="953" t="e">
        <f>#REF!+#REF!-M23</f>
        <v>#REF!</v>
      </c>
      <c r="Z23" s="954" t="e">
        <f>#REF!</f>
        <v>#REF!</v>
      </c>
      <c r="AA23" s="953" t="e">
        <f>#REF!+#REF!</f>
        <v>#REF!</v>
      </c>
      <c r="AB23" s="954" t="e">
        <f>#REF!</f>
        <v>#REF!</v>
      </c>
      <c r="AC23" s="955">
        <v>0</v>
      </c>
      <c r="AD23" s="954" t="e">
        <f>#REF!</f>
        <v>#REF!</v>
      </c>
      <c r="AE23" s="956" t="e">
        <f>#REF!+#REF!</f>
        <v>#REF!</v>
      </c>
      <c r="AF23" s="956" t="e">
        <f>#REF!+#REF!</f>
        <v>#REF!</v>
      </c>
      <c r="AG23" s="956"/>
      <c r="AH23" s="954" t="e">
        <f>#REF!</f>
        <v>#REF!</v>
      </c>
      <c r="AI23" s="954" t="e">
        <f t="shared" si="8"/>
        <v>#REF!</v>
      </c>
      <c r="AJ23" s="954">
        <f t="shared" si="3"/>
        <v>127.52</v>
      </c>
      <c r="AK23" s="954">
        <f t="shared" si="9"/>
        <v>0</v>
      </c>
      <c r="AL23" s="625"/>
    </row>
    <row r="24" spans="1:38" s="620" customFormat="1" ht="20.100000000000001" customHeight="1" x14ac:dyDescent="0.2">
      <c r="A24" s="759">
        <f t="shared" si="10"/>
        <v>8</v>
      </c>
      <c r="B24" s="957">
        <f>+NOMINA!C24</f>
        <v>13462933</v>
      </c>
      <c r="C24" s="958" t="str">
        <f>+NOMINA!D24</f>
        <v>Frias Aldana Maria Yaritza</v>
      </c>
      <c r="D24" s="955" t="s">
        <v>4622</v>
      </c>
      <c r="E24" s="959">
        <v>32351</v>
      </c>
      <c r="F24" s="955" t="s">
        <v>4620</v>
      </c>
      <c r="G24" s="969">
        <f>+NOMINA!H24</f>
        <v>39454</v>
      </c>
      <c r="H24" s="961">
        <f t="shared" si="4"/>
        <v>14</v>
      </c>
      <c r="I24" s="962">
        <v>0</v>
      </c>
      <c r="J24" s="968">
        <f>+NOMINA!BL24</f>
        <v>32.950000000000003</v>
      </c>
      <c r="K24" s="968">
        <f>+NOMINA!BM24</f>
        <v>4.12</v>
      </c>
      <c r="L24" s="968">
        <f>+NOMINA!BN24</f>
        <v>7.14</v>
      </c>
      <c r="M24" s="963">
        <f t="shared" si="5"/>
        <v>44.21</v>
      </c>
      <c r="N24" s="968">
        <f>+NOMINA!BR24</f>
        <v>74.13</v>
      </c>
      <c r="O24" s="968">
        <f>+NOMINA!BS24</f>
        <v>16.47</v>
      </c>
      <c r="P24" s="968">
        <f>+NOMINA!BT24</f>
        <v>14.28</v>
      </c>
      <c r="Q24" s="963">
        <f t="shared" si="6"/>
        <v>104.88</v>
      </c>
      <c r="R24" s="963">
        <f t="shared" si="7"/>
        <v>149.09</v>
      </c>
      <c r="S24" s="972">
        <v>0</v>
      </c>
      <c r="T24" s="443" t="e">
        <f>#REF!+#REF!-M24</f>
        <v>#REF!</v>
      </c>
      <c r="U24" s="952" t="e">
        <f>ROUND((#REF!+#REF!+#REF!+#REF!+#REF!+#REF!+#REF!+#REF!+#REF!),2)</f>
        <v>#REF!</v>
      </c>
      <c r="Y24" s="953" t="e">
        <f>#REF!+#REF!-M24</f>
        <v>#REF!</v>
      </c>
      <c r="Z24" s="954" t="e">
        <f>#REF!</f>
        <v>#REF!</v>
      </c>
      <c r="AA24" s="953" t="e">
        <f>#REF!+#REF!</f>
        <v>#REF!</v>
      </c>
      <c r="AB24" s="954" t="e">
        <f>#REF!</f>
        <v>#REF!</v>
      </c>
      <c r="AC24" s="955">
        <v>0</v>
      </c>
      <c r="AD24" s="954" t="e">
        <f>#REF!</f>
        <v>#REF!</v>
      </c>
      <c r="AE24" s="956" t="e">
        <f>#REF!+#REF!</f>
        <v>#REF!</v>
      </c>
      <c r="AF24" s="956" t="e">
        <f>#REF!+#REF!</f>
        <v>#REF!</v>
      </c>
      <c r="AG24" s="956"/>
      <c r="AH24" s="954" t="e">
        <f>#REF!</f>
        <v>#REF!</v>
      </c>
      <c r="AI24" s="954" t="e">
        <f t="shared" si="8"/>
        <v>#REF!</v>
      </c>
      <c r="AJ24" s="954">
        <f t="shared" si="3"/>
        <v>149.09</v>
      </c>
      <c r="AK24" s="954">
        <f t="shared" si="9"/>
        <v>0</v>
      </c>
      <c r="AL24" s="625"/>
    </row>
    <row r="25" spans="1:38" s="620" customFormat="1" ht="20.100000000000001" customHeight="1" x14ac:dyDescent="0.2">
      <c r="A25" s="759">
        <f t="shared" si="10"/>
        <v>9</v>
      </c>
      <c r="B25" s="957">
        <f>+NOMINA!C25</f>
        <v>12542413</v>
      </c>
      <c r="C25" s="958" t="str">
        <f>+NOMINA!D25</f>
        <v>Aponte Matheus Richard Alexander</v>
      </c>
      <c r="D25" s="955" t="s">
        <v>4622</v>
      </c>
      <c r="E25" s="959">
        <v>32351</v>
      </c>
      <c r="F25" s="955" t="s">
        <v>4620</v>
      </c>
      <c r="G25" s="969">
        <f>+NOMINA!H25</f>
        <v>36434</v>
      </c>
      <c r="H25" s="961">
        <f t="shared" si="4"/>
        <v>23</v>
      </c>
      <c r="I25" s="962">
        <v>0</v>
      </c>
      <c r="J25" s="968">
        <f>+NOMINA!BL25</f>
        <v>26.88</v>
      </c>
      <c r="K25" s="968">
        <f>+NOMINA!BM25</f>
        <v>3.36</v>
      </c>
      <c r="L25" s="968">
        <f>+NOMINA!BN25</f>
        <v>5.82</v>
      </c>
      <c r="M25" s="963">
        <f t="shared" si="5"/>
        <v>36.06</v>
      </c>
      <c r="N25" s="968">
        <f>+NOMINA!BR25</f>
        <v>60.48</v>
      </c>
      <c r="O25" s="968">
        <f>+NOMINA!BS25</f>
        <v>13.44</v>
      </c>
      <c r="P25" s="968">
        <f>+NOMINA!BT25</f>
        <v>11.64</v>
      </c>
      <c r="Q25" s="963">
        <f t="shared" si="6"/>
        <v>85.56</v>
      </c>
      <c r="R25" s="963">
        <f t="shared" si="7"/>
        <v>121.62</v>
      </c>
      <c r="S25" s="972">
        <v>0</v>
      </c>
      <c r="T25" s="443" t="e">
        <f>#REF!+#REF!-M25</f>
        <v>#REF!</v>
      </c>
      <c r="U25" s="952" t="e">
        <f>ROUND((#REF!+#REF!+#REF!+#REF!+#REF!+#REF!+#REF!+#REF!+#REF!),2)</f>
        <v>#REF!</v>
      </c>
      <c r="Y25" s="953" t="e">
        <f>#REF!+#REF!-M25</f>
        <v>#REF!</v>
      </c>
      <c r="Z25" s="954" t="e">
        <f>#REF!</f>
        <v>#REF!</v>
      </c>
      <c r="AA25" s="953" t="e">
        <f>#REF!+#REF!</f>
        <v>#REF!</v>
      </c>
      <c r="AB25" s="954" t="e">
        <f>#REF!</f>
        <v>#REF!</v>
      </c>
      <c r="AC25" s="955">
        <v>0</v>
      </c>
      <c r="AD25" s="954" t="e">
        <f>#REF!</f>
        <v>#REF!</v>
      </c>
      <c r="AE25" s="956" t="e">
        <f>#REF!+#REF!</f>
        <v>#REF!</v>
      </c>
      <c r="AF25" s="956" t="e">
        <f>#REF!+#REF!</f>
        <v>#REF!</v>
      </c>
      <c r="AG25" s="956"/>
      <c r="AH25" s="954" t="e">
        <f>#REF!</f>
        <v>#REF!</v>
      </c>
      <c r="AI25" s="954" t="e">
        <f t="shared" si="8"/>
        <v>#REF!</v>
      </c>
      <c r="AJ25" s="954">
        <f t="shared" si="3"/>
        <v>121.62</v>
      </c>
      <c r="AK25" s="954">
        <f t="shared" si="9"/>
        <v>0</v>
      </c>
      <c r="AL25" s="625"/>
    </row>
    <row r="26" spans="1:38" s="620" customFormat="1" ht="20.100000000000001" customHeight="1" x14ac:dyDescent="0.2">
      <c r="A26" s="759">
        <f t="shared" si="10"/>
        <v>10</v>
      </c>
      <c r="B26" s="957">
        <f>+NOMINA!C26</f>
        <v>18457406</v>
      </c>
      <c r="C26" s="958" t="str">
        <f>+NOMINA!D26</f>
        <v>Rivero Zambrano Herluis Jose</v>
      </c>
      <c r="D26" s="955" t="s">
        <v>4622</v>
      </c>
      <c r="E26" s="959">
        <v>32351</v>
      </c>
      <c r="F26" s="955" t="s">
        <v>4620</v>
      </c>
      <c r="G26" s="969">
        <f>+NOMINA!H26</f>
        <v>41548</v>
      </c>
      <c r="H26" s="961">
        <f t="shared" si="4"/>
        <v>9</v>
      </c>
      <c r="I26" s="962">
        <v>0</v>
      </c>
      <c r="J26" s="968">
        <f>+NOMINA!BL26</f>
        <v>31.51</v>
      </c>
      <c r="K26" s="968">
        <f>+NOMINA!BM26</f>
        <v>3.94</v>
      </c>
      <c r="L26" s="968">
        <f>+NOMINA!BN26</f>
        <v>6.83</v>
      </c>
      <c r="M26" s="963">
        <f t="shared" si="5"/>
        <v>42.28</v>
      </c>
      <c r="N26" s="968">
        <f>+NOMINA!BR26</f>
        <v>70.89</v>
      </c>
      <c r="O26" s="968">
        <f>+NOMINA!BS26</f>
        <v>15.75</v>
      </c>
      <c r="P26" s="968">
        <f>+NOMINA!BT26</f>
        <v>13.66</v>
      </c>
      <c r="Q26" s="963">
        <f t="shared" si="6"/>
        <v>100.3</v>
      </c>
      <c r="R26" s="963">
        <f t="shared" si="7"/>
        <v>142.57999999999998</v>
      </c>
      <c r="S26" s="972">
        <v>0</v>
      </c>
      <c r="T26" s="443" t="e">
        <f>#REF!+#REF!-M26</f>
        <v>#REF!</v>
      </c>
      <c r="U26" s="952" t="e">
        <f>ROUND((#REF!+#REF!+#REF!+#REF!+#REF!+#REF!+#REF!+#REF!+#REF!),2)</f>
        <v>#REF!</v>
      </c>
      <c r="Y26" s="953" t="e">
        <f>#REF!+#REF!-M26</f>
        <v>#REF!</v>
      </c>
      <c r="Z26" s="954" t="e">
        <f>#REF!</f>
        <v>#REF!</v>
      </c>
      <c r="AA26" s="953" t="e">
        <f>#REF!+#REF!</f>
        <v>#REF!</v>
      </c>
      <c r="AB26" s="954" t="e">
        <f>#REF!</f>
        <v>#REF!</v>
      </c>
      <c r="AC26" s="955">
        <v>0</v>
      </c>
      <c r="AD26" s="954" t="e">
        <f>#REF!</f>
        <v>#REF!</v>
      </c>
      <c r="AE26" s="956" t="e">
        <f>#REF!+#REF!</f>
        <v>#REF!</v>
      </c>
      <c r="AF26" s="956" t="e">
        <f>#REF!+#REF!</f>
        <v>#REF!</v>
      </c>
      <c r="AG26" s="956"/>
      <c r="AH26" s="954" t="e">
        <f>#REF!</f>
        <v>#REF!</v>
      </c>
      <c r="AI26" s="954" t="e">
        <f t="shared" si="8"/>
        <v>#REF!</v>
      </c>
      <c r="AJ26" s="954">
        <f t="shared" si="3"/>
        <v>142.57999999999998</v>
      </c>
      <c r="AK26" s="954">
        <f t="shared" si="9"/>
        <v>0</v>
      </c>
      <c r="AL26" s="625"/>
    </row>
    <row r="27" spans="1:38" s="620" customFormat="1" ht="20.100000000000001" customHeight="1" x14ac:dyDescent="0.2">
      <c r="A27" s="759">
        <f t="shared" si="10"/>
        <v>11</v>
      </c>
      <c r="B27" s="957">
        <f>+NOMINA!C27</f>
        <v>11895772</v>
      </c>
      <c r="C27" s="958" t="str">
        <f>+NOMINA!D27</f>
        <v>Rangel Rivas Ildemaro</v>
      </c>
      <c r="D27" s="955" t="s">
        <v>4622</v>
      </c>
      <c r="E27" s="959">
        <v>32351</v>
      </c>
      <c r="F27" s="955" t="s">
        <v>4620</v>
      </c>
      <c r="G27" s="969">
        <f>+NOMINA!H27</f>
        <v>44743</v>
      </c>
      <c r="H27" s="961">
        <f t="shared" si="4"/>
        <v>0</v>
      </c>
      <c r="I27" s="962">
        <v>0</v>
      </c>
      <c r="J27" s="968">
        <f>+NOMINA!BL27</f>
        <v>27.74</v>
      </c>
      <c r="K27" s="968">
        <f>+NOMINA!BM27</f>
        <v>3.47</v>
      </c>
      <c r="L27" s="968">
        <f>+NOMINA!BN27</f>
        <v>6.01</v>
      </c>
      <c r="M27" s="963">
        <f t="shared" si="5"/>
        <v>37.22</v>
      </c>
      <c r="N27" s="968">
        <f>+NOMINA!BR27</f>
        <v>62.43</v>
      </c>
      <c r="O27" s="968">
        <f>+NOMINA!BS27</f>
        <v>13.87</v>
      </c>
      <c r="P27" s="968">
        <f>+NOMINA!BT27</f>
        <v>12.02</v>
      </c>
      <c r="Q27" s="963">
        <f t="shared" si="6"/>
        <v>88.32</v>
      </c>
      <c r="R27" s="963">
        <f t="shared" si="7"/>
        <v>125.53999999999999</v>
      </c>
      <c r="S27" s="972">
        <v>0</v>
      </c>
      <c r="T27" s="443" t="e">
        <f>#REF!+#REF!-M27</f>
        <v>#REF!</v>
      </c>
      <c r="U27" s="952" t="e">
        <f>ROUND((#REF!+#REF!+#REF!+#REF!+#REF!+#REF!+#REF!+#REF!+#REF!),2)</f>
        <v>#REF!</v>
      </c>
      <c r="Y27" s="953" t="e">
        <f>#REF!+#REF!-M27</f>
        <v>#REF!</v>
      </c>
      <c r="Z27" s="954" t="e">
        <f>#REF!</f>
        <v>#REF!</v>
      </c>
      <c r="AA27" s="953" t="e">
        <f>#REF!+#REF!</f>
        <v>#REF!</v>
      </c>
      <c r="AB27" s="954" t="e">
        <f>#REF!</f>
        <v>#REF!</v>
      </c>
      <c r="AC27" s="955">
        <v>0</v>
      </c>
      <c r="AD27" s="954" t="e">
        <f>#REF!</f>
        <v>#REF!</v>
      </c>
      <c r="AE27" s="956" t="e">
        <f>#REF!+#REF!</f>
        <v>#REF!</v>
      </c>
      <c r="AF27" s="956" t="e">
        <f>#REF!+#REF!</f>
        <v>#REF!</v>
      </c>
      <c r="AG27" s="956"/>
      <c r="AH27" s="954" t="e">
        <f>#REF!</f>
        <v>#REF!</v>
      </c>
      <c r="AI27" s="954" t="e">
        <f t="shared" si="8"/>
        <v>#REF!</v>
      </c>
      <c r="AJ27" s="954">
        <f t="shared" si="3"/>
        <v>125.53999999999999</v>
      </c>
      <c r="AK27" s="954">
        <f t="shared" si="9"/>
        <v>0</v>
      </c>
      <c r="AL27" s="625"/>
    </row>
    <row r="28" spans="1:38" s="620" customFormat="1" ht="20.100000000000001" customHeight="1" x14ac:dyDescent="0.2">
      <c r="A28" s="759">
        <f t="shared" si="10"/>
        <v>12</v>
      </c>
      <c r="B28" s="957">
        <f>+NOMINA!C28</f>
        <v>9495661</v>
      </c>
      <c r="C28" s="958" t="str">
        <f>+NOMINA!D28</f>
        <v>Aguial Carrillo Gregoria Coromoto</v>
      </c>
      <c r="D28" s="955" t="s">
        <v>4622</v>
      </c>
      <c r="E28" s="959">
        <v>32351</v>
      </c>
      <c r="F28" s="955" t="s">
        <v>4620</v>
      </c>
      <c r="G28" s="969">
        <f>+NOMINA!H28</f>
        <v>39692</v>
      </c>
      <c r="H28" s="961">
        <f t="shared" si="4"/>
        <v>14</v>
      </c>
      <c r="I28" s="962">
        <v>0</v>
      </c>
      <c r="J28" s="968">
        <f>+NOMINA!BL28</f>
        <v>25.47</v>
      </c>
      <c r="K28" s="968">
        <f>+NOMINA!BM28</f>
        <v>3.18</v>
      </c>
      <c r="L28" s="968">
        <f>+NOMINA!BN28</f>
        <v>5.52</v>
      </c>
      <c r="M28" s="963">
        <f t="shared" si="5"/>
        <v>34.17</v>
      </c>
      <c r="N28" s="968">
        <f>+NOMINA!BR28</f>
        <v>57.3</v>
      </c>
      <c r="O28" s="968">
        <f>+NOMINA!BS28</f>
        <v>12.73</v>
      </c>
      <c r="P28" s="968">
        <f>+NOMINA!BT28</f>
        <v>11.04</v>
      </c>
      <c r="Q28" s="963">
        <f t="shared" si="6"/>
        <v>81.069999999999993</v>
      </c>
      <c r="R28" s="963">
        <f t="shared" si="7"/>
        <v>115.24</v>
      </c>
      <c r="S28" s="972">
        <v>0</v>
      </c>
      <c r="T28" s="443" t="e">
        <f>#REF!+#REF!-M28</f>
        <v>#REF!</v>
      </c>
      <c r="U28" s="952" t="e">
        <f>ROUND((#REF!+#REF!+#REF!+#REF!+#REF!+#REF!+#REF!+#REF!+#REF!),2)</f>
        <v>#REF!</v>
      </c>
      <c r="Y28" s="953" t="e">
        <f>#REF!+#REF!-M28</f>
        <v>#REF!</v>
      </c>
      <c r="Z28" s="954" t="e">
        <f>#REF!</f>
        <v>#REF!</v>
      </c>
      <c r="AA28" s="953" t="e">
        <f>#REF!+#REF!</f>
        <v>#REF!</v>
      </c>
      <c r="AB28" s="954" t="e">
        <f>#REF!</f>
        <v>#REF!</v>
      </c>
      <c r="AC28" s="955">
        <v>0</v>
      </c>
      <c r="AD28" s="954" t="e">
        <f>#REF!</f>
        <v>#REF!</v>
      </c>
      <c r="AE28" s="956" t="e">
        <f>#REF!+#REF!</f>
        <v>#REF!</v>
      </c>
      <c r="AF28" s="956" t="e">
        <f>#REF!+#REF!</f>
        <v>#REF!</v>
      </c>
      <c r="AG28" s="956"/>
      <c r="AH28" s="954" t="e">
        <f>#REF!</f>
        <v>#REF!</v>
      </c>
      <c r="AI28" s="954" t="e">
        <f t="shared" si="8"/>
        <v>#REF!</v>
      </c>
      <c r="AJ28" s="954">
        <f t="shared" si="3"/>
        <v>115.24</v>
      </c>
      <c r="AK28" s="954">
        <f t="shared" si="9"/>
        <v>0</v>
      </c>
      <c r="AL28" s="625"/>
    </row>
    <row r="29" spans="1:38" s="620" customFormat="1" ht="20.100000000000001" customHeight="1" x14ac:dyDescent="0.2">
      <c r="A29" s="759">
        <f t="shared" si="10"/>
        <v>13</v>
      </c>
      <c r="B29" s="957">
        <f>+NOMINA!C29</f>
        <v>5348397</v>
      </c>
      <c r="C29" s="958" t="str">
        <f>+NOMINA!D29</f>
        <v>Araujo Manzanilla Carlos Antonio</v>
      </c>
      <c r="D29" s="955" t="s">
        <v>4622</v>
      </c>
      <c r="E29" s="959">
        <v>32351</v>
      </c>
      <c r="F29" s="955" t="s">
        <v>4620</v>
      </c>
      <c r="G29" s="969">
        <f>+NOMINA!H29</f>
        <v>43359</v>
      </c>
      <c r="H29" s="961">
        <f t="shared" si="4"/>
        <v>4</v>
      </c>
      <c r="I29" s="962">
        <v>0</v>
      </c>
      <c r="J29" s="968">
        <f>+NOMINA!BL29</f>
        <v>32.17</v>
      </c>
      <c r="K29" s="968">
        <f>+NOMINA!BM29</f>
        <v>4.0199999999999996</v>
      </c>
      <c r="L29" s="968">
        <f>+NOMINA!BN29</f>
        <v>6.97</v>
      </c>
      <c r="M29" s="963">
        <f t="shared" si="5"/>
        <v>43.16</v>
      </c>
      <c r="N29" s="968">
        <f>+NOMINA!BR29</f>
        <v>72.37</v>
      </c>
      <c r="O29" s="968">
        <f>+NOMINA!BS29</f>
        <v>16.079999999999998</v>
      </c>
      <c r="P29" s="968">
        <f>+NOMINA!BT29</f>
        <v>13.94</v>
      </c>
      <c r="Q29" s="963">
        <f t="shared" si="6"/>
        <v>102.39</v>
      </c>
      <c r="R29" s="963">
        <f t="shared" si="7"/>
        <v>145.55000000000001</v>
      </c>
      <c r="S29" s="972">
        <v>0</v>
      </c>
      <c r="T29" s="443" t="e">
        <f>#REF!+#REF!-M29</f>
        <v>#REF!</v>
      </c>
      <c r="U29" s="952" t="e">
        <f>ROUND((#REF!+#REF!+#REF!+#REF!+#REF!+#REF!+#REF!+#REF!+#REF!),2)</f>
        <v>#REF!</v>
      </c>
      <c r="Y29" s="953" t="e">
        <f>#REF!+#REF!-M29</f>
        <v>#REF!</v>
      </c>
      <c r="Z29" s="954" t="e">
        <f>#REF!</f>
        <v>#REF!</v>
      </c>
      <c r="AA29" s="953" t="e">
        <f>#REF!+#REF!</f>
        <v>#REF!</v>
      </c>
      <c r="AB29" s="954" t="e">
        <f>#REF!</f>
        <v>#REF!</v>
      </c>
      <c r="AC29" s="955">
        <v>0</v>
      </c>
      <c r="AD29" s="954" t="e">
        <f>#REF!</f>
        <v>#REF!</v>
      </c>
      <c r="AE29" s="956" t="e">
        <f>#REF!+#REF!</f>
        <v>#REF!</v>
      </c>
      <c r="AF29" s="956" t="e">
        <f>#REF!+#REF!</f>
        <v>#REF!</v>
      </c>
      <c r="AG29" s="956"/>
      <c r="AH29" s="954" t="e">
        <f>#REF!</f>
        <v>#REF!</v>
      </c>
      <c r="AI29" s="954" t="e">
        <f t="shared" si="8"/>
        <v>#REF!</v>
      </c>
      <c r="AJ29" s="954">
        <f t="shared" si="3"/>
        <v>145.55000000000001</v>
      </c>
      <c r="AK29" s="954">
        <f t="shared" si="9"/>
        <v>0</v>
      </c>
      <c r="AL29" s="625"/>
    </row>
    <row r="30" spans="1:38" s="620" customFormat="1" ht="20.100000000000001" customHeight="1" x14ac:dyDescent="0.2">
      <c r="A30" s="759">
        <f t="shared" si="10"/>
        <v>14</v>
      </c>
      <c r="B30" s="957">
        <f>+NOMINA!C30</f>
        <v>9314132</v>
      </c>
      <c r="C30" s="958" t="str">
        <f>+NOMINA!D30</f>
        <v>Viloria Montilla Gerardo</v>
      </c>
      <c r="D30" s="955" t="s">
        <v>4622</v>
      </c>
      <c r="E30" s="959">
        <v>32351</v>
      </c>
      <c r="F30" s="955" t="s">
        <v>4620</v>
      </c>
      <c r="G30" s="969">
        <f>+NOMINA!H30</f>
        <v>44348</v>
      </c>
      <c r="H30" s="961">
        <f t="shared" si="4"/>
        <v>1</v>
      </c>
      <c r="I30" s="962">
        <v>0</v>
      </c>
      <c r="J30" s="968">
        <f>+NOMINA!BL30</f>
        <v>30.65</v>
      </c>
      <c r="K30" s="968">
        <f>+NOMINA!BM30</f>
        <v>3.83</v>
      </c>
      <c r="L30" s="968">
        <f>+NOMINA!BN30</f>
        <v>6.64</v>
      </c>
      <c r="M30" s="963">
        <f t="shared" si="5"/>
        <v>41.12</v>
      </c>
      <c r="N30" s="968">
        <f>+NOMINA!BR30</f>
        <v>68.959999999999994</v>
      </c>
      <c r="O30" s="968">
        <f>+NOMINA!BS30</f>
        <v>15.33</v>
      </c>
      <c r="P30" s="968">
        <f>+NOMINA!BT30</f>
        <v>13.28</v>
      </c>
      <c r="Q30" s="963">
        <f t="shared" si="6"/>
        <v>97.57</v>
      </c>
      <c r="R30" s="963">
        <f t="shared" si="7"/>
        <v>138.69</v>
      </c>
      <c r="S30" s="972">
        <v>0</v>
      </c>
      <c r="T30" s="443" t="e">
        <f>#REF!+#REF!-M30</f>
        <v>#REF!</v>
      </c>
      <c r="U30" s="952" t="e">
        <f>ROUND((#REF!+#REF!+#REF!+#REF!+#REF!+#REF!+#REF!+#REF!+#REF!),2)</f>
        <v>#REF!</v>
      </c>
      <c r="Y30" s="953" t="e">
        <f>#REF!+#REF!-M30</f>
        <v>#REF!</v>
      </c>
      <c r="Z30" s="954" t="e">
        <f>#REF!</f>
        <v>#REF!</v>
      </c>
      <c r="AA30" s="953" t="e">
        <f>#REF!+#REF!</f>
        <v>#REF!</v>
      </c>
      <c r="AB30" s="954" t="e">
        <f>#REF!</f>
        <v>#REF!</v>
      </c>
      <c r="AC30" s="955">
        <v>0</v>
      </c>
      <c r="AD30" s="954" t="e">
        <f>#REF!</f>
        <v>#REF!</v>
      </c>
      <c r="AE30" s="956" t="e">
        <f>#REF!+#REF!</f>
        <v>#REF!</v>
      </c>
      <c r="AF30" s="956" t="e">
        <f>#REF!+#REF!</f>
        <v>#REF!</v>
      </c>
      <c r="AG30" s="956"/>
      <c r="AH30" s="954" t="e">
        <f>#REF!</f>
        <v>#REF!</v>
      </c>
      <c r="AI30" s="954" t="e">
        <f t="shared" si="8"/>
        <v>#REF!</v>
      </c>
      <c r="AJ30" s="954">
        <f t="shared" si="3"/>
        <v>138.69</v>
      </c>
      <c r="AK30" s="954">
        <f t="shared" si="9"/>
        <v>0</v>
      </c>
      <c r="AL30" s="625"/>
    </row>
    <row r="31" spans="1:38" s="620" customFormat="1" ht="20.100000000000001" customHeight="1" x14ac:dyDescent="0.2">
      <c r="A31" s="759">
        <f t="shared" si="10"/>
        <v>15</v>
      </c>
      <c r="B31" s="957">
        <f>+NOMINA!C31</f>
        <v>11320533</v>
      </c>
      <c r="C31" s="958" t="str">
        <f>+NOMINA!D31</f>
        <v>Suarez Chiquin Yaritza Josefina</v>
      </c>
      <c r="D31" s="955" t="s">
        <v>4622</v>
      </c>
      <c r="E31" s="959">
        <v>32351</v>
      </c>
      <c r="F31" s="955" t="s">
        <v>4620</v>
      </c>
      <c r="G31" s="969">
        <f>+NOMINA!H31</f>
        <v>37629</v>
      </c>
      <c r="H31" s="961">
        <f t="shared" si="4"/>
        <v>19</v>
      </c>
      <c r="I31" s="962">
        <v>0</v>
      </c>
      <c r="J31" s="968">
        <f>+NOMINA!BL31</f>
        <v>34.24</v>
      </c>
      <c r="K31" s="968">
        <f>+NOMINA!BM31</f>
        <v>4.28</v>
      </c>
      <c r="L31" s="968">
        <f>+NOMINA!BN31</f>
        <v>7.42</v>
      </c>
      <c r="M31" s="963">
        <f t="shared" si="5"/>
        <v>45.94</v>
      </c>
      <c r="N31" s="968">
        <f>+NOMINA!BR31</f>
        <v>77.040000000000006</v>
      </c>
      <c r="O31" s="968">
        <f>+NOMINA!BS31</f>
        <v>17.12</v>
      </c>
      <c r="P31" s="968">
        <f>+NOMINA!BT31</f>
        <v>14.84</v>
      </c>
      <c r="Q31" s="963">
        <f t="shared" si="6"/>
        <v>109</v>
      </c>
      <c r="R31" s="963">
        <f t="shared" si="7"/>
        <v>154.94</v>
      </c>
      <c r="S31" s="972">
        <v>0</v>
      </c>
      <c r="T31" s="443" t="e">
        <f>#REF!+#REF!-M31</f>
        <v>#REF!</v>
      </c>
      <c r="U31" s="952" t="e">
        <f>ROUND((#REF!+#REF!+#REF!+#REF!+#REF!+#REF!+#REF!+#REF!+#REF!),2)</f>
        <v>#REF!</v>
      </c>
      <c r="Y31" s="953" t="e">
        <f>#REF!+#REF!-M31</f>
        <v>#REF!</v>
      </c>
      <c r="Z31" s="954" t="e">
        <f>#REF!</f>
        <v>#REF!</v>
      </c>
      <c r="AA31" s="953" t="e">
        <f>#REF!+#REF!</f>
        <v>#REF!</v>
      </c>
      <c r="AB31" s="954" t="e">
        <f>#REF!</f>
        <v>#REF!</v>
      </c>
      <c r="AC31" s="955">
        <v>0</v>
      </c>
      <c r="AD31" s="954" t="e">
        <f>#REF!</f>
        <v>#REF!</v>
      </c>
      <c r="AE31" s="956" t="e">
        <f>#REF!+#REF!</f>
        <v>#REF!</v>
      </c>
      <c r="AF31" s="956" t="e">
        <f>#REF!+#REF!</f>
        <v>#REF!</v>
      </c>
      <c r="AG31" s="956"/>
      <c r="AH31" s="954" t="e">
        <f>#REF!</f>
        <v>#REF!</v>
      </c>
      <c r="AI31" s="954" t="e">
        <f t="shared" si="8"/>
        <v>#REF!</v>
      </c>
      <c r="AJ31" s="954">
        <f t="shared" si="3"/>
        <v>154.94</v>
      </c>
      <c r="AK31" s="954">
        <f t="shared" si="9"/>
        <v>0</v>
      </c>
      <c r="AL31" s="625"/>
    </row>
    <row r="32" spans="1:38" s="620" customFormat="1" ht="20.100000000000001" customHeight="1" x14ac:dyDescent="0.2">
      <c r="A32" s="759">
        <f t="shared" si="10"/>
        <v>16</v>
      </c>
      <c r="B32" s="957">
        <f>+NOMINA!C32</f>
        <v>10912595</v>
      </c>
      <c r="C32" s="958" t="str">
        <f>+NOMINA!D32</f>
        <v>Delfin Bustos Jose Hercilio</v>
      </c>
      <c r="D32" s="955" t="s">
        <v>4622</v>
      </c>
      <c r="E32" s="959">
        <v>32351</v>
      </c>
      <c r="F32" s="955" t="s">
        <v>4620</v>
      </c>
      <c r="G32" s="969">
        <f>+NOMINA!H32</f>
        <v>36039</v>
      </c>
      <c r="H32" s="961">
        <f t="shared" si="4"/>
        <v>24</v>
      </c>
      <c r="I32" s="962">
        <v>0</v>
      </c>
      <c r="J32" s="968">
        <f>+NOMINA!BL32</f>
        <v>26.88</v>
      </c>
      <c r="K32" s="968">
        <f>+NOMINA!BM32</f>
        <v>3.36</v>
      </c>
      <c r="L32" s="968">
        <f>+NOMINA!BN32</f>
        <v>5.82</v>
      </c>
      <c r="M32" s="963">
        <f t="shared" si="5"/>
        <v>36.06</v>
      </c>
      <c r="N32" s="968">
        <f>+NOMINA!BR32</f>
        <v>60.48</v>
      </c>
      <c r="O32" s="968">
        <f>+NOMINA!BS32</f>
        <v>13.44</v>
      </c>
      <c r="P32" s="968">
        <f>+NOMINA!BT32</f>
        <v>11.64</v>
      </c>
      <c r="Q32" s="963">
        <f t="shared" si="6"/>
        <v>85.56</v>
      </c>
      <c r="R32" s="963">
        <f t="shared" si="7"/>
        <v>121.62</v>
      </c>
      <c r="S32" s="972">
        <v>0</v>
      </c>
      <c r="T32" s="443" t="e">
        <f>#REF!+#REF!-M32</f>
        <v>#REF!</v>
      </c>
      <c r="U32" s="952" t="e">
        <f>ROUND((#REF!+#REF!+#REF!+#REF!+#REF!+#REF!+#REF!+#REF!+#REF!),2)</f>
        <v>#REF!</v>
      </c>
      <c r="Y32" s="953" t="e">
        <f>#REF!+#REF!-M32</f>
        <v>#REF!</v>
      </c>
      <c r="Z32" s="954" t="e">
        <f>#REF!</f>
        <v>#REF!</v>
      </c>
      <c r="AA32" s="953" t="e">
        <f>#REF!+#REF!</f>
        <v>#REF!</v>
      </c>
      <c r="AB32" s="954" t="e">
        <f>#REF!</f>
        <v>#REF!</v>
      </c>
      <c r="AC32" s="955">
        <v>0</v>
      </c>
      <c r="AD32" s="954" t="e">
        <f>#REF!</f>
        <v>#REF!</v>
      </c>
      <c r="AE32" s="956" t="e">
        <f>#REF!+#REF!</f>
        <v>#REF!</v>
      </c>
      <c r="AF32" s="956" t="e">
        <f>#REF!+#REF!</f>
        <v>#REF!</v>
      </c>
      <c r="AG32" s="956"/>
      <c r="AH32" s="954" t="e">
        <f>#REF!</f>
        <v>#REF!</v>
      </c>
      <c r="AI32" s="954" t="e">
        <f t="shared" si="8"/>
        <v>#REF!</v>
      </c>
      <c r="AJ32" s="954">
        <f t="shared" si="3"/>
        <v>121.62</v>
      </c>
      <c r="AK32" s="954">
        <f t="shared" si="9"/>
        <v>0</v>
      </c>
      <c r="AL32" s="625"/>
    </row>
    <row r="33" spans="1:40" s="620" customFormat="1" ht="20.100000000000001" customHeight="1" x14ac:dyDescent="0.2">
      <c r="A33" s="759">
        <f t="shared" si="10"/>
        <v>17</v>
      </c>
      <c r="B33" s="957">
        <f>+NOMINA!C33</f>
        <v>4306476</v>
      </c>
      <c r="C33" s="958" t="str">
        <f>+NOMINA!D33</f>
        <v>Triviño de Bastidas Dioni de la Coromoto</v>
      </c>
      <c r="D33" s="955" t="s">
        <v>4622</v>
      </c>
      <c r="E33" s="959">
        <v>32351</v>
      </c>
      <c r="F33" s="955" t="s">
        <v>4620</v>
      </c>
      <c r="G33" s="969">
        <f>+NOMINA!H33</f>
        <v>44409</v>
      </c>
      <c r="H33" s="961">
        <f t="shared" si="4"/>
        <v>1</v>
      </c>
      <c r="I33" s="962">
        <v>0</v>
      </c>
      <c r="J33" s="968">
        <f>+NOMINA!BL33</f>
        <v>36.29</v>
      </c>
      <c r="K33" s="968">
        <f>+NOMINA!BM33</f>
        <v>4.54</v>
      </c>
      <c r="L33" s="968">
        <f>+NOMINA!BN33</f>
        <v>7.86</v>
      </c>
      <c r="M33" s="963">
        <f t="shared" si="5"/>
        <v>48.69</v>
      </c>
      <c r="N33" s="968">
        <f>+NOMINA!BR33</f>
        <v>81.650000000000006</v>
      </c>
      <c r="O33" s="968">
        <f>+NOMINA!BS33</f>
        <v>18.14</v>
      </c>
      <c r="P33" s="968">
        <f>+NOMINA!BT33</f>
        <v>15.72</v>
      </c>
      <c r="Q33" s="963">
        <f t="shared" si="6"/>
        <v>115.51</v>
      </c>
      <c r="R33" s="963">
        <f t="shared" si="7"/>
        <v>164.2</v>
      </c>
      <c r="S33" s="972">
        <v>0</v>
      </c>
      <c r="T33" s="443" t="e">
        <f>#REF!+#REF!-M33</f>
        <v>#REF!</v>
      </c>
      <c r="U33" s="952" t="e">
        <f>ROUND((#REF!+#REF!+#REF!+#REF!+#REF!+#REF!+#REF!+#REF!+#REF!),2)</f>
        <v>#REF!</v>
      </c>
      <c r="Y33" s="953" t="e">
        <f>#REF!+#REF!-M33</f>
        <v>#REF!</v>
      </c>
      <c r="Z33" s="954" t="e">
        <f>#REF!</f>
        <v>#REF!</v>
      </c>
      <c r="AA33" s="953" t="e">
        <f>#REF!+#REF!</f>
        <v>#REF!</v>
      </c>
      <c r="AB33" s="954" t="e">
        <f>#REF!</f>
        <v>#REF!</v>
      </c>
      <c r="AC33" s="955">
        <v>0</v>
      </c>
      <c r="AD33" s="954" t="e">
        <f>#REF!</f>
        <v>#REF!</v>
      </c>
      <c r="AE33" s="956" t="e">
        <f>#REF!+#REF!</f>
        <v>#REF!</v>
      </c>
      <c r="AF33" s="956" t="e">
        <f>#REF!+#REF!</f>
        <v>#REF!</v>
      </c>
      <c r="AG33" s="956"/>
      <c r="AH33" s="954" t="e">
        <f>#REF!</f>
        <v>#REF!</v>
      </c>
      <c r="AI33" s="954" t="e">
        <f t="shared" si="8"/>
        <v>#REF!</v>
      </c>
      <c r="AJ33" s="954">
        <f t="shared" si="3"/>
        <v>164.2</v>
      </c>
      <c r="AK33" s="954">
        <f t="shared" si="9"/>
        <v>0</v>
      </c>
      <c r="AL33" s="625"/>
    </row>
    <row r="34" spans="1:40" s="620" customFormat="1" ht="20.100000000000001" customHeight="1" x14ac:dyDescent="0.2">
      <c r="A34" s="759">
        <f t="shared" si="10"/>
        <v>18</v>
      </c>
      <c r="B34" s="957">
        <f>+NOMINA!C34</f>
        <v>13568733</v>
      </c>
      <c r="C34" s="958" t="str">
        <f>+NOMINA!D34</f>
        <v>Campos de Velazquez Nilda Carolina</v>
      </c>
      <c r="D34" s="955" t="s">
        <v>4622</v>
      </c>
      <c r="E34" s="959">
        <v>32351</v>
      </c>
      <c r="F34" s="955" t="s">
        <v>4620</v>
      </c>
      <c r="G34" s="969">
        <f>+NOMINA!H34</f>
        <v>44805</v>
      </c>
      <c r="H34" s="961">
        <f t="shared" si="4"/>
        <v>0</v>
      </c>
      <c r="I34" s="962">
        <v>0</v>
      </c>
      <c r="J34" s="968">
        <f>+NOMINA!BL34</f>
        <v>28.9</v>
      </c>
      <c r="K34" s="968">
        <f>+NOMINA!BM34</f>
        <v>3.61</v>
      </c>
      <c r="L34" s="968">
        <f>+NOMINA!BN34</f>
        <v>6.26</v>
      </c>
      <c r="M34" s="963">
        <f t="shared" si="5"/>
        <v>38.770000000000003</v>
      </c>
      <c r="N34" s="968">
        <f>+NOMINA!BR34</f>
        <v>65.03</v>
      </c>
      <c r="O34" s="968">
        <f>+NOMINA!BS34</f>
        <v>14.45</v>
      </c>
      <c r="P34" s="968">
        <f>+NOMINA!BT34</f>
        <v>12.52</v>
      </c>
      <c r="Q34" s="963">
        <f t="shared" si="6"/>
        <v>92</v>
      </c>
      <c r="R34" s="963">
        <f t="shared" si="7"/>
        <v>130.77000000000001</v>
      </c>
      <c r="S34" s="972">
        <v>0</v>
      </c>
      <c r="T34" s="443" t="e">
        <f>#REF!+#REF!-M34</f>
        <v>#REF!</v>
      </c>
      <c r="U34" s="952" t="e">
        <f>ROUND((#REF!+#REF!+#REF!+#REF!+#REF!+#REF!+#REF!+#REF!+#REF!),2)</f>
        <v>#REF!</v>
      </c>
      <c r="Y34" s="953" t="e">
        <f>#REF!+#REF!-M34</f>
        <v>#REF!</v>
      </c>
      <c r="Z34" s="954" t="e">
        <f>#REF!</f>
        <v>#REF!</v>
      </c>
      <c r="AA34" s="953" t="e">
        <f>#REF!+#REF!</f>
        <v>#REF!</v>
      </c>
      <c r="AB34" s="954" t="e">
        <f>#REF!</f>
        <v>#REF!</v>
      </c>
      <c r="AC34" s="955">
        <v>0</v>
      </c>
      <c r="AD34" s="954" t="e">
        <f>#REF!</f>
        <v>#REF!</v>
      </c>
      <c r="AE34" s="956" t="e">
        <f>#REF!+#REF!</f>
        <v>#REF!</v>
      </c>
      <c r="AF34" s="956" t="e">
        <f>#REF!+#REF!</f>
        <v>#REF!</v>
      </c>
      <c r="AG34" s="956"/>
      <c r="AH34" s="954" t="e">
        <f>#REF!</f>
        <v>#REF!</v>
      </c>
      <c r="AI34" s="954" t="e">
        <f t="shared" si="8"/>
        <v>#REF!</v>
      </c>
      <c r="AJ34" s="954">
        <f t="shared" si="3"/>
        <v>130.77000000000001</v>
      </c>
      <c r="AK34" s="954">
        <f t="shared" si="9"/>
        <v>0</v>
      </c>
      <c r="AL34" s="625"/>
    </row>
    <row r="35" spans="1:40" s="620" customFormat="1" ht="20.100000000000001" customHeight="1" x14ac:dyDescent="0.2">
      <c r="A35" s="759">
        <f t="shared" si="10"/>
        <v>19</v>
      </c>
      <c r="B35" s="957">
        <f>+NOMINA!C35</f>
        <v>20790947</v>
      </c>
      <c r="C35" s="958" t="str">
        <f>+NOMINA!D35</f>
        <v>Urbina Cuellar Tannessy Lenery</v>
      </c>
      <c r="D35" s="955" t="s">
        <v>4622</v>
      </c>
      <c r="E35" s="959">
        <v>32351</v>
      </c>
      <c r="F35" s="955" t="s">
        <v>4620</v>
      </c>
      <c r="G35" s="969">
        <f>+NOMINA!H35</f>
        <v>43967</v>
      </c>
      <c r="H35" s="961">
        <f t="shared" si="4"/>
        <v>2</v>
      </c>
      <c r="I35" s="962">
        <v>0</v>
      </c>
      <c r="J35" s="968">
        <f>+NOMINA!BL35</f>
        <v>29.3</v>
      </c>
      <c r="K35" s="968">
        <f>+NOMINA!BM35</f>
        <v>3.66</v>
      </c>
      <c r="L35" s="968">
        <f>+NOMINA!BN35</f>
        <v>6.35</v>
      </c>
      <c r="M35" s="963">
        <f t="shared" si="5"/>
        <v>39.31</v>
      </c>
      <c r="N35" s="968">
        <f>+NOMINA!BR35</f>
        <v>65.930000000000007</v>
      </c>
      <c r="O35" s="968">
        <f>+NOMINA!BS35</f>
        <v>14.65</v>
      </c>
      <c r="P35" s="968">
        <f>+NOMINA!BT35</f>
        <v>12.7</v>
      </c>
      <c r="Q35" s="963">
        <f t="shared" si="6"/>
        <v>93.28</v>
      </c>
      <c r="R35" s="963">
        <f t="shared" si="7"/>
        <v>132.59</v>
      </c>
      <c r="S35" s="972">
        <v>0</v>
      </c>
      <c r="T35" s="443" t="e">
        <f>#REF!+#REF!-M35</f>
        <v>#REF!</v>
      </c>
      <c r="U35" s="952" t="e">
        <f>ROUND((#REF!+#REF!+#REF!+#REF!+#REF!+#REF!+#REF!+#REF!+#REF!),2)</f>
        <v>#REF!</v>
      </c>
      <c r="Y35" s="953" t="e">
        <f>#REF!+#REF!-M35</f>
        <v>#REF!</v>
      </c>
      <c r="Z35" s="954" t="e">
        <f>#REF!</f>
        <v>#REF!</v>
      </c>
      <c r="AA35" s="953" t="e">
        <f>#REF!+#REF!</f>
        <v>#REF!</v>
      </c>
      <c r="AB35" s="954" t="e">
        <f>#REF!</f>
        <v>#REF!</v>
      </c>
      <c r="AC35" s="955">
        <v>0</v>
      </c>
      <c r="AD35" s="954" t="e">
        <f>#REF!</f>
        <v>#REF!</v>
      </c>
      <c r="AE35" s="956" t="e">
        <f>#REF!+#REF!</f>
        <v>#REF!</v>
      </c>
      <c r="AF35" s="956" t="e">
        <f>#REF!+#REF!</f>
        <v>#REF!</v>
      </c>
      <c r="AG35" s="956"/>
      <c r="AH35" s="954" t="e">
        <f>#REF!</f>
        <v>#REF!</v>
      </c>
      <c r="AI35" s="954" t="e">
        <f t="shared" si="8"/>
        <v>#REF!</v>
      </c>
      <c r="AJ35" s="954">
        <f t="shared" si="3"/>
        <v>132.59</v>
      </c>
      <c r="AK35" s="954">
        <f t="shared" si="9"/>
        <v>0</v>
      </c>
      <c r="AL35" s="625"/>
    </row>
    <row r="36" spans="1:40" s="620" customFormat="1" ht="20.100000000000001" customHeight="1" x14ac:dyDescent="0.2">
      <c r="A36" s="759">
        <f t="shared" si="10"/>
        <v>20</v>
      </c>
      <c r="B36" s="957">
        <f>+NOMINA!C36</f>
        <v>15752183</v>
      </c>
      <c r="C36" s="958" t="str">
        <f>+NOMINA!D36</f>
        <v>Delduca Adriana del Valle</v>
      </c>
      <c r="D36" s="955" t="s">
        <v>4622</v>
      </c>
      <c r="E36" s="959">
        <v>32351</v>
      </c>
      <c r="F36" s="955" t="s">
        <v>4620</v>
      </c>
      <c r="G36" s="969">
        <f>+NOMINA!H36</f>
        <v>38930</v>
      </c>
      <c r="H36" s="961">
        <f t="shared" si="4"/>
        <v>16</v>
      </c>
      <c r="I36" s="962">
        <v>0</v>
      </c>
      <c r="J36" s="968">
        <f>+NOMINA!BL36</f>
        <v>27.13</v>
      </c>
      <c r="K36" s="968">
        <f>+NOMINA!BM36</f>
        <v>3.39</v>
      </c>
      <c r="L36" s="968">
        <f>+NOMINA!BN36</f>
        <v>5.88</v>
      </c>
      <c r="M36" s="963">
        <f t="shared" si="5"/>
        <v>36.4</v>
      </c>
      <c r="N36" s="968">
        <f>+NOMINA!BR36</f>
        <v>61.05</v>
      </c>
      <c r="O36" s="968">
        <f>+NOMINA!BS36</f>
        <v>13.57</v>
      </c>
      <c r="P36" s="968">
        <f>+NOMINA!BT36</f>
        <v>11.76</v>
      </c>
      <c r="Q36" s="963">
        <f t="shared" si="6"/>
        <v>86.38</v>
      </c>
      <c r="R36" s="963">
        <f t="shared" si="7"/>
        <v>122.78</v>
      </c>
      <c r="S36" s="972">
        <v>0</v>
      </c>
      <c r="T36" s="443" t="e">
        <f>#REF!+#REF!-M36</f>
        <v>#REF!</v>
      </c>
      <c r="U36" s="952" t="e">
        <f>ROUND((#REF!+#REF!+#REF!+#REF!+#REF!+#REF!+#REF!+#REF!+#REF!),2)</f>
        <v>#REF!</v>
      </c>
      <c r="Y36" s="953" t="e">
        <f>#REF!+#REF!-M36</f>
        <v>#REF!</v>
      </c>
      <c r="Z36" s="954" t="e">
        <f>#REF!</f>
        <v>#REF!</v>
      </c>
      <c r="AA36" s="953" t="e">
        <f>#REF!+#REF!</f>
        <v>#REF!</v>
      </c>
      <c r="AB36" s="954" t="e">
        <f>#REF!</f>
        <v>#REF!</v>
      </c>
      <c r="AC36" s="955">
        <v>0</v>
      </c>
      <c r="AD36" s="954" t="e">
        <f>#REF!</f>
        <v>#REF!</v>
      </c>
      <c r="AE36" s="956" t="e">
        <f>#REF!+#REF!</f>
        <v>#REF!</v>
      </c>
      <c r="AF36" s="956" t="e">
        <f>#REF!+#REF!</f>
        <v>#REF!</v>
      </c>
      <c r="AG36" s="956"/>
      <c r="AH36" s="954" t="e">
        <f>#REF!</f>
        <v>#REF!</v>
      </c>
      <c r="AI36" s="954" t="e">
        <f t="shared" si="8"/>
        <v>#REF!</v>
      </c>
      <c r="AJ36" s="954">
        <f t="shared" si="3"/>
        <v>122.78</v>
      </c>
      <c r="AK36" s="954">
        <f t="shared" si="9"/>
        <v>0</v>
      </c>
      <c r="AL36" s="625"/>
    </row>
    <row r="37" spans="1:40" s="620" customFormat="1" ht="20.100000000000001" customHeight="1" x14ac:dyDescent="0.2">
      <c r="A37" s="759">
        <f t="shared" si="10"/>
        <v>21</v>
      </c>
      <c r="B37" s="957">
        <f>+NOMINA!C37</f>
        <v>16739081</v>
      </c>
      <c r="C37" s="958" t="str">
        <f>+NOMINA!D37</f>
        <v>Albarran Araujo Yely Coromoto</v>
      </c>
      <c r="D37" s="955" t="s">
        <v>4622</v>
      </c>
      <c r="E37" s="959">
        <v>32351</v>
      </c>
      <c r="F37" s="955" t="s">
        <v>4620</v>
      </c>
      <c r="G37" s="969">
        <f>+NOMINA!H37</f>
        <v>42948</v>
      </c>
      <c r="H37" s="961">
        <f t="shared" si="4"/>
        <v>5</v>
      </c>
      <c r="I37" s="962">
        <v>0</v>
      </c>
      <c r="J37" s="968">
        <f>+NOMINA!BL37</f>
        <v>29.52</v>
      </c>
      <c r="K37" s="968">
        <f>+NOMINA!BM37</f>
        <v>3.69</v>
      </c>
      <c r="L37" s="968">
        <f>+NOMINA!BN37</f>
        <v>6.4</v>
      </c>
      <c r="M37" s="963">
        <f t="shared" si="5"/>
        <v>39.61</v>
      </c>
      <c r="N37" s="968">
        <f>+NOMINA!BR37</f>
        <v>66.41</v>
      </c>
      <c r="O37" s="968">
        <f>+NOMINA!BS37</f>
        <v>14.76</v>
      </c>
      <c r="P37" s="968">
        <f>+NOMINA!BT37</f>
        <v>12.8</v>
      </c>
      <c r="Q37" s="963">
        <f t="shared" si="6"/>
        <v>93.97</v>
      </c>
      <c r="R37" s="963">
        <f t="shared" si="7"/>
        <v>133.57999999999998</v>
      </c>
      <c r="S37" s="972">
        <v>0</v>
      </c>
      <c r="T37" s="443" t="e">
        <f>#REF!+#REF!-M37</f>
        <v>#REF!</v>
      </c>
      <c r="U37" s="952" t="e">
        <f>ROUND((#REF!+#REF!+#REF!+#REF!+#REF!+#REF!+#REF!+#REF!+#REF!),2)</f>
        <v>#REF!</v>
      </c>
      <c r="Y37" s="953" t="e">
        <f>#REF!+#REF!-M37</f>
        <v>#REF!</v>
      </c>
      <c r="Z37" s="954" t="e">
        <f>#REF!</f>
        <v>#REF!</v>
      </c>
      <c r="AA37" s="953" t="e">
        <f>#REF!+#REF!</f>
        <v>#REF!</v>
      </c>
      <c r="AB37" s="954" t="e">
        <f>#REF!</f>
        <v>#REF!</v>
      </c>
      <c r="AC37" s="955">
        <v>0</v>
      </c>
      <c r="AD37" s="954" t="e">
        <f>#REF!</f>
        <v>#REF!</v>
      </c>
      <c r="AE37" s="956" t="e">
        <f>#REF!+#REF!</f>
        <v>#REF!</v>
      </c>
      <c r="AF37" s="956" t="e">
        <f>#REF!+#REF!</f>
        <v>#REF!</v>
      </c>
      <c r="AG37" s="956"/>
      <c r="AH37" s="954" t="e">
        <f>#REF!</f>
        <v>#REF!</v>
      </c>
      <c r="AI37" s="954" t="e">
        <f t="shared" si="8"/>
        <v>#REF!</v>
      </c>
      <c r="AJ37" s="954">
        <f t="shared" si="3"/>
        <v>133.57999999999998</v>
      </c>
      <c r="AK37" s="954">
        <f t="shared" si="9"/>
        <v>0</v>
      </c>
      <c r="AL37" s="625"/>
    </row>
    <row r="38" spans="1:40" s="620" customFormat="1" ht="20.100000000000001" customHeight="1" x14ac:dyDescent="0.2">
      <c r="A38" s="759">
        <f t="shared" si="10"/>
        <v>22</v>
      </c>
      <c r="B38" s="957">
        <f>+NOMINA!C38</f>
        <v>18349553</v>
      </c>
      <c r="C38" s="958" t="str">
        <f>+NOMINA!D38</f>
        <v>Quiroga Valdes Nayla Carolina</v>
      </c>
      <c r="D38" s="955" t="s">
        <v>4622</v>
      </c>
      <c r="E38" s="959">
        <v>32351</v>
      </c>
      <c r="F38" s="955" t="s">
        <v>4620</v>
      </c>
      <c r="G38" s="969">
        <f>+NOMINA!H38</f>
        <v>45566</v>
      </c>
      <c r="H38" s="961">
        <f t="shared" si="4"/>
        <v>0</v>
      </c>
      <c r="I38" s="962">
        <v>0</v>
      </c>
      <c r="J38" s="968">
        <f>+NOMINA!BL38</f>
        <v>27.58</v>
      </c>
      <c r="K38" s="968">
        <f>+NOMINA!BM38</f>
        <v>3.45</v>
      </c>
      <c r="L38" s="968">
        <f>+NOMINA!BN38</f>
        <v>5.98</v>
      </c>
      <c r="M38" s="963">
        <f t="shared" si="5"/>
        <v>37.01</v>
      </c>
      <c r="N38" s="968">
        <f>+NOMINA!BR38</f>
        <v>62.05</v>
      </c>
      <c r="O38" s="968">
        <f>+NOMINA!BS38</f>
        <v>13.79</v>
      </c>
      <c r="P38" s="968">
        <f>+NOMINA!BT38</f>
        <v>11.96</v>
      </c>
      <c r="Q38" s="963">
        <f t="shared" si="6"/>
        <v>87.8</v>
      </c>
      <c r="R38" s="963">
        <f t="shared" si="7"/>
        <v>124.81</v>
      </c>
      <c r="S38" s="972">
        <v>0</v>
      </c>
      <c r="T38" s="443" t="e">
        <f>#REF!+#REF!-M38</f>
        <v>#REF!</v>
      </c>
      <c r="U38" s="952" t="e">
        <f>ROUND((#REF!+#REF!+#REF!+#REF!+#REF!+#REF!+#REF!+#REF!+#REF!),2)</f>
        <v>#REF!</v>
      </c>
      <c r="Y38" s="953" t="e">
        <f>#REF!+#REF!-M38</f>
        <v>#REF!</v>
      </c>
      <c r="Z38" s="954" t="e">
        <f>#REF!</f>
        <v>#REF!</v>
      </c>
      <c r="AA38" s="953" t="e">
        <f>#REF!+#REF!</f>
        <v>#REF!</v>
      </c>
      <c r="AB38" s="954" t="e">
        <f>#REF!</f>
        <v>#REF!</v>
      </c>
      <c r="AC38" s="955">
        <v>0</v>
      </c>
      <c r="AD38" s="954" t="e">
        <f>#REF!</f>
        <v>#REF!</v>
      </c>
      <c r="AE38" s="956" t="e">
        <f>#REF!+#REF!</f>
        <v>#REF!</v>
      </c>
      <c r="AF38" s="956" t="e">
        <f>#REF!+#REF!</f>
        <v>#REF!</v>
      </c>
      <c r="AG38" s="956"/>
      <c r="AH38" s="954" t="e">
        <f>#REF!</f>
        <v>#REF!</v>
      </c>
      <c r="AI38" s="954" t="e">
        <f t="shared" si="8"/>
        <v>#REF!</v>
      </c>
      <c r="AJ38" s="954">
        <f t="shared" si="3"/>
        <v>124.81</v>
      </c>
      <c r="AK38" s="954">
        <f t="shared" si="9"/>
        <v>0</v>
      </c>
      <c r="AL38" s="625"/>
    </row>
    <row r="39" spans="1:40" s="620" customFormat="1" ht="20.100000000000001" customHeight="1" x14ac:dyDescent="0.2">
      <c r="A39" s="759">
        <f t="shared" si="10"/>
        <v>23</v>
      </c>
      <c r="B39" s="957">
        <f>+NOMINA!C39</f>
        <v>16066524</v>
      </c>
      <c r="C39" s="958" t="str">
        <f>+NOMINA!D39</f>
        <v>Carmona Peñaloza Yaneth Coromoto</v>
      </c>
      <c r="D39" s="955" t="s">
        <v>4622</v>
      </c>
      <c r="E39" s="959">
        <v>32351</v>
      </c>
      <c r="F39" s="955" t="s">
        <v>4620</v>
      </c>
      <c r="G39" s="969">
        <f>+NOMINA!H39</f>
        <v>41456</v>
      </c>
      <c r="H39" s="961">
        <f t="shared" si="4"/>
        <v>9</v>
      </c>
      <c r="I39" s="962">
        <v>0</v>
      </c>
      <c r="J39" s="968">
        <f>+NOMINA!BL39</f>
        <v>30.52</v>
      </c>
      <c r="K39" s="968">
        <f>+NOMINA!BM39</f>
        <v>3.81</v>
      </c>
      <c r="L39" s="968">
        <f>+NOMINA!BN39</f>
        <v>6.61</v>
      </c>
      <c r="M39" s="963">
        <f t="shared" si="5"/>
        <v>40.94</v>
      </c>
      <c r="N39" s="968">
        <f>+NOMINA!BR39</f>
        <v>68.67</v>
      </c>
      <c r="O39" s="968">
        <f>+NOMINA!BS39</f>
        <v>15.26</v>
      </c>
      <c r="P39" s="968">
        <f>+NOMINA!BT39</f>
        <v>13.22</v>
      </c>
      <c r="Q39" s="963">
        <f t="shared" si="6"/>
        <v>97.15</v>
      </c>
      <c r="R39" s="963">
        <f t="shared" si="7"/>
        <v>138.09</v>
      </c>
      <c r="S39" s="1112"/>
      <c r="T39" s="1113"/>
      <c r="U39" s="1114"/>
      <c r="Y39" s="1076"/>
      <c r="Z39" s="1115"/>
      <c r="AA39" s="1076"/>
      <c r="AB39" s="1115"/>
      <c r="AC39" s="1468"/>
      <c r="AD39" s="1115"/>
      <c r="AE39" s="1116"/>
      <c r="AF39" s="1116"/>
      <c r="AG39" s="1116"/>
      <c r="AH39" s="1115"/>
      <c r="AI39" s="1115"/>
      <c r="AJ39" s="1115"/>
      <c r="AK39" s="1115"/>
      <c r="AL39" s="625"/>
    </row>
    <row r="40" spans="1:40" s="620" customFormat="1" ht="20.100000000000001" customHeight="1" x14ac:dyDescent="0.2">
      <c r="A40" s="759">
        <f t="shared" si="10"/>
        <v>24</v>
      </c>
      <c r="B40" s="957">
        <f>+NOMINA!C40</f>
        <v>27889180</v>
      </c>
      <c r="C40" s="958" t="str">
        <f>+NOMINA!D40</f>
        <v>Moreno Andreina del Valle</v>
      </c>
      <c r="D40" s="955" t="s">
        <v>4622</v>
      </c>
      <c r="E40" s="959">
        <v>32351</v>
      </c>
      <c r="F40" s="955" t="s">
        <v>4620</v>
      </c>
      <c r="G40" s="969">
        <f>+NOMINA!H40</f>
        <v>44393</v>
      </c>
      <c r="H40" s="961">
        <f t="shared" si="4"/>
        <v>1</v>
      </c>
      <c r="I40" s="962">
        <v>0</v>
      </c>
      <c r="J40" s="968">
        <f>+NOMINA!BL40</f>
        <v>23.28</v>
      </c>
      <c r="K40" s="968">
        <f>+NOMINA!BM40</f>
        <v>2.91</v>
      </c>
      <c r="L40" s="968">
        <f>+NOMINA!BN40</f>
        <v>5.04</v>
      </c>
      <c r="M40" s="963">
        <f t="shared" si="5"/>
        <v>31.23</v>
      </c>
      <c r="N40" s="968">
        <f>+NOMINA!BR40</f>
        <v>52.38</v>
      </c>
      <c r="O40" s="968">
        <f>+NOMINA!BS40</f>
        <v>11.64</v>
      </c>
      <c r="P40" s="968">
        <f>+NOMINA!BT40</f>
        <v>10.08</v>
      </c>
      <c r="Q40" s="963">
        <f t="shared" si="6"/>
        <v>74.099999999999994</v>
      </c>
      <c r="R40" s="963">
        <f t="shared" si="7"/>
        <v>105.33</v>
      </c>
      <c r="S40" s="1112"/>
      <c r="T40" s="1113"/>
      <c r="U40" s="1114"/>
      <c r="Y40" s="1076"/>
      <c r="Z40" s="1115"/>
      <c r="AA40" s="1076"/>
      <c r="AB40" s="1115"/>
      <c r="AC40" s="1468"/>
      <c r="AD40" s="1115"/>
      <c r="AE40" s="1116"/>
      <c r="AF40" s="1116"/>
      <c r="AG40" s="1116"/>
      <c r="AH40" s="1115"/>
      <c r="AI40" s="1115"/>
      <c r="AJ40" s="1115"/>
      <c r="AK40" s="1115"/>
      <c r="AL40" s="625"/>
    </row>
    <row r="41" spans="1:40" s="620" customFormat="1" ht="20.100000000000001" customHeight="1" thickBot="1" x14ac:dyDescent="0.25">
      <c r="A41" s="759">
        <f t="shared" si="10"/>
        <v>25</v>
      </c>
      <c r="B41" s="957">
        <f>+NOMINA!C41</f>
        <v>12781930</v>
      </c>
      <c r="C41" s="958" t="str">
        <f>+NOMINA!D41</f>
        <v>Berrios Gomez Neida Marina</v>
      </c>
      <c r="D41" s="955" t="s">
        <v>4622</v>
      </c>
      <c r="E41" s="959">
        <v>32351</v>
      </c>
      <c r="F41" s="955" t="s">
        <v>4620</v>
      </c>
      <c r="G41" s="969">
        <f>+NOMINA!H41</f>
        <v>44652</v>
      </c>
      <c r="H41" s="961">
        <f t="shared" si="4"/>
        <v>0</v>
      </c>
      <c r="I41" s="962">
        <v>0</v>
      </c>
      <c r="J41" s="968">
        <f>+NOMINA!BL41</f>
        <v>28.18</v>
      </c>
      <c r="K41" s="968">
        <f>+NOMINA!BM41</f>
        <v>3.52</v>
      </c>
      <c r="L41" s="968">
        <f>+NOMINA!BN41</f>
        <v>6.11</v>
      </c>
      <c r="M41" s="963">
        <f t="shared" si="5"/>
        <v>37.81</v>
      </c>
      <c r="N41" s="968">
        <f>+NOMINA!BR41</f>
        <v>63.4</v>
      </c>
      <c r="O41" s="968">
        <f>+NOMINA!BS41</f>
        <v>14.09</v>
      </c>
      <c r="P41" s="968">
        <f>+NOMINA!BT41</f>
        <v>12.22</v>
      </c>
      <c r="Q41" s="963">
        <f t="shared" si="6"/>
        <v>89.71</v>
      </c>
      <c r="R41" s="963">
        <f t="shared" si="7"/>
        <v>127.52</v>
      </c>
      <c r="S41" s="972">
        <v>0</v>
      </c>
      <c r="T41" s="443" t="e">
        <f>#REF!+#REF!-M41</f>
        <v>#REF!</v>
      </c>
      <c r="U41" s="952" t="e">
        <f>ROUND((#REF!+#REF!+#REF!+#REF!+#REF!+#REF!+#REF!+#REF!+#REF!),2)</f>
        <v>#REF!</v>
      </c>
      <c r="Y41" s="953" t="e">
        <f>#REF!+#REF!-M41</f>
        <v>#REF!</v>
      </c>
      <c r="Z41" s="954" t="e">
        <f>#REF!</f>
        <v>#REF!</v>
      </c>
      <c r="AA41" s="953" t="e">
        <f>#REF!+#REF!</f>
        <v>#REF!</v>
      </c>
      <c r="AB41" s="954" t="e">
        <f>#REF!</f>
        <v>#REF!</v>
      </c>
      <c r="AC41" s="955">
        <v>0</v>
      </c>
      <c r="AD41" s="954" t="e">
        <f>#REF!</f>
        <v>#REF!</v>
      </c>
      <c r="AE41" s="956" t="e">
        <f>#REF!+#REF!</f>
        <v>#REF!</v>
      </c>
      <c r="AF41" s="956" t="e">
        <f>#REF!+#REF!</f>
        <v>#REF!</v>
      </c>
      <c r="AG41" s="956"/>
      <c r="AH41" s="954" t="e">
        <f>#REF!</f>
        <v>#REF!</v>
      </c>
      <c r="AI41" s="954" t="e">
        <f t="shared" si="8"/>
        <v>#REF!</v>
      </c>
      <c r="AJ41" s="954">
        <f t="shared" si="3"/>
        <v>127.52</v>
      </c>
      <c r="AK41" s="954">
        <f t="shared" si="9"/>
        <v>0</v>
      </c>
      <c r="AL41" s="625"/>
    </row>
    <row r="42" spans="1:40" s="620" customFormat="1" ht="18.95" customHeight="1" thickBot="1" x14ac:dyDescent="0.3">
      <c r="A42" s="667"/>
      <c r="B42" s="668" t="s">
        <v>5968</v>
      </c>
      <c r="C42" s="668"/>
      <c r="D42" s="668"/>
      <c r="E42" s="668"/>
      <c r="F42" s="668"/>
      <c r="G42" s="668"/>
      <c r="H42" s="668"/>
      <c r="I42" s="668"/>
      <c r="J42" s="670">
        <f t="shared" ref="J42:U42" si="11">SUM(J17:J41)</f>
        <v>754.64999999999986</v>
      </c>
      <c r="K42" s="670">
        <f t="shared" si="11"/>
        <v>94.32</v>
      </c>
      <c r="L42" s="670">
        <f t="shared" si="11"/>
        <v>163.50000000000003</v>
      </c>
      <c r="M42" s="670">
        <f t="shared" si="11"/>
        <v>1012.47</v>
      </c>
      <c r="N42" s="670">
        <f t="shared" si="11"/>
        <v>1697.9500000000003</v>
      </c>
      <c r="O42" s="670">
        <f t="shared" si="11"/>
        <v>377.30999999999995</v>
      </c>
      <c r="P42" s="670">
        <f t="shared" si="11"/>
        <v>327.00000000000006</v>
      </c>
      <c r="Q42" s="670">
        <f t="shared" si="11"/>
        <v>2402.2599999999998</v>
      </c>
      <c r="R42" s="670">
        <f t="shared" si="11"/>
        <v>3414.73</v>
      </c>
      <c r="S42" s="670">
        <f t="shared" si="11"/>
        <v>0</v>
      </c>
      <c r="T42" s="671" t="e">
        <f t="shared" si="11"/>
        <v>#REF!</v>
      </c>
      <c r="U42" s="672" t="e">
        <f t="shared" si="11"/>
        <v>#REF!</v>
      </c>
      <c r="V42" s="673"/>
      <c r="W42" s="673" t="e">
        <f>Y42-#REF!</f>
        <v>#REF!</v>
      </c>
      <c r="X42" s="673"/>
      <c r="Y42" s="964" t="e">
        <f t="shared" ref="Y42:AF42" si="12">SUM(Y13:Y41)</f>
        <v>#REF!</v>
      </c>
      <c r="Z42" s="964" t="e">
        <f t="shared" si="12"/>
        <v>#REF!</v>
      </c>
      <c r="AA42" s="965" t="e">
        <f t="shared" si="12"/>
        <v>#REF!</v>
      </c>
      <c r="AB42" s="965" t="e">
        <f t="shared" si="12"/>
        <v>#REF!</v>
      </c>
      <c r="AC42" s="964">
        <f t="shared" si="12"/>
        <v>0</v>
      </c>
      <c r="AD42" s="964" t="e">
        <f t="shared" si="12"/>
        <v>#REF!</v>
      </c>
      <c r="AE42" s="964" t="e">
        <f t="shared" si="12"/>
        <v>#REF!</v>
      </c>
      <c r="AF42" s="964" t="e">
        <f t="shared" si="12"/>
        <v>#REF!</v>
      </c>
      <c r="AG42" s="964"/>
      <c r="AH42" s="964" t="e">
        <f>SUM(AH13:AH41)</f>
        <v>#REF!</v>
      </c>
      <c r="AI42" s="964" t="e">
        <f>SUM(AI13:AI41)</f>
        <v>#REF!</v>
      </c>
      <c r="AJ42" s="964">
        <f>SUM(AJ13:AJ41)</f>
        <v>3171.31</v>
      </c>
      <c r="AK42" s="964">
        <f>SUM(AK13:AK41)</f>
        <v>0</v>
      </c>
      <c r="AL42" s="625"/>
      <c r="AM42" s="625">
        <f>+NOMINA!BW42</f>
        <v>3414.73</v>
      </c>
      <c r="AN42" s="625">
        <f>+R42-AM42</f>
        <v>0</v>
      </c>
    </row>
    <row r="43" spans="1:40" s="620" customFormat="1" ht="18.95" customHeight="1" thickBot="1" x14ac:dyDescent="0.3">
      <c r="A43" s="1083"/>
      <c r="B43" s="1065"/>
      <c r="C43" s="1065"/>
      <c r="D43" s="1065"/>
      <c r="E43" s="1065"/>
      <c r="F43" s="1065"/>
      <c r="G43" s="1065"/>
      <c r="H43" s="1065"/>
      <c r="I43" s="1065"/>
      <c r="J43" s="1084"/>
      <c r="K43" s="1084"/>
      <c r="L43" s="1084"/>
      <c r="M43" s="1084"/>
      <c r="N43" s="1084"/>
      <c r="O43" s="1084"/>
      <c r="P43" s="1084"/>
      <c r="Q43" s="1084"/>
      <c r="R43" s="672"/>
      <c r="S43" s="1079"/>
      <c r="T43" s="1080"/>
      <c r="U43" s="805"/>
      <c r="V43" s="673"/>
      <c r="W43" s="673"/>
      <c r="X43" s="673"/>
      <c r="Y43" s="1081"/>
      <c r="Z43" s="1081"/>
      <c r="AA43" s="1082"/>
      <c r="AB43" s="1082"/>
      <c r="AC43" s="1081"/>
      <c r="AD43" s="1081"/>
      <c r="AE43" s="1081"/>
      <c r="AF43" s="1081"/>
      <c r="AG43" s="1081"/>
      <c r="AH43" s="1081"/>
      <c r="AI43" s="1081"/>
      <c r="AJ43" s="1081"/>
      <c r="AK43" s="1081"/>
      <c r="AL43" s="625"/>
      <c r="AM43" s="625"/>
      <c r="AN43" s="625"/>
    </row>
    <row r="44" spans="1:40" s="683" customFormat="1" ht="18.95" customHeight="1" x14ac:dyDescent="0.25">
      <c r="A44" s="656" t="str">
        <f>+"EMPLEADOS FIJOS_"&amp;NOMINA!F9&amp;"_"&amp;NOMINA!H9</f>
        <v>EMPLEADOS FIJOS_SEPTIEMBRE_2025</v>
      </c>
      <c r="B44" s="675"/>
      <c r="C44" s="676"/>
      <c r="D44" s="675"/>
      <c r="E44" s="676"/>
      <c r="F44" s="677"/>
      <c r="G44" s="832"/>
      <c r="H44" s="679"/>
      <c r="I44" s="679"/>
      <c r="J44" s="679"/>
      <c r="K44" s="679"/>
      <c r="L44" s="679"/>
      <c r="M44" s="679"/>
      <c r="N44" s="680"/>
      <c r="O44" s="680"/>
      <c r="P44" s="680"/>
      <c r="Q44" s="680"/>
      <c r="R44" s="680"/>
      <c r="S44" s="680"/>
      <c r="T44" s="681"/>
      <c r="U44" s="682"/>
      <c r="V44" s="682"/>
      <c r="W44" s="682"/>
      <c r="X44" s="682"/>
      <c r="Y44" s="682"/>
      <c r="Z44" s="682"/>
      <c r="AA44" s="682"/>
      <c r="AB44" s="682"/>
      <c r="AC44" s="682"/>
      <c r="AD44" s="682"/>
      <c r="AE44" s="682"/>
      <c r="AF44" s="682"/>
      <c r="AG44" s="682"/>
      <c r="AH44" s="682"/>
      <c r="AI44" s="682"/>
      <c r="AJ44" s="682"/>
      <c r="AK44" s="682"/>
      <c r="AL44" s="682"/>
      <c r="AN44" s="682"/>
    </row>
    <row r="45" spans="1:40" s="620" customFormat="1" ht="20.100000000000001" customHeight="1" x14ac:dyDescent="0.2">
      <c r="A45" s="759">
        <v>1</v>
      </c>
      <c r="B45" s="957">
        <f>+NOMINA!C44</f>
        <v>4324055</v>
      </c>
      <c r="C45" s="958" t="str">
        <f>+NOMINA!D44</f>
        <v>Mejia Linares Alexis de Jesus</v>
      </c>
      <c r="D45" s="955" t="s">
        <v>4622</v>
      </c>
      <c r="E45" s="959">
        <v>32351</v>
      </c>
      <c r="F45" s="955" t="s">
        <v>4620</v>
      </c>
      <c r="G45" s="971">
        <f>+NOMINA!H44</f>
        <v>44470</v>
      </c>
      <c r="H45" s="961">
        <f>IF(AND(YEAR(G45)&lt;2023,MONTH(G45)&gt;$N$8),2023-YEAR(G45)-1,IF(OR(G45="",YEAR(G45)&gt;2023),0,2023-YEAR(G45)))</f>
        <v>1</v>
      </c>
      <c r="I45" s="962">
        <v>0</v>
      </c>
      <c r="J45" s="968">
        <f>+NOMINA!BL44</f>
        <v>23.96</v>
      </c>
      <c r="K45" s="968">
        <f>+NOMINA!BM44</f>
        <v>3</v>
      </c>
      <c r="L45" s="968">
        <f>+NOMINA!BN44</f>
        <v>5.19</v>
      </c>
      <c r="M45" s="963">
        <f>ROUND(SUM(J45:L45),2)</f>
        <v>32.15</v>
      </c>
      <c r="N45" s="968">
        <f>+NOMINA!BR44</f>
        <v>53.91</v>
      </c>
      <c r="O45" s="968">
        <f>+NOMINA!BS44</f>
        <v>11.98</v>
      </c>
      <c r="P45" s="968">
        <f>+NOMINA!BT44</f>
        <v>10.38</v>
      </c>
      <c r="Q45" s="963">
        <f t="shared" ref="Q45" si="13">ROUND(SUM(N45:P45),2)</f>
        <v>76.27</v>
      </c>
      <c r="R45" s="963">
        <f t="shared" ref="R45" si="14">M45+Q45</f>
        <v>108.41999999999999</v>
      </c>
      <c r="S45" s="972">
        <v>0</v>
      </c>
      <c r="T45" s="443" t="e">
        <f>#REF!+#REF!-M45</f>
        <v>#REF!</v>
      </c>
      <c r="U45" s="952" t="e">
        <f>ROUND((#REF!+#REF!+#REF!+#REF!+#REF!+#REF!+#REF!+#REF!+#REF!),2)</f>
        <v>#REF!</v>
      </c>
      <c r="Y45" s="953" t="e">
        <f>#REF!+#REF!-M45</f>
        <v>#REF!</v>
      </c>
      <c r="Z45" s="954" t="e">
        <f>#REF!</f>
        <v>#REF!</v>
      </c>
      <c r="AA45" s="953" t="e">
        <f>#REF!+#REF!</f>
        <v>#REF!</v>
      </c>
      <c r="AB45" s="954" t="e">
        <f>#REF!</f>
        <v>#REF!</v>
      </c>
      <c r="AC45" s="955">
        <v>0</v>
      </c>
      <c r="AD45" s="954" t="e">
        <f>#REF!</f>
        <v>#REF!</v>
      </c>
      <c r="AE45" s="956" t="e">
        <f>#REF!+#REF!</f>
        <v>#REF!</v>
      </c>
      <c r="AF45" s="956" t="e">
        <f>#REF!+#REF!</f>
        <v>#REF!</v>
      </c>
      <c r="AG45" s="956"/>
      <c r="AH45" s="954" t="e">
        <f>#REF!</f>
        <v>#REF!</v>
      </c>
      <c r="AI45" s="954" t="e">
        <f t="shared" ref="AI45:AI108" si="15">SUM(AA45:AH45)</f>
        <v>#REF!</v>
      </c>
      <c r="AJ45" s="954">
        <f t="shared" ref="AJ45:AJ108" si="16">M45+Q45</f>
        <v>108.41999999999999</v>
      </c>
      <c r="AK45" s="954">
        <f t="shared" ref="AK45:AK108" si="17">S45</f>
        <v>0</v>
      </c>
      <c r="AL45" s="625"/>
    </row>
    <row r="46" spans="1:40" s="620" customFormat="1" ht="20.100000000000001" customHeight="1" x14ac:dyDescent="0.2">
      <c r="A46" s="759">
        <f>A45+1</f>
        <v>2</v>
      </c>
      <c r="B46" s="957">
        <f>+NOMINA!C45</f>
        <v>4657974</v>
      </c>
      <c r="C46" s="958" t="str">
        <f>+NOMINA!D45</f>
        <v>Balestrini Nuñez Ulises Ramon</v>
      </c>
      <c r="D46" s="955" t="s">
        <v>4622</v>
      </c>
      <c r="E46" s="959">
        <v>32351</v>
      </c>
      <c r="F46" s="955" t="s">
        <v>4620</v>
      </c>
      <c r="G46" s="971">
        <f>+NOMINA!H45</f>
        <v>39463</v>
      </c>
      <c r="H46" s="961">
        <f t="shared" ref="H46:H109" si="18">IF(AND(YEAR(G46)&lt;2023,MONTH(G46)&gt;$N$8),2023-YEAR(G46)-1,IF(OR(G46="",YEAR(G46)&gt;2023),0,2023-YEAR(G46)))</f>
        <v>14</v>
      </c>
      <c r="I46" s="962">
        <v>0</v>
      </c>
      <c r="J46" s="968">
        <f>+NOMINA!BL45</f>
        <v>15.85</v>
      </c>
      <c r="K46" s="968">
        <f>+NOMINA!BM45</f>
        <v>1.98</v>
      </c>
      <c r="L46" s="968">
        <f>+NOMINA!BN45</f>
        <v>3.43</v>
      </c>
      <c r="M46" s="963">
        <f t="shared" ref="M46:M109" si="19">ROUND(SUM(J46:L46),2)</f>
        <v>21.26</v>
      </c>
      <c r="N46" s="968">
        <f>+NOMINA!BR45</f>
        <v>35.65</v>
      </c>
      <c r="O46" s="968">
        <f>+NOMINA!BS45</f>
        <v>7.92</v>
      </c>
      <c r="P46" s="968">
        <f>+NOMINA!BT45</f>
        <v>6.86</v>
      </c>
      <c r="Q46" s="963">
        <f t="shared" ref="Q46:Q109" si="20">ROUND(SUM(N46:P46),2)</f>
        <v>50.43</v>
      </c>
      <c r="R46" s="963">
        <f t="shared" ref="R46:R109" si="21">M46+Q46</f>
        <v>71.69</v>
      </c>
      <c r="S46" s="972">
        <v>0</v>
      </c>
      <c r="T46" s="443" t="e">
        <f>#REF!+#REF!-M46</f>
        <v>#REF!</v>
      </c>
      <c r="U46" s="952" t="e">
        <f>ROUND((#REF!+#REF!+#REF!+#REF!+#REF!+#REF!+#REF!+#REF!+#REF!),2)</f>
        <v>#REF!</v>
      </c>
      <c r="Y46" s="953" t="e">
        <f>#REF!+#REF!-M46</f>
        <v>#REF!</v>
      </c>
      <c r="Z46" s="954" t="e">
        <f>#REF!</f>
        <v>#REF!</v>
      </c>
      <c r="AA46" s="953" t="e">
        <f>#REF!+#REF!</f>
        <v>#REF!</v>
      </c>
      <c r="AB46" s="954" t="e">
        <f>#REF!</f>
        <v>#REF!</v>
      </c>
      <c r="AC46" s="955">
        <v>0</v>
      </c>
      <c r="AD46" s="954" t="e">
        <f>#REF!</f>
        <v>#REF!</v>
      </c>
      <c r="AE46" s="956" t="e">
        <f>#REF!+#REF!</f>
        <v>#REF!</v>
      </c>
      <c r="AF46" s="956" t="e">
        <f>#REF!+#REF!</f>
        <v>#REF!</v>
      </c>
      <c r="AG46" s="956"/>
      <c r="AH46" s="954" t="e">
        <f>#REF!</f>
        <v>#REF!</v>
      </c>
      <c r="AI46" s="954" t="e">
        <f t="shared" si="15"/>
        <v>#REF!</v>
      </c>
      <c r="AJ46" s="954">
        <f t="shared" si="16"/>
        <v>71.69</v>
      </c>
      <c r="AK46" s="954">
        <f t="shared" si="17"/>
        <v>0</v>
      </c>
      <c r="AL46" s="625"/>
    </row>
    <row r="47" spans="1:40" s="620" customFormat="1" ht="20.100000000000001" customHeight="1" x14ac:dyDescent="0.2">
      <c r="A47" s="759">
        <f t="shared" ref="A47:A110" si="22">A46+1</f>
        <v>3</v>
      </c>
      <c r="B47" s="957">
        <f>+NOMINA!C46</f>
        <v>5762861</v>
      </c>
      <c r="C47" s="958" t="str">
        <f>+NOMINA!D46</f>
        <v>Aldana Duran Delia Mercedes</v>
      </c>
      <c r="D47" s="955" t="s">
        <v>4622</v>
      </c>
      <c r="E47" s="959">
        <v>32351</v>
      </c>
      <c r="F47" s="955" t="s">
        <v>4620</v>
      </c>
      <c r="G47" s="971">
        <f>+NOMINA!H46</f>
        <v>37851</v>
      </c>
      <c r="H47" s="961">
        <f t="shared" si="18"/>
        <v>19</v>
      </c>
      <c r="I47" s="962">
        <v>0</v>
      </c>
      <c r="J47" s="968">
        <f>+NOMINA!BL46</f>
        <v>0</v>
      </c>
      <c r="K47" s="968">
        <f>+NOMINA!BM46</f>
        <v>0</v>
      </c>
      <c r="L47" s="968">
        <f>+NOMINA!BN46</f>
        <v>6.29</v>
      </c>
      <c r="M47" s="963">
        <f t="shared" si="19"/>
        <v>6.29</v>
      </c>
      <c r="N47" s="968">
        <f>+NOMINA!BR46</f>
        <v>0</v>
      </c>
      <c r="O47" s="968">
        <f>+NOMINA!BS46</f>
        <v>0</v>
      </c>
      <c r="P47" s="968">
        <f>+NOMINA!BT46</f>
        <v>12.58</v>
      </c>
      <c r="Q47" s="963">
        <f t="shared" si="20"/>
        <v>12.58</v>
      </c>
      <c r="R47" s="963">
        <f t="shared" si="21"/>
        <v>18.87</v>
      </c>
      <c r="S47" s="972">
        <v>0</v>
      </c>
      <c r="T47" s="443" t="e">
        <f>#REF!+#REF!-M47</f>
        <v>#REF!</v>
      </c>
      <c r="U47" s="952" t="e">
        <f>ROUND((#REF!+#REF!+#REF!+#REF!+#REF!+#REF!+#REF!+#REF!+#REF!),2)</f>
        <v>#REF!</v>
      </c>
      <c r="Y47" s="953" t="e">
        <f>#REF!+#REF!-M47</f>
        <v>#REF!</v>
      </c>
      <c r="Z47" s="954" t="e">
        <f>#REF!</f>
        <v>#REF!</v>
      </c>
      <c r="AA47" s="953" t="e">
        <f>#REF!+#REF!</f>
        <v>#REF!</v>
      </c>
      <c r="AB47" s="954" t="e">
        <f>#REF!</f>
        <v>#REF!</v>
      </c>
      <c r="AC47" s="955">
        <v>0</v>
      </c>
      <c r="AD47" s="954" t="e">
        <f>#REF!</f>
        <v>#REF!</v>
      </c>
      <c r="AE47" s="956" t="e">
        <f>#REF!+#REF!</f>
        <v>#REF!</v>
      </c>
      <c r="AF47" s="956" t="e">
        <f>#REF!+#REF!</f>
        <v>#REF!</v>
      </c>
      <c r="AG47" s="956"/>
      <c r="AH47" s="954" t="e">
        <f>#REF!</f>
        <v>#REF!</v>
      </c>
      <c r="AI47" s="954" t="e">
        <f t="shared" si="15"/>
        <v>#REF!</v>
      </c>
      <c r="AJ47" s="954">
        <f t="shared" si="16"/>
        <v>18.87</v>
      </c>
      <c r="AK47" s="954">
        <f t="shared" si="17"/>
        <v>0</v>
      </c>
      <c r="AL47" s="625"/>
    </row>
    <row r="48" spans="1:40" s="620" customFormat="1" ht="20.100000000000001" customHeight="1" x14ac:dyDescent="0.2">
      <c r="A48" s="759">
        <f t="shared" si="22"/>
        <v>4</v>
      </c>
      <c r="B48" s="957">
        <f>+NOMINA!C47</f>
        <v>5782060</v>
      </c>
      <c r="C48" s="958" t="str">
        <f>+NOMINA!D47</f>
        <v>Linares Araujo Adolfo Jose</v>
      </c>
      <c r="D48" s="955" t="s">
        <v>4622</v>
      </c>
      <c r="E48" s="959">
        <v>32351</v>
      </c>
      <c r="F48" s="955" t="s">
        <v>4620</v>
      </c>
      <c r="G48" s="971">
        <f>+NOMINA!H47</f>
        <v>39539</v>
      </c>
      <c r="H48" s="961">
        <f t="shared" si="18"/>
        <v>14</v>
      </c>
      <c r="I48" s="962">
        <v>0</v>
      </c>
      <c r="J48" s="968">
        <f>+NOMINA!BL47</f>
        <v>22.37</v>
      </c>
      <c r="K48" s="968">
        <f>+NOMINA!BM47</f>
        <v>2.8</v>
      </c>
      <c r="L48" s="968">
        <f>+NOMINA!BN47</f>
        <v>4.8499999999999996</v>
      </c>
      <c r="M48" s="963">
        <f t="shared" si="19"/>
        <v>30.02</v>
      </c>
      <c r="N48" s="968">
        <f>+NOMINA!BR47</f>
        <v>50.33</v>
      </c>
      <c r="O48" s="968">
        <f>+NOMINA!BS47</f>
        <v>11.19</v>
      </c>
      <c r="P48" s="968">
        <f>+NOMINA!BT47</f>
        <v>9.6999999999999993</v>
      </c>
      <c r="Q48" s="963">
        <f t="shared" si="20"/>
        <v>71.22</v>
      </c>
      <c r="R48" s="963">
        <f t="shared" si="21"/>
        <v>101.24</v>
      </c>
      <c r="S48" s="972">
        <v>0</v>
      </c>
      <c r="T48" s="443" t="e">
        <f>#REF!+#REF!-M48</f>
        <v>#REF!</v>
      </c>
      <c r="U48" s="952" t="e">
        <f>ROUND((#REF!+#REF!+#REF!+#REF!+#REF!+#REF!+#REF!+#REF!+#REF!),2)</f>
        <v>#REF!</v>
      </c>
      <c r="Y48" s="953" t="e">
        <f>#REF!+#REF!-M48</f>
        <v>#REF!</v>
      </c>
      <c r="Z48" s="954" t="e">
        <f>#REF!</f>
        <v>#REF!</v>
      </c>
      <c r="AA48" s="953" t="e">
        <f>#REF!+#REF!</f>
        <v>#REF!</v>
      </c>
      <c r="AB48" s="954" t="e">
        <f>#REF!</f>
        <v>#REF!</v>
      </c>
      <c r="AC48" s="955">
        <v>0</v>
      </c>
      <c r="AD48" s="954" t="e">
        <f>#REF!</f>
        <v>#REF!</v>
      </c>
      <c r="AE48" s="956" t="e">
        <f>#REF!+#REF!</f>
        <v>#REF!</v>
      </c>
      <c r="AF48" s="956" t="e">
        <f>#REF!+#REF!</f>
        <v>#REF!</v>
      </c>
      <c r="AG48" s="956"/>
      <c r="AH48" s="954" t="e">
        <f>#REF!</f>
        <v>#REF!</v>
      </c>
      <c r="AI48" s="954" t="e">
        <f t="shared" si="15"/>
        <v>#REF!</v>
      </c>
      <c r="AJ48" s="954">
        <f t="shared" si="16"/>
        <v>101.24</v>
      </c>
      <c r="AK48" s="954">
        <f t="shared" si="17"/>
        <v>0</v>
      </c>
      <c r="AL48" s="625"/>
    </row>
    <row r="49" spans="1:38" s="620" customFormat="1" ht="20.100000000000001" customHeight="1" x14ac:dyDescent="0.2">
      <c r="A49" s="759">
        <f t="shared" si="22"/>
        <v>5</v>
      </c>
      <c r="B49" s="957">
        <f>+NOMINA!C48</f>
        <v>5790501</v>
      </c>
      <c r="C49" s="958" t="str">
        <f>+NOMINA!D48</f>
        <v>Castellanos de Araujo Maria Eustoquia</v>
      </c>
      <c r="D49" s="955" t="s">
        <v>4622</v>
      </c>
      <c r="E49" s="959">
        <v>32351</v>
      </c>
      <c r="F49" s="955" t="s">
        <v>4620</v>
      </c>
      <c r="G49" s="971">
        <f>+NOMINA!H48</f>
        <v>39707</v>
      </c>
      <c r="H49" s="961">
        <f t="shared" si="18"/>
        <v>14</v>
      </c>
      <c r="I49" s="962">
        <v>0</v>
      </c>
      <c r="J49" s="968">
        <f>+NOMINA!BL48</f>
        <v>24.07</v>
      </c>
      <c r="K49" s="968">
        <f>+NOMINA!BM48</f>
        <v>3.01</v>
      </c>
      <c r="L49" s="968">
        <f>+NOMINA!BN48</f>
        <v>5.22</v>
      </c>
      <c r="M49" s="963">
        <f t="shared" si="19"/>
        <v>32.299999999999997</v>
      </c>
      <c r="N49" s="968">
        <f>+NOMINA!BR48</f>
        <v>54.17</v>
      </c>
      <c r="O49" s="968">
        <f>+NOMINA!BS48</f>
        <v>12.04</v>
      </c>
      <c r="P49" s="968">
        <f>+NOMINA!BT48</f>
        <v>10.44</v>
      </c>
      <c r="Q49" s="963">
        <f t="shared" si="20"/>
        <v>76.650000000000006</v>
      </c>
      <c r="R49" s="963">
        <f t="shared" si="21"/>
        <v>108.95</v>
      </c>
      <c r="S49" s="972">
        <v>0</v>
      </c>
      <c r="T49" s="443" t="e">
        <f>#REF!+#REF!-M49</f>
        <v>#REF!</v>
      </c>
      <c r="U49" s="952" t="e">
        <f>ROUND((#REF!+#REF!+#REF!+#REF!+#REF!+#REF!+#REF!+#REF!+#REF!),2)</f>
        <v>#REF!</v>
      </c>
      <c r="Y49" s="953" t="e">
        <f>#REF!+#REF!-M49</f>
        <v>#REF!</v>
      </c>
      <c r="Z49" s="954" t="e">
        <f>#REF!</f>
        <v>#REF!</v>
      </c>
      <c r="AA49" s="953" t="e">
        <f>#REF!+#REF!</f>
        <v>#REF!</v>
      </c>
      <c r="AB49" s="954" t="e">
        <f>#REF!</f>
        <v>#REF!</v>
      </c>
      <c r="AC49" s="955">
        <v>0</v>
      </c>
      <c r="AD49" s="954" t="e">
        <f>#REF!</f>
        <v>#REF!</v>
      </c>
      <c r="AE49" s="956" t="e">
        <f>#REF!+#REF!</f>
        <v>#REF!</v>
      </c>
      <c r="AF49" s="956" t="e">
        <f>#REF!+#REF!</f>
        <v>#REF!</v>
      </c>
      <c r="AG49" s="956"/>
      <c r="AH49" s="954" t="e">
        <f>#REF!</f>
        <v>#REF!</v>
      </c>
      <c r="AI49" s="954" t="e">
        <f t="shared" si="15"/>
        <v>#REF!</v>
      </c>
      <c r="AJ49" s="954">
        <f t="shared" si="16"/>
        <v>108.95</v>
      </c>
      <c r="AK49" s="954">
        <f t="shared" si="17"/>
        <v>0</v>
      </c>
      <c r="AL49" s="625"/>
    </row>
    <row r="50" spans="1:38" s="620" customFormat="1" ht="20.100000000000001" customHeight="1" x14ac:dyDescent="0.2">
      <c r="A50" s="759">
        <f t="shared" si="22"/>
        <v>6</v>
      </c>
      <c r="B50" s="957">
        <f>+NOMINA!C49</f>
        <v>7744688</v>
      </c>
      <c r="C50" s="958" t="str">
        <f>+NOMINA!D49</f>
        <v>Aguilera Carroz Gerardo Raul</v>
      </c>
      <c r="D50" s="955" t="s">
        <v>4622</v>
      </c>
      <c r="E50" s="959">
        <v>32351</v>
      </c>
      <c r="F50" s="955" t="s">
        <v>4620</v>
      </c>
      <c r="G50" s="971">
        <f>+NOMINA!H49</f>
        <v>44713</v>
      </c>
      <c r="H50" s="961">
        <f t="shared" si="18"/>
        <v>0</v>
      </c>
      <c r="I50" s="962">
        <v>0</v>
      </c>
      <c r="J50" s="968">
        <f>+NOMINA!BL49</f>
        <v>19.690000000000001</v>
      </c>
      <c r="K50" s="968">
        <f>+NOMINA!BM49</f>
        <v>2.46</v>
      </c>
      <c r="L50" s="968">
        <f>+NOMINA!BN49</f>
        <v>4.2699999999999996</v>
      </c>
      <c r="M50" s="963">
        <f t="shared" si="19"/>
        <v>26.42</v>
      </c>
      <c r="N50" s="968">
        <f>+NOMINA!BR49</f>
        <v>44.31</v>
      </c>
      <c r="O50" s="968">
        <f>+NOMINA!BS49</f>
        <v>9.85</v>
      </c>
      <c r="P50" s="968">
        <f>+NOMINA!BT49</f>
        <v>8.5399999999999991</v>
      </c>
      <c r="Q50" s="963">
        <f t="shared" si="20"/>
        <v>62.7</v>
      </c>
      <c r="R50" s="963">
        <f t="shared" si="21"/>
        <v>89.12</v>
      </c>
      <c r="S50" s="972">
        <v>0</v>
      </c>
      <c r="T50" s="443" t="e">
        <f>#REF!+#REF!-M50</f>
        <v>#REF!</v>
      </c>
      <c r="U50" s="952" t="e">
        <f>ROUND((#REF!+#REF!+#REF!+#REF!+#REF!+#REF!+#REF!+#REF!+#REF!),2)</f>
        <v>#REF!</v>
      </c>
      <c r="Y50" s="953" t="e">
        <f>#REF!+#REF!-M50</f>
        <v>#REF!</v>
      </c>
      <c r="Z50" s="954" t="e">
        <f>#REF!</f>
        <v>#REF!</v>
      </c>
      <c r="AA50" s="953" t="e">
        <f>#REF!+#REF!</f>
        <v>#REF!</v>
      </c>
      <c r="AB50" s="954" t="e">
        <f>#REF!</f>
        <v>#REF!</v>
      </c>
      <c r="AC50" s="955">
        <v>0</v>
      </c>
      <c r="AD50" s="954" t="e">
        <f>#REF!</f>
        <v>#REF!</v>
      </c>
      <c r="AE50" s="956" t="e">
        <f>#REF!+#REF!</f>
        <v>#REF!</v>
      </c>
      <c r="AF50" s="956" t="e">
        <f>#REF!+#REF!</f>
        <v>#REF!</v>
      </c>
      <c r="AG50" s="956"/>
      <c r="AH50" s="954" t="e">
        <f>#REF!</f>
        <v>#REF!</v>
      </c>
      <c r="AI50" s="954" t="e">
        <f t="shared" si="15"/>
        <v>#REF!</v>
      </c>
      <c r="AJ50" s="954">
        <f t="shared" si="16"/>
        <v>89.12</v>
      </c>
      <c r="AK50" s="954">
        <f t="shared" si="17"/>
        <v>0</v>
      </c>
      <c r="AL50" s="625"/>
    </row>
    <row r="51" spans="1:38" s="620" customFormat="1" ht="20.100000000000001" customHeight="1" x14ac:dyDescent="0.2">
      <c r="A51" s="759">
        <f t="shared" si="22"/>
        <v>7</v>
      </c>
      <c r="B51" s="957">
        <f>+NOMINA!C50</f>
        <v>7890070</v>
      </c>
      <c r="C51" s="958" t="str">
        <f>+NOMINA!D50</f>
        <v>Pacheco Bermudez Bebsabeth Coromoto</v>
      </c>
      <c r="D51" s="955" t="s">
        <v>4622</v>
      </c>
      <c r="E51" s="959">
        <v>32351</v>
      </c>
      <c r="F51" s="955" t="s">
        <v>4620</v>
      </c>
      <c r="G51" s="971">
        <f>+NOMINA!H50</f>
        <v>38930</v>
      </c>
      <c r="H51" s="961">
        <f t="shared" si="18"/>
        <v>16</v>
      </c>
      <c r="I51" s="962">
        <v>0</v>
      </c>
      <c r="J51" s="968">
        <f>+NOMINA!BL50</f>
        <v>16.62</v>
      </c>
      <c r="K51" s="968">
        <f>+NOMINA!BM50</f>
        <v>2.08</v>
      </c>
      <c r="L51" s="968">
        <f>+NOMINA!BN50</f>
        <v>3.6</v>
      </c>
      <c r="M51" s="963">
        <f t="shared" si="19"/>
        <v>22.3</v>
      </c>
      <c r="N51" s="968">
        <f>+NOMINA!BR50</f>
        <v>37.4</v>
      </c>
      <c r="O51" s="968">
        <f>+NOMINA!BS50</f>
        <v>8.31</v>
      </c>
      <c r="P51" s="968">
        <f>+NOMINA!BT50</f>
        <v>7.2</v>
      </c>
      <c r="Q51" s="963">
        <f t="shared" si="20"/>
        <v>52.91</v>
      </c>
      <c r="R51" s="963">
        <f t="shared" si="21"/>
        <v>75.209999999999994</v>
      </c>
      <c r="S51" s="972">
        <v>0</v>
      </c>
      <c r="T51" s="443" t="e">
        <f>#REF!+#REF!-M51</f>
        <v>#REF!</v>
      </c>
      <c r="U51" s="952" t="e">
        <f>ROUND((#REF!+#REF!+#REF!+#REF!+#REF!+#REF!+#REF!+#REF!+#REF!),2)</f>
        <v>#REF!</v>
      </c>
      <c r="Y51" s="953" t="e">
        <f>#REF!+#REF!-M51</f>
        <v>#REF!</v>
      </c>
      <c r="Z51" s="954" t="e">
        <f>#REF!</f>
        <v>#REF!</v>
      </c>
      <c r="AA51" s="953" t="e">
        <f>#REF!+#REF!</f>
        <v>#REF!</v>
      </c>
      <c r="AB51" s="954" t="e">
        <f>#REF!</f>
        <v>#REF!</v>
      </c>
      <c r="AC51" s="955">
        <v>0</v>
      </c>
      <c r="AD51" s="954" t="e">
        <f>#REF!</f>
        <v>#REF!</v>
      </c>
      <c r="AE51" s="956" t="e">
        <f>#REF!+#REF!</f>
        <v>#REF!</v>
      </c>
      <c r="AF51" s="956" t="e">
        <f>#REF!+#REF!</f>
        <v>#REF!</v>
      </c>
      <c r="AG51" s="956"/>
      <c r="AH51" s="954" t="e">
        <f>#REF!</f>
        <v>#REF!</v>
      </c>
      <c r="AI51" s="954" t="e">
        <f t="shared" si="15"/>
        <v>#REF!</v>
      </c>
      <c r="AJ51" s="954">
        <f t="shared" si="16"/>
        <v>75.209999999999994</v>
      </c>
      <c r="AK51" s="954">
        <f t="shared" si="17"/>
        <v>0</v>
      </c>
      <c r="AL51" s="625"/>
    </row>
    <row r="52" spans="1:38" s="620" customFormat="1" ht="20.100000000000001" customHeight="1" x14ac:dyDescent="0.2">
      <c r="A52" s="759">
        <f t="shared" si="22"/>
        <v>8</v>
      </c>
      <c r="B52" s="957">
        <f>+NOMINA!C51</f>
        <v>8719807</v>
      </c>
      <c r="C52" s="958" t="str">
        <f>+NOMINA!D51</f>
        <v>Perez Saavedra Isabel Teresa</v>
      </c>
      <c r="D52" s="955" t="s">
        <v>4622</v>
      </c>
      <c r="E52" s="959">
        <v>32351</v>
      </c>
      <c r="F52" s="955" t="s">
        <v>4620</v>
      </c>
      <c r="G52" s="971">
        <f>+NOMINA!H51</f>
        <v>39874</v>
      </c>
      <c r="H52" s="961">
        <f t="shared" si="18"/>
        <v>13</v>
      </c>
      <c r="I52" s="962">
        <v>0</v>
      </c>
      <c r="J52" s="968">
        <f>+NOMINA!BL51</f>
        <v>0</v>
      </c>
      <c r="K52" s="968">
        <f>+NOMINA!BM51</f>
        <v>0</v>
      </c>
      <c r="L52" s="968">
        <f>+NOMINA!BN51</f>
        <v>0</v>
      </c>
      <c r="M52" s="963">
        <f t="shared" si="19"/>
        <v>0</v>
      </c>
      <c r="N52" s="968">
        <f>+NOMINA!BR51</f>
        <v>0</v>
      </c>
      <c r="O52" s="968">
        <f>+NOMINA!BS51</f>
        <v>0</v>
      </c>
      <c r="P52" s="968">
        <f>+NOMINA!BT51</f>
        <v>0</v>
      </c>
      <c r="Q52" s="963">
        <f t="shared" si="20"/>
        <v>0</v>
      </c>
      <c r="R52" s="963">
        <f t="shared" si="21"/>
        <v>0</v>
      </c>
      <c r="S52" s="972">
        <v>0</v>
      </c>
      <c r="T52" s="443" t="e">
        <f>#REF!+#REF!-M52</f>
        <v>#REF!</v>
      </c>
      <c r="U52" s="952" t="e">
        <f>ROUND((#REF!+#REF!+#REF!+#REF!+#REF!+#REF!+#REF!+#REF!+#REF!),2)</f>
        <v>#REF!</v>
      </c>
      <c r="Y52" s="953" t="e">
        <f>#REF!+#REF!-M52</f>
        <v>#REF!</v>
      </c>
      <c r="Z52" s="954" t="e">
        <f>#REF!</f>
        <v>#REF!</v>
      </c>
      <c r="AA52" s="953" t="e">
        <f>#REF!+#REF!</f>
        <v>#REF!</v>
      </c>
      <c r="AB52" s="954" t="e">
        <f>#REF!</f>
        <v>#REF!</v>
      </c>
      <c r="AC52" s="955">
        <v>0</v>
      </c>
      <c r="AD52" s="954" t="e">
        <f>#REF!</f>
        <v>#REF!</v>
      </c>
      <c r="AE52" s="956" t="e">
        <f>#REF!+#REF!</f>
        <v>#REF!</v>
      </c>
      <c r="AF52" s="956" t="e">
        <f>#REF!+#REF!</f>
        <v>#REF!</v>
      </c>
      <c r="AG52" s="956"/>
      <c r="AH52" s="954" t="e">
        <f>#REF!</f>
        <v>#REF!</v>
      </c>
      <c r="AI52" s="954" t="e">
        <f t="shared" si="15"/>
        <v>#REF!</v>
      </c>
      <c r="AJ52" s="954">
        <f t="shared" si="16"/>
        <v>0</v>
      </c>
      <c r="AK52" s="954">
        <f t="shared" si="17"/>
        <v>0</v>
      </c>
      <c r="AL52" s="625"/>
    </row>
    <row r="53" spans="1:38" s="620" customFormat="1" ht="20.100000000000001" customHeight="1" x14ac:dyDescent="0.2">
      <c r="A53" s="759">
        <f t="shared" si="22"/>
        <v>9</v>
      </c>
      <c r="B53" s="957">
        <f>+NOMINA!C52</f>
        <v>8266170</v>
      </c>
      <c r="C53" s="958" t="str">
        <f>+NOMINA!D52</f>
        <v>Aguana Sanchez Yraida Josefina</v>
      </c>
      <c r="D53" s="955" t="s">
        <v>4622</v>
      </c>
      <c r="E53" s="959">
        <v>32351</v>
      </c>
      <c r="F53" s="955" t="s">
        <v>4620</v>
      </c>
      <c r="G53" s="971">
        <f>+NOMINA!H52</f>
        <v>45323</v>
      </c>
      <c r="H53" s="961">
        <f t="shared" si="18"/>
        <v>0</v>
      </c>
      <c r="I53" s="962">
        <v>0</v>
      </c>
      <c r="J53" s="968">
        <f>+NOMINA!BL52</f>
        <v>28.29</v>
      </c>
      <c r="K53" s="968">
        <f>+NOMINA!BM52</f>
        <v>3.54</v>
      </c>
      <c r="L53" s="968">
        <f>+NOMINA!BN52</f>
        <v>6.13</v>
      </c>
      <c r="M53" s="963">
        <f t="shared" si="19"/>
        <v>37.96</v>
      </c>
      <c r="N53" s="968">
        <f>+NOMINA!BR52</f>
        <v>63.65</v>
      </c>
      <c r="O53" s="968">
        <f>+NOMINA!BS52</f>
        <v>14.15</v>
      </c>
      <c r="P53" s="968">
        <f>+NOMINA!BT52</f>
        <v>12.26</v>
      </c>
      <c r="Q53" s="963">
        <f t="shared" si="20"/>
        <v>90.06</v>
      </c>
      <c r="R53" s="963">
        <f t="shared" si="21"/>
        <v>128.02000000000001</v>
      </c>
      <c r="S53" s="972">
        <v>0</v>
      </c>
      <c r="T53" s="443" t="e">
        <f>#REF!+#REF!-M53</f>
        <v>#REF!</v>
      </c>
      <c r="U53" s="952" t="e">
        <f>ROUND((#REF!+#REF!+#REF!+#REF!+#REF!+#REF!+#REF!+#REF!+#REF!),2)</f>
        <v>#REF!</v>
      </c>
      <c r="Y53" s="953" t="e">
        <f>#REF!+#REF!-M53</f>
        <v>#REF!</v>
      </c>
      <c r="Z53" s="954" t="e">
        <f>#REF!</f>
        <v>#REF!</v>
      </c>
      <c r="AA53" s="953" t="e">
        <f>#REF!+#REF!</f>
        <v>#REF!</v>
      </c>
      <c r="AB53" s="954" t="e">
        <f>#REF!</f>
        <v>#REF!</v>
      </c>
      <c r="AC53" s="955">
        <v>0</v>
      </c>
      <c r="AD53" s="954" t="e">
        <f>#REF!</f>
        <v>#REF!</v>
      </c>
      <c r="AE53" s="956" t="e">
        <f>#REF!+#REF!</f>
        <v>#REF!</v>
      </c>
      <c r="AF53" s="956" t="e">
        <f>#REF!+#REF!</f>
        <v>#REF!</v>
      </c>
      <c r="AG53" s="956"/>
      <c r="AH53" s="954" t="e">
        <f>#REF!</f>
        <v>#REF!</v>
      </c>
      <c r="AI53" s="954" t="e">
        <f t="shared" si="15"/>
        <v>#REF!</v>
      </c>
      <c r="AJ53" s="954">
        <f t="shared" si="16"/>
        <v>128.02000000000001</v>
      </c>
      <c r="AK53" s="954">
        <f t="shared" si="17"/>
        <v>0</v>
      </c>
      <c r="AL53" s="625"/>
    </row>
    <row r="54" spans="1:38" s="620" customFormat="1" ht="20.100000000000001" customHeight="1" x14ac:dyDescent="0.2">
      <c r="A54" s="759">
        <f t="shared" si="22"/>
        <v>10</v>
      </c>
      <c r="B54" s="957">
        <f>+NOMINA!C53</f>
        <v>9162178</v>
      </c>
      <c r="C54" s="958" t="str">
        <f>+NOMINA!D53</f>
        <v>Duarte de Bastidas Gladys Margarita</v>
      </c>
      <c r="D54" s="955" t="s">
        <v>4622</v>
      </c>
      <c r="E54" s="959">
        <v>32351</v>
      </c>
      <c r="F54" s="955" t="s">
        <v>4620</v>
      </c>
      <c r="G54" s="971">
        <f>+NOMINA!H53</f>
        <v>39566</v>
      </c>
      <c r="H54" s="961">
        <f t="shared" si="18"/>
        <v>14</v>
      </c>
      <c r="I54" s="962">
        <v>0</v>
      </c>
      <c r="J54" s="968">
        <f>+NOMINA!BL53</f>
        <v>21.37</v>
      </c>
      <c r="K54" s="968">
        <f>+NOMINA!BM53</f>
        <v>2.67</v>
      </c>
      <c r="L54" s="968">
        <f>+NOMINA!BN53</f>
        <v>4.63</v>
      </c>
      <c r="M54" s="963">
        <f t="shared" si="19"/>
        <v>28.67</v>
      </c>
      <c r="N54" s="968">
        <f>+NOMINA!BR53</f>
        <v>48.09</v>
      </c>
      <c r="O54" s="968">
        <f>+NOMINA!BS53</f>
        <v>10.69</v>
      </c>
      <c r="P54" s="968">
        <f>+NOMINA!BT53</f>
        <v>9.26</v>
      </c>
      <c r="Q54" s="963">
        <f t="shared" si="20"/>
        <v>68.040000000000006</v>
      </c>
      <c r="R54" s="963">
        <f t="shared" si="21"/>
        <v>96.710000000000008</v>
      </c>
      <c r="S54" s="972">
        <v>0</v>
      </c>
      <c r="T54" s="443" t="e">
        <f>#REF!+#REF!-M54</f>
        <v>#REF!</v>
      </c>
      <c r="U54" s="952" t="e">
        <f>ROUND((#REF!+#REF!+#REF!+#REF!+#REF!+#REF!+#REF!+#REF!+#REF!),2)</f>
        <v>#REF!</v>
      </c>
      <c r="Y54" s="953" t="e">
        <f>#REF!+#REF!-M54</f>
        <v>#REF!</v>
      </c>
      <c r="Z54" s="954" t="e">
        <f>#REF!</f>
        <v>#REF!</v>
      </c>
      <c r="AA54" s="953" t="e">
        <f>#REF!+#REF!</f>
        <v>#REF!</v>
      </c>
      <c r="AB54" s="954" t="e">
        <f>#REF!</f>
        <v>#REF!</v>
      </c>
      <c r="AC54" s="955">
        <v>0</v>
      </c>
      <c r="AD54" s="954" t="e">
        <f>#REF!</f>
        <v>#REF!</v>
      </c>
      <c r="AE54" s="956" t="e">
        <f>#REF!+#REF!</f>
        <v>#REF!</v>
      </c>
      <c r="AF54" s="956" t="e">
        <f>#REF!+#REF!</f>
        <v>#REF!</v>
      </c>
      <c r="AG54" s="956"/>
      <c r="AH54" s="954" t="e">
        <f>#REF!</f>
        <v>#REF!</v>
      </c>
      <c r="AI54" s="954" t="e">
        <f t="shared" si="15"/>
        <v>#REF!</v>
      </c>
      <c r="AJ54" s="954">
        <f t="shared" si="16"/>
        <v>96.710000000000008</v>
      </c>
      <c r="AK54" s="954">
        <f t="shared" si="17"/>
        <v>0</v>
      </c>
      <c r="AL54" s="625"/>
    </row>
    <row r="55" spans="1:38" s="620" customFormat="1" ht="20.100000000000001" customHeight="1" x14ac:dyDescent="0.2">
      <c r="A55" s="759">
        <f t="shared" si="22"/>
        <v>11</v>
      </c>
      <c r="B55" s="957">
        <f>+NOMINA!C54</f>
        <v>9162243</v>
      </c>
      <c r="C55" s="958" t="str">
        <f>+NOMINA!D54</f>
        <v>Valera Borrero Marcos Tulio</v>
      </c>
      <c r="D55" s="955" t="s">
        <v>4622</v>
      </c>
      <c r="E55" s="959">
        <v>32351</v>
      </c>
      <c r="F55" s="955" t="s">
        <v>4620</v>
      </c>
      <c r="G55" s="971">
        <f>+NOMINA!H54</f>
        <v>35535</v>
      </c>
      <c r="H55" s="961">
        <f t="shared" si="18"/>
        <v>25</v>
      </c>
      <c r="I55" s="962">
        <v>0</v>
      </c>
      <c r="J55" s="968">
        <f>+NOMINA!BL54</f>
        <v>16.62</v>
      </c>
      <c r="K55" s="968">
        <f>+NOMINA!BM54</f>
        <v>2.08</v>
      </c>
      <c r="L55" s="968">
        <f>+NOMINA!BN54</f>
        <v>3.6</v>
      </c>
      <c r="M55" s="963">
        <f t="shared" si="19"/>
        <v>22.3</v>
      </c>
      <c r="N55" s="968">
        <f>+NOMINA!BR54</f>
        <v>37.4</v>
      </c>
      <c r="O55" s="968">
        <f>+NOMINA!BS54</f>
        <v>8.31</v>
      </c>
      <c r="P55" s="968">
        <f>+NOMINA!BT54</f>
        <v>7.2</v>
      </c>
      <c r="Q55" s="963">
        <f t="shared" si="20"/>
        <v>52.91</v>
      </c>
      <c r="R55" s="963">
        <f t="shared" si="21"/>
        <v>75.209999999999994</v>
      </c>
      <c r="S55" s="972">
        <v>0</v>
      </c>
      <c r="T55" s="443" t="e">
        <f>#REF!+#REF!-M55</f>
        <v>#REF!</v>
      </c>
      <c r="U55" s="952" t="e">
        <f>ROUND((#REF!+#REF!+#REF!+#REF!+#REF!+#REF!+#REF!+#REF!+#REF!),2)</f>
        <v>#REF!</v>
      </c>
      <c r="Y55" s="953" t="e">
        <f>#REF!+#REF!-M55</f>
        <v>#REF!</v>
      </c>
      <c r="Z55" s="954" t="e">
        <f>#REF!</f>
        <v>#REF!</v>
      </c>
      <c r="AA55" s="953" t="e">
        <f>#REF!+#REF!</f>
        <v>#REF!</v>
      </c>
      <c r="AB55" s="954" t="e">
        <f>#REF!</f>
        <v>#REF!</v>
      </c>
      <c r="AC55" s="955">
        <v>0</v>
      </c>
      <c r="AD55" s="954" t="e">
        <f>#REF!</f>
        <v>#REF!</v>
      </c>
      <c r="AE55" s="956" t="e">
        <f>#REF!+#REF!</f>
        <v>#REF!</v>
      </c>
      <c r="AF55" s="956" t="e">
        <f>#REF!+#REF!</f>
        <v>#REF!</v>
      </c>
      <c r="AG55" s="956"/>
      <c r="AH55" s="954" t="e">
        <f>#REF!</f>
        <v>#REF!</v>
      </c>
      <c r="AI55" s="954" t="e">
        <f t="shared" si="15"/>
        <v>#REF!</v>
      </c>
      <c r="AJ55" s="954">
        <f t="shared" si="16"/>
        <v>75.209999999999994</v>
      </c>
      <c r="AK55" s="954">
        <f t="shared" si="17"/>
        <v>0</v>
      </c>
      <c r="AL55" s="625"/>
    </row>
    <row r="56" spans="1:38" s="620" customFormat="1" ht="20.100000000000001" customHeight="1" x14ac:dyDescent="0.2">
      <c r="A56" s="759">
        <f t="shared" si="22"/>
        <v>12</v>
      </c>
      <c r="B56" s="957">
        <f>+NOMINA!C55</f>
        <v>9170647</v>
      </c>
      <c r="C56" s="958" t="str">
        <f>+NOMINA!D55</f>
        <v>Torres Gonzalez Meris del Carmen</v>
      </c>
      <c r="D56" s="955" t="s">
        <v>4622</v>
      </c>
      <c r="E56" s="959">
        <v>32351</v>
      </c>
      <c r="F56" s="955" t="s">
        <v>4620</v>
      </c>
      <c r="G56" s="971">
        <f>+NOMINA!H55</f>
        <v>39238</v>
      </c>
      <c r="H56" s="961">
        <f t="shared" si="18"/>
        <v>15</v>
      </c>
      <c r="I56" s="962">
        <v>0</v>
      </c>
      <c r="J56" s="968">
        <f>+NOMINA!BL55</f>
        <v>29.52</v>
      </c>
      <c r="K56" s="968">
        <f>+NOMINA!BM55</f>
        <v>3.69</v>
      </c>
      <c r="L56" s="968">
        <f>+NOMINA!BN55</f>
        <v>6.4</v>
      </c>
      <c r="M56" s="963">
        <f t="shared" si="19"/>
        <v>39.61</v>
      </c>
      <c r="N56" s="968">
        <f>+NOMINA!BR55</f>
        <v>66.42</v>
      </c>
      <c r="O56" s="968">
        <f>+NOMINA!BS55</f>
        <v>14.76</v>
      </c>
      <c r="P56" s="968">
        <f>+NOMINA!BT55</f>
        <v>12.8</v>
      </c>
      <c r="Q56" s="963">
        <f t="shared" si="20"/>
        <v>93.98</v>
      </c>
      <c r="R56" s="963">
        <f t="shared" si="21"/>
        <v>133.59</v>
      </c>
      <c r="S56" s="972">
        <v>0</v>
      </c>
      <c r="T56" s="443" t="e">
        <f>#REF!+#REF!-M56</f>
        <v>#REF!</v>
      </c>
      <c r="U56" s="952" t="e">
        <f>ROUND((#REF!+#REF!+#REF!+#REF!+#REF!+#REF!+#REF!+#REF!+#REF!),2)</f>
        <v>#REF!</v>
      </c>
      <c r="Y56" s="953" t="e">
        <f>#REF!+#REF!-M56</f>
        <v>#REF!</v>
      </c>
      <c r="Z56" s="954" t="e">
        <f>#REF!</f>
        <v>#REF!</v>
      </c>
      <c r="AA56" s="953" t="e">
        <f>#REF!+#REF!</f>
        <v>#REF!</v>
      </c>
      <c r="AB56" s="954" t="e">
        <f>#REF!</f>
        <v>#REF!</v>
      </c>
      <c r="AC56" s="955">
        <v>0</v>
      </c>
      <c r="AD56" s="954" t="e">
        <f>#REF!</f>
        <v>#REF!</v>
      </c>
      <c r="AE56" s="956" t="e">
        <f>#REF!+#REF!</f>
        <v>#REF!</v>
      </c>
      <c r="AF56" s="956" t="e">
        <f>#REF!+#REF!</f>
        <v>#REF!</v>
      </c>
      <c r="AG56" s="956"/>
      <c r="AH56" s="954" t="e">
        <f>#REF!</f>
        <v>#REF!</v>
      </c>
      <c r="AI56" s="954" t="e">
        <f t="shared" si="15"/>
        <v>#REF!</v>
      </c>
      <c r="AJ56" s="954">
        <f t="shared" si="16"/>
        <v>133.59</v>
      </c>
      <c r="AK56" s="954">
        <f t="shared" si="17"/>
        <v>0</v>
      </c>
      <c r="AL56" s="625"/>
    </row>
    <row r="57" spans="1:38" s="620" customFormat="1" ht="20.100000000000001" customHeight="1" x14ac:dyDescent="0.2">
      <c r="A57" s="759">
        <f t="shared" si="22"/>
        <v>13</v>
      </c>
      <c r="B57" s="957">
        <f>+NOMINA!C56</f>
        <v>9177323</v>
      </c>
      <c r="C57" s="958" t="str">
        <f>+NOMINA!D56</f>
        <v>Simancas de Mendoza Alix Josefina</v>
      </c>
      <c r="D57" s="955" t="s">
        <v>4622</v>
      </c>
      <c r="E57" s="959">
        <v>32351</v>
      </c>
      <c r="F57" s="955" t="s">
        <v>4620</v>
      </c>
      <c r="G57" s="971">
        <f>+NOMINA!H56</f>
        <v>37879</v>
      </c>
      <c r="H57" s="961">
        <f t="shared" si="18"/>
        <v>19</v>
      </c>
      <c r="I57" s="962">
        <v>0</v>
      </c>
      <c r="J57" s="968">
        <f>+NOMINA!BL56</f>
        <v>0</v>
      </c>
      <c r="K57" s="968">
        <f>+NOMINA!BM56</f>
        <v>0</v>
      </c>
      <c r="L57" s="968">
        <f>+NOMINA!BN56</f>
        <v>3.59</v>
      </c>
      <c r="M57" s="963">
        <f t="shared" si="19"/>
        <v>3.59</v>
      </c>
      <c r="N57" s="968">
        <f>+NOMINA!BR56</f>
        <v>0</v>
      </c>
      <c r="O57" s="968">
        <f>+NOMINA!BS56</f>
        <v>0</v>
      </c>
      <c r="P57" s="968">
        <f>+NOMINA!BT56</f>
        <v>7.18</v>
      </c>
      <c r="Q57" s="963">
        <f t="shared" si="20"/>
        <v>7.18</v>
      </c>
      <c r="R57" s="963">
        <f t="shared" si="21"/>
        <v>10.77</v>
      </c>
      <c r="S57" s="972">
        <v>0</v>
      </c>
      <c r="T57" s="443" t="e">
        <f>#REF!+#REF!-M57</f>
        <v>#REF!</v>
      </c>
      <c r="U57" s="952" t="e">
        <f>ROUND((#REF!+#REF!+#REF!+#REF!+#REF!+#REF!+#REF!+#REF!+#REF!),2)</f>
        <v>#REF!</v>
      </c>
      <c r="Y57" s="953" t="e">
        <f>#REF!+#REF!-M57</f>
        <v>#REF!</v>
      </c>
      <c r="Z57" s="954" t="e">
        <f>#REF!</f>
        <v>#REF!</v>
      </c>
      <c r="AA57" s="953" t="e">
        <f>#REF!+#REF!</f>
        <v>#REF!</v>
      </c>
      <c r="AB57" s="954" t="e">
        <f>#REF!</f>
        <v>#REF!</v>
      </c>
      <c r="AC57" s="955">
        <v>0</v>
      </c>
      <c r="AD57" s="954" t="e">
        <f>#REF!</f>
        <v>#REF!</v>
      </c>
      <c r="AE57" s="956" t="e">
        <f>#REF!+#REF!</f>
        <v>#REF!</v>
      </c>
      <c r="AF57" s="956" t="e">
        <f>#REF!+#REF!</f>
        <v>#REF!</v>
      </c>
      <c r="AG57" s="956"/>
      <c r="AH57" s="954" t="e">
        <f>#REF!</f>
        <v>#REF!</v>
      </c>
      <c r="AI57" s="954" t="e">
        <f t="shared" si="15"/>
        <v>#REF!</v>
      </c>
      <c r="AJ57" s="954">
        <f t="shared" si="16"/>
        <v>10.77</v>
      </c>
      <c r="AK57" s="954">
        <f t="shared" si="17"/>
        <v>0</v>
      </c>
      <c r="AL57" s="625"/>
    </row>
    <row r="58" spans="1:38" s="620" customFormat="1" ht="20.100000000000001" customHeight="1" x14ac:dyDescent="0.2">
      <c r="A58" s="759">
        <f t="shared" si="22"/>
        <v>14</v>
      </c>
      <c r="B58" s="957">
        <f>+NOMINA!C57</f>
        <v>9178087</v>
      </c>
      <c r="C58" s="958" t="str">
        <f>+NOMINA!D57</f>
        <v>Saavedra Juan Jose</v>
      </c>
      <c r="D58" s="955" t="s">
        <v>4622</v>
      </c>
      <c r="E58" s="959">
        <v>32351</v>
      </c>
      <c r="F58" s="955" t="s">
        <v>4620</v>
      </c>
      <c r="G58" s="971">
        <f>+NOMINA!H57</f>
        <v>37622</v>
      </c>
      <c r="H58" s="961">
        <f t="shared" si="18"/>
        <v>19</v>
      </c>
      <c r="I58" s="962">
        <v>0</v>
      </c>
      <c r="J58" s="968">
        <f>+NOMINA!BL57</f>
        <v>16.59</v>
      </c>
      <c r="K58" s="968">
        <f>+NOMINA!BM57</f>
        <v>2.0699999999999998</v>
      </c>
      <c r="L58" s="968">
        <f>+NOMINA!BN57</f>
        <v>3.59</v>
      </c>
      <c r="M58" s="963">
        <f t="shared" si="19"/>
        <v>22.25</v>
      </c>
      <c r="N58" s="968">
        <f>+NOMINA!BR57</f>
        <v>37.32</v>
      </c>
      <c r="O58" s="968">
        <f>+NOMINA!BS57</f>
        <v>8.2899999999999991</v>
      </c>
      <c r="P58" s="968">
        <f>+NOMINA!BT57</f>
        <v>7.18</v>
      </c>
      <c r="Q58" s="963">
        <f t="shared" si="20"/>
        <v>52.79</v>
      </c>
      <c r="R58" s="963">
        <f t="shared" si="21"/>
        <v>75.039999999999992</v>
      </c>
      <c r="S58" s="972">
        <v>0</v>
      </c>
      <c r="T58" s="443" t="e">
        <f>#REF!+#REF!-M58</f>
        <v>#REF!</v>
      </c>
      <c r="U58" s="952" t="e">
        <f>ROUND((#REF!+#REF!+#REF!+#REF!+#REF!+#REF!+#REF!+#REF!+#REF!),2)</f>
        <v>#REF!</v>
      </c>
      <c r="Y58" s="953" t="e">
        <f>#REF!+#REF!-M58</f>
        <v>#REF!</v>
      </c>
      <c r="Z58" s="954" t="e">
        <f>#REF!</f>
        <v>#REF!</v>
      </c>
      <c r="AA58" s="953" t="e">
        <f>#REF!+#REF!</f>
        <v>#REF!</v>
      </c>
      <c r="AB58" s="954" t="e">
        <f>#REF!</f>
        <v>#REF!</v>
      </c>
      <c r="AC58" s="955">
        <v>0</v>
      </c>
      <c r="AD58" s="954" t="e">
        <f>#REF!</f>
        <v>#REF!</v>
      </c>
      <c r="AE58" s="956" t="e">
        <f>#REF!+#REF!</f>
        <v>#REF!</v>
      </c>
      <c r="AF58" s="956" t="e">
        <f>#REF!+#REF!</f>
        <v>#REF!</v>
      </c>
      <c r="AG58" s="956"/>
      <c r="AH58" s="954" t="e">
        <f>#REF!</f>
        <v>#REF!</v>
      </c>
      <c r="AI58" s="954" t="e">
        <f t="shared" si="15"/>
        <v>#REF!</v>
      </c>
      <c r="AJ58" s="954">
        <f t="shared" si="16"/>
        <v>75.039999999999992</v>
      </c>
      <c r="AK58" s="954">
        <f t="shared" si="17"/>
        <v>0</v>
      </c>
      <c r="AL58" s="625"/>
    </row>
    <row r="59" spans="1:38" s="620" customFormat="1" ht="20.100000000000001" customHeight="1" x14ac:dyDescent="0.2">
      <c r="A59" s="759">
        <f t="shared" si="22"/>
        <v>15</v>
      </c>
      <c r="B59" s="957">
        <f>+NOMINA!C58</f>
        <v>9179981</v>
      </c>
      <c r="C59" s="958" t="str">
        <f>+NOMINA!D58</f>
        <v>Manzanilla Molina Alfredo Jose</v>
      </c>
      <c r="D59" s="955" t="s">
        <v>4622</v>
      </c>
      <c r="E59" s="959">
        <v>32351</v>
      </c>
      <c r="F59" s="955" t="s">
        <v>4620</v>
      </c>
      <c r="G59" s="971">
        <f>+NOMINA!H58</f>
        <v>45597</v>
      </c>
      <c r="H59" s="961">
        <f t="shared" si="18"/>
        <v>0</v>
      </c>
      <c r="I59" s="962">
        <v>0</v>
      </c>
      <c r="J59" s="968">
        <f>+NOMINA!BL58</f>
        <v>20.04</v>
      </c>
      <c r="K59" s="968">
        <f>+NOMINA!BM58</f>
        <v>2.5099999999999998</v>
      </c>
      <c r="L59" s="968">
        <f>+NOMINA!BN58</f>
        <v>4.34</v>
      </c>
      <c r="M59" s="963">
        <f t="shared" si="19"/>
        <v>26.89</v>
      </c>
      <c r="N59" s="968">
        <f>+NOMINA!BR58</f>
        <v>45.09</v>
      </c>
      <c r="O59" s="968">
        <f>+NOMINA!BS58</f>
        <v>10.02</v>
      </c>
      <c r="P59" s="968">
        <f>+NOMINA!BT58</f>
        <v>8.68</v>
      </c>
      <c r="Q59" s="963">
        <f t="shared" si="20"/>
        <v>63.79</v>
      </c>
      <c r="R59" s="963">
        <f t="shared" si="21"/>
        <v>90.68</v>
      </c>
      <c r="S59" s="972">
        <v>0</v>
      </c>
      <c r="T59" s="443" t="e">
        <f>#REF!+#REF!-M59</f>
        <v>#REF!</v>
      </c>
      <c r="U59" s="952" t="e">
        <f>ROUND((#REF!+#REF!+#REF!+#REF!+#REF!+#REF!+#REF!+#REF!+#REF!),2)</f>
        <v>#REF!</v>
      </c>
      <c r="Y59" s="953" t="e">
        <f>#REF!+#REF!-M59</f>
        <v>#REF!</v>
      </c>
      <c r="Z59" s="954" t="e">
        <f>#REF!</f>
        <v>#REF!</v>
      </c>
      <c r="AA59" s="953" t="e">
        <f>#REF!+#REF!</f>
        <v>#REF!</v>
      </c>
      <c r="AB59" s="954" t="e">
        <f>#REF!</f>
        <v>#REF!</v>
      </c>
      <c r="AC59" s="955">
        <v>0</v>
      </c>
      <c r="AD59" s="954" t="e">
        <f>#REF!</f>
        <v>#REF!</v>
      </c>
      <c r="AE59" s="956" t="e">
        <f>#REF!+#REF!</f>
        <v>#REF!</v>
      </c>
      <c r="AF59" s="956" t="e">
        <f>#REF!+#REF!</f>
        <v>#REF!</v>
      </c>
      <c r="AG59" s="956"/>
      <c r="AH59" s="954" t="e">
        <f>#REF!</f>
        <v>#REF!</v>
      </c>
      <c r="AI59" s="954" t="e">
        <f t="shared" si="15"/>
        <v>#REF!</v>
      </c>
      <c r="AJ59" s="954">
        <f t="shared" si="16"/>
        <v>90.68</v>
      </c>
      <c r="AK59" s="954">
        <f t="shared" si="17"/>
        <v>0</v>
      </c>
      <c r="AL59" s="625"/>
    </row>
    <row r="60" spans="1:38" s="620" customFormat="1" ht="20.100000000000001" customHeight="1" x14ac:dyDescent="0.2">
      <c r="A60" s="759">
        <f t="shared" si="22"/>
        <v>16</v>
      </c>
      <c r="B60" s="957">
        <f>+NOMINA!C59</f>
        <v>9311822</v>
      </c>
      <c r="C60" s="958" t="str">
        <f>+NOMINA!D59</f>
        <v>Rojo Sanchez Alexis Omar</v>
      </c>
      <c r="D60" s="955" t="s">
        <v>4622</v>
      </c>
      <c r="E60" s="959">
        <v>32351</v>
      </c>
      <c r="F60" s="955" t="s">
        <v>4620</v>
      </c>
      <c r="G60" s="971">
        <f>+NOMINA!H59</f>
        <v>37662</v>
      </c>
      <c r="H60" s="961">
        <f t="shared" si="18"/>
        <v>19</v>
      </c>
      <c r="I60" s="962">
        <v>0</v>
      </c>
      <c r="J60" s="968">
        <f>+NOMINA!BL59</f>
        <v>0</v>
      </c>
      <c r="K60" s="968">
        <f>+NOMINA!BM59</f>
        <v>0</v>
      </c>
      <c r="L60" s="968">
        <f>+NOMINA!BN59</f>
        <v>0</v>
      </c>
      <c r="M60" s="963">
        <f t="shared" si="19"/>
        <v>0</v>
      </c>
      <c r="N60" s="968">
        <f>+NOMINA!BR59</f>
        <v>0</v>
      </c>
      <c r="O60" s="968">
        <f>+NOMINA!BS59</f>
        <v>0</v>
      </c>
      <c r="P60" s="968">
        <f>+NOMINA!BT59</f>
        <v>0</v>
      </c>
      <c r="Q60" s="963">
        <f t="shared" si="20"/>
        <v>0</v>
      </c>
      <c r="R60" s="963">
        <f t="shared" si="21"/>
        <v>0</v>
      </c>
      <c r="S60" s="972">
        <v>0</v>
      </c>
      <c r="T60" s="443" t="e">
        <f>#REF!+#REF!-M60</f>
        <v>#REF!</v>
      </c>
      <c r="U60" s="952" t="e">
        <f>ROUND((#REF!+#REF!+#REF!+#REF!+#REF!+#REF!+#REF!+#REF!+#REF!),2)</f>
        <v>#REF!</v>
      </c>
      <c r="Y60" s="953" t="e">
        <f>#REF!+#REF!-M60</f>
        <v>#REF!</v>
      </c>
      <c r="Z60" s="954" t="e">
        <f>#REF!</f>
        <v>#REF!</v>
      </c>
      <c r="AA60" s="953" t="e">
        <f>#REF!+#REF!</f>
        <v>#REF!</v>
      </c>
      <c r="AB60" s="954" t="e">
        <f>#REF!</f>
        <v>#REF!</v>
      </c>
      <c r="AC60" s="955">
        <v>0</v>
      </c>
      <c r="AD60" s="954" t="e">
        <f>#REF!</f>
        <v>#REF!</v>
      </c>
      <c r="AE60" s="956" t="e">
        <f>#REF!+#REF!</f>
        <v>#REF!</v>
      </c>
      <c r="AF60" s="956" t="e">
        <f>#REF!+#REF!</f>
        <v>#REF!</v>
      </c>
      <c r="AG60" s="956"/>
      <c r="AH60" s="954" t="e">
        <f>#REF!</f>
        <v>#REF!</v>
      </c>
      <c r="AI60" s="954" t="e">
        <f t="shared" si="15"/>
        <v>#REF!</v>
      </c>
      <c r="AJ60" s="954">
        <f t="shared" si="16"/>
        <v>0</v>
      </c>
      <c r="AK60" s="954">
        <f t="shared" si="17"/>
        <v>0</v>
      </c>
      <c r="AL60" s="625"/>
    </row>
    <row r="61" spans="1:38" s="620" customFormat="1" ht="20.100000000000001" customHeight="1" x14ac:dyDescent="0.2">
      <c r="A61" s="759">
        <f t="shared" si="22"/>
        <v>17</v>
      </c>
      <c r="B61" s="957">
        <f>+NOMINA!C60</f>
        <v>9315117</v>
      </c>
      <c r="C61" s="958" t="str">
        <f>+NOMINA!D60</f>
        <v>Palma de Briceño Sonia Josefina</v>
      </c>
      <c r="D61" s="955" t="s">
        <v>4622</v>
      </c>
      <c r="E61" s="959">
        <v>32351</v>
      </c>
      <c r="F61" s="955" t="s">
        <v>4620</v>
      </c>
      <c r="G61" s="971">
        <f>+NOMINA!H60</f>
        <v>38412</v>
      </c>
      <c r="H61" s="961">
        <f t="shared" si="18"/>
        <v>17</v>
      </c>
      <c r="I61" s="962">
        <v>0</v>
      </c>
      <c r="J61" s="968">
        <f>+NOMINA!BL60</f>
        <v>28.36</v>
      </c>
      <c r="K61" s="968">
        <f>+NOMINA!BM60</f>
        <v>3.55</v>
      </c>
      <c r="L61" s="968">
        <f>+NOMINA!BN60</f>
        <v>6.15</v>
      </c>
      <c r="M61" s="963">
        <f t="shared" si="19"/>
        <v>38.06</v>
      </c>
      <c r="N61" s="968">
        <f>+NOMINA!BR60</f>
        <v>63.82</v>
      </c>
      <c r="O61" s="968">
        <f>+NOMINA!BS60</f>
        <v>14.18</v>
      </c>
      <c r="P61" s="968">
        <f>+NOMINA!BT60</f>
        <v>12.3</v>
      </c>
      <c r="Q61" s="963">
        <f t="shared" si="20"/>
        <v>90.3</v>
      </c>
      <c r="R61" s="963">
        <f t="shared" si="21"/>
        <v>128.36000000000001</v>
      </c>
      <c r="S61" s="972">
        <v>0</v>
      </c>
      <c r="T61" s="443" t="e">
        <f>#REF!+#REF!-M61</f>
        <v>#REF!</v>
      </c>
      <c r="U61" s="952" t="e">
        <f>ROUND((#REF!+#REF!+#REF!+#REF!+#REF!+#REF!+#REF!+#REF!+#REF!),2)</f>
        <v>#REF!</v>
      </c>
      <c r="Y61" s="953" t="e">
        <f>#REF!+#REF!-M61</f>
        <v>#REF!</v>
      </c>
      <c r="Z61" s="954" t="e">
        <f>#REF!</f>
        <v>#REF!</v>
      </c>
      <c r="AA61" s="953" t="e">
        <f>#REF!+#REF!</f>
        <v>#REF!</v>
      </c>
      <c r="AB61" s="954" t="e">
        <f>#REF!</f>
        <v>#REF!</v>
      </c>
      <c r="AC61" s="955">
        <v>0</v>
      </c>
      <c r="AD61" s="954" t="e">
        <f>#REF!</f>
        <v>#REF!</v>
      </c>
      <c r="AE61" s="956" t="e">
        <f>#REF!+#REF!</f>
        <v>#REF!</v>
      </c>
      <c r="AF61" s="956" t="e">
        <f>#REF!+#REF!</f>
        <v>#REF!</v>
      </c>
      <c r="AG61" s="956"/>
      <c r="AH61" s="954" t="e">
        <f>#REF!</f>
        <v>#REF!</v>
      </c>
      <c r="AI61" s="954" t="e">
        <f t="shared" si="15"/>
        <v>#REF!</v>
      </c>
      <c r="AJ61" s="954">
        <f t="shared" si="16"/>
        <v>128.36000000000001</v>
      </c>
      <c r="AK61" s="954">
        <f t="shared" si="17"/>
        <v>0</v>
      </c>
      <c r="AL61" s="625"/>
    </row>
    <row r="62" spans="1:38" s="620" customFormat="1" ht="20.100000000000001" customHeight="1" x14ac:dyDescent="0.2">
      <c r="A62" s="759">
        <f t="shared" si="22"/>
        <v>18</v>
      </c>
      <c r="B62" s="957">
        <f>+NOMINA!C61</f>
        <v>9315325</v>
      </c>
      <c r="C62" s="958" t="str">
        <f>+NOMINA!D61</f>
        <v>Gonzalez Hernandez Marianela</v>
      </c>
      <c r="D62" s="955" t="s">
        <v>4622</v>
      </c>
      <c r="E62" s="959">
        <v>32351</v>
      </c>
      <c r="F62" s="955" t="s">
        <v>4620</v>
      </c>
      <c r="G62" s="971">
        <f>+NOMINA!H61</f>
        <v>39678</v>
      </c>
      <c r="H62" s="961">
        <f t="shared" si="18"/>
        <v>14</v>
      </c>
      <c r="I62" s="962">
        <v>0</v>
      </c>
      <c r="J62" s="968">
        <f>+NOMINA!BL61</f>
        <v>22.91</v>
      </c>
      <c r="K62" s="968">
        <f>+NOMINA!BM61</f>
        <v>2.86</v>
      </c>
      <c r="L62" s="968">
        <f>+NOMINA!BN61</f>
        <v>4.96</v>
      </c>
      <c r="M62" s="963">
        <f t="shared" si="19"/>
        <v>30.73</v>
      </c>
      <c r="N62" s="968">
        <f>+NOMINA!BR61</f>
        <v>51.55</v>
      </c>
      <c r="O62" s="968">
        <f>+NOMINA!BS61</f>
        <v>11.45</v>
      </c>
      <c r="P62" s="968">
        <f>+NOMINA!BT61</f>
        <v>9.92</v>
      </c>
      <c r="Q62" s="963">
        <f t="shared" si="20"/>
        <v>72.92</v>
      </c>
      <c r="R62" s="963">
        <f t="shared" si="21"/>
        <v>103.65</v>
      </c>
      <c r="S62" s="972">
        <v>0</v>
      </c>
      <c r="T62" s="443" t="e">
        <f>#REF!+#REF!-M62</f>
        <v>#REF!</v>
      </c>
      <c r="U62" s="952" t="e">
        <f>ROUND((#REF!+#REF!+#REF!+#REF!+#REF!+#REF!+#REF!+#REF!+#REF!),2)</f>
        <v>#REF!</v>
      </c>
      <c r="Y62" s="953" t="e">
        <f>#REF!+#REF!-M62</f>
        <v>#REF!</v>
      </c>
      <c r="Z62" s="954" t="e">
        <f>#REF!</f>
        <v>#REF!</v>
      </c>
      <c r="AA62" s="953" t="e">
        <f>#REF!+#REF!</f>
        <v>#REF!</v>
      </c>
      <c r="AB62" s="954" t="e">
        <f>#REF!</f>
        <v>#REF!</v>
      </c>
      <c r="AC62" s="955">
        <v>0</v>
      </c>
      <c r="AD62" s="954" t="e">
        <f>#REF!</f>
        <v>#REF!</v>
      </c>
      <c r="AE62" s="956" t="e">
        <f>#REF!+#REF!</f>
        <v>#REF!</v>
      </c>
      <c r="AF62" s="956" t="e">
        <f>#REF!+#REF!</f>
        <v>#REF!</v>
      </c>
      <c r="AG62" s="956"/>
      <c r="AH62" s="954" t="e">
        <f>#REF!</f>
        <v>#REF!</v>
      </c>
      <c r="AI62" s="954" t="e">
        <f t="shared" si="15"/>
        <v>#REF!</v>
      </c>
      <c r="AJ62" s="954">
        <f t="shared" si="16"/>
        <v>103.65</v>
      </c>
      <c r="AK62" s="954">
        <f t="shared" si="17"/>
        <v>0</v>
      </c>
      <c r="AL62" s="625"/>
    </row>
    <row r="63" spans="1:38" s="620" customFormat="1" ht="20.100000000000001" customHeight="1" x14ac:dyDescent="0.2">
      <c r="A63" s="759">
        <f t="shared" si="22"/>
        <v>19</v>
      </c>
      <c r="B63" s="957">
        <f>+NOMINA!C62</f>
        <v>9316224</v>
      </c>
      <c r="C63" s="958" t="str">
        <f>+NOMINA!D62</f>
        <v>Sanchez Barrios Magalis del Carmen</v>
      </c>
      <c r="D63" s="955" t="s">
        <v>4622</v>
      </c>
      <c r="E63" s="959">
        <v>32351</v>
      </c>
      <c r="F63" s="955" t="s">
        <v>4620</v>
      </c>
      <c r="G63" s="971">
        <f>+NOMINA!H62</f>
        <v>44317</v>
      </c>
      <c r="H63" s="961">
        <f t="shared" si="18"/>
        <v>1</v>
      </c>
      <c r="I63" s="962">
        <v>0</v>
      </c>
      <c r="J63" s="968">
        <f>+NOMINA!BL62</f>
        <v>19.809999999999999</v>
      </c>
      <c r="K63" s="968">
        <f>+NOMINA!BM62</f>
        <v>2.48</v>
      </c>
      <c r="L63" s="968">
        <f>+NOMINA!BN62</f>
        <v>4.29</v>
      </c>
      <c r="M63" s="963">
        <f t="shared" si="19"/>
        <v>26.58</v>
      </c>
      <c r="N63" s="968">
        <f>+NOMINA!BR62</f>
        <v>44.58</v>
      </c>
      <c r="O63" s="968">
        <f>+NOMINA!BS62</f>
        <v>9.91</v>
      </c>
      <c r="P63" s="968">
        <f>+NOMINA!BT62</f>
        <v>8.58</v>
      </c>
      <c r="Q63" s="963">
        <f t="shared" si="20"/>
        <v>63.07</v>
      </c>
      <c r="R63" s="963">
        <f t="shared" si="21"/>
        <v>89.65</v>
      </c>
      <c r="S63" s="972">
        <v>0</v>
      </c>
      <c r="T63" s="443" t="e">
        <f>#REF!+#REF!-M63</f>
        <v>#REF!</v>
      </c>
      <c r="U63" s="952" t="e">
        <f>ROUND((#REF!+#REF!+#REF!+#REF!+#REF!+#REF!+#REF!+#REF!+#REF!),2)</f>
        <v>#REF!</v>
      </c>
      <c r="Y63" s="953" t="e">
        <f>#REF!+#REF!-M63</f>
        <v>#REF!</v>
      </c>
      <c r="Z63" s="954" t="e">
        <f>#REF!</f>
        <v>#REF!</v>
      </c>
      <c r="AA63" s="953" t="e">
        <f>#REF!+#REF!</f>
        <v>#REF!</v>
      </c>
      <c r="AB63" s="954" t="e">
        <f>#REF!</f>
        <v>#REF!</v>
      </c>
      <c r="AC63" s="955">
        <v>0</v>
      </c>
      <c r="AD63" s="954" t="e">
        <f>#REF!</f>
        <v>#REF!</v>
      </c>
      <c r="AE63" s="956" t="e">
        <f>#REF!+#REF!</f>
        <v>#REF!</v>
      </c>
      <c r="AF63" s="956" t="e">
        <f>#REF!+#REF!</f>
        <v>#REF!</v>
      </c>
      <c r="AG63" s="956"/>
      <c r="AH63" s="954" t="e">
        <f>#REF!</f>
        <v>#REF!</v>
      </c>
      <c r="AI63" s="954" t="e">
        <f t="shared" si="15"/>
        <v>#REF!</v>
      </c>
      <c r="AJ63" s="954">
        <f t="shared" si="16"/>
        <v>89.65</v>
      </c>
      <c r="AK63" s="954">
        <f t="shared" si="17"/>
        <v>0</v>
      </c>
      <c r="AL63" s="625"/>
    </row>
    <row r="64" spans="1:38" s="620" customFormat="1" ht="20.100000000000001" customHeight="1" x14ac:dyDescent="0.2">
      <c r="A64" s="759">
        <f t="shared" si="22"/>
        <v>20</v>
      </c>
      <c r="B64" s="957">
        <f>+NOMINA!C63</f>
        <v>9323927</v>
      </c>
      <c r="C64" s="958" t="str">
        <f>+NOMINA!D63</f>
        <v>Cardozo Garcia Jorge Antonio</v>
      </c>
      <c r="D64" s="955" t="s">
        <v>4622</v>
      </c>
      <c r="E64" s="959">
        <v>32351</v>
      </c>
      <c r="F64" s="955" t="s">
        <v>4620</v>
      </c>
      <c r="G64" s="971">
        <f>+NOMINA!H63</f>
        <v>35704</v>
      </c>
      <c r="H64" s="961">
        <f t="shared" si="18"/>
        <v>25</v>
      </c>
      <c r="I64" s="962">
        <v>0</v>
      </c>
      <c r="J64" s="968">
        <f>+NOMINA!BL63</f>
        <v>16.62</v>
      </c>
      <c r="K64" s="968">
        <f>+NOMINA!BM63</f>
        <v>2.08</v>
      </c>
      <c r="L64" s="968">
        <f>+NOMINA!BN63</f>
        <v>3.6</v>
      </c>
      <c r="M64" s="963">
        <f t="shared" si="19"/>
        <v>22.3</v>
      </c>
      <c r="N64" s="968">
        <f>+NOMINA!BR63</f>
        <v>37.4</v>
      </c>
      <c r="O64" s="968">
        <f>+NOMINA!BS63</f>
        <v>8.31</v>
      </c>
      <c r="P64" s="968">
        <f>+NOMINA!BT63</f>
        <v>7.2</v>
      </c>
      <c r="Q64" s="963">
        <f t="shared" si="20"/>
        <v>52.91</v>
      </c>
      <c r="R64" s="963">
        <f t="shared" si="21"/>
        <v>75.209999999999994</v>
      </c>
      <c r="S64" s="972">
        <v>0</v>
      </c>
      <c r="T64" s="443" t="e">
        <f>#REF!+#REF!-M64</f>
        <v>#REF!</v>
      </c>
      <c r="U64" s="952" t="e">
        <f>ROUND((#REF!+#REF!+#REF!+#REF!+#REF!+#REF!+#REF!+#REF!+#REF!),2)</f>
        <v>#REF!</v>
      </c>
      <c r="Y64" s="953" t="e">
        <f>#REF!+#REF!-M64</f>
        <v>#REF!</v>
      </c>
      <c r="Z64" s="954" t="e">
        <f>#REF!</f>
        <v>#REF!</v>
      </c>
      <c r="AA64" s="953" t="e">
        <f>#REF!+#REF!</f>
        <v>#REF!</v>
      </c>
      <c r="AB64" s="954" t="e">
        <f>#REF!</f>
        <v>#REF!</v>
      </c>
      <c r="AC64" s="955">
        <v>0</v>
      </c>
      <c r="AD64" s="954" t="e">
        <f>#REF!</f>
        <v>#REF!</v>
      </c>
      <c r="AE64" s="956" t="e">
        <f>#REF!+#REF!</f>
        <v>#REF!</v>
      </c>
      <c r="AF64" s="956" t="e">
        <f>#REF!+#REF!</f>
        <v>#REF!</v>
      </c>
      <c r="AG64" s="956"/>
      <c r="AH64" s="954" t="e">
        <f>#REF!</f>
        <v>#REF!</v>
      </c>
      <c r="AI64" s="954" t="e">
        <f t="shared" si="15"/>
        <v>#REF!</v>
      </c>
      <c r="AJ64" s="954">
        <f t="shared" si="16"/>
        <v>75.209999999999994</v>
      </c>
      <c r="AK64" s="954">
        <f t="shared" si="17"/>
        <v>0</v>
      </c>
      <c r="AL64" s="625"/>
    </row>
    <row r="65" spans="1:38" s="620" customFormat="1" ht="20.100000000000001" customHeight="1" x14ac:dyDescent="0.2">
      <c r="A65" s="759">
        <f t="shared" si="22"/>
        <v>21</v>
      </c>
      <c r="B65" s="957">
        <f>+NOMINA!C64</f>
        <v>9327253</v>
      </c>
      <c r="C65" s="958" t="str">
        <f>+NOMINA!D64</f>
        <v>Garcia Araujo Jose Domingo</v>
      </c>
      <c r="D65" s="955" t="s">
        <v>4622</v>
      </c>
      <c r="E65" s="959">
        <v>32351</v>
      </c>
      <c r="F65" s="955" t="s">
        <v>4620</v>
      </c>
      <c r="G65" s="971">
        <f>+NOMINA!H64</f>
        <v>38930</v>
      </c>
      <c r="H65" s="961">
        <f t="shared" si="18"/>
        <v>16</v>
      </c>
      <c r="I65" s="962">
        <v>0</v>
      </c>
      <c r="J65" s="968">
        <f>+NOMINA!BL64</f>
        <v>22.48</v>
      </c>
      <c r="K65" s="968">
        <f>+NOMINA!BM64</f>
        <v>2.81</v>
      </c>
      <c r="L65" s="968">
        <f>+NOMINA!BN64</f>
        <v>4.87</v>
      </c>
      <c r="M65" s="963">
        <f t="shared" si="19"/>
        <v>30.16</v>
      </c>
      <c r="N65" s="968">
        <f>+NOMINA!BR64</f>
        <v>50.58</v>
      </c>
      <c r="O65" s="968">
        <f>+NOMINA!BS64</f>
        <v>11.24</v>
      </c>
      <c r="P65" s="968">
        <f>+NOMINA!BT64</f>
        <v>9.74</v>
      </c>
      <c r="Q65" s="963">
        <f t="shared" si="20"/>
        <v>71.56</v>
      </c>
      <c r="R65" s="963">
        <f t="shared" si="21"/>
        <v>101.72</v>
      </c>
      <c r="S65" s="972">
        <v>0</v>
      </c>
      <c r="T65" s="443" t="e">
        <f>#REF!+#REF!-M65</f>
        <v>#REF!</v>
      </c>
      <c r="U65" s="952" t="e">
        <f>ROUND((#REF!+#REF!+#REF!+#REF!+#REF!+#REF!+#REF!+#REF!+#REF!),2)</f>
        <v>#REF!</v>
      </c>
      <c r="Y65" s="953" t="e">
        <f>#REF!+#REF!-M65</f>
        <v>#REF!</v>
      </c>
      <c r="Z65" s="954" t="e">
        <f>#REF!</f>
        <v>#REF!</v>
      </c>
      <c r="AA65" s="953" t="e">
        <f>#REF!+#REF!</f>
        <v>#REF!</v>
      </c>
      <c r="AB65" s="954" t="e">
        <f>#REF!</f>
        <v>#REF!</v>
      </c>
      <c r="AC65" s="955">
        <v>0</v>
      </c>
      <c r="AD65" s="954" t="e">
        <f>#REF!</f>
        <v>#REF!</v>
      </c>
      <c r="AE65" s="956" t="e">
        <f>#REF!+#REF!</f>
        <v>#REF!</v>
      </c>
      <c r="AF65" s="956" t="e">
        <f>#REF!+#REF!</f>
        <v>#REF!</v>
      </c>
      <c r="AG65" s="956"/>
      <c r="AH65" s="954" t="e">
        <f>#REF!</f>
        <v>#REF!</v>
      </c>
      <c r="AI65" s="954" t="e">
        <f t="shared" si="15"/>
        <v>#REF!</v>
      </c>
      <c r="AJ65" s="954">
        <f t="shared" si="16"/>
        <v>101.72</v>
      </c>
      <c r="AK65" s="954">
        <f t="shared" si="17"/>
        <v>0</v>
      </c>
      <c r="AL65" s="625"/>
    </row>
    <row r="66" spans="1:38" s="620" customFormat="1" ht="20.100000000000001" customHeight="1" x14ac:dyDescent="0.2">
      <c r="A66" s="759">
        <f t="shared" si="22"/>
        <v>22</v>
      </c>
      <c r="B66" s="957">
        <f>+NOMINA!C65</f>
        <v>9328157</v>
      </c>
      <c r="C66" s="958" t="str">
        <f>+NOMINA!D65</f>
        <v>Perez Salas Olga Margarita</v>
      </c>
      <c r="D66" s="955" t="s">
        <v>4622</v>
      </c>
      <c r="E66" s="959">
        <v>32351</v>
      </c>
      <c r="F66" s="955" t="s">
        <v>4620</v>
      </c>
      <c r="G66" s="971">
        <f>+NOMINA!H65</f>
        <v>41153</v>
      </c>
      <c r="H66" s="961">
        <f t="shared" si="18"/>
        <v>10</v>
      </c>
      <c r="I66" s="962">
        <v>0</v>
      </c>
      <c r="J66" s="968">
        <f>+NOMINA!BL65</f>
        <v>15.25</v>
      </c>
      <c r="K66" s="968">
        <f>+NOMINA!BM65</f>
        <v>1.91</v>
      </c>
      <c r="L66" s="968">
        <f>+NOMINA!BN65</f>
        <v>3.3</v>
      </c>
      <c r="M66" s="963">
        <f t="shared" si="19"/>
        <v>20.46</v>
      </c>
      <c r="N66" s="968">
        <f>+NOMINA!BR65</f>
        <v>34.32</v>
      </c>
      <c r="O66" s="968">
        <f>+NOMINA!BS65</f>
        <v>7.63</v>
      </c>
      <c r="P66" s="968">
        <f>+NOMINA!BT65</f>
        <v>6.6</v>
      </c>
      <c r="Q66" s="963">
        <f t="shared" si="20"/>
        <v>48.55</v>
      </c>
      <c r="R66" s="963">
        <f t="shared" si="21"/>
        <v>69.009999999999991</v>
      </c>
      <c r="S66" s="972">
        <v>0</v>
      </c>
      <c r="T66" s="443" t="e">
        <f>#REF!+#REF!-M66</f>
        <v>#REF!</v>
      </c>
      <c r="U66" s="952" t="e">
        <f>ROUND((#REF!+#REF!+#REF!+#REF!+#REF!+#REF!+#REF!+#REF!+#REF!),2)</f>
        <v>#REF!</v>
      </c>
      <c r="Y66" s="953" t="e">
        <f>#REF!+#REF!-M66</f>
        <v>#REF!</v>
      </c>
      <c r="Z66" s="954" t="e">
        <f>#REF!</f>
        <v>#REF!</v>
      </c>
      <c r="AA66" s="953" t="e">
        <f>#REF!+#REF!</f>
        <v>#REF!</v>
      </c>
      <c r="AB66" s="954" t="e">
        <f>#REF!</f>
        <v>#REF!</v>
      </c>
      <c r="AC66" s="955">
        <v>0</v>
      </c>
      <c r="AD66" s="954" t="e">
        <f>#REF!</f>
        <v>#REF!</v>
      </c>
      <c r="AE66" s="956" t="e">
        <f>#REF!+#REF!</f>
        <v>#REF!</v>
      </c>
      <c r="AF66" s="956" t="e">
        <f>#REF!+#REF!</f>
        <v>#REF!</v>
      </c>
      <c r="AG66" s="956"/>
      <c r="AH66" s="954" t="e">
        <f>#REF!</f>
        <v>#REF!</v>
      </c>
      <c r="AI66" s="954" t="e">
        <f t="shared" si="15"/>
        <v>#REF!</v>
      </c>
      <c r="AJ66" s="954">
        <f t="shared" si="16"/>
        <v>69.009999999999991</v>
      </c>
      <c r="AK66" s="954">
        <f t="shared" si="17"/>
        <v>0</v>
      </c>
      <c r="AL66" s="625"/>
    </row>
    <row r="67" spans="1:38" s="620" customFormat="1" ht="20.100000000000001" customHeight="1" x14ac:dyDescent="0.2">
      <c r="A67" s="759">
        <f t="shared" si="22"/>
        <v>23</v>
      </c>
      <c r="B67" s="957">
        <f>+NOMINA!C66</f>
        <v>9328224</v>
      </c>
      <c r="C67" s="958" t="str">
        <f>+NOMINA!D66</f>
        <v>Abreu Araujo Omar Antonio</v>
      </c>
      <c r="D67" s="955" t="s">
        <v>4622</v>
      </c>
      <c r="E67" s="959">
        <v>32351</v>
      </c>
      <c r="F67" s="955" t="s">
        <v>4620</v>
      </c>
      <c r="G67" s="971">
        <f>+NOMINA!H66</f>
        <v>39356</v>
      </c>
      <c r="H67" s="961">
        <f t="shared" si="18"/>
        <v>15</v>
      </c>
      <c r="I67" s="962">
        <v>0</v>
      </c>
      <c r="J67" s="968">
        <f>+NOMINA!BL66</f>
        <v>19.09</v>
      </c>
      <c r="K67" s="968">
        <f>+NOMINA!BM66</f>
        <v>2.39</v>
      </c>
      <c r="L67" s="968">
        <f>+NOMINA!BN66</f>
        <v>4.1399999999999997</v>
      </c>
      <c r="M67" s="963">
        <f t="shared" si="19"/>
        <v>25.62</v>
      </c>
      <c r="N67" s="968">
        <f>+NOMINA!BR66</f>
        <v>42.95</v>
      </c>
      <c r="O67" s="968">
        <f>+NOMINA!BS66</f>
        <v>9.5500000000000007</v>
      </c>
      <c r="P67" s="968">
        <f>+NOMINA!BT66</f>
        <v>8.2799999999999994</v>
      </c>
      <c r="Q67" s="963">
        <f t="shared" si="20"/>
        <v>60.78</v>
      </c>
      <c r="R67" s="963">
        <f t="shared" si="21"/>
        <v>86.4</v>
      </c>
      <c r="S67" s="972">
        <v>0</v>
      </c>
      <c r="T67" s="443" t="e">
        <f>#REF!+#REF!-M67</f>
        <v>#REF!</v>
      </c>
      <c r="U67" s="952" t="e">
        <f>ROUND((#REF!+#REF!+#REF!+#REF!+#REF!+#REF!+#REF!+#REF!+#REF!),2)</f>
        <v>#REF!</v>
      </c>
      <c r="Y67" s="953" t="e">
        <f>#REF!+#REF!-M67</f>
        <v>#REF!</v>
      </c>
      <c r="Z67" s="954" t="e">
        <f>#REF!</f>
        <v>#REF!</v>
      </c>
      <c r="AA67" s="953" t="e">
        <f>#REF!+#REF!</f>
        <v>#REF!</v>
      </c>
      <c r="AB67" s="954" t="e">
        <f>#REF!</f>
        <v>#REF!</v>
      </c>
      <c r="AC67" s="955">
        <v>0</v>
      </c>
      <c r="AD67" s="954" t="e">
        <f>#REF!</f>
        <v>#REF!</v>
      </c>
      <c r="AE67" s="956" t="e">
        <f>#REF!+#REF!</f>
        <v>#REF!</v>
      </c>
      <c r="AF67" s="956" t="e">
        <f>#REF!+#REF!</f>
        <v>#REF!</v>
      </c>
      <c r="AG67" s="956"/>
      <c r="AH67" s="954" t="e">
        <f>#REF!</f>
        <v>#REF!</v>
      </c>
      <c r="AI67" s="954" t="e">
        <f t="shared" si="15"/>
        <v>#REF!</v>
      </c>
      <c r="AJ67" s="954">
        <f t="shared" si="16"/>
        <v>86.4</v>
      </c>
      <c r="AK67" s="954">
        <f t="shared" si="17"/>
        <v>0</v>
      </c>
      <c r="AL67" s="625"/>
    </row>
    <row r="68" spans="1:38" s="620" customFormat="1" ht="20.100000000000001" customHeight="1" x14ac:dyDescent="0.2">
      <c r="A68" s="759">
        <f t="shared" si="22"/>
        <v>24</v>
      </c>
      <c r="B68" s="957">
        <f>+NOMINA!C67</f>
        <v>9495661</v>
      </c>
      <c r="C68" s="958" t="str">
        <f>+NOMINA!D67</f>
        <v>Aguial Carrillo Gregoria Coromoto</v>
      </c>
      <c r="D68" s="955" t="s">
        <v>4622</v>
      </c>
      <c r="E68" s="959">
        <v>32351</v>
      </c>
      <c r="F68" s="955" t="s">
        <v>4620</v>
      </c>
      <c r="G68" s="971">
        <f>+NOMINA!H67</f>
        <v>39692</v>
      </c>
      <c r="H68" s="961">
        <f t="shared" si="18"/>
        <v>14</v>
      </c>
      <c r="I68" s="962">
        <v>0</v>
      </c>
      <c r="J68" s="968">
        <f>+NOMINA!BL67</f>
        <v>0</v>
      </c>
      <c r="K68" s="968">
        <f>+NOMINA!BM67</f>
        <v>0</v>
      </c>
      <c r="L68" s="968">
        <f>+NOMINA!BN67</f>
        <v>0</v>
      </c>
      <c r="M68" s="963">
        <f t="shared" si="19"/>
        <v>0</v>
      </c>
      <c r="N68" s="968">
        <f>+NOMINA!BR67</f>
        <v>0</v>
      </c>
      <c r="O68" s="968">
        <f>+NOMINA!BS67</f>
        <v>0</v>
      </c>
      <c r="P68" s="968">
        <f>+NOMINA!BT67</f>
        <v>0</v>
      </c>
      <c r="Q68" s="963">
        <f t="shared" si="20"/>
        <v>0</v>
      </c>
      <c r="R68" s="963">
        <f t="shared" si="21"/>
        <v>0</v>
      </c>
      <c r="S68" s="972">
        <v>0</v>
      </c>
      <c r="T68" s="443" t="e">
        <f>#REF!+#REF!-M68</f>
        <v>#REF!</v>
      </c>
      <c r="U68" s="952" t="e">
        <f>ROUND((#REF!+#REF!+#REF!+#REF!+#REF!+#REF!+#REF!+#REF!+#REF!),2)</f>
        <v>#REF!</v>
      </c>
      <c r="Y68" s="953" t="e">
        <f>#REF!+#REF!-M68</f>
        <v>#REF!</v>
      </c>
      <c r="Z68" s="954" t="e">
        <f>#REF!</f>
        <v>#REF!</v>
      </c>
      <c r="AA68" s="953" t="e">
        <f>#REF!+#REF!</f>
        <v>#REF!</v>
      </c>
      <c r="AB68" s="954" t="e">
        <f>#REF!</f>
        <v>#REF!</v>
      </c>
      <c r="AC68" s="955">
        <v>0</v>
      </c>
      <c r="AD68" s="954" t="e">
        <f>#REF!</f>
        <v>#REF!</v>
      </c>
      <c r="AE68" s="956" t="e">
        <f>#REF!+#REF!</f>
        <v>#REF!</v>
      </c>
      <c r="AF68" s="956" t="e">
        <f>#REF!+#REF!</f>
        <v>#REF!</v>
      </c>
      <c r="AG68" s="956"/>
      <c r="AH68" s="954" t="e">
        <f>#REF!</f>
        <v>#REF!</v>
      </c>
      <c r="AI68" s="954" t="e">
        <f t="shared" si="15"/>
        <v>#REF!</v>
      </c>
      <c r="AJ68" s="954">
        <f t="shared" si="16"/>
        <v>0</v>
      </c>
      <c r="AK68" s="954">
        <f t="shared" si="17"/>
        <v>0</v>
      </c>
      <c r="AL68" s="625"/>
    </row>
    <row r="69" spans="1:38" s="620" customFormat="1" ht="20.100000000000001" customHeight="1" x14ac:dyDescent="0.2">
      <c r="A69" s="759">
        <f t="shared" si="22"/>
        <v>25</v>
      </c>
      <c r="B69" s="957">
        <f>+NOMINA!C68</f>
        <v>9496860</v>
      </c>
      <c r="C69" s="958" t="str">
        <f>+NOMINA!D68</f>
        <v>Hernandez Valero Jose Alfredo</v>
      </c>
      <c r="D69" s="955" t="s">
        <v>4622</v>
      </c>
      <c r="E69" s="959">
        <v>32351</v>
      </c>
      <c r="F69" s="955" t="s">
        <v>4620</v>
      </c>
      <c r="G69" s="971">
        <f>+NOMINA!H68</f>
        <v>43877</v>
      </c>
      <c r="H69" s="961">
        <f t="shared" si="18"/>
        <v>2</v>
      </c>
      <c r="I69" s="962">
        <v>0</v>
      </c>
      <c r="J69" s="968">
        <f>+NOMINA!BL68</f>
        <v>27.43</v>
      </c>
      <c r="K69" s="968">
        <f>+NOMINA!BM68</f>
        <v>3.43</v>
      </c>
      <c r="L69" s="968">
        <f>+NOMINA!BN68</f>
        <v>5.94</v>
      </c>
      <c r="M69" s="963">
        <f t="shared" si="19"/>
        <v>36.799999999999997</v>
      </c>
      <c r="N69" s="968">
        <f>+NOMINA!BR68</f>
        <v>61.71</v>
      </c>
      <c r="O69" s="968">
        <f>+NOMINA!BS68</f>
        <v>13.71</v>
      </c>
      <c r="P69" s="968">
        <f>+NOMINA!BT68</f>
        <v>11.88</v>
      </c>
      <c r="Q69" s="963">
        <f t="shared" si="20"/>
        <v>87.3</v>
      </c>
      <c r="R69" s="963">
        <f t="shared" si="21"/>
        <v>124.1</v>
      </c>
      <c r="S69" s="972">
        <v>0</v>
      </c>
      <c r="T69" s="443" t="e">
        <f>#REF!+#REF!-M69</f>
        <v>#REF!</v>
      </c>
      <c r="U69" s="952" t="e">
        <f>ROUND((#REF!+#REF!+#REF!+#REF!+#REF!+#REF!+#REF!+#REF!+#REF!),2)</f>
        <v>#REF!</v>
      </c>
      <c r="Y69" s="953" t="e">
        <f>#REF!+#REF!-M69</f>
        <v>#REF!</v>
      </c>
      <c r="Z69" s="954" t="e">
        <f>#REF!</f>
        <v>#REF!</v>
      </c>
      <c r="AA69" s="953" t="e">
        <f>#REF!+#REF!</f>
        <v>#REF!</v>
      </c>
      <c r="AB69" s="954" t="e">
        <f>#REF!</f>
        <v>#REF!</v>
      </c>
      <c r="AC69" s="955">
        <v>0</v>
      </c>
      <c r="AD69" s="954" t="e">
        <f>#REF!</f>
        <v>#REF!</v>
      </c>
      <c r="AE69" s="956" t="e">
        <f>#REF!+#REF!</f>
        <v>#REF!</v>
      </c>
      <c r="AF69" s="956" t="e">
        <f>#REF!+#REF!</f>
        <v>#REF!</v>
      </c>
      <c r="AG69" s="956"/>
      <c r="AH69" s="954" t="e">
        <f>#REF!</f>
        <v>#REF!</v>
      </c>
      <c r="AI69" s="954" t="e">
        <f t="shared" si="15"/>
        <v>#REF!</v>
      </c>
      <c r="AJ69" s="954">
        <f t="shared" si="16"/>
        <v>124.1</v>
      </c>
      <c r="AK69" s="954">
        <f t="shared" si="17"/>
        <v>0</v>
      </c>
      <c r="AL69" s="625"/>
    </row>
    <row r="70" spans="1:38" s="620" customFormat="1" ht="20.100000000000001" customHeight="1" x14ac:dyDescent="0.2">
      <c r="A70" s="759">
        <f t="shared" si="22"/>
        <v>26</v>
      </c>
      <c r="B70" s="957">
        <f>+NOMINA!C69</f>
        <v>9497151</v>
      </c>
      <c r="C70" s="958" t="str">
        <f>+NOMINA!D69</f>
        <v>Mendoza Vieras Pedro Luis</v>
      </c>
      <c r="D70" s="955" t="s">
        <v>4622</v>
      </c>
      <c r="E70" s="959">
        <v>32351</v>
      </c>
      <c r="F70" s="955" t="s">
        <v>4620</v>
      </c>
      <c r="G70" s="971">
        <f>+NOMINA!H69</f>
        <v>36770</v>
      </c>
      <c r="H70" s="961">
        <f t="shared" si="18"/>
        <v>22</v>
      </c>
      <c r="I70" s="962">
        <v>0</v>
      </c>
      <c r="J70" s="968">
        <f>+NOMINA!BL69</f>
        <v>29.03</v>
      </c>
      <c r="K70" s="968">
        <f>+NOMINA!BM69</f>
        <v>3.63</v>
      </c>
      <c r="L70" s="968">
        <f>+NOMINA!BN69</f>
        <v>6.29</v>
      </c>
      <c r="M70" s="963">
        <f t="shared" si="19"/>
        <v>38.950000000000003</v>
      </c>
      <c r="N70" s="968">
        <f>+NOMINA!BR69</f>
        <v>65.31</v>
      </c>
      <c r="O70" s="968">
        <f>+NOMINA!BS69</f>
        <v>14.51</v>
      </c>
      <c r="P70" s="968">
        <f>+NOMINA!BT69</f>
        <v>12.58</v>
      </c>
      <c r="Q70" s="963">
        <f t="shared" si="20"/>
        <v>92.4</v>
      </c>
      <c r="R70" s="963">
        <f t="shared" si="21"/>
        <v>131.35000000000002</v>
      </c>
      <c r="S70" s="972">
        <v>0</v>
      </c>
      <c r="T70" s="443" t="e">
        <f>#REF!+#REF!-M70</f>
        <v>#REF!</v>
      </c>
      <c r="U70" s="952" t="e">
        <f>ROUND((#REF!+#REF!+#REF!+#REF!+#REF!+#REF!+#REF!+#REF!+#REF!),2)</f>
        <v>#REF!</v>
      </c>
      <c r="Y70" s="953" t="e">
        <f>#REF!+#REF!-M70</f>
        <v>#REF!</v>
      </c>
      <c r="Z70" s="954" t="e">
        <f>#REF!</f>
        <v>#REF!</v>
      </c>
      <c r="AA70" s="953" t="e">
        <f>#REF!+#REF!</f>
        <v>#REF!</v>
      </c>
      <c r="AB70" s="954" t="e">
        <f>#REF!</f>
        <v>#REF!</v>
      </c>
      <c r="AC70" s="955">
        <v>0</v>
      </c>
      <c r="AD70" s="954" t="e">
        <f>#REF!</f>
        <v>#REF!</v>
      </c>
      <c r="AE70" s="956" t="e">
        <f>#REF!+#REF!</f>
        <v>#REF!</v>
      </c>
      <c r="AF70" s="956" t="e">
        <f>#REF!+#REF!</f>
        <v>#REF!</v>
      </c>
      <c r="AG70" s="956"/>
      <c r="AH70" s="954" t="e">
        <f>#REF!</f>
        <v>#REF!</v>
      </c>
      <c r="AI70" s="954" t="e">
        <f t="shared" si="15"/>
        <v>#REF!</v>
      </c>
      <c r="AJ70" s="954">
        <f t="shared" si="16"/>
        <v>131.35000000000002</v>
      </c>
      <c r="AK70" s="954">
        <f t="shared" si="17"/>
        <v>0</v>
      </c>
      <c r="AL70" s="625"/>
    </row>
    <row r="71" spans="1:38" s="620" customFormat="1" ht="20.100000000000001" customHeight="1" x14ac:dyDescent="0.2">
      <c r="A71" s="759">
        <f t="shared" si="22"/>
        <v>27</v>
      </c>
      <c r="B71" s="957">
        <f>+NOMINA!C70</f>
        <v>9497349</v>
      </c>
      <c r="C71" s="958" t="str">
        <f>+NOMINA!D70</f>
        <v>Cano Blanco Juan Carlos</v>
      </c>
      <c r="D71" s="955" t="s">
        <v>4622</v>
      </c>
      <c r="E71" s="959">
        <v>32351</v>
      </c>
      <c r="F71" s="955" t="s">
        <v>4620</v>
      </c>
      <c r="G71" s="971">
        <f>+NOMINA!H70</f>
        <v>45809</v>
      </c>
      <c r="H71" s="961">
        <f t="shared" si="18"/>
        <v>0</v>
      </c>
      <c r="I71" s="962">
        <v>0</v>
      </c>
      <c r="J71" s="968">
        <f>+NOMINA!BL70</f>
        <v>15.6</v>
      </c>
      <c r="K71" s="968">
        <f>+NOMINA!BM70</f>
        <v>1.95</v>
      </c>
      <c r="L71" s="968">
        <f>+NOMINA!BN70</f>
        <v>3.38</v>
      </c>
      <c r="M71" s="963">
        <f t="shared" si="19"/>
        <v>20.93</v>
      </c>
      <c r="N71" s="968">
        <f>+NOMINA!BR70</f>
        <v>35.1</v>
      </c>
      <c r="O71" s="968">
        <f>+NOMINA!BS70</f>
        <v>7.8</v>
      </c>
      <c r="P71" s="968">
        <f>+NOMINA!BT70</f>
        <v>6.76</v>
      </c>
      <c r="Q71" s="963">
        <f t="shared" si="20"/>
        <v>49.66</v>
      </c>
      <c r="R71" s="963">
        <f t="shared" si="21"/>
        <v>70.59</v>
      </c>
      <c r="S71" s="972">
        <v>0</v>
      </c>
      <c r="T71" s="443" t="e">
        <f>#REF!+#REF!-M71</f>
        <v>#REF!</v>
      </c>
      <c r="U71" s="952" t="e">
        <f>ROUND((#REF!+#REF!+#REF!+#REF!+#REF!+#REF!+#REF!+#REF!+#REF!),2)</f>
        <v>#REF!</v>
      </c>
      <c r="Y71" s="953" t="e">
        <f>#REF!+#REF!-M71</f>
        <v>#REF!</v>
      </c>
      <c r="Z71" s="954" t="e">
        <f>#REF!</f>
        <v>#REF!</v>
      </c>
      <c r="AA71" s="953" t="e">
        <f>#REF!+#REF!</f>
        <v>#REF!</v>
      </c>
      <c r="AB71" s="954" t="e">
        <f>#REF!</f>
        <v>#REF!</v>
      </c>
      <c r="AC71" s="955">
        <v>0</v>
      </c>
      <c r="AD71" s="954" t="e">
        <f>#REF!</f>
        <v>#REF!</v>
      </c>
      <c r="AE71" s="956" t="e">
        <f>#REF!+#REF!</f>
        <v>#REF!</v>
      </c>
      <c r="AF71" s="956" t="e">
        <f>#REF!+#REF!</f>
        <v>#REF!</v>
      </c>
      <c r="AG71" s="956"/>
      <c r="AH71" s="954" t="e">
        <f>#REF!</f>
        <v>#REF!</v>
      </c>
      <c r="AI71" s="954" t="e">
        <f t="shared" si="15"/>
        <v>#REF!</v>
      </c>
      <c r="AJ71" s="954">
        <f t="shared" si="16"/>
        <v>70.59</v>
      </c>
      <c r="AK71" s="954">
        <f t="shared" si="17"/>
        <v>0</v>
      </c>
      <c r="AL71" s="625"/>
    </row>
    <row r="72" spans="1:38" s="620" customFormat="1" ht="20.100000000000001" customHeight="1" x14ac:dyDescent="0.2">
      <c r="A72" s="759">
        <f t="shared" si="22"/>
        <v>28</v>
      </c>
      <c r="B72" s="957">
        <f>+NOMINA!C71</f>
        <v>10033119</v>
      </c>
      <c r="C72" s="958" t="str">
        <f>+NOMINA!D71</f>
        <v>Artigas de Hernandez Ana Maria</v>
      </c>
      <c r="D72" s="955" t="s">
        <v>4622</v>
      </c>
      <c r="E72" s="959">
        <v>32351</v>
      </c>
      <c r="F72" s="955" t="s">
        <v>4620</v>
      </c>
      <c r="G72" s="971">
        <f>+NOMINA!H71</f>
        <v>43359</v>
      </c>
      <c r="H72" s="961">
        <f t="shared" si="18"/>
        <v>4</v>
      </c>
      <c r="I72" s="962">
        <v>0</v>
      </c>
      <c r="J72" s="968">
        <f>+NOMINA!BL71</f>
        <v>24.79</v>
      </c>
      <c r="K72" s="968">
        <f>+NOMINA!BM71</f>
        <v>3.1</v>
      </c>
      <c r="L72" s="968">
        <f>+NOMINA!BN71</f>
        <v>5.37</v>
      </c>
      <c r="M72" s="963">
        <f t="shared" si="19"/>
        <v>33.26</v>
      </c>
      <c r="N72" s="968">
        <f>+NOMINA!BR71</f>
        <v>55.77</v>
      </c>
      <c r="O72" s="968">
        <f>+NOMINA!BS71</f>
        <v>12.39</v>
      </c>
      <c r="P72" s="968">
        <f>+NOMINA!BT71</f>
        <v>10.74</v>
      </c>
      <c r="Q72" s="963">
        <f t="shared" si="20"/>
        <v>78.900000000000006</v>
      </c>
      <c r="R72" s="963">
        <f t="shared" si="21"/>
        <v>112.16</v>
      </c>
      <c r="S72" s="972">
        <v>0</v>
      </c>
      <c r="T72" s="443" t="e">
        <f>#REF!+#REF!-M72</f>
        <v>#REF!</v>
      </c>
      <c r="U72" s="952" t="e">
        <f>ROUND((#REF!+#REF!+#REF!+#REF!+#REF!+#REF!+#REF!+#REF!+#REF!),2)</f>
        <v>#REF!</v>
      </c>
      <c r="Y72" s="953" t="e">
        <f>#REF!+#REF!-M72</f>
        <v>#REF!</v>
      </c>
      <c r="Z72" s="954" t="e">
        <f>#REF!</f>
        <v>#REF!</v>
      </c>
      <c r="AA72" s="953" t="e">
        <f>#REF!+#REF!</f>
        <v>#REF!</v>
      </c>
      <c r="AB72" s="954" t="e">
        <f>#REF!</f>
        <v>#REF!</v>
      </c>
      <c r="AC72" s="955">
        <v>0</v>
      </c>
      <c r="AD72" s="954" t="e">
        <f>#REF!</f>
        <v>#REF!</v>
      </c>
      <c r="AE72" s="956" t="e">
        <f>#REF!+#REF!</f>
        <v>#REF!</v>
      </c>
      <c r="AF72" s="956" t="e">
        <f>#REF!+#REF!</f>
        <v>#REF!</v>
      </c>
      <c r="AG72" s="956"/>
      <c r="AH72" s="954" t="e">
        <f>#REF!</f>
        <v>#REF!</v>
      </c>
      <c r="AI72" s="954" t="e">
        <f t="shared" si="15"/>
        <v>#REF!</v>
      </c>
      <c r="AJ72" s="954">
        <f t="shared" si="16"/>
        <v>112.16</v>
      </c>
      <c r="AK72" s="954">
        <f t="shared" si="17"/>
        <v>0</v>
      </c>
      <c r="AL72" s="625"/>
    </row>
    <row r="73" spans="1:38" s="620" customFormat="1" ht="20.100000000000001" customHeight="1" x14ac:dyDescent="0.2">
      <c r="A73" s="759">
        <f t="shared" si="22"/>
        <v>29</v>
      </c>
      <c r="B73" s="957">
        <f>+NOMINA!C72</f>
        <v>10035540</v>
      </c>
      <c r="C73" s="958" t="str">
        <f>+NOMINA!D72</f>
        <v>Linares Linares Emma Teresa</v>
      </c>
      <c r="D73" s="955" t="s">
        <v>4622</v>
      </c>
      <c r="E73" s="959">
        <v>32351</v>
      </c>
      <c r="F73" s="955" t="s">
        <v>4620</v>
      </c>
      <c r="G73" s="971">
        <f>+NOMINA!H72</f>
        <v>43236</v>
      </c>
      <c r="H73" s="961">
        <f t="shared" si="18"/>
        <v>4</v>
      </c>
      <c r="I73" s="962">
        <v>0</v>
      </c>
      <c r="J73" s="968">
        <f>+NOMINA!BL72</f>
        <v>21.19</v>
      </c>
      <c r="K73" s="968">
        <f>+NOMINA!BM72</f>
        <v>2.65</v>
      </c>
      <c r="L73" s="968">
        <f>+NOMINA!BN72</f>
        <v>4.59</v>
      </c>
      <c r="M73" s="963">
        <f t="shared" si="19"/>
        <v>28.43</v>
      </c>
      <c r="N73" s="968">
        <f>+NOMINA!BR72</f>
        <v>47.69</v>
      </c>
      <c r="O73" s="968">
        <f>+NOMINA!BS72</f>
        <v>10.6</v>
      </c>
      <c r="P73" s="968">
        <f>+NOMINA!BT72</f>
        <v>9.18</v>
      </c>
      <c r="Q73" s="963">
        <f t="shared" si="20"/>
        <v>67.47</v>
      </c>
      <c r="R73" s="963">
        <f t="shared" si="21"/>
        <v>95.9</v>
      </c>
      <c r="S73" s="972">
        <v>0</v>
      </c>
      <c r="T73" s="443" t="e">
        <f>#REF!+#REF!-M73</f>
        <v>#REF!</v>
      </c>
      <c r="U73" s="952" t="e">
        <f>ROUND((#REF!+#REF!+#REF!+#REF!+#REF!+#REF!+#REF!+#REF!+#REF!),2)</f>
        <v>#REF!</v>
      </c>
      <c r="Y73" s="953" t="e">
        <f>#REF!+#REF!-M73</f>
        <v>#REF!</v>
      </c>
      <c r="Z73" s="954" t="e">
        <f>#REF!</f>
        <v>#REF!</v>
      </c>
      <c r="AA73" s="953" t="e">
        <f>#REF!+#REF!</f>
        <v>#REF!</v>
      </c>
      <c r="AB73" s="954" t="e">
        <f>#REF!</f>
        <v>#REF!</v>
      </c>
      <c r="AC73" s="955">
        <v>0</v>
      </c>
      <c r="AD73" s="954" t="e">
        <f>#REF!</f>
        <v>#REF!</v>
      </c>
      <c r="AE73" s="956" t="e">
        <f>#REF!+#REF!</f>
        <v>#REF!</v>
      </c>
      <c r="AF73" s="956" t="e">
        <f>#REF!+#REF!</f>
        <v>#REF!</v>
      </c>
      <c r="AG73" s="956"/>
      <c r="AH73" s="954" t="e">
        <f>#REF!</f>
        <v>#REF!</v>
      </c>
      <c r="AI73" s="954" t="e">
        <f t="shared" si="15"/>
        <v>#REF!</v>
      </c>
      <c r="AJ73" s="954">
        <f t="shared" si="16"/>
        <v>95.9</v>
      </c>
      <c r="AK73" s="954">
        <f t="shared" si="17"/>
        <v>0</v>
      </c>
      <c r="AL73" s="625"/>
    </row>
    <row r="74" spans="1:38" s="620" customFormat="1" ht="20.100000000000001" customHeight="1" x14ac:dyDescent="0.2">
      <c r="A74" s="759">
        <f t="shared" si="22"/>
        <v>30</v>
      </c>
      <c r="B74" s="957">
        <f>+NOMINA!C73</f>
        <v>10037054</v>
      </c>
      <c r="C74" s="958" t="str">
        <f>+NOMINA!D73</f>
        <v>Aguial Carrillo Deris Margarita</v>
      </c>
      <c r="D74" s="955" t="s">
        <v>4622</v>
      </c>
      <c r="E74" s="959">
        <v>32351</v>
      </c>
      <c r="F74" s="955" t="s">
        <v>4620</v>
      </c>
      <c r="G74" s="971">
        <f>+NOMINA!H73</f>
        <v>39820</v>
      </c>
      <c r="H74" s="961">
        <f t="shared" si="18"/>
        <v>13</v>
      </c>
      <c r="I74" s="962">
        <v>0</v>
      </c>
      <c r="J74" s="968">
        <f>+NOMINA!BL73</f>
        <v>20.43</v>
      </c>
      <c r="K74" s="968">
        <f>+NOMINA!BM73</f>
        <v>2.5499999999999998</v>
      </c>
      <c r="L74" s="968">
        <f>+NOMINA!BN73</f>
        <v>4.43</v>
      </c>
      <c r="M74" s="963">
        <f t="shared" si="19"/>
        <v>27.41</v>
      </c>
      <c r="N74" s="968">
        <f>+NOMINA!BR73</f>
        <v>45.97</v>
      </c>
      <c r="O74" s="968">
        <f>+NOMINA!BS73</f>
        <v>10.220000000000001</v>
      </c>
      <c r="P74" s="968">
        <f>+NOMINA!BT73</f>
        <v>8.86</v>
      </c>
      <c r="Q74" s="963">
        <f t="shared" si="20"/>
        <v>65.05</v>
      </c>
      <c r="R74" s="963">
        <f t="shared" si="21"/>
        <v>92.46</v>
      </c>
      <c r="S74" s="972">
        <v>0</v>
      </c>
      <c r="T74" s="443" t="e">
        <f>#REF!+#REF!-M74</f>
        <v>#REF!</v>
      </c>
      <c r="U74" s="952" t="e">
        <f>ROUND((#REF!+#REF!+#REF!+#REF!+#REF!+#REF!+#REF!+#REF!+#REF!),2)</f>
        <v>#REF!</v>
      </c>
      <c r="Y74" s="953" t="e">
        <f>#REF!+#REF!-M74</f>
        <v>#REF!</v>
      </c>
      <c r="Z74" s="954" t="e">
        <f>#REF!</f>
        <v>#REF!</v>
      </c>
      <c r="AA74" s="953" t="e">
        <f>#REF!+#REF!</f>
        <v>#REF!</v>
      </c>
      <c r="AB74" s="954" t="e">
        <f>#REF!</f>
        <v>#REF!</v>
      </c>
      <c r="AC74" s="955">
        <v>0</v>
      </c>
      <c r="AD74" s="954" t="e">
        <f>#REF!</f>
        <v>#REF!</v>
      </c>
      <c r="AE74" s="956" t="e">
        <f>#REF!+#REF!</f>
        <v>#REF!</v>
      </c>
      <c r="AF74" s="956" t="e">
        <f>#REF!+#REF!</f>
        <v>#REF!</v>
      </c>
      <c r="AG74" s="956"/>
      <c r="AH74" s="954" t="e">
        <f>#REF!</f>
        <v>#REF!</v>
      </c>
      <c r="AI74" s="954" t="e">
        <f t="shared" si="15"/>
        <v>#REF!</v>
      </c>
      <c r="AJ74" s="954">
        <f t="shared" si="16"/>
        <v>92.46</v>
      </c>
      <c r="AK74" s="954">
        <f t="shared" si="17"/>
        <v>0</v>
      </c>
      <c r="AL74" s="625"/>
    </row>
    <row r="75" spans="1:38" s="620" customFormat="1" ht="20.100000000000001" customHeight="1" x14ac:dyDescent="0.2">
      <c r="A75" s="759">
        <f t="shared" si="22"/>
        <v>31</v>
      </c>
      <c r="B75" s="957">
        <f>+NOMINA!C74</f>
        <v>10175616</v>
      </c>
      <c r="C75" s="958" t="str">
        <f>+NOMINA!D74</f>
        <v>Carrillo Prato Blanca Isabel</v>
      </c>
      <c r="D75" s="955" t="s">
        <v>4622</v>
      </c>
      <c r="E75" s="959">
        <v>32351</v>
      </c>
      <c r="F75" s="955" t="s">
        <v>4620</v>
      </c>
      <c r="G75" s="971">
        <f>+NOMINA!H74</f>
        <v>44228</v>
      </c>
      <c r="H75" s="961">
        <f t="shared" si="18"/>
        <v>1</v>
      </c>
      <c r="I75" s="962">
        <v>0</v>
      </c>
      <c r="J75" s="968">
        <f>+NOMINA!BL74</f>
        <v>26.96</v>
      </c>
      <c r="K75" s="968">
        <f>+NOMINA!BM74</f>
        <v>3.37</v>
      </c>
      <c r="L75" s="968">
        <f>+NOMINA!BN74</f>
        <v>5.84</v>
      </c>
      <c r="M75" s="963">
        <f t="shared" si="19"/>
        <v>36.17</v>
      </c>
      <c r="N75" s="968">
        <f>+NOMINA!BR74</f>
        <v>60.65</v>
      </c>
      <c r="O75" s="968">
        <f>+NOMINA!BS74</f>
        <v>13.48</v>
      </c>
      <c r="P75" s="968">
        <f>+NOMINA!BT74</f>
        <v>11.68</v>
      </c>
      <c r="Q75" s="963">
        <f t="shared" si="20"/>
        <v>85.81</v>
      </c>
      <c r="R75" s="963">
        <f t="shared" si="21"/>
        <v>121.98</v>
      </c>
      <c r="S75" s="972">
        <v>0</v>
      </c>
      <c r="T75" s="443" t="e">
        <f>#REF!+#REF!-M75</f>
        <v>#REF!</v>
      </c>
      <c r="U75" s="952" t="e">
        <f>ROUND((#REF!+#REF!+#REF!+#REF!+#REF!+#REF!+#REF!+#REF!+#REF!),2)</f>
        <v>#REF!</v>
      </c>
      <c r="Y75" s="953" t="e">
        <f>#REF!+#REF!-M75</f>
        <v>#REF!</v>
      </c>
      <c r="Z75" s="954" t="e">
        <f>#REF!</f>
        <v>#REF!</v>
      </c>
      <c r="AA75" s="953" t="e">
        <f>#REF!+#REF!</f>
        <v>#REF!</v>
      </c>
      <c r="AB75" s="954" t="e">
        <f>#REF!</f>
        <v>#REF!</v>
      </c>
      <c r="AC75" s="955">
        <v>0</v>
      </c>
      <c r="AD75" s="954" t="e">
        <f>#REF!</f>
        <v>#REF!</v>
      </c>
      <c r="AE75" s="956" t="e">
        <f>#REF!+#REF!</f>
        <v>#REF!</v>
      </c>
      <c r="AF75" s="956" t="e">
        <f>#REF!+#REF!</f>
        <v>#REF!</v>
      </c>
      <c r="AG75" s="956"/>
      <c r="AH75" s="954" t="e">
        <f>#REF!</f>
        <v>#REF!</v>
      </c>
      <c r="AI75" s="954" t="e">
        <f t="shared" si="15"/>
        <v>#REF!</v>
      </c>
      <c r="AJ75" s="954">
        <f t="shared" si="16"/>
        <v>121.98</v>
      </c>
      <c r="AK75" s="954">
        <f t="shared" si="17"/>
        <v>0</v>
      </c>
      <c r="AL75" s="625"/>
    </row>
    <row r="76" spans="1:38" s="620" customFormat="1" ht="20.100000000000001" customHeight="1" x14ac:dyDescent="0.2">
      <c r="A76" s="759">
        <f t="shared" si="22"/>
        <v>32</v>
      </c>
      <c r="B76" s="957">
        <f>+NOMINA!C75</f>
        <v>10257016</v>
      </c>
      <c r="C76" s="958" t="str">
        <f>+NOMINA!D75</f>
        <v>Torres Dulma Ramona</v>
      </c>
      <c r="D76" s="955" t="s">
        <v>4622</v>
      </c>
      <c r="E76" s="959">
        <v>32351</v>
      </c>
      <c r="F76" s="955" t="s">
        <v>4620</v>
      </c>
      <c r="G76" s="971">
        <f>+NOMINA!H75</f>
        <v>35947</v>
      </c>
      <c r="H76" s="961">
        <f t="shared" si="18"/>
        <v>24</v>
      </c>
      <c r="I76" s="962">
        <v>0</v>
      </c>
      <c r="J76" s="968">
        <f>+NOMINA!BL75</f>
        <v>29.03</v>
      </c>
      <c r="K76" s="968">
        <f>+NOMINA!BM75</f>
        <v>3.63</v>
      </c>
      <c r="L76" s="968">
        <f>+NOMINA!BN75</f>
        <v>6.29</v>
      </c>
      <c r="M76" s="963">
        <f t="shared" si="19"/>
        <v>38.950000000000003</v>
      </c>
      <c r="N76" s="968">
        <f>+NOMINA!BR75</f>
        <v>65.31</v>
      </c>
      <c r="O76" s="968">
        <f>+NOMINA!BS75</f>
        <v>14.51</v>
      </c>
      <c r="P76" s="968">
        <f>+NOMINA!BT75</f>
        <v>12.58</v>
      </c>
      <c r="Q76" s="963">
        <f t="shared" si="20"/>
        <v>92.4</v>
      </c>
      <c r="R76" s="963">
        <f t="shared" si="21"/>
        <v>131.35000000000002</v>
      </c>
      <c r="S76" s="972">
        <v>0</v>
      </c>
      <c r="T76" s="443" t="e">
        <f>#REF!+#REF!-M76</f>
        <v>#REF!</v>
      </c>
      <c r="U76" s="952" t="e">
        <f>ROUND((#REF!+#REF!+#REF!+#REF!+#REF!+#REF!+#REF!+#REF!+#REF!),2)</f>
        <v>#REF!</v>
      </c>
      <c r="Y76" s="953" t="e">
        <f>#REF!+#REF!-M76</f>
        <v>#REF!</v>
      </c>
      <c r="Z76" s="954" t="e">
        <f>#REF!</f>
        <v>#REF!</v>
      </c>
      <c r="AA76" s="953" t="e">
        <f>#REF!+#REF!</f>
        <v>#REF!</v>
      </c>
      <c r="AB76" s="954" t="e">
        <f>#REF!</f>
        <v>#REF!</v>
      </c>
      <c r="AC76" s="955">
        <v>0</v>
      </c>
      <c r="AD76" s="954" t="e">
        <f>#REF!</f>
        <v>#REF!</v>
      </c>
      <c r="AE76" s="956" t="e">
        <f>#REF!+#REF!</f>
        <v>#REF!</v>
      </c>
      <c r="AF76" s="956" t="e">
        <f>#REF!+#REF!</f>
        <v>#REF!</v>
      </c>
      <c r="AG76" s="956"/>
      <c r="AH76" s="954" t="e">
        <f>#REF!</f>
        <v>#REF!</v>
      </c>
      <c r="AI76" s="954" t="e">
        <f t="shared" si="15"/>
        <v>#REF!</v>
      </c>
      <c r="AJ76" s="954">
        <f t="shared" si="16"/>
        <v>131.35000000000002</v>
      </c>
      <c r="AK76" s="954">
        <f t="shared" si="17"/>
        <v>0</v>
      </c>
      <c r="AL76" s="625"/>
    </row>
    <row r="77" spans="1:38" s="620" customFormat="1" ht="20.100000000000001" customHeight="1" x14ac:dyDescent="0.2">
      <c r="A77" s="759">
        <f t="shared" si="22"/>
        <v>33</v>
      </c>
      <c r="B77" s="957">
        <f>+NOMINA!C76</f>
        <v>10315803</v>
      </c>
      <c r="C77" s="958" t="str">
        <f>+NOMINA!D76</f>
        <v>Frias Jacson Daniel</v>
      </c>
      <c r="D77" s="955" t="s">
        <v>4622</v>
      </c>
      <c r="E77" s="959">
        <v>32351</v>
      </c>
      <c r="F77" s="955" t="s">
        <v>4620</v>
      </c>
      <c r="G77" s="971">
        <f>+NOMINA!H76</f>
        <v>35415</v>
      </c>
      <c r="H77" s="961">
        <f t="shared" si="18"/>
        <v>26</v>
      </c>
      <c r="I77" s="962">
        <v>0</v>
      </c>
      <c r="J77" s="968">
        <f>+NOMINA!BL76</f>
        <v>21.61</v>
      </c>
      <c r="K77" s="968">
        <f>+NOMINA!BM76</f>
        <v>2.7</v>
      </c>
      <c r="L77" s="968">
        <f>+NOMINA!BN76</f>
        <v>4.68</v>
      </c>
      <c r="M77" s="963">
        <f t="shared" si="19"/>
        <v>28.99</v>
      </c>
      <c r="N77" s="968">
        <f>+NOMINA!BR76</f>
        <v>48.61</v>
      </c>
      <c r="O77" s="968">
        <f>+NOMINA!BS76</f>
        <v>10.8</v>
      </c>
      <c r="P77" s="968">
        <f>+NOMINA!BT76</f>
        <v>9.36</v>
      </c>
      <c r="Q77" s="963">
        <f t="shared" si="20"/>
        <v>68.77</v>
      </c>
      <c r="R77" s="963">
        <f t="shared" si="21"/>
        <v>97.759999999999991</v>
      </c>
      <c r="S77" s="972">
        <v>0</v>
      </c>
      <c r="T77" s="443" t="e">
        <f>#REF!+#REF!-M77</f>
        <v>#REF!</v>
      </c>
      <c r="U77" s="952" t="e">
        <f>ROUND((#REF!+#REF!+#REF!+#REF!+#REF!+#REF!+#REF!+#REF!+#REF!),2)</f>
        <v>#REF!</v>
      </c>
      <c r="Y77" s="953" t="e">
        <f>#REF!+#REF!-M77</f>
        <v>#REF!</v>
      </c>
      <c r="Z77" s="954" t="e">
        <f>#REF!</f>
        <v>#REF!</v>
      </c>
      <c r="AA77" s="953" t="e">
        <f>#REF!+#REF!</f>
        <v>#REF!</v>
      </c>
      <c r="AB77" s="954" t="e">
        <f>#REF!</f>
        <v>#REF!</v>
      </c>
      <c r="AC77" s="955">
        <v>0</v>
      </c>
      <c r="AD77" s="954" t="e">
        <f>#REF!</f>
        <v>#REF!</v>
      </c>
      <c r="AE77" s="956" t="e">
        <f>#REF!+#REF!</f>
        <v>#REF!</v>
      </c>
      <c r="AF77" s="956" t="e">
        <f>#REF!+#REF!</f>
        <v>#REF!</v>
      </c>
      <c r="AG77" s="956"/>
      <c r="AH77" s="954" t="e">
        <f>#REF!</f>
        <v>#REF!</v>
      </c>
      <c r="AI77" s="954" t="e">
        <f t="shared" si="15"/>
        <v>#REF!</v>
      </c>
      <c r="AJ77" s="954">
        <f t="shared" si="16"/>
        <v>97.759999999999991</v>
      </c>
      <c r="AK77" s="954">
        <f t="shared" si="17"/>
        <v>0</v>
      </c>
      <c r="AL77" s="625"/>
    </row>
    <row r="78" spans="1:38" s="620" customFormat="1" ht="20.100000000000001" customHeight="1" x14ac:dyDescent="0.2">
      <c r="A78" s="759">
        <f t="shared" si="22"/>
        <v>34</v>
      </c>
      <c r="B78" s="957">
        <f>+NOMINA!C77</f>
        <v>10319457</v>
      </c>
      <c r="C78" s="958" t="str">
        <f>+NOMINA!D77</f>
        <v>Marquez Marquez Maribel del Valle</v>
      </c>
      <c r="D78" s="955" t="s">
        <v>4622</v>
      </c>
      <c r="E78" s="959">
        <v>32351</v>
      </c>
      <c r="F78" s="955" t="s">
        <v>4620</v>
      </c>
      <c r="G78" s="971">
        <f>+NOMINA!H77</f>
        <v>38831</v>
      </c>
      <c r="H78" s="961">
        <f t="shared" si="18"/>
        <v>16</v>
      </c>
      <c r="I78" s="962">
        <v>0</v>
      </c>
      <c r="J78" s="968">
        <f>+NOMINA!BL77</f>
        <v>16.739999999999998</v>
      </c>
      <c r="K78" s="968">
        <f>+NOMINA!BM77</f>
        <v>2.09</v>
      </c>
      <c r="L78" s="968">
        <f>+NOMINA!BN77</f>
        <v>3.63</v>
      </c>
      <c r="M78" s="963">
        <f t="shared" si="19"/>
        <v>22.46</v>
      </c>
      <c r="N78" s="968">
        <f>+NOMINA!BR77</f>
        <v>37.659999999999997</v>
      </c>
      <c r="O78" s="968">
        <f>+NOMINA!BS77</f>
        <v>8.3699999999999992</v>
      </c>
      <c r="P78" s="968">
        <f>+NOMINA!BT77</f>
        <v>7.26</v>
      </c>
      <c r="Q78" s="963">
        <f t="shared" si="20"/>
        <v>53.29</v>
      </c>
      <c r="R78" s="963">
        <f t="shared" si="21"/>
        <v>75.75</v>
      </c>
      <c r="S78" s="972">
        <v>0</v>
      </c>
      <c r="T78" s="443" t="e">
        <f>#REF!+#REF!-M78</f>
        <v>#REF!</v>
      </c>
      <c r="U78" s="952" t="e">
        <f>ROUND((#REF!+#REF!+#REF!+#REF!+#REF!+#REF!+#REF!+#REF!+#REF!),2)</f>
        <v>#REF!</v>
      </c>
      <c r="Y78" s="953" t="e">
        <f>#REF!+#REF!-M78</f>
        <v>#REF!</v>
      </c>
      <c r="Z78" s="954" t="e">
        <f>#REF!</f>
        <v>#REF!</v>
      </c>
      <c r="AA78" s="953" t="e">
        <f>#REF!+#REF!</f>
        <v>#REF!</v>
      </c>
      <c r="AB78" s="954" t="e">
        <f>#REF!</f>
        <v>#REF!</v>
      </c>
      <c r="AC78" s="955">
        <v>0</v>
      </c>
      <c r="AD78" s="954" t="e">
        <f>#REF!</f>
        <v>#REF!</v>
      </c>
      <c r="AE78" s="956" t="e">
        <f>#REF!+#REF!</f>
        <v>#REF!</v>
      </c>
      <c r="AF78" s="956" t="e">
        <f>#REF!+#REF!</f>
        <v>#REF!</v>
      </c>
      <c r="AG78" s="956"/>
      <c r="AH78" s="954" t="e">
        <f>#REF!</f>
        <v>#REF!</v>
      </c>
      <c r="AI78" s="954" t="e">
        <f t="shared" si="15"/>
        <v>#REF!</v>
      </c>
      <c r="AJ78" s="954">
        <f t="shared" si="16"/>
        <v>75.75</v>
      </c>
      <c r="AK78" s="954">
        <f t="shared" si="17"/>
        <v>0</v>
      </c>
      <c r="AL78" s="625"/>
    </row>
    <row r="79" spans="1:38" s="620" customFormat="1" ht="20.100000000000001" customHeight="1" x14ac:dyDescent="0.2">
      <c r="A79" s="759">
        <f t="shared" si="22"/>
        <v>35</v>
      </c>
      <c r="B79" s="957">
        <f>+NOMINA!C78</f>
        <v>10396379</v>
      </c>
      <c r="C79" s="958" t="str">
        <f>+NOMINA!D78</f>
        <v>Ruiz Luis Alfonzo</v>
      </c>
      <c r="D79" s="955" t="s">
        <v>4622</v>
      </c>
      <c r="E79" s="959">
        <v>32351</v>
      </c>
      <c r="F79" s="955" t="s">
        <v>4620</v>
      </c>
      <c r="G79" s="971">
        <f>+NOMINA!H78</f>
        <v>44743</v>
      </c>
      <c r="H79" s="961">
        <f t="shared" si="18"/>
        <v>0</v>
      </c>
      <c r="I79" s="962">
        <v>0</v>
      </c>
      <c r="J79" s="968">
        <f>+NOMINA!BL78</f>
        <v>13.13</v>
      </c>
      <c r="K79" s="968">
        <f>+NOMINA!BM78</f>
        <v>1.64</v>
      </c>
      <c r="L79" s="968">
        <f>+NOMINA!BN78</f>
        <v>2.85</v>
      </c>
      <c r="M79" s="963">
        <f t="shared" si="19"/>
        <v>17.62</v>
      </c>
      <c r="N79" s="968">
        <f>+NOMINA!BR78</f>
        <v>29.54</v>
      </c>
      <c r="O79" s="968">
        <f>+NOMINA!BS78</f>
        <v>6.57</v>
      </c>
      <c r="P79" s="968">
        <f>+NOMINA!BT78</f>
        <v>5.7</v>
      </c>
      <c r="Q79" s="963">
        <f t="shared" si="20"/>
        <v>41.81</v>
      </c>
      <c r="R79" s="963">
        <f t="shared" si="21"/>
        <v>59.430000000000007</v>
      </c>
      <c r="S79" s="972">
        <v>0</v>
      </c>
      <c r="T79" s="443" t="e">
        <f>#REF!+#REF!-M79</f>
        <v>#REF!</v>
      </c>
      <c r="U79" s="952" t="e">
        <f>ROUND((#REF!+#REF!+#REF!+#REF!+#REF!+#REF!+#REF!+#REF!+#REF!),2)</f>
        <v>#REF!</v>
      </c>
      <c r="Y79" s="953" t="e">
        <f>#REF!+#REF!-M79</f>
        <v>#REF!</v>
      </c>
      <c r="Z79" s="954" t="e">
        <f>#REF!</f>
        <v>#REF!</v>
      </c>
      <c r="AA79" s="953" t="e">
        <f>#REF!+#REF!</f>
        <v>#REF!</v>
      </c>
      <c r="AB79" s="954" t="e">
        <f>#REF!</f>
        <v>#REF!</v>
      </c>
      <c r="AC79" s="955">
        <v>0</v>
      </c>
      <c r="AD79" s="954" t="e">
        <f>#REF!</f>
        <v>#REF!</v>
      </c>
      <c r="AE79" s="956" t="e">
        <f>#REF!+#REF!</f>
        <v>#REF!</v>
      </c>
      <c r="AF79" s="956" t="e">
        <f>#REF!+#REF!</f>
        <v>#REF!</v>
      </c>
      <c r="AG79" s="956"/>
      <c r="AH79" s="954" t="e">
        <f>#REF!</f>
        <v>#REF!</v>
      </c>
      <c r="AI79" s="954" t="e">
        <f t="shared" si="15"/>
        <v>#REF!</v>
      </c>
      <c r="AJ79" s="954">
        <f t="shared" si="16"/>
        <v>59.430000000000007</v>
      </c>
      <c r="AK79" s="954">
        <f t="shared" si="17"/>
        <v>0</v>
      </c>
      <c r="AL79" s="625"/>
    </row>
    <row r="80" spans="1:38" s="620" customFormat="1" ht="20.100000000000001" customHeight="1" x14ac:dyDescent="0.2">
      <c r="A80" s="759">
        <f t="shared" si="22"/>
        <v>36</v>
      </c>
      <c r="B80" s="957">
        <f>+NOMINA!C79</f>
        <v>10398694</v>
      </c>
      <c r="C80" s="958" t="str">
        <f>+NOMINA!D79</f>
        <v>Santana Briceño Jose Gregorio</v>
      </c>
      <c r="D80" s="955" t="s">
        <v>4622</v>
      </c>
      <c r="E80" s="959">
        <v>32351</v>
      </c>
      <c r="F80" s="955" t="s">
        <v>4620</v>
      </c>
      <c r="G80" s="971">
        <f>+NOMINA!H79</f>
        <v>44743</v>
      </c>
      <c r="H80" s="961">
        <f t="shared" si="18"/>
        <v>0</v>
      </c>
      <c r="I80" s="962">
        <v>0</v>
      </c>
      <c r="J80" s="968">
        <f>+NOMINA!BL79</f>
        <v>30.7</v>
      </c>
      <c r="K80" s="968">
        <f>+NOMINA!BM79</f>
        <v>3.84</v>
      </c>
      <c r="L80" s="968">
        <f>+NOMINA!BN79</f>
        <v>6.65</v>
      </c>
      <c r="M80" s="963">
        <f t="shared" si="19"/>
        <v>41.19</v>
      </c>
      <c r="N80" s="968">
        <f>+NOMINA!BR79</f>
        <v>69.08</v>
      </c>
      <c r="O80" s="968">
        <f>+NOMINA!BS79</f>
        <v>15.35</v>
      </c>
      <c r="P80" s="968">
        <f>+NOMINA!BT79</f>
        <v>13.3</v>
      </c>
      <c r="Q80" s="963">
        <f t="shared" si="20"/>
        <v>97.73</v>
      </c>
      <c r="R80" s="963">
        <f t="shared" si="21"/>
        <v>138.92000000000002</v>
      </c>
      <c r="S80" s="972">
        <v>0</v>
      </c>
      <c r="T80" s="443" t="e">
        <f>#REF!+#REF!-M80</f>
        <v>#REF!</v>
      </c>
      <c r="U80" s="952" t="e">
        <f>ROUND((#REF!+#REF!+#REF!+#REF!+#REF!+#REF!+#REF!+#REF!+#REF!),2)</f>
        <v>#REF!</v>
      </c>
      <c r="Y80" s="953" t="e">
        <f>#REF!+#REF!-M80</f>
        <v>#REF!</v>
      </c>
      <c r="Z80" s="954" t="e">
        <f>#REF!</f>
        <v>#REF!</v>
      </c>
      <c r="AA80" s="953" t="e">
        <f>#REF!+#REF!</f>
        <v>#REF!</v>
      </c>
      <c r="AB80" s="954" t="e">
        <f>#REF!</f>
        <v>#REF!</v>
      </c>
      <c r="AC80" s="955">
        <v>0</v>
      </c>
      <c r="AD80" s="954" t="e">
        <f>#REF!</f>
        <v>#REF!</v>
      </c>
      <c r="AE80" s="956" t="e">
        <f>#REF!+#REF!</f>
        <v>#REF!</v>
      </c>
      <c r="AF80" s="956" t="e">
        <f>#REF!+#REF!</f>
        <v>#REF!</v>
      </c>
      <c r="AG80" s="956"/>
      <c r="AH80" s="954" t="e">
        <f>#REF!</f>
        <v>#REF!</v>
      </c>
      <c r="AI80" s="954" t="e">
        <f t="shared" si="15"/>
        <v>#REF!</v>
      </c>
      <c r="AJ80" s="954">
        <f t="shared" si="16"/>
        <v>138.92000000000002</v>
      </c>
      <c r="AK80" s="954">
        <f t="shared" si="17"/>
        <v>0</v>
      </c>
      <c r="AL80" s="625"/>
    </row>
    <row r="81" spans="1:38" s="620" customFormat="1" ht="20.100000000000001" customHeight="1" x14ac:dyDescent="0.2">
      <c r="A81" s="759">
        <f t="shared" si="22"/>
        <v>37</v>
      </c>
      <c r="B81" s="957">
        <f>+NOMINA!C80</f>
        <v>10399064</v>
      </c>
      <c r="C81" s="958" t="str">
        <f>+NOMINA!D80</f>
        <v>Perdomo Perdomo Angela Aurora</v>
      </c>
      <c r="D81" s="955" t="s">
        <v>4622</v>
      </c>
      <c r="E81" s="959">
        <v>32351</v>
      </c>
      <c r="F81" s="955" t="s">
        <v>4620</v>
      </c>
      <c r="G81" s="971">
        <f>+NOMINA!H80</f>
        <v>39328</v>
      </c>
      <c r="H81" s="961">
        <f t="shared" si="18"/>
        <v>15</v>
      </c>
      <c r="I81" s="962">
        <v>0</v>
      </c>
      <c r="J81" s="968">
        <f>+NOMINA!BL80</f>
        <v>29.52</v>
      </c>
      <c r="K81" s="968">
        <f>+NOMINA!BM80</f>
        <v>3.69</v>
      </c>
      <c r="L81" s="968">
        <f>+NOMINA!BN80</f>
        <v>6.4</v>
      </c>
      <c r="M81" s="963">
        <f t="shared" si="19"/>
        <v>39.61</v>
      </c>
      <c r="N81" s="968">
        <f>+NOMINA!BR80</f>
        <v>66.42</v>
      </c>
      <c r="O81" s="968">
        <f>+NOMINA!BS80</f>
        <v>14.76</v>
      </c>
      <c r="P81" s="968">
        <f>+NOMINA!BT80</f>
        <v>12.8</v>
      </c>
      <c r="Q81" s="963">
        <f t="shared" si="20"/>
        <v>93.98</v>
      </c>
      <c r="R81" s="963">
        <f t="shared" si="21"/>
        <v>133.59</v>
      </c>
      <c r="S81" s="972">
        <v>0</v>
      </c>
      <c r="T81" s="443" t="e">
        <f>#REF!+#REF!-M81</f>
        <v>#REF!</v>
      </c>
      <c r="U81" s="952" t="e">
        <f>ROUND((#REF!+#REF!+#REF!+#REF!+#REF!+#REF!+#REF!+#REF!+#REF!),2)</f>
        <v>#REF!</v>
      </c>
      <c r="Y81" s="953" t="e">
        <f>#REF!+#REF!-M81</f>
        <v>#REF!</v>
      </c>
      <c r="Z81" s="954" t="e">
        <f>#REF!</f>
        <v>#REF!</v>
      </c>
      <c r="AA81" s="953" t="e">
        <f>#REF!+#REF!</f>
        <v>#REF!</v>
      </c>
      <c r="AB81" s="954" t="e">
        <f>#REF!</f>
        <v>#REF!</v>
      </c>
      <c r="AC81" s="955">
        <v>0</v>
      </c>
      <c r="AD81" s="954" t="e">
        <f>#REF!</f>
        <v>#REF!</v>
      </c>
      <c r="AE81" s="956" t="e">
        <f>#REF!+#REF!</f>
        <v>#REF!</v>
      </c>
      <c r="AF81" s="956" t="e">
        <f>#REF!+#REF!</f>
        <v>#REF!</v>
      </c>
      <c r="AG81" s="956"/>
      <c r="AH81" s="954" t="e">
        <f>#REF!</f>
        <v>#REF!</v>
      </c>
      <c r="AI81" s="954" t="e">
        <f t="shared" si="15"/>
        <v>#REF!</v>
      </c>
      <c r="AJ81" s="954">
        <f t="shared" si="16"/>
        <v>133.59</v>
      </c>
      <c r="AK81" s="954">
        <f t="shared" si="17"/>
        <v>0</v>
      </c>
      <c r="AL81" s="625"/>
    </row>
    <row r="82" spans="1:38" s="620" customFormat="1" ht="20.100000000000001" customHeight="1" x14ac:dyDescent="0.2">
      <c r="A82" s="759">
        <f t="shared" si="22"/>
        <v>38</v>
      </c>
      <c r="B82" s="957">
        <f>+NOMINA!C81</f>
        <v>10400214</v>
      </c>
      <c r="C82" s="958" t="str">
        <f>+NOMINA!D81</f>
        <v>Bastidas Yanitza del Valle</v>
      </c>
      <c r="D82" s="955" t="s">
        <v>4622</v>
      </c>
      <c r="E82" s="959">
        <v>32351</v>
      </c>
      <c r="F82" s="955" t="s">
        <v>4620</v>
      </c>
      <c r="G82" s="971">
        <f>+NOMINA!H81</f>
        <v>41153</v>
      </c>
      <c r="H82" s="961">
        <f t="shared" si="18"/>
        <v>10</v>
      </c>
      <c r="I82" s="962">
        <v>0</v>
      </c>
      <c r="J82" s="968">
        <f>+NOMINA!BL81</f>
        <v>28.02</v>
      </c>
      <c r="K82" s="968">
        <f>+NOMINA!BM81</f>
        <v>3.5</v>
      </c>
      <c r="L82" s="968">
        <f>+NOMINA!BN81</f>
        <v>6.07</v>
      </c>
      <c r="M82" s="963">
        <f t="shared" si="19"/>
        <v>37.590000000000003</v>
      </c>
      <c r="N82" s="968">
        <f>+NOMINA!BR81</f>
        <v>63.05</v>
      </c>
      <c r="O82" s="968">
        <f>+NOMINA!BS81</f>
        <v>14.01</v>
      </c>
      <c r="P82" s="968">
        <f>+NOMINA!BT81</f>
        <v>12.14</v>
      </c>
      <c r="Q82" s="963">
        <f t="shared" si="20"/>
        <v>89.2</v>
      </c>
      <c r="R82" s="963">
        <f t="shared" si="21"/>
        <v>126.79</v>
      </c>
      <c r="S82" s="972">
        <v>0</v>
      </c>
      <c r="T82" s="443" t="e">
        <f>#REF!+#REF!-M82</f>
        <v>#REF!</v>
      </c>
      <c r="U82" s="952" t="e">
        <f>ROUND((#REF!+#REF!+#REF!+#REF!+#REF!+#REF!+#REF!+#REF!+#REF!),2)</f>
        <v>#REF!</v>
      </c>
      <c r="Y82" s="953" t="e">
        <f>#REF!+#REF!-M82</f>
        <v>#REF!</v>
      </c>
      <c r="Z82" s="954" t="e">
        <f>#REF!</f>
        <v>#REF!</v>
      </c>
      <c r="AA82" s="953" t="e">
        <f>#REF!+#REF!</f>
        <v>#REF!</v>
      </c>
      <c r="AB82" s="954" t="e">
        <f>#REF!</f>
        <v>#REF!</v>
      </c>
      <c r="AC82" s="955">
        <v>0</v>
      </c>
      <c r="AD82" s="954" t="e">
        <f>#REF!</f>
        <v>#REF!</v>
      </c>
      <c r="AE82" s="956" t="e">
        <f>#REF!+#REF!</f>
        <v>#REF!</v>
      </c>
      <c r="AF82" s="956" t="e">
        <f>#REF!+#REF!</f>
        <v>#REF!</v>
      </c>
      <c r="AG82" s="956"/>
      <c r="AH82" s="954" t="e">
        <f>#REF!</f>
        <v>#REF!</v>
      </c>
      <c r="AI82" s="954" t="e">
        <f t="shared" si="15"/>
        <v>#REF!</v>
      </c>
      <c r="AJ82" s="954">
        <f t="shared" si="16"/>
        <v>126.79</v>
      </c>
      <c r="AK82" s="954">
        <f t="shared" si="17"/>
        <v>0</v>
      </c>
      <c r="AL82" s="625"/>
    </row>
    <row r="83" spans="1:38" s="620" customFormat="1" ht="20.100000000000001" customHeight="1" x14ac:dyDescent="0.2">
      <c r="A83" s="759">
        <f t="shared" si="22"/>
        <v>39</v>
      </c>
      <c r="B83" s="957">
        <f>+NOMINA!C82</f>
        <v>10400365</v>
      </c>
      <c r="C83" s="958" t="str">
        <f>+NOMINA!D82</f>
        <v>Briceño Ruiz Sara Josefina</v>
      </c>
      <c r="D83" s="955" t="s">
        <v>4622</v>
      </c>
      <c r="E83" s="959">
        <v>32351</v>
      </c>
      <c r="F83" s="955" t="s">
        <v>4620</v>
      </c>
      <c r="G83" s="971">
        <f>+NOMINA!H82</f>
        <v>39328</v>
      </c>
      <c r="H83" s="961">
        <f t="shared" si="18"/>
        <v>15</v>
      </c>
      <c r="I83" s="962">
        <v>0</v>
      </c>
      <c r="J83" s="968">
        <f>+NOMINA!BL82</f>
        <v>22.71</v>
      </c>
      <c r="K83" s="968">
        <f>+NOMINA!BM82</f>
        <v>2.84</v>
      </c>
      <c r="L83" s="968">
        <f>+NOMINA!BN82</f>
        <v>4.92</v>
      </c>
      <c r="M83" s="963">
        <f t="shared" si="19"/>
        <v>30.47</v>
      </c>
      <c r="N83" s="968">
        <f>+NOMINA!BR82</f>
        <v>51.09</v>
      </c>
      <c r="O83" s="968">
        <f>+NOMINA!BS82</f>
        <v>11.35</v>
      </c>
      <c r="P83" s="968">
        <f>+NOMINA!BT82</f>
        <v>9.84</v>
      </c>
      <c r="Q83" s="963">
        <f t="shared" si="20"/>
        <v>72.28</v>
      </c>
      <c r="R83" s="963">
        <f t="shared" si="21"/>
        <v>102.75</v>
      </c>
      <c r="S83" s="972">
        <v>0</v>
      </c>
      <c r="T83" s="443" t="e">
        <f>#REF!+#REF!-M83</f>
        <v>#REF!</v>
      </c>
      <c r="U83" s="952" t="e">
        <f>ROUND((#REF!+#REF!+#REF!+#REF!+#REF!+#REF!+#REF!+#REF!+#REF!),2)</f>
        <v>#REF!</v>
      </c>
      <c r="Y83" s="953" t="e">
        <f>#REF!+#REF!-M83</f>
        <v>#REF!</v>
      </c>
      <c r="Z83" s="954" t="e">
        <f>#REF!</f>
        <v>#REF!</v>
      </c>
      <c r="AA83" s="953" t="e">
        <f>#REF!+#REF!</f>
        <v>#REF!</v>
      </c>
      <c r="AB83" s="954" t="e">
        <f>#REF!</f>
        <v>#REF!</v>
      </c>
      <c r="AC83" s="955">
        <v>0</v>
      </c>
      <c r="AD83" s="954" t="e">
        <f>#REF!</f>
        <v>#REF!</v>
      </c>
      <c r="AE83" s="956" t="e">
        <f>#REF!+#REF!</f>
        <v>#REF!</v>
      </c>
      <c r="AF83" s="956" t="e">
        <f>#REF!+#REF!</f>
        <v>#REF!</v>
      </c>
      <c r="AG83" s="956"/>
      <c r="AH83" s="954" t="e">
        <f>#REF!</f>
        <v>#REF!</v>
      </c>
      <c r="AI83" s="954" t="e">
        <f t="shared" si="15"/>
        <v>#REF!</v>
      </c>
      <c r="AJ83" s="954">
        <f t="shared" si="16"/>
        <v>102.75</v>
      </c>
      <c r="AK83" s="954">
        <f t="shared" si="17"/>
        <v>0</v>
      </c>
      <c r="AL83" s="625"/>
    </row>
    <row r="84" spans="1:38" s="620" customFormat="1" ht="20.100000000000001" customHeight="1" x14ac:dyDescent="0.2">
      <c r="A84" s="759">
        <f t="shared" si="22"/>
        <v>40</v>
      </c>
      <c r="B84" s="957">
        <f>+NOMINA!C83</f>
        <v>10400876</v>
      </c>
      <c r="C84" s="958" t="str">
        <f>+NOMINA!D83</f>
        <v>Ramirez Vergara Graciela de Jesus</v>
      </c>
      <c r="D84" s="955" t="s">
        <v>4622</v>
      </c>
      <c r="E84" s="959">
        <v>32351</v>
      </c>
      <c r="F84" s="955" t="s">
        <v>4620</v>
      </c>
      <c r="G84" s="971">
        <f>+NOMINA!H83</f>
        <v>43556</v>
      </c>
      <c r="H84" s="961">
        <f t="shared" si="18"/>
        <v>3</v>
      </c>
      <c r="I84" s="962">
        <v>0</v>
      </c>
      <c r="J84" s="968">
        <f>+NOMINA!BL83</f>
        <v>22.17</v>
      </c>
      <c r="K84" s="968">
        <f>+NOMINA!BM83</f>
        <v>2.77</v>
      </c>
      <c r="L84" s="968">
        <f>+NOMINA!BN83</f>
        <v>4.8</v>
      </c>
      <c r="M84" s="963">
        <f t="shared" si="19"/>
        <v>29.74</v>
      </c>
      <c r="N84" s="968">
        <f>+NOMINA!BR83</f>
        <v>49.88</v>
      </c>
      <c r="O84" s="968">
        <f>+NOMINA!BS83</f>
        <v>11.09</v>
      </c>
      <c r="P84" s="968">
        <f>+NOMINA!BT83</f>
        <v>9.6</v>
      </c>
      <c r="Q84" s="963">
        <f t="shared" si="20"/>
        <v>70.569999999999993</v>
      </c>
      <c r="R84" s="963">
        <f t="shared" si="21"/>
        <v>100.30999999999999</v>
      </c>
      <c r="S84" s="972">
        <v>0</v>
      </c>
      <c r="T84" s="443" t="e">
        <f>#REF!+#REF!-M84</f>
        <v>#REF!</v>
      </c>
      <c r="U84" s="952" t="e">
        <f>ROUND((#REF!+#REF!+#REF!+#REF!+#REF!+#REF!+#REF!+#REF!+#REF!),2)</f>
        <v>#REF!</v>
      </c>
      <c r="Y84" s="953" t="e">
        <f>#REF!+#REF!-M84</f>
        <v>#REF!</v>
      </c>
      <c r="Z84" s="954" t="e">
        <f>#REF!</f>
        <v>#REF!</v>
      </c>
      <c r="AA84" s="953" t="e">
        <f>#REF!+#REF!</f>
        <v>#REF!</v>
      </c>
      <c r="AB84" s="954" t="e">
        <f>#REF!</f>
        <v>#REF!</v>
      </c>
      <c r="AC84" s="955">
        <v>0</v>
      </c>
      <c r="AD84" s="954" t="e">
        <f>#REF!</f>
        <v>#REF!</v>
      </c>
      <c r="AE84" s="956" t="e">
        <f>#REF!+#REF!</f>
        <v>#REF!</v>
      </c>
      <c r="AF84" s="956" t="e">
        <f>#REF!+#REF!</f>
        <v>#REF!</v>
      </c>
      <c r="AG84" s="956"/>
      <c r="AH84" s="954" t="e">
        <f>#REF!</f>
        <v>#REF!</v>
      </c>
      <c r="AI84" s="954" t="e">
        <f t="shared" si="15"/>
        <v>#REF!</v>
      </c>
      <c r="AJ84" s="954">
        <f t="shared" si="16"/>
        <v>100.30999999999999</v>
      </c>
      <c r="AK84" s="954">
        <f t="shared" si="17"/>
        <v>0</v>
      </c>
      <c r="AL84" s="625"/>
    </row>
    <row r="85" spans="1:38" s="620" customFormat="1" ht="20.100000000000001" customHeight="1" x14ac:dyDescent="0.2">
      <c r="A85" s="759">
        <f t="shared" si="22"/>
        <v>41</v>
      </c>
      <c r="B85" s="957">
        <f>+NOMINA!C84</f>
        <v>10404528</v>
      </c>
      <c r="C85" s="958" t="str">
        <f>+NOMINA!D84</f>
        <v>Perez Castellano Javier Horacio</v>
      </c>
      <c r="D85" s="955" t="s">
        <v>4622</v>
      </c>
      <c r="E85" s="959">
        <v>32351</v>
      </c>
      <c r="F85" s="955" t="s">
        <v>4620</v>
      </c>
      <c r="G85" s="971">
        <f>+NOMINA!H84</f>
        <v>37622</v>
      </c>
      <c r="H85" s="961">
        <f t="shared" si="18"/>
        <v>19</v>
      </c>
      <c r="I85" s="962">
        <v>0</v>
      </c>
      <c r="J85" s="968">
        <f>+NOMINA!BL84</f>
        <v>0</v>
      </c>
      <c r="K85" s="968">
        <f>+NOMINA!BM84</f>
        <v>0</v>
      </c>
      <c r="L85" s="968">
        <f>+NOMINA!BN84</f>
        <v>0</v>
      </c>
      <c r="M85" s="963">
        <f t="shared" si="19"/>
        <v>0</v>
      </c>
      <c r="N85" s="968">
        <f>+NOMINA!BR84</f>
        <v>0</v>
      </c>
      <c r="O85" s="968">
        <f>+NOMINA!BS84</f>
        <v>0</v>
      </c>
      <c r="P85" s="968">
        <f>+NOMINA!BT84</f>
        <v>0</v>
      </c>
      <c r="Q85" s="963">
        <f t="shared" si="20"/>
        <v>0</v>
      </c>
      <c r="R85" s="963">
        <f t="shared" si="21"/>
        <v>0</v>
      </c>
      <c r="S85" s="972">
        <v>0</v>
      </c>
      <c r="T85" s="443" t="e">
        <f>#REF!+#REF!-M85</f>
        <v>#REF!</v>
      </c>
      <c r="U85" s="952" t="e">
        <f>ROUND((#REF!+#REF!+#REF!+#REF!+#REF!+#REF!+#REF!+#REF!+#REF!),2)</f>
        <v>#REF!</v>
      </c>
      <c r="Y85" s="953" t="e">
        <f>#REF!+#REF!-M85</f>
        <v>#REF!</v>
      </c>
      <c r="Z85" s="954" t="e">
        <f>#REF!</f>
        <v>#REF!</v>
      </c>
      <c r="AA85" s="953" t="e">
        <f>#REF!+#REF!</f>
        <v>#REF!</v>
      </c>
      <c r="AB85" s="954" t="e">
        <f>#REF!</f>
        <v>#REF!</v>
      </c>
      <c r="AC85" s="955">
        <v>0</v>
      </c>
      <c r="AD85" s="954" t="e">
        <f>#REF!</f>
        <v>#REF!</v>
      </c>
      <c r="AE85" s="956" t="e">
        <f>#REF!+#REF!</f>
        <v>#REF!</v>
      </c>
      <c r="AF85" s="956" t="e">
        <f>#REF!+#REF!</f>
        <v>#REF!</v>
      </c>
      <c r="AG85" s="956"/>
      <c r="AH85" s="954" t="e">
        <f>#REF!</f>
        <v>#REF!</v>
      </c>
      <c r="AI85" s="954" t="e">
        <f t="shared" si="15"/>
        <v>#REF!</v>
      </c>
      <c r="AJ85" s="954">
        <f t="shared" si="16"/>
        <v>0</v>
      </c>
      <c r="AK85" s="954">
        <f t="shared" si="17"/>
        <v>0</v>
      </c>
      <c r="AL85" s="625"/>
    </row>
    <row r="86" spans="1:38" s="620" customFormat="1" ht="20.100000000000001" customHeight="1" x14ac:dyDescent="0.2">
      <c r="A86" s="759">
        <f t="shared" si="22"/>
        <v>42</v>
      </c>
      <c r="B86" s="957">
        <f>+NOMINA!C85</f>
        <v>10906110</v>
      </c>
      <c r="C86" s="958" t="str">
        <f>+NOMINA!D85</f>
        <v>Linares Prato Yraima Gregoria</v>
      </c>
      <c r="D86" s="955" t="s">
        <v>4622</v>
      </c>
      <c r="E86" s="959">
        <v>32351</v>
      </c>
      <c r="F86" s="955" t="s">
        <v>4620</v>
      </c>
      <c r="G86" s="971">
        <f>+NOMINA!H85</f>
        <v>45292</v>
      </c>
      <c r="H86" s="961">
        <f t="shared" si="18"/>
        <v>0</v>
      </c>
      <c r="I86" s="962">
        <v>0</v>
      </c>
      <c r="J86" s="968">
        <f>+NOMINA!BL85</f>
        <v>15.68</v>
      </c>
      <c r="K86" s="968">
        <f>+NOMINA!BM85</f>
        <v>1.96</v>
      </c>
      <c r="L86" s="968">
        <f>+NOMINA!BN85</f>
        <v>3.4</v>
      </c>
      <c r="M86" s="963">
        <f t="shared" si="19"/>
        <v>21.04</v>
      </c>
      <c r="N86" s="968">
        <f>+NOMINA!BR85</f>
        <v>35.28</v>
      </c>
      <c r="O86" s="968">
        <f>+NOMINA!BS85</f>
        <v>7.84</v>
      </c>
      <c r="P86" s="968">
        <f>+NOMINA!BT85</f>
        <v>6.8</v>
      </c>
      <c r="Q86" s="963">
        <f t="shared" si="20"/>
        <v>49.92</v>
      </c>
      <c r="R86" s="963">
        <f t="shared" si="21"/>
        <v>70.960000000000008</v>
      </c>
      <c r="S86" s="972">
        <v>0</v>
      </c>
      <c r="T86" s="443" t="e">
        <f>#REF!+#REF!-M86</f>
        <v>#REF!</v>
      </c>
      <c r="U86" s="952" t="e">
        <f>ROUND((#REF!+#REF!+#REF!+#REF!+#REF!+#REF!+#REF!+#REF!+#REF!),2)</f>
        <v>#REF!</v>
      </c>
      <c r="Y86" s="953" t="e">
        <f>#REF!+#REF!-M86</f>
        <v>#REF!</v>
      </c>
      <c r="Z86" s="954" t="e">
        <f>#REF!</f>
        <v>#REF!</v>
      </c>
      <c r="AA86" s="953" t="e">
        <f>#REF!+#REF!</f>
        <v>#REF!</v>
      </c>
      <c r="AB86" s="954" t="e">
        <f>#REF!</f>
        <v>#REF!</v>
      </c>
      <c r="AC86" s="955">
        <v>0</v>
      </c>
      <c r="AD86" s="954" t="e">
        <f>#REF!</f>
        <v>#REF!</v>
      </c>
      <c r="AE86" s="956" t="e">
        <f>#REF!+#REF!</f>
        <v>#REF!</v>
      </c>
      <c r="AF86" s="956" t="e">
        <f>#REF!+#REF!</f>
        <v>#REF!</v>
      </c>
      <c r="AG86" s="956"/>
      <c r="AH86" s="954" t="e">
        <f>#REF!</f>
        <v>#REF!</v>
      </c>
      <c r="AI86" s="954" t="e">
        <f t="shared" si="15"/>
        <v>#REF!</v>
      </c>
      <c r="AJ86" s="954">
        <f t="shared" si="16"/>
        <v>70.960000000000008</v>
      </c>
      <c r="AK86" s="954">
        <f t="shared" si="17"/>
        <v>0</v>
      </c>
      <c r="AL86" s="625"/>
    </row>
    <row r="87" spans="1:38" s="620" customFormat="1" ht="20.100000000000001" customHeight="1" x14ac:dyDescent="0.2">
      <c r="A87" s="759">
        <f t="shared" si="22"/>
        <v>43</v>
      </c>
      <c r="B87" s="957">
        <f>+NOMINA!C86</f>
        <v>10906923</v>
      </c>
      <c r="C87" s="958" t="str">
        <f>+NOMINA!D86</f>
        <v>Cruz de Rodriguez Yanet Coromoto</v>
      </c>
      <c r="D87" s="955" t="s">
        <v>4622</v>
      </c>
      <c r="E87" s="959">
        <v>32351</v>
      </c>
      <c r="F87" s="955" t="s">
        <v>4620</v>
      </c>
      <c r="G87" s="971">
        <f>+NOMINA!H86</f>
        <v>44636</v>
      </c>
      <c r="H87" s="961">
        <f t="shared" si="18"/>
        <v>0</v>
      </c>
      <c r="I87" s="962">
        <v>0</v>
      </c>
      <c r="J87" s="968">
        <f>+NOMINA!BL86</f>
        <v>20.39</v>
      </c>
      <c r="K87" s="968">
        <f>+NOMINA!BM86</f>
        <v>2.5499999999999998</v>
      </c>
      <c r="L87" s="968">
        <f>+NOMINA!BN86</f>
        <v>4.42</v>
      </c>
      <c r="M87" s="963">
        <f t="shared" si="19"/>
        <v>27.36</v>
      </c>
      <c r="N87" s="968">
        <f>+NOMINA!BR86</f>
        <v>45.87</v>
      </c>
      <c r="O87" s="968">
        <f>+NOMINA!BS86</f>
        <v>10.19</v>
      </c>
      <c r="P87" s="968">
        <f>+NOMINA!BT86</f>
        <v>8.84</v>
      </c>
      <c r="Q87" s="963">
        <f t="shared" si="20"/>
        <v>64.900000000000006</v>
      </c>
      <c r="R87" s="963">
        <f t="shared" si="21"/>
        <v>92.26</v>
      </c>
      <c r="S87" s="972">
        <v>0</v>
      </c>
      <c r="T87" s="443" t="e">
        <f>#REF!+#REF!-M87</f>
        <v>#REF!</v>
      </c>
      <c r="U87" s="952" t="e">
        <f>ROUND((#REF!+#REF!+#REF!+#REF!+#REF!+#REF!+#REF!+#REF!+#REF!),2)</f>
        <v>#REF!</v>
      </c>
      <c r="Y87" s="953" t="e">
        <f>#REF!+#REF!-M87</f>
        <v>#REF!</v>
      </c>
      <c r="Z87" s="954" t="e">
        <f>#REF!</f>
        <v>#REF!</v>
      </c>
      <c r="AA87" s="953" t="e">
        <f>#REF!+#REF!</f>
        <v>#REF!</v>
      </c>
      <c r="AB87" s="954" t="e">
        <f>#REF!</f>
        <v>#REF!</v>
      </c>
      <c r="AC87" s="955">
        <v>0</v>
      </c>
      <c r="AD87" s="954" t="e">
        <f>#REF!</f>
        <v>#REF!</v>
      </c>
      <c r="AE87" s="956" t="e">
        <f>#REF!+#REF!</f>
        <v>#REF!</v>
      </c>
      <c r="AF87" s="956" t="e">
        <f>#REF!+#REF!</f>
        <v>#REF!</v>
      </c>
      <c r="AG87" s="956"/>
      <c r="AH87" s="954" t="e">
        <f>#REF!</f>
        <v>#REF!</v>
      </c>
      <c r="AI87" s="954" t="e">
        <f t="shared" si="15"/>
        <v>#REF!</v>
      </c>
      <c r="AJ87" s="954">
        <f t="shared" si="16"/>
        <v>92.26</v>
      </c>
      <c r="AK87" s="954">
        <f t="shared" si="17"/>
        <v>0</v>
      </c>
      <c r="AL87" s="625"/>
    </row>
    <row r="88" spans="1:38" s="620" customFormat="1" ht="20.100000000000001" customHeight="1" x14ac:dyDescent="0.2">
      <c r="A88" s="759">
        <f t="shared" si="22"/>
        <v>44</v>
      </c>
      <c r="B88" s="957">
        <f>+NOMINA!C87</f>
        <v>10908510</v>
      </c>
      <c r="C88" s="958" t="str">
        <f>+NOMINA!D87</f>
        <v>Castro de Vielma Yanira Rosa</v>
      </c>
      <c r="D88" s="955" t="s">
        <v>4622</v>
      </c>
      <c r="E88" s="959">
        <v>32351</v>
      </c>
      <c r="F88" s="955" t="s">
        <v>4620</v>
      </c>
      <c r="G88" s="971">
        <f>+NOMINA!H87</f>
        <v>39874</v>
      </c>
      <c r="H88" s="961">
        <f t="shared" si="18"/>
        <v>13</v>
      </c>
      <c r="I88" s="962">
        <v>0</v>
      </c>
      <c r="J88" s="968">
        <f>+NOMINA!BL87</f>
        <v>28.96</v>
      </c>
      <c r="K88" s="968">
        <f>+NOMINA!BM87</f>
        <v>3.62</v>
      </c>
      <c r="L88" s="968">
        <f>+NOMINA!BN87</f>
        <v>6.27</v>
      </c>
      <c r="M88" s="963">
        <f t="shared" si="19"/>
        <v>38.85</v>
      </c>
      <c r="N88" s="968">
        <f>+NOMINA!BR87</f>
        <v>65.16</v>
      </c>
      <c r="O88" s="968">
        <f>+NOMINA!BS87</f>
        <v>14.48</v>
      </c>
      <c r="P88" s="968">
        <f>+NOMINA!BT87</f>
        <v>12.54</v>
      </c>
      <c r="Q88" s="963">
        <f t="shared" si="20"/>
        <v>92.18</v>
      </c>
      <c r="R88" s="963">
        <f t="shared" si="21"/>
        <v>131.03</v>
      </c>
      <c r="S88" s="972">
        <v>0</v>
      </c>
      <c r="T88" s="443" t="e">
        <f>#REF!+#REF!-M88</f>
        <v>#REF!</v>
      </c>
      <c r="U88" s="952" t="e">
        <f>ROUND((#REF!+#REF!+#REF!+#REF!+#REF!+#REF!+#REF!+#REF!+#REF!),2)</f>
        <v>#REF!</v>
      </c>
      <c r="Y88" s="953" t="e">
        <f>#REF!+#REF!-M88</f>
        <v>#REF!</v>
      </c>
      <c r="Z88" s="954" t="e">
        <f>#REF!</f>
        <v>#REF!</v>
      </c>
      <c r="AA88" s="953" t="e">
        <f>#REF!+#REF!</f>
        <v>#REF!</v>
      </c>
      <c r="AB88" s="954" t="e">
        <f>#REF!</f>
        <v>#REF!</v>
      </c>
      <c r="AC88" s="955">
        <v>0</v>
      </c>
      <c r="AD88" s="954" t="e">
        <f>#REF!</f>
        <v>#REF!</v>
      </c>
      <c r="AE88" s="956" t="e">
        <f>#REF!+#REF!</f>
        <v>#REF!</v>
      </c>
      <c r="AF88" s="956" t="e">
        <f>#REF!+#REF!</f>
        <v>#REF!</v>
      </c>
      <c r="AG88" s="956"/>
      <c r="AH88" s="954" t="e">
        <f>#REF!</f>
        <v>#REF!</v>
      </c>
      <c r="AI88" s="954" t="e">
        <f t="shared" si="15"/>
        <v>#REF!</v>
      </c>
      <c r="AJ88" s="954">
        <f t="shared" si="16"/>
        <v>131.03</v>
      </c>
      <c r="AK88" s="954">
        <f t="shared" si="17"/>
        <v>0</v>
      </c>
      <c r="AL88" s="625"/>
    </row>
    <row r="89" spans="1:38" s="620" customFormat="1" ht="20.100000000000001" customHeight="1" x14ac:dyDescent="0.2">
      <c r="A89" s="759">
        <f t="shared" si="22"/>
        <v>45</v>
      </c>
      <c r="B89" s="957">
        <f>+NOMINA!C88</f>
        <v>10909245</v>
      </c>
      <c r="C89" s="958" t="str">
        <f>+NOMINA!D88</f>
        <v>Delduca Moreno Luisa</v>
      </c>
      <c r="D89" s="955" t="s">
        <v>4622</v>
      </c>
      <c r="E89" s="959">
        <v>32351</v>
      </c>
      <c r="F89" s="955" t="s">
        <v>4620</v>
      </c>
      <c r="G89" s="971">
        <f>+NOMINA!H88</f>
        <v>36054</v>
      </c>
      <c r="H89" s="961">
        <f t="shared" si="18"/>
        <v>24</v>
      </c>
      <c r="I89" s="962">
        <v>0</v>
      </c>
      <c r="J89" s="968">
        <f>+NOMINA!BL88</f>
        <v>30.7</v>
      </c>
      <c r="K89" s="968">
        <f>+NOMINA!BM88</f>
        <v>3.84</v>
      </c>
      <c r="L89" s="968">
        <f>+NOMINA!BN88</f>
        <v>6.65</v>
      </c>
      <c r="M89" s="963">
        <f t="shared" si="19"/>
        <v>41.19</v>
      </c>
      <c r="N89" s="968">
        <f>+NOMINA!BR88</f>
        <v>69.08</v>
      </c>
      <c r="O89" s="968">
        <f>+NOMINA!BS88</f>
        <v>15.35</v>
      </c>
      <c r="P89" s="968">
        <f>+NOMINA!BT88</f>
        <v>13.3</v>
      </c>
      <c r="Q89" s="963">
        <f t="shared" si="20"/>
        <v>97.73</v>
      </c>
      <c r="R89" s="963">
        <f t="shared" si="21"/>
        <v>138.92000000000002</v>
      </c>
      <c r="S89" s="972">
        <v>0</v>
      </c>
      <c r="T89" s="443" t="e">
        <f>#REF!+#REF!-M89</f>
        <v>#REF!</v>
      </c>
      <c r="U89" s="952" t="e">
        <f>ROUND((#REF!+#REF!+#REF!+#REF!+#REF!+#REF!+#REF!+#REF!+#REF!),2)</f>
        <v>#REF!</v>
      </c>
      <c r="Y89" s="953" t="e">
        <f>#REF!+#REF!-M89</f>
        <v>#REF!</v>
      </c>
      <c r="Z89" s="954" t="e">
        <f>#REF!</f>
        <v>#REF!</v>
      </c>
      <c r="AA89" s="953" t="e">
        <f>#REF!+#REF!</f>
        <v>#REF!</v>
      </c>
      <c r="AB89" s="954" t="e">
        <f>#REF!</f>
        <v>#REF!</v>
      </c>
      <c r="AC89" s="955">
        <v>0</v>
      </c>
      <c r="AD89" s="954" t="e">
        <f>#REF!</f>
        <v>#REF!</v>
      </c>
      <c r="AE89" s="956" t="e">
        <f>#REF!+#REF!</f>
        <v>#REF!</v>
      </c>
      <c r="AF89" s="956" t="e">
        <f>#REF!+#REF!</f>
        <v>#REF!</v>
      </c>
      <c r="AG89" s="956"/>
      <c r="AH89" s="954" t="e">
        <f>#REF!</f>
        <v>#REF!</v>
      </c>
      <c r="AI89" s="954" t="e">
        <f t="shared" si="15"/>
        <v>#REF!</v>
      </c>
      <c r="AJ89" s="954">
        <f t="shared" si="16"/>
        <v>138.92000000000002</v>
      </c>
      <c r="AK89" s="954">
        <f t="shared" si="17"/>
        <v>0</v>
      </c>
      <c r="AL89" s="625"/>
    </row>
    <row r="90" spans="1:38" s="620" customFormat="1" ht="20.100000000000001" customHeight="1" x14ac:dyDescent="0.2">
      <c r="A90" s="759">
        <f t="shared" si="22"/>
        <v>46</v>
      </c>
      <c r="B90" s="957">
        <f>+NOMINA!C89</f>
        <v>10910698</v>
      </c>
      <c r="C90" s="958" t="str">
        <f>+NOMINA!D89</f>
        <v>Rangel Briceño Marcial Segundo</v>
      </c>
      <c r="D90" s="955" t="s">
        <v>4622</v>
      </c>
      <c r="E90" s="959">
        <v>32351</v>
      </c>
      <c r="F90" s="955" t="s">
        <v>4620</v>
      </c>
      <c r="G90" s="971">
        <f>+NOMINA!H89</f>
        <v>43891</v>
      </c>
      <c r="H90" s="961">
        <f t="shared" si="18"/>
        <v>2</v>
      </c>
      <c r="I90" s="962">
        <v>0</v>
      </c>
      <c r="J90" s="968">
        <f>+NOMINA!BL89</f>
        <v>13.27</v>
      </c>
      <c r="K90" s="968">
        <f>+NOMINA!BM89</f>
        <v>1.66</v>
      </c>
      <c r="L90" s="968">
        <f>+NOMINA!BN89</f>
        <v>2.88</v>
      </c>
      <c r="M90" s="963">
        <f t="shared" si="19"/>
        <v>17.809999999999999</v>
      </c>
      <c r="N90" s="968">
        <f>+NOMINA!BR89</f>
        <v>29.86</v>
      </c>
      <c r="O90" s="968">
        <f>+NOMINA!BS89</f>
        <v>6.63</v>
      </c>
      <c r="P90" s="968">
        <f>+NOMINA!BT89</f>
        <v>5.76</v>
      </c>
      <c r="Q90" s="963">
        <f t="shared" si="20"/>
        <v>42.25</v>
      </c>
      <c r="R90" s="963">
        <f t="shared" si="21"/>
        <v>60.06</v>
      </c>
      <c r="S90" s="972">
        <v>0</v>
      </c>
      <c r="T90" s="443" t="e">
        <f>#REF!+#REF!-M90</f>
        <v>#REF!</v>
      </c>
      <c r="U90" s="952" t="e">
        <f>ROUND((#REF!+#REF!+#REF!+#REF!+#REF!+#REF!+#REF!+#REF!+#REF!),2)</f>
        <v>#REF!</v>
      </c>
      <c r="Y90" s="953" t="e">
        <f>#REF!+#REF!-M90</f>
        <v>#REF!</v>
      </c>
      <c r="Z90" s="954" t="e">
        <f>#REF!</f>
        <v>#REF!</v>
      </c>
      <c r="AA90" s="953" t="e">
        <f>#REF!+#REF!</f>
        <v>#REF!</v>
      </c>
      <c r="AB90" s="954" t="e">
        <f>#REF!</f>
        <v>#REF!</v>
      </c>
      <c r="AC90" s="955">
        <v>0</v>
      </c>
      <c r="AD90" s="954" t="e">
        <f>#REF!</f>
        <v>#REF!</v>
      </c>
      <c r="AE90" s="956" t="e">
        <f>#REF!+#REF!</f>
        <v>#REF!</v>
      </c>
      <c r="AF90" s="956" t="e">
        <f>#REF!+#REF!</f>
        <v>#REF!</v>
      </c>
      <c r="AG90" s="956"/>
      <c r="AH90" s="954" t="e">
        <f>#REF!</f>
        <v>#REF!</v>
      </c>
      <c r="AI90" s="954" t="e">
        <f t="shared" si="15"/>
        <v>#REF!</v>
      </c>
      <c r="AJ90" s="954">
        <f t="shared" si="16"/>
        <v>60.06</v>
      </c>
      <c r="AK90" s="954">
        <f t="shared" si="17"/>
        <v>0</v>
      </c>
      <c r="AL90" s="625"/>
    </row>
    <row r="91" spans="1:38" s="620" customFormat="1" ht="20.100000000000001" customHeight="1" x14ac:dyDescent="0.2">
      <c r="A91" s="759">
        <f t="shared" si="22"/>
        <v>47</v>
      </c>
      <c r="B91" s="957">
        <f>+NOMINA!C90</f>
        <v>10912595</v>
      </c>
      <c r="C91" s="958" t="str">
        <f>+NOMINA!D90</f>
        <v>Delfin Bustos Jose Hercilio</v>
      </c>
      <c r="D91" s="955" t="s">
        <v>4622</v>
      </c>
      <c r="E91" s="959">
        <v>32351</v>
      </c>
      <c r="F91" s="955" t="s">
        <v>4620</v>
      </c>
      <c r="G91" s="971">
        <f>+NOMINA!H90</f>
        <v>36039</v>
      </c>
      <c r="H91" s="961">
        <f t="shared" si="18"/>
        <v>24</v>
      </c>
      <c r="I91" s="962">
        <v>0</v>
      </c>
      <c r="J91" s="968">
        <f>+NOMINA!BL90</f>
        <v>0</v>
      </c>
      <c r="K91" s="968">
        <f>+NOMINA!BM90</f>
        <v>0</v>
      </c>
      <c r="L91" s="968">
        <f>+NOMINA!BN90</f>
        <v>0</v>
      </c>
      <c r="M91" s="963">
        <f t="shared" si="19"/>
        <v>0</v>
      </c>
      <c r="N91" s="968">
        <f>+NOMINA!BR90</f>
        <v>0</v>
      </c>
      <c r="O91" s="968">
        <f>+NOMINA!BS90</f>
        <v>0</v>
      </c>
      <c r="P91" s="968">
        <f>+NOMINA!BT90</f>
        <v>0</v>
      </c>
      <c r="Q91" s="963">
        <f t="shared" si="20"/>
        <v>0</v>
      </c>
      <c r="R91" s="963">
        <f t="shared" si="21"/>
        <v>0</v>
      </c>
      <c r="S91" s="972">
        <v>0</v>
      </c>
      <c r="T91" s="443" t="e">
        <f>#REF!+#REF!-M91</f>
        <v>#REF!</v>
      </c>
      <c r="U91" s="952" t="e">
        <f>ROUND((#REF!+#REF!+#REF!+#REF!+#REF!+#REF!+#REF!+#REF!+#REF!),2)</f>
        <v>#REF!</v>
      </c>
      <c r="Y91" s="953" t="e">
        <f>#REF!+#REF!-M91</f>
        <v>#REF!</v>
      </c>
      <c r="Z91" s="954" t="e">
        <f>#REF!</f>
        <v>#REF!</v>
      </c>
      <c r="AA91" s="953" t="e">
        <f>#REF!+#REF!</f>
        <v>#REF!</v>
      </c>
      <c r="AB91" s="954" t="e">
        <f>#REF!</f>
        <v>#REF!</v>
      </c>
      <c r="AC91" s="955">
        <v>0</v>
      </c>
      <c r="AD91" s="954" t="e">
        <f>#REF!</f>
        <v>#REF!</v>
      </c>
      <c r="AE91" s="956" t="e">
        <f>#REF!+#REF!</f>
        <v>#REF!</v>
      </c>
      <c r="AF91" s="956" t="e">
        <f>#REF!+#REF!</f>
        <v>#REF!</v>
      </c>
      <c r="AG91" s="956"/>
      <c r="AH91" s="954" t="e">
        <f>#REF!</f>
        <v>#REF!</v>
      </c>
      <c r="AI91" s="954" t="e">
        <f t="shared" si="15"/>
        <v>#REF!</v>
      </c>
      <c r="AJ91" s="954">
        <f t="shared" si="16"/>
        <v>0</v>
      </c>
      <c r="AK91" s="954">
        <f t="shared" si="17"/>
        <v>0</v>
      </c>
      <c r="AL91" s="625"/>
    </row>
    <row r="92" spans="1:38" s="620" customFormat="1" ht="20.100000000000001" customHeight="1" x14ac:dyDescent="0.2">
      <c r="A92" s="759">
        <f t="shared" si="22"/>
        <v>48</v>
      </c>
      <c r="B92" s="957">
        <f>+NOMINA!C91</f>
        <v>10913178</v>
      </c>
      <c r="C92" s="958" t="str">
        <f>+NOMINA!D91</f>
        <v>Garcia Moreno Iris Josefina</v>
      </c>
      <c r="D92" s="955" t="s">
        <v>4622</v>
      </c>
      <c r="E92" s="959">
        <v>32351</v>
      </c>
      <c r="F92" s="955" t="s">
        <v>4620</v>
      </c>
      <c r="G92" s="971">
        <f>+NOMINA!H91</f>
        <v>44805</v>
      </c>
      <c r="H92" s="961">
        <f t="shared" si="18"/>
        <v>0</v>
      </c>
      <c r="I92" s="962">
        <v>0</v>
      </c>
      <c r="J92" s="968">
        <f>+NOMINA!BL91</f>
        <v>15.14</v>
      </c>
      <c r="K92" s="968">
        <f>+NOMINA!BM91</f>
        <v>1.89</v>
      </c>
      <c r="L92" s="968">
        <f>+NOMINA!BN91</f>
        <v>3.28</v>
      </c>
      <c r="M92" s="963">
        <f t="shared" si="19"/>
        <v>20.309999999999999</v>
      </c>
      <c r="N92" s="968">
        <f>+NOMINA!BR91</f>
        <v>34.06</v>
      </c>
      <c r="O92" s="968">
        <f>+NOMINA!BS91</f>
        <v>7.57</v>
      </c>
      <c r="P92" s="968">
        <f>+NOMINA!BT91</f>
        <v>6.56</v>
      </c>
      <c r="Q92" s="963">
        <f t="shared" si="20"/>
        <v>48.19</v>
      </c>
      <c r="R92" s="963">
        <f t="shared" si="21"/>
        <v>68.5</v>
      </c>
      <c r="S92" s="972">
        <v>0</v>
      </c>
      <c r="T92" s="443" t="e">
        <f>#REF!+#REF!-M92</f>
        <v>#REF!</v>
      </c>
      <c r="U92" s="952" t="e">
        <f>ROUND((#REF!+#REF!+#REF!+#REF!+#REF!+#REF!+#REF!+#REF!+#REF!),2)</f>
        <v>#REF!</v>
      </c>
      <c r="Y92" s="953" t="e">
        <f>#REF!+#REF!-M92</f>
        <v>#REF!</v>
      </c>
      <c r="Z92" s="954" t="e">
        <f>#REF!</f>
        <v>#REF!</v>
      </c>
      <c r="AA92" s="953" t="e">
        <f>#REF!+#REF!</f>
        <v>#REF!</v>
      </c>
      <c r="AB92" s="954" t="e">
        <f>#REF!</f>
        <v>#REF!</v>
      </c>
      <c r="AC92" s="955">
        <v>0</v>
      </c>
      <c r="AD92" s="954" t="e">
        <f>#REF!</f>
        <v>#REF!</v>
      </c>
      <c r="AE92" s="956" t="e">
        <f>#REF!+#REF!</f>
        <v>#REF!</v>
      </c>
      <c r="AF92" s="956" t="e">
        <f>#REF!+#REF!</f>
        <v>#REF!</v>
      </c>
      <c r="AG92" s="956"/>
      <c r="AH92" s="954" t="e">
        <f>#REF!</f>
        <v>#REF!</v>
      </c>
      <c r="AI92" s="954" t="e">
        <f t="shared" si="15"/>
        <v>#REF!</v>
      </c>
      <c r="AJ92" s="954">
        <f t="shared" si="16"/>
        <v>68.5</v>
      </c>
      <c r="AK92" s="954">
        <f t="shared" si="17"/>
        <v>0</v>
      </c>
      <c r="AL92" s="625"/>
    </row>
    <row r="93" spans="1:38" s="620" customFormat="1" ht="20.100000000000001" customHeight="1" x14ac:dyDescent="0.2">
      <c r="A93" s="759">
        <f t="shared" si="22"/>
        <v>49</v>
      </c>
      <c r="B93" s="957">
        <f>+NOMINA!C92</f>
        <v>10913637</v>
      </c>
      <c r="C93" s="958" t="str">
        <f>+NOMINA!D92</f>
        <v>Angarita Hernandez Ana del Carmen</v>
      </c>
      <c r="D93" s="955" t="s">
        <v>4622</v>
      </c>
      <c r="E93" s="959">
        <v>32351</v>
      </c>
      <c r="F93" s="955" t="s">
        <v>4620</v>
      </c>
      <c r="G93" s="971">
        <f>+NOMINA!H92</f>
        <v>40664</v>
      </c>
      <c r="H93" s="961">
        <f t="shared" si="18"/>
        <v>11</v>
      </c>
      <c r="I93" s="962">
        <v>0</v>
      </c>
      <c r="J93" s="968">
        <f>+NOMINA!BL92</f>
        <v>34.5</v>
      </c>
      <c r="K93" s="968">
        <f>+NOMINA!BM92</f>
        <v>4.3099999999999996</v>
      </c>
      <c r="L93" s="968">
        <f>+NOMINA!BN92</f>
        <v>7.47</v>
      </c>
      <c r="M93" s="963">
        <f t="shared" si="19"/>
        <v>46.28</v>
      </c>
      <c r="N93" s="968">
        <f>+NOMINA!BR92</f>
        <v>77.62</v>
      </c>
      <c r="O93" s="968">
        <f>+NOMINA!BS92</f>
        <v>17.25</v>
      </c>
      <c r="P93" s="968">
        <f>+NOMINA!BT92</f>
        <v>14.94</v>
      </c>
      <c r="Q93" s="963">
        <f t="shared" si="20"/>
        <v>109.81</v>
      </c>
      <c r="R93" s="963">
        <f t="shared" si="21"/>
        <v>156.09</v>
      </c>
      <c r="S93" s="972">
        <v>0</v>
      </c>
      <c r="T93" s="443" t="e">
        <f>#REF!+#REF!-M93</f>
        <v>#REF!</v>
      </c>
      <c r="U93" s="952" t="e">
        <f>ROUND((#REF!+#REF!+#REF!+#REF!+#REF!+#REF!+#REF!+#REF!+#REF!),2)</f>
        <v>#REF!</v>
      </c>
      <c r="Y93" s="953" t="e">
        <f>#REF!+#REF!-M93</f>
        <v>#REF!</v>
      </c>
      <c r="Z93" s="954" t="e">
        <f>#REF!</f>
        <v>#REF!</v>
      </c>
      <c r="AA93" s="953" t="e">
        <f>#REF!+#REF!</f>
        <v>#REF!</v>
      </c>
      <c r="AB93" s="954" t="e">
        <f>#REF!</f>
        <v>#REF!</v>
      </c>
      <c r="AC93" s="955">
        <v>0</v>
      </c>
      <c r="AD93" s="954" t="e">
        <f>#REF!</f>
        <v>#REF!</v>
      </c>
      <c r="AE93" s="956" t="e">
        <f>#REF!+#REF!</f>
        <v>#REF!</v>
      </c>
      <c r="AF93" s="956" t="e">
        <f>#REF!+#REF!</f>
        <v>#REF!</v>
      </c>
      <c r="AG93" s="956"/>
      <c r="AH93" s="954" t="e">
        <f>#REF!</f>
        <v>#REF!</v>
      </c>
      <c r="AI93" s="954" t="e">
        <f t="shared" si="15"/>
        <v>#REF!</v>
      </c>
      <c r="AJ93" s="954">
        <f t="shared" si="16"/>
        <v>156.09</v>
      </c>
      <c r="AK93" s="954">
        <f t="shared" si="17"/>
        <v>0</v>
      </c>
      <c r="AL93" s="625"/>
    </row>
    <row r="94" spans="1:38" s="620" customFormat="1" ht="20.100000000000001" customHeight="1" x14ac:dyDescent="0.2">
      <c r="A94" s="759">
        <f t="shared" si="22"/>
        <v>50</v>
      </c>
      <c r="B94" s="957">
        <f>+NOMINA!C93</f>
        <v>10915223</v>
      </c>
      <c r="C94" s="958" t="str">
        <f>+NOMINA!D93</f>
        <v>Contreras Rojo Gerardo Alexander</v>
      </c>
      <c r="D94" s="955" t="s">
        <v>4622</v>
      </c>
      <c r="E94" s="959">
        <v>32351</v>
      </c>
      <c r="F94" s="955" t="s">
        <v>4620</v>
      </c>
      <c r="G94" s="971">
        <f>+NOMINA!H93</f>
        <v>35339</v>
      </c>
      <c r="H94" s="961">
        <f t="shared" si="18"/>
        <v>26</v>
      </c>
      <c r="I94" s="962">
        <v>0</v>
      </c>
      <c r="J94" s="968">
        <f>+NOMINA!BL93</f>
        <v>33.700000000000003</v>
      </c>
      <c r="K94" s="968">
        <f>+NOMINA!BM93</f>
        <v>4.21</v>
      </c>
      <c r="L94" s="968">
        <f>+NOMINA!BN93</f>
        <v>7.3</v>
      </c>
      <c r="M94" s="963">
        <f t="shared" si="19"/>
        <v>45.21</v>
      </c>
      <c r="N94" s="968">
        <f>+NOMINA!BR93</f>
        <v>75.819999999999993</v>
      </c>
      <c r="O94" s="968">
        <f>+NOMINA!BS93</f>
        <v>16.850000000000001</v>
      </c>
      <c r="P94" s="968">
        <f>+NOMINA!BT93</f>
        <v>14.6</v>
      </c>
      <c r="Q94" s="963">
        <f t="shared" si="20"/>
        <v>107.27</v>
      </c>
      <c r="R94" s="963">
        <f t="shared" si="21"/>
        <v>152.47999999999999</v>
      </c>
      <c r="S94" s="972">
        <v>0</v>
      </c>
      <c r="T94" s="443" t="e">
        <f>#REF!+#REF!-M94</f>
        <v>#REF!</v>
      </c>
      <c r="U94" s="952" t="e">
        <f>ROUND((#REF!+#REF!+#REF!+#REF!+#REF!+#REF!+#REF!+#REF!+#REF!),2)</f>
        <v>#REF!</v>
      </c>
      <c r="Y94" s="953" t="e">
        <f>#REF!+#REF!-M94</f>
        <v>#REF!</v>
      </c>
      <c r="Z94" s="954" t="e">
        <f>#REF!</f>
        <v>#REF!</v>
      </c>
      <c r="AA94" s="953" t="e">
        <f>#REF!+#REF!</f>
        <v>#REF!</v>
      </c>
      <c r="AB94" s="954" t="e">
        <f>#REF!</f>
        <v>#REF!</v>
      </c>
      <c r="AC94" s="955">
        <v>0</v>
      </c>
      <c r="AD94" s="954" t="e">
        <f>#REF!</f>
        <v>#REF!</v>
      </c>
      <c r="AE94" s="956" t="e">
        <f>#REF!+#REF!</f>
        <v>#REF!</v>
      </c>
      <c r="AF94" s="956" t="e">
        <f>#REF!+#REF!</f>
        <v>#REF!</v>
      </c>
      <c r="AG94" s="956"/>
      <c r="AH94" s="954" t="e">
        <f>#REF!</f>
        <v>#REF!</v>
      </c>
      <c r="AI94" s="954" t="e">
        <f t="shared" si="15"/>
        <v>#REF!</v>
      </c>
      <c r="AJ94" s="954">
        <f t="shared" si="16"/>
        <v>152.47999999999999</v>
      </c>
      <c r="AK94" s="954">
        <f t="shared" si="17"/>
        <v>0</v>
      </c>
      <c r="AL94" s="625"/>
    </row>
    <row r="95" spans="1:38" s="620" customFormat="1" ht="20.100000000000001" customHeight="1" x14ac:dyDescent="0.2">
      <c r="A95" s="759">
        <f t="shared" si="22"/>
        <v>51</v>
      </c>
      <c r="B95" s="957">
        <f>+NOMINA!C94</f>
        <v>10915384</v>
      </c>
      <c r="C95" s="958" t="str">
        <f>+NOMINA!D94</f>
        <v>Rojas Hernandez Morela del Carmen</v>
      </c>
      <c r="D95" s="955" t="s">
        <v>4622</v>
      </c>
      <c r="E95" s="959">
        <v>32351</v>
      </c>
      <c r="F95" s="955" t="s">
        <v>4620</v>
      </c>
      <c r="G95" s="971">
        <f>+NOMINA!H94</f>
        <v>43147</v>
      </c>
      <c r="H95" s="961">
        <f t="shared" si="18"/>
        <v>4</v>
      </c>
      <c r="I95" s="962">
        <v>0</v>
      </c>
      <c r="J95" s="968">
        <f>+NOMINA!BL94</f>
        <v>26.45</v>
      </c>
      <c r="K95" s="968">
        <f>+NOMINA!BM94</f>
        <v>3.31</v>
      </c>
      <c r="L95" s="968">
        <f>+NOMINA!BN94</f>
        <v>5.73</v>
      </c>
      <c r="M95" s="963">
        <f t="shared" si="19"/>
        <v>35.49</v>
      </c>
      <c r="N95" s="968">
        <f>+NOMINA!BR94</f>
        <v>59.51</v>
      </c>
      <c r="O95" s="968">
        <f>+NOMINA!BS94</f>
        <v>13.22</v>
      </c>
      <c r="P95" s="968">
        <f>+NOMINA!BT94</f>
        <v>11.46</v>
      </c>
      <c r="Q95" s="963">
        <f t="shared" si="20"/>
        <v>84.19</v>
      </c>
      <c r="R95" s="963">
        <f t="shared" si="21"/>
        <v>119.68</v>
      </c>
      <c r="S95" s="972">
        <v>0</v>
      </c>
      <c r="T95" s="443" t="e">
        <f>#REF!+#REF!-M95</f>
        <v>#REF!</v>
      </c>
      <c r="U95" s="952" t="e">
        <f>ROUND((#REF!+#REF!+#REF!+#REF!+#REF!+#REF!+#REF!+#REF!+#REF!),2)</f>
        <v>#REF!</v>
      </c>
      <c r="Y95" s="953" t="e">
        <f>#REF!+#REF!-M95</f>
        <v>#REF!</v>
      </c>
      <c r="Z95" s="954" t="e">
        <f>#REF!</f>
        <v>#REF!</v>
      </c>
      <c r="AA95" s="953" t="e">
        <f>#REF!+#REF!</f>
        <v>#REF!</v>
      </c>
      <c r="AB95" s="954" t="e">
        <f>#REF!</f>
        <v>#REF!</v>
      </c>
      <c r="AC95" s="955">
        <v>0</v>
      </c>
      <c r="AD95" s="954" t="e">
        <f>#REF!</f>
        <v>#REF!</v>
      </c>
      <c r="AE95" s="956" t="e">
        <f>#REF!+#REF!</f>
        <v>#REF!</v>
      </c>
      <c r="AF95" s="956" t="e">
        <f>#REF!+#REF!</f>
        <v>#REF!</v>
      </c>
      <c r="AG95" s="956"/>
      <c r="AH95" s="954" t="e">
        <f>#REF!</f>
        <v>#REF!</v>
      </c>
      <c r="AI95" s="954" t="e">
        <f t="shared" si="15"/>
        <v>#REF!</v>
      </c>
      <c r="AJ95" s="954">
        <f t="shared" si="16"/>
        <v>119.68</v>
      </c>
      <c r="AK95" s="954">
        <f t="shared" si="17"/>
        <v>0</v>
      </c>
      <c r="AL95" s="625"/>
    </row>
    <row r="96" spans="1:38" s="620" customFormat="1" ht="20.100000000000001" customHeight="1" x14ac:dyDescent="0.2">
      <c r="A96" s="759">
        <f t="shared" si="22"/>
        <v>52</v>
      </c>
      <c r="B96" s="957">
        <f>+NOMINA!C95</f>
        <v>10915597</v>
      </c>
      <c r="C96" s="958" t="str">
        <f>+NOMINA!D95</f>
        <v>Carrillo Altuve Maria Mercedes</v>
      </c>
      <c r="D96" s="955" t="s">
        <v>4622</v>
      </c>
      <c r="E96" s="959">
        <v>32351</v>
      </c>
      <c r="F96" s="955" t="s">
        <v>4620</v>
      </c>
      <c r="G96" s="971">
        <f>+NOMINA!H95</f>
        <v>44501</v>
      </c>
      <c r="H96" s="961">
        <f t="shared" si="18"/>
        <v>1</v>
      </c>
      <c r="I96" s="962">
        <v>0</v>
      </c>
      <c r="J96" s="968">
        <f>+NOMINA!BL95</f>
        <v>29.87</v>
      </c>
      <c r="K96" s="968">
        <f>+NOMINA!BM95</f>
        <v>3.73</v>
      </c>
      <c r="L96" s="968">
        <f>+NOMINA!BN95</f>
        <v>6.47</v>
      </c>
      <c r="M96" s="963">
        <f t="shared" si="19"/>
        <v>40.07</v>
      </c>
      <c r="N96" s="968">
        <f>+NOMINA!BR95</f>
        <v>67.2</v>
      </c>
      <c r="O96" s="968">
        <f>+NOMINA!BS95</f>
        <v>14.93</v>
      </c>
      <c r="P96" s="968">
        <f>+NOMINA!BT95</f>
        <v>12.94</v>
      </c>
      <c r="Q96" s="963">
        <f t="shared" si="20"/>
        <v>95.07</v>
      </c>
      <c r="R96" s="963">
        <f t="shared" si="21"/>
        <v>135.13999999999999</v>
      </c>
      <c r="S96" s="972">
        <v>0</v>
      </c>
      <c r="T96" s="443" t="e">
        <f>#REF!+#REF!-M96</f>
        <v>#REF!</v>
      </c>
      <c r="U96" s="952" t="e">
        <f>ROUND((#REF!+#REF!+#REF!+#REF!+#REF!+#REF!+#REF!+#REF!+#REF!),2)</f>
        <v>#REF!</v>
      </c>
      <c r="Y96" s="953" t="e">
        <f>#REF!+#REF!-M96</f>
        <v>#REF!</v>
      </c>
      <c r="Z96" s="954" t="e">
        <f>#REF!</f>
        <v>#REF!</v>
      </c>
      <c r="AA96" s="953" t="e">
        <f>#REF!+#REF!</f>
        <v>#REF!</v>
      </c>
      <c r="AB96" s="954" t="e">
        <f>#REF!</f>
        <v>#REF!</v>
      </c>
      <c r="AC96" s="955">
        <v>0</v>
      </c>
      <c r="AD96" s="954" t="e">
        <f>#REF!</f>
        <v>#REF!</v>
      </c>
      <c r="AE96" s="956" t="e">
        <f>#REF!+#REF!</f>
        <v>#REF!</v>
      </c>
      <c r="AF96" s="956" t="e">
        <f>#REF!+#REF!</f>
        <v>#REF!</v>
      </c>
      <c r="AG96" s="956"/>
      <c r="AH96" s="954" t="e">
        <f>#REF!</f>
        <v>#REF!</v>
      </c>
      <c r="AI96" s="954" t="e">
        <f t="shared" si="15"/>
        <v>#REF!</v>
      </c>
      <c r="AJ96" s="954">
        <f t="shared" si="16"/>
        <v>135.13999999999999</v>
      </c>
      <c r="AK96" s="954">
        <f t="shared" si="17"/>
        <v>0</v>
      </c>
      <c r="AL96" s="625"/>
    </row>
    <row r="97" spans="1:38" s="620" customFormat="1" ht="20.100000000000001" customHeight="1" x14ac:dyDescent="0.2">
      <c r="A97" s="759">
        <f t="shared" si="22"/>
        <v>53</v>
      </c>
      <c r="B97" s="957">
        <f>+NOMINA!C96</f>
        <v>11128954</v>
      </c>
      <c r="C97" s="958" t="str">
        <f>+NOMINA!D96</f>
        <v>Soto Lopez Rafael Maria</v>
      </c>
      <c r="D97" s="955" t="s">
        <v>4622</v>
      </c>
      <c r="E97" s="959">
        <v>32351</v>
      </c>
      <c r="F97" s="955" t="s">
        <v>4620</v>
      </c>
      <c r="G97" s="971">
        <f>+NOMINA!H96</f>
        <v>45170</v>
      </c>
      <c r="H97" s="961">
        <f t="shared" si="18"/>
        <v>0</v>
      </c>
      <c r="I97" s="962">
        <v>0</v>
      </c>
      <c r="J97" s="968">
        <f>+NOMINA!BL96</f>
        <v>31.6</v>
      </c>
      <c r="K97" s="968">
        <f>+NOMINA!BM96</f>
        <v>3.95</v>
      </c>
      <c r="L97" s="968">
        <f>+NOMINA!BN96</f>
        <v>6.85</v>
      </c>
      <c r="M97" s="963">
        <f t="shared" si="19"/>
        <v>42.4</v>
      </c>
      <c r="N97" s="968">
        <f>+NOMINA!BR96</f>
        <v>71.099999999999994</v>
      </c>
      <c r="O97" s="968">
        <f>+NOMINA!BS96</f>
        <v>15.8</v>
      </c>
      <c r="P97" s="968">
        <f>+NOMINA!BT96</f>
        <v>13.7</v>
      </c>
      <c r="Q97" s="963">
        <f t="shared" si="20"/>
        <v>100.6</v>
      </c>
      <c r="R97" s="963">
        <f t="shared" si="21"/>
        <v>143</v>
      </c>
      <c r="S97" s="972">
        <v>0</v>
      </c>
      <c r="T97" s="443" t="e">
        <f>#REF!+#REF!-M97</f>
        <v>#REF!</v>
      </c>
      <c r="U97" s="952" t="e">
        <f>ROUND((#REF!+#REF!+#REF!+#REF!+#REF!+#REF!+#REF!+#REF!+#REF!),2)</f>
        <v>#REF!</v>
      </c>
      <c r="Y97" s="953" t="e">
        <f>#REF!+#REF!-M97</f>
        <v>#REF!</v>
      </c>
      <c r="Z97" s="954" t="e">
        <f>#REF!</f>
        <v>#REF!</v>
      </c>
      <c r="AA97" s="953" t="e">
        <f>#REF!+#REF!</f>
        <v>#REF!</v>
      </c>
      <c r="AB97" s="954" t="e">
        <f>#REF!</f>
        <v>#REF!</v>
      </c>
      <c r="AC97" s="955">
        <v>0</v>
      </c>
      <c r="AD97" s="954" t="e">
        <f>#REF!</f>
        <v>#REF!</v>
      </c>
      <c r="AE97" s="956" t="e">
        <f>#REF!+#REF!</f>
        <v>#REF!</v>
      </c>
      <c r="AF97" s="956" t="e">
        <f>#REF!+#REF!</f>
        <v>#REF!</v>
      </c>
      <c r="AG97" s="956"/>
      <c r="AH97" s="954" t="e">
        <f>#REF!</f>
        <v>#REF!</v>
      </c>
      <c r="AI97" s="954" t="e">
        <f t="shared" si="15"/>
        <v>#REF!</v>
      </c>
      <c r="AJ97" s="954">
        <f t="shared" si="16"/>
        <v>143</v>
      </c>
      <c r="AK97" s="954">
        <f t="shared" si="17"/>
        <v>0</v>
      </c>
      <c r="AL97" s="625"/>
    </row>
    <row r="98" spans="1:38" s="620" customFormat="1" ht="20.100000000000001" customHeight="1" x14ac:dyDescent="0.2">
      <c r="A98" s="759">
        <f t="shared" si="22"/>
        <v>54</v>
      </c>
      <c r="B98" s="957">
        <f>+NOMINA!C97</f>
        <v>11132900</v>
      </c>
      <c r="C98" s="958" t="str">
        <f>+NOMINA!D97</f>
        <v>Morillo Valero Ender Ramon</v>
      </c>
      <c r="D98" s="955" t="s">
        <v>4622</v>
      </c>
      <c r="E98" s="959">
        <v>32351</v>
      </c>
      <c r="F98" s="955" t="s">
        <v>4620</v>
      </c>
      <c r="G98" s="971">
        <f>+NOMINA!H97</f>
        <v>44866</v>
      </c>
      <c r="H98" s="961">
        <f t="shared" si="18"/>
        <v>0</v>
      </c>
      <c r="I98" s="962">
        <v>0</v>
      </c>
      <c r="J98" s="968">
        <f>+NOMINA!BL97</f>
        <v>23.46</v>
      </c>
      <c r="K98" s="968">
        <f>+NOMINA!BM97</f>
        <v>2.93</v>
      </c>
      <c r="L98" s="968">
        <f>+NOMINA!BN97</f>
        <v>5.08</v>
      </c>
      <c r="M98" s="963">
        <f t="shared" si="19"/>
        <v>31.47</v>
      </c>
      <c r="N98" s="968">
        <f>+NOMINA!BR97</f>
        <v>52.79</v>
      </c>
      <c r="O98" s="968">
        <f>+NOMINA!BS97</f>
        <v>11.73</v>
      </c>
      <c r="P98" s="968">
        <f>+NOMINA!BT97</f>
        <v>10.16</v>
      </c>
      <c r="Q98" s="963">
        <f t="shared" si="20"/>
        <v>74.680000000000007</v>
      </c>
      <c r="R98" s="963">
        <f t="shared" si="21"/>
        <v>106.15</v>
      </c>
      <c r="S98" s="972">
        <v>0</v>
      </c>
      <c r="T98" s="443" t="e">
        <f>#REF!+#REF!-M98</f>
        <v>#REF!</v>
      </c>
      <c r="U98" s="952" t="e">
        <f>ROUND((#REF!+#REF!+#REF!+#REF!+#REF!+#REF!+#REF!+#REF!+#REF!),2)</f>
        <v>#REF!</v>
      </c>
      <c r="Y98" s="953" t="e">
        <f>#REF!+#REF!-M98</f>
        <v>#REF!</v>
      </c>
      <c r="Z98" s="954" t="e">
        <f>#REF!</f>
        <v>#REF!</v>
      </c>
      <c r="AA98" s="953" t="e">
        <f>#REF!+#REF!</f>
        <v>#REF!</v>
      </c>
      <c r="AB98" s="954" t="e">
        <f>#REF!</f>
        <v>#REF!</v>
      </c>
      <c r="AC98" s="955">
        <v>0</v>
      </c>
      <c r="AD98" s="954" t="e">
        <f>#REF!</f>
        <v>#REF!</v>
      </c>
      <c r="AE98" s="956" t="e">
        <f>#REF!+#REF!</f>
        <v>#REF!</v>
      </c>
      <c r="AF98" s="956" t="e">
        <f>#REF!+#REF!</f>
        <v>#REF!</v>
      </c>
      <c r="AG98" s="956"/>
      <c r="AH98" s="954" t="e">
        <f>#REF!</f>
        <v>#REF!</v>
      </c>
      <c r="AI98" s="954" t="e">
        <f t="shared" si="15"/>
        <v>#REF!</v>
      </c>
      <c r="AJ98" s="954">
        <f t="shared" si="16"/>
        <v>106.15</v>
      </c>
      <c r="AK98" s="954">
        <f t="shared" si="17"/>
        <v>0</v>
      </c>
      <c r="AL98" s="625"/>
    </row>
    <row r="99" spans="1:38" s="620" customFormat="1" ht="20.100000000000001" customHeight="1" x14ac:dyDescent="0.2">
      <c r="A99" s="759">
        <f t="shared" si="22"/>
        <v>55</v>
      </c>
      <c r="B99" s="957">
        <f>+NOMINA!C98</f>
        <v>11132943</v>
      </c>
      <c r="C99" s="958" t="str">
        <f>+NOMINA!D98</f>
        <v>Materano Delgado Yoleida Josefina</v>
      </c>
      <c r="D99" s="955" t="s">
        <v>4622</v>
      </c>
      <c r="E99" s="959">
        <v>32351</v>
      </c>
      <c r="F99" s="955" t="s">
        <v>4620</v>
      </c>
      <c r="G99" s="971">
        <f>+NOMINA!H98</f>
        <v>39738</v>
      </c>
      <c r="H99" s="961">
        <f t="shared" si="18"/>
        <v>14</v>
      </c>
      <c r="I99" s="962">
        <v>0</v>
      </c>
      <c r="J99" s="968">
        <f>+NOMINA!BL98</f>
        <v>15.72</v>
      </c>
      <c r="K99" s="968">
        <f>+NOMINA!BM98</f>
        <v>1.96</v>
      </c>
      <c r="L99" s="968">
        <f>+NOMINA!BN98</f>
        <v>3.41</v>
      </c>
      <c r="M99" s="963">
        <f t="shared" si="19"/>
        <v>21.09</v>
      </c>
      <c r="N99" s="968">
        <f>+NOMINA!BR98</f>
        <v>35.36</v>
      </c>
      <c r="O99" s="968">
        <f>+NOMINA!BS98</f>
        <v>7.86</v>
      </c>
      <c r="P99" s="968">
        <f>+NOMINA!BT98</f>
        <v>6.82</v>
      </c>
      <c r="Q99" s="963">
        <f t="shared" si="20"/>
        <v>50.04</v>
      </c>
      <c r="R99" s="963">
        <f t="shared" si="21"/>
        <v>71.13</v>
      </c>
      <c r="S99" s="972">
        <v>0</v>
      </c>
      <c r="T99" s="443" t="e">
        <f>#REF!+#REF!-M99</f>
        <v>#REF!</v>
      </c>
      <c r="U99" s="952" t="e">
        <f>ROUND((#REF!+#REF!+#REF!+#REF!+#REF!+#REF!+#REF!+#REF!+#REF!),2)</f>
        <v>#REF!</v>
      </c>
      <c r="Y99" s="953" t="e">
        <f>#REF!+#REF!-M99</f>
        <v>#REF!</v>
      </c>
      <c r="Z99" s="954" t="e">
        <f>#REF!</f>
        <v>#REF!</v>
      </c>
      <c r="AA99" s="953" t="e">
        <f>#REF!+#REF!</f>
        <v>#REF!</v>
      </c>
      <c r="AB99" s="954" t="e">
        <f>#REF!</f>
        <v>#REF!</v>
      </c>
      <c r="AC99" s="955">
        <v>0</v>
      </c>
      <c r="AD99" s="954" t="e">
        <f>#REF!</f>
        <v>#REF!</v>
      </c>
      <c r="AE99" s="956" t="e">
        <f>#REF!+#REF!</f>
        <v>#REF!</v>
      </c>
      <c r="AF99" s="956" t="e">
        <f>#REF!+#REF!</f>
        <v>#REF!</v>
      </c>
      <c r="AG99" s="956"/>
      <c r="AH99" s="954" t="e">
        <f>#REF!</f>
        <v>#REF!</v>
      </c>
      <c r="AI99" s="954" t="e">
        <f t="shared" si="15"/>
        <v>#REF!</v>
      </c>
      <c r="AJ99" s="954">
        <f t="shared" si="16"/>
        <v>71.13</v>
      </c>
      <c r="AK99" s="954">
        <f t="shared" si="17"/>
        <v>0</v>
      </c>
      <c r="AL99" s="625"/>
    </row>
    <row r="100" spans="1:38" s="620" customFormat="1" ht="20.100000000000001" customHeight="1" x14ac:dyDescent="0.2">
      <c r="A100" s="759">
        <f t="shared" si="22"/>
        <v>56</v>
      </c>
      <c r="B100" s="957">
        <f>+NOMINA!C99</f>
        <v>11132979</v>
      </c>
      <c r="C100" s="958" t="str">
        <f>+NOMINA!D99</f>
        <v>Olivar Santana Maria Valbina</v>
      </c>
      <c r="D100" s="955" t="s">
        <v>4622</v>
      </c>
      <c r="E100" s="959">
        <v>32351</v>
      </c>
      <c r="F100" s="955" t="s">
        <v>4620</v>
      </c>
      <c r="G100" s="971">
        <f>+NOMINA!H99</f>
        <v>44348</v>
      </c>
      <c r="H100" s="961">
        <f t="shared" si="18"/>
        <v>1</v>
      </c>
      <c r="I100" s="962">
        <v>0</v>
      </c>
      <c r="J100" s="968">
        <f>+NOMINA!BL99</f>
        <v>36.25</v>
      </c>
      <c r="K100" s="968">
        <f>+NOMINA!BM99</f>
        <v>4.53</v>
      </c>
      <c r="L100" s="968">
        <f>+NOMINA!BN99</f>
        <v>7.85</v>
      </c>
      <c r="M100" s="963">
        <f t="shared" si="19"/>
        <v>48.63</v>
      </c>
      <c r="N100" s="968">
        <f>+NOMINA!BR99</f>
        <v>81.569999999999993</v>
      </c>
      <c r="O100" s="968">
        <f>+NOMINA!BS99</f>
        <v>18.13</v>
      </c>
      <c r="P100" s="968">
        <f>+NOMINA!BT99</f>
        <v>15.7</v>
      </c>
      <c r="Q100" s="963">
        <f t="shared" si="20"/>
        <v>115.4</v>
      </c>
      <c r="R100" s="963">
        <f t="shared" si="21"/>
        <v>164.03</v>
      </c>
      <c r="S100" s="972">
        <v>0</v>
      </c>
      <c r="T100" s="443" t="e">
        <f>#REF!+#REF!-M100</f>
        <v>#REF!</v>
      </c>
      <c r="U100" s="952" t="e">
        <f>ROUND((#REF!+#REF!+#REF!+#REF!+#REF!+#REF!+#REF!+#REF!+#REF!),2)</f>
        <v>#REF!</v>
      </c>
      <c r="Y100" s="953" t="e">
        <f>#REF!+#REF!-M100</f>
        <v>#REF!</v>
      </c>
      <c r="Z100" s="954" t="e">
        <f>#REF!</f>
        <v>#REF!</v>
      </c>
      <c r="AA100" s="953" t="e">
        <f>#REF!+#REF!</f>
        <v>#REF!</v>
      </c>
      <c r="AB100" s="954" t="e">
        <f>#REF!</f>
        <v>#REF!</v>
      </c>
      <c r="AC100" s="955">
        <v>0</v>
      </c>
      <c r="AD100" s="954" t="e">
        <f>#REF!</f>
        <v>#REF!</v>
      </c>
      <c r="AE100" s="956" t="e">
        <f>#REF!+#REF!</f>
        <v>#REF!</v>
      </c>
      <c r="AF100" s="956" t="e">
        <f>#REF!+#REF!</f>
        <v>#REF!</v>
      </c>
      <c r="AG100" s="956"/>
      <c r="AH100" s="954" t="e">
        <f>#REF!</f>
        <v>#REF!</v>
      </c>
      <c r="AI100" s="954" t="e">
        <f t="shared" si="15"/>
        <v>#REF!</v>
      </c>
      <c r="AJ100" s="954">
        <f t="shared" si="16"/>
        <v>164.03</v>
      </c>
      <c r="AK100" s="954">
        <f t="shared" si="17"/>
        <v>0</v>
      </c>
      <c r="AL100" s="625"/>
    </row>
    <row r="101" spans="1:38" s="620" customFormat="1" ht="20.100000000000001" customHeight="1" x14ac:dyDescent="0.2">
      <c r="A101" s="759">
        <f t="shared" si="22"/>
        <v>57</v>
      </c>
      <c r="B101" s="957">
        <f>+NOMINA!C100</f>
        <v>11257247</v>
      </c>
      <c r="C101" s="958" t="str">
        <f>+NOMINA!D100</f>
        <v>Chacin Sanchez Eduard Fabian</v>
      </c>
      <c r="D101" s="955" t="s">
        <v>4622</v>
      </c>
      <c r="E101" s="959">
        <v>32351</v>
      </c>
      <c r="F101" s="955" t="s">
        <v>4620</v>
      </c>
      <c r="G101" s="971">
        <f>+NOMINA!H100</f>
        <v>42492</v>
      </c>
      <c r="H101" s="961">
        <f t="shared" si="18"/>
        <v>6</v>
      </c>
      <c r="I101" s="962">
        <v>0</v>
      </c>
      <c r="J101" s="968">
        <f>+NOMINA!BL100</f>
        <v>26.02</v>
      </c>
      <c r="K101" s="968">
        <f>+NOMINA!BM100</f>
        <v>3.25</v>
      </c>
      <c r="L101" s="968">
        <f>+NOMINA!BN100</f>
        <v>5.64</v>
      </c>
      <c r="M101" s="963">
        <f t="shared" si="19"/>
        <v>34.909999999999997</v>
      </c>
      <c r="N101" s="968">
        <f>+NOMINA!BR100</f>
        <v>58.55</v>
      </c>
      <c r="O101" s="968">
        <f>+NOMINA!BS100</f>
        <v>13.01</v>
      </c>
      <c r="P101" s="968">
        <f>+NOMINA!BT100</f>
        <v>11.28</v>
      </c>
      <c r="Q101" s="963">
        <f t="shared" si="20"/>
        <v>82.84</v>
      </c>
      <c r="R101" s="963">
        <f t="shared" si="21"/>
        <v>117.75</v>
      </c>
      <c r="S101" s="972">
        <v>0</v>
      </c>
      <c r="T101" s="443" t="e">
        <f>#REF!+#REF!-M101</f>
        <v>#REF!</v>
      </c>
      <c r="U101" s="952" t="e">
        <f>ROUND((#REF!+#REF!+#REF!+#REF!+#REF!+#REF!+#REF!+#REF!+#REF!),2)</f>
        <v>#REF!</v>
      </c>
      <c r="Y101" s="953" t="e">
        <f>#REF!+#REF!-M101</f>
        <v>#REF!</v>
      </c>
      <c r="Z101" s="954" t="e">
        <f>#REF!</f>
        <v>#REF!</v>
      </c>
      <c r="AA101" s="953" t="e">
        <f>#REF!+#REF!</f>
        <v>#REF!</v>
      </c>
      <c r="AB101" s="954" t="e">
        <f>#REF!</f>
        <v>#REF!</v>
      </c>
      <c r="AC101" s="955">
        <v>0</v>
      </c>
      <c r="AD101" s="954" t="e">
        <f>#REF!</f>
        <v>#REF!</v>
      </c>
      <c r="AE101" s="956" t="e">
        <f>#REF!+#REF!</f>
        <v>#REF!</v>
      </c>
      <c r="AF101" s="956" t="e">
        <f>#REF!+#REF!</f>
        <v>#REF!</v>
      </c>
      <c r="AG101" s="956"/>
      <c r="AH101" s="954" t="e">
        <f>#REF!</f>
        <v>#REF!</v>
      </c>
      <c r="AI101" s="954" t="e">
        <f t="shared" si="15"/>
        <v>#REF!</v>
      </c>
      <c r="AJ101" s="954">
        <f t="shared" si="16"/>
        <v>117.75</v>
      </c>
      <c r="AK101" s="954">
        <f t="shared" si="17"/>
        <v>0</v>
      </c>
      <c r="AL101" s="625"/>
    </row>
    <row r="102" spans="1:38" s="620" customFormat="1" ht="20.100000000000001" customHeight="1" x14ac:dyDescent="0.2">
      <c r="A102" s="759">
        <f t="shared" si="22"/>
        <v>58</v>
      </c>
      <c r="B102" s="957">
        <f>+NOMINA!C101</f>
        <v>11318142</v>
      </c>
      <c r="C102" s="958" t="str">
        <f>+NOMINA!D101</f>
        <v>Perdomo Rosales Modesto Ramon</v>
      </c>
      <c r="D102" s="955" t="s">
        <v>4622</v>
      </c>
      <c r="E102" s="959">
        <v>32351</v>
      </c>
      <c r="F102" s="955" t="s">
        <v>4620</v>
      </c>
      <c r="G102" s="971">
        <f>+NOMINA!H101</f>
        <v>43983</v>
      </c>
      <c r="H102" s="961">
        <f t="shared" si="18"/>
        <v>2</v>
      </c>
      <c r="I102" s="962">
        <v>0</v>
      </c>
      <c r="J102" s="968">
        <f>+NOMINA!BL101</f>
        <v>13.27</v>
      </c>
      <c r="K102" s="968">
        <f>+NOMINA!BM101</f>
        <v>1.66</v>
      </c>
      <c r="L102" s="968">
        <f>+NOMINA!BN101</f>
        <v>2.88</v>
      </c>
      <c r="M102" s="963">
        <f t="shared" si="19"/>
        <v>17.809999999999999</v>
      </c>
      <c r="N102" s="968">
        <f>+NOMINA!BR101</f>
        <v>29.86</v>
      </c>
      <c r="O102" s="968">
        <f>+NOMINA!BS101</f>
        <v>6.63</v>
      </c>
      <c r="P102" s="968">
        <f>+NOMINA!BT101</f>
        <v>5.76</v>
      </c>
      <c r="Q102" s="963">
        <f t="shared" si="20"/>
        <v>42.25</v>
      </c>
      <c r="R102" s="963">
        <f t="shared" si="21"/>
        <v>60.06</v>
      </c>
      <c r="S102" s="972">
        <v>0</v>
      </c>
      <c r="T102" s="443" t="e">
        <f>#REF!+#REF!-M102</f>
        <v>#REF!</v>
      </c>
      <c r="U102" s="952" t="e">
        <f>ROUND((#REF!+#REF!+#REF!+#REF!+#REF!+#REF!+#REF!+#REF!+#REF!),2)</f>
        <v>#REF!</v>
      </c>
      <c r="Y102" s="953" t="e">
        <f>#REF!+#REF!-M102</f>
        <v>#REF!</v>
      </c>
      <c r="Z102" s="954" t="e">
        <f>#REF!</f>
        <v>#REF!</v>
      </c>
      <c r="AA102" s="953" t="e">
        <f>#REF!+#REF!</f>
        <v>#REF!</v>
      </c>
      <c r="AB102" s="954" t="e">
        <f>#REF!</f>
        <v>#REF!</v>
      </c>
      <c r="AC102" s="955">
        <v>0</v>
      </c>
      <c r="AD102" s="954" t="e">
        <f>#REF!</f>
        <v>#REF!</v>
      </c>
      <c r="AE102" s="956" t="e">
        <f>#REF!+#REF!</f>
        <v>#REF!</v>
      </c>
      <c r="AF102" s="956" t="e">
        <f>#REF!+#REF!</f>
        <v>#REF!</v>
      </c>
      <c r="AG102" s="956"/>
      <c r="AH102" s="954" t="e">
        <f>#REF!</f>
        <v>#REF!</v>
      </c>
      <c r="AI102" s="954" t="e">
        <f t="shared" si="15"/>
        <v>#REF!</v>
      </c>
      <c r="AJ102" s="954">
        <f t="shared" si="16"/>
        <v>60.06</v>
      </c>
      <c r="AK102" s="954">
        <f t="shared" si="17"/>
        <v>0</v>
      </c>
      <c r="AL102" s="625"/>
    </row>
    <row r="103" spans="1:38" s="620" customFormat="1" ht="20.100000000000001" customHeight="1" x14ac:dyDescent="0.2">
      <c r="A103" s="759">
        <f t="shared" si="22"/>
        <v>59</v>
      </c>
      <c r="B103" s="957">
        <f>+NOMINA!C102</f>
        <v>11318697</v>
      </c>
      <c r="C103" s="958" t="str">
        <f>+NOMINA!D102</f>
        <v>Sardi Hernandez Gladis Josefina</v>
      </c>
      <c r="D103" s="955" t="s">
        <v>4622</v>
      </c>
      <c r="E103" s="959">
        <v>32351</v>
      </c>
      <c r="F103" s="955" t="s">
        <v>4620</v>
      </c>
      <c r="G103" s="971">
        <f>+NOMINA!H102</f>
        <v>39539</v>
      </c>
      <c r="H103" s="961">
        <f t="shared" si="18"/>
        <v>14</v>
      </c>
      <c r="I103" s="962">
        <v>0</v>
      </c>
      <c r="J103" s="968">
        <f>+NOMINA!BL102</f>
        <v>15.85</v>
      </c>
      <c r="K103" s="968">
        <f>+NOMINA!BM102</f>
        <v>1.98</v>
      </c>
      <c r="L103" s="968">
        <f>+NOMINA!BN102</f>
        <v>3.43</v>
      </c>
      <c r="M103" s="963">
        <f t="shared" si="19"/>
        <v>21.26</v>
      </c>
      <c r="N103" s="968">
        <f>+NOMINA!BR102</f>
        <v>35.65</v>
      </c>
      <c r="O103" s="968">
        <f>+NOMINA!BS102</f>
        <v>7.92</v>
      </c>
      <c r="P103" s="968">
        <f>+NOMINA!BT102</f>
        <v>6.86</v>
      </c>
      <c r="Q103" s="963">
        <f t="shared" si="20"/>
        <v>50.43</v>
      </c>
      <c r="R103" s="963">
        <f t="shared" si="21"/>
        <v>71.69</v>
      </c>
      <c r="S103" s="972">
        <v>0</v>
      </c>
      <c r="T103" s="443" t="e">
        <f>#REF!+#REF!-M103</f>
        <v>#REF!</v>
      </c>
      <c r="U103" s="952" t="e">
        <f>ROUND((#REF!+#REF!+#REF!+#REF!+#REF!+#REF!+#REF!+#REF!+#REF!),2)</f>
        <v>#REF!</v>
      </c>
      <c r="Y103" s="953" t="e">
        <f>#REF!+#REF!-M103</f>
        <v>#REF!</v>
      </c>
      <c r="Z103" s="954" t="e">
        <f>#REF!</f>
        <v>#REF!</v>
      </c>
      <c r="AA103" s="953" t="e">
        <f>#REF!+#REF!</f>
        <v>#REF!</v>
      </c>
      <c r="AB103" s="954" t="e">
        <f>#REF!</f>
        <v>#REF!</v>
      </c>
      <c r="AC103" s="955">
        <v>0</v>
      </c>
      <c r="AD103" s="954" t="e">
        <f>#REF!</f>
        <v>#REF!</v>
      </c>
      <c r="AE103" s="956" t="e">
        <f>#REF!+#REF!</f>
        <v>#REF!</v>
      </c>
      <c r="AF103" s="956" t="e">
        <f>#REF!+#REF!</f>
        <v>#REF!</v>
      </c>
      <c r="AG103" s="956"/>
      <c r="AH103" s="954" t="e">
        <f>#REF!</f>
        <v>#REF!</v>
      </c>
      <c r="AI103" s="954" t="e">
        <f t="shared" si="15"/>
        <v>#REF!</v>
      </c>
      <c r="AJ103" s="954">
        <f t="shared" si="16"/>
        <v>71.69</v>
      </c>
      <c r="AK103" s="954">
        <f t="shared" si="17"/>
        <v>0</v>
      </c>
      <c r="AL103" s="625"/>
    </row>
    <row r="104" spans="1:38" s="620" customFormat="1" ht="20.100000000000001" customHeight="1" x14ac:dyDescent="0.2">
      <c r="A104" s="759">
        <f t="shared" si="22"/>
        <v>60</v>
      </c>
      <c r="B104" s="957">
        <f>+NOMINA!C103</f>
        <v>11319154</v>
      </c>
      <c r="C104" s="958" t="str">
        <f>+NOMINA!D103</f>
        <v>Peña Villegas Lisette Carolina</v>
      </c>
      <c r="D104" s="955" t="s">
        <v>4622</v>
      </c>
      <c r="E104" s="959">
        <v>32351</v>
      </c>
      <c r="F104" s="955" t="s">
        <v>4620</v>
      </c>
      <c r="G104" s="971">
        <f>+NOMINA!H103</f>
        <v>34428</v>
      </c>
      <c r="H104" s="961">
        <f t="shared" si="18"/>
        <v>28</v>
      </c>
      <c r="I104" s="962">
        <v>0</v>
      </c>
      <c r="J104" s="968">
        <f>+NOMINA!BL103</f>
        <v>33.700000000000003</v>
      </c>
      <c r="K104" s="968">
        <f>+NOMINA!BM103</f>
        <v>4.21</v>
      </c>
      <c r="L104" s="968">
        <f>+NOMINA!BN103</f>
        <v>7.3</v>
      </c>
      <c r="M104" s="963">
        <f t="shared" si="19"/>
        <v>45.21</v>
      </c>
      <c r="N104" s="968">
        <f>+NOMINA!BR103</f>
        <v>75.819999999999993</v>
      </c>
      <c r="O104" s="968">
        <f>+NOMINA!BS103</f>
        <v>16.850000000000001</v>
      </c>
      <c r="P104" s="968">
        <f>+NOMINA!BT103</f>
        <v>14.6</v>
      </c>
      <c r="Q104" s="963">
        <f t="shared" si="20"/>
        <v>107.27</v>
      </c>
      <c r="R104" s="963">
        <f t="shared" si="21"/>
        <v>152.47999999999999</v>
      </c>
      <c r="S104" s="972">
        <v>0</v>
      </c>
      <c r="T104" s="443" t="e">
        <f>#REF!+#REF!-M104</f>
        <v>#REF!</v>
      </c>
      <c r="U104" s="952" t="e">
        <f>ROUND((#REF!+#REF!+#REF!+#REF!+#REF!+#REF!+#REF!+#REF!+#REF!),2)</f>
        <v>#REF!</v>
      </c>
      <c r="Y104" s="953" t="e">
        <f>#REF!+#REF!-M104</f>
        <v>#REF!</v>
      </c>
      <c r="Z104" s="954" t="e">
        <f>#REF!</f>
        <v>#REF!</v>
      </c>
      <c r="AA104" s="953" t="e">
        <f>#REF!+#REF!</f>
        <v>#REF!</v>
      </c>
      <c r="AB104" s="954" t="e">
        <f>#REF!</f>
        <v>#REF!</v>
      </c>
      <c r="AC104" s="955">
        <v>0</v>
      </c>
      <c r="AD104" s="954" t="e">
        <f>#REF!</f>
        <v>#REF!</v>
      </c>
      <c r="AE104" s="956" t="e">
        <f>#REF!+#REF!</f>
        <v>#REF!</v>
      </c>
      <c r="AF104" s="956" t="e">
        <f>#REF!+#REF!</f>
        <v>#REF!</v>
      </c>
      <c r="AG104" s="956"/>
      <c r="AH104" s="954" t="e">
        <f>#REF!</f>
        <v>#REF!</v>
      </c>
      <c r="AI104" s="954" t="e">
        <f t="shared" si="15"/>
        <v>#REF!</v>
      </c>
      <c r="AJ104" s="954">
        <f t="shared" si="16"/>
        <v>152.47999999999999</v>
      </c>
      <c r="AK104" s="954">
        <f t="shared" si="17"/>
        <v>0</v>
      </c>
      <c r="AL104" s="625"/>
    </row>
    <row r="105" spans="1:38" s="620" customFormat="1" ht="20.100000000000001" customHeight="1" x14ac:dyDescent="0.2">
      <c r="A105" s="759">
        <f t="shared" si="22"/>
        <v>61</v>
      </c>
      <c r="B105" s="957">
        <f>+NOMINA!C104</f>
        <v>11320533</v>
      </c>
      <c r="C105" s="958" t="str">
        <f>+NOMINA!D104</f>
        <v>Suarez Chiquin Yaritza Josefina</v>
      </c>
      <c r="D105" s="955" t="s">
        <v>4622</v>
      </c>
      <c r="E105" s="959">
        <v>32351</v>
      </c>
      <c r="F105" s="955" t="s">
        <v>4620</v>
      </c>
      <c r="G105" s="971">
        <f>+NOMINA!H104</f>
        <v>37629</v>
      </c>
      <c r="H105" s="961">
        <f t="shared" si="18"/>
        <v>19</v>
      </c>
      <c r="I105" s="962">
        <v>0</v>
      </c>
      <c r="J105" s="968">
        <f>+NOMINA!BL104</f>
        <v>0</v>
      </c>
      <c r="K105" s="968">
        <f>+NOMINA!BM104</f>
        <v>0</v>
      </c>
      <c r="L105" s="968">
        <f>+NOMINA!BN104</f>
        <v>0</v>
      </c>
      <c r="M105" s="963">
        <f t="shared" si="19"/>
        <v>0</v>
      </c>
      <c r="N105" s="968">
        <f>+NOMINA!BR104</f>
        <v>0</v>
      </c>
      <c r="O105" s="968">
        <f>+NOMINA!BS104</f>
        <v>0</v>
      </c>
      <c r="P105" s="968">
        <f>+NOMINA!BT104</f>
        <v>0</v>
      </c>
      <c r="Q105" s="963">
        <f t="shared" si="20"/>
        <v>0</v>
      </c>
      <c r="R105" s="963">
        <f t="shared" si="21"/>
        <v>0</v>
      </c>
      <c r="S105" s="972">
        <v>0</v>
      </c>
      <c r="T105" s="443" t="e">
        <f>#REF!+#REF!-M105</f>
        <v>#REF!</v>
      </c>
      <c r="U105" s="952" t="e">
        <f>ROUND((#REF!+#REF!+#REF!+#REF!+#REF!+#REF!+#REF!+#REF!+#REF!),2)</f>
        <v>#REF!</v>
      </c>
      <c r="Y105" s="953" t="e">
        <f>#REF!+#REF!-M105</f>
        <v>#REF!</v>
      </c>
      <c r="Z105" s="954" t="e">
        <f>#REF!</f>
        <v>#REF!</v>
      </c>
      <c r="AA105" s="953" t="e">
        <f>#REF!+#REF!</f>
        <v>#REF!</v>
      </c>
      <c r="AB105" s="954" t="e">
        <f>#REF!</f>
        <v>#REF!</v>
      </c>
      <c r="AC105" s="955">
        <v>0</v>
      </c>
      <c r="AD105" s="954" t="e">
        <f>#REF!</f>
        <v>#REF!</v>
      </c>
      <c r="AE105" s="956" t="e">
        <f>#REF!+#REF!</f>
        <v>#REF!</v>
      </c>
      <c r="AF105" s="956" t="e">
        <f>#REF!+#REF!</f>
        <v>#REF!</v>
      </c>
      <c r="AG105" s="956"/>
      <c r="AH105" s="954" t="e">
        <f>#REF!</f>
        <v>#REF!</v>
      </c>
      <c r="AI105" s="954" t="e">
        <f t="shared" si="15"/>
        <v>#REF!</v>
      </c>
      <c r="AJ105" s="954">
        <f t="shared" si="16"/>
        <v>0</v>
      </c>
      <c r="AK105" s="954">
        <f t="shared" si="17"/>
        <v>0</v>
      </c>
      <c r="AL105" s="625"/>
    </row>
    <row r="106" spans="1:38" s="620" customFormat="1" ht="20.100000000000001" customHeight="1" x14ac:dyDescent="0.2">
      <c r="A106" s="759">
        <f t="shared" si="22"/>
        <v>62</v>
      </c>
      <c r="B106" s="957">
        <f>+NOMINA!C105</f>
        <v>11322871</v>
      </c>
      <c r="C106" s="958" t="str">
        <f>+NOMINA!D105</f>
        <v>Rivas Albarran Martin Antonio</v>
      </c>
      <c r="D106" s="955" t="s">
        <v>4622</v>
      </c>
      <c r="E106" s="959">
        <v>32351</v>
      </c>
      <c r="F106" s="955" t="s">
        <v>4620</v>
      </c>
      <c r="G106" s="971">
        <f>+NOMINA!H105</f>
        <v>38718</v>
      </c>
      <c r="H106" s="961">
        <f t="shared" si="18"/>
        <v>16</v>
      </c>
      <c r="I106" s="962">
        <v>0</v>
      </c>
      <c r="J106" s="968">
        <f>+NOMINA!BL105</f>
        <v>28.1</v>
      </c>
      <c r="K106" s="968">
        <f>+NOMINA!BM105</f>
        <v>3.51</v>
      </c>
      <c r="L106" s="968">
        <f>+NOMINA!BN105</f>
        <v>6.09</v>
      </c>
      <c r="M106" s="963">
        <f t="shared" si="19"/>
        <v>37.700000000000003</v>
      </c>
      <c r="N106" s="968">
        <f>+NOMINA!BR105</f>
        <v>63.22</v>
      </c>
      <c r="O106" s="968">
        <f>+NOMINA!BS105</f>
        <v>14.05</v>
      </c>
      <c r="P106" s="968">
        <f>+NOMINA!BT105</f>
        <v>12.18</v>
      </c>
      <c r="Q106" s="963">
        <f t="shared" si="20"/>
        <v>89.45</v>
      </c>
      <c r="R106" s="963">
        <f t="shared" si="21"/>
        <v>127.15</v>
      </c>
      <c r="S106" s="972">
        <v>0</v>
      </c>
      <c r="T106" s="443" t="e">
        <f>#REF!+#REF!-M106</f>
        <v>#REF!</v>
      </c>
      <c r="U106" s="952" t="e">
        <f>ROUND((#REF!+#REF!+#REF!+#REF!+#REF!+#REF!+#REF!+#REF!+#REF!),2)</f>
        <v>#REF!</v>
      </c>
      <c r="Y106" s="953" t="e">
        <f>#REF!+#REF!-M106</f>
        <v>#REF!</v>
      </c>
      <c r="Z106" s="954" t="e">
        <f>#REF!</f>
        <v>#REF!</v>
      </c>
      <c r="AA106" s="953" t="e">
        <f>#REF!+#REF!</f>
        <v>#REF!</v>
      </c>
      <c r="AB106" s="954" t="e">
        <f>#REF!</f>
        <v>#REF!</v>
      </c>
      <c r="AC106" s="955">
        <v>0</v>
      </c>
      <c r="AD106" s="954" t="e">
        <f>#REF!</f>
        <v>#REF!</v>
      </c>
      <c r="AE106" s="956" t="e">
        <f>#REF!+#REF!</f>
        <v>#REF!</v>
      </c>
      <c r="AF106" s="956" t="e">
        <f>#REF!+#REF!</f>
        <v>#REF!</v>
      </c>
      <c r="AG106" s="956"/>
      <c r="AH106" s="954" t="e">
        <f>#REF!</f>
        <v>#REF!</v>
      </c>
      <c r="AI106" s="954" t="e">
        <f t="shared" si="15"/>
        <v>#REF!</v>
      </c>
      <c r="AJ106" s="954">
        <f t="shared" si="16"/>
        <v>127.15</v>
      </c>
      <c r="AK106" s="954">
        <f t="shared" si="17"/>
        <v>0</v>
      </c>
      <c r="AL106" s="625"/>
    </row>
    <row r="107" spans="1:38" s="620" customFormat="1" ht="20.100000000000001" customHeight="1" x14ac:dyDescent="0.2">
      <c r="A107" s="759">
        <f t="shared" si="22"/>
        <v>63</v>
      </c>
      <c r="B107" s="957">
        <f>+NOMINA!C106</f>
        <v>11616673</v>
      </c>
      <c r="C107" s="958" t="str">
        <f>+NOMINA!D106</f>
        <v>Perdomo Orlando Jose</v>
      </c>
      <c r="D107" s="955" t="s">
        <v>4622</v>
      </c>
      <c r="E107" s="959">
        <v>32351</v>
      </c>
      <c r="F107" s="955" t="s">
        <v>4620</v>
      </c>
      <c r="G107" s="971">
        <f>+NOMINA!H106</f>
        <v>35066</v>
      </c>
      <c r="H107" s="961">
        <f t="shared" si="18"/>
        <v>26</v>
      </c>
      <c r="I107" s="962">
        <v>0</v>
      </c>
      <c r="J107" s="968">
        <f>+NOMINA!BL106</f>
        <v>29.03</v>
      </c>
      <c r="K107" s="968">
        <f>+NOMINA!BM106</f>
        <v>3.63</v>
      </c>
      <c r="L107" s="968">
        <f>+NOMINA!BN106</f>
        <v>6.29</v>
      </c>
      <c r="M107" s="963">
        <f t="shared" si="19"/>
        <v>38.950000000000003</v>
      </c>
      <c r="N107" s="968">
        <f>+NOMINA!BR106</f>
        <v>65.31</v>
      </c>
      <c r="O107" s="968">
        <f>+NOMINA!BS106</f>
        <v>14.51</v>
      </c>
      <c r="P107" s="968">
        <f>+NOMINA!BT106</f>
        <v>12.58</v>
      </c>
      <c r="Q107" s="963">
        <f t="shared" si="20"/>
        <v>92.4</v>
      </c>
      <c r="R107" s="963">
        <f t="shared" si="21"/>
        <v>131.35000000000002</v>
      </c>
      <c r="S107" s="972">
        <v>0</v>
      </c>
      <c r="T107" s="443" t="e">
        <f>#REF!+#REF!-M107</f>
        <v>#REF!</v>
      </c>
      <c r="U107" s="952" t="e">
        <f>ROUND((#REF!+#REF!+#REF!+#REF!+#REF!+#REF!+#REF!+#REF!+#REF!),2)</f>
        <v>#REF!</v>
      </c>
      <c r="Y107" s="953" t="e">
        <f>#REF!+#REF!-M107</f>
        <v>#REF!</v>
      </c>
      <c r="Z107" s="954" t="e">
        <f>#REF!</f>
        <v>#REF!</v>
      </c>
      <c r="AA107" s="953" t="e">
        <f>#REF!+#REF!</f>
        <v>#REF!</v>
      </c>
      <c r="AB107" s="954" t="e">
        <f>#REF!</f>
        <v>#REF!</v>
      </c>
      <c r="AC107" s="955">
        <v>0</v>
      </c>
      <c r="AD107" s="954" t="e">
        <f>#REF!</f>
        <v>#REF!</v>
      </c>
      <c r="AE107" s="956" t="e">
        <f>#REF!+#REF!</f>
        <v>#REF!</v>
      </c>
      <c r="AF107" s="956" t="e">
        <f>#REF!+#REF!</f>
        <v>#REF!</v>
      </c>
      <c r="AG107" s="956"/>
      <c r="AH107" s="954" t="e">
        <f>#REF!</f>
        <v>#REF!</v>
      </c>
      <c r="AI107" s="954" t="e">
        <f t="shared" si="15"/>
        <v>#REF!</v>
      </c>
      <c r="AJ107" s="954">
        <f t="shared" si="16"/>
        <v>131.35000000000002</v>
      </c>
      <c r="AK107" s="954">
        <f t="shared" si="17"/>
        <v>0</v>
      </c>
      <c r="AL107" s="625"/>
    </row>
    <row r="108" spans="1:38" s="620" customFormat="1" ht="20.100000000000001" customHeight="1" x14ac:dyDescent="0.2">
      <c r="A108" s="759">
        <f t="shared" si="22"/>
        <v>64</v>
      </c>
      <c r="B108" s="957">
        <f>+NOMINA!C107</f>
        <v>11734553</v>
      </c>
      <c r="C108" s="958" t="str">
        <f>+NOMINA!D107</f>
        <v>Teran Torres Olga del Carmen</v>
      </c>
      <c r="D108" s="955" t="s">
        <v>4622</v>
      </c>
      <c r="E108" s="959">
        <v>32351</v>
      </c>
      <c r="F108" s="955" t="s">
        <v>4620</v>
      </c>
      <c r="G108" s="971">
        <f>+NOMINA!H107</f>
        <v>43206</v>
      </c>
      <c r="H108" s="961">
        <f t="shared" si="18"/>
        <v>4</v>
      </c>
      <c r="I108" s="962">
        <v>0</v>
      </c>
      <c r="J108" s="968">
        <f>+NOMINA!BL107</f>
        <v>28.71</v>
      </c>
      <c r="K108" s="968">
        <f>+NOMINA!BM107</f>
        <v>3.59</v>
      </c>
      <c r="L108" s="968">
        <f>+NOMINA!BN107</f>
        <v>6.22</v>
      </c>
      <c r="M108" s="963">
        <f t="shared" si="19"/>
        <v>38.520000000000003</v>
      </c>
      <c r="N108" s="968">
        <f>+NOMINA!BR107</f>
        <v>64.599999999999994</v>
      </c>
      <c r="O108" s="968">
        <f>+NOMINA!BS107</f>
        <v>14.36</v>
      </c>
      <c r="P108" s="968">
        <f>+NOMINA!BT107</f>
        <v>12.44</v>
      </c>
      <c r="Q108" s="963">
        <f t="shared" si="20"/>
        <v>91.4</v>
      </c>
      <c r="R108" s="963">
        <f t="shared" si="21"/>
        <v>129.92000000000002</v>
      </c>
      <c r="S108" s="972">
        <v>0</v>
      </c>
      <c r="T108" s="443" t="e">
        <f>#REF!+#REF!-M108</f>
        <v>#REF!</v>
      </c>
      <c r="U108" s="952" t="e">
        <f>ROUND((#REF!+#REF!+#REF!+#REF!+#REF!+#REF!+#REF!+#REF!+#REF!),2)</f>
        <v>#REF!</v>
      </c>
      <c r="Y108" s="953" t="e">
        <f>#REF!+#REF!-M108</f>
        <v>#REF!</v>
      </c>
      <c r="Z108" s="954" t="e">
        <f>#REF!</f>
        <v>#REF!</v>
      </c>
      <c r="AA108" s="953" t="e">
        <f>#REF!+#REF!</f>
        <v>#REF!</v>
      </c>
      <c r="AB108" s="954" t="e">
        <f>#REF!</f>
        <v>#REF!</v>
      </c>
      <c r="AC108" s="955">
        <v>0</v>
      </c>
      <c r="AD108" s="954" t="e">
        <f>#REF!</f>
        <v>#REF!</v>
      </c>
      <c r="AE108" s="956" t="e">
        <f>#REF!+#REF!</f>
        <v>#REF!</v>
      </c>
      <c r="AF108" s="956" t="e">
        <f>#REF!+#REF!</f>
        <v>#REF!</v>
      </c>
      <c r="AG108" s="956"/>
      <c r="AH108" s="954" t="e">
        <f>#REF!</f>
        <v>#REF!</v>
      </c>
      <c r="AI108" s="954" t="e">
        <f t="shared" si="15"/>
        <v>#REF!</v>
      </c>
      <c r="AJ108" s="954">
        <f t="shared" si="16"/>
        <v>129.92000000000002</v>
      </c>
      <c r="AK108" s="954">
        <f t="shared" si="17"/>
        <v>0</v>
      </c>
      <c r="AL108" s="625"/>
    </row>
    <row r="109" spans="1:38" s="620" customFormat="1" ht="20.100000000000001" customHeight="1" x14ac:dyDescent="0.2">
      <c r="A109" s="759">
        <f t="shared" si="22"/>
        <v>65</v>
      </c>
      <c r="B109" s="957">
        <f>+NOMINA!C108</f>
        <v>11894534</v>
      </c>
      <c r="C109" s="958" t="str">
        <f>+NOMINA!D108</f>
        <v>Olmos Rodriguez Eberto de Jesus</v>
      </c>
      <c r="D109" s="955" t="s">
        <v>4622</v>
      </c>
      <c r="E109" s="959">
        <v>32351</v>
      </c>
      <c r="F109" s="955" t="s">
        <v>4620</v>
      </c>
      <c r="G109" s="971">
        <f>+NOMINA!H108</f>
        <v>40909</v>
      </c>
      <c r="H109" s="961">
        <f t="shared" si="18"/>
        <v>10</v>
      </c>
      <c r="I109" s="962">
        <v>0</v>
      </c>
      <c r="J109" s="968">
        <f>+NOMINA!BL108</f>
        <v>0</v>
      </c>
      <c r="K109" s="968">
        <f>+NOMINA!BM108</f>
        <v>0</v>
      </c>
      <c r="L109" s="968">
        <f>+NOMINA!BN108</f>
        <v>0</v>
      </c>
      <c r="M109" s="963">
        <f t="shared" si="19"/>
        <v>0</v>
      </c>
      <c r="N109" s="968">
        <f>+NOMINA!BR108</f>
        <v>0</v>
      </c>
      <c r="O109" s="968">
        <f>+NOMINA!BS108</f>
        <v>0</v>
      </c>
      <c r="P109" s="968">
        <f>+NOMINA!BT108</f>
        <v>0</v>
      </c>
      <c r="Q109" s="963">
        <f t="shared" si="20"/>
        <v>0</v>
      </c>
      <c r="R109" s="963">
        <f t="shared" si="21"/>
        <v>0</v>
      </c>
      <c r="S109" s="972">
        <v>0</v>
      </c>
      <c r="T109" s="443" t="e">
        <f>#REF!+#REF!-M109</f>
        <v>#REF!</v>
      </c>
      <c r="U109" s="952" t="e">
        <f>ROUND((#REF!+#REF!+#REF!+#REF!+#REF!+#REF!+#REF!+#REF!+#REF!),2)</f>
        <v>#REF!</v>
      </c>
      <c r="Y109" s="953" t="e">
        <f>#REF!+#REF!-M109</f>
        <v>#REF!</v>
      </c>
      <c r="Z109" s="954" t="e">
        <f>#REF!</f>
        <v>#REF!</v>
      </c>
      <c r="AA109" s="953" t="e">
        <f>#REF!+#REF!</f>
        <v>#REF!</v>
      </c>
      <c r="AB109" s="954" t="e">
        <f>#REF!</f>
        <v>#REF!</v>
      </c>
      <c r="AC109" s="955">
        <v>0</v>
      </c>
      <c r="AD109" s="954" t="e">
        <f>#REF!</f>
        <v>#REF!</v>
      </c>
      <c r="AE109" s="956" t="e">
        <f>#REF!+#REF!</f>
        <v>#REF!</v>
      </c>
      <c r="AF109" s="956" t="e">
        <f>#REF!+#REF!</f>
        <v>#REF!</v>
      </c>
      <c r="AG109" s="956"/>
      <c r="AH109" s="954" t="e">
        <f>#REF!</f>
        <v>#REF!</v>
      </c>
      <c r="AI109" s="954" t="e">
        <f t="shared" ref="AI109:AI171" si="23">SUM(AA109:AH109)</f>
        <v>#REF!</v>
      </c>
      <c r="AJ109" s="954">
        <f t="shared" ref="AJ109:AJ171" si="24">M109+Q109</f>
        <v>0</v>
      </c>
      <c r="AK109" s="954">
        <f t="shared" ref="AK109:AK171" si="25">S109</f>
        <v>0</v>
      </c>
      <c r="AL109" s="625"/>
    </row>
    <row r="110" spans="1:38" s="620" customFormat="1" ht="20.100000000000001" customHeight="1" x14ac:dyDescent="0.2">
      <c r="A110" s="759">
        <f t="shared" si="22"/>
        <v>66</v>
      </c>
      <c r="B110" s="957">
        <f>+NOMINA!C109</f>
        <v>11895772</v>
      </c>
      <c r="C110" s="958" t="str">
        <f>+NOMINA!D109</f>
        <v>Rangel Rivas Ildemaro</v>
      </c>
      <c r="D110" s="955" t="s">
        <v>4622</v>
      </c>
      <c r="E110" s="959">
        <v>32351</v>
      </c>
      <c r="F110" s="955" t="s">
        <v>4620</v>
      </c>
      <c r="G110" s="971">
        <f>+NOMINA!H109</f>
        <v>44743</v>
      </c>
      <c r="H110" s="961">
        <f t="shared" ref="H110:H173" si="26">IF(AND(YEAR(G110)&lt;2023,MONTH(G110)&gt;$N$8),2023-YEAR(G110)-1,IF(OR(G110="",YEAR(G110)&gt;2023),0,2023-YEAR(G110)))</f>
        <v>0</v>
      </c>
      <c r="I110" s="962">
        <v>0</v>
      </c>
      <c r="J110" s="968">
        <f>+NOMINA!BL109</f>
        <v>0</v>
      </c>
      <c r="K110" s="968">
        <f>+NOMINA!BM109</f>
        <v>0</v>
      </c>
      <c r="L110" s="968">
        <f>+NOMINA!BN109</f>
        <v>0</v>
      </c>
      <c r="M110" s="963">
        <f t="shared" ref="M110:M173" si="27">ROUND(SUM(J110:L110),2)</f>
        <v>0</v>
      </c>
      <c r="N110" s="968">
        <f>+NOMINA!BR109</f>
        <v>0</v>
      </c>
      <c r="O110" s="968">
        <f>+NOMINA!BS109</f>
        <v>0</v>
      </c>
      <c r="P110" s="968">
        <f>+NOMINA!BT109</f>
        <v>0</v>
      </c>
      <c r="Q110" s="963">
        <f t="shared" ref="Q110:Q173" si="28">ROUND(SUM(N110:P110),2)</f>
        <v>0</v>
      </c>
      <c r="R110" s="963">
        <f t="shared" ref="R110:R173" si="29">M110+Q110</f>
        <v>0</v>
      </c>
      <c r="S110" s="972">
        <v>0</v>
      </c>
      <c r="T110" s="443" t="e">
        <f>#REF!+#REF!-M110</f>
        <v>#REF!</v>
      </c>
      <c r="U110" s="952" t="e">
        <f>ROUND((#REF!+#REF!+#REF!+#REF!+#REF!+#REF!+#REF!+#REF!+#REF!),2)</f>
        <v>#REF!</v>
      </c>
      <c r="Y110" s="953" t="e">
        <f>#REF!+#REF!-M110</f>
        <v>#REF!</v>
      </c>
      <c r="Z110" s="954" t="e">
        <f>#REF!</f>
        <v>#REF!</v>
      </c>
      <c r="AA110" s="953" t="e">
        <f>#REF!+#REF!</f>
        <v>#REF!</v>
      </c>
      <c r="AB110" s="954" t="e">
        <f>#REF!</f>
        <v>#REF!</v>
      </c>
      <c r="AC110" s="955">
        <v>0</v>
      </c>
      <c r="AD110" s="954" t="e">
        <f>#REF!</f>
        <v>#REF!</v>
      </c>
      <c r="AE110" s="956" t="e">
        <f>#REF!+#REF!</f>
        <v>#REF!</v>
      </c>
      <c r="AF110" s="956" t="e">
        <f>#REF!+#REF!</f>
        <v>#REF!</v>
      </c>
      <c r="AG110" s="956"/>
      <c r="AH110" s="954" t="e">
        <f>#REF!</f>
        <v>#REF!</v>
      </c>
      <c r="AI110" s="954" t="e">
        <f t="shared" si="23"/>
        <v>#REF!</v>
      </c>
      <c r="AJ110" s="954">
        <f t="shared" si="24"/>
        <v>0</v>
      </c>
      <c r="AK110" s="954">
        <f t="shared" si="25"/>
        <v>0</v>
      </c>
      <c r="AL110" s="625"/>
    </row>
    <row r="111" spans="1:38" s="620" customFormat="1" ht="20.100000000000001" customHeight="1" x14ac:dyDescent="0.2">
      <c r="A111" s="759">
        <f t="shared" ref="A111:A173" si="30">A110+1</f>
        <v>67</v>
      </c>
      <c r="B111" s="957">
        <f>+NOMINA!C110</f>
        <v>11898486</v>
      </c>
      <c r="C111" s="958" t="str">
        <f>+NOMINA!D110</f>
        <v>Linares Hernandez Thaiz Yoconda</v>
      </c>
      <c r="D111" s="955" t="s">
        <v>4622</v>
      </c>
      <c r="E111" s="959">
        <v>32351</v>
      </c>
      <c r="F111" s="955" t="s">
        <v>4620</v>
      </c>
      <c r="G111" s="971">
        <f>+NOMINA!H110</f>
        <v>40065</v>
      </c>
      <c r="H111" s="961">
        <f t="shared" si="26"/>
        <v>13</v>
      </c>
      <c r="I111" s="962">
        <v>0</v>
      </c>
      <c r="J111" s="968">
        <f>+NOMINA!BL110</f>
        <v>22.17</v>
      </c>
      <c r="K111" s="968">
        <f>+NOMINA!BM110</f>
        <v>2.77</v>
      </c>
      <c r="L111" s="968">
        <f>+NOMINA!BN110</f>
        <v>4.8</v>
      </c>
      <c r="M111" s="963">
        <f t="shared" si="27"/>
        <v>29.74</v>
      </c>
      <c r="N111" s="968">
        <f>+NOMINA!BR110</f>
        <v>49.88</v>
      </c>
      <c r="O111" s="968">
        <f>+NOMINA!BS110</f>
        <v>11.09</v>
      </c>
      <c r="P111" s="968">
        <f>+NOMINA!BT110</f>
        <v>9.6</v>
      </c>
      <c r="Q111" s="963">
        <f t="shared" si="28"/>
        <v>70.569999999999993</v>
      </c>
      <c r="R111" s="963">
        <f t="shared" si="29"/>
        <v>100.30999999999999</v>
      </c>
      <c r="S111" s="972">
        <v>0</v>
      </c>
      <c r="T111" s="443" t="e">
        <f>#REF!+#REF!-M111</f>
        <v>#REF!</v>
      </c>
      <c r="U111" s="952" t="e">
        <f>ROUND((#REF!+#REF!+#REF!+#REF!+#REF!+#REF!+#REF!+#REF!+#REF!),2)</f>
        <v>#REF!</v>
      </c>
      <c r="Y111" s="953" t="e">
        <f>#REF!+#REF!-M111</f>
        <v>#REF!</v>
      </c>
      <c r="Z111" s="954" t="e">
        <f>#REF!</f>
        <v>#REF!</v>
      </c>
      <c r="AA111" s="953" t="e">
        <f>#REF!+#REF!</f>
        <v>#REF!</v>
      </c>
      <c r="AB111" s="954" t="e">
        <f>#REF!</f>
        <v>#REF!</v>
      </c>
      <c r="AC111" s="955">
        <v>0</v>
      </c>
      <c r="AD111" s="954" t="e">
        <f>#REF!</f>
        <v>#REF!</v>
      </c>
      <c r="AE111" s="956" t="e">
        <f>#REF!+#REF!</f>
        <v>#REF!</v>
      </c>
      <c r="AF111" s="956" t="e">
        <f>#REF!+#REF!</f>
        <v>#REF!</v>
      </c>
      <c r="AG111" s="956"/>
      <c r="AH111" s="954" t="e">
        <f>#REF!</f>
        <v>#REF!</v>
      </c>
      <c r="AI111" s="954" t="e">
        <f t="shared" si="23"/>
        <v>#REF!</v>
      </c>
      <c r="AJ111" s="954">
        <f t="shared" si="24"/>
        <v>100.30999999999999</v>
      </c>
      <c r="AK111" s="954">
        <f t="shared" si="25"/>
        <v>0</v>
      </c>
      <c r="AL111" s="625"/>
    </row>
    <row r="112" spans="1:38" s="620" customFormat="1" ht="20.100000000000001" customHeight="1" x14ac:dyDescent="0.2">
      <c r="A112" s="759">
        <f t="shared" si="30"/>
        <v>68</v>
      </c>
      <c r="B112" s="957">
        <f>+NOMINA!C111</f>
        <v>12040792</v>
      </c>
      <c r="C112" s="958" t="str">
        <f>+NOMINA!D111</f>
        <v>Sulbaran Campos Jesus Alberto</v>
      </c>
      <c r="D112" s="955" t="s">
        <v>4622</v>
      </c>
      <c r="E112" s="959">
        <v>32351</v>
      </c>
      <c r="F112" s="955" t="s">
        <v>4620</v>
      </c>
      <c r="G112" s="971">
        <f>+NOMINA!H111</f>
        <v>43236</v>
      </c>
      <c r="H112" s="961">
        <f t="shared" si="26"/>
        <v>4</v>
      </c>
      <c r="I112" s="962">
        <v>0</v>
      </c>
      <c r="J112" s="968">
        <f>+NOMINA!BL111</f>
        <v>17.53</v>
      </c>
      <c r="K112" s="968">
        <f>+NOMINA!BM111</f>
        <v>2.19</v>
      </c>
      <c r="L112" s="968">
        <f>+NOMINA!BN111</f>
        <v>3.8</v>
      </c>
      <c r="M112" s="963">
        <f t="shared" si="27"/>
        <v>23.52</v>
      </c>
      <c r="N112" s="968">
        <f>+NOMINA!BR111</f>
        <v>39.450000000000003</v>
      </c>
      <c r="O112" s="968">
        <f>+NOMINA!BS111</f>
        <v>8.77</v>
      </c>
      <c r="P112" s="968">
        <f>+NOMINA!BT111</f>
        <v>7.6</v>
      </c>
      <c r="Q112" s="963">
        <f t="shared" si="28"/>
        <v>55.82</v>
      </c>
      <c r="R112" s="963">
        <f t="shared" si="29"/>
        <v>79.34</v>
      </c>
      <c r="S112" s="972">
        <v>0</v>
      </c>
      <c r="T112" s="443" t="e">
        <f>#REF!+#REF!-M112</f>
        <v>#REF!</v>
      </c>
      <c r="U112" s="952" t="e">
        <f>ROUND((#REF!+#REF!+#REF!+#REF!+#REF!+#REF!+#REF!+#REF!+#REF!),2)</f>
        <v>#REF!</v>
      </c>
      <c r="Y112" s="953" t="e">
        <f>#REF!+#REF!-M112</f>
        <v>#REF!</v>
      </c>
      <c r="Z112" s="954" t="e">
        <f>#REF!</f>
        <v>#REF!</v>
      </c>
      <c r="AA112" s="953" t="e">
        <f>#REF!+#REF!</f>
        <v>#REF!</v>
      </c>
      <c r="AB112" s="954" t="e">
        <f>#REF!</f>
        <v>#REF!</v>
      </c>
      <c r="AC112" s="955">
        <v>0</v>
      </c>
      <c r="AD112" s="954" t="e">
        <f>#REF!</f>
        <v>#REF!</v>
      </c>
      <c r="AE112" s="956" t="e">
        <f>#REF!+#REF!</f>
        <v>#REF!</v>
      </c>
      <c r="AF112" s="956" t="e">
        <f>#REF!+#REF!</f>
        <v>#REF!</v>
      </c>
      <c r="AG112" s="956"/>
      <c r="AH112" s="954" t="e">
        <f>#REF!</f>
        <v>#REF!</v>
      </c>
      <c r="AI112" s="954" t="e">
        <f t="shared" si="23"/>
        <v>#REF!</v>
      </c>
      <c r="AJ112" s="954">
        <f t="shared" si="24"/>
        <v>79.34</v>
      </c>
      <c r="AK112" s="954">
        <f t="shared" si="25"/>
        <v>0</v>
      </c>
      <c r="AL112" s="625"/>
    </row>
    <row r="113" spans="1:38" s="620" customFormat="1" ht="20.100000000000001" customHeight="1" x14ac:dyDescent="0.2">
      <c r="A113" s="759">
        <f t="shared" si="30"/>
        <v>69</v>
      </c>
      <c r="B113" s="957">
        <f>+NOMINA!C112</f>
        <v>12042855</v>
      </c>
      <c r="C113" s="958" t="str">
        <f>+NOMINA!D112</f>
        <v>Alburguez  Manzanilla Neira Josefina</v>
      </c>
      <c r="D113" s="955" t="s">
        <v>4622</v>
      </c>
      <c r="E113" s="959">
        <v>32351</v>
      </c>
      <c r="F113" s="955" t="s">
        <v>4620</v>
      </c>
      <c r="G113" s="971">
        <f>+NOMINA!H112</f>
        <v>44028</v>
      </c>
      <c r="H113" s="961">
        <f t="shared" si="26"/>
        <v>2</v>
      </c>
      <c r="I113" s="962">
        <v>0</v>
      </c>
      <c r="J113" s="968">
        <f>+NOMINA!BL112</f>
        <v>20.77</v>
      </c>
      <c r="K113" s="968">
        <f>+NOMINA!BM112</f>
        <v>2.6</v>
      </c>
      <c r="L113" s="968">
        <f>+NOMINA!BN112</f>
        <v>4.5</v>
      </c>
      <c r="M113" s="963">
        <f t="shared" si="27"/>
        <v>27.87</v>
      </c>
      <c r="N113" s="968">
        <f>+NOMINA!BR112</f>
        <v>46.72</v>
      </c>
      <c r="O113" s="968">
        <f>+NOMINA!BS112</f>
        <v>10.38</v>
      </c>
      <c r="P113" s="968">
        <f>+NOMINA!BT112</f>
        <v>9</v>
      </c>
      <c r="Q113" s="963">
        <f t="shared" si="28"/>
        <v>66.099999999999994</v>
      </c>
      <c r="R113" s="963">
        <f t="shared" si="29"/>
        <v>93.97</v>
      </c>
      <c r="S113" s="972">
        <v>0</v>
      </c>
      <c r="T113" s="443" t="e">
        <f>#REF!+#REF!-M113</f>
        <v>#REF!</v>
      </c>
      <c r="U113" s="952" t="e">
        <f>ROUND((#REF!+#REF!+#REF!+#REF!+#REF!+#REF!+#REF!+#REF!+#REF!),2)</f>
        <v>#REF!</v>
      </c>
      <c r="Y113" s="953" t="e">
        <f>#REF!+#REF!-M113</f>
        <v>#REF!</v>
      </c>
      <c r="Z113" s="954" t="e">
        <f>#REF!</f>
        <v>#REF!</v>
      </c>
      <c r="AA113" s="953" t="e">
        <f>#REF!+#REF!</f>
        <v>#REF!</v>
      </c>
      <c r="AB113" s="954" t="e">
        <f>#REF!</f>
        <v>#REF!</v>
      </c>
      <c r="AC113" s="955">
        <v>0</v>
      </c>
      <c r="AD113" s="954" t="e">
        <f>#REF!</f>
        <v>#REF!</v>
      </c>
      <c r="AE113" s="956" t="e">
        <f>#REF!+#REF!</f>
        <v>#REF!</v>
      </c>
      <c r="AF113" s="956" t="e">
        <f>#REF!+#REF!</f>
        <v>#REF!</v>
      </c>
      <c r="AG113" s="956"/>
      <c r="AH113" s="954" t="e">
        <f>#REF!</f>
        <v>#REF!</v>
      </c>
      <c r="AI113" s="954" t="e">
        <f t="shared" si="23"/>
        <v>#REF!</v>
      </c>
      <c r="AJ113" s="954">
        <f t="shared" si="24"/>
        <v>93.97</v>
      </c>
      <c r="AK113" s="954">
        <f t="shared" si="25"/>
        <v>0</v>
      </c>
      <c r="AL113" s="625"/>
    </row>
    <row r="114" spans="1:38" s="620" customFormat="1" ht="20.100000000000001" customHeight="1" x14ac:dyDescent="0.2">
      <c r="A114" s="759">
        <f t="shared" si="30"/>
        <v>70</v>
      </c>
      <c r="B114" s="957">
        <f>+NOMINA!C113</f>
        <v>12045335</v>
      </c>
      <c r="C114" s="958" t="str">
        <f>+NOMINA!D113</f>
        <v>Gonzalez De Briceño Yasmin Coromoto</v>
      </c>
      <c r="D114" s="955" t="s">
        <v>4622</v>
      </c>
      <c r="E114" s="959">
        <v>32351</v>
      </c>
      <c r="F114" s="955" t="s">
        <v>4620</v>
      </c>
      <c r="G114" s="971">
        <f>+NOMINA!H113</f>
        <v>45505</v>
      </c>
      <c r="H114" s="961">
        <f t="shared" si="26"/>
        <v>0</v>
      </c>
      <c r="I114" s="962">
        <v>0</v>
      </c>
      <c r="J114" s="968">
        <f>+NOMINA!BL113</f>
        <v>28.38</v>
      </c>
      <c r="K114" s="968">
        <f>+NOMINA!BM113</f>
        <v>3.55</v>
      </c>
      <c r="L114" s="968">
        <f>+NOMINA!BN113</f>
        <v>6.15</v>
      </c>
      <c r="M114" s="963">
        <f t="shared" si="27"/>
        <v>38.08</v>
      </c>
      <c r="N114" s="968">
        <f>+NOMINA!BR113</f>
        <v>63.87</v>
      </c>
      <c r="O114" s="968">
        <f>+NOMINA!BS113</f>
        <v>14.19</v>
      </c>
      <c r="P114" s="968">
        <f>+NOMINA!BT113</f>
        <v>12.3</v>
      </c>
      <c r="Q114" s="963">
        <f t="shared" si="28"/>
        <v>90.36</v>
      </c>
      <c r="R114" s="963">
        <f t="shared" si="29"/>
        <v>128.44</v>
      </c>
      <c r="S114" s="972">
        <v>0</v>
      </c>
      <c r="T114" s="443" t="e">
        <f>#REF!+#REF!-M114</f>
        <v>#REF!</v>
      </c>
      <c r="U114" s="952" t="e">
        <f>ROUND((#REF!+#REF!+#REF!+#REF!+#REF!+#REF!+#REF!+#REF!+#REF!),2)</f>
        <v>#REF!</v>
      </c>
      <c r="Y114" s="953" t="e">
        <f>#REF!+#REF!-M114</f>
        <v>#REF!</v>
      </c>
      <c r="Z114" s="954" t="e">
        <f>#REF!</f>
        <v>#REF!</v>
      </c>
      <c r="AA114" s="953" t="e">
        <f>#REF!+#REF!</f>
        <v>#REF!</v>
      </c>
      <c r="AB114" s="954" t="e">
        <f>#REF!</f>
        <v>#REF!</v>
      </c>
      <c r="AC114" s="955">
        <v>0</v>
      </c>
      <c r="AD114" s="954" t="e">
        <f>#REF!</f>
        <v>#REF!</v>
      </c>
      <c r="AE114" s="956" t="e">
        <f>#REF!+#REF!</f>
        <v>#REF!</v>
      </c>
      <c r="AF114" s="956" t="e">
        <f>#REF!+#REF!</f>
        <v>#REF!</v>
      </c>
      <c r="AG114" s="956"/>
      <c r="AH114" s="954" t="e">
        <f>#REF!</f>
        <v>#REF!</v>
      </c>
      <c r="AI114" s="954" t="e">
        <f t="shared" si="23"/>
        <v>#REF!</v>
      </c>
      <c r="AJ114" s="954">
        <f t="shared" si="24"/>
        <v>128.44</v>
      </c>
      <c r="AK114" s="954">
        <f t="shared" si="25"/>
        <v>0</v>
      </c>
      <c r="AL114" s="625"/>
    </row>
    <row r="115" spans="1:38" s="620" customFormat="1" ht="20.100000000000001" customHeight="1" x14ac:dyDescent="0.2">
      <c r="A115" s="759">
        <f t="shared" si="30"/>
        <v>71</v>
      </c>
      <c r="B115" s="957">
        <f>+NOMINA!C114</f>
        <v>12045360</v>
      </c>
      <c r="C115" s="958" t="str">
        <f>+NOMINA!D114</f>
        <v>Montilla Lamus Ana Cristina</v>
      </c>
      <c r="D115" s="955" t="s">
        <v>4622</v>
      </c>
      <c r="E115" s="959">
        <v>32351</v>
      </c>
      <c r="F115" s="955" t="s">
        <v>4620</v>
      </c>
      <c r="G115" s="971">
        <f>+NOMINA!H114</f>
        <v>39238</v>
      </c>
      <c r="H115" s="961">
        <f t="shared" si="26"/>
        <v>15</v>
      </c>
      <c r="I115" s="962">
        <v>0</v>
      </c>
      <c r="J115" s="968">
        <f>+NOMINA!BL114</f>
        <v>16.61</v>
      </c>
      <c r="K115" s="968">
        <f>+NOMINA!BM114</f>
        <v>2.08</v>
      </c>
      <c r="L115" s="968">
        <f>+NOMINA!BN114</f>
        <v>3.6</v>
      </c>
      <c r="M115" s="963">
        <f t="shared" si="27"/>
        <v>22.29</v>
      </c>
      <c r="N115" s="968">
        <f>+NOMINA!BR114</f>
        <v>37.369999999999997</v>
      </c>
      <c r="O115" s="968">
        <f>+NOMINA!BS114</f>
        <v>8.3000000000000007</v>
      </c>
      <c r="P115" s="968">
        <f>+NOMINA!BT114</f>
        <v>7.2</v>
      </c>
      <c r="Q115" s="963">
        <f t="shared" si="28"/>
        <v>52.87</v>
      </c>
      <c r="R115" s="963">
        <f t="shared" si="29"/>
        <v>75.16</v>
      </c>
      <c r="S115" s="972">
        <v>0</v>
      </c>
      <c r="T115" s="443" t="e">
        <f>#REF!+#REF!-M115</f>
        <v>#REF!</v>
      </c>
      <c r="U115" s="952" t="e">
        <f>ROUND((#REF!+#REF!+#REF!+#REF!+#REF!+#REF!+#REF!+#REF!+#REF!),2)</f>
        <v>#REF!</v>
      </c>
      <c r="Y115" s="953" t="e">
        <f>#REF!+#REF!-M115</f>
        <v>#REF!</v>
      </c>
      <c r="Z115" s="954" t="e">
        <f>#REF!</f>
        <v>#REF!</v>
      </c>
      <c r="AA115" s="953" t="e">
        <f>#REF!+#REF!</f>
        <v>#REF!</v>
      </c>
      <c r="AB115" s="954" t="e">
        <f>#REF!</f>
        <v>#REF!</v>
      </c>
      <c r="AC115" s="955">
        <v>0</v>
      </c>
      <c r="AD115" s="954" t="e">
        <f>#REF!</f>
        <v>#REF!</v>
      </c>
      <c r="AE115" s="956" t="e">
        <f>#REF!+#REF!</f>
        <v>#REF!</v>
      </c>
      <c r="AF115" s="956" t="e">
        <f>#REF!+#REF!</f>
        <v>#REF!</v>
      </c>
      <c r="AG115" s="956"/>
      <c r="AH115" s="954" t="e">
        <f>#REF!</f>
        <v>#REF!</v>
      </c>
      <c r="AI115" s="954" t="e">
        <f t="shared" si="23"/>
        <v>#REF!</v>
      </c>
      <c r="AJ115" s="954">
        <f t="shared" si="24"/>
        <v>75.16</v>
      </c>
      <c r="AK115" s="954">
        <f t="shared" si="25"/>
        <v>0</v>
      </c>
      <c r="AL115" s="625"/>
    </row>
    <row r="116" spans="1:38" s="620" customFormat="1" ht="20.100000000000001" customHeight="1" x14ac:dyDescent="0.2">
      <c r="A116" s="759">
        <f t="shared" si="30"/>
        <v>72</v>
      </c>
      <c r="B116" s="957">
        <f>+NOMINA!C115</f>
        <v>12045504</v>
      </c>
      <c r="C116" s="958" t="str">
        <f>+NOMINA!D115</f>
        <v>Sanchez Olivar Denis Josefina</v>
      </c>
      <c r="D116" s="955" t="s">
        <v>4622</v>
      </c>
      <c r="E116" s="959">
        <v>32351</v>
      </c>
      <c r="F116" s="955" t="s">
        <v>4620</v>
      </c>
      <c r="G116" s="971">
        <f>+NOMINA!H115</f>
        <v>43862</v>
      </c>
      <c r="H116" s="961">
        <f t="shared" si="26"/>
        <v>2</v>
      </c>
      <c r="I116" s="962">
        <v>0</v>
      </c>
      <c r="J116" s="968">
        <f>+NOMINA!BL115</f>
        <v>14.42</v>
      </c>
      <c r="K116" s="968">
        <f>+NOMINA!BM115</f>
        <v>1.8</v>
      </c>
      <c r="L116" s="968">
        <f>+NOMINA!BN115</f>
        <v>3.13</v>
      </c>
      <c r="M116" s="963">
        <f t="shared" si="27"/>
        <v>19.350000000000001</v>
      </c>
      <c r="N116" s="968">
        <f>+NOMINA!BR115</f>
        <v>32.450000000000003</v>
      </c>
      <c r="O116" s="968">
        <f>+NOMINA!BS115</f>
        <v>7.21</v>
      </c>
      <c r="P116" s="968">
        <f>+NOMINA!BT115</f>
        <v>6.26</v>
      </c>
      <c r="Q116" s="963">
        <f t="shared" si="28"/>
        <v>45.92</v>
      </c>
      <c r="R116" s="963">
        <f t="shared" si="29"/>
        <v>65.27000000000001</v>
      </c>
      <c r="S116" s="972">
        <v>0</v>
      </c>
      <c r="T116" s="443" t="e">
        <f>#REF!+#REF!-M116</f>
        <v>#REF!</v>
      </c>
      <c r="U116" s="952" t="e">
        <f>ROUND((#REF!+#REF!+#REF!+#REF!+#REF!+#REF!+#REF!+#REF!+#REF!),2)</f>
        <v>#REF!</v>
      </c>
      <c r="Y116" s="953" t="e">
        <f>#REF!+#REF!-M116</f>
        <v>#REF!</v>
      </c>
      <c r="Z116" s="954" t="e">
        <f>#REF!</f>
        <v>#REF!</v>
      </c>
      <c r="AA116" s="953" t="e">
        <f>#REF!+#REF!</f>
        <v>#REF!</v>
      </c>
      <c r="AB116" s="954" t="e">
        <f>#REF!</f>
        <v>#REF!</v>
      </c>
      <c r="AC116" s="955">
        <v>0</v>
      </c>
      <c r="AD116" s="954" t="e">
        <f>#REF!</f>
        <v>#REF!</v>
      </c>
      <c r="AE116" s="956" t="e">
        <f>#REF!+#REF!</f>
        <v>#REF!</v>
      </c>
      <c r="AF116" s="956" t="e">
        <f>#REF!+#REF!</f>
        <v>#REF!</v>
      </c>
      <c r="AG116" s="956"/>
      <c r="AH116" s="954" t="e">
        <f>#REF!</f>
        <v>#REF!</v>
      </c>
      <c r="AI116" s="954" t="e">
        <f t="shared" si="23"/>
        <v>#REF!</v>
      </c>
      <c r="AJ116" s="954">
        <f t="shared" si="24"/>
        <v>65.27000000000001</v>
      </c>
      <c r="AK116" s="954">
        <f t="shared" si="25"/>
        <v>0</v>
      </c>
      <c r="AL116" s="625"/>
    </row>
    <row r="117" spans="1:38" s="620" customFormat="1" ht="20.100000000000001" customHeight="1" x14ac:dyDescent="0.2">
      <c r="A117" s="759">
        <f t="shared" si="30"/>
        <v>73</v>
      </c>
      <c r="B117" s="957">
        <f>+NOMINA!C116</f>
        <v>12045934</v>
      </c>
      <c r="C117" s="958" t="str">
        <f>+NOMINA!D116</f>
        <v>Mendez Olmos Tulio Enrique</v>
      </c>
      <c r="D117" s="955" t="s">
        <v>4622</v>
      </c>
      <c r="E117" s="959">
        <v>32351</v>
      </c>
      <c r="F117" s="955" t="s">
        <v>4620</v>
      </c>
      <c r="G117" s="971">
        <f>+NOMINA!H116</f>
        <v>36342</v>
      </c>
      <c r="H117" s="961">
        <f t="shared" si="26"/>
        <v>23</v>
      </c>
      <c r="I117" s="962">
        <v>0</v>
      </c>
      <c r="J117" s="968">
        <f>+NOMINA!BL116</f>
        <v>29.03</v>
      </c>
      <c r="K117" s="968">
        <f>+NOMINA!BM116</f>
        <v>3.63</v>
      </c>
      <c r="L117" s="968">
        <f>+NOMINA!BN116</f>
        <v>6.29</v>
      </c>
      <c r="M117" s="963">
        <f t="shared" si="27"/>
        <v>38.950000000000003</v>
      </c>
      <c r="N117" s="968">
        <f>+NOMINA!BR116</f>
        <v>65.31</v>
      </c>
      <c r="O117" s="968">
        <f>+NOMINA!BS116</f>
        <v>14.51</v>
      </c>
      <c r="P117" s="968">
        <f>+NOMINA!BT116</f>
        <v>12.58</v>
      </c>
      <c r="Q117" s="963">
        <f t="shared" si="28"/>
        <v>92.4</v>
      </c>
      <c r="R117" s="963">
        <f t="shared" si="29"/>
        <v>131.35000000000002</v>
      </c>
      <c r="S117" s="972">
        <v>0</v>
      </c>
      <c r="T117" s="443" t="e">
        <f>#REF!+#REF!-M117</f>
        <v>#REF!</v>
      </c>
      <c r="U117" s="952" t="e">
        <f>ROUND((#REF!+#REF!+#REF!+#REF!+#REF!+#REF!+#REF!+#REF!+#REF!),2)</f>
        <v>#REF!</v>
      </c>
      <c r="Y117" s="953" t="e">
        <f>#REF!+#REF!-M117</f>
        <v>#REF!</v>
      </c>
      <c r="Z117" s="954" t="e">
        <f>#REF!</f>
        <v>#REF!</v>
      </c>
      <c r="AA117" s="953" t="e">
        <f>#REF!+#REF!</f>
        <v>#REF!</v>
      </c>
      <c r="AB117" s="954" t="e">
        <f>#REF!</f>
        <v>#REF!</v>
      </c>
      <c r="AC117" s="955">
        <v>0</v>
      </c>
      <c r="AD117" s="954" t="e">
        <f>#REF!</f>
        <v>#REF!</v>
      </c>
      <c r="AE117" s="956" t="e">
        <f>#REF!+#REF!</f>
        <v>#REF!</v>
      </c>
      <c r="AF117" s="956" t="e">
        <f>#REF!+#REF!</f>
        <v>#REF!</v>
      </c>
      <c r="AG117" s="956"/>
      <c r="AH117" s="954" t="e">
        <f>#REF!</f>
        <v>#REF!</v>
      </c>
      <c r="AI117" s="954" t="e">
        <f t="shared" si="23"/>
        <v>#REF!</v>
      </c>
      <c r="AJ117" s="954">
        <f t="shared" si="24"/>
        <v>131.35000000000002</v>
      </c>
      <c r="AK117" s="954">
        <f t="shared" si="25"/>
        <v>0</v>
      </c>
      <c r="AL117" s="625"/>
    </row>
    <row r="118" spans="1:38" s="620" customFormat="1" ht="20.100000000000001" customHeight="1" x14ac:dyDescent="0.2">
      <c r="A118" s="759">
        <f t="shared" si="30"/>
        <v>74</v>
      </c>
      <c r="B118" s="957">
        <f>+NOMINA!C117</f>
        <v>12457981</v>
      </c>
      <c r="C118" s="958" t="str">
        <f>+NOMINA!D117</f>
        <v>Escalona Ruiz Luis Alberto</v>
      </c>
      <c r="D118" s="955" t="s">
        <v>4622</v>
      </c>
      <c r="E118" s="959">
        <v>32351</v>
      </c>
      <c r="F118" s="955" t="s">
        <v>4620</v>
      </c>
      <c r="G118" s="971">
        <f>+NOMINA!H117</f>
        <v>44348</v>
      </c>
      <c r="H118" s="961">
        <f t="shared" si="26"/>
        <v>1</v>
      </c>
      <c r="I118" s="962">
        <v>0</v>
      </c>
      <c r="J118" s="968">
        <f>+NOMINA!BL117</f>
        <v>20.56</v>
      </c>
      <c r="K118" s="968">
        <f>+NOMINA!BM117</f>
        <v>2.57</v>
      </c>
      <c r="L118" s="968">
        <f>+NOMINA!BN117</f>
        <v>4.45</v>
      </c>
      <c r="M118" s="963">
        <f t="shared" si="27"/>
        <v>27.58</v>
      </c>
      <c r="N118" s="968">
        <f>+NOMINA!BR117</f>
        <v>46.26</v>
      </c>
      <c r="O118" s="968">
        <f>+NOMINA!BS117</f>
        <v>10.28</v>
      </c>
      <c r="P118" s="968">
        <f>+NOMINA!BT117</f>
        <v>8.9</v>
      </c>
      <c r="Q118" s="963">
        <f t="shared" si="28"/>
        <v>65.44</v>
      </c>
      <c r="R118" s="963">
        <f t="shared" si="29"/>
        <v>93.02</v>
      </c>
      <c r="S118" s="972">
        <v>0</v>
      </c>
      <c r="T118" s="443" t="e">
        <f>#REF!+#REF!-M118</f>
        <v>#REF!</v>
      </c>
      <c r="U118" s="952" t="e">
        <f>ROUND((#REF!+#REF!+#REF!+#REF!+#REF!+#REF!+#REF!+#REF!+#REF!),2)</f>
        <v>#REF!</v>
      </c>
      <c r="Y118" s="953" t="e">
        <f>#REF!+#REF!-M118</f>
        <v>#REF!</v>
      </c>
      <c r="Z118" s="954" t="e">
        <f>#REF!</f>
        <v>#REF!</v>
      </c>
      <c r="AA118" s="953" t="e">
        <f>#REF!+#REF!</f>
        <v>#REF!</v>
      </c>
      <c r="AB118" s="954" t="e">
        <f>#REF!</f>
        <v>#REF!</v>
      </c>
      <c r="AC118" s="955">
        <v>0</v>
      </c>
      <c r="AD118" s="954" t="e">
        <f>#REF!</f>
        <v>#REF!</v>
      </c>
      <c r="AE118" s="956" t="e">
        <f>#REF!+#REF!</f>
        <v>#REF!</v>
      </c>
      <c r="AF118" s="956" t="e">
        <f>#REF!+#REF!</f>
        <v>#REF!</v>
      </c>
      <c r="AG118" s="956"/>
      <c r="AH118" s="954" t="e">
        <f>#REF!</f>
        <v>#REF!</v>
      </c>
      <c r="AI118" s="954" t="e">
        <f t="shared" si="23"/>
        <v>#REF!</v>
      </c>
      <c r="AJ118" s="954">
        <f t="shared" si="24"/>
        <v>93.02</v>
      </c>
      <c r="AK118" s="954">
        <f t="shared" si="25"/>
        <v>0</v>
      </c>
      <c r="AL118" s="625"/>
    </row>
    <row r="119" spans="1:38" s="620" customFormat="1" ht="20.100000000000001" customHeight="1" x14ac:dyDescent="0.2">
      <c r="A119" s="759">
        <f t="shared" si="30"/>
        <v>75</v>
      </c>
      <c r="B119" s="957">
        <f>+NOMINA!C118</f>
        <v>12458811</v>
      </c>
      <c r="C119" s="958" t="str">
        <f>+NOMINA!D118</f>
        <v>Segovia Rondon Milagros del Valle</v>
      </c>
      <c r="D119" s="955" t="s">
        <v>4622</v>
      </c>
      <c r="E119" s="959">
        <v>32351</v>
      </c>
      <c r="F119" s="955" t="s">
        <v>4620</v>
      </c>
      <c r="G119" s="971">
        <f>+NOMINA!H118</f>
        <v>39514</v>
      </c>
      <c r="H119" s="961">
        <f t="shared" si="26"/>
        <v>14</v>
      </c>
      <c r="I119" s="962">
        <v>0</v>
      </c>
      <c r="J119" s="968">
        <f>+NOMINA!BL118</f>
        <v>33.200000000000003</v>
      </c>
      <c r="K119" s="968">
        <f>+NOMINA!BM118</f>
        <v>4.1500000000000004</v>
      </c>
      <c r="L119" s="968">
        <f>+NOMINA!BN118</f>
        <v>7.19</v>
      </c>
      <c r="M119" s="963">
        <f t="shared" si="27"/>
        <v>44.54</v>
      </c>
      <c r="N119" s="968">
        <f>+NOMINA!BR118</f>
        <v>74.7</v>
      </c>
      <c r="O119" s="968">
        <f>+NOMINA!BS118</f>
        <v>16.600000000000001</v>
      </c>
      <c r="P119" s="968">
        <f>+NOMINA!BT118</f>
        <v>14.38</v>
      </c>
      <c r="Q119" s="963">
        <f t="shared" si="28"/>
        <v>105.68</v>
      </c>
      <c r="R119" s="963">
        <f t="shared" si="29"/>
        <v>150.22</v>
      </c>
      <c r="S119" s="972">
        <v>0</v>
      </c>
      <c r="T119" s="443" t="e">
        <f>#REF!+#REF!-M119</f>
        <v>#REF!</v>
      </c>
      <c r="U119" s="952" t="e">
        <f>ROUND((#REF!+#REF!+#REF!+#REF!+#REF!+#REF!+#REF!+#REF!+#REF!),2)</f>
        <v>#REF!</v>
      </c>
      <c r="Y119" s="953" t="e">
        <f>#REF!+#REF!-M119</f>
        <v>#REF!</v>
      </c>
      <c r="Z119" s="954" t="e">
        <f>#REF!</f>
        <v>#REF!</v>
      </c>
      <c r="AA119" s="953" t="e">
        <f>#REF!+#REF!</f>
        <v>#REF!</v>
      </c>
      <c r="AB119" s="954" t="e">
        <f>#REF!</f>
        <v>#REF!</v>
      </c>
      <c r="AC119" s="955">
        <v>0</v>
      </c>
      <c r="AD119" s="954" t="e">
        <f>#REF!</f>
        <v>#REF!</v>
      </c>
      <c r="AE119" s="956" t="e">
        <f>#REF!+#REF!</f>
        <v>#REF!</v>
      </c>
      <c r="AF119" s="956" t="e">
        <f>#REF!+#REF!</f>
        <v>#REF!</v>
      </c>
      <c r="AG119" s="956"/>
      <c r="AH119" s="954" t="e">
        <f>#REF!</f>
        <v>#REF!</v>
      </c>
      <c r="AI119" s="954" t="e">
        <f t="shared" si="23"/>
        <v>#REF!</v>
      </c>
      <c r="AJ119" s="954">
        <f t="shared" si="24"/>
        <v>150.22</v>
      </c>
      <c r="AK119" s="954">
        <f t="shared" si="25"/>
        <v>0</v>
      </c>
      <c r="AL119" s="625"/>
    </row>
    <row r="120" spans="1:38" s="620" customFormat="1" ht="20.100000000000001" customHeight="1" x14ac:dyDescent="0.2">
      <c r="A120" s="759">
        <f t="shared" si="30"/>
        <v>76</v>
      </c>
      <c r="B120" s="957">
        <f>+NOMINA!C119</f>
        <v>12458942</v>
      </c>
      <c r="C120" s="958" t="str">
        <f>+NOMINA!D119</f>
        <v>Mendoza Mendoza Mirian Del Milagro</v>
      </c>
      <c r="D120" s="955" t="s">
        <v>4622</v>
      </c>
      <c r="E120" s="959">
        <v>32351</v>
      </c>
      <c r="F120" s="955" t="s">
        <v>4620</v>
      </c>
      <c r="G120" s="971">
        <f>+NOMINA!H119</f>
        <v>44424</v>
      </c>
      <c r="H120" s="961">
        <f t="shared" si="26"/>
        <v>1</v>
      </c>
      <c r="I120" s="962">
        <v>0</v>
      </c>
      <c r="J120" s="968">
        <f>+NOMINA!BL119</f>
        <v>0</v>
      </c>
      <c r="K120" s="968">
        <f>+NOMINA!BM119</f>
        <v>0</v>
      </c>
      <c r="L120" s="968">
        <f>+NOMINA!BN119</f>
        <v>0</v>
      </c>
      <c r="M120" s="963">
        <f t="shared" si="27"/>
        <v>0</v>
      </c>
      <c r="N120" s="968">
        <f>+NOMINA!BR119</f>
        <v>0</v>
      </c>
      <c r="O120" s="968">
        <f>+NOMINA!BS119</f>
        <v>0</v>
      </c>
      <c r="P120" s="968">
        <f>+NOMINA!BT119</f>
        <v>0</v>
      </c>
      <c r="Q120" s="963">
        <f t="shared" si="28"/>
        <v>0</v>
      </c>
      <c r="R120" s="963">
        <f t="shared" si="29"/>
        <v>0</v>
      </c>
      <c r="S120" s="972">
        <v>0</v>
      </c>
      <c r="T120" s="443" t="e">
        <f>#REF!+#REF!-M120</f>
        <v>#REF!</v>
      </c>
      <c r="U120" s="952" t="e">
        <f>ROUND((#REF!+#REF!+#REF!+#REF!+#REF!+#REF!+#REF!+#REF!+#REF!),2)</f>
        <v>#REF!</v>
      </c>
      <c r="Y120" s="953" t="e">
        <f>#REF!+#REF!-M120</f>
        <v>#REF!</v>
      </c>
      <c r="Z120" s="954" t="e">
        <f>#REF!</f>
        <v>#REF!</v>
      </c>
      <c r="AA120" s="953" t="e">
        <f>#REF!+#REF!</f>
        <v>#REF!</v>
      </c>
      <c r="AB120" s="954" t="e">
        <f>#REF!</f>
        <v>#REF!</v>
      </c>
      <c r="AC120" s="955">
        <v>0</v>
      </c>
      <c r="AD120" s="954" t="e">
        <f>#REF!</f>
        <v>#REF!</v>
      </c>
      <c r="AE120" s="956" t="e">
        <f>#REF!+#REF!</f>
        <v>#REF!</v>
      </c>
      <c r="AF120" s="956" t="e">
        <f>#REF!+#REF!</f>
        <v>#REF!</v>
      </c>
      <c r="AG120" s="956"/>
      <c r="AH120" s="954" t="e">
        <f>#REF!</f>
        <v>#REF!</v>
      </c>
      <c r="AI120" s="954" t="e">
        <f t="shared" si="23"/>
        <v>#REF!</v>
      </c>
      <c r="AJ120" s="954">
        <f t="shared" si="24"/>
        <v>0</v>
      </c>
      <c r="AK120" s="954">
        <f t="shared" si="25"/>
        <v>0</v>
      </c>
      <c r="AL120" s="625"/>
    </row>
    <row r="121" spans="1:38" s="620" customFormat="1" ht="20.100000000000001" customHeight="1" x14ac:dyDescent="0.2">
      <c r="A121" s="759">
        <f t="shared" si="30"/>
        <v>77</v>
      </c>
      <c r="B121" s="957">
        <f>+NOMINA!C120</f>
        <v>12541044</v>
      </c>
      <c r="C121" s="958" t="str">
        <f>+NOMINA!D120</f>
        <v>Rojas Telles Lisbeth Josefina</v>
      </c>
      <c r="D121" s="955" t="s">
        <v>4622</v>
      </c>
      <c r="E121" s="959">
        <v>32351</v>
      </c>
      <c r="F121" s="955" t="s">
        <v>4620</v>
      </c>
      <c r="G121" s="971">
        <f>+NOMINA!H120</f>
        <v>45597</v>
      </c>
      <c r="H121" s="961">
        <f t="shared" si="26"/>
        <v>0</v>
      </c>
      <c r="I121" s="962">
        <v>0</v>
      </c>
      <c r="J121" s="968">
        <f>+NOMINA!BL120</f>
        <v>22.41</v>
      </c>
      <c r="K121" s="968">
        <f>+NOMINA!BM120</f>
        <v>2.8</v>
      </c>
      <c r="L121" s="968">
        <f>+NOMINA!BN120</f>
        <v>4.8600000000000003</v>
      </c>
      <c r="M121" s="963">
        <f t="shared" si="27"/>
        <v>30.07</v>
      </c>
      <c r="N121" s="968">
        <f>+NOMINA!BR120</f>
        <v>50.43</v>
      </c>
      <c r="O121" s="968">
        <f>+NOMINA!BS120</f>
        <v>11.21</v>
      </c>
      <c r="P121" s="968">
        <f>+NOMINA!BT120</f>
        <v>9.7200000000000006</v>
      </c>
      <c r="Q121" s="963">
        <f t="shared" si="28"/>
        <v>71.36</v>
      </c>
      <c r="R121" s="963">
        <f t="shared" si="29"/>
        <v>101.43</v>
      </c>
      <c r="S121" s="972">
        <v>0</v>
      </c>
      <c r="T121" s="443" t="e">
        <f>#REF!+#REF!-M121</f>
        <v>#REF!</v>
      </c>
      <c r="U121" s="952" t="e">
        <f>ROUND((#REF!+#REF!+#REF!+#REF!+#REF!+#REF!+#REF!+#REF!+#REF!),2)</f>
        <v>#REF!</v>
      </c>
      <c r="Y121" s="953" t="e">
        <f>#REF!+#REF!-M121</f>
        <v>#REF!</v>
      </c>
      <c r="Z121" s="954" t="e">
        <f>#REF!</f>
        <v>#REF!</v>
      </c>
      <c r="AA121" s="953" t="e">
        <f>#REF!+#REF!</f>
        <v>#REF!</v>
      </c>
      <c r="AB121" s="954" t="e">
        <f>#REF!</f>
        <v>#REF!</v>
      </c>
      <c r="AC121" s="955">
        <v>0</v>
      </c>
      <c r="AD121" s="954" t="e">
        <f>#REF!</f>
        <v>#REF!</v>
      </c>
      <c r="AE121" s="956" t="e">
        <f>#REF!+#REF!</f>
        <v>#REF!</v>
      </c>
      <c r="AF121" s="956" t="e">
        <f>#REF!+#REF!</f>
        <v>#REF!</v>
      </c>
      <c r="AG121" s="956"/>
      <c r="AH121" s="954" t="e">
        <f>#REF!</f>
        <v>#REF!</v>
      </c>
      <c r="AI121" s="954" t="e">
        <f t="shared" si="23"/>
        <v>#REF!</v>
      </c>
      <c r="AJ121" s="954">
        <f t="shared" si="24"/>
        <v>101.43</v>
      </c>
      <c r="AK121" s="954">
        <f t="shared" si="25"/>
        <v>0</v>
      </c>
      <c r="AL121" s="625"/>
    </row>
    <row r="122" spans="1:38" s="620" customFormat="1" ht="20.100000000000001" customHeight="1" x14ac:dyDescent="0.2">
      <c r="A122" s="759">
        <f t="shared" si="30"/>
        <v>78</v>
      </c>
      <c r="B122" s="957">
        <f>+NOMINA!C121</f>
        <v>12542413</v>
      </c>
      <c r="C122" s="958" t="str">
        <f>+NOMINA!D121</f>
        <v>Aponte Matheus Richard Alexander</v>
      </c>
      <c r="D122" s="955" t="s">
        <v>4622</v>
      </c>
      <c r="E122" s="959">
        <v>32351</v>
      </c>
      <c r="F122" s="955" t="s">
        <v>4620</v>
      </c>
      <c r="G122" s="971">
        <f>+NOMINA!H121</f>
        <v>36434</v>
      </c>
      <c r="H122" s="961">
        <f t="shared" si="26"/>
        <v>23</v>
      </c>
      <c r="I122" s="962">
        <v>0</v>
      </c>
      <c r="J122" s="968">
        <f>+NOMINA!BL121</f>
        <v>0</v>
      </c>
      <c r="K122" s="968">
        <f>+NOMINA!BM121</f>
        <v>0</v>
      </c>
      <c r="L122" s="968">
        <f>+NOMINA!BN121</f>
        <v>0</v>
      </c>
      <c r="M122" s="963">
        <f t="shared" si="27"/>
        <v>0</v>
      </c>
      <c r="N122" s="968">
        <f>+NOMINA!BR121</f>
        <v>0</v>
      </c>
      <c r="O122" s="968">
        <f>+NOMINA!BS121</f>
        <v>0</v>
      </c>
      <c r="P122" s="968">
        <f>+NOMINA!BT121</f>
        <v>0</v>
      </c>
      <c r="Q122" s="963">
        <f t="shared" si="28"/>
        <v>0</v>
      </c>
      <c r="R122" s="963">
        <f t="shared" si="29"/>
        <v>0</v>
      </c>
      <c r="S122" s="972">
        <v>0</v>
      </c>
      <c r="T122" s="443" t="e">
        <f>#REF!+#REF!-M122</f>
        <v>#REF!</v>
      </c>
      <c r="U122" s="952" t="e">
        <f>ROUND((#REF!+#REF!+#REF!+#REF!+#REF!+#REF!+#REF!+#REF!+#REF!),2)</f>
        <v>#REF!</v>
      </c>
      <c r="Y122" s="953" t="e">
        <f>#REF!+#REF!-M122</f>
        <v>#REF!</v>
      </c>
      <c r="Z122" s="954" t="e">
        <f>#REF!</f>
        <v>#REF!</v>
      </c>
      <c r="AA122" s="953" t="e">
        <f>#REF!+#REF!</f>
        <v>#REF!</v>
      </c>
      <c r="AB122" s="954" t="e">
        <f>#REF!</f>
        <v>#REF!</v>
      </c>
      <c r="AC122" s="955">
        <v>0</v>
      </c>
      <c r="AD122" s="954" t="e">
        <f>#REF!</f>
        <v>#REF!</v>
      </c>
      <c r="AE122" s="956" t="e">
        <f>#REF!+#REF!</f>
        <v>#REF!</v>
      </c>
      <c r="AF122" s="956" t="e">
        <f>#REF!+#REF!</f>
        <v>#REF!</v>
      </c>
      <c r="AG122" s="956"/>
      <c r="AH122" s="954" t="e">
        <f>#REF!</f>
        <v>#REF!</v>
      </c>
      <c r="AI122" s="954" t="e">
        <f t="shared" si="23"/>
        <v>#REF!</v>
      </c>
      <c r="AJ122" s="954">
        <f t="shared" si="24"/>
        <v>0</v>
      </c>
      <c r="AK122" s="954">
        <f t="shared" si="25"/>
        <v>0</v>
      </c>
      <c r="AL122" s="625"/>
    </row>
    <row r="123" spans="1:38" s="620" customFormat="1" ht="20.100000000000001" customHeight="1" x14ac:dyDescent="0.2">
      <c r="A123" s="759">
        <f t="shared" si="30"/>
        <v>79</v>
      </c>
      <c r="B123" s="957">
        <f>+NOMINA!C122</f>
        <v>12798604</v>
      </c>
      <c r="C123" s="958" t="str">
        <f>+NOMINA!D122</f>
        <v>Camacho Gomez Trina Margarita</v>
      </c>
      <c r="D123" s="955" t="s">
        <v>4622</v>
      </c>
      <c r="E123" s="959">
        <v>32351</v>
      </c>
      <c r="F123" s="955" t="s">
        <v>4620</v>
      </c>
      <c r="G123" s="971">
        <f>+NOMINA!H122</f>
        <v>35384</v>
      </c>
      <c r="H123" s="961">
        <f t="shared" si="26"/>
        <v>26</v>
      </c>
      <c r="I123" s="962">
        <v>0</v>
      </c>
      <c r="J123" s="968">
        <f>+NOMINA!BL122</f>
        <v>17.2</v>
      </c>
      <c r="K123" s="968">
        <f>+NOMINA!BM122</f>
        <v>2.15</v>
      </c>
      <c r="L123" s="968">
        <f>+NOMINA!BN122</f>
        <v>3.73</v>
      </c>
      <c r="M123" s="963">
        <f t="shared" si="27"/>
        <v>23.08</v>
      </c>
      <c r="N123" s="968">
        <f>+NOMINA!BR122</f>
        <v>38.69</v>
      </c>
      <c r="O123" s="968">
        <f>+NOMINA!BS122</f>
        <v>8.6</v>
      </c>
      <c r="P123" s="968">
        <f>+NOMINA!BT122</f>
        <v>7.46</v>
      </c>
      <c r="Q123" s="963">
        <f t="shared" si="28"/>
        <v>54.75</v>
      </c>
      <c r="R123" s="963">
        <f t="shared" si="29"/>
        <v>77.83</v>
      </c>
      <c r="S123" s="972">
        <v>0</v>
      </c>
      <c r="T123" s="443" t="e">
        <f>#REF!+#REF!-M123</f>
        <v>#REF!</v>
      </c>
      <c r="U123" s="952" t="e">
        <f>ROUND((#REF!+#REF!+#REF!+#REF!+#REF!+#REF!+#REF!+#REF!+#REF!),2)</f>
        <v>#REF!</v>
      </c>
      <c r="Y123" s="953" t="e">
        <f>#REF!+#REF!-M123</f>
        <v>#REF!</v>
      </c>
      <c r="Z123" s="954" t="e">
        <f>#REF!</f>
        <v>#REF!</v>
      </c>
      <c r="AA123" s="953" t="e">
        <f>#REF!+#REF!</f>
        <v>#REF!</v>
      </c>
      <c r="AB123" s="954" t="e">
        <f>#REF!</f>
        <v>#REF!</v>
      </c>
      <c r="AC123" s="955">
        <v>0</v>
      </c>
      <c r="AD123" s="954" t="e">
        <f>#REF!</f>
        <v>#REF!</v>
      </c>
      <c r="AE123" s="956" t="e">
        <f>#REF!+#REF!</f>
        <v>#REF!</v>
      </c>
      <c r="AF123" s="956" t="e">
        <f>#REF!+#REF!</f>
        <v>#REF!</v>
      </c>
      <c r="AG123" s="956"/>
      <c r="AH123" s="954" t="e">
        <f>#REF!</f>
        <v>#REF!</v>
      </c>
      <c r="AI123" s="954" t="e">
        <f t="shared" si="23"/>
        <v>#REF!</v>
      </c>
      <c r="AJ123" s="954">
        <f t="shared" si="24"/>
        <v>77.83</v>
      </c>
      <c r="AK123" s="954">
        <f t="shared" si="25"/>
        <v>0</v>
      </c>
      <c r="AL123" s="625"/>
    </row>
    <row r="124" spans="1:38" s="620" customFormat="1" ht="20.100000000000001" customHeight="1" x14ac:dyDescent="0.2">
      <c r="A124" s="759">
        <f t="shared" si="30"/>
        <v>80</v>
      </c>
      <c r="B124" s="957">
        <f>+NOMINA!C123</f>
        <v>12798736</v>
      </c>
      <c r="C124" s="958" t="str">
        <f>+NOMINA!D123</f>
        <v>Gonzalez Pabon Marianela</v>
      </c>
      <c r="D124" s="955" t="s">
        <v>4622</v>
      </c>
      <c r="E124" s="959">
        <v>32351</v>
      </c>
      <c r="F124" s="955" t="s">
        <v>4620</v>
      </c>
      <c r="G124" s="971">
        <f>+NOMINA!H123</f>
        <v>39479</v>
      </c>
      <c r="H124" s="961">
        <f t="shared" si="26"/>
        <v>14</v>
      </c>
      <c r="I124" s="962">
        <v>0</v>
      </c>
      <c r="J124" s="968">
        <f>+NOMINA!BL123</f>
        <v>31.92</v>
      </c>
      <c r="K124" s="968">
        <f>+NOMINA!BM123</f>
        <v>3.99</v>
      </c>
      <c r="L124" s="968">
        <f>+NOMINA!BN123</f>
        <v>6.92</v>
      </c>
      <c r="M124" s="963">
        <f t="shared" si="27"/>
        <v>42.83</v>
      </c>
      <c r="N124" s="968">
        <f>+NOMINA!BR123</f>
        <v>71.819999999999993</v>
      </c>
      <c r="O124" s="968">
        <f>+NOMINA!BS123</f>
        <v>15.96</v>
      </c>
      <c r="P124" s="968">
        <f>+NOMINA!BT123</f>
        <v>13.84</v>
      </c>
      <c r="Q124" s="963">
        <f t="shared" si="28"/>
        <v>101.62</v>
      </c>
      <c r="R124" s="963">
        <f t="shared" si="29"/>
        <v>144.44999999999999</v>
      </c>
      <c r="S124" s="972">
        <v>0</v>
      </c>
      <c r="T124" s="443" t="e">
        <f>#REF!+#REF!-M124</f>
        <v>#REF!</v>
      </c>
      <c r="U124" s="952" t="e">
        <f>ROUND((#REF!+#REF!+#REF!+#REF!+#REF!+#REF!+#REF!+#REF!+#REF!),2)</f>
        <v>#REF!</v>
      </c>
      <c r="Y124" s="953" t="e">
        <f>#REF!+#REF!-M124</f>
        <v>#REF!</v>
      </c>
      <c r="Z124" s="954" t="e">
        <f>#REF!</f>
        <v>#REF!</v>
      </c>
      <c r="AA124" s="953" t="e">
        <f>#REF!+#REF!</f>
        <v>#REF!</v>
      </c>
      <c r="AB124" s="954" t="e">
        <f>#REF!</f>
        <v>#REF!</v>
      </c>
      <c r="AC124" s="955">
        <v>0</v>
      </c>
      <c r="AD124" s="954" t="e">
        <f>#REF!</f>
        <v>#REF!</v>
      </c>
      <c r="AE124" s="956" t="e">
        <f>#REF!+#REF!</f>
        <v>#REF!</v>
      </c>
      <c r="AF124" s="956" t="e">
        <f>#REF!+#REF!</f>
        <v>#REF!</v>
      </c>
      <c r="AG124" s="956"/>
      <c r="AH124" s="954" t="e">
        <f>#REF!</f>
        <v>#REF!</v>
      </c>
      <c r="AI124" s="954" t="e">
        <f t="shared" si="23"/>
        <v>#REF!</v>
      </c>
      <c r="AJ124" s="954">
        <f t="shared" si="24"/>
        <v>144.44999999999999</v>
      </c>
      <c r="AK124" s="954">
        <f t="shared" si="25"/>
        <v>0</v>
      </c>
      <c r="AL124" s="625"/>
    </row>
    <row r="125" spans="1:38" s="620" customFormat="1" ht="20.100000000000001" customHeight="1" x14ac:dyDescent="0.2">
      <c r="A125" s="759">
        <f t="shared" si="30"/>
        <v>81</v>
      </c>
      <c r="B125" s="957">
        <f>+NOMINA!C124</f>
        <v>12939010</v>
      </c>
      <c r="C125" s="958" t="str">
        <f>+NOMINA!D124</f>
        <v>Mendez de Viloria Yelitza del Valle</v>
      </c>
      <c r="D125" s="955" t="s">
        <v>4622</v>
      </c>
      <c r="E125" s="959">
        <v>32351</v>
      </c>
      <c r="F125" s="955" t="s">
        <v>4620</v>
      </c>
      <c r="G125" s="971">
        <f>+NOMINA!H124</f>
        <v>42948</v>
      </c>
      <c r="H125" s="961">
        <f t="shared" si="26"/>
        <v>5</v>
      </c>
      <c r="I125" s="962">
        <v>0</v>
      </c>
      <c r="J125" s="968">
        <f>+NOMINA!BL124</f>
        <v>21.35</v>
      </c>
      <c r="K125" s="968">
        <f>+NOMINA!BM124</f>
        <v>2.67</v>
      </c>
      <c r="L125" s="968">
        <f>+NOMINA!BN124</f>
        <v>4.63</v>
      </c>
      <c r="M125" s="963">
        <f t="shared" si="27"/>
        <v>28.65</v>
      </c>
      <c r="N125" s="968">
        <f>+NOMINA!BR124</f>
        <v>48.03</v>
      </c>
      <c r="O125" s="968">
        <f>+NOMINA!BS124</f>
        <v>10.67</v>
      </c>
      <c r="P125" s="968">
        <f>+NOMINA!BT124</f>
        <v>9.26</v>
      </c>
      <c r="Q125" s="963">
        <f t="shared" si="28"/>
        <v>67.959999999999994</v>
      </c>
      <c r="R125" s="963">
        <f t="shared" si="29"/>
        <v>96.609999999999985</v>
      </c>
      <c r="S125" s="972">
        <v>0</v>
      </c>
      <c r="T125" s="443" t="e">
        <f>#REF!+#REF!-M125</f>
        <v>#REF!</v>
      </c>
      <c r="U125" s="952" t="e">
        <f>ROUND((#REF!+#REF!+#REF!+#REF!+#REF!+#REF!+#REF!+#REF!+#REF!),2)</f>
        <v>#REF!</v>
      </c>
      <c r="Y125" s="953" t="e">
        <f>#REF!+#REF!-M125</f>
        <v>#REF!</v>
      </c>
      <c r="Z125" s="954" t="e">
        <f>#REF!</f>
        <v>#REF!</v>
      </c>
      <c r="AA125" s="953" t="e">
        <f>#REF!+#REF!</f>
        <v>#REF!</v>
      </c>
      <c r="AB125" s="954" t="e">
        <f>#REF!</f>
        <v>#REF!</v>
      </c>
      <c r="AC125" s="955">
        <v>0</v>
      </c>
      <c r="AD125" s="954" t="e">
        <f>#REF!</f>
        <v>#REF!</v>
      </c>
      <c r="AE125" s="956" t="e">
        <f>#REF!+#REF!</f>
        <v>#REF!</v>
      </c>
      <c r="AF125" s="956" t="e">
        <f>#REF!+#REF!</f>
        <v>#REF!</v>
      </c>
      <c r="AG125" s="956"/>
      <c r="AH125" s="954" t="e">
        <f>#REF!</f>
        <v>#REF!</v>
      </c>
      <c r="AI125" s="954" t="e">
        <f t="shared" si="23"/>
        <v>#REF!</v>
      </c>
      <c r="AJ125" s="954">
        <f t="shared" si="24"/>
        <v>96.609999999999985</v>
      </c>
      <c r="AK125" s="954">
        <f t="shared" si="25"/>
        <v>0</v>
      </c>
      <c r="AL125" s="625"/>
    </row>
    <row r="126" spans="1:38" s="620" customFormat="1" ht="20.100000000000001" customHeight="1" x14ac:dyDescent="0.2">
      <c r="A126" s="759">
        <f t="shared" si="30"/>
        <v>82</v>
      </c>
      <c r="B126" s="957">
        <f>+NOMINA!C125</f>
        <v>12941385</v>
      </c>
      <c r="C126" s="958" t="str">
        <f>+NOMINA!D125</f>
        <v>Torres de Gonzalez Milangela Maria</v>
      </c>
      <c r="D126" s="955" t="s">
        <v>4622</v>
      </c>
      <c r="E126" s="959">
        <v>32351</v>
      </c>
      <c r="F126" s="955" t="s">
        <v>4620</v>
      </c>
      <c r="G126" s="971">
        <f>+NOMINA!H125</f>
        <v>42948</v>
      </c>
      <c r="H126" s="961">
        <f t="shared" si="26"/>
        <v>5</v>
      </c>
      <c r="I126" s="962">
        <v>0</v>
      </c>
      <c r="J126" s="968">
        <f>+NOMINA!BL125</f>
        <v>24.98</v>
      </c>
      <c r="K126" s="968">
        <f>+NOMINA!BM125</f>
        <v>3.12</v>
      </c>
      <c r="L126" s="968">
        <f>+NOMINA!BN125</f>
        <v>5.41</v>
      </c>
      <c r="M126" s="963">
        <f t="shared" si="27"/>
        <v>33.51</v>
      </c>
      <c r="N126" s="968">
        <f>+NOMINA!BR125</f>
        <v>56.21</v>
      </c>
      <c r="O126" s="968">
        <f>+NOMINA!BS125</f>
        <v>12.49</v>
      </c>
      <c r="P126" s="968">
        <f>+NOMINA!BT125</f>
        <v>10.82</v>
      </c>
      <c r="Q126" s="963">
        <f t="shared" si="28"/>
        <v>79.52</v>
      </c>
      <c r="R126" s="963">
        <f t="shared" si="29"/>
        <v>113.03</v>
      </c>
      <c r="S126" s="972">
        <v>0</v>
      </c>
      <c r="T126" s="443" t="e">
        <f>#REF!+#REF!-M126</f>
        <v>#REF!</v>
      </c>
      <c r="U126" s="952" t="e">
        <f>ROUND((#REF!+#REF!+#REF!+#REF!+#REF!+#REF!+#REF!+#REF!+#REF!),2)</f>
        <v>#REF!</v>
      </c>
      <c r="Y126" s="953" t="e">
        <f>#REF!+#REF!-M126</f>
        <v>#REF!</v>
      </c>
      <c r="Z126" s="954" t="e">
        <f>#REF!</f>
        <v>#REF!</v>
      </c>
      <c r="AA126" s="953" t="e">
        <f>#REF!+#REF!</f>
        <v>#REF!</v>
      </c>
      <c r="AB126" s="954" t="e">
        <f>#REF!</f>
        <v>#REF!</v>
      </c>
      <c r="AC126" s="955">
        <v>0</v>
      </c>
      <c r="AD126" s="954" t="e">
        <f>#REF!</f>
        <v>#REF!</v>
      </c>
      <c r="AE126" s="956" t="e">
        <f>#REF!+#REF!</f>
        <v>#REF!</v>
      </c>
      <c r="AF126" s="956" t="e">
        <f>#REF!+#REF!</f>
        <v>#REF!</v>
      </c>
      <c r="AG126" s="956"/>
      <c r="AH126" s="954" t="e">
        <f>#REF!</f>
        <v>#REF!</v>
      </c>
      <c r="AI126" s="954" t="e">
        <f t="shared" si="23"/>
        <v>#REF!</v>
      </c>
      <c r="AJ126" s="954">
        <f t="shared" si="24"/>
        <v>113.03</v>
      </c>
      <c r="AK126" s="954">
        <f t="shared" si="25"/>
        <v>0</v>
      </c>
      <c r="AL126" s="625"/>
    </row>
    <row r="127" spans="1:38" s="620" customFormat="1" ht="20.100000000000001" customHeight="1" x14ac:dyDescent="0.2">
      <c r="A127" s="759">
        <f t="shared" si="30"/>
        <v>83</v>
      </c>
      <c r="B127" s="957">
        <f>+NOMINA!C126</f>
        <v>13117904</v>
      </c>
      <c r="C127" s="958" t="str">
        <f>+NOMINA!D126</f>
        <v>Villegas Jaime Antonio</v>
      </c>
      <c r="D127" s="955" t="s">
        <v>4622</v>
      </c>
      <c r="E127" s="959">
        <v>32351</v>
      </c>
      <c r="F127" s="955" t="s">
        <v>4620</v>
      </c>
      <c r="G127" s="971">
        <f>+NOMINA!H126</f>
        <v>43693</v>
      </c>
      <c r="H127" s="961">
        <f t="shared" si="26"/>
        <v>3</v>
      </c>
      <c r="I127" s="962">
        <v>0</v>
      </c>
      <c r="J127" s="968">
        <f>+NOMINA!BL126</f>
        <v>19.38</v>
      </c>
      <c r="K127" s="968">
        <f>+NOMINA!BM126</f>
        <v>2.42</v>
      </c>
      <c r="L127" s="968">
        <f>+NOMINA!BN126</f>
        <v>4.2</v>
      </c>
      <c r="M127" s="963">
        <f t="shared" si="27"/>
        <v>26</v>
      </c>
      <c r="N127" s="968">
        <f>+NOMINA!BR126</f>
        <v>43.61</v>
      </c>
      <c r="O127" s="968">
        <f>+NOMINA!BS126</f>
        <v>9.69</v>
      </c>
      <c r="P127" s="968">
        <f>+NOMINA!BT126</f>
        <v>8.4</v>
      </c>
      <c r="Q127" s="963">
        <f t="shared" si="28"/>
        <v>61.7</v>
      </c>
      <c r="R127" s="963">
        <f t="shared" si="29"/>
        <v>87.7</v>
      </c>
      <c r="S127" s="972">
        <v>0</v>
      </c>
      <c r="T127" s="443" t="e">
        <f>#REF!+#REF!-M127</f>
        <v>#REF!</v>
      </c>
      <c r="U127" s="952" t="e">
        <f>ROUND((#REF!+#REF!+#REF!+#REF!+#REF!+#REF!+#REF!+#REF!+#REF!),2)</f>
        <v>#REF!</v>
      </c>
      <c r="Y127" s="953" t="e">
        <f>#REF!+#REF!-M127</f>
        <v>#REF!</v>
      </c>
      <c r="Z127" s="954" t="e">
        <f>#REF!</f>
        <v>#REF!</v>
      </c>
      <c r="AA127" s="953" t="e">
        <f>#REF!+#REF!</f>
        <v>#REF!</v>
      </c>
      <c r="AB127" s="954" t="e">
        <f>#REF!</f>
        <v>#REF!</v>
      </c>
      <c r="AC127" s="955">
        <v>0</v>
      </c>
      <c r="AD127" s="954" t="e">
        <f>#REF!</f>
        <v>#REF!</v>
      </c>
      <c r="AE127" s="956" t="e">
        <f>#REF!+#REF!</f>
        <v>#REF!</v>
      </c>
      <c r="AF127" s="956" t="e">
        <f>#REF!+#REF!</f>
        <v>#REF!</v>
      </c>
      <c r="AG127" s="956"/>
      <c r="AH127" s="954" t="e">
        <f>#REF!</f>
        <v>#REF!</v>
      </c>
      <c r="AI127" s="954" t="e">
        <f t="shared" si="23"/>
        <v>#REF!</v>
      </c>
      <c r="AJ127" s="954">
        <f t="shared" si="24"/>
        <v>87.7</v>
      </c>
      <c r="AK127" s="954">
        <f t="shared" si="25"/>
        <v>0</v>
      </c>
      <c r="AL127" s="625"/>
    </row>
    <row r="128" spans="1:38" s="620" customFormat="1" ht="20.100000000000001" customHeight="1" x14ac:dyDescent="0.2">
      <c r="A128" s="759">
        <f t="shared" si="30"/>
        <v>84</v>
      </c>
      <c r="B128" s="957">
        <f>+NOMINA!C127</f>
        <v>13206767</v>
      </c>
      <c r="C128" s="958" t="str">
        <f>+NOMINA!D127</f>
        <v>Bastidas Guerra Soralis del Valle</v>
      </c>
      <c r="D128" s="955" t="s">
        <v>4622</v>
      </c>
      <c r="E128" s="959">
        <v>32351</v>
      </c>
      <c r="F128" s="955" t="s">
        <v>4620</v>
      </c>
      <c r="G128" s="971">
        <f>+NOMINA!H127</f>
        <v>44713</v>
      </c>
      <c r="H128" s="961">
        <f t="shared" si="26"/>
        <v>0</v>
      </c>
      <c r="I128" s="962">
        <v>0</v>
      </c>
      <c r="J128" s="968">
        <f>+NOMINA!BL127</f>
        <v>0</v>
      </c>
      <c r="K128" s="968">
        <f>+NOMINA!BM127</f>
        <v>0</v>
      </c>
      <c r="L128" s="968">
        <f>+NOMINA!BN127</f>
        <v>0</v>
      </c>
      <c r="M128" s="963">
        <f t="shared" si="27"/>
        <v>0</v>
      </c>
      <c r="N128" s="968">
        <f>+NOMINA!BR127</f>
        <v>0</v>
      </c>
      <c r="O128" s="968">
        <f>+NOMINA!BS127</f>
        <v>0</v>
      </c>
      <c r="P128" s="968">
        <f>+NOMINA!BT127</f>
        <v>0</v>
      </c>
      <c r="Q128" s="963">
        <f t="shared" si="28"/>
        <v>0</v>
      </c>
      <c r="R128" s="963">
        <f t="shared" si="29"/>
        <v>0</v>
      </c>
      <c r="S128" s="972">
        <v>0</v>
      </c>
      <c r="T128" s="443" t="e">
        <f>#REF!+#REF!-M128</f>
        <v>#REF!</v>
      </c>
      <c r="U128" s="952" t="e">
        <f>ROUND((#REF!+#REF!+#REF!+#REF!+#REF!+#REF!+#REF!+#REF!+#REF!),2)</f>
        <v>#REF!</v>
      </c>
      <c r="Y128" s="953" t="e">
        <f>#REF!+#REF!-M128</f>
        <v>#REF!</v>
      </c>
      <c r="Z128" s="954" t="e">
        <f>#REF!</f>
        <v>#REF!</v>
      </c>
      <c r="AA128" s="953" t="e">
        <f>#REF!+#REF!</f>
        <v>#REF!</v>
      </c>
      <c r="AB128" s="954" t="e">
        <f>#REF!</f>
        <v>#REF!</v>
      </c>
      <c r="AC128" s="955">
        <v>0</v>
      </c>
      <c r="AD128" s="954" t="e">
        <f>#REF!</f>
        <v>#REF!</v>
      </c>
      <c r="AE128" s="956" t="e">
        <f>#REF!+#REF!</f>
        <v>#REF!</v>
      </c>
      <c r="AF128" s="956" t="e">
        <f>#REF!+#REF!</f>
        <v>#REF!</v>
      </c>
      <c r="AG128" s="956"/>
      <c r="AH128" s="954" t="e">
        <f>#REF!</f>
        <v>#REF!</v>
      </c>
      <c r="AI128" s="954" t="e">
        <f t="shared" si="23"/>
        <v>#REF!</v>
      </c>
      <c r="AJ128" s="954">
        <f t="shared" si="24"/>
        <v>0</v>
      </c>
      <c r="AK128" s="954">
        <f t="shared" si="25"/>
        <v>0</v>
      </c>
      <c r="AL128" s="625"/>
    </row>
    <row r="129" spans="1:38" s="620" customFormat="1" ht="20.100000000000001" customHeight="1" x14ac:dyDescent="0.2">
      <c r="A129" s="759">
        <f t="shared" si="30"/>
        <v>85</v>
      </c>
      <c r="B129" s="957">
        <f>+NOMINA!C128</f>
        <v>13207692</v>
      </c>
      <c r="C129" s="958" t="str">
        <f>+NOMINA!D128</f>
        <v>Macias Briceño Alejandra Coromoto</v>
      </c>
      <c r="D129" s="955" t="s">
        <v>4622</v>
      </c>
      <c r="E129" s="959">
        <v>32351</v>
      </c>
      <c r="F129" s="955" t="s">
        <v>4620</v>
      </c>
      <c r="G129" s="971">
        <f>+NOMINA!H128</f>
        <v>38504</v>
      </c>
      <c r="H129" s="961">
        <f t="shared" si="26"/>
        <v>17</v>
      </c>
      <c r="I129" s="962">
        <v>0</v>
      </c>
      <c r="J129" s="968">
        <f>+NOMINA!BL128</f>
        <v>29.81</v>
      </c>
      <c r="K129" s="968">
        <f>+NOMINA!BM128</f>
        <v>3.73</v>
      </c>
      <c r="L129" s="968">
        <f>+NOMINA!BN128</f>
        <v>6.46</v>
      </c>
      <c r="M129" s="963">
        <f t="shared" si="27"/>
        <v>40</v>
      </c>
      <c r="N129" s="968">
        <f>+NOMINA!BR128</f>
        <v>67.06</v>
      </c>
      <c r="O129" s="968">
        <f>+NOMINA!BS128</f>
        <v>14.9</v>
      </c>
      <c r="P129" s="968">
        <f>+NOMINA!BT128</f>
        <v>12.92</v>
      </c>
      <c r="Q129" s="963">
        <f t="shared" si="28"/>
        <v>94.88</v>
      </c>
      <c r="R129" s="963">
        <f t="shared" si="29"/>
        <v>134.88</v>
      </c>
      <c r="S129" s="972">
        <v>0</v>
      </c>
      <c r="T129" s="443" t="e">
        <f>#REF!+#REF!-M129</f>
        <v>#REF!</v>
      </c>
      <c r="U129" s="952" t="e">
        <f>ROUND((#REF!+#REF!+#REF!+#REF!+#REF!+#REF!+#REF!+#REF!+#REF!),2)</f>
        <v>#REF!</v>
      </c>
      <c r="Y129" s="953" t="e">
        <f>#REF!+#REF!-M129</f>
        <v>#REF!</v>
      </c>
      <c r="Z129" s="954" t="e">
        <f>#REF!</f>
        <v>#REF!</v>
      </c>
      <c r="AA129" s="953" t="e">
        <f>#REF!+#REF!</f>
        <v>#REF!</v>
      </c>
      <c r="AB129" s="954" t="e">
        <f>#REF!</f>
        <v>#REF!</v>
      </c>
      <c r="AC129" s="955">
        <v>0</v>
      </c>
      <c r="AD129" s="954" t="e">
        <f>#REF!</f>
        <v>#REF!</v>
      </c>
      <c r="AE129" s="956" t="e">
        <f>#REF!+#REF!</f>
        <v>#REF!</v>
      </c>
      <c r="AF129" s="956" t="e">
        <f>#REF!+#REF!</f>
        <v>#REF!</v>
      </c>
      <c r="AG129" s="956"/>
      <c r="AH129" s="954" t="e">
        <f>#REF!</f>
        <v>#REF!</v>
      </c>
      <c r="AI129" s="954" t="e">
        <f t="shared" si="23"/>
        <v>#REF!</v>
      </c>
      <c r="AJ129" s="954">
        <f t="shared" si="24"/>
        <v>134.88</v>
      </c>
      <c r="AK129" s="954">
        <f t="shared" si="25"/>
        <v>0</v>
      </c>
      <c r="AL129" s="625"/>
    </row>
    <row r="130" spans="1:38" s="620" customFormat="1" ht="20.100000000000001" customHeight="1" x14ac:dyDescent="0.2">
      <c r="A130" s="759">
        <f t="shared" si="30"/>
        <v>86</v>
      </c>
      <c r="B130" s="957">
        <f>+NOMINA!C129</f>
        <v>13260050</v>
      </c>
      <c r="C130" s="958" t="str">
        <f>+NOMINA!D129</f>
        <v>Mendoza Vieras Maria Elena</v>
      </c>
      <c r="D130" s="955" t="s">
        <v>4622</v>
      </c>
      <c r="E130" s="959">
        <v>32351</v>
      </c>
      <c r="F130" s="955" t="s">
        <v>4620</v>
      </c>
      <c r="G130" s="971">
        <f>+NOMINA!H129</f>
        <v>45444</v>
      </c>
      <c r="H130" s="961">
        <f t="shared" si="26"/>
        <v>0</v>
      </c>
      <c r="I130" s="962">
        <v>0</v>
      </c>
      <c r="J130" s="968">
        <f>+NOMINA!BL129</f>
        <v>26.31</v>
      </c>
      <c r="K130" s="968">
        <f>+NOMINA!BM129</f>
        <v>3.29</v>
      </c>
      <c r="L130" s="968">
        <f>+NOMINA!BN129</f>
        <v>5.7</v>
      </c>
      <c r="M130" s="963">
        <f t="shared" si="27"/>
        <v>35.299999999999997</v>
      </c>
      <c r="N130" s="968">
        <f>+NOMINA!BR129</f>
        <v>59.2</v>
      </c>
      <c r="O130" s="968">
        <f>+NOMINA!BS129</f>
        <v>13.15</v>
      </c>
      <c r="P130" s="968">
        <f>+NOMINA!BT129</f>
        <v>11.4</v>
      </c>
      <c r="Q130" s="963">
        <f t="shared" si="28"/>
        <v>83.75</v>
      </c>
      <c r="R130" s="963">
        <f t="shared" si="29"/>
        <v>119.05</v>
      </c>
      <c r="S130" s="972">
        <v>0</v>
      </c>
      <c r="T130" s="443" t="e">
        <f>#REF!+#REF!-M130</f>
        <v>#REF!</v>
      </c>
      <c r="U130" s="952" t="e">
        <f>ROUND((#REF!+#REF!+#REF!+#REF!+#REF!+#REF!+#REF!+#REF!+#REF!),2)</f>
        <v>#REF!</v>
      </c>
      <c r="Y130" s="953" t="e">
        <f>#REF!+#REF!-M130</f>
        <v>#REF!</v>
      </c>
      <c r="Z130" s="954" t="e">
        <f>#REF!</f>
        <v>#REF!</v>
      </c>
      <c r="AA130" s="953" t="e">
        <f>#REF!+#REF!</f>
        <v>#REF!</v>
      </c>
      <c r="AB130" s="954" t="e">
        <f>#REF!</f>
        <v>#REF!</v>
      </c>
      <c r="AC130" s="955">
        <v>0</v>
      </c>
      <c r="AD130" s="954" t="e">
        <f>#REF!</f>
        <v>#REF!</v>
      </c>
      <c r="AE130" s="956" t="e">
        <f>#REF!+#REF!</f>
        <v>#REF!</v>
      </c>
      <c r="AF130" s="956" t="e">
        <f>#REF!+#REF!</f>
        <v>#REF!</v>
      </c>
      <c r="AG130" s="956"/>
      <c r="AH130" s="954" t="e">
        <f>#REF!</f>
        <v>#REF!</v>
      </c>
      <c r="AI130" s="954" t="e">
        <f t="shared" si="23"/>
        <v>#REF!</v>
      </c>
      <c r="AJ130" s="954">
        <f t="shared" si="24"/>
        <v>119.05</v>
      </c>
      <c r="AK130" s="954">
        <f t="shared" si="25"/>
        <v>0</v>
      </c>
      <c r="AL130" s="625"/>
    </row>
    <row r="131" spans="1:38" s="620" customFormat="1" ht="20.100000000000001" customHeight="1" x14ac:dyDescent="0.2">
      <c r="A131" s="759">
        <f t="shared" si="30"/>
        <v>87</v>
      </c>
      <c r="B131" s="957">
        <f>+NOMINA!C130</f>
        <v>13261035</v>
      </c>
      <c r="C131" s="958" t="str">
        <f>+NOMINA!D130</f>
        <v>Henry Peña Yokary Nakary</v>
      </c>
      <c r="D131" s="955" t="s">
        <v>4622</v>
      </c>
      <c r="E131" s="959">
        <v>32351</v>
      </c>
      <c r="F131" s="955" t="s">
        <v>4620</v>
      </c>
      <c r="G131" s="971">
        <f>+NOMINA!H130</f>
        <v>43770</v>
      </c>
      <c r="H131" s="961">
        <f t="shared" si="26"/>
        <v>3</v>
      </c>
      <c r="I131" s="962">
        <v>0</v>
      </c>
      <c r="J131" s="968">
        <f>+NOMINA!BL130</f>
        <v>24.28</v>
      </c>
      <c r="K131" s="968">
        <f>+NOMINA!BM130</f>
        <v>3.03</v>
      </c>
      <c r="L131" s="968">
        <f>+NOMINA!BN130</f>
        <v>5.26</v>
      </c>
      <c r="M131" s="963">
        <f t="shared" si="27"/>
        <v>32.57</v>
      </c>
      <c r="N131" s="968">
        <f>+NOMINA!BR130</f>
        <v>54.63</v>
      </c>
      <c r="O131" s="968">
        <f>+NOMINA!BS130</f>
        <v>12.14</v>
      </c>
      <c r="P131" s="968">
        <f>+NOMINA!BT130</f>
        <v>10.52</v>
      </c>
      <c r="Q131" s="963">
        <f t="shared" si="28"/>
        <v>77.290000000000006</v>
      </c>
      <c r="R131" s="963">
        <f t="shared" si="29"/>
        <v>109.86000000000001</v>
      </c>
      <c r="S131" s="972">
        <v>0</v>
      </c>
      <c r="T131" s="443" t="e">
        <f>#REF!+#REF!-M131</f>
        <v>#REF!</v>
      </c>
      <c r="U131" s="952" t="e">
        <f>ROUND((#REF!+#REF!+#REF!+#REF!+#REF!+#REF!+#REF!+#REF!+#REF!),2)</f>
        <v>#REF!</v>
      </c>
      <c r="Y131" s="953" t="e">
        <f>#REF!+#REF!-M131</f>
        <v>#REF!</v>
      </c>
      <c r="Z131" s="954" t="e">
        <f>#REF!</f>
        <v>#REF!</v>
      </c>
      <c r="AA131" s="953" t="e">
        <f>#REF!+#REF!</f>
        <v>#REF!</v>
      </c>
      <c r="AB131" s="954" t="e">
        <f>#REF!</f>
        <v>#REF!</v>
      </c>
      <c r="AC131" s="955">
        <v>0</v>
      </c>
      <c r="AD131" s="954" t="e">
        <f>#REF!</f>
        <v>#REF!</v>
      </c>
      <c r="AE131" s="956" t="e">
        <f>#REF!+#REF!</f>
        <v>#REF!</v>
      </c>
      <c r="AF131" s="956" t="e">
        <f>#REF!+#REF!</f>
        <v>#REF!</v>
      </c>
      <c r="AG131" s="956"/>
      <c r="AH131" s="954" t="e">
        <f>#REF!</f>
        <v>#REF!</v>
      </c>
      <c r="AI131" s="954" t="e">
        <f t="shared" si="23"/>
        <v>#REF!</v>
      </c>
      <c r="AJ131" s="954">
        <f t="shared" si="24"/>
        <v>109.86000000000001</v>
      </c>
      <c r="AK131" s="954">
        <f t="shared" si="25"/>
        <v>0</v>
      </c>
      <c r="AL131" s="625"/>
    </row>
    <row r="132" spans="1:38" s="620" customFormat="1" ht="20.100000000000001" customHeight="1" x14ac:dyDescent="0.2">
      <c r="A132" s="759">
        <f t="shared" si="30"/>
        <v>88</v>
      </c>
      <c r="B132" s="957">
        <f>+NOMINA!C131</f>
        <v>13261229</v>
      </c>
      <c r="C132" s="958" t="str">
        <f>+NOMINA!D131</f>
        <v>Abreu Rodriguez Eva del Carmen</v>
      </c>
      <c r="D132" s="955" t="s">
        <v>4622</v>
      </c>
      <c r="E132" s="959">
        <v>32351</v>
      </c>
      <c r="F132" s="955" t="s">
        <v>4620</v>
      </c>
      <c r="G132" s="971">
        <f>+NOMINA!H131</f>
        <v>42644</v>
      </c>
      <c r="H132" s="961">
        <f t="shared" si="26"/>
        <v>6</v>
      </c>
      <c r="I132" s="962">
        <v>0</v>
      </c>
      <c r="J132" s="968">
        <f>+NOMINA!BL131</f>
        <v>21.19</v>
      </c>
      <c r="K132" s="968">
        <f>+NOMINA!BM131</f>
        <v>2.65</v>
      </c>
      <c r="L132" s="968">
        <f>+NOMINA!BN131</f>
        <v>4.59</v>
      </c>
      <c r="M132" s="963">
        <f t="shared" si="27"/>
        <v>28.43</v>
      </c>
      <c r="N132" s="968">
        <f>+NOMINA!BR131</f>
        <v>47.67</v>
      </c>
      <c r="O132" s="968">
        <f>+NOMINA!BS131</f>
        <v>10.59</v>
      </c>
      <c r="P132" s="968">
        <f>+NOMINA!BT131</f>
        <v>9.18</v>
      </c>
      <c r="Q132" s="963">
        <f t="shared" si="28"/>
        <v>67.44</v>
      </c>
      <c r="R132" s="963">
        <f t="shared" si="29"/>
        <v>95.87</v>
      </c>
      <c r="S132" s="972">
        <v>0</v>
      </c>
      <c r="T132" s="443" t="e">
        <f>#REF!+#REF!-M132</f>
        <v>#REF!</v>
      </c>
      <c r="U132" s="952" t="e">
        <f>ROUND((#REF!+#REF!+#REF!+#REF!+#REF!+#REF!+#REF!+#REF!+#REF!),2)</f>
        <v>#REF!</v>
      </c>
      <c r="Y132" s="953" t="e">
        <f>#REF!+#REF!-M132</f>
        <v>#REF!</v>
      </c>
      <c r="Z132" s="954" t="e">
        <f>#REF!</f>
        <v>#REF!</v>
      </c>
      <c r="AA132" s="953" t="e">
        <f>#REF!+#REF!</f>
        <v>#REF!</v>
      </c>
      <c r="AB132" s="954" t="e">
        <f>#REF!</f>
        <v>#REF!</v>
      </c>
      <c r="AC132" s="955">
        <v>0</v>
      </c>
      <c r="AD132" s="954" t="e">
        <f>#REF!</f>
        <v>#REF!</v>
      </c>
      <c r="AE132" s="956" t="e">
        <f>#REF!+#REF!</f>
        <v>#REF!</v>
      </c>
      <c r="AF132" s="956" t="e">
        <f>#REF!+#REF!</f>
        <v>#REF!</v>
      </c>
      <c r="AG132" s="956"/>
      <c r="AH132" s="954" t="e">
        <f>#REF!</f>
        <v>#REF!</v>
      </c>
      <c r="AI132" s="954" t="e">
        <f t="shared" si="23"/>
        <v>#REF!</v>
      </c>
      <c r="AJ132" s="954">
        <f t="shared" si="24"/>
        <v>95.87</v>
      </c>
      <c r="AK132" s="954">
        <f t="shared" si="25"/>
        <v>0</v>
      </c>
      <c r="AL132" s="625"/>
    </row>
    <row r="133" spans="1:38" s="620" customFormat="1" ht="20.100000000000001" customHeight="1" x14ac:dyDescent="0.2">
      <c r="A133" s="759">
        <f t="shared" si="30"/>
        <v>89</v>
      </c>
      <c r="B133" s="957">
        <f>+NOMINA!C132</f>
        <v>13461934</v>
      </c>
      <c r="C133" s="958" t="str">
        <f>+NOMINA!D132</f>
        <v>Ramirez Ayala Jenny Marisela</v>
      </c>
      <c r="D133" s="955" t="s">
        <v>4622</v>
      </c>
      <c r="E133" s="959">
        <v>32351</v>
      </c>
      <c r="F133" s="955" t="s">
        <v>4620</v>
      </c>
      <c r="G133" s="971">
        <f>+NOMINA!H132</f>
        <v>43252</v>
      </c>
      <c r="H133" s="961">
        <f t="shared" si="26"/>
        <v>4</v>
      </c>
      <c r="I133" s="962">
        <v>0</v>
      </c>
      <c r="J133" s="968">
        <f>+NOMINA!BL132</f>
        <v>18.75</v>
      </c>
      <c r="K133" s="968">
        <f>+NOMINA!BM132</f>
        <v>2.34</v>
      </c>
      <c r="L133" s="968">
        <f>+NOMINA!BN132</f>
        <v>4.0599999999999996</v>
      </c>
      <c r="M133" s="963">
        <f t="shared" si="27"/>
        <v>25.15</v>
      </c>
      <c r="N133" s="968">
        <f>+NOMINA!BR132</f>
        <v>42.2</v>
      </c>
      <c r="O133" s="968">
        <f>+NOMINA!BS132</f>
        <v>9.3800000000000008</v>
      </c>
      <c r="P133" s="968">
        <f>+NOMINA!BT132</f>
        <v>8.1199999999999992</v>
      </c>
      <c r="Q133" s="963">
        <f t="shared" si="28"/>
        <v>59.7</v>
      </c>
      <c r="R133" s="963">
        <f t="shared" si="29"/>
        <v>84.85</v>
      </c>
      <c r="S133" s="972">
        <v>0</v>
      </c>
      <c r="T133" s="443" t="e">
        <f>#REF!+#REF!-M133</f>
        <v>#REF!</v>
      </c>
      <c r="U133" s="952" t="e">
        <f>ROUND((#REF!+#REF!+#REF!+#REF!+#REF!+#REF!+#REF!+#REF!+#REF!),2)</f>
        <v>#REF!</v>
      </c>
      <c r="Y133" s="953" t="e">
        <f>#REF!+#REF!-M133</f>
        <v>#REF!</v>
      </c>
      <c r="Z133" s="954" t="e">
        <f>#REF!</f>
        <v>#REF!</v>
      </c>
      <c r="AA133" s="953" t="e">
        <f>#REF!+#REF!</f>
        <v>#REF!</v>
      </c>
      <c r="AB133" s="954" t="e">
        <f>#REF!</f>
        <v>#REF!</v>
      </c>
      <c r="AC133" s="955">
        <v>0</v>
      </c>
      <c r="AD133" s="954" t="e">
        <f>#REF!</f>
        <v>#REF!</v>
      </c>
      <c r="AE133" s="956" t="e">
        <f>#REF!+#REF!</f>
        <v>#REF!</v>
      </c>
      <c r="AF133" s="956" t="e">
        <f>#REF!+#REF!</f>
        <v>#REF!</v>
      </c>
      <c r="AG133" s="956"/>
      <c r="AH133" s="954" t="e">
        <f>#REF!</f>
        <v>#REF!</v>
      </c>
      <c r="AI133" s="954" t="e">
        <f t="shared" si="23"/>
        <v>#REF!</v>
      </c>
      <c r="AJ133" s="954">
        <f t="shared" si="24"/>
        <v>84.85</v>
      </c>
      <c r="AK133" s="954">
        <f t="shared" si="25"/>
        <v>0</v>
      </c>
      <c r="AL133" s="625"/>
    </row>
    <row r="134" spans="1:38" s="620" customFormat="1" ht="20.100000000000001" customHeight="1" x14ac:dyDescent="0.2">
      <c r="A134" s="759">
        <f t="shared" si="30"/>
        <v>90</v>
      </c>
      <c r="B134" s="957">
        <f>+NOMINA!C133</f>
        <v>13462933</v>
      </c>
      <c r="C134" s="958" t="str">
        <f>+NOMINA!D133</f>
        <v>Frias Aldana Maria Yaritza</v>
      </c>
      <c r="D134" s="955" t="s">
        <v>4622</v>
      </c>
      <c r="E134" s="959">
        <v>32351</v>
      </c>
      <c r="F134" s="955" t="s">
        <v>4620</v>
      </c>
      <c r="G134" s="971">
        <f>+NOMINA!H133</f>
        <v>39454</v>
      </c>
      <c r="H134" s="961">
        <f t="shared" si="26"/>
        <v>14</v>
      </c>
      <c r="I134" s="962">
        <v>0</v>
      </c>
      <c r="J134" s="968">
        <f>+NOMINA!BL133</f>
        <v>0</v>
      </c>
      <c r="K134" s="968">
        <f>+NOMINA!BM133</f>
        <v>0</v>
      </c>
      <c r="L134" s="968">
        <f>+NOMINA!BN133</f>
        <v>0</v>
      </c>
      <c r="M134" s="963">
        <f t="shared" si="27"/>
        <v>0</v>
      </c>
      <c r="N134" s="968">
        <f>+NOMINA!BR133</f>
        <v>0</v>
      </c>
      <c r="O134" s="968">
        <f>+NOMINA!BS133</f>
        <v>0</v>
      </c>
      <c r="P134" s="968">
        <f>+NOMINA!BT133</f>
        <v>0</v>
      </c>
      <c r="Q134" s="963">
        <f t="shared" si="28"/>
        <v>0</v>
      </c>
      <c r="R134" s="963">
        <f t="shared" si="29"/>
        <v>0</v>
      </c>
      <c r="S134" s="972">
        <v>0</v>
      </c>
      <c r="T134" s="443" t="e">
        <f>#REF!+#REF!-M134</f>
        <v>#REF!</v>
      </c>
      <c r="U134" s="952" t="e">
        <f>ROUND((#REF!+#REF!+#REF!+#REF!+#REF!+#REF!+#REF!+#REF!+#REF!),2)</f>
        <v>#REF!</v>
      </c>
      <c r="Y134" s="953" t="e">
        <f>#REF!+#REF!-M134</f>
        <v>#REF!</v>
      </c>
      <c r="Z134" s="954" t="e">
        <f>#REF!</f>
        <v>#REF!</v>
      </c>
      <c r="AA134" s="953" t="e">
        <f>#REF!+#REF!</f>
        <v>#REF!</v>
      </c>
      <c r="AB134" s="954" t="e">
        <f>#REF!</f>
        <v>#REF!</v>
      </c>
      <c r="AC134" s="955">
        <v>0</v>
      </c>
      <c r="AD134" s="954" t="e">
        <f>#REF!</f>
        <v>#REF!</v>
      </c>
      <c r="AE134" s="956" t="e">
        <f>#REF!+#REF!</f>
        <v>#REF!</v>
      </c>
      <c r="AF134" s="956" t="e">
        <f>#REF!+#REF!</f>
        <v>#REF!</v>
      </c>
      <c r="AG134" s="956"/>
      <c r="AH134" s="954" t="e">
        <f>#REF!</f>
        <v>#REF!</v>
      </c>
      <c r="AI134" s="954" t="e">
        <f t="shared" si="23"/>
        <v>#REF!</v>
      </c>
      <c r="AJ134" s="954">
        <f t="shared" si="24"/>
        <v>0</v>
      </c>
      <c r="AK134" s="954">
        <f t="shared" si="25"/>
        <v>0</v>
      </c>
      <c r="AL134" s="625"/>
    </row>
    <row r="135" spans="1:38" s="620" customFormat="1" ht="20.100000000000001" customHeight="1" x14ac:dyDescent="0.2">
      <c r="A135" s="759">
        <f t="shared" si="30"/>
        <v>91</v>
      </c>
      <c r="B135" s="957">
        <f>+NOMINA!C134</f>
        <v>13462511</v>
      </c>
      <c r="C135" s="958" t="str">
        <f>+NOMINA!D134</f>
        <v>Vielma Jenifer</v>
      </c>
      <c r="D135" s="955" t="s">
        <v>4622</v>
      </c>
      <c r="E135" s="959">
        <v>32351</v>
      </c>
      <c r="F135" s="955" t="s">
        <v>4620</v>
      </c>
      <c r="G135" s="971">
        <f>+NOMINA!H134</f>
        <v>43738</v>
      </c>
      <c r="H135" s="961">
        <f t="shared" si="26"/>
        <v>3</v>
      </c>
      <c r="I135" s="962">
        <v>0</v>
      </c>
      <c r="J135" s="968">
        <f>+NOMINA!BL134</f>
        <v>31.55</v>
      </c>
      <c r="K135" s="968">
        <f>+NOMINA!BM134</f>
        <v>3.94</v>
      </c>
      <c r="L135" s="968">
        <f>+NOMINA!BN134</f>
        <v>6.83</v>
      </c>
      <c r="M135" s="963">
        <f t="shared" si="27"/>
        <v>42.32</v>
      </c>
      <c r="N135" s="968">
        <f>+NOMINA!BR134</f>
        <v>70.98</v>
      </c>
      <c r="O135" s="968">
        <f>+NOMINA!BS134</f>
        <v>15.77</v>
      </c>
      <c r="P135" s="968">
        <f>+NOMINA!BT134</f>
        <v>13.66</v>
      </c>
      <c r="Q135" s="963">
        <f t="shared" si="28"/>
        <v>100.41</v>
      </c>
      <c r="R135" s="963">
        <f t="shared" si="29"/>
        <v>142.72999999999999</v>
      </c>
      <c r="S135" s="972">
        <v>0</v>
      </c>
      <c r="T135" s="443" t="e">
        <f>#REF!+#REF!-M135</f>
        <v>#REF!</v>
      </c>
      <c r="U135" s="952" t="e">
        <f>ROUND((#REF!+#REF!+#REF!+#REF!+#REF!+#REF!+#REF!+#REF!+#REF!),2)</f>
        <v>#REF!</v>
      </c>
      <c r="Y135" s="953" t="e">
        <f>#REF!+#REF!-M135</f>
        <v>#REF!</v>
      </c>
      <c r="Z135" s="954" t="e">
        <f>#REF!</f>
        <v>#REF!</v>
      </c>
      <c r="AA135" s="953" t="e">
        <f>#REF!+#REF!</f>
        <v>#REF!</v>
      </c>
      <c r="AB135" s="954" t="e">
        <f>#REF!</f>
        <v>#REF!</v>
      </c>
      <c r="AC135" s="955">
        <v>0</v>
      </c>
      <c r="AD135" s="954" t="e">
        <f>#REF!</f>
        <v>#REF!</v>
      </c>
      <c r="AE135" s="956" t="e">
        <f>#REF!+#REF!</f>
        <v>#REF!</v>
      </c>
      <c r="AF135" s="956" t="e">
        <f>#REF!+#REF!</f>
        <v>#REF!</v>
      </c>
      <c r="AG135" s="956"/>
      <c r="AH135" s="954" t="e">
        <f>#REF!</f>
        <v>#REF!</v>
      </c>
      <c r="AI135" s="954" t="e">
        <f t="shared" si="23"/>
        <v>#REF!</v>
      </c>
      <c r="AJ135" s="954">
        <f t="shared" si="24"/>
        <v>142.72999999999999</v>
      </c>
      <c r="AK135" s="954">
        <f t="shared" si="25"/>
        <v>0</v>
      </c>
      <c r="AL135" s="625"/>
    </row>
    <row r="136" spans="1:38" s="620" customFormat="1" ht="20.100000000000001" customHeight="1" x14ac:dyDescent="0.2">
      <c r="A136" s="759">
        <f t="shared" si="30"/>
        <v>92</v>
      </c>
      <c r="B136" s="957">
        <f>+NOMINA!C135</f>
        <v>13522518</v>
      </c>
      <c r="C136" s="958" t="str">
        <f>+NOMINA!D135</f>
        <v>Altuve Diaz Jose Antonio</v>
      </c>
      <c r="D136" s="955" t="s">
        <v>4622</v>
      </c>
      <c r="E136" s="959">
        <v>32351</v>
      </c>
      <c r="F136" s="955" t="s">
        <v>4620</v>
      </c>
      <c r="G136" s="971">
        <f>+NOMINA!H135</f>
        <v>43739</v>
      </c>
      <c r="H136" s="961">
        <f t="shared" si="26"/>
        <v>3</v>
      </c>
      <c r="I136" s="962">
        <v>0</v>
      </c>
      <c r="J136" s="968">
        <f>+NOMINA!BL135</f>
        <v>13.85</v>
      </c>
      <c r="K136" s="968">
        <f>+NOMINA!BM135</f>
        <v>1.73</v>
      </c>
      <c r="L136" s="968">
        <f>+NOMINA!BN135</f>
        <v>3</v>
      </c>
      <c r="M136" s="963">
        <f t="shared" si="27"/>
        <v>18.579999999999998</v>
      </c>
      <c r="N136" s="968">
        <f>+NOMINA!BR135</f>
        <v>31.15</v>
      </c>
      <c r="O136" s="968">
        <f>+NOMINA!BS135</f>
        <v>6.92</v>
      </c>
      <c r="P136" s="968">
        <f>+NOMINA!BT135</f>
        <v>6</v>
      </c>
      <c r="Q136" s="963">
        <f t="shared" si="28"/>
        <v>44.07</v>
      </c>
      <c r="R136" s="963">
        <f t="shared" si="29"/>
        <v>62.65</v>
      </c>
      <c r="S136" s="972">
        <v>0</v>
      </c>
      <c r="T136" s="443" t="e">
        <f>#REF!+#REF!-M136</f>
        <v>#REF!</v>
      </c>
      <c r="U136" s="952" t="e">
        <f>ROUND((#REF!+#REF!+#REF!+#REF!+#REF!+#REF!+#REF!+#REF!+#REF!),2)</f>
        <v>#REF!</v>
      </c>
      <c r="Y136" s="953" t="e">
        <f>#REF!+#REF!-M136</f>
        <v>#REF!</v>
      </c>
      <c r="Z136" s="954" t="e">
        <f>#REF!</f>
        <v>#REF!</v>
      </c>
      <c r="AA136" s="953" t="e">
        <f>#REF!+#REF!</f>
        <v>#REF!</v>
      </c>
      <c r="AB136" s="954" t="e">
        <f>#REF!</f>
        <v>#REF!</v>
      </c>
      <c r="AC136" s="955">
        <v>0</v>
      </c>
      <c r="AD136" s="954" t="e">
        <f>#REF!</f>
        <v>#REF!</v>
      </c>
      <c r="AE136" s="956" t="e">
        <f>#REF!+#REF!</f>
        <v>#REF!</v>
      </c>
      <c r="AF136" s="956" t="e">
        <f>#REF!+#REF!</f>
        <v>#REF!</v>
      </c>
      <c r="AG136" s="956"/>
      <c r="AH136" s="954" t="e">
        <f>#REF!</f>
        <v>#REF!</v>
      </c>
      <c r="AI136" s="954" t="e">
        <f t="shared" si="23"/>
        <v>#REF!</v>
      </c>
      <c r="AJ136" s="954">
        <f t="shared" si="24"/>
        <v>62.65</v>
      </c>
      <c r="AK136" s="954">
        <f t="shared" si="25"/>
        <v>0</v>
      </c>
      <c r="AL136" s="625"/>
    </row>
    <row r="137" spans="1:38" s="620" customFormat="1" ht="20.100000000000001" customHeight="1" x14ac:dyDescent="0.2">
      <c r="A137" s="759">
        <f t="shared" si="30"/>
        <v>93</v>
      </c>
      <c r="B137" s="957">
        <f>+NOMINA!C136</f>
        <v>13523075</v>
      </c>
      <c r="C137" s="958" t="str">
        <f>+NOMINA!D136</f>
        <v>Zambrano Castellanos Maria Alejandra</v>
      </c>
      <c r="D137" s="955" t="s">
        <v>4622</v>
      </c>
      <c r="E137" s="959">
        <v>32351</v>
      </c>
      <c r="F137" s="955" t="s">
        <v>4620</v>
      </c>
      <c r="G137" s="971">
        <f>+NOMINA!H136</f>
        <v>37718</v>
      </c>
      <c r="H137" s="961">
        <f t="shared" si="26"/>
        <v>19</v>
      </c>
      <c r="I137" s="962">
        <v>0</v>
      </c>
      <c r="J137" s="968">
        <f>+NOMINA!BL136</f>
        <v>24.95</v>
      </c>
      <c r="K137" s="968">
        <f>+NOMINA!BM136</f>
        <v>3.12</v>
      </c>
      <c r="L137" s="968">
        <f>+NOMINA!BN136</f>
        <v>5.41</v>
      </c>
      <c r="M137" s="963">
        <f t="shared" si="27"/>
        <v>33.479999999999997</v>
      </c>
      <c r="N137" s="968">
        <f>+NOMINA!BR136</f>
        <v>56.14</v>
      </c>
      <c r="O137" s="968">
        <f>+NOMINA!BS136</f>
        <v>12.48</v>
      </c>
      <c r="P137" s="968">
        <f>+NOMINA!BT136</f>
        <v>10.82</v>
      </c>
      <c r="Q137" s="963">
        <f t="shared" si="28"/>
        <v>79.44</v>
      </c>
      <c r="R137" s="963">
        <f t="shared" si="29"/>
        <v>112.91999999999999</v>
      </c>
      <c r="S137" s="972">
        <v>0</v>
      </c>
      <c r="T137" s="443" t="e">
        <f>#REF!+#REF!-M137</f>
        <v>#REF!</v>
      </c>
      <c r="U137" s="952" t="e">
        <f>ROUND((#REF!+#REF!+#REF!+#REF!+#REF!+#REF!+#REF!+#REF!+#REF!),2)</f>
        <v>#REF!</v>
      </c>
      <c r="Y137" s="953" t="e">
        <f>#REF!+#REF!-M137</f>
        <v>#REF!</v>
      </c>
      <c r="Z137" s="954" t="e">
        <f>#REF!</f>
        <v>#REF!</v>
      </c>
      <c r="AA137" s="953" t="e">
        <f>#REF!+#REF!</f>
        <v>#REF!</v>
      </c>
      <c r="AB137" s="954" t="e">
        <f>#REF!</f>
        <v>#REF!</v>
      </c>
      <c r="AC137" s="955">
        <v>0</v>
      </c>
      <c r="AD137" s="954" t="e">
        <f>#REF!</f>
        <v>#REF!</v>
      </c>
      <c r="AE137" s="956" t="e">
        <f>#REF!+#REF!</f>
        <v>#REF!</v>
      </c>
      <c r="AF137" s="956" t="e">
        <f>#REF!+#REF!</f>
        <v>#REF!</v>
      </c>
      <c r="AG137" s="956"/>
      <c r="AH137" s="954" t="e">
        <f>#REF!</f>
        <v>#REF!</v>
      </c>
      <c r="AI137" s="954" t="e">
        <f t="shared" si="23"/>
        <v>#REF!</v>
      </c>
      <c r="AJ137" s="954">
        <f t="shared" si="24"/>
        <v>112.91999999999999</v>
      </c>
      <c r="AK137" s="954">
        <f t="shared" si="25"/>
        <v>0</v>
      </c>
      <c r="AL137" s="625"/>
    </row>
    <row r="138" spans="1:38" s="620" customFormat="1" ht="20.100000000000001" customHeight="1" x14ac:dyDescent="0.2">
      <c r="A138" s="759">
        <f t="shared" si="30"/>
        <v>94</v>
      </c>
      <c r="B138" s="957">
        <f>+NOMINA!C137</f>
        <v>13765028</v>
      </c>
      <c r="C138" s="958" t="str">
        <f>+NOMINA!D137</f>
        <v>Diaz Ramirez Mileyda del Valle</v>
      </c>
      <c r="D138" s="955" t="s">
        <v>4622</v>
      </c>
      <c r="E138" s="959">
        <v>32351</v>
      </c>
      <c r="F138" s="955" t="s">
        <v>4620</v>
      </c>
      <c r="G138" s="971">
        <f>+NOMINA!H137</f>
        <v>44348</v>
      </c>
      <c r="H138" s="961">
        <f t="shared" si="26"/>
        <v>1</v>
      </c>
      <c r="I138" s="962">
        <v>0</v>
      </c>
      <c r="J138" s="968">
        <f>+NOMINA!BL137</f>
        <v>27.41</v>
      </c>
      <c r="K138" s="968">
        <f>+NOMINA!BM137</f>
        <v>3.43</v>
      </c>
      <c r="L138" s="968">
        <f>+NOMINA!BN137</f>
        <v>5.94</v>
      </c>
      <c r="M138" s="963">
        <f t="shared" si="27"/>
        <v>36.78</v>
      </c>
      <c r="N138" s="968">
        <f>+NOMINA!BR137</f>
        <v>61.66</v>
      </c>
      <c r="O138" s="968">
        <f>+NOMINA!BS137</f>
        <v>13.7</v>
      </c>
      <c r="P138" s="968">
        <f>+NOMINA!BT137</f>
        <v>11.88</v>
      </c>
      <c r="Q138" s="963">
        <f t="shared" si="28"/>
        <v>87.24</v>
      </c>
      <c r="R138" s="963">
        <f t="shared" si="29"/>
        <v>124.02</v>
      </c>
      <c r="S138" s="972">
        <v>0</v>
      </c>
      <c r="T138" s="443" t="e">
        <f>#REF!+#REF!-M138</f>
        <v>#REF!</v>
      </c>
      <c r="U138" s="952" t="e">
        <f>ROUND((#REF!+#REF!+#REF!+#REF!+#REF!+#REF!+#REF!+#REF!+#REF!),2)</f>
        <v>#REF!</v>
      </c>
      <c r="Y138" s="953" t="e">
        <f>#REF!+#REF!-M138</f>
        <v>#REF!</v>
      </c>
      <c r="Z138" s="954" t="e">
        <f>#REF!</f>
        <v>#REF!</v>
      </c>
      <c r="AA138" s="953" t="e">
        <f>#REF!+#REF!</f>
        <v>#REF!</v>
      </c>
      <c r="AB138" s="954" t="e">
        <f>#REF!</f>
        <v>#REF!</v>
      </c>
      <c r="AC138" s="955">
        <v>0</v>
      </c>
      <c r="AD138" s="954" t="e">
        <f>#REF!</f>
        <v>#REF!</v>
      </c>
      <c r="AE138" s="956" t="e">
        <f>#REF!+#REF!</f>
        <v>#REF!</v>
      </c>
      <c r="AF138" s="956" t="e">
        <f>#REF!+#REF!</f>
        <v>#REF!</v>
      </c>
      <c r="AG138" s="956"/>
      <c r="AH138" s="954" t="e">
        <f>#REF!</f>
        <v>#REF!</v>
      </c>
      <c r="AI138" s="954" t="e">
        <f t="shared" si="23"/>
        <v>#REF!</v>
      </c>
      <c r="AJ138" s="954">
        <f t="shared" si="24"/>
        <v>124.02</v>
      </c>
      <c r="AK138" s="954">
        <f t="shared" si="25"/>
        <v>0</v>
      </c>
      <c r="AL138" s="625"/>
    </row>
    <row r="139" spans="1:38" s="620" customFormat="1" ht="20.100000000000001" customHeight="1" x14ac:dyDescent="0.2">
      <c r="A139" s="759">
        <f t="shared" si="30"/>
        <v>95</v>
      </c>
      <c r="B139" s="957">
        <f>+NOMINA!C138</f>
        <v>13896147</v>
      </c>
      <c r="C139" s="958" t="str">
        <f>+NOMINA!D138</f>
        <v>Carrizo Blanco Belquis Cecilia</v>
      </c>
      <c r="D139" s="955" t="s">
        <v>4622</v>
      </c>
      <c r="E139" s="959">
        <v>32351</v>
      </c>
      <c r="F139" s="955" t="s">
        <v>4620</v>
      </c>
      <c r="G139" s="971">
        <f>+NOMINA!H138</f>
        <v>41334</v>
      </c>
      <c r="H139" s="961">
        <f t="shared" si="26"/>
        <v>9</v>
      </c>
      <c r="I139" s="962">
        <v>0</v>
      </c>
      <c r="J139" s="968">
        <f>+NOMINA!BL138</f>
        <v>26.08</v>
      </c>
      <c r="K139" s="968">
        <f>+NOMINA!BM138</f>
        <v>3.26</v>
      </c>
      <c r="L139" s="968">
        <f>+NOMINA!BN138</f>
        <v>5.65</v>
      </c>
      <c r="M139" s="963">
        <f t="shared" si="27"/>
        <v>34.99</v>
      </c>
      <c r="N139" s="968">
        <f>+NOMINA!BR138</f>
        <v>58.68</v>
      </c>
      <c r="O139" s="968">
        <f>+NOMINA!BS138</f>
        <v>13.04</v>
      </c>
      <c r="P139" s="968">
        <f>+NOMINA!BT138</f>
        <v>11.3</v>
      </c>
      <c r="Q139" s="963">
        <f t="shared" si="28"/>
        <v>83.02</v>
      </c>
      <c r="R139" s="963">
        <f t="shared" si="29"/>
        <v>118.00999999999999</v>
      </c>
      <c r="S139" s="972">
        <v>0</v>
      </c>
      <c r="T139" s="443" t="e">
        <f>#REF!+#REF!-M139</f>
        <v>#REF!</v>
      </c>
      <c r="U139" s="952" t="e">
        <f>ROUND((#REF!+#REF!+#REF!+#REF!+#REF!+#REF!+#REF!+#REF!+#REF!),2)</f>
        <v>#REF!</v>
      </c>
      <c r="Y139" s="953" t="e">
        <f>#REF!+#REF!-M139</f>
        <v>#REF!</v>
      </c>
      <c r="Z139" s="954" t="e">
        <f>#REF!</f>
        <v>#REF!</v>
      </c>
      <c r="AA139" s="953" t="e">
        <f>#REF!+#REF!</f>
        <v>#REF!</v>
      </c>
      <c r="AB139" s="954" t="e">
        <f>#REF!</f>
        <v>#REF!</v>
      </c>
      <c r="AC139" s="955">
        <v>0</v>
      </c>
      <c r="AD139" s="954" t="e">
        <f>#REF!</f>
        <v>#REF!</v>
      </c>
      <c r="AE139" s="956" t="e">
        <f>#REF!+#REF!</f>
        <v>#REF!</v>
      </c>
      <c r="AF139" s="956" t="e">
        <f>#REF!+#REF!</f>
        <v>#REF!</v>
      </c>
      <c r="AG139" s="956"/>
      <c r="AH139" s="954" t="e">
        <f>#REF!</f>
        <v>#REF!</v>
      </c>
      <c r="AI139" s="954" t="e">
        <f t="shared" si="23"/>
        <v>#REF!</v>
      </c>
      <c r="AJ139" s="954">
        <f t="shared" si="24"/>
        <v>118.00999999999999</v>
      </c>
      <c r="AK139" s="954">
        <f t="shared" si="25"/>
        <v>0</v>
      </c>
      <c r="AL139" s="625"/>
    </row>
    <row r="140" spans="1:38" s="620" customFormat="1" ht="20.100000000000001" customHeight="1" x14ac:dyDescent="0.2">
      <c r="A140" s="759">
        <f t="shared" si="30"/>
        <v>96</v>
      </c>
      <c r="B140" s="957">
        <f>+NOMINA!C139</f>
        <v>13896239</v>
      </c>
      <c r="C140" s="958" t="str">
        <f>+NOMINA!D139</f>
        <v>Sulbaran Campos Yusneida Ayarith</v>
      </c>
      <c r="D140" s="955" t="s">
        <v>4622</v>
      </c>
      <c r="E140" s="959">
        <v>32351</v>
      </c>
      <c r="F140" s="955" t="s">
        <v>4620</v>
      </c>
      <c r="G140" s="971">
        <f>+NOMINA!H139</f>
        <v>42416</v>
      </c>
      <c r="H140" s="961">
        <f t="shared" si="26"/>
        <v>6</v>
      </c>
      <c r="I140" s="962">
        <v>0</v>
      </c>
      <c r="J140" s="968">
        <f>+NOMINA!BL139</f>
        <v>15.29</v>
      </c>
      <c r="K140" s="968">
        <f>+NOMINA!BM139</f>
        <v>1.91</v>
      </c>
      <c r="L140" s="968">
        <f>+NOMINA!BN139</f>
        <v>3.31</v>
      </c>
      <c r="M140" s="963">
        <f t="shared" si="27"/>
        <v>20.51</v>
      </c>
      <c r="N140" s="968">
        <f>+NOMINA!BR139</f>
        <v>34.409999999999997</v>
      </c>
      <c r="O140" s="968">
        <f>+NOMINA!BS139</f>
        <v>7.65</v>
      </c>
      <c r="P140" s="968">
        <f>+NOMINA!BT139</f>
        <v>6.62</v>
      </c>
      <c r="Q140" s="963">
        <f t="shared" si="28"/>
        <v>48.68</v>
      </c>
      <c r="R140" s="963">
        <f t="shared" si="29"/>
        <v>69.19</v>
      </c>
      <c r="S140" s="972">
        <v>0</v>
      </c>
      <c r="T140" s="443" t="e">
        <f>#REF!+#REF!-M140</f>
        <v>#REF!</v>
      </c>
      <c r="U140" s="952" t="e">
        <f>ROUND((#REF!+#REF!+#REF!+#REF!+#REF!+#REF!+#REF!+#REF!+#REF!),2)</f>
        <v>#REF!</v>
      </c>
      <c r="Y140" s="953" t="e">
        <f>#REF!+#REF!-M140</f>
        <v>#REF!</v>
      </c>
      <c r="Z140" s="954" t="e">
        <f>#REF!</f>
        <v>#REF!</v>
      </c>
      <c r="AA140" s="953" t="e">
        <f>#REF!+#REF!</f>
        <v>#REF!</v>
      </c>
      <c r="AB140" s="954" t="e">
        <f>#REF!</f>
        <v>#REF!</v>
      </c>
      <c r="AC140" s="955">
        <v>0</v>
      </c>
      <c r="AD140" s="954" t="e">
        <f>#REF!</f>
        <v>#REF!</v>
      </c>
      <c r="AE140" s="956" t="e">
        <f>#REF!+#REF!</f>
        <v>#REF!</v>
      </c>
      <c r="AF140" s="956" t="e">
        <f>#REF!+#REF!</f>
        <v>#REF!</v>
      </c>
      <c r="AG140" s="956"/>
      <c r="AH140" s="954" t="e">
        <f>#REF!</f>
        <v>#REF!</v>
      </c>
      <c r="AI140" s="954" t="e">
        <f t="shared" si="23"/>
        <v>#REF!</v>
      </c>
      <c r="AJ140" s="954">
        <f t="shared" si="24"/>
        <v>69.19</v>
      </c>
      <c r="AK140" s="954">
        <f t="shared" si="25"/>
        <v>0</v>
      </c>
      <c r="AL140" s="625"/>
    </row>
    <row r="141" spans="1:38" s="620" customFormat="1" ht="20.100000000000001" customHeight="1" x14ac:dyDescent="0.2">
      <c r="A141" s="759">
        <f t="shared" si="30"/>
        <v>97</v>
      </c>
      <c r="B141" s="957">
        <f>+NOMINA!C140</f>
        <v>13897046</v>
      </c>
      <c r="C141" s="958" t="str">
        <f>+NOMINA!D140</f>
        <v>Artigas Sanchez Mireya Carolina</v>
      </c>
      <c r="D141" s="955" t="s">
        <v>4622</v>
      </c>
      <c r="E141" s="959">
        <v>32351</v>
      </c>
      <c r="F141" s="955" t="s">
        <v>4620</v>
      </c>
      <c r="G141" s="971">
        <f>+NOMINA!H140</f>
        <v>42384</v>
      </c>
      <c r="H141" s="961">
        <f t="shared" si="26"/>
        <v>6</v>
      </c>
      <c r="I141" s="962">
        <v>0</v>
      </c>
      <c r="J141" s="968">
        <f>+NOMINA!BL140</f>
        <v>22.15</v>
      </c>
      <c r="K141" s="968">
        <f>+NOMINA!BM140</f>
        <v>2.77</v>
      </c>
      <c r="L141" s="968">
        <f>+NOMINA!BN140</f>
        <v>4.8</v>
      </c>
      <c r="M141" s="963">
        <f t="shared" si="27"/>
        <v>29.72</v>
      </c>
      <c r="N141" s="968">
        <f>+NOMINA!BR140</f>
        <v>49.83</v>
      </c>
      <c r="O141" s="968">
        <f>+NOMINA!BS140</f>
        <v>11.07</v>
      </c>
      <c r="P141" s="968">
        <f>+NOMINA!BT140</f>
        <v>9.6</v>
      </c>
      <c r="Q141" s="963">
        <f t="shared" si="28"/>
        <v>70.5</v>
      </c>
      <c r="R141" s="963">
        <f t="shared" si="29"/>
        <v>100.22</v>
      </c>
      <c r="S141" s="972">
        <v>0</v>
      </c>
      <c r="T141" s="443" t="e">
        <f>#REF!+#REF!-M141</f>
        <v>#REF!</v>
      </c>
      <c r="U141" s="952" t="e">
        <f>ROUND((#REF!+#REF!+#REF!+#REF!+#REF!+#REF!+#REF!+#REF!+#REF!),2)</f>
        <v>#REF!</v>
      </c>
      <c r="Y141" s="953" t="e">
        <f>#REF!+#REF!-M141</f>
        <v>#REF!</v>
      </c>
      <c r="Z141" s="954" t="e">
        <f>#REF!</f>
        <v>#REF!</v>
      </c>
      <c r="AA141" s="953" t="e">
        <f>#REF!+#REF!</f>
        <v>#REF!</v>
      </c>
      <c r="AB141" s="954" t="e">
        <f>#REF!</f>
        <v>#REF!</v>
      </c>
      <c r="AC141" s="955">
        <v>0</v>
      </c>
      <c r="AD141" s="954" t="e">
        <f>#REF!</f>
        <v>#REF!</v>
      </c>
      <c r="AE141" s="956" t="e">
        <f>#REF!+#REF!</f>
        <v>#REF!</v>
      </c>
      <c r="AF141" s="956" t="e">
        <f>#REF!+#REF!</f>
        <v>#REF!</v>
      </c>
      <c r="AG141" s="956"/>
      <c r="AH141" s="954" t="e">
        <f>#REF!</f>
        <v>#REF!</v>
      </c>
      <c r="AI141" s="954" t="e">
        <f t="shared" si="23"/>
        <v>#REF!</v>
      </c>
      <c r="AJ141" s="954">
        <f t="shared" si="24"/>
        <v>100.22</v>
      </c>
      <c r="AK141" s="954">
        <f t="shared" si="25"/>
        <v>0</v>
      </c>
      <c r="AL141" s="625"/>
    </row>
    <row r="142" spans="1:38" s="620" customFormat="1" ht="20.100000000000001" customHeight="1" x14ac:dyDescent="0.2">
      <c r="A142" s="759">
        <f t="shared" si="30"/>
        <v>98</v>
      </c>
      <c r="B142" s="957">
        <f>+NOMINA!C141</f>
        <v>13897695</v>
      </c>
      <c r="C142" s="958" t="str">
        <f>+NOMINA!D141</f>
        <v>Araujo Matheus Alba Mariela</v>
      </c>
      <c r="D142" s="955" t="s">
        <v>4622</v>
      </c>
      <c r="E142" s="959">
        <v>32351</v>
      </c>
      <c r="F142" s="955" t="s">
        <v>4620</v>
      </c>
      <c r="G142" s="971">
        <f>+NOMINA!H141</f>
        <v>39496</v>
      </c>
      <c r="H142" s="961">
        <f t="shared" si="26"/>
        <v>14</v>
      </c>
      <c r="I142" s="962">
        <v>0</v>
      </c>
      <c r="J142" s="968">
        <f>+NOMINA!BL141</f>
        <v>29.81</v>
      </c>
      <c r="K142" s="968">
        <f>+NOMINA!BM141</f>
        <v>3.73</v>
      </c>
      <c r="L142" s="968">
        <f>+NOMINA!BN141</f>
        <v>6.46</v>
      </c>
      <c r="M142" s="963">
        <f t="shared" si="27"/>
        <v>40</v>
      </c>
      <c r="N142" s="968">
        <f>+NOMINA!BR141</f>
        <v>67.06</v>
      </c>
      <c r="O142" s="968">
        <f>+NOMINA!BS141</f>
        <v>14.9</v>
      </c>
      <c r="P142" s="968">
        <f>+NOMINA!BT141</f>
        <v>12.92</v>
      </c>
      <c r="Q142" s="963">
        <f t="shared" si="28"/>
        <v>94.88</v>
      </c>
      <c r="R142" s="963">
        <f t="shared" si="29"/>
        <v>134.88</v>
      </c>
      <c r="S142" s="972">
        <v>0</v>
      </c>
      <c r="T142" s="443" t="e">
        <f>#REF!+#REF!-M142</f>
        <v>#REF!</v>
      </c>
      <c r="U142" s="952" t="e">
        <f>ROUND((#REF!+#REF!+#REF!+#REF!+#REF!+#REF!+#REF!+#REF!+#REF!),2)</f>
        <v>#REF!</v>
      </c>
      <c r="Y142" s="953" t="e">
        <f>#REF!+#REF!-M142</f>
        <v>#REF!</v>
      </c>
      <c r="Z142" s="954" t="e">
        <f>#REF!</f>
        <v>#REF!</v>
      </c>
      <c r="AA142" s="953" t="e">
        <f>#REF!+#REF!</f>
        <v>#REF!</v>
      </c>
      <c r="AB142" s="954" t="e">
        <f>#REF!</f>
        <v>#REF!</v>
      </c>
      <c r="AC142" s="955">
        <v>0</v>
      </c>
      <c r="AD142" s="954" t="e">
        <f>#REF!</f>
        <v>#REF!</v>
      </c>
      <c r="AE142" s="956" t="e">
        <f>#REF!+#REF!</f>
        <v>#REF!</v>
      </c>
      <c r="AF142" s="956" t="e">
        <f>#REF!+#REF!</f>
        <v>#REF!</v>
      </c>
      <c r="AG142" s="956"/>
      <c r="AH142" s="954" t="e">
        <f>#REF!</f>
        <v>#REF!</v>
      </c>
      <c r="AI142" s="954" t="e">
        <f t="shared" si="23"/>
        <v>#REF!</v>
      </c>
      <c r="AJ142" s="954">
        <f t="shared" si="24"/>
        <v>134.88</v>
      </c>
      <c r="AK142" s="954">
        <f t="shared" si="25"/>
        <v>0</v>
      </c>
      <c r="AL142" s="625"/>
    </row>
    <row r="143" spans="1:38" s="620" customFormat="1" ht="20.100000000000001" customHeight="1" x14ac:dyDescent="0.2">
      <c r="A143" s="759">
        <f t="shared" si="30"/>
        <v>99</v>
      </c>
      <c r="B143" s="957">
        <f>+NOMINA!C142</f>
        <v>13996024</v>
      </c>
      <c r="C143" s="958" t="str">
        <f>+NOMINA!D142</f>
        <v>Perez Barrios Helenmar</v>
      </c>
      <c r="D143" s="955" t="s">
        <v>4622</v>
      </c>
      <c r="E143" s="959">
        <v>32351</v>
      </c>
      <c r="F143" s="955" t="s">
        <v>4620</v>
      </c>
      <c r="G143" s="971">
        <f>+NOMINA!H142</f>
        <v>40028</v>
      </c>
      <c r="H143" s="961">
        <f t="shared" si="26"/>
        <v>13</v>
      </c>
      <c r="I143" s="962">
        <v>0</v>
      </c>
      <c r="J143" s="968">
        <f>+NOMINA!BL142</f>
        <v>27.89</v>
      </c>
      <c r="K143" s="968">
        <f>+NOMINA!BM142</f>
        <v>3.49</v>
      </c>
      <c r="L143" s="968">
        <f>+NOMINA!BN142</f>
        <v>6.04</v>
      </c>
      <c r="M143" s="963">
        <f t="shared" si="27"/>
        <v>37.42</v>
      </c>
      <c r="N143" s="968">
        <f>+NOMINA!BR142</f>
        <v>62.74</v>
      </c>
      <c r="O143" s="968">
        <f>+NOMINA!BS142</f>
        <v>13.94</v>
      </c>
      <c r="P143" s="968">
        <f>+NOMINA!BT142</f>
        <v>12.08</v>
      </c>
      <c r="Q143" s="963">
        <f t="shared" si="28"/>
        <v>88.76</v>
      </c>
      <c r="R143" s="963">
        <f t="shared" si="29"/>
        <v>126.18</v>
      </c>
      <c r="S143" s="972">
        <v>0</v>
      </c>
      <c r="T143" s="443" t="e">
        <f>#REF!+#REF!-M143</f>
        <v>#REF!</v>
      </c>
      <c r="U143" s="952" t="e">
        <f>ROUND((#REF!+#REF!+#REF!+#REF!+#REF!+#REF!+#REF!+#REF!+#REF!),2)</f>
        <v>#REF!</v>
      </c>
      <c r="Y143" s="953" t="e">
        <f>#REF!+#REF!-M143</f>
        <v>#REF!</v>
      </c>
      <c r="Z143" s="954" t="e">
        <f>#REF!</f>
        <v>#REF!</v>
      </c>
      <c r="AA143" s="953" t="e">
        <f>#REF!+#REF!</f>
        <v>#REF!</v>
      </c>
      <c r="AB143" s="954" t="e">
        <f>#REF!</f>
        <v>#REF!</v>
      </c>
      <c r="AC143" s="955">
        <v>0</v>
      </c>
      <c r="AD143" s="954" t="e">
        <f>#REF!</f>
        <v>#REF!</v>
      </c>
      <c r="AE143" s="956" t="e">
        <f>#REF!+#REF!</f>
        <v>#REF!</v>
      </c>
      <c r="AF143" s="956" t="e">
        <f>#REF!+#REF!</f>
        <v>#REF!</v>
      </c>
      <c r="AG143" s="956"/>
      <c r="AH143" s="954" t="e">
        <f>#REF!</f>
        <v>#REF!</v>
      </c>
      <c r="AI143" s="954" t="e">
        <f t="shared" si="23"/>
        <v>#REF!</v>
      </c>
      <c r="AJ143" s="954">
        <f t="shared" si="24"/>
        <v>126.18</v>
      </c>
      <c r="AK143" s="954">
        <f t="shared" si="25"/>
        <v>0</v>
      </c>
      <c r="AL143" s="625"/>
    </row>
    <row r="144" spans="1:38" s="620" customFormat="1" ht="20.100000000000001" customHeight="1" x14ac:dyDescent="0.2">
      <c r="A144" s="759">
        <f t="shared" si="30"/>
        <v>100</v>
      </c>
      <c r="B144" s="957">
        <f>+NOMINA!C143</f>
        <v>13997965</v>
      </c>
      <c r="C144" s="958" t="str">
        <f>+NOMINA!D143</f>
        <v>Sulbaran Baptista Yenny del Carmen</v>
      </c>
      <c r="D144" s="955" t="s">
        <v>4622</v>
      </c>
      <c r="E144" s="959">
        <v>32351</v>
      </c>
      <c r="F144" s="955" t="s">
        <v>4620</v>
      </c>
      <c r="G144" s="971">
        <f>+NOMINA!H143</f>
        <v>45839</v>
      </c>
      <c r="H144" s="961">
        <f t="shared" si="26"/>
        <v>0</v>
      </c>
      <c r="I144" s="962">
        <v>0</v>
      </c>
      <c r="J144" s="968">
        <f>+NOMINA!BL143</f>
        <v>13.15</v>
      </c>
      <c r="K144" s="968">
        <f>+NOMINA!BM143</f>
        <v>1.64</v>
      </c>
      <c r="L144" s="968">
        <f>+NOMINA!BN143</f>
        <v>2.85</v>
      </c>
      <c r="M144" s="963">
        <f t="shared" si="27"/>
        <v>17.64</v>
      </c>
      <c r="N144" s="968">
        <f>+NOMINA!BR143</f>
        <v>29.6</v>
      </c>
      <c r="O144" s="968">
        <f>+NOMINA!BS143</f>
        <v>6.58</v>
      </c>
      <c r="P144" s="968">
        <f>+NOMINA!BT143</f>
        <v>5.7</v>
      </c>
      <c r="Q144" s="963">
        <f t="shared" si="28"/>
        <v>41.88</v>
      </c>
      <c r="R144" s="963">
        <f t="shared" si="29"/>
        <v>59.52</v>
      </c>
      <c r="S144" s="972">
        <v>0</v>
      </c>
      <c r="T144" s="443" t="e">
        <f>#REF!+#REF!-M144</f>
        <v>#REF!</v>
      </c>
      <c r="U144" s="952" t="e">
        <f>ROUND((#REF!+#REF!+#REF!+#REF!+#REF!+#REF!+#REF!+#REF!+#REF!),2)</f>
        <v>#REF!</v>
      </c>
      <c r="Y144" s="953" t="e">
        <f>#REF!+#REF!-M144</f>
        <v>#REF!</v>
      </c>
      <c r="Z144" s="954" t="e">
        <f>#REF!</f>
        <v>#REF!</v>
      </c>
      <c r="AA144" s="953" t="e">
        <f>#REF!+#REF!</f>
        <v>#REF!</v>
      </c>
      <c r="AB144" s="954" t="e">
        <f>#REF!</f>
        <v>#REF!</v>
      </c>
      <c r="AC144" s="955">
        <v>0</v>
      </c>
      <c r="AD144" s="954" t="e">
        <f>#REF!</f>
        <v>#REF!</v>
      </c>
      <c r="AE144" s="956" t="e">
        <f>#REF!+#REF!</f>
        <v>#REF!</v>
      </c>
      <c r="AF144" s="956" t="e">
        <f>#REF!+#REF!</f>
        <v>#REF!</v>
      </c>
      <c r="AG144" s="956"/>
      <c r="AH144" s="954" t="e">
        <f>#REF!</f>
        <v>#REF!</v>
      </c>
      <c r="AI144" s="954" t="e">
        <f t="shared" si="23"/>
        <v>#REF!</v>
      </c>
      <c r="AJ144" s="954">
        <f t="shared" si="24"/>
        <v>59.52</v>
      </c>
      <c r="AK144" s="954">
        <f t="shared" si="25"/>
        <v>0</v>
      </c>
      <c r="AL144" s="625"/>
    </row>
    <row r="145" spans="1:38" s="620" customFormat="1" ht="20.100000000000001" customHeight="1" x14ac:dyDescent="0.2">
      <c r="A145" s="759">
        <f t="shared" si="30"/>
        <v>101</v>
      </c>
      <c r="B145" s="957">
        <f>+NOMINA!C144</f>
        <v>14106648</v>
      </c>
      <c r="C145" s="958" t="str">
        <f>+NOMINA!D144</f>
        <v>Aguilar Flores Heidy Coromoto</v>
      </c>
      <c r="D145" s="955" t="s">
        <v>4622</v>
      </c>
      <c r="E145" s="959">
        <v>32351</v>
      </c>
      <c r="F145" s="955" t="s">
        <v>4620</v>
      </c>
      <c r="G145" s="971">
        <f>+NOMINA!H144</f>
        <v>40787</v>
      </c>
      <c r="H145" s="961">
        <f t="shared" si="26"/>
        <v>11</v>
      </c>
      <c r="I145" s="962">
        <v>0</v>
      </c>
      <c r="J145" s="968">
        <f>+NOMINA!BL144</f>
        <v>23.8</v>
      </c>
      <c r="K145" s="968">
        <f>+NOMINA!BM144</f>
        <v>2.98</v>
      </c>
      <c r="L145" s="968">
        <f>+NOMINA!BN144</f>
        <v>5.16</v>
      </c>
      <c r="M145" s="963">
        <f t="shared" si="27"/>
        <v>31.94</v>
      </c>
      <c r="N145" s="968">
        <f>+NOMINA!BR144</f>
        <v>53.56</v>
      </c>
      <c r="O145" s="968">
        <f>+NOMINA!BS144</f>
        <v>11.9</v>
      </c>
      <c r="P145" s="968">
        <f>+NOMINA!BT144</f>
        <v>10.32</v>
      </c>
      <c r="Q145" s="963">
        <f t="shared" si="28"/>
        <v>75.78</v>
      </c>
      <c r="R145" s="963">
        <f t="shared" si="29"/>
        <v>107.72</v>
      </c>
      <c r="S145" s="972">
        <v>0</v>
      </c>
      <c r="T145" s="443" t="e">
        <f>#REF!+#REF!-M145</f>
        <v>#REF!</v>
      </c>
      <c r="U145" s="952" t="e">
        <f>ROUND((#REF!+#REF!+#REF!+#REF!+#REF!+#REF!+#REF!+#REF!+#REF!),2)</f>
        <v>#REF!</v>
      </c>
      <c r="Y145" s="953" t="e">
        <f>#REF!+#REF!-M145</f>
        <v>#REF!</v>
      </c>
      <c r="Z145" s="954" t="e">
        <f>#REF!</f>
        <v>#REF!</v>
      </c>
      <c r="AA145" s="953" t="e">
        <f>#REF!+#REF!</f>
        <v>#REF!</v>
      </c>
      <c r="AB145" s="954" t="e">
        <f>#REF!</f>
        <v>#REF!</v>
      </c>
      <c r="AC145" s="955">
        <v>0</v>
      </c>
      <c r="AD145" s="954" t="e">
        <f>#REF!</f>
        <v>#REF!</v>
      </c>
      <c r="AE145" s="956" t="e">
        <f>#REF!+#REF!</f>
        <v>#REF!</v>
      </c>
      <c r="AF145" s="956" t="e">
        <f>#REF!+#REF!</f>
        <v>#REF!</v>
      </c>
      <c r="AG145" s="956"/>
      <c r="AH145" s="954" t="e">
        <f>#REF!</f>
        <v>#REF!</v>
      </c>
      <c r="AI145" s="954" t="e">
        <f t="shared" si="23"/>
        <v>#REF!</v>
      </c>
      <c r="AJ145" s="954">
        <f t="shared" si="24"/>
        <v>107.72</v>
      </c>
      <c r="AK145" s="954">
        <f t="shared" si="25"/>
        <v>0</v>
      </c>
      <c r="AL145" s="625"/>
    </row>
    <row r="146" spans="1:38" s="620" customFormat="1" ht="20.100000000000001" customHeight="1" x14ac:dyDescent="0.2">
      <c r="A146" s="759">
        <f t="shared" si="30"/>
        <v>102</v>
      </c>
      <c r="B146" s="957">
        <f>+NOMINA!C145</f>
        <v>14329448</v>
      </c>
      <c r="C146" s="958" t="str">
        <f>+NOMINA!D145</f>
        <v>Leal Mejia Jociany Trinny</v>
      </c>
      <c r="D146" s="955" t="s">
        <v>4622</v>
      </c>
      <c r="E146" s="959">
        <v>32351</v>
      </c>
      <c r="F146" s="955" t="s">
        <v>4620</v>
      </c>
      <c r="G146" s="971">
        <f>+NOMINA!H145</f>
        <v>44743</v>
      </c>
      <c r="H146" s="961">
        <f t="shared" si="26"/>
        <v>0</v>
      </c>
      <c r="I146" s="962">
        <v>0</v>
      </c>
      <c r="J146" s="968">
        <f>+NOMINA!BL145</f>
        <v>24.68</v>
      </c>
      <c r="K146" s="968">
        <f>+NOMINA!BM145</f>
        <v>3.09</v>
      </c>
      <c r="L146" s="968">
        <f>+NOMINA!BN145</f>
        <v>5.35</v>
      </c>
      <c r="M146" s="963">
        <f t="shared" si="27"/>
        <v>33.119999999999997</v>
      </c>
      <c r="N146" s="968">
        <f>+NOMINA!BR145</f>
        <v>55.53</v>
      </c>
      <c r="O146" s="968">
        <f>+NOMINA!BS145</f>
        <v>12.34</v>
      </c>
      <c r="P146" s="968">
        <f>+NOMINA!BT145</f>
        <v>10.7</v>
      </c>
      <c r="Q146" s="963">
        <f t="shared" si="28"/>
        <v>78.569999999999993</v>
      </c>
      <c r="R146" s="963">
        <f t="shared" si="29"/>
        <v>111.69</v>
      </c>
      <c r="S146" s="972">
        <v>0</v>
      </c>
      <c r="T146" s="443" t="e">
        <f>#REF!+#REF!-M146</f>
        <v>#REF!</v>
      </c>
      <c r="U146" s="952" t="e">
        <f>ROUND((#REF!+#REF!+#REF!+#REF!+#REF!+#REF!+#REF!+#REF!+#REF!),2)</f>
        <v>#REF!</v>
      </c>
      <c r="Y146" s="953" t="e">
        <f>#REF!+#REF!-M146</f>
        <v>#REF!</v>
      </c>
      <c r="Z146" s="954" t="e">
        <f>#REF!</f>
        <v>#REF!</v>
      </c>
      <c r="AA146" s="953" t="e">
        <f>#REF!+#REF!</f>
        <v>#REF!</v>
      </c>
      <c r="AB146" s="954" t="e">
        <f>#REF!</f>
        <v>#REF!</v>
      </c>
      <c r="AC146" s="955">
        <v>0</v>
      </c>
      <c r="AD146" s="954" t="e">
        <f>#REF!</f>
        <v>#REF!</v>
      </c>
      <c r="AE146" s="956" t="e">
        <f>#REF!+#REF!</f>
        <v>#REF!</v>
      </c>
      <c r="AF146" s="956" t="e">
        <f>#REF!+#REF!</f>
        <v>#REF!</v>
      </c>
      <c r="AG146" s="956"/>
      <c r="AH146" s="954" t="e">
        <f>#REF!</f>
        <v>#REF!</v>
      </c>
      <c r="AI146" s="954" t="e">
        <f t="shared" si="23"/>
        <v>#REF!</v>
      </c>
      <c r="AJ146" s="954">
        <f t="shared" si="24"/>
        <v>111.69</v>
      </c>
      <c r="AK146" s="954">
        <f t="shared" si="25"/>
        <v>0</v>
      </c>
      <c r="AL146" s="625"/>
    </row>
    <row r="147" spans="1:38" s="620" customFormat="1" ht="20.100000000000001" customHeight="1" x14ac:dyDescent="0.2">
      <c r="A147" s="759">
        <f t="shared" si="30"/>
        <v>103</v>
      </c>
      <c r="B147" s="957">
        <f>+NOMINA!C146</f>
        <v>14406240</v>
      </c>
      <c r="C147" s="958" t="str">
        <f>+NOMINA!D146</f>
        <v>Sarmiento Suarez Karem Yanira</v>
      </c>
      <c r="D147" s="955" t="s">
        <v>4622</v>
      </c>
      <c r="E147" s="959">
        <v>32351</v>
      </c>
      <c r="F147" s="955" t="s">
        <v>4620</v>
      </c>
      <c r="G147" s="971">
        <f>+NOMINA!H146</f>
        <v>43785</v>
      </c>
      <c r="H147" s="961">
        <f t="shared" si="26"/>
        <v>3</v>
      </c>
      <c r="I147" s="962">
        <v>0</v>
      </c>
      <c r="J147" s="968">
        <f>+NOMINA!BL146</f>
        <v>23.09</v>
      </c>
      <c r="K147" s="968">
        <f>+NOMINA!BM146</f>
        <v>2.89</v>
      </c>
      <c r="L147" s="968">
        <f>+NOMINA!BN146</f>
        <v>5</v>
      </c>
      <c r="M147" s="963">
        <f t="shared" si="27"/>
        <v>30.98</v>
      </c>
      <c r="N147" s="968">
        <f>+NOMINA!BR146</f>
        <v>51.96</v>
      </c>
      <c r="O147" s="968">
        <f>+NOMINA!BS146</f>
        <v>11.55</v>
      </c>
      <c r="P147" s="968">
        <f>+NOMINA!BT146</f>
        <v>10</v>
      </c>
      <c r="Q147" s="963">
        <f t="shared" si="28"/>
        <v>73.510000000000005</v>
      </c>
      <c r="R147" s="963">
        <f t="shared" si="29"/>
        <v>104.49000000000001</v>
      </c>
      <c r="S147" s="972">
        <v>0</v>
      </c>
      <c r="T147" s="443" t="e">
        <f>#REF!+#REF!-M147</f>
        <v>#REF!</v>
      </c>
      <c r="U147" s="952" t="e">
        <f>ROUND((#REF!+#REF!+#REF!+#REF!+#REF!+#REF!+#REF!+#REF!+#REF!),2)</f>
        <v>#REF!</v>
      </c>
      <c r="Y147" s="953" t="e">
        <f>#REF!+#REF!-M147</f>
        <v>#REF!</v>
      </c>
      <c r="Z147" s="954" t="e">
        <f>#REF!</f>
        <v>#REF!</v>
      </c>
      <c r="AA147" s="953" t="e">
        <f>#REF!+#REF!</f>
        <v>#REF!</v>
      </c>
      <c r="AB147" s="954" t="e">
        <f>#REF!</f>
        <v>#REF!</v>
      </c>
      <c r="AC147" s="955">
        <v>0</v>
      </c>
      <c r="AD147" s="954" t="e">
        <f>#REF!</f>
        <v>#REF!</v>
      </c>
      <c r="AE147" s="956" t="e">
        <f>#REF!+#REF!</f>
        <v>#REF!</v>
      </c>
      <c r="AF147" s="956" t="e">
        <f>#REF!+#REF!</f>
        <v>#REF!</v>
      </c>
      <c r="AG147" s="956"/>
      <c r="AH147" s="954" t="e">
        <f>#REF!</f>
        <v>#REF!</v>
      </c>
      <c r="AI147" s="954" t="e">
        <f t="shared" si="23"/>
        <v>#REF!</v>
      </c>
      <c r="AJ147" s="954">
        <f t="shared" si="24"/>
        <v>104.49000000000001</v>
      </c>
      <c r="AK147" s="954">
        <f t="shared" si="25"/>
        <v>0</v>
      </c>
      <c r="AL147" s="625"/>
    </row>
    <row r="148" spans="1:38" s="620" customFormat="1" ht="20.100000000000001" customHeight="1" x14ac:dyDescent="0.2">
      <c r="A148" s="759">
        <f t="shared" si="30"/>
        <v>104</v>
      </c>
      <c r="B148" s="957">
        <f>+NOMINA!C147</f>
        <v>14459607</v>
      </c>
      <c r="C148" s="958" t="str">
        <f>+NOMINA!D147</f>
        <v>Martinez Leal Deyanira Yusissan</v>
      </c>
      <c r="D148" s="955" t="s">
        <v>4622</v>
      </c>
      <c r="E148" s="959">
        <v>32351</v>
      </c>
      <c r="F148" s="955" t="s">
        <v>4620</v>
      </c>
      <c r="G148" s="971">
        <f>+NOMINA!H147</f>
        <v>43116</v>
      </c>
      <c r="H148" s="961">
        <f t="shared" si="26"/>
        <v>4</v>
      </c>
      <c r="I148" s="962">
        <v>0</v>
      </c>
      <c r="J148" s="968">
        <f>+NOMINA!BL147</f>
        <v>21.73</v>
      </c>
      <c r="K148" s="968">
        <f>+NOMINA!BM147</f>
        <v>2.72</v>
      </c>
      <c r="L148" s="968">
        <f>+NOMINA!BN147</f>
        <v>4.71</v>
      </c>
      <c r="M148" s="963">
        <f t="shared" si="27"/>
        <v>29.16</v>
      </c>
      <c r="N148" s="968">
        <f>+NOMINA!BR147</f>
        <v>48.89</v>
      </c>
      <c r="O148" s="968">
        <f>+NOMINA!BS147</f>
        <v>10.87</v>
      </c>
      <c r="P148" s="968">
        <f>+NOMINA!BT147</f>
        <v>9.42</v>
      </c>
      <c r="Q148" s="963">
        <f t="shared" si="28"/>
        <v>69.180000000000007</v>
      </c>
      <c r="R148" s="963">
        <f t="shared" si="29"/>
        <v>98.34</v>
      </c>
      <c r="S148" s="972">
        <v>0</v>
      </c>
      <c r="T148" s="443" t="e">
        <f>#REF!+#REF!-M148</f>
        <v>#REF!</v>
      </c>
      <c r="U148" s="952" t="e">
        <f>ROUND((#REF!+#REF!+#REF!+#REF!+#REF!+#REF!+#REF!+#REF!+#REF!),2)</f>
        <v>#REF!</v>
      </c>
      <c r="Y148" s="953" t="e">
        <f>#REF!+#REF!-M148</f>
        <v>#REF!</v>
      </c>
      <c r="Z148" s="954" t="e">
        <f>#REF!</f>
        <v>#REF!</v>
      </c>
      <c r="AA148" s="953" t="e">
        <f>#REF!+#REF!</f>
        <v>#REF!</v>
      </c>
      <c r="AB148" s="954" t="e">
        <f>#REF!</f>
        <v>#REF!</v>
      </c>
      <c r="AC148" s="955">
        <v>0</v>
      </c>
      <c r="AD148" s="954" t="e">
        <f>#REF!</f>
        <v>#REF!</v>
      </c>
      <c r="AE148" s="956" t="e">
        <f>#REF!+#REF!</f>
        <v>#REF!</v>
      </c>
      <c r="AF148" s="956" t="e">
        <f>#REF!+#REF!</f>
        <v>#REF!</v>
      </c>
      <c r="AG148" s="956"/>
      <c r="AH148" s="954" t="e">
        <f>#REF!</f>
        <v>#REF!</v>
      </c>
      <c r="AI148" s="954" t="e">
        <f t="shared" si="23"/>
        <v>#REF!</v>
      </c>
      <c r="AJ148" s="954">
        <f t="shared" si="24"/>
        <v>98.34</v>
      </c>
      <c r="AK148" s="954">
        <f t="shared" si="25"/>
        <v>0</v>
      </c>
      <c r="AL148" s="625"/>
    </row>
    <row r="149" spans="1:38" s="620" customFormat="1" ht="20.100000000000001" customHeight="1" x14ac:dyDescent="0.2">
      <c r="A149" s="759">
        <f t="shared" si="30"/>
        <v>105</v>
      </c>
      <c r="B149" s="957">
        <f>+NOMINA!C148</f>
        <v>14598170</v>
      </c>
      <c r="C149" s="958" t="str">
        <f>+NOMINA!D148</f>
        <v>Rendon Utrilla Gerson Paul</v>
      </c>
      <c r="D149" s="955" t="s">
        <v>4622</v>
      </c>
      <c r="E149" s="959">
        <v>32351</v>
      </c>
      <c r="F149" s="955" t="s">
        <v>4620</v>
      </c>
      <c r="G149" s="971">
        <f>+NOMINA!H148</f>
        <v>43435</v>
      </c>
      <c r="H149" s="961">
        <f t="shared" si="26"/>
        <v>4</v>
      </c>
      <c r="I149" s="962">
        <v>0</v>
      </c>
      <c r="J149" s="968">
        <f>+NOMINA!BL148</f>
        <v>25.32</v>
      </c>
      <c r="K149" s="968">
        <f>+NOMINA!BM148</f>
        <v>3.16</v>
      </c>
      <c r="L149" s="968">
        <f>+NOMINA!BN148</f>
        <v>5.49</v>
      </c>
      <c r="M149" s="963">
        <f t="shared" si="27"/>
        <v>33.97</v>
      </c>
      <c r="N149" s="968">
        <f>+NOMINA!BR148</f>
        <v>56.96</v>
      </c>
      <c r="O149" s="968">
        <f>+NOMINA!BS148</f>
        <v>12.66</v>
      </c>
      <c r="P149" s="968">
        <f>+NOMINA!BT148</f>
        <v>10.98</v>
      </c>
      <c r="Q149" s="963">
        <f t="shared" si="28"/>
        <v>80.599999999999994</v>
      </c>
      <c r="R149" s="963">
        <f t="shared" si="29"/>
        <v>114.57</v>
      </c>
      <c r="S149" s="972">
        <v>0</v>
      </c>
      <c r="T149" s="443" t="e">
        <f>#REF!+#REF!-M149</f>
        <v>#REF!</v>
      </c>
      <c r="U149" s="952" t="e">
        <f>ROUND((#REF!+#REF!+#REF!+#REF!+#REF!+#REF!+#REF!+#REF!+#REF!),2)</f>
        <v>#REF!</v>
      </c>
      <c r="Y149" s="953" t="e">
        <f>#REF!+#REF!-M149</f>
        <v>#REF!</v>
      </c>
      <c r="Z149" s="954" t="e">
        <f>#REF!</f>
        <v>#REF!</v>
      </c>
      <c r="AA149" s="953" t="e">
        <f>#REF!+#REF!</f>
        <v>#REF!</v>
      </c>
      <c r="AB149" s="954" t="e">
        <f>#REF!</f>
        <v>#REF!</v>
      </c>
      <c r="AC149" s="955">
        <v>0</v>
      </c>
      <c r="AD149" s="954" t="e">
        <f>#REF!</f>
        <v>#REF!</v>
      </c>
      <c r="AE149" s="956" t="e">
        <f>#REF!+#REF!</f>
        <v>#REF!</v>
      </c>
      <c r="AF149" s="956" t="e">
        <f>#REF!+#REF!</f>
        <v>#REF!</v>
      </c>
      <c r="AG149" s="956"/>
      <c r="AH149" s="954" t="e">
        <f>#REF!</f>
        <v>#REF!</v>
      </c>
      <c r="AI149" s="954" t="e">
        <f t="shared" si="23"/>
        <v>#REF!</v>
      </c>
      <c r="AJ149" s="954">
        <f t="shared" si="24"/>
        <v>114.57</v>
      </c>
      <c r="AK149" s="954">
        <f t="shared" si="25"/>
        <v>0</v>
      </c>
      <c r="AL149" s="625"/>
    </row>
    <row r="150" spans="1:38" s="620" customFormat="1" ht="20.100000000000001" customHeight="1" x14ac:dyDescent="0.2">
      <c r="A150" s="759">
        <f t="shared" si="30"/>
        <v>106</v>
      </c>
      <c r="B150" s="957">
        <f>+NOMINA!C149</f>
        <v>14598687</v>
      </c>
      <c r="C150" s="958" t="str">
        <f>+NOMINA!D149</f>
        <v>Godoy Bracamonte Juan Carlos</v>
      </c>
      <c r="D150" s="955" t="s">
        <v>4622</v>
      </c>
      <c r="E150" s="959">
        <v>32351</v>
      </c>
      <c r="F150" s="955" t="s">
        <v>4620</v>
      </c>
      <c r="G150" s="971">
        <f>+NOMINA!H149</f>
        <v>44332</v>
      </c>
      <c r="H150" s="961">
        <f t="shared" si="26"/>
        <v>1</v>
      </c>
      <c r="I150" s="962">
        <v>0</v>
      </c>
      <c r="J150" s="968">
        <f>+NOMINA!BL149</f>
        <v>28.77</v>
      </c>
      <c r="K150" s="968">
        <f>+NOMINA!BM149</f>
        <v>3.6</v>
      </c>
      <c r="L150" s="968">
        <f>+NOMINA!BN149</f>
        <v>6.23</v>
      </c>
      <c r="M150" s="963">
        <f t="shared" si="27"/>
        <v>38.6</v>
      </c>
      <c r="N150" s="968">
        <f>+NOMINA!BR149</f>
        <v>64.739999999999995</v>
      </c>
      <c r="O150" s="968">
        <f>+NOMINA!BS149</f>
        <v>14.39</v>
      </c>
      <c r="P150" s="968">
        <f>+NOMINA!BT149</f>
        <v>12.46</v>
      </c>
      <c r="Q150" s="963">
        <f t="shared" si="28"/>
        <v>91.59</v>
      </c>
      <c r="R150" s="963">
        <f t="shared" si="29"/>
        <v>130.19</v>
      </c>
      <c r="S150" s="972">
        <v>0</v>
      </c>
      <c r="T150" s="443" t="e">
        <f>#REF!+#REF!-M150</f>
        <v>#REF!</v>
      </c>
      <c r="U150" s="952" t="e">
        <f>ROUND((#REF!+#REF!+#REF!+#REF!+#REF!+#REF!+#REF!+#REF!+#REF!),2)</f>
        <v>#REF!</v>
      </c>
      <c r="Y150" s="953" t="e">
        <f>#REF!+#REF!-M150</f>
        <v>#REF!</v>
      </c>
      <c r="Z150" s="954" t="e">
        <f>#REF!</f>
        <v>#REF!</v>
      </c>
      <c r="AA150" s="953" t="e">
        <f>#REF!+#REF!</f>
        <v>#REF!</v>
      </c>
      <c r="AB150" s="954" t="e">
        <f>#REF!</f>
        <v>#REF!</v>
      </c>
      <c r="AC150" s="955">
        <v>0</v>
      </c>
      <c r="AD150" s="954" t="e">
        <f>#REF!</f>
        <v>#REF!</v>
      </c>
      <c r="AE150" s="956" t="e">
        <f>#REF!+#REF!</f>
        <v>#REF!</v>
      </c>
      <c r="AF150" s="956" t="e">
        <f>#REF!+#REF!</f>
        <v>#REF!</v>
      </c>
      <c r="AG150" s="956"/>
      <c r="AH150" s="954" t="e">
        <f>#REF!</f>
        <v>#REF!</v>
      </c>
      <c r="AI150" s="954" t="e">
        <f t="shared" si="23"/>
        <v>#REF!</v>
      </c>
      <c r="AJ150" s="954">
        <f t="shared" si="24"/>
        <v>130.19</v>
      </c>
      <c r="AK150" s="954">
        <f t="shared" si="25"/>
        <v>0</v>
      </c>
      <c r="AL150" s="625"/>
    </row>
    <row r="151" spans="1:38" s="620" customFormat="1" ht="20.100000000000001" customHeight="1" x14ac:dyDescent="0.2">
      <c r="A151" s="759">
        <f t="shared" si="30"/>
        <v>107</v>
      </c>
      <c r="B151" s="957">
        <f>+NOMINA!C150</f>
        <v>14719639</v>
      </c>
      <c r="C151" s="958" t="str">
        <f>+NOMINA!D150</f>
        <v>Coy de Dorante Sandra Liliana</v>
      </c>
      <c r="D151" s="955" t="s">
        <v>4622</v>
      </c>
      <c r="E151" s="959">
        <v>32351</v>
      </c>
      <c r="F151" s="955" t="s">
        <v>4620</v>
      </c>
      <c r="G151" s="971">
        <f>+NOMINA!H150</f>
        <v>44896</v>
      </c>
      <c r="H151" s="961">
        <f t="shared" si="26"/>
        <v>0</v>
      </c>
      <c r="I151" s="962">
        <v>0</v>
      </c>
      <c r="J151" s="968">
        <f>+NOMINA!BL150</f>
        <v>17.260000000000002</v>
      </c>
      <c r="K151" s="968">
        <f>+NOMINA!BM150</f>
        <v>2.16</v>
      </c>
      <c r="L151" s="968">
        <f>+NOMINA!BN150</f>
        <v>3.74</v>
      </c>
      <c r="M151" s="963">
        <f t="shared" si="27"/>
        <v>23.16</v>
      </c>
      <c r="N151" s="968">
        <f>+NOMINA!BR150</f>
        <v>38.83</v>
      </c>
      <c r="O151" s="968">
        <f>+NOMINA!BS150</f>
        <v>8.6300000000000008</v>
      </c>
      <c r="P151" s="968">
        <f>+NOMINA!BT150</f>
        <v>7.48</v>
      </c>
      <c r="Q151" s="963">
        <f t="shared" si="28"/>
        <v>54.94</v>
      </c>
      <c r="R151" s="963">
        <f t="shared" si="29"/>
        <v>78.099999999999994</v>
      </c>
      <c r="S151" s="972">
        <v>0</v>
      </c>
      <c r="T151" s="443" t="e">
        <f>#REF!+#REF!-M151</f>
        <v>#REF!</v>
      </c>
      <c r="U151" s="952" t="e">
        <f>ROUND((#REF!+#REF!+#REF!+#REF!+#REF!+#REF!+#REF!+#REF!+#REF!),2)</f>
        <v>#REF!</v>
      </c>
      <c r="Y151" s="953" t="e">
        <f>#REF!+#REF!-M151</f>
        <v>#REF!</v>
      </c>
      <c r="Z151" s="954" t="e">
        <f>#REF!</f>
        <v>#REF!</v>
      </c>
      <c r="AA151" s="953" t="e">
        <f>#REF!+#REF!</f>
        <v>#REF!</v>
      </c>
      <c r="AB151" s="954" t="e">
        <f>#REF!</f>
        <v>#REF!</v>
      </c>
      <c r="AC151" s="955">
        <v>0</v>
      </c>
      <c r="AD151" s="954" t="e">
        <f>#REF!</f>
        <v>#REF!</v>
      </c>
      <c r="AE151" s="956" t="e">
        <f>#REF!+#REF!</f>
        <v>#REF!</v>
      </c>
      <c r="AF151" s="956" t="e">
        <f>#REF!+#REF!</f>
        <v>#REF!</v>
      </c>
      <c r="AG151" s="956"/>
      <c r="AH151" s="954" t="e">
        <f>#REF!</f>
        <v>#REF!</v>
      </c>
      <c r="AI151" s="954" t="e">
        <f t="shared" si="23"/>
        <v>#REF!</v>
      </c>
      <c r="AJ151" s="954">
        <f t="shared" si="24"/>
        <v>78.099999999999994</v>
      </c>
      <c r="AK151" s="954">
        <f t="shared" si="25"/>
        <v>0</v>
      </c>
      <c r="AL151" s="625"/>
    </row>
    <row r="152" spans="1:38" s="620" customFormat="1" ht="20.100000000000001" customHeight="1" x14ac:dyDescent="0.2">
      <c r="A152" s="759">
        <f t="shared" si="30"/>
        <v>108</v>
      </c>
      <c r="B152" s="957">
        <f>+NOMINA!C151</f>
        <v>14739168</v>
      </c>
      <c r="C152" s="958" t="str">
        <f>+NOMINA!D151</f>
        <v>Briceño Hernandez Yeny del Carmen</v>
      </c>
      <c r="D152" s="955" t="s">
        <v>4622</v>
      </c>
      <c r="E152" s="959">
        <v>32351</v>
      </c>
      <c r="F152" s="955" t="s">
        <v>4620</v>
      </c>
      <c r="G152" s="971">
        <f>+NOMINA!H151</f>
        <v>38841</v>
      </c>
      <c r="H152" s="961">
        <f t="shared" si="26"/>
        <v>16</v>
      </c>
      <c r="I152" s="962">
        <v>0</v>
      </c>
      <c r="J152" s="968">
        <f>+NOMINA!BL151</f>
        <v>23.6</v>
      </c>
      <c r="K152" s="968">
        <f>+NOMINA!BM151</f>
        <v>2.95</v>
      </c>
      <c r="L152" s="968">
        <f>+NOMINA!BN151</f>
        <v>5.1100000000000003</v>
      </c>
      <c r="M152" s="963">
        <f t="shared" si="27"/>
        <v>31.66</v>
      </c>
      <c r="N152" s="968">
        <f>+NOMINA!BR151</f>
        <v>53.1</v>
      </c>
      <c r="O152" s="968">
        <f>+NOMINA!BS151</f>
        <v>11.8</v>
      </c>
      <c r="P152" s="968">
        <f>+NOMINA!BT151</f>
        <v>10.220000000000001</v>
      </c>
      <c r="Q152" s="963">
        <f t="shared" si="28"/>
        <v>75.12</v>
      </c>
      <c r="R152" s="963">
        <f t="shared" si="29"/>
        <v>106.78</v>
      </c>
      <c r="S152" s="972">
        <v>0</v>
      </c>
      <c r="T152" s="443" t="e">
        <f>#REF!+#REF!-M152</f>
        <v>#REF!</v>
      </c>
      <c r="U152" s="952" t="e">
        <f>ROUND((#REF!+#REF!+#REF!+#REF!+#REF!+#REF!+#REF!+#REF!+#REF!),2)</f>
        <v>#REF!</v>
      </c>
      <c r="Y152" s="953" t="e">
        <f>#REF!+#REF!-M152</f>
        <v>#REF!</v>
      </c>
      <c r="Z152" s="954" t="e">
        <f>#REF!</f>
        <v>#REF!</v>
      </c>
      <c r="AA152" s="953" t="e">
        <f>#REF!+#REF!</f>
        <v>#REF!</v>
      </c>
      <c r="AB152" s="954" t="e">
        <f>#REF!</f>
        <v>#REF!</v>
      </c>
      <c r="AC152" s="955">
        <v>0</v>
      </c>
      <c r="AD152" s="954" t="e">
        <f>#REF!</f>
        <v>#REF!</v>
      </c>
      <c r="AE152" s="956" t="e">
        <f>#REF!+#REF!</f>
        <v>#REF!</v>
      </c>
      <c r="AF152" s="956" t="e">
        <f>#REF!+#REF!</f>
        <v>#REF!</v>
      </c>
      <c r="AG152" s="956"/>
      <c r="AH152" s="954" t="e">
        <f>#REF!</f>
        <v>#REF!</v>
      </c>
      <c r="AI152" s="954" t="e">
        <f t="shared" si="23"/>
        <v>#REF!</v>
      </c>
      <c r="AJ152" s="954">
        <f t="shared" si="24"/>
        <v>106.78</v>
      </c>
      <c r="AK152" s="954">
        <f t="shared" si="25"/>
        <v>0</v>
      </c>
      <c r="AL152" s="625"/>
    </row>
    <row r="153" spans="1:38" s="620" customFormat="1" ht="20.100000000000001" customHeight="1" x14ac:dyDescent="0.2">
      <c r="A153" s="759">
        <f t="shared" si="30"/>
        <v>109</v>
      </c>
      <c r="B153" s="957">
        <f>+NOMINA!C152</f>
        <v>14928034</v>
      </c>
      <c r="C153" s="958" t="str">
        <f>+NOMINA!D152</f>
        <v>Ramirez Palomares Mariana Teresa</v>
      </c>
      <c r="D153" s="955" t="s">
        <v>4622</v>
      </c>
      <c r="E153" s="959">
        <v>32351</v>
      </c>
      <c r="F153" s="955" t="s">
        <v>4620</v>
      </c>
      <c r="G153" s="971">
        <f>+NOMINA!H152</f>
        <v>44302</v>
      </c>
      <c r="H153" s="961">
        <f t="shared" si="26"/>
        <v>1</v>
      </c>
      <c r="I153" s="962">
        <v>0</v>
      </c>
      <c r="J153" s="968">
        <f>+NOMINA!BL152</f>
        <v>15.59</v>
      </c>
      <c r="K153" s="968">
        <f>+NOMINA!BM152</f>
        <v>1.95</v>
      </c>
      <c r="L153" s="968">
        <f>+NOMINA!BN152</f>
        <v>3.38</v>
      </c>
      <c r="M153" s="963">
        <f t="shared" si="27"/>
        <v>20.92</v>
      </c>
      <c r="N153" s="968">
        <f>+NOMINA!BR152</f>
        <v>35.07</v>
      </c>
      <c r="O153" s="968">
        <f>+NOMINA!BS152</f>
        <v>7.79</v>
      </c>
      <c r="P153" s="968">
        <f>+NOMINA!BT152</f>
        <v>6.76</v>
      </c>
      <c r="Q153" s="963">
        <f t="shared" si="28"/>
        <v>49.62</v>
      </c>
      <c r="R153" s="963">
        <f t="shared" si="29"/>
        <v>70.539999999999992</v>
      </c>
      <c r="S153" s="972">
        <v>0</v>
      </c>
      <c r="T153" s="443" t="e">
        <f>#REF!+#REF!-M153</f>
        <v>#REF!</v>
      </c>
      <c r="U153" s="952" t="e">
        <f>ROUND((#REF!+#REF!+#REF!+#REF!+#REF!+#REF!+#REF!+#REF!+#REF!),2)</f>
        <v>#REF!</v>
      </c>
      <c r="Y153" s="953" t="e">
        <f>#REF!+#REF!-M153</f>
        <v>#REF!</v>
      </c>
      <c r="Z153" s="954" t="e">
        <f>#REF!</f>
        <v>#REF!</v>
      </c>
      <c r="AA153" s="953" t="e">
        <f>#REF!+#REF!</f>
        <v>#REF!</v>
      </c>
      <c r="AB153" s="954" t="e">
        <f>#REF!</f>
        <v>#REF!</v>
      </c>
      <c r="AC153" s="955">
        <v>0</v>
      </c>
      <c r="AD153" s="954" t="e">
        <f>#REF!</f>
        <v>#REF!</v>
      </c>
      <c r="AE153" s="956" t="e">
        <f>#REF!+#REF!</f>
        <v>#REF!</v>
      </c>
      <c r="AF153" s="956" t="e">
        <f>#REF!+#REF!</f>
        <v>#REF!</v>
      </c>
      <c r="AG153" s="956"/>
      <c r="AH153" s="954" t="e">
        <f>#REF!</f>
        <v>#REF!</v>
      </c>
      <c r="AI153" s="954" t="e">
        <f t="shared" si="23"/>
        <v>#REF!</v>
      </c>
      <c r="AJ153" s="954">
        <f t="shared" si="24"/>
        <v>70.539999999999992</v>
      </c>
      <c r="AK153" s="954">
        <f t="shared" si="25"/>
        <v>0</v>
      </c>
      <c r="AL153" s="625"/>
    </row>
    <row r="154" spans="1:38" s="620" customFormat="1" ht="20.100000000000001" customHeight="1" x14ac:dyDescent="0.2">
      <c r="A154" s="759">
        <f t="shared" si="30"/>
        <v>110</v>
      </c>
      <c r="B154" s="957">
        <f>+NOMINA!C153</f>
        <v>14928260</v>
      </c>
      <c r="C154" s="958" t="str">
        <f>+NOMINA!D153</f>
        <v>Rivas Ana Lucila</v>
      </c>
      <c r="D154" s="955" t="s">
        <v>4622</v>
      </c>
      <c r="E154" s="959">
        <v>32351</v>
      </c>
      <c r="F154" s="955" t="s">
        <v>4620</v>
      </c>
      <c r="G154" s="971">
        <f>+NOMINA!H153</f>
        <v>39104</v>
      </c>
      <c r="H154" s="961">
        <f t="shared" si="26"/>
        <v>15</v>
      </c>
      <c r="I154" s="962">
        <v>0</v>
      </c>
      <c r="J154" s="968">
        <f>+NOMINA!BL153</f>
        <v>23.4</v>
      </c>
      <c r="K154" s="968">
        <f>+NOMINA!BM153</f>
        <v>2.92</v>
      </c>
      <c r="L154" s="968">
        <f>+NOMINA!BN153</f>
        <v>5.07</v>
      </c>
      <c r="M154" s="963">
        <f t="shared" si="27"/>
        <v>31.39</v>
      </c>
      <c r="N154" s="968">
        <f>+NOMINA!BR153</f>
        <v>52.65</v>
      </c>
      <c r="O154" s="968">
        <f>+NOMINA!BS153</f>
        <v>11.7</v>
      </c>
      <c r="P154" s="968">
        <f>+NOMINA!BT153</f>
        <v>10.14</v>
      </c>
      <c r="Q154" s="963">
        <f t="shared" si="28"/>
        <v>74.489999999999995</v>
      </c>
      <c r="R154" s="963">
        <f t="shared" si="29"/>
        <v>105.88</v>
      </c>
      <c r="S154" s="972">
        <v>0</v>
      </c>
      <c r="T154" s="443" t="e">
        <f>#REF!+#REF!-M154</f>
        <v>#REF!</v>
      </c>
      <c r="U154" s="952" t="e">
        <f>ROUND((#REF!+#REF!+#REF!+#REF!+#REF!+#REF!+#REF!+#REF!+#REF!),2)</f>
        <v>#REF!</v>
      </c>
      <c r="Y154" s="953" t="e">
        <f>#REF!+#REF!-M154</f>
        <v>#REF!</v>
      </c>
      <c r="Z154" s="954" t="e">
        <f>#REF!</f>
        <v>#REF!</v>
      </c>
      <c r="AA154" s="953" t="e">
        <f>#REF!+#REF!</f>
        <v>#REF!</v>
      </c>
      <c r="AB154" s="954" t="e">
        <f>#REF!</f>
        <v>#REF!</v>
      </c>
      <c r="AC154" s="955">
        <v>0</v>
      </c>
      <c r="AD154" s="954" t="e">
        <f>#REF!</f>
        <v>#REF!</v>
      </c>
      <c r="AE154" s="956" t="e">
        <f>#REF!+#REF!</f>
        <v>#REF!</v>
      </c>
      <c r="AF154" s="956" t="e">
        <f>#REF!+#REF!</f>
        <v>#REF!</v>
      </c>
      <c r="AG154" s="956"/>
      <c r="AH154" s="954" t="e">
        <f>#REF!</f>
        <v>#REF!</v>
      </c>
      <c r="AI154" s="954" t="e">
        <f t="shared" si="23"/>
        <v>#REF!</v>
      </c>
      <c r="AJ154" s="954">
        <f t="shared" si="24"/>
        <v>105.88</v>
      </c>
      <c r="AK154" s="954">
        <f t="shared" si="25"/>
        <v>0</v>
      </c>
      <c r="AL154" s="625"/>
    </row>
    <row r="155" spans="1:38" s="620" customFormat="1" ht="20.100000000000001" customHeight="1" x14ac:dyDescent="0.2">
      <c r="A155" s="759">
        <f t="shared" si="30"/>
        <v>111</v>
      </c>
      <c r="B155" s="957">
        <f>+NOMINA!C154</f>
        <v>14929642</v>
      </c>
      <c r="C155" s="958" t="str">
        <f>+NOMINA!D154</f>
        <v>Alvarran Arjona Ismenia del Carmen</v>
      </c>
      <c r="D155" s="955" t="s">
        <v>4622</v>
      </c>
      <c r="E155" s="959">
        <v>32351</v>
      </c>
      <c r="F155" s="955" t="s">
        <v>4620</v>
      </c>
      <c r="G155" s="971">
        <f>+NOMINA!H154</f>
        <v>43419</v>
      </c>
      <c r="H155" s="961">
        <f t="shared" si="26"/>
        <v>4</v>
      </c>
      <c r="I155" s="962">
        <v>0</v>
      </c>
      <c r="J155" s="968">
        <f>+NOMINA!BL154</f>
        <v>27.16</v>
      </c>
      <c r="K155" s="968">
        <f>+NOMINA!BM154</f>
        <v>3.39</v>
      </c>
      <c r="L155" s="968">
        <f>+NOMINA!BN154</f>
        <v>5.88</v>
      </c>
      <c r="M155" s="963">
        <f t="shared" si="27"/>
        <v>36.43</v>
      </c>
      <c r="N155" s="968">
        <f>+NOMINA!BR154</f>
        <v>61.11</v>
      </c>
      <c r="O155" s="968">
        <f>+NOMINA!BS154</f>
        <v>13.58</v>
      </c>
      <c r="P155" s="968">
        <f>+NOMINA!BT154</f>
        <v>11.76</v>
      </c>
      <c r="Q155" s="963">
        <f t="shared" si="28"/>
        <v>86.45</v>
      </c>
      <c r="R155" s="963">
        <f t="shared" si="29"/>
        <v>122.88</v>
      </c>
      <c r="S155" s="972">
        <v>0</v>
      </c>
      <c r="T155" s="443" t="e">
        <f>#REF!+#REF!-M155</f>
        <v>#REF!</v>
      </c>
      <c r="U155" s="952" t="e">
        <f>ROUND((#REF!+#REF!+#REF!+#REF!+#REF!+#REF!+#REF!+#REF!+#REF!),2)</f>
        <v>#REF!</v>
      </c>
      <c r="Y155" s="953" t="e">
        <f>#REF!+#REF!-M155</f>
        <v>#REF!</v>
      </c>
      <c r="Z155" s="954" t="e">
        <f>#REF!</f>
        <v>#REF!</v>
      </c>
      <c r="AA155" s="953" t="e">
        <f>#REF!+#REF!</f>
        <v>#REF!</v>
      </c>
      <c r="AB155" s="954" t="e">
        <f>#REF!</f>
        <v>#REF!</v>
      </c>
      <c r="AC155" s="955">
        <v>0</v>
      </c>
      <c r="AD155" s="954" t="e">
        <f>#REF!</f>
        <v>#REF!</v>
      </c>
      <c r="AE155" s="956" t="e">
        <f>#REF!+#REF!</f>
        <v>#REF!</v>
      </c>
      <c r="AF155" s="956" t="e">
        <f>#REF!+#REF!</f>
        <v>#REF!</v>
      </c>
      <c r="AG155" s="956"/>
      <c r="AH155" s="954" t="e">
        <f>#REF!</f>
        <v>#REF!</v>
      </c>
      <c r="AI155" s="954" t="e">
        <f t="shared" si="23"/>
        <v>#REF!</v>
      </c>
      <c r="AJ155" s="954">
        <f t="shared" si="24"/>
        <v>122.88</v>
      </c>
      <c r="AK155" s="954">
        <f t="shared" si="25"/>
        <v>0</v>
      </c>
      <c r="AL155" s="625"/>
    </row>
    <row r="156" spans="1:38" s="620" customFormat="1" ht="20.100000000000001" customHeight="1" x14ac:dyDescent="0.2">
      <c r="A156" s="759">
        <f t="shared" si="30"/>
        <v>112</v>
      </c>
      <c r="B156" s="957">
        <f>+NOMINA!C155</f>
        <v>14986675</v>
      </c>
      <c r="C156" s="958" t="str">
        <f>+NOMINA!D155</f>
        <v>Mecias Nuñez Shirly Ygnacia</v>
      </c>
      <c r="D156" s="955" t="s">
        <v>4622</v>
      </c>
      <c r="E156" s="959">
        <v>32351</v>
      </c>
      <c r="F156" s="955" t="s">
        <v>4620</v>
      </c>
      <c r="G156" s="971">
        <f>+NOMINA!H155</f>
        <v>44805</v>
      </c>
      <c r="H156" s="961">
        <f t="shared" si="26"/>
        <v>0</v>
      </c>
      <c r="I156" s="962">
        <v>0</v>
      </c>
      <c r="J156" s="968">
        <f>+NOMINA!BL155</f>
        <v>24.68</v>
      </c>
      <c r="K156" s="968">
        <f>+NOMINA!BM155</f>
        <v>3.09</v>
      </c>
      <c r="L156" s="968">
        <f>+NOMINA!BN155</f>
        <v>5.35</v>
      </c>
      <c r="M156" s="963">
        <f t="shared" si="27"/>
        <v>33.119999999999997</v>
      </c>
      <c r="N156" s="968">
        <f>+NOMINA!BR155</f>
        <v>55.53</v>
      </c>
      <c r="O156" s="968">
        <f>+NOMINA!BS155</f>
        <v>12.34</v>
      </c>
      <c r="P156" s="968">
        <f>+NOMINA!BT155</f>
        <v>10.7</v>
      </c>
      <c r="Q156" s="963">
        <f t="shared" si="28"/>
        <v>78.569999999999993</v>
      </c>
      <c r="R156" s="963">
        <f t="shared" si="29"/>
        <v>111.69</v>
      </c>
      <c r="S156" s="972">
        <v>0</v>
      </c>
      <c r="T156" s="443" t="e">
        <f>#REF!+#REF!-M156</f>
        <v>#REF!</v>
      </c>
      <c r="U156" s="952" t="e">
        <f>ROUND((#REF!+#REF!+#REF!+#REF!+#REF!+#REF!+#REF!+#REF!+#REF!),2)</f>
        <v>#REF!</v>
      </c>
      <c r="Y156" s="953" t="e">
        <f>#REF!+#REF!-M156</f>
        <v>#REF!</v>
      </c>
      <c r="Z156" s="954" t="e">
        <f>#REF!</f>
        <v>#REF!</v>
      </c>
      <c r="AA156" s="953" t="e">
        <f>#REF!+#REF!</f>
        <v>#REF!</v>
      </c>
      <c r="AB156" s="954" t="e">
        <f>#REF!</f>
        <v>#REF!</v>
      </c>
      <c r="AC156" s="955">
        <v>0</v>
      </c>
      <c r="AD156" s="954" t="e">
        <f>#REF!</f>
        <v>#REF!</v>
      </c>
      <c r="AE156" s="956" t="e">
        <f>#REF!+#REF!</f>
        <v>#REF!</v>
      </c>
      <c r="AF156" s="956" t="e">
        <f>#REF!+#REF!</f>
        <v>#REF!</v>
      </c>
      <c r="AG156" s="956"/>
      <c r="AH156" s="954" t="e">
        <f>#REF!</f>
        <v>#REF!</v>
      </c>
      <c r="AI156" s="954" t="e">
        <f t="shared" si="23"/>
        <v>#REF!</v>
      </c>
      <c r="AJ156" s="954">
        <f t="shared" si="24"/>
        <v>111.69</v>
      </c>
      <c r="AK156" s="954">
        <f t="shared" si="25"/>
        <v>0</v>
      </c>
      <c r="AL156" s="625"/>
    </row>
    <row r="157" spans="1:38" s="620" customFormat="1" ht="20.100000000000001" customHeight="1" x14ac:dyDescent="0.2">
      <c r="A157" s="759">
        <f t="shared" si="30"/>
        <v>113</v>
      </c>
      <c r="B157" s="957">
        <f>+NOMINA!C156</f>
        <v>15188927</v>
      </c>
      <c r="C157" s="958" t="str">
        <f>+NOMINA!D156</f>
        <v>Linares Villarreal Rosmely del Carmen</v>
      </c>
      <c r="D157" s="955" t="s">
        <v>4622</v>
      </c>
      <c r="E157" s="959">
        <v>32351</v>
      </c>
      <c r="F157" s="955" t="s">
        <v>4620</v>
      </c>
      <c r="G157" s="971">
        <f>+NOMINA!H156</f>
        <v>44409</v>
      </c>
      <c r="H157" s="961">
        <f t="shared" si="26"/>
        <v>1</v>
      </c>
      <c r="I157" s="962">
        <v>0</v>
      </c>
      <c r="J157" s="968">
        <f>+NOMINA!BL156</f>
        <v>18.66</v>
      </c>
      <c r="K157" s="968">
        <f>+NOMINA!BM156</f>
        <v>2.33</v>
      </c>
      <c r="L157" s="968">
        <f>+NOMINA!BN156</f>
        <v>4.04</v>
      </c>
      <c r="M157" s="963">
        <f t="shared" si="27"/>
        <v>25.03</v>
      </c>
      <c r="N157" s="968">
        <f>+NOMINA!BR156</f>
        <v>41.99</v>
      </c>
      <c r="O157" s="968">
        <f>+NOMINA!BS156</f>
        <v>9.33</v>
      </c>
      <c r="P157" s="968">
        <f>+NOMINA!BT156</f>
        <v>8.08</v>
      </c>
      <c r="Q157" s="963">
        <f t="shared" si="28"/>
        <v>59.4</v>
      </c>
      <c r="R157" s="963">
        <f t="shared" si="29"/>
        <v>84.43</v>
      </c>
      <c r="S157" s="972">
        <v>0</v>
      </c>
      <c r="T157" s="443" t="e">
        <f>#REF!+#REF!-M157</f>
        <v>#REF!</v>
      </c>
      <c r="U157" s="952" t="e">
        <f>ROUND((#REF!+#REF!+#REF!+#REF!+#REF!+#REF!+#REF!+#REF!+#REF!),2)</f>
        <v>#REF!</v>
      </c>
      <c r="Y157" s="953" t="e">
        <f>#REF!+#REF!-M157</f>
        <v>#REF!</v>
      </c>
      <c r="Z157" s="954" t="e">
        <f>#REF!</f>
        <v>#REF!</v>
      </c>
      <c r="AA157" s="953" t="e">
        <f>#REF!+#REF!</f>
        <v>#REF!</v>
      </c>
      <c r="AB157" s="954" t="e">
        <f>#REF!</f>
        <v>#REF!</v>
      </c>
      <c r="AC157" s="955">
        <v>0</v>
      </c>
      <c r="AD157" s="954" t="e">
        <f>#REF!</f>
        <v>#REF!</v>
      </c>
      <c r="AE157" s="956" t="e">
        <f>#REF!+#REF!</f>
        <v>#REF!</v>
      </c>
      <c r="AF157" s="956" t="e">
        <f>#REF!+#REF!</f>
        <v>#REF!</v>
      </c>
      <c r="AG157" s="956"/>
      <c r="AH157" s="954" t="e">
        <f>#REF!</f>
        <v>#REF!</v>
      </c>
      <c r="AI157" s="954" t="e">
        <f t="shared" si="23"/>
        <v>#REF!</v>
      </c>
      <c r="AJ157" s="954">
        <f t="shared" si="24"/>
        <v>84.43</v>
      </c>
      <c r="AK157" s="954">
        <f t="shared" si="25"/>
        <v>0</v>
      </c>
      <c r="AL157" s="625"/>
    </row>
    <row r="158" spans="1:38" s="620" customFormat="1" ht="20.100000000000001" customHeight="1" x14ac:dyDescent="0.2">
      <c r="A158" s="759">
        <f t="shared" si="30"/>
        <v>114</v>
      </c>
      <c r="B158" s="957">
        <f>+NOMINA!C157</f>
        <v>15560762</v>
      </c>
      <c r="C158" s="958" t="str">
        <f>+NOMINA!D157</f>
        <v>Villalobos Javier Jose</v>
      </c>
      <c r="D158" s="955" t="s">
        <v>4622</v>
      </c>
      <c r="E158" s="959">
        <v>32351</v>
      </c>
      <c r="F158" s="955" t="s">
        <v>4620</v>
      </c>
      <c r="G158" s="971">
        <f>+NOMINA!H157</f>
        <v>45474</v>
      </c>
      <c r="H158" s="961">
        <f t="shared" si="26"/>
        <v>0</v>
      </c>
      <c r="I158" s="962">
        <v>0</v>
      </c>
      <c r="J158" s="968">
        <f>+NOMINA!BL157</f>
        <v>22.56</v>
      </c>
      <c r="K158" s="968">
        <f>+NOMINA!BM157</f>
        <v>2.82</v>
      </c>
      <c r="L158" s="968">
        <f>+NOMINA!BN157</f>
        <v>4.8899999999999997</v>
      </c>
      <c r="M158" s="963">
        <f t="shared" si="27"/>
        <v>30.27</v>
      </c>
      <c r="N158" s="968">
        <f>+NOMINA!BR157</f>
        <v>50.75</v>
      </c>
      <c r="O158" s="968">
        <f>+NOMINA!BS157</f>
        <v>11.28</v>
      </c>
      <c r="P158" s="968">
        <f>+NOMINA!BT157</f>
        <v>9.7799999999999994</v>
      </c>
      <c r="Q158" s="963">
        <f t="shared" si="28"/>
        <v>71.81</v>
      </c>
      <c r="R158" s="963">
        <f t="shared" si="29"/>
        <v>102.08</v>
      </c>
      <c r="S158" s="972">
        <v>0</v>
      </c>
      <c r="T158" s="443" t="e">
        <f>#REF!+#REF!-M158</f>
        <v>#REF!</v>
      </c>
      <c r="U158" s="952" t="e">
        <f>ROUND((#REF!+#REF!+#REF!+#REF!+#REF!+#REF!+#REF!+#REF!+#REF!),2)</f>
        <v>#REF!</v>
      </c>
      <c r="Y158" s="953" t="e">
        <f>#REF!+#REF!-M158</f>
        <v>#REF!</v>
      </c>
      <c r="Z158" s="954" t="e">
        <f>#REF!</f>
        <v>#REF!</v>
      </c>
      <c r="AA158" s="953" t="e">
        <f>#REF!+#REF!</f>
        <v>#REF!</v>
      </c>
      <c r="AB158" s="954" t="e">
        <f>#REF!</f>
        <v>#REF!</v>
      </c>
      <c r="AC158" s="955">
        <v>0</v>
      </c>
      <c r="AD158" s="954" t="e">
        <f>#REF!</f>
        <v>#REF!</v>
      </c>
      <c r="AE158" s="956" t="e">
        <f>#REF!+#REF!</f>
        <v>#REF!</v>
      </c>
      <c r="AF158" s="956" t="e">
        <f>#REF!+#REF!</f>
        <v>#REF!</v>
      </c>
      <c r="AG158" s="956"/>
      <c r="AH158" s="954" t="e">
        <f>#REF!</f>
        <v>#REF!</v>
      </c>
      <c r="AI158" s="954" t="e">
        <f t="shared" si="23"/>
        <v>#REF!</v>
      </c>
      <c r="AJ158" s="954">
        <f t="shared" si="24"/>
        <v>102.08</v>
      </c>
      <c r="AK158" s="954">
        <f t="shared" si="25"/>
        <v>0</v>
      </c>
      <c r="AL158" s="625"/>
    </row>
    <row r="159" spans="1:38" s="620" customFormat="1" ht="20.100000000000001" customHeight="1" x14ac:dyDescent="0.2">
      <c r="A159" s="759">
        <f t="shared" si="30"/>
        <v>115</v>
      </c>
      <c r="B159" s="957">
        <f>+NOMINA!C158</f>
        <v>15583745</v>
      </c>
      <c r="C159" s="958" t="str">
        <f>+NOMINA!D158</f>
        <v>Briceño Araujo Alexander Javier</v>
      </c>
      <c r="D159" s="955" t="s">
        <v>4622</v>
      </c>
      <c r="E159" s="959">
        <v>32351</v>
      </c>
      <c r="F159" s="955" t="s">
        <v>4620</v>
      </c>
      <c r="G159" s="971">
        <f>+NOMINA!H158</f>
        <v>43481</v>
      </c>
      <c r="H159" s="961">
        <f t="shared" si="26"/>
        <v>3</v>
      </c>
      <c r="I159" s="962">
        <v>0</v>
      </c>
      <c r="J159" s="968">
        <f>+NOMINA!BL158</f>
        <v>24.59</v>
      </c>
      <c r="K159" s="968">
        <f>+NOMINA!BM158</f>
        <v>3.07</v>
      </c>
      <c r="L159" s="968">
        <f>+NOMINA!BN158</f>
        <v>5.33</v>
      </c>
      <c r="M159" s="963">
        <f t="shared" si="27"/>
        <v>32.99</v>
      </c>
      <c r="N159" s="968">
        <f>+NOMINA!BR158</f>
        <v>55.34</v>
      </c>
      <c r="O159" s="968">
        <f>+NOMINA!BS158</f>
        <v>12.3</v>
      </c>
      <c r="P159" s="968">
        <f>+NOMINA!BT158</f>
        <v>10.66</v>
      </c>
      <c r="Q159" s="963">
        <f t="shared" si="28"/>
        <v>78.3</v>
      </c>
      <c r="R159" s="963">
        <f t="shared" si="29"/>
        <v>111.28999999999999</v>
      </c>
      <c r="S159" s="972">
        <v>0</v>
      </c>
      <c r="T159" s="443" t="e">
        <f>#REF!+#REF!-M159</f>
        <v>#REF!</v>
      </c>
      <c r="U159" s="952" t="e">
        <f>ROUND((#REF!+#REF!+#REF!+#REF!+#REF!+#REF!+#REF!+#REF!+#REF!),2)</f>
        <v>#REF!</v>
      </c>
      <c r="Y159" s="953" t="e">
        <f>#REF!+#REF!-M159</f>
        <v>#REF!</v>
      </c>
      <c r="Z159" s="954" t="e">
        <f>#REF!</f>
        <v>#REF!</v>
      </c>
      <c r="AA159" s="953" t="e">
        <f>#REF!+#REF!</f>
        <v>#REF!</v>
      </c>
      <c r="AB159" s="954" t="e">
        <f>#REF!</f>
        <v>#REF!</v>
      </c>
      <c r="AC159" s="955">
        <v>0</v>
      </c>
      <c r="AD159" s="954" t="e">
        <f>#REF!</f>
        <v>#REF!</v>
      </c>
      <c r="AE159" s="956" t="e">
        <f>#REF!+#REF!</f>
        <v>#REF!</v>
      </c>
      <c r="AF159" s="956" t="e">
        <f>#REF!+#REF!</f>
        <v>#REF!</v>
      </c>
      <c r="AG159" s="956"/>
      <c r="AH159" s="954" t="e">
        <f>#REF!</f>
        <v>#REF!</v>
      </c>
      <c r="AI159" s="954" t="e">
        <f t="shared" si="23"/>
        <v>#REF!</v>
      </c>
      <c r="AJ159" s="954">
        <f t="shared" si="24"/>
        <v>111.28999999999999</v>
      </c>
      <c r="AK159" s="954">
        <f t="shared" si="25"/>
        <v>0</v>
      </c>
      <c r="AL159" s="625"/>
    </row>
    <row r="160" spans="1:38" s="620" customFormat="1" ht="20.100000000000001" customHeight="1" x14ac:dyDescent="0.2">
      <c r="A160" s="759">
        <f t="shared" si="30"/>
        <v>116</v>
      </c>
      <c r="B160" s="957">
        <f>+NOMINA!C159</f>
        <v>15588470</v>
      </c>
      <c r="C160" s="958" t="str">
        <f>+NOMINA!D159</f>
        <v>Briceño Lozada Maraiby Coromoto</v>
      </c>
      <c r="D160" s="955" t="s">
        <v>4622</v>
      </c>
      <c r="E160" s="959">
        <v>32351</v>
      </c>
      <c r="F160" s="955" t="s">
        <v>4620</v>
      </c>
      <c r="G160" s="971">
        <f>+NOMINA!H159</f>
        <v>39098</v>
      </c>
      <c r="H160" s="961">
        <f t="shared" si="26"/>
        <v>15</v>
      </c>
      <c r="I160" s="962">
        <v>0</v>
      </c>
      <c r="J160" s="968">
        <f>+NOMINA!BL159</f>
        <v>23.4</v>
      </c>
      <c r="K160" s="968">
        <f>+NOMINA!BM159</f>
        <v>2.92</v>
      </c>
      <c r="L160" s="968">
        <f>+NOMINA!BN159</f>
        <v>5.07</v>
      </c>
      <c r="M160" s="963">
        <f t="shared" si="27"/>
        <v>31.39</v>
      </c>
      <c r="N160" s="968">
        <f>+NOMINA!BR159</f>
        <v>52.65</v>
      </c>
      <c r="O160" s="968">
        <f>+NOMINA!BS159</f>
        <v>11.7</v>
      </c>
      <c r="P160" s="968">
        <f>+NOMINA!BT159</f>
        <v>10.14</v>
      </c>
      <c r="Q160" s="963">
        <f t="shared" si="28"/>
        <v>74.489999999999995</v>
      </c>
      <c r="R160" s="963">
        <f t="shared" si="29"/>
        <v>105.88</v>
      </c>
      <c r="S160" s="972">
        <v>0</v>
      </c>
      <c r="T160" s="443" t="e">
        <f>#REF!+#REF!-M160</f>
        <v>#REF!</v>
      </c>
      <c r="U160" s="952" t="e">
        <f>ROUND((#REF!+#REF!+#REF!+#REF!+#REF!+#REF!+#REF!+#REF!+#REF!),2)</f>
        <v>#REF!</v>
      </c>
      <c r="Y160" s="953" t="e">
        <f>#REF!+#REF!-M160</f>
        <v>#REF!</v>
      </c>
      <c r="Z160" s="954" t="e">
        <f>#REF!</f>
        <v>#REF!</v>
      </c>
      <c r="AA160" s="953" t="e">
        <f>#REF!+#REF!</f>
        <v>#REF!</v>
      </c>
      <c r="AB160" s="954" t="e">
        <f>#REF!</f>
        <v>#REF!</v>
      </c>
      <c r="AC160" s="955">
        <v>0</v>
      </c>
      <c r="AD160" s="954" t="e">
        <f>#REF!</f>
        <v>#REF!</v>
      </c>
      <c r="AE160" s="956" t="e">
        <f>#REF!+#REF!</f>
        <v>#REF!</v>
      </c>
      <c r="AF160" s="956" t="e">
        <f>#REF!+#REF!</f>
        <v>#REF!</v>
      </c>
      <c r="AG160" s="956"/>
      <c r="AH160" s="954" t="e">
        <f>#REF!</f>
        <v>#REF!</v>
      </c>
      <c r="AI160" s="954" t="e">
        <f t="shared" si="23"/>
        <v>#REF!</v>
      </c>
      <c r="AJ160" s="954">
        <f t="shared" si="24"/>
        <v>105.88</v>
      </c>
      <c r="AK160" s="954">
        <f t="shared" si="25"/>
        <v>0</v>
      </c>
      <c r="AL160" s="625"/>
    </row>
    <row r="161" spans="1:38" s="620" customFormat="1" ht="20.100000000000001" customHeight="1" x14ac:dyDescent="0.2">
      <c r="A161" s="759">
        <f t="shared" si="30"/>
        <v>117</v>
      </c>
      <c r="B161" s="957">
        <f>+NOMINA!C160</f>
        <v>15752048</v>
      </c>
      <c r="C161" s="958" t="str">
        <f>+NOMINA!D160</f>
        <v>Briceño Rangel Sudney Dayan</v>
      </c>
      <c r="D161" s="955" t="s">
        <v>4622</v>
      </c>
      <c r="E161" s="959">
        <v>32351</v>
      </c>
      <c r="F161" s="955" t="s">
        <v>4620</v>
      </c>
      <c r="G161" s="971">
        <f>+NOMINA!H160</f>
        <v>39679</v>
      </c>
      <c r="H161" s="961">
        <f t="shared" si="26"/>
        <v>14</v>
      </c>
      <c r="I161" s="962">
        <v>0</v>
      </c>
      <c r="J161" s="968">
        <f>+NOMINA!BL160</f>
        <v>31.81</v>
      </c>
      <c r="K161" s="968">
        <f>+NOMINA!BM160</f>
        <v>3.98</v>
      </c>
      <c r="L161" s="968">
        <f>+NOMINA!BN160</f>
        <v>6.89</v>
      </c>
      <c r="M161" s="963">
        <f t="shared" si="27"/>
        <v>42.68</v>
      </c>
      <c r="N161" s="968">
        <f>+NOMINA!BR160</f>
        <v>71.58</v>
      </c>
      <c r="O161" s="968">
        <f>+NOMINA!BS160</f>
        <v>15.91</v>
      </c>
      <c r="P161" s="968">
        <f>+NOMINA!BT160</f>
        <v>13.78</v>
      </c>
      <c r="Q161" s="963">
        <f t="shared" si="28"/>
        <v>101.27</v>
      </c>
      <c r="R161" s="963">
        <f t="shared" si="29"/>
        <v>143.94999999999999</v>
      </c>
      <c r="S161" s="972">
        <v>0</v>
      </c>
      <c r="T161" s="443" t="e">
        <f>#REF!+#REF!-M161</f>
        <v>#REF!</v>
      </c>
      <c r="U161" s="952" t="e">
        <f>ROUND((#REF!+#REF!+#REF!+#REF!+#REF!+#REF!+#REF!+#REF!+#REF!),2)</f>
        <v>#REF!</v>
      </c>
      <c r="Y161" s="953" t="e">
        <f>#REF!+#REF!-M161</f>
        <v>#REF!</v>
      </c>
      <c r="Z161" s="954" t="e">
        <f>#REF!</f>
        <v>#REF!</v>
      </c>
      <c r="AA161" s="953" t="e">
        <f>#REF!+#REF!</f>
        <v>#REF!</v>
      </c>
      <c r="AB161" s="954" t="e">
        <f>#REF!</f>
        <v>#REF!</v>
      </c>
      <c r="AC161" s="955">
        <v>0</v>
      </c>
      <c r="AD161" s="954" t="e">
        <f>#REF!</f>
        <v>#REF!</v>
      </c>
      <c r="AE161" s="956" t="e">
        <f>#REF!+#REF!</f>
        <v>#REF!</v>
      </c>
      <c r="AF161" s="956" t="e">
        <f>#REF!+#REF!</f>
        <v>#REF!</v>
      </c>
      <c r="AG161" s="956"/>
      <c r="AH161" s="954" t="e">
        <f>#REF!</f>
        <v>#REF!</v>
      </c>
      <c r="AI161" s="954" t="e">
        <f t="shared" si="23"/>
        <v>#REF!</v>
      </c>
      <c r="AJ161" s="954">
        <f t="shared" si="24"/>
        <v>143.94999999999999</v>
      </c>
      <c r="AK161" s="954">
        <f t="shared" si="25"/>
        <v>0</v>
      </c>
      <c r="AL161" s="625"/>
    </row>
    <row r="162" spans="1:38" s="620" customFormat="1" ht="20.100000000000001" customHeight="1" x14ac:dyDescent="0.2">
      <c r="A162" s="759">
        <f t="shared" si="30"/>
        <v>118</v>
      </c>
      <c r="B162" s="957">
        <f>+NOMINA!C161</f>
        <v>15752183</v>
      </c>
      <c r="C162" s="958" t="str">
        <f>+NOMINA!D161</f>
        <v>Delduca Adriana del Valle</v>
      </c>
      <c r="D162" s="955" t="s">
        <v>4622</v>
      </c>
      <c r="E162" s="959">
        <v>32351</v>
      </c>
      <c r="F162" s="955" t="s">
        <v>4620</v>
      </c>
      <c r="G162" s="971">
        <f>+NOMINA!H161</f>
        <v>38930</v>
      </c>
      <c r="H162" s="961">
        <f t="shared" si="26"/>
        <v>16</v>
      </c>
      <c r="I162" s="962">
        <v>0</v>
      </c>
      <c r="J162" s="968">
        <f>+NOMINA!BL161</f>
        <v>0</v>
      </c>
      <c r="K162" s="968">
        <f>+NOMINA!BM161</f>
        <v>0</v>
      </c>
      <c r="L162" s="968">
        <f>+NOMINA!BN161</f>
        <v>0</v>
      </c>
      <c r="M162" s="963">
        <f t="shared" si="27"/>
        <v>0</v>
      </c>
      <c r="N162" s="968">
        <f>+NOMINA!BR161</f>
        <v>0</v>
      </c>
      <c r="O162" s="968">
        <f>+NOMINA!BS161</f>
        <v>0</v>
      </c>
      <c r="P162" s="968">
        <f>+NOMINA!BT161</f>
        <v>0</v>
      </c>
      <c r="Q162" s="963">
        <f t="shared" si="28"/>
        <v>0</v>
      </c>
      <c r="R162" s="963">
        <f t="shared" si="29"/>
        <v>0</v>
      </c>
      <c r="S162" s="972">
        <v>0</v>
      </c>
      <c r="T162" s="443" t="e">
        <f>#REF!+#REF!-M162</f>
        <v>#REF!</v>
      </c>
      <c r="U162" s="952" t="e">
        <f>ROUND((#REF!+#REF!+#REF!+#REF!+#REF!+#REF!+#REF!+#REF!+#REF!),2)</f>
        <v>#REF!</v>
      </c>
      <c r="Y162" s="953" t="e">
        <f>#REF!+#REF!-M162</f>
        <v>#REF!</v>
      </c>
      <c r="Z162" s="954" t="e">
        <f>#REF!</f>
        <v>#REF!</v>
      </c>
      <c r="AA162" s="953" t="e">
        <f>#REF!+#REF!</f>
        <v>#REF!</v>
      </c>
      <c r="AB162" s="954" t="e">
        <f>#REF!</f>
        <v>#REF!</v>
      </c>
      <c r="AC162" s="955">
        <v>0</v>
      </c>
      <c r="AD162" s="954" t="e">
        <f>#REF!</f>
        <v>#REF!</v>
      </c>
      <c r="AE162" s="956" t="e">
        <f>#REF!+#REF!</f>
        <v>#REF!</v>
      </c>
      <c r="AF162" s="956" t="e">
        <f>#REF!+#REF!</f>
        <v>#REF!</v>
      </c>
      <c r="AG162" s="956"/>
      <c r="AH162" s="954" t="e">
        <f>#REF!</f>
        <v>#REF!</v>
      </c>
      <c r="AI162" s="954" t="e">
        <f t="shared" si="23"/>
        <v>#REF!</v>
      </c>
      <c r="AJ162" s="954">
        <f t="shared" si="24"/>
        <v>0</v>
      </c>
      <c r="AK162" s="954">
        <f t="shared" si="25"/>
        <v>0</v>
      </c>
      <c r="AL162" s="625"/>
    </row>
    <row r="163" spans="1:38" s="620" customFormat="1" ht="20.100000000000001" customHeight="1" x14ac:dyDescent="0.2">
      <c r="A163" s="759">
        <f t="shared" si="30"/>
        <v>119</v>
      </c>
      <c r="B163" s="957">
        <f>+NOMINA!C162</f>
        <v>15752386</v>
      </c>
      <c r="C163" s="958" t="str">
        <f>+NOMINA!D162</f>
        <v>Villegas Gonzalez Mileide Karine</v>
      </c>
      <c r="D163" s="955" t="s">
        <v>4622</v>
      </c>
      <c r="E163" s="959">
        <v>32351</v>
      </c>
      <c r="F163" s="955" t="s">
        <v>4620</v>
      </c>
      <c r="G163" s="971">
        <f>+NOMINA!H162</f>
        <v>38930</v>
      </c>
      <c r="H163" s="961">
        <f t="shared" si="26"/>
        <v>16</v>
      </c>
      <c r="I163" s="962">
        <v>0</v>
      </c>
      <c r="J163" s="968">
        <f>+NOMINA!BL162</f>
        <v>31.58</v>
      </c>
      <c r="K163" s="968">
        <f>+NOMINA!BM162</f>
        <v>3.95</v>
      </c>
      <c r="L163" s="968">
        <f>+NOMINA!BN162</f>
        <v>6.84</v>
      </c>
      <c r="M163" s="963">
        <f t="shared" si="27"/>
        <v>42.37</v>
      </c>
      <c r="N163" s="968">
        <f>+NOMINA!BR162</f>
        <v>71.06</v>
      </c>
      <c r="O163" s="968">
        <f>+NOMINA!BS162</f>
        <v>15.79</v>
      </c>
      <c r="P163" s="968">
        <f>+NOMINA!BT162</f>
        <v>13.68</v>
      </c>
      <c r="Q163" s="963">
        <f t="shared" si="28"/>
        <v>100.53</v>
      </c>
      <c r="R163" s="963">
        <f t="shared" si="29"/>
        <v>142.9</v>
      </c>
      <c r="S163" s="972">
        <v>0</v>
      </c>
      <c r="T163" s="443" t="e">
        <f>#REF!+#REF!-M163</f>
        <v>#REF!</v>
      </c>
      <c r="U163" s="952" t="e">
        <f>ROUND((#REF!+#REF!+#REF!+#REF!+#REF!+#REF!+#REF!+#REF!+#REF!),2)</f>
        <v>#REF!</v>
      </c>
      <c r="Y163" s="953" t="e">
        <f>#REF!+#REF!-M163</f>
        <v>#REF!</v>
      </c>
      <c r="Z163" s="954" t="e">
        <f>#REF!</f>
        <v>#REF!</v>
      </c>
      <c r="AA163" s="953" t="e">
        <f>#REF!+#REF!</f>
        <v>#REF!</v>
      </c>
      <c r="AB163" s="954" t="e">
        <f>#REF!</f>
        <v>#REF!</v>
      </c>
      <c r="AC163" s="955">
        <v>0</v>
      </c>
      <c r="AD163" s="954" t="e">
        <f>#REF!</f>
        <v>#REF!</v>
      </c>
      <c r="AE163" s="956" t="e">
        <f>#REF!+#REF!</f>
        <v>#REF!</v>
      </c>
      <c r="AF163" s="956" t="e">
        <f>#REF!+#REF!</f>
        <v>#REF!</v>
      </c>
      <c r="AG163" s="956"/>
      <c r="AH163" s="954" t="e">
        <f>#REF!</f>
        <v>#REF!</v>
      </c>
      <c r="AI163" s="954" t="e">
        <f t="shared" si="23"/>
        <v>#REF!</v>
      </c>
      <c r="AJ163" s="954">
        <f t="shared" si="24"/>
        <v>142.9</v>
      </c>
      <c r="AK163" s="954">
        <f t="shared" si="25"/>
        <v>0</v>
      </c>
      <c r="AL163" s="625"/>
    </row>
    <row r="164" spans="1:38" s="620" customFormat="1" ht="20.100000000000001" customHeight="1" x14ac:dyDescent="0.2">
      <c r="A164" s="759">
        <f t="shared" si="30"/>
        <v>120</v>
      </c>
      <c r="B164" s="957">
        <f>+NOMINA!C163</f>
        <v>15752435</v>
      </c>
      <c r="C164" s="958" t="str">
        <f>+NOMINA!D163</f>
        <v>Gonzalez de Sayago Damarys Coromoto</v>
      </c>
      <c r="D164" s="955" t="s">
        <v>4622</v>
      </c>
      <c r="E164" s="959">
        <v>32351</v>
      </c>
      <c r="F164" s="955" t="s">
        <v>4620</v>
      </c>
      <c r="G164" s="971">
        <f>+NOMINA!H163</f>
        <v>38930</v>
      </c>
      <c r="H164" s="961">
        <f t="shared" si="26"/>
        <v>16</v>
      </c>
      <c r="I164" s="962">
        <v>0</v>
      </c>
      <c r="J164" s="968">
        <f>+NOMINA!BL163</f>
        <v>24.29</v>
      </c>
      <c r="K164" s="968">
        <f>+NOMINA!BM163</f>
        <v>3.04</v>
      </c>
      <c r="L164" s="968">
        <f>+NOMINA!BN163</f>
        <v>5.26</v>
      </c>
      <c r="M164" s="963">
        <f t="shared" si="27"/>
        <v>32.590000000000003</v>
      </c>
      <c r="N164" s="968">
        <f>+NOMINA!BR163</f>
        <v>54.66</v>
      </c>
      <c r="O164" s="968">
        <f>+NOMINA!BS163</f>
        <v>12.15</v>
      </c>
      <c r="P164" s="968">
        <f>+NOMINA!BT163</f>
        <v>10.52</v>
      </c>
      <c r="Q164" s="963">
        <f t="shared" si="28"/>
        <v>77.33</v>
      </c>
      <c r="R164" s="963">
        <f t="shared" si="29"/>
        <v>109.92</v>
      </c>
      <c r="S164" s="972">
        <v>0</v>
      </c>
      <c r="T164" s="443" t="e">
        <f>#REF!+#REF!-M164</f>
        <v>#REF!</v>
      </c>
      <c r="U164" s="952" t="e">
        <f>ROUND((#REF!+#REF!+#REF!+#REF!+#REF!+#REF!+#REF!+#REF!+#REF!),2)</f>
        <v>#REF!</v>
      </c>
      <c r="Y164" s="953" t="e">
        <f>#REF!+#REF!-M164</f>
        <v>#REF!</v>
      </c>
      <c r="Z164" s="954" t="e">
        <f>#REF!</f>
        <v>#REF!</v>
      </c>
      <c r="AA164" s="953" t="e">
        <f>#REF!+#REF!</f>
        <v>#REF!</v>
      </c>
      <c r="AB164" s="954" t="e">
        <f>#REF!</f>
        <v>#REF!</v>
      </c>
      <c r="AC164" s="955">
        <v>0</v>
      </c>
      <c r="AD164" s="954" t="e">
        <f>#REF!</f>
        <v>#REF!</v>
      </c>
      <c r="AE164" s="956" t="e">
        <f>#REF!+#REF!</f>
        <v>#REF!</v>
      </c>
      <c r="AF164" s="956" t="e">
        <f>#REF!+#REF!</f>
        <v>#REF!</v>
      </c>
      <c r="AG164" s="956"/>
      <c r="AH164" s="954" t="e">
        <f>#REF!</f>
        <v>#REF!</v>
      </c>
      <c r="AI164" s="954" t="e">
        <f t="shared" si="23"/>
        <v>#REF!</v>
      </c>
      <c r="AJ164" s="954">
        <f t="shared" si="24"/>
        <v>109.92</v>
      </c>
      <c r="AK164" s="954">
        <f t="shared" si="25"/>
        <v>0</v>
      </c>
      <c r="AL164" s="625"/>
    </row>
    <row r="165" spans="1:38" s="620" customFormat="1" ht="20.100000000000001" customHeight="1" x14ac:dyDescent="0.2">
      <c r="A165" s="759">
        <f t="shared" si="30"/>
        <v>121</v>
      </c>
      <c r="B165" s="957">
        <f>+NOMINA!C164</f>
        <v>15780354</v>
      </c>
      <c r="C165" s="958" t="str">
        <f>+NOMINA!D164</f>
        <v>Yndriago Blanco Lismiley Andreina</v>
      </c>
      <c r="D165" s="955" t="s">
        <v>4622</v>
      </c>
      <c r="E165" s="959">
        <v>32351</v>
      </c>
      <c r="F165" s="955" t="s">
        <v>4620</v>
      </c>
      <c r="G165" s="971">
        <f>+NOMINA!H164</f>
        <v>44409</v>
      </c>
      <c r="H165" s="961">
        <f t="shared" si="26"/>
        <v>1</v>
      </c>
      <c r="I165" s="962">
        <v>0</v>
      </c>
      <c r="J165" s="968">
        <f>+NOMINA!BL164</f>
        <v>26.83</v>
      </c>
      <c r="K165" s="968">
        <f>+NOMINA!BM164</f>
        <v>3.35</v>
      </c>
      <c r="L165" s="968">
        <f>+NOMINA!BN164</f>
        <v>5.81</v>
      </c>
      <c r="M165" s="963">
        <f t="shared" si="27"/>
        <v>35.99</v>
      </c>
      <c r="N165" s="968">
        <f>+NOMINA!BR164</f>
        <v>60.37</v>
      </c>
      <c r="O165" s="968">
        <f>+NOMINA!BS164</f>
        <v>13.42</v>
      </c>
      <c r="P165" s="968">
        <f>+NOMINA!BT164</f>
        <v>11.62</v>
      </c>
      <c r="Q165" s="963">
        <f t="shared" si="28"/>
        <v>85.41</v>
      </c>
      <c r="R165" s="963">
        <f t="shared" si="29"/>
        <v>121.4</v>
      </c>
      <c r="S165" s="972">
        <v>0</v>
      </c>
      <c r="T165" s="443" t="e">
        <f>#REF!+#REF!-M165</f>
        <v>#REF!</v>
      </c>
      <c r="U165" s="952" t="e">
        <f>ROUND((#REF!+#REF!+#REF!+#REF!+#REF!+#REF!+#REF!+#REF!+#REF!),2)</f>
        <v>#REF!</v>
      </c>
      <c r="Y165" s="953" t="e">
        <f>#REF!+#REF!-M165</f>
        <v>#REF!</v>
      </c>
      <c r="Z165" s="954" t="e">
        <f>#REF!</f>
        <v>#REF!</v>
      </c>
      <c r="AA165" s="953" t="e">
        <f>#REF!+#REF!</f>
        <v>#REF!</v>
      </c>
      <c r="AB165" s="954" t="e">
        <f>#REF!</f>
        <v>#REF!</v>
      </c>
      <c r="AC165" s="955">
        <v>0</v>
      </c>
      <c r="AD165" s="954" t="e">
        <f>#REF!</f>
        <v>#REF!</v>
      </c>
      <c r="AE165" s="956" t="e">
        <f>#REF!+#REF!</f>
        <v>#REF!</v>
      </c>
      <c r="AF165" s="956" t="e">
        <f>#REF!+#REF!</f>
        <v>#REF!</v>
      </c>
      <c r="AG165" s="956"/>
      <c r="AH165" s="954" t="e">
        <f>#REF!</f>
        <v>#REF!</v>
      </c>
      <c r="AI165" s="954" t="e">
        <f t="shared" si="23"/>
        <v>#REF!</v>
      </c>
      <c r="AJ165" s="954">
        <f t="shared" si="24"/>
        <v>121.4</v>
      </c>
      <c r="AK165" s="954">
        <f t="shared" si="25"/>
        <v>0</v>
      </c>
      <c r="AL165" s="625"/>
    </row>
    <row r="166" spans="1:38" s="620" customFormat="1" ht="20.100000000000001" customHeight="1" x14ac:dyDescent="0.2">
      <c r="A166" s="759">
        <f t="shared" si="30"/>
        <v>122</v>
      </c>
      <c r="B166" s="957">
        <f>+NOMINA!C165</f>
        <v>15824548</v>
      </c>
      <c r="C166" s="958" t="str">
        <f>+NOMINA!D165</f>
        <v>Moreno Maria Angelica</v>
      </c>
      <c r="D166" s="955" t="s">
        <v>4622</v>
      </c>
      <c r="E166" s="959">
        <v>32351</v>
      </c>
      <c r="F166" s="955" t="s">
        <v>4620</v>
      </c>
      <c r="G166" s="971">
        <f>+NOMINA!H165</f>
        <v>44317</v>
      </c>
      <c r="H166" s="961">
        <f t="shared" si="26"/>
        <v>1</v>
      </c>
      <c r="I166" s="962">
        <v>0</v>
      </c>
      <c r="J166" s="968">
        <f>+NOMINA!BL165</f>
        <v>20.51</v>
      </c>
      <c r="K166" s="968">
        <f>+NOMINA!BM165</f>
        <v>2.56</v>
      </c>
      <c r="L166" s="968">
        <f>+NOMINA!BN165</f>
        <v>4.4400000000000004</v>
      </c>
      <c r="M166" s="963">
        <f t="shared" si="27"/>
        <v>27.51</v>
      </c>
      <c r="N166" s="968">
        <f>+NOMINA!BR165</f>
        <v>46.14</v>
      </c>
      <c r="O166" s="968">
        <f>+NOMINA!BS165</f>
        <v>10.25</v>
      </c>
      <c r="P166" s="968">
        <f>+NOMINA!BT165</f>
        <v>8.8800000000000008</v>
      </c>
      <c r="Q166" s="963">
        <f t="shared" si="28"/>
        <v>65.27</v>
      </c>
      <c r="R166" s="963">
        <f t="shared" si="29"/>
        <v>92.78</v>
      </c>
      <c r="S166" s="972">
        <v>0</v>
      </c>
      <c r="T166" s="443" t="e">
        <f>#REF!+#REF!-M166</f>
        <v>#REF!</v>
      </c>
      <c r="U166" s="952" t="e">
        <f>ROUND((#REF!+#REF!+#REF!+#REF!+#REF!+#REF!+#REF!+#REF!+#REF!),2)</f>
        <v>#REF!</v>
      </c>
      <c r="Y166" s="953" t="e">
        <f>#REF!+#REF!-M166</f>
        <v>#REF!</v>
      </c>
      <c r="Z166" s="954" t="e">
        <f>#REF!</f>
        <v>#REF!</v>
      </c>
      <c r="AA166" s="953" t="e">
        <f>#REF!+#REF!</f>
        <v>#REF!</v>
      </c>
      <c r="AB166" s="954" t="e">
        <f>#REF!</f>
        <v>#REF!</v>
      </c>
      <c r="AC166" s="955">
        <v>0</v>
      </c>
      <c r="AD166" s="954" t="e">
        <f>#REF!</f>
        <v>#REF!</v>
      </c>
      <c r="AE166" s="956" t="e">
        <f>#REF!+#REF!</f>
        <v>#REF!</v>
      </c>
      <c r="AF166" s="956" t="e">
        <f>#REF!+#REF!</f>
        <v>#REF!</v>
      </c>
      <c r="AG166" s="956"/>
      <c r="AH166" s="954" t="e">
        <f>#REF!</f>
        <v>#REF!</v>
      </c>
      <c r="AI166" s="954" t="e">
        <f t="shared" si="23"/>
        <v>#REF!</v>
      </c>
      <c r="AJ166" s="954">
        <f t="shared" si="24"/>
        <v>92.78</v>
      </c>
      <c r="AK166" s="954">
        <f t="shared" si="25"/>
        <v>0</v>
      </c>
      <c r="AL166" s="625"/>
    </row>
    <row r="167" spans="1:38" s="620" customFormat="1" ht="20.100000000000001" customHeight="1" x14ac:dyDescent="0.2">
      <c r="A167" s="759">
        <f t="shared" si="30"/>
        <v>123</v>
      </c>
      <c r="B167" s="957">
        <f>+NOMINA!C166</f>
        <v>15904692</v>
      </c>
      <c r="C167" s="958" t="str">
        <f>+NOMINA!D166</f>
        <v>Sifontes Sosa Mayulis Dayana</v>
      </c>
      <c r="D167" s="955" t="s">
        <v>4622</v>
      </c>
      <c r="E167" s="959">
        <v>32351</v>
      </c>
      <c r="F167" s="955" t="s">
        <v>4620</v>
      </c>
      <c r="G167" s="971">
        <f>+NOMINA!H166</f>
        <v>39756</v>
      </c>
      <c r="H167" s="961">
        <f t="shared" si="26"/>
        <v>14</v>
      </c>
      <c r="I167" s="962">
        <v>0</v>
      </c>
      <c r="J167" s="968">
        <f>+NOMINA!BL166</f>
        <v>30.62</v>
      </c>
      <c r="K167" s="968">
        <f>+NOMINA!BM166</f>
        <v>3.83</v>
      </c>
      <c r="L167" s="968">
        <f>+NOMINA!BN166</f>
        <v>6.63</v>
      </c>
      <c r="M167" s="963">
        <f t="shared" si="27"/>
        <v>41.08</v>
      </c>
      <c r="N167" s="968">
        <f>+NOMINA!BR166</f>
        <v>68.900000000000006</v>
      </c>
      <c r="O167" s="968">
        <f>+NOMINA!BS166</f>
        <v>15.31</v>
      </c>
      <c r="P167" s="968">
        <f>+NOMINA!BT166</f>
        <v>13.26</v>
      </c>
      <c r="Q167" s="963">
        <f t="shared" si="28"/>
        <v>97.47</v>
      </c>
      <c r="R167" s="963">
        <f t="shared" si="29"/>
        <v>138.55000000000001</v>
      </c>
      <c r="S167" s="972">
        <v>0</v>
      </c>
      <c r="T167" s="443" t="e">
        <f>#REF!+#REF!-M167</f>
        <v>#REF!</v>
      </c>
      <c r="U167" s="952" t="e">
        <f>ROUND((#REF!+#REF!+#REF!+#REF!+#REF!+#REF!+#REF!+#REF!+#REF!),2)</f>
        <v>#REF!</v>
      </c>
      <c r="Y167" s="953" t="e">
        <f>#REF!+#REF!-M167</f>
        <v>#REF!</v>
      </c>
      <c r="Z167" s="954" t="e">
        <f>#REF!</f>
        <v>#REF!</v>
      </c>
      <c r="AA167" s="953" t="e">
        <f>#REF!+#REF!</f>
        <v>#REF!</v>
      </c>
      <c r="AB167" s="954" t="e">
        <f>#REF!</f>
        <v>#REF!</v>
      </c>
      <c r="AC167" s="955">
        <v>0</v>
      </c>
      <c r="AD167" s="954" t="e">
        <f>#REF!</f>
        <v>#REF!</v>
      </c>
      <c r="AE167" s="956" t="e">
        <f>#REF!+#REF!</f>
        <v>#REF!</v>
      </c>
      <c r="AF167" s="956" t="e">
        <f>#REF!+#REF!</f>
        <v>#REF!</v>
      </c>
      <c r="AG167" s="956"/>
      <c r="AH167" s="954" t="e">
        <f>#REF!</f>
        <v>#REF!</v>
      </c>
      <c r="AI167" s="954" t="e">
        <f t="shared" si="23"/>
        <v>#REF!</v>
      </c>
      <c r="AJ167" s="954">
        <f t="shared" si="24"/>
        <v>138.55000000000001</v>
      </c>
      <c r="AK167" s="954">
        <f t="shared" si="25"/>
        <v>0</v>
      </c>
      <c r="AL167" s="625"/>
    </row>
    <row r="168" spans="1:38" s="620" customFormat="1" ht="20.100000000000001" customHeight="1" x14ac:dyDescent="0.2">
      <c r="A168" s="759">
        <f t="shared" si="30"/>
        <v>124</v>
      </c>
      <c r="B168" s="957">
        <f>+NOMINA!C167</f>
        <v>16015833</v>
      </c>
      <c r="C168" s="958" t="str">
        <f>+NOMINA!D167</f>
        <v>Briceño Doris Elena</v>
      </c>
      <c r="D168" s="955" t="s">
        <v>4622</v>
      </c>
      <c r="E168" s="959">
        <v>32351</v>
      </c>
      <c r="F168" s="955" t="s">
        <v>4620</v>
      </c>
      <c r="G168" s="971">
        <f>+NOMINA!H167</f>
        <v>42948</v>
      </c>
      <c r="H168" s="961">
        <f t="shared" si="26"/>
        <v>5</v>
      </c>
      <c r="I168" s="962">
        <v>0</v>
      </c>
      <c r="J168" s="968">
        <f>+NOMINA!BL167</f>
        <v>33.409999999999997</v>
      </c>
      <c r="K168" s="968">
        <f>+NOMINA!BM167</f>
        <v>4.18</v>
      </c>
      <c r="L168" s="968">
        <f>+NOMINA!BN167</f>
        <v>7.24</v>
      </c>
      <c r="M168" s="963">
        <f t="shared" si="27"/>
        <v>44.83</v>
      </c>
      <c r="N168" s="968">
        <f>+NOMINA!BR167</f>
        <v>75.180000000000007</v>
      </c>
      <c r="O168" s="968">
        <f>+NOMINA!BS167</f>
        <v>16.71</v>
      </c>
      <c r="P168" s="968">
        <f>+NOMINA!BT167</f>
        <v>14.48</v>
      </c>
      <c r="Q168" s="963">
        <f t="shared" si="28"/>
        <v>106.37</v>
      </c>
      <c r="R168" s="963">
        <f t="shared" si="29"/>
        <v>151.19999999999999</v>
      </c>
      <c r="S168" s="972">
        <v>0</v>
      </c>
      <c r="T168" s="443" t="e">
        <f>#REF!+#REF!-M168</f>
        <v>#REF!</v>
      </c>
      <c r="U168" s="952" t="e">
        <f>ROUND((#REF!+#REF!+#REF!+#REF!+#REF!+#REF!+#REF!+#REF!+#REF!),2)</f>
        <v>#REF!</v>
      </c>
      <c r="Y168" s="953" t="e">
        <f>#REF!+#REF!-M168</f>
        <v>#REF!</v>
      </c>
      <c r="Z168" s="954" t="e">
        <f>#REF!</f>
        <v>#REF!</v>
      </c>
      <c r="AA168" s="953" t="e">
        <f>#REF!+#REF!</f>
        <v>#REF!</v>
      </c>
      <c r="AB168" s="954" t="e">
        <f>#REF!</f>
        <v>#REF!</v>
      </c>
      <c r="AC168" s="955">
        <v>0</v>
      </c>
      <c r="AD168" s="954" t="e">
        <f>#REF!</f>
        <v>#REF!</v>
      </c>
      <c r="AE168" s="956" t="e">
        <f>#REF!+#REF!</f>
        <v>#REF!</v>
      </c>
      <c r="AF168" s="956" t="e">
        <f>#REF!+#REF!</f>
        <v>#REF!</v>
      </c>
      <c r="AG168" s="956"/>
      <c r="AH168" s="954" t="e">
        <f>#REF!</f>
        <v>#REF!</v>
      </c>
      <c r="AI168" s="954" t="e">
        <f t="shared" si="23"/>
        <v>#REF!</v>
      </c>
      <c r="AJ168" s="954">
        <f t="shared" si="24"/>
        <v>151.19999999999999</v>
      </c>
      <c r="AK168" s="954">
        <f t="shared" si="25"/>
        <v>0</v>
      </c>
      <c r="AL168" s="625"/>
    </row>
    <row r="169" spans="1:38" s="620" customFormat="1" ht="20.100000000000001" customHeight="1" x14ac:dyDescent="0.2">
      <c r="A169" s="759">
        <f t="shared" si="30"/>
        <v>125</v>
      </c>
      <c r="B169" s="957">
        <f>+NOMINA!C168</f>
        <v>16065580</v>
      </c>
      <c r="C169" s="958" t="str">
        <f>+NOMINA!D168</f>
        <v>Paredes de Rendon Zuly Josefina</v>
      </c>
      <c r="D169" s="955" t="s">
        <v>4622</v>
      </c>
      <c r="E169" s="959">
        <v>32351</v>
      </c>
      <c r="F169" s="955" t="s">
        <v>4620</v>
      </c>
      <c r="G169" s="971">
        <f>+NOMINA!H168</f>
        <v>44363</v>
      </c>
      <c r="H169" s="961">
        <f t="shared" si="26"/>
        <v>1</v>
      </c>
      <c r="I169" s="962">
        <v>0</v>
      </c>
      <c r="J169" s="968">
        <f>+NOMINA!BL168</f>
        <v>24.84</v>
      </c>
      <c r="K169" s="968">
        <f>+NOMINA!BM168</f>
        <v>3.11</v>
      </c>
      <c r="L169" s="968">
        <f>+NOMINA!BN168</f>
        <v>5.38</v>
      </c>
      <c r="M169" s="963">
        <f t="shared" si="27"/>
        <v>33.33</v>
      </c>
      <c r="N169" s="968">
        <f>+NOMINA!BR168</f>
        <v>55.89</v>
      </c>
      <c r="O169" s="968">
        <f>+NOMINA!BS168</f>
        <v>12.42</v>
      </c>
      <c r="P169" s="968">
        <f>+NOMINA!BT168</f>
        <v>10.76</v>
      </c>
      <c r="Q169" s="963">
        <f t="shared" si="28"/>
        <v>79.069999999999993</v>
      </c>
      <c r="R169" s="963">
        <f t="shared" si="29"/>
        <v>112.39999999999999</v>
      </c>
      <c r="S169" s="972">
        <v>0</v>
      </c>
      <c r="T169" s="443" t="e">
        <f>#REF!+#REF!-M169</f>
        <v>#REF!</v>
      </c>
      <c r="U169" s="952" t="e">
        <f>ROUND((#REF!+#REF!+#REF!+#REF!+#REF!+#REF!+#REF!+#REF!+#REF!),2)</f>
        <v>#REF!</v>
      </c>
      <c r="Y169" s="953" t="e">
        <f>#REF!+#REF!-M169</f>
        <v>#REF!</v>
      </c>
      <c r="Z169" s="954" t="e">
        <f>#REF!</f>
        <v>#REF!</v>
      </c>
      <c r="AA169" s="953" t="e">
        <f>#REF!+#REF!</f>
        <v>#REF!</v>
      </c>
      <c r="AB169" s="954" t="e">
        <f>#REF!</f>
        <v>#REF!</v>
      </c>
      <c r="AC169" s="955">
        <v>0</v>
      </c>
      <c r="AD169" s="954" t="e">
        <f>#REF!</f>
        <v>#REF!</v>
      </c>
      <c r="AE169" s="956" t="e">
        <f>#REF!+#REF!</f>
        <v>#REF!</v>
      </c>
      <c r="AF169" s="956" t="e">
        <f>#REF!+#REF!</f>
        <v>#REF!</v>
      </c>
      <c r="AG169" s="956"/>
      <c r="AH169" s="954" t="e">
        <f>#REF!</f>
        <v>#REF!</v>
      </c>
      <c r="AI169" s="954" t="e">
        <f t="shared" si="23"/>
        <v>#REF!</v>
      </c>
      <c r="AJ169" s="954">
        <f t="shared" si="24"/>
        <v>112.39999999999999</v>
      </c>
      <c r="AK169" s="954">
        <f t="shared" si="25"/>
        <v>0</v>
      </c>
      <c r="AL169" s="625"/>
    </row>
    <row r="170" spans="1:38" s="620" customFormat="1" ht="20.100000000000001" customHeight="1" x14ac:dyDescent="0.2">
      <c r="A170" s="759">
        <f t="shared" si="30"/>
        <v>126</v>
      </c>
      <c r="B170" s="957">
        <f>+NOMINA!C169</f>
        <v>16065861</v>
      </c>
      <c r="C170" s="958" t="str">
        <f>+NOMINA!D169</f>
        <v>Gonzalez Pineda Eduardo Manuel</v>
      </c>
      <c r="D170" s="955" t="s">
        <v>4622</v>
      </c>
      <c r="E170" s="959">
        <v>32351</v>
      </c>
      <c r="F170" s="955" t="s">
        <v>4620</v>
      </c>
      <c r="G170" s="971">
        <f>+NOMINA!H169</f>
        <v>43906</v>
      </c>
      <c r="H170" s="961">
        <f t="shared" si="26"/>
        <v>2</v>
      </c>
      <c r="I170" s="962">
        <v>0</v>
      </c>
      <c r="J170" s="968">
        <f>+NOMINA!BL169</f>
        <v>27.83</v>
      </c>
      <c r="K170" s="968">
        <f>+NOMINA!BM169</f>
        <v>3.48</v>
      </c>
      <c r="L170" s="968">
        <f>+NOMINA!BN169</f>
        <v>6.03</v>
      </c>
      <c r="M170" s="963">
        <f t="shared" si="27"/>
        <v>37.340000000000003</v>
      </c>
      <c r="N170" s="968">
        <f>+NOMINA!BR169</f>
        <v>62.62</v>
      </c>
      <c r="O170" s="968">
        <f>+NOMINA!BS169</f>
        <v>13.92</v>
      </c>
      <c r="P170" s="968">
        <f>+NOMINA!BT169</f>
        <v>12.06</v>
      </c>
      <c r="Q170" s="963">
        <f t="shared" si="28"/>
        <v>88.6</v>
      </c>
      <c r="R170" s="963">
        <f t="shared" si="29"/>
        <v>125.94</v>
      </c>
      <c r="S170" s="972">
        <v>0</v>
      </c>
      <c r="T170" s="443" t="e">
        <f>#REF!+#REF!-M170</f>
        <v>#REF!</v>
      </c>
      <c r="U170" s="952" t="e">
        <f>ROUND((#REF!+#REF!+#REF!+#REF!+#REF!+#REF!+#REF!+#REF!+#REF!),2)</f>
        <v>#REF!</v>
      </c>
      <c r="Y170" s="953" t="e">
        <f>#REF!+#REF!-M170</f>
        <v>#REF!</v>
      </c>
      <c r="Z170" s="954" t="e">
        <f>#REF!</f>
        <v>#REF!</v>
      </c>
      <c r="AA170" s="953" t="e">
        <f>#REF!+#REF!</f>
        <v>#REF!</v>
      </c>
      <c r="AB170" s="954" t="e">
        <f>#REF!</f>
        <v>#REF!</v>
      </c>
      <c r="AC170" s="955">
        <v>0</v>
      </c>
      <c r="AD170" s="954" t="e">
        <f>#REF!</f>
        <v>#REF!</v>
      </c>
      <c r="AE170" s="956" t="e">
        <f>#REF!+#REF!</f>
        <v>#REF!</v>
      </c>
      <c r="AF170" s="956" t="e">
        <f>#REF!+#REF!</f>
        <v>#REF!</v>
      </c>
      <c r="AG170" s="956"/>
      <c r="AH170" s="954" t="e">
        <f>#REF!</f>
        <v>#REF!</v>
      </c>
      <c r="AI170" s="954" t="e">
        <f t="shared" si="23"/>
        <v>#REF!</v>
      </c>
      <c r="AJ170" s="954">
        <f t="shared" si="24"/>
        <v>125.94</v>
      </c>
      <c r="AK170" s="954">
        <f t="shared" si="25"/>
        <v>0</v>
      </c>
      <c r="AL170" s="625"/>
    </row>
    <row r="171" spans="1:38" s="620" customFormat="1" ht="20.100000000000001" customHeight="1" x14ac:dyDescent="0.2">
      <c r="A171" s="759">
        <f t="shared" si="30"/>
        <v>127</v>
      </c>
      <c r="B171" s="957">
        <f>+NOMINA!C170</f>
        <v>16066524</v>
      </c>
      <c r="C171" s="958" t="str">
        <f>+NOMINA!D170</f>
        <v>Carmona Peñaloza Yaneth Coromoto</v>
      </c>
      <c r="D171" s="955" t="s">
        <v>4622</v>
      </c>
      <c r="E171" s="959">
        <v>32351</v>
      </c>
      <c r="F171" s="955" t="s">
        <v>4620</v>
      </c>
      <c r="G171" s="971">
        <f>+NOMINA!H170</f>
        <v>41456</v>
      </c>
      <c r="H171" s="961">
        <f t="shared" si="26"/>
        <v>9</v>
      </c>
      <c r="I171" s="962">
        <v>0</v>
      </c>
      <c r="J171" s="968">
        <f>+NOMINA!BL170</f>
        <v>0</v>
      </c>
      <c r="K171" s="968">
        <f>+NOMINA!BM170</f>
        <v>0</v>
      </c>
      <c r="L171" s="968">
        <f>+NOMINA!BN170</f>
        <v>0</v>
      </c>
      <c r="M171" s="963">
        <f t="shared" si="27"/>
        <v>0</v>
      </c>
      <c r="N171" s="968">
        <f>+NOMINA!BR170</f>
        <v>0</v>
      </c>
      <c r="O171" s="968">
        <f>+NOMINA!BS170</f>
        <v>0</v>
      </c>
      <c r="P171" s="968">
        <f>+NOMINA!BT170</f>
        <v>0</v>
      </c>
      <c r="Q171" s="963">
        <f t="shared" si="28"/>
        <v>0</v>
      </c>
      <c r="R171" s="963">
        <f t="shared" si="29"/>
        <v>0</v>
      </c>
      <c r="S171" s="972">
        <v>0</v>
      </c>
      <c r="T171" s="443" t="e">
        <f>#REF!+#REF!-M171</f>
        <v>#REF!</v>
      </c>
      <c r="U171" s="952" t="e">
        <f>ROUND((#REF!+#REF!+#REF!+#REF!+#REF!+#REF!+#REF!+#REF!+#REF!),2)</f>
        <v>#REF!</v>
      </c>
      <c r="Y171" s="953" t="e">
        <f>#REF!+#REF!-M171</f>
        <v>#REF!</v>
      </c>
      <c r="Z171" s="954" t="e">
        <f>#REF!</f>
        <v>#REF!</v>
      </c>
      <c r="AA171" s="953" t="e">
        <f>#REF!+#REF!</f>
        <v>#REF!</v>
      </c>
      <c r="AB171" s="954" t="e">
        <f>#REF!</f>
        <v>#REF!</v>
      </c>
      <c r="AC171" s="955">
        <v>0</v>
      </c>
      <c r="AD171" s="954" t="e">
        <f>#REF!</f>
        <v>#REF!</v>
      </c>
      <c r="AE171" s="956" t="e">
        <f>#REF!+#REF!</f>
        <v>#REF!</v>
      </c>
      <c r="AF171" s="956" t="e">
        <f>#REF!+#REF!</f>
        <v>#REF!</v>
      </c>
      <c r="AG171" s="956"/>
      <c r="AH171" s="954" t="e">
        <f>#REF!</f>
        <v>#REF!</v>
      </c>
      <c r="AI171" s="954" t="e">
        <f t="shared" si="23"/>
        <v>#REF!</v>
      </c>
      <c r="AJ171" s="954">
        <f t="shared" si="24"/>
        <v>0</v>
      </c>
      <c r="AK171" s="954">
        <f t="shared" si="25"/>
        <v>0</v>
      </c>
      <c r="AL171" s="625"/>
    </row>
    <row r="172" spans="1:38" s="620" customFormat="1" ht="20.100000000000001" customHeight="1" x14ac:dyDescent="0.2">
      <c r="A172" s="759">
        <f t="shared" si="30"/>
        <v>128</v>
      </c>
      <c r="B172" s="957">
        <f>+NOMINA!C171</f>
        <v>16066554</v>
      </c>
      <c r="C172" s="958" t="str">
        <f>+NOMINA!D171</f>
        <v>Gonzalez Huerta Maria Josefina</v>
      </c>
      <c r="D172" s="955" t="s">
        <v>4622</v>
      </c>
      <c r="E172" s="959">
        <v>32351</v>
      </c>
      <c r="F172" s="955" t="s">
        <v>4620</v>
      </c>
      <c r="G172" s="971">
        <f>+NOMINA!H171</f>
        <v>38797</v>
      </c>
      <c r="H172" s="961">
        <f t="shared" si="26"/>
        <v>16</v>
      </c>
      <c r="I172" s="962">
        <v>0</v>
      </c>
      <c r="J172" s="968">
        <f>+NOMINA!BL171</f>
        <v>29.54</v>
      </c>
      <c r="K172" s="968">
        <f>+NOMINA!BM171</f>
        <v>3.69</v>
      </c>
      <c r="L172" s="968">
        <f>+NOMINA!BN171</f>
        <v>6.4</v>
      </c>
      <c r="M172" s="963">
        <f t="shared" si="27"/>
        <v>39.630000000000003</v>
      </c>
      <c r="N172" s="968">
        <f>+NOMINA!BR171</f>
        <v>66.47</v>
      </c>
      <c r="O172" s="968">
        <f>+NOMINA!BS171</f>
        <v>14.77</v>
      </c>
      <c r="P172" s="968">
        <f>+NOMINA!BT171</f>
        <v>12.8</v>
      </c>
      <c r="Q172" s="963">
        <f t="shared" si="28"/>
        <v>94.04</v>
      </c>
      <c r="R172" s="963">
        <f t="shared" si="29"/>
        <v>133.67000000000002</v>
      </c>
      <c r="S172" s="972">
        <v>0</v>
      </c>
      <c r="T172" s="443" t="e">
        <f>#REF!+#REF!-M172</f>
        <v>#REF!</v>
      </c>
      <c r="U172" s="952" t="e">
        <f>ROUND((#REF!+#REF!+#REF!+#REF!+#REF!+#REF!+#REF!+#REF!+#REF!),2)</f>
        <v>#REF!</v>
      </c>
      <c r="Y172" s="953" t="e">
        <f>#REF!+#REF!-M172</f>
        <v>#REF!</v>
      </c>
      <c r="Z172" s="954" t="e">
        <f>#REF!</f>
        <v>#REF!</v>
      </c>
      <c r="AA172" s="953" t="e">
        <f>#REF!+#REF!</f>
        <v>#REF!</v>
      </c>
      <c r="AB172" s="954" t="e">
        <f>#REF!</f>
        <v>#REF!</v>
      </c>
      <c r="AC172" s="955">
        <v>0</v>
      </c>
      <c r="AD172" s="954" t="e">
        <f>#REF!</f>
        <v>#REF!</v>
      </c>
      <c r="AE172" s="956" t="e">
        <f>#REF!+#REF!</f>
        <v>#REF!</v>
      </c>
      <c r="AF172" s="956" t="e">
        <f>#REF!+#REF!</f>
        <v>#REF!</v>
      </c>
      <c r="AG172" s="956"/>
      <c r="AH172" s="954" t="e">
        <f>#REF!</f>
        <v>#REF!</v>
      </c>
      <c r="AI172" s="954" t="e">
        <f t="shared" ref="AI172:AI235" si="31">SUM(AA172:AH172)</f>
        <v>#REF!</v>
      </c>
      <c r="AJ172" s="954">
        <f t="shared" ref="AJ172:AJ235" si="32">M172+Q172</f>
        <v>133.67000000000002</v>
      </c>
      <c r="AK172" s="954">
        <f t="shared" ref="AK172:AK235" si="33">S172</f>
        <v>0</v>
      </c>
      <c r="AL172" s="625"/>
    </row>
    <row r="173" spans="1:38" s="620" customFormat="1" ht="20.100000000000001" customHeight="1" x14ac:dyDescent="0.2">
      <c r="A173" s="759">
        <f t="shared" si="30"/>
        <v>129</v>
      </c>
      <c r="B173" s="957">
        <f>+NOMINA!C172</f>
        <v>16266033</v>
      </c>
      <c r="C173" s="958" t="str">
        <f>+NOMINA!D172</f>
        <v>Montilla de Davila Nileidy del Valle</v>
      </c>
      <c r="D173" s="955" t="s">
        <v>4622</v>
      </c>
      <c r="E173" s="959">
        <v>32351</v>
      </c>
      <c r="F173" s="955" t="s">
        <v>4620</v>
      </c>
      <c r="G173" s="971">
        <f>+NOMINA!H172</f>
        <v>44713</v>
      </c>
      <c r="H173" s="961">
        <f t="shared" si="26"/>
        <v>0</v>
      </c>
      <c r="I173" s="962">
        <v>0</v>
      </c>
      <c r="J173" s="968">
        <f>+NOMINA!BL172</f>
        <v>28.54</v>
      </c>
      <c r="K173" s="968">
        <f>+NOMINA!BM172</f>
        <v>3.57</v>
      </c>
      <c r="L173" s="968">
        <f>+NOMINA!BN172</f>
        <v>6.18</v>
      </c>
      <c r="M173" s="963">
        <f t="shared" si="27"/>
        <v>38.29</v>
      </c>
      <c r="N173" s="968">
        <f>+NOMINA!BR172</f>
        <v>64.22</v>
      </c>
      <c r="O173" s="968">
        <f>+NOMINA!BS172</f>
        <v>14.27</v>
      </c>
      <c r="P173" s="968">
        <f>+NOMINA!BT172</f>
        <v>12.36</v>
      </c>
      <c r="Q173" s="963">
        <f t="shared" si="28"/>
        <v>90.85</v>
      </c>
      <c r="R173" s="963">
        <f t="shared" si="29"/>
        <v>129.13999999999999</v>
      </c>
      <c r="S173" s="972">
        <v>0</v>
      </c>
      <c r="T173" s="443" t="e">
        <f>#REF!+#REF!-M173</f>
        <v>#REF!</v>
      </c>
      <c r="U173" s="952" t="e">
        <f>ROUND((#REF!+#REF!+#REF!+#REF!+#REF!+#REF!+#REF!+#REF!+#REF!),2)</f>
        <v>#REF!</v>
      </c>
      <c r="Y173" s="953" t="e">
        <f>#REF!+#REF!-M173</f>
        <v>#REF!</v>
      </c>
      <c r="Z173" s="954" t="e">
        <f>#REF!</f>
        <v>#REF!</v>
      </c>
      <c r="AA173" s="953" t="e">
        <f>#REF!+#REF!</f>
        <v>#REF!</v>
      </c>
      <c r="AB173" s="954" t="e">
        <f>#REF!</f>
        <v>#REF!</v>
      </c>
      <c r="AC173" s="955">
        <v>0</v>
      </c>
      <c r="AD173" s="954" t="e">
        <f>#REF!</f>
        <v>#REF!</v>
      </c>
      <c r="AE173" s="956" t="e">
        <f>#REF!+#REF!</f>
        <v>#REF!</v>
      </c>
      <c r="AF173" s="956" t="e">
        <f>#REF!+#REF!</f>
        <v>#REF!</v>
      </c>
      <c r="AG173" s="956"/>
      <c r="AH173" s="954" t="e">
        <f>#REF!</f>
        <v>#REF!</v>
      </c>
      <c r="AI173" s="954" t="e">
        <f t="shared" si="31"/>
        <v>#REF!</v>
      </c>
      <c r="AJ173" s="954">
        <f t="shared" si="32"/>
        <v>129.13999999999999</v>
      </c>
      <c r="AK173" s="954">
        <f t="shared" si="33"/>
        <v>0</v>
      </c>
      <c r="AL173" s="625"/>
    </row>
    <row r="174" spans="1:38" s="620" customFormat="1" ht="20.100000000000001" customHeight="1" x14ac:dyDescent="0.2">
      <c r="A174" s="759">
        <f t="shared" ref="A174:A237" si="34">A173+1</f>
        <v>130</v>
      </c>
      <c r="B174" s="957">
        <f>+NOMINA!C173</f>
        <v>16266989</v>
      </c>
      <c r="C174" s="958" t="str">
        <f>+NOMINA!D173</f>
        <v>Rincon Quevedo Angela Adriana</v>
      </c>
      <c r="D174" s="955" t="s">
        <v>4622</v>
      </c>
      <c r="E174" s="959">
        <v>32351</v>
      </c>
      <c r="F174" s="955" t="s">
        <v>4620</v>
      </c>
      <c r="G174" s="971">
        <f>+NOMINA!H173</f>
        <v>43040</v>
      </c>
      <c r="H174" s="961">
        <f t="shared" ref="H174:H237" si="35">IF(AND(YEAR(G174)&lt;2023,MONTH(G174)&gt;$N$8),2023-YEAR(G174)-1,IF(OR(G174="",YEAR(G174)&gt;2023),0,2023-YEAR(G174)))</f>
        <v>5</v>
      </c>
      <c r="I174" s="962">
        <v>0</v>
      </c>
      <c r="J174" s="968">
        <f>+NOMINA!BL173</f>
        <v>34.1</v>
      </c>
      <c r="K174" s="968">
        <f>+NOMINA!BM173</f>
        <v>4.26</v>
      </c>
      <c r="L174" s="968">
        <f>+NOMINA!BN173</f>
        <v>7.39</v>
      </c>
      <c r="M174" s="963">
        <f t="shared" ref="M174:M237" si="36">ROUND(SUM(J174:L174),2)</f>
        <v>45.75</v>
      </c>
      <c r="N174" s="968">
        <f>+NOMINA!BR173</f>
        <v>76.72</v>
      </c>
      <c r="O174" s="968">
        <f>+NOMINA!BS173</f>
        <v>17.05</v>
      </c>
      <c r="P174" s="968">
        <f>+NOMINA!BT173</f>
        <v>14.78</v>
      </c>
      <c r="Q174" s="963">
        <f t="shared" ref="Q174:Q237" si="37">ROUND(SUM(N174:P174),2)</f>
        <v>108.55</v>
      </c>
      <c r="R174" s="963">
        <f t="shared" ref="R174:R237" si="38">M174+Q174</f>
        <v>154.30000000000001</v>
      </c>
      <c r="S174" s="972">
        <v>0</v>
      </c>
      <c r="T174" s="443" t="e">
        <f>#REF!+#REF!-M174</f>
        <v>#REF!</v>
      </c>
      <c r="U174" s="952" t="e">
        <f>ROUND((#REF!+#REF!+#REF!+#REF!+#REF!+#REF!+#REF!+#REF!+#REF!),2)</f>
        <v>#REF!</v>
      </c>
      <c r="Y174" s="953" t="e">
        <f>#REF!+#REF!-M174</f>
        <v>#REF!</v>
      </c>
      <c r="Z174" s="954" t="e">
        <f>#REF!</f>
        <v>#REF!</v>
      </c>
      <c r="AA174" s="953" t="e">
        <f>#REF!+#REF!</f>
        <v>#REF!</v>
      </c>
      <c r="AB174" s="954" t="e">
        <f>#REF!</f>
        <v>#REF!</v>
      </c>
      <c r="AC174" s="955">
        <v>0</v>
      </c>
      <c r="AD174" s="954" t="e">
        <f>#REF!</f>
        <v>#REF!</v>
      </c>
      <c r="AE174" s="956" t="e">
        <f>#REF!+#REF!</f>
        <v>#REF!</v>
      </c>
      <c r="AF174" s="956" t="e">
        <f>#REF!+#REF!</f>
        <v>#REF!</v>
      </c>
      <c r="AG174" s="956"/>
      <c r="AH174" s="954" t="e">
        <f>#REF!</f>
        <v>#REF!</v>
      </c>
      <c r="AI174" s="954" t="e">
        <f t="shared" si="31"/>
        <v>#REF!</v>
      </c>
      <c r="AJ174" s="954">
        <f t="shared" si="32"/>
        <v>154.30000000000001</v>
      </c>
      <c r="AK174" s="954">
        <f t="shared" si="33"/>
        <v>0</v>
      </c>
      <c r="AL174" s="625"/>
    </row>
    <row r="175" spans="1:38" s="620" customFormat="1" ht="20.100000000000001" customHeight="1" x14ac:dyDescent="0.2">
      <c r="A175" s="759">
        <f t="shared" si="34"/>
        <v>131</v>
      </c>
      <c r="B175" s="957">
        <f>+NOMINA!C174</f>
        <v>16267940</v>
      </c>
      <c r="C175" s="958" t="str">
        <f>+NOMINA!D174</f>
        <v>Araujo Moreno Elisaelith</v>
      </c>
      <c r="D175" s="955" t="s">
        <v>4622</v>
      </c>
      <c r="E175" s="959">
        <v>32351</v>
      </c>
      <c r="F175" s="955" t="s">
        <v>4620</v>
      </c>
      <c r="G175" s="971">
        <f>+NOMINA!H174</f>
        <v>44600</v>
      </c>
      <c r="H175" s="961">
        <f t="shared" si="35"/>
        <v>0</v>
      </c>
      <c r="I175" s="962">
        <v>0</v>
      </c>
      <c r="J175" s="968">
        <f>+NOMINA!BL174</f>
        <v>20.39</v>
      </c>
      <c r="K175" s="968">
        <f>+NOMINA!BM174</f>
        <v>2.5499999999999998</v>
      </c>
      <c r="L175" s="968">
        <f>+NOMINA!BN174</f>
        <v>4.42</v>
      </c>
      <c r="M175" s="963">
        <f t="shared" si="36"/>
        <v>27.36</v>
      </c>
      <c r="N175" s="968">
        <f>+NOMINA!BR174</f>
        <v>45.87</v>
      </c>
      <c r="O175" s="968">
        <f>+NOMINA!BS174</f>
        <v>10.19</v>
      </c>
      <c r="P175" s="968">
        <f>+NOMINA!BT174</f>
        <v>8.84</v>
      </c>
      <c r="Q175" s="963">
        <f t="shared" si="37"/>
        <v>64.900000000000006</v>
      </c>
      <c r="R175" s="963">
        <f t="shared" si="38"/>
        <v>92.26</v>
      </c>
      <c r="S175" s="972">
        <v>0</v>
      </c>
      <c r="T175" s="443" t="e">
        <f>#REF!+#REF!-M175</f>
        <v>#REF!</v>
      </c>
      <c r="U175" s="952" t="e">
        <f>ROUND((#REF!+#REF!+#REF!+#REF!+#REF!+#REF!+#REF!+#REF!+#REF!),2)</f>
        <v>#REF!</v>
      </c>
      <c r="Y175" s="953" t="e">
        <f>#REF!+#REF!-M175</f>
        <v>#REF!</v>
      </c>
      <c r="Z175" s="954" t="e">
        <f>#REF!</f>
        <v>#REF!</v>
      </c>
      <c r="AA175" s="953" t="e">
        <f>#REF!+#REF!</f>
        <v>#REF!</v>
      </c>
      <c r="AB175" s="954" t="e">
        <f>#REF!</f>
        <v>#REF!</v>
      </c>
      <c r="AC175" s="955">
        <v>0</v>
      </c>
      <c r="AD175" s="954" t="e">
        <f>#REF!</f>
        <v>#REF!</v>
      </c>
      <c r="AE175" s="956" t="e">
        <f>#REF!+#REF!</f>
        <v>#REF!</v>
      </c>
      <c r="AF175" s="956" t="e">
        <f>#REF!+#REF!</f>
        <v>#REF!</v>
      </c>
      <c r="AG175" s="956"/>
      <c r="AH175" s="954" t="e">
        <f>#REF!</f>
        <v>#REF!</v>
      </c>
      <c r="AI175" s="954" t="e">
        <f t="shared" si="31"/>
        <v>#REF!</v>
      </c>
      <c r="AJ175" s="954">
        <f t="shared" si="32"/>
        <v>92.26</v>
      </c>
      <c r="AK175" s="954">
        <f t="shared" si="33"/>
        <v>0</v>
      </c>
      <c r="AL175" s="625"/>
    </row>
    <row r="176" spans="1:38" s="620" customFormat="1" ht="20.100000000000001" customHeight="1" x14ac:dyDescent="0.2">
      <c r="A176" s="759">
        <f t="shared" si="34"/>
        <v>132</v>
      </c>
      <c r="B176" s="957">
        <f>+NOMINA!C175</f>
        <v>16376534</v>
      </c>
      <c r="C176" s="958" t="str">
        <f>+NOMINA!D175</f>
        <v>Lugo Moreno Yenny Katiuska</v>
      </c>
      <c r="D176" s="955" t="s">
        <v>4622</v>
      </c>
      <c r="E176" s="959">
        <v>32351</v>
      </c>
      <c r="F176" s="955" t="s">
        <v>4620</v>
      </c>
      <c r="G176" s="971">
        <f>+NOMINA!H175</f>
        <v>43754</v>
      </c>
      <c r="H176" s="961">
        <f t="shared" si="35"/>
        <v>3</v>
      </c>
      <c r="I176" s="962">
        <v>0</v>
      </c>
      <c r="J176" s="968">
        <f>+NOMINA!BL175</f>
        <v>32.5</v>
      </c>
      <c r="K176" s="968">
        <f>+NOMINA!BM175</f>
        <v>4.0599999999999996</v>
      </c>
      <c r="L176" s="968">
        <f>+NOMINA!BN175</f>
        <v>7.04</v>
      </c>
      <c r="M176" s="963">
        <f t="shared" si="36"/>
        <v>43.6</v>
      </c>
      <c r="N176" s="968">
        <f>+NOMINA!BR175</f>
        <v>73.13</v>
      </c>
      <c r="O176" s="968">
        <f>+NOMINA!BS175</f>
        <v>16.25</v>
      </c>
      <c r="P176" s="968">
        <f>+NOMINA!BT175</f>
        <v>14.08</v>
      </c>
      <c r="Q176" s="963">
        <f t="shared" si="37"/>
        <v>103.46</v>
      </c>
      <c r="R176" s="963">
        <f t="shared" si="38"/>
        <v>147.06</v>
      </c>
      <c r="S176" s="972">
        <v>0</v>
      </c>
      <c r="T176" s="443" t="e">
        <f>#REF!+#REF!-M176</f>
        <v>#REF!</v>
      </c>
      <c r="U176" s="952" t="e">
        <f>ROUND((#REF!+#REF!+#REF!+#REF!+#REF!+#REF!+#REF!+#REF!+#REF!),2)</f>
        <v>#REF!</v>
      </c>
      <c r="Y176" s="953" t="e">
        <f>#REF!+#REF!-M176</f>
        <v>#REF!</v>
      </c>
      <c r="Z176" s="954" t="e">
        <f>#REF!</f>
        <v>#REF!</v>
      </c>
      <c r="AA176" s="953" t="e">
        <f>#REF!+#REF!</f>
        <v>#REF!</v>
      </c>
      <c r="AB176" s="954" t="e">
        <f>#REF!</f>
        <v>#REF!</v>
      </c>
      <c r="AC176" s="955">
        <v>0</v>
      </c>
      <c r="AD176" s="954" t="e">
        <f>#REF!</f>
        <v>#REF!</v>
      </c>
      <c r="AE176" s="956" t="e">
        <f>#REF!+#REF!</f>
        <v>#REF!</v>
      </c>
      <c r="AF176" s="956" t="e">
        <f>#REF!+#REF!</f>
        <v>#REF!</v>
      </c>
      <c r="AG176" s="956"/>
      <c r="AH176" s="954" t="e">
        <f>#REF!</f>
        <v>#REF!</v>
      </c>
      <c r="AI176" s="954" t="e">
        <f t="shared" si="31"/>
        <v>#REF!</v>
      </c>
      <c r="AJ176" s="954">
        <f t="shared" si="32"/>
        <v>147.06</v>
      </c>
      <c r="AK176" s="954">
        <f t="shared" si="33"/>
        <v>0</v>
      </c>
      <c r="AL176" s="625"/>
    </row>
    <row r="177" spans="1:38" s="620" customFormat="1" ht="20.100000000000001" customHeight="1" x14ac:dyDescent="0.2">
      <c r="A177" s="759">
        <f t="shared" si="34"/>
        <v>133</v>
      </c>
      <c r="B177" s="957">
        <f>+NOMINA!C176</f>
        <v>16376698</v>
      </c>
      <c r="C177" s="958" t="str">
        <f>+NOMINA!D176</f>
        <v>Barreto Maldonado Jose Luis</v>
      </c>
      <c r="D177" s="955" t="s">
        <v>4622</v>
      </c>
      <c r="E177" s="959">
        <v>32351</v>
      </c>
      <c r="F177" s="955" t="s">
        <v>4620</v>
      </c>
      <c r="G177" s="971">
        <f>+NOMINA!H176</f>
        <v>40909</v>
      </c>
      <c r="H177" s="961">
        <f t="shared" si="35"/>
        <v>10</v>
      </c>
      <c r="I177" s="962">
        <v>0</v>
      </c>
      <c r="J177" s="968">
        <f>+NOMINA!BL176</f>
        <v>16.41</v>
      </c>
      <c r="K177" s="968">
        <f>+NOMINA!BM176</f>
        <v>2.0499999999999998</v>
      </c>
      <c r="L177" s="968">
        <f>+NOMINA!BN176</f>
        <v>3.55</v>
      </c>
      <c r="M177" s="963">
        <f t="shared" si="36"/>
        <v>22.01</v>
      </c>
      <c r="N177" s="968">
        <f>+NOMINA!BR176</f>
        <v>36.909999999999997</v>
      </c>
      <c r="O177" s="968">
        <f>+NOMINA!BS176</f>
        <v>8.1999999999999993</v>
      </c>
      <c r="P177" s="968">
        <f>+NOMINA!BT176</f>
        <v>7.1</v>
      </c>
      <c r="Q177" s="963">
        <f t="shared" si="37"/>
        <v>52.21</v>
      </c>
      <c r="R177" s="963">
        <f t="shared" si="38"/>
        <v>74.22</v>
      </c>
      <c r="S177" s="972">
        <v>0</v>
      </c>
      <c r="T177" s="443" t="e">
        <f>#REF!+#REF!-M177</f>
        <v>#REF!</v>
      </c>
      <c r="U177" s="952" t="e">
        <f>ROUND((#REF!+#REF!+#REF!+#REF!+#REF!+#REF!+#REF!+#REF!+#REF!),2)</f>
        <v>#REF!</v>
      </c>
      <c r="Y177" s="953" t="e">
        <f>#REF!+#REF!-M177</f>
        <v>#REF!</v>
      </c>
      <c r="Z177" s="954" t="e">
        <f>#REF!</f>
        <v>#REF!</v>
      </c>
      <c r="AA177" s="953" t="e">
        <f>#REF!+#REF!</f>
        <v>#REF!</v>
      </c>
      <c r="AB177" s="954" t="e">
        <f>#REF!</f>
        <v>#REF!</v>
      </c>
      <c r="AC177" s="955">
        <v>0</v>
      </c>
      <c r="AD177" s="954" t="e">
        <f>#REF!</f>
        <v>#REF!</v>
      </c>
      <c r="AE177" s="956" t="e">
        <f>#REF!+#REF!</f>
        <v>#REF!</v>
      </c>
      <c r="AF177" s="956" t="e">
        <f>#REF!+#REF!</f>
        <v>#REF!</v>
      </c>
      <c r="AG177" s="956"/>
      <c r="AH177" s="954" t="e">
        <f>#REF!</f>
        <v>#REF!</v>
      </c>
      <c r="AI177" s="954" t="e">
        <f t="shared" si="31"/>
        <v>#REF!</v>
      </c>
      <c r="AJ177" s="954">
        <f t="shared" si="32"/>
        <v>74.22</v>
      </c>
      <c r="AK177" s="954">
        <f t="shared" si="33"/>
        <v>0</v>
      </c>
      <c r="AL177" s="625"/>
    </row>
    <row r="178" spans="1:38" s="620" customFormat="1" ht="20.100000000000001" customHeight="1" x14ac:dyDescent="0.2">
      <c r="A178" s="759">
        <f t="shared" si="34"/>
        <v>134</v>
      </c>
      <c r="B178" s="957">
        <f>+NOMINA!C177</f>
        <v>16377159</v>
      </c>
      <c r="C178" s="958" t="str">
        <f>+NOMINA!D177</f>
        <v>Carrillo Uzcategui Tahiyuani Carolina</v>
      </c>
      <c r="D178" s="955" t="s">
        <v>4622</v>
      </c>
      <c r="E178" s="959">
        <v>32351</v>
      </c>
      <c r="F178" s="955" t="s">
        <v>4620</v>
      </c>
      <c r="G178" s="971">
        <f>+NOMINA!H177</f>
        <v>44743</v>
      </c>
      <c r="H178" s="961">
        <f t="shared" si="35"/>
        <v>0</v>
      </c>
      <c r="I178" s="962">
        <v>0</v>
      </c>
      <c r="J178" s="968">
        <f>+NOMINA!BL177</f>
        <v>27.4</v>
      </c>
      <c r="K178" s="968">
        <f>+NOMINA!BM177</f>
        <v>3.43</v>
      </c>
      <c r="L178" s="968">
        <f>+NOMINA!BN177</f>
        <v>5.94</v>
      </c>
      <c r="M178" s="963">
        <f t="shared" si="36"/>
        <v>36.770000000000003</v>
      </c>
      <c r="N178" s="968">
        <f>+NOMINA!BR177</f>
        <v>61.65</v>
      </c>
      <c r="O178" s="968">
        <f>+NOMINA!BS177</f>
        <v>13.7</v>
      </c>
      <c r="P178" s="968">
        <f>+NOMINA!BT177</f>
        <v>11.88</v>
      </c>
      <c r="Q178" s="963">
        <f t="shared" si="37"/>
        <v>87.23</v>
      </c>
      <c r="R178" s="963">
        <f t="shared" si="38"/>
        <v>124</v>
      </c>
      <c r="S178" s="972">
        <v>0</v>
      </c>
      <c r="T178" s="443" t="e">
        <f>#REF!+#REF!-M178</f>
        <v>#REF!</v>
      </c>
      <c r="U178" s="952" t="e">
        <f>ROUND((#REF!+#REF!+#REF!+#REF!+#REF!+#REF!+#REF!+#REF!+#REF!),2)</f>
        <v>#REF!</v>
      </c>
      <c r="Y178" s="953" t="e">
        <f>#REF!+#REF!-M178</f>
        <v>#REF!</v>
      </c>
      <c r="Z178" s="954" t="e">
        <f>#REF!</f>
        <v>#REF!</v>
      </c>
      <c r="AA178" s="953" t="e">
        <f>#REF!+#REF!</f>
        <v>#REF!</v>
      </c>
      <c r="AB178" s="954" t="e">
        <f>#REF!</f>
        <v>#REF!</v>
      </c>
      <c r="AC178" s="955">
        <v>0</v>
      </c>
      <c r="AD178" s="954" t="e">
        <f>#REF!</f>
        <v>#REF!</v>
      </c>
      <c r="AE178" s="956" t="e">
        <f>#REF!+#REF!</f>
        <v>#REF!</v>
      </c>
      <c r="AF178" s="956" t="e">
        <f>#REF!+#REF!</f>
        <v>#REF!</v>
      </c>
      <c r="AG178" s="956"/>
      <c r="AH178" s="954" t="e">
        <f>#REF!</f>
        <v>#REF!</v>
      </c>
      <c r="AI178" s="954" t="e">
        <f t="shared" si="31"/>
        <v>#REF!</v>
      </c>
      <c r="AJ178" s="954">
        <f t="shared" si="32"/>
        <v>124</v>
      </c>
      <c r="AK178" s="954">
        <f t="shared" si="33"/>
        <v>0</v>
      </c>
      <c r="AL178" s="625"/>
    </row>
    <row r="179" spans="1:38" s="620" customFormat="1" ht="20.100000000000001" customHeight="1" x14ac:dyDescent="0.2">
      <c r="A179" s="759">
        <f t="shared" si="34"/>
        <v>135</v>
      </c>
      <c r="B179" s="957">
        <f>+NOMINA!C178</f>
        <v>16377588</v>
      </c>
      <c r="C179" s="958" t="str">
        <f>+NOMINA!D178</f>
        <v>Perdomo Linares Alejandra Carolina</v>
      </c>
      <c r="D179" s="955" t="s">
        <v>4622</v>
      </c>
      <c r="E179" s="959">
        <v>32351</v>
      </c>
      <c r="F179" s="955" t="s">
        <v>4620</v>
      </c>
      <c r="G179" s="971">
        <f>+NOMINA!H178</f>
        <v>44059</v>
      </c>
      <c r="H179" s="961">
        <f t="shared" si="35"/>
        <v>2</v>
      </c>
      <c r="I179" s="962">
        <v>0</v>
      </c>
      <c r="J179" s="968">
        <f>+NOMINA!BL178</f>
        <v>25</v>
      </c>
      <c r="K179" s="968">
        <f>+NOMINA!BM178</f>
        <v>3.13</v>
      </c>
      <c r="L179" s="968">
        <f>+NOMINA!BN178</f>
        <v>5.42</v>
      </c>
      <c r="M179" s="963">
        <f t="shared" si="36"/>
        <v>33.549999999999997</v>
      </c>
      <c r="N179" s="968">
        <f>+NOMINA!BR178</f>
        <v>56.25</v>
      </c>
      <c r="O179" s="968">
        <f>+NOMINA!BS178</f>
        <v>12.5</v>
      </c>
      <c r="P179" s="968">
        <f>+NOMINA!BT178</f>
        <v>10.84</v>
      </c>
      <c r="Q179" s="963">
        <f t="shared" si="37"/>
        <v>79.59</v>
      </c>
      <c r="R179" s="963">
        <f t="shared" si="38"/>
        <v>113.14</v>
      </c>
      <c r="S179" s="972">
        <v>0</v>
      </c>
      <c r="T179" s="443" t="e">
        <f>#REF!+#REF!-M179</f>
        <v>#REF!</v>
      </c>
      <c r="U179" s="952" t="e">
        <f>ROUND((#REF!+#REF!+#REF!+#REF!+#REF!+#REF!+#REF!+#REF!+#REF!),2)</f>
        <v>#REF!</v>
      </c>
      <c r="Y179" s="953" t="e">
        <f>#REF!+#REF!-M179</f>
        <v>#REF!</v>
      </c>
      <c r="Z179" s="954" t="e">
        <f>#REF!</f>
        <v>#REF!</v>
      </c>
      <c r="AA179" s="953" t="e">
        <f>#REF!+#REF!</f>
        <v>#REF!</v>
      </c>
      <c r="AB179" s="954" t="e">
        <f>#REF!</f>
        <v>#REF!</v>
      </c>
      <c r="AC179" s="955">
        <v>0</v>
      </c>
      <c r="AD179" s="954" t="e">
        <f>#REF!</f>
        <v>#REF!</v>
      </c>
      <c r="AE179" s="956" t="e">
        <f>#REF!+#REF!</f>
        <v>#REF!</v>
      </c>
      <c r="AF179" s="956" t="e">
        <f>#REF!+#REF!</f>
        <v>#REF!</v>
      </c>
      <c r="AG179" s="956"/>
      <c r="AH179" s="954" t="e">
        <f>#REF!</f>
        <v>#REF!</v>
      </c>
      <c r="AI179" s="954" t="e">
        <f t="shared" si="31"/>
        <v>#REF!</v>
      </c>
      <c r="AJ179" s="954">
        <f t="shared" si="32"/>
        <v>113.14</v>
      </c>
      <c r="AK179" s="954">
        <f t="shared" si="33"/>
        <v>0</v>
      </c>
      <c r="AL179" s="625"/>
    </row>
    <row r="180" spans="1:38" s="620" customFormat="1" ht="20.100000000000001" customHeight="1" x14ac:dyDescent="0.2">
      <c r="A180" s="759">
        <f t="shared" si="34"/>
        <v>136</v>
      </c>
      <c r="B180" s="957">
        <f>+NOMINA!C179</f>
        <v>16377628</v>
      </c>
      <c r="C180" s="958" t="str">
        <f>+NOMINA!D179</f>
        <v>Peña Nava Maria Gabriela</v>
      </c>
      <c r="D180" s="955" t="s">
        <v>4622</v>
      </c>
      <c r="E180" s="959">
        <v>32351</v>
      </c>
      <c r="F180" s="955" t="s">
        <v>4620</v>
      </c>
      <c r="G180" s="971">
        <f>+NOMINA!H179</f>
        <v>44743</v>
      </c>
      <c r="H180" s="961">
        <f t="shared" si="35"/>
        <v>0</v>
      </c>
      <c r="I180" s="962">
        <v>0</v>
      </c>
      <c r="J180" s="968">
        <f>+NOMINA!BL179</f>
        <v>34.840000000000003</v>
      </c>
      <c r="K180" s="968">
        <f>+NOMINA!BM179</f>
        <v>4.3600000000000003</v>
      </c>
      <c r="L180" s="968">
        <f>+NOMINA!BN179</f>
        <v>7.55</v>
      </c>
      <c r="M180" s="963">
        <f t="shared" si="36"/>
        <v>46.75</v>
      </c>
      <c r="N180" s="968">
        <f>+NOMINA!BR179</f>
        <v>78.39</v>
      </c>
      <c r="O180" s="968">
        <f>+NOMINA!BS179</f>
        <v>17.420000000000002</v>
      </c>
      <c r="P180" s="968">
        <f>+NOMINA!BT179</f>
        <v>15.1</v>
      </c>
      <c r="Q180" s="963">
        <f t="shared" si="37"/>
        <v>110.91</v>
      </c>
      <c r="R180" s="963">
        <f t="shared" si="38"/>
        <v>157.66</v>
      </c>
      <c r="S180" s="972">
        <v>0</v>
      </c>
      <c r="T180" s="443" t="e">
        <f>#REF!+#REF!-M180</f>
        <v>#REF!</v>
      </c>
      <c r="U180" s="952" t="e">
        <f>ROUND((#REF!+#REF!+#REF!+#REF!+#REF!+#REF!+#REF!+#REF!+#REF!),2)</f>
        <v>#REF!</v>
      </c>
      <c r="Y180" s="953" t="e">
        <f>#REF!+#REF!-M180</f>
        <v>#REF!</v>
      </c>
      <c r="Z180" s="954" t="e">
        <f>#REF!</f>
        <v>#REF!</v>
      </c>
      <c r="AA180" s="953" t="e">
        <f>#REF!+#REF!</f>
        <v>#REF!</v>
      </c>
      <c r="AB180" s="954" t="e">
        <f>#REF!</f>
        <v>#REF!</v>
      </c>
      <c r="AC180" s="955">
        <v>0</v>
      </c>
      <c r="AD180" s="954" t="e">
        <f>#REF!</f>
        <v>#REF!</v>
      </c>
      <c r="AE180" s="956" t="e">
        <f>#REF!+#REF!</f>
        <v>#REF!</v>
      </c>
      <c r="AF180" s="956" t="e">
        <f>#REF!+#REF!</f>
        <v>#REF!</v>
      </c>
      <c r="AG180" s="956"/>
      <c r="AH180" s="954" t="e">
        <f>#REF!</f>
        <v>#REF!</v>
      </c>
      <c r="AI180" s="954" t="e">
        <f t="shared" si="31"/>
        <v>#REF!</v>
      </c>
      <c r="AJ180" s="954">
        <f t="shared" si="32"/>
        <v>157.66</v>
      </c>
      <c r="AK180" s="954">
        <f t="shared" si="33"/>
        <v>0</v>
      </c>
      <c r="AL180" s="625"/>
    </row>
    <row r="181" spans="1:38" s="620" customFormat="1" ht="20.100000000000001" customHeight="1" x14ac:dyDescent="0.2">
      <c r="A181" s="759">
        <f t="shared" si="34"/>
        <v>137</v>
      </c>
      <c r="B181" s="957">
        <f>+NOMINA!C180</f>
        <v>16533566</v>
      </c>
      <c r="C181" s="958" t="str">
        <f>+NOMINA!D180</f>
        <v>Materan Gallardo Vivian Katiana</v>
      </c>
      <c r="D181" s="955" t="s">
        <v>4622</v>
      </c>
      <c r="E181" s="959">
        <v>32351</v>
      </c>
      <c r="F181" s="955" t="s">
        <v>4620</v>
      </c>
      <c r="G181" s="971">
        <f>+NOMINA!H180</f>
        <v>44683</v>
      </c>
      <c r="H181" s="961">
        <f t="shared" si="35"/>
        <v>0</v>
      </c>
      <c r="I181" s="962">
        <v>0</v>
      </c>
      <c r="J181" s="968">
        <f>+NOMINA!BL180</f>
        <v>18.57</v>
      </c>
      <c r="K181" s="968">
        <f>+NOMINA!BM180</f>
        <v>2.3199999999999998</v>
      </c>
      <c r="L181" s="968">
        <f>+NOMINA!BN180</f>
        <v>4.0199999999999996</v>
      </c>
      <c r="M181" s="963">
        <f t="shared" si="36"/>
        <v>24.91</v>
      </c>
      <c r="N181" s="968">
        <f>+NOMINA!BR180</f>
        <v>41.78</v>
      </c>
      <c r="O181" s="968">
        <f>+NOMINA!BS180</f>
        <v>9.2899999999999991</v>
      </c>
      <c r="P181" s="968">
        <f>+NOMINA!BT180</f>
        <v>8.0399999999999991</v>
      </c>
      <c r="Q181" s="963">
        <f t="shared" si="37"/>
        <v>59.11</v>
      </c>
      <c r="R181" s="963">
        <f t="shared" si="38"/>
        <v>84.02</v>
      </c>
      <c r="S181" s="972">
        <v>0</v>
      </c>
      <c r="T181" s="443" t="e">
        <f>#REF!+#REF!-M181</f>
        <v>#REF!</v>
      </c>
      <c r="U181" s="952" t="e">
        <f>ROUND((#REF!+#REF!+#REF!+#REF!+#REF!+#REF!+#REF!+#REF!+#REF!),2)</f>
        <v>#REF!</v>
      </c>
      <c r="Y181" s="953" t="e">
        <f>#REF!+#REF!-M181</f>
        <v>#REF!</v>
      </c>
      <c r="Z181" s="954" t="e">
        <f>#REF!</f>
        <v>#REF!</v>
      </c>
      <c r="AA181" s="953" t="e">
        <f>#REF!+#REF!</f>
        <v>#REF!</v>
      </c>
      <c r="AB181" s="954" t="e">
        <f>#REF!</f>
        <v>#REF!</v>
      </c>
      <c r="AC181" s="955">
        <v>0</v>
      </c>
      <c r="AD181" s="954" t="e">
        <f>#REF!</f>
        <v>#REF!</v>
      </c>
      <c r="AE181" s="956" t="e">
        <f>#REF!+#REF!</f>
        <v>#REF!</v>
      </c>
      <c r="AF181" s="956" t="e">
        <f>#REF!+#REF!</f>
        <v>#REF!</v>
      </c>
      <c r="AG181" s="956"/>
      <c r="AH181" s="954" t="e">
        <f>#REF!</f>
        <v>#REF!</v>
      </c>
      <c r="AI181" s="954" t="e">
        <f t="shared" si="31"/>
        <v>#REF!</v>
      </c>
      <c r="AJ181" s="954">
        <f t="shared" si="32"/>
        <v>84.02</v>
      </c>
      <c r="AK181" s="954">
        <f t="shared" si="33"/>
        <v>0</v>
      </c>
      <c r="AL181" s="625"/>
    </row>
    <row r="182" spans="1:38" s="620" customFormat="1" ht="20.100000000000001" customHeight="1" x14ac:dyDescent="0.2">
      <c r="A182" s="759">
        <f t="shared" si="34"/>
        <v>138</v>
      </c>
      <c r="B182" s="957">
        <f>+NOMINA!C181</f>
        <v>16533615</v>
      </c>
      <c r="C182" s="958" t="str">
        <f>+NOMINA!D181</f>
        <v>Valero Sulbaran Urquia Del Mar</v>
      </c>
      <c r="D182" s="955" t="s">
        <v>4622</v>
      </c>
      <c r="E182" s="959">
        <v>32351</v>
      </c>
      <c r="F182" s="955" t="s">
        <v>4620</v>
      </c>
      <c r="G182" s="971">
        <f>+NOMINA!H181</f>
        <v>45474</v>
      </c>
      <c r="H182" s="961">
        <f t="shared" si="35"/>
        <v>0</v>
      </c>
      <c r="I182" s="962">
        <v>0</v>
      </c>
      <c r="J182" s="968">
        <f>+NOMINA!BL181</f>
        <v>29.32</v>
      </c>
      <c r="K182" s="968">
        <f>+NOMINA!BM181</f>
        <v>3.67</v>
      </c>
      <c r="L182" s="968">
        <f>+NOMINA!BN181</f>
        <v>6.35</v>
      </c>
      <c r="M182" s="963">
        <f t="shared" si="36"/>
        <v>39.340000000000003</v>
      </c>
      <c r="N182" s="968">
        <f>+NOMINA!BR181</f>
        <v>65.97</v>
      </c>
      <c r="O182" s="968">
        <f>+NOMINA!BS181</f>
        <v>14.66</v>
      </c>
      <c r="P182" s="968">
        <f>+NOMINA!BT181</f>
        <v>12.7</v>
      </c>
      <c r="Q182" s="963">
        <f t="shared" si="37"/>
        <v>93.33</v>
      </c>
      <c r="R182" s="963">
        <f t="shared" si="38"/>
        <v>132.67000000000002</v>
      </c>
      <c r="S182" s="972">
        <v>0</v>
      </c>
      <c r="T182" s="443" t="e">
        <f>#REF!+#REF!-M182</f>
        <v>#REF!</v>
      </c>
      <c r="U182" s="952" t="e">
        <f>ROUND((#REF!+#REF!+#REF!+#REF!+#REF!+#REF!+#REF!+#REF!+#REF!),2)</f>
        <v>#REF!</v>
      </c>
      <c r="Y182" s="953" t="e">
        <f>#REF!+#REF!-M182</f>
        <v>#REF!</v>
      </c>
      <c r="Z182" s="954" t="e">
        <f>#REF!</f>
        <v>#REF!</v>
      </c>
      <c r="AA182" s="953" t="e">
        <f>#REF!+#REF!</f>
        <v>#REF!</v>
      </c>
      <c r="AB182" s="954" t="e">
        <f>#REF!</f>
        <v>#REF!</v>
      </c>
      <c r="AC182" s="955">
        <v>0</v>
      </c>
      <c r="AD182" s="954" t="e">
        <f>#REF!</f>
        <v>#REF!</v>
      </c>
      <c r="AE182" s="956" t="e">
        <f>#REF!+#REF!</f>
        <v>#REF!</v>
      </c>
      <c r="AF182" s="956" t="e">
        <f>#REF!+#REF!</f>
        <v>#REF!</v>
      </c>
      <c r="AG182" s="956"/>
      <c r="AH182" s="954" t="e">
        <f>#REF!</f>
        <v>#REF!</v>
      </c>
      <c r="AI182" s="954" t="e">
        <f t="shared" si="31"/>
        <v>#REF!</v>
      </c>
      <c r="AJ182" s="954">
        <f t="shared" si="32"/>
        <v>132.67000000000002</v>
      </c>
      <c r="AK182" s="954">
        <f t="shared" si="33"/>
        <v>0</v>
      </c>
      <c r="AL182" s="625"/>
    </row>
    <row r="183" spans="1:38" s="620" customFormat="1" ht="20.100000000000001" customHeight="1" x14ac:dyDescent="0.2">
      <c r="A183" s="759">
        <f t="shared" si="34"/>
        <v>139</v>
      </c>
      <c r="B183" s="957">
        <f>+NOMINA!C182</f>
        <v>16533986</v>
      </c>
      <c r="C183" s="958" t="str">
        <f>+NOMINA!D182</f>
        <v>Serrada Bustos Gladys Magaly</v>
      </c>
      <c r="D183" s="955" t="s">
        <v>4622</v>
      </c>
      <c r="E183" s="959">
        <v>32351</v>
      </c>
      <c r="F183" s="955" t="s">
        <v>4620</v>
      </c>
      <c r="G183" s="971">
        <f>+NOMINA!H182</f>
        <v>42948</v>
      </c>
      <c r="H183" s="961">
        <f t="shared" si="35"/>
        <v>5</v>
      </c>
      <c r="I183" s="962">
        <v>0</v>
      </c>
      <c r="J183" s="968">
        <f>+NOMINA!BL182</f>
        <v>25.7</v>
      </c>
      <c r="K183" s="968">
        <f>+NOMINA!BM182</f>
        <v>3.21</v>
      </c>
      <c r="L183" s="968">
        <f>+NOMINA!BN182</f>
        <v>5.57</v>
      </c>
      <c r="M183" s="963">
        <f t="shared" si="36"/>
        <v>34.479999999999997</v>
      </c>
      <c r="N183" s="968">
        <f>+NOMINA!BR182</f>
        <v>57.83</v>
      </c>
      <c r="O183" s="968">
        <f>+NOMINA!BS182</f>
        <v>12.85</v>
      </c>
      <c r="P183" s="968">
        <f>+NOMINA!BT182</f>
        <v>11.14</v>
      </c>
      <c r="Q183" s="963">
        <f t="shared" si="37"/>
        <v>81.819999999999993</v>
      </c>
      <c r="R183" s="963">
        <f t="shared" si="38"/>
        <v>116.29999999999998</v>
      </c>
      <c r="S183" s="972">
        <v>0</v>
      </c>
      <c r="T183" s="443" t="e">
        <f>#REF!+#REF!-M183</f>
        <v>#REF!</v>
      </c>
      <c r="U183" s="952" t="e">
        <f>ROUND((#REF!+#REF!+#REF!+#REF!+#REF!+#REF!+#REF!+#REF!+#REF!),2)</f>
        <v>#REF!</v>
      </c>
      <c r="Y183" s="953" t="e">
        <f>#REF!+#REF!-M183</f>
        <v>#REF!</v>
      </c>
      <c r="Z183" s="954" t="e">
        <f>#REF!</f>
        <v>#REF!</v>
      </c>
      <c r="AA183" s="953" t="e">
        <f>#REF!+#REF!</f>
        <v>#REF!</v>
      </c>
      <c r="AB183" s="954" t="e">
        <f>#REF!</f>
        <v>#REF!</v>
      </c>
      <c r="AC183" s="955">
        <v>0</v>
      </c>
      <c r="AD183" s="954" t="e">
        <f>#REF!</f>
        <v>#REF!</v>
      </c>
      <c r="AE183" s="956" t="e">
        <f>#REF!+#REF!</f>
        <v>#REF!</v>
      </c>
      <c r="AF183" s="956" t="e">
        <f>#REF!+#REF!</f>
        <v>#REF!</v>
      </c>
      <c r="AG183" s="956"/>
      <c r="AH183" s="954" t="e">
        <f>#REF!</f>
        <v>#REF!</v>
      </c>
      <c r="AI183" s="954" t="e">
        <f t="shared" si="31"/>
        <v>#REF!</v>
      </c>
      <c r="AJ183" s="954">
        <f t="shared" si="32"/>
        <v>116.29999999999998</v>
      </c>
      <c r="AK183" s="954">
        <f t="shared" si="33"/>
        <v>0</v>
      </c>
      <c r="AL183" s="625"/>
    </row>
    <row r="184" spans="1:38" s="620" customFormat="1" ht="20.100000000000001" customHeight="1" x14ac:dyDescent="0.2">
      <c r="A184" s="759">
        <f t="shared" si="34"/>
        <v>140</v>
      </c>
      <c r="B184" s="957">
        <f>+NOMINA!C183</f>
        <v>16739081</v>
      </c>
      <c r="C184" s="958" t="str">
        <f>+NOMINA!D183</f>
        <v>Albarran Araujo Yely Coromoto</v>
      </c>
      <c r="D184" s="955" t="s">
        <v>4622</v>
      </c>
      <c r="E184" s="959">
        <v>32351</v>
      </c>
      <c r="F184" s="955" t="s">
        <v>4620</v>
      </c>
      <c r="G184" s="971">
        <f>+NOMINA!H183</f>
        <v>42948</v>
      </c>
      <c r="H184" s="961">
        <f t="shared" si="35"/>
        <v>5</v>
      </c>
      <c r="I184" s="962">
        <v>0</v>
      </c>
      <c r="J184" s="968">
        <f>+NOMINA!BL183</f>
        <v>0</v>
      </c>
      <c r="K184" s="968">
        <f>+NOMINA!BM183</f>
        <v>0</v>
      </c>
      <c r="L184" s="968">
        <f>+NOMINA!BN183</f>
        <v>0</v>
      </c>
      <c r="M184" s="963">
        <f t="shared" si="36"/>
        <v>0</v>
      </c>
      <c r="N184" s="968">
        <f>+NOMINA!BR183</f>
        <v>0</v>
      </c>
      <c r="O184" s="968">
        <f>+NOMINA!BS183</f>
        <v>0</v>
      </c>
      <c r="P184" s="968">
        <f>+NOMINA!BT183</f>
        <v>0</v>
      </c>
      <c r="Q184" s="963">
        <f t="shared" si="37"/>
        <v>0</v>
      </c>
      <c r="R184" s="963">
        <f t="shared" si="38"/>
        <v>0</v>
      </c>
      <c r="S184" s="972">
        <v>0</v>
      </c>
      <c r="T184" s="443" t="e">
        <f>#REF!+#REF!-M184</f>
        <v>#REF!</v>
      </c>
      <c r="U184" s="952" t="e">
        <f>ROUND((#REF!+#REF!+#REF!+#REF!+#REF!+#REF!+#REF!+#REF!+#REF!),2)</f>
        <v>#REF!</v>
      </c>
      <c r="Y184" s="953" t="e">
        <f>#REF!+#REF!-M184</f>
        <v>#REF!</v>
      </c>
      <c r="Z184" s="954" t="e">
        <f>#REF!</f>
        <v>#REF!</v>
      </c>
      <c r="AA184" s="953" t="e">
        <f>#REF!+#REF!</f>
        <v>#REF!</v>
      </c>
      <c r="AB184" s="954" t="e">
        <f>#REF!</f>
        <v>#REF!</v>
      </c>
      <c r="AC184" s="955">
        <v>0</v>
      </c>
      <c r="AD184" s="954" t="e">
        <f>#REF!</f>
        <v>#REF!</v>
      </c>
      <c r="AE184" s="956" t="e">
        <f>#REF!+#REF!</f>
        <v>#REF!</v>
      </c>
      <c r="AF184" s="956" t="e">
        <f>#REF!+#REF!</f>
        <v>#REF!</v>
      </c>
      <c r="AG184" s="956"/>
      <c r="AH184" s="954" t="e">
        <f>#REF!</f>
        <v>#REF!</v>
      </c>
      <c r="AI184" s="954" t="e">
        <f t="shared" si="31"/>
        <v>#REF!</v>
      </c>
      <c r="AJ184" s="954">
        <f t="shared" si="32"/>
        <v>0</v>
      </c>
      <c r="AK184" s="954">
        <f t="shared" si="33"/>
        <v>0</v>
      </c>
      <c r="AL184" s="625"/>
    </row>
    <row r="185" spans="1:38" s="620" customFormat="1" ht="20.100000000000001" customHeight="1" x14ac:dyDescent="0.2">
      <c r="A185" s="759">
        <f t="shared" si="34"/>
        <v>141</v>
      </c>
      <c r="B185" s="957">
        <f>+NOMINA!C184</f>
        <v>16740261</v>
      </c>
      <c r="C185" s="958" t="str">
        <f>+NOMINA!D184</f>
        <v>Rivas Briceño Nathaly Del Carmen</v>
      </c>
      <c r="D185" s="955" t="s">
        <v>4622</v>
      </c>
      <c r="E185" s="959">
        <v>32351</v>
      </c>
      <c r="F185" s="955" t="s">
        <v>4620</v>
      </c>
      <c r="G185" s="971">
        <f>+NOMINA!H184</f>
        <v>45505</v>
      </c>
      <c r="H185" s="961">
        <f t="shared" si="35"/>
        <v>0</v>
      </c>
      <c r="I185" s="962">
        <v>0</v>
      </c>
      <c r="J185" s="968">
        <f>+NOMINA!BL184</f>
        <v>18.63</v>
      </c>
      <c r="K185" s="968">
        <f>+NOMINA!BM184</f>
        <v>2.33</v>
      </c>
      <c r="L185" s="968">
        <f>+NOMINA!BN184</f>
        <v>4.04</v>
      </c>
      <c r="M185" s="963">
        <f t="shared" si="36"/>
        <v>25</v>
      </c>
      <c r="N185" s="968">
        <f>+NOMINA!BR184</f>
        <v>41.92</v>
      </c>
      <c r="O185" s="968">
        <f>+NOMINA!BS184</f>
        <v>9.32</v>
      </c>
      <c r="P185" s="968">
        <f>+NOMINA!BT184</f>
        <v>8.08</v>
      </c>
      <c r="Q185" s="963">
        <f t="shared" si="37"/>
        <v>59.32</v>
      </c>
      <c r="R185" s="963">
        <f t="shared" si="38"/>
        <v>84.32</v>
      </c>
      <c r="S185" s="972">
        <v>0</v>
      </c>
      <c r="T185" s="443" t="e">
        <f>#REF!+#REF!-M185</f>
        <v>#REF!</v>
      </c>
      <c r="U185" s="952" t="e">
        <f>ROUND((#REF!+#REF!+#REF!+#REF!+#REF!+#REF!+#REF!+#REF!+#REF!),2)</f>
        <v>#REF!</v>
      </c>
      <c r="Y185" s="953" t="e">
        <f>#REF!+#REF!-M185</f>
        <v>#REF!</v>
      </c>
      <c r="Z185" s="954" t="e">
        <f>#REF!</f>
        <v>#REF!</v>
      </c>
      <c r="AA185" s="953" t="e">
        <f>#REF!+#REF!</f>
        <v>#REF!</v>
      </c>
      <c r="AB185" s="954" t="e">
        <f>#REF!</f>
        <v>#REF!</v>
      </c>
      <c r="AC185" s="955">
        <v>0</v>
      </c>
      <c r="AD185" s="954" t="e">
        <f>#REF!</f>
        <v>#REF!</v>
      </c>
      <c r="AE185" s="956" t="e">
        <f>#REF!+#REF!</f>
        <v>#REF!</v>
      </c>
      <c r="AF185" s="956" t="e">
        <f>#REF!+#REF!</f>
        <v>#REF!</v>
      </c>
      <c r="AG185" s="956"/>
      <c r="AH185" s="954" t="e">
        <f>#REF!</f>
        <v>#REF!</v>
      </c>
      <c r="AI185" s="954" t="e">
        <f t="shared" si="31"/>
        <v>#REF!</v>
      </c>
      <c r="AJ185" s="954">
        <f t="shared" si="32"/>
        <v>84.32</v>
      </c>
      <c r="AK185" s="954">
        <f t="shared" si="33"/>
        <v>0</v>
      </c>
      <c r="AL185" s="625"/>
    </row>
    <row r="186" spans="1:38" s="620" customFormat="1" ht="20.100000000000001" customHeight="1" x14ac:dyDescent="0.2">
      <c r="A186" s="759">
        <f t="shared" si="34"/>
        <v>142</v>
      </c>
      <c r="B186" s="957">
        <f>+NOMINA!C185</f>
        <v>16881384</v>
      </c>
      <c r="C186" s="958" t="str">
        <f>+NOMINA!D185</f>
        <v>Perez Ramirez Yonathan Jesus</v>
      </c>
      <c r="D186" s="955" t="s">
        <v>4622</v>
      </c>
      <c r="E186" s="959">
        <v>32351</v>
      </c>
      <c r="F186" s="955" t="s">
        <v>4620</v>
      </c>
      <c r="G186" s="971">
        <f>+NOMINA!H185</f>
        <v>43906</v>
      </c>
      <c r="H186" s="961">
        <f t="shared" si="35"/>
        <v>2</v>
      </c>
      <c r="I186" s="962">
        <v>0</v>
      </c>
      <c r="J186" s="968">
        <f>+NOMINA!BL185</f>
        <v>28.25</v>
      </c>
      <c r="K186" s="968">
        <f>+NOMINA!BM185</f>
        <v>3.53</v>
      </c>
      <c r="L186" s="968">
        <f>+NOMINA!BN185</f>
        <v>6.12</v>
      </c>
      <c r="M186" s="963">
        <f t="shared" si="36"/>
        <v>37.9</v>
      </c>
      <c r="N186" s="968">
        <f>+NOMINA!BR185</f>
        <v>63.56</v>
      </c>
      <c r="O186" s="968">
        <f>+NOMINA!BS185</f>
        <v>14.12</v>
      </c>
      <c r="P186" s="968">
        <f>+NOMINA!BT185</f>
        <v>12.24</v>
      </c>
      <c r="Q186" s="963">
        <f t="shared" si="37"/>
        <v>89.92</v>
      </c>
      <c r="R186" s="963">
        <f t="shared" si="38"/>
        <v>127.82</v>
      </c>
      <c r="S186" s="972">
        <v>0</v>
      </c>
      <c r="T186" s="443" t="e">
        <f>#REF!+#REF!-M186</f>
        <v>#REF!</v>
      </c>
      <c r="U186" s="952" t="e">
        <f>ROUND((#REF!+#REF!+#REF!+#REF!+#REF!+#REF!+#REF!+#REF!+#REF!),2)</f>
        <v>#REF!</v>
      </c>
      <c r="Y186" s="953" t="e">
        <f>#REF!+#REF!-M186</f>
        <v>#REF!</v>
      </c>
      <c r="Z186" s="954" t="e">
        <f>#REF!</f>
        <v>#REF!</v>
      </c>
      <c r="AA186" s="953" t="e">
        <f>#REF!+#REF!</f>
        <v>#REF!</v>
      </c>
      <c r="AB186" s="954" t="e">
        <f>#REF!</f>
        <v>#REF!</v>
      </c>
      <c r="AC186" s="955">
        <v>0</v>
      </c>
      <c r="AD186" s="954" t="e">
        <f>#REF!</f>
        <v>#REF!</v>
      </c>
      <c r="AE186" s="956" t="e">
        <f>#REF!+#REF!</f>
        <v>#REF!</v>
      </c>
      <c r="AF186" s="956" t="e">
        <f>#REF!+#REF!</f>
        <v>#REF!</v>
      </c>
      <c r="AG186" s="956"/>
      <c r="AH186" s="954" t="e">
        <f>#REF!</f>
        <v>#REF!</v>
      </c>
      <c r="AI186" s="954" t="e">
        <f t="shared" si="31"/>
        <v>#REF!</v>
      </c>
      <c r="AJ186" s="954">
        <f t="shared" si="32"/>
        <v>127.82</v>
      </c>
      <c r="AK186" s="954">
        <f t="shared" si="33"/>
        <v>0</v>
      </c>
      <c r="AL186" s="625"/>
    </row>
    <row r="187" spans="1:38" s="620" customFormat="1" ht="20.100000000000001" customHeight="1" x14ac:dyDescent="0.2">
      <c r="A187" s="759">
        <f t="shared" si="34"/>
        <v>143</v>
      </c>
      <c r="B187" s="957">
        <f>+NOMINA!C186</f>
        <v>16882467</v>
      </c>
      <c r="C187" s="958" t="str">
        <f>+NOMINA!D186</f>
        <v>Mejia Araujo Sandra Coromoto</v>
      </c>
      <c r="D187" s="955" t="s">
        <v>4622</v>
      </c>
      <c r="E187" s="959">
        <v>32351</v>
      </c>
      <c r="F187" s="955" t="s">
        <v>4620</v>
      </c>
      <c r="G187" s="971">
        <f>+NOMINA!H186</f>
        <v>42948</v>
      </c>
      <c r="H187" s="961">
        <f t="shared" si="35"/>
        <v>5</v>
      </c>
      <c r="I187" s="962">
        <v>0</v>
      </c>
      <c r="J187" s="968">
        <f>+NOMINA!BL186</f>
        <v>26.9</v>
      </c>
      <c r="K187" s="968">
        <f>+NOMINA!BM186</f>
        <v>3.36</v>
      </c>
      <c r="L187" s="968">
        <f>+NOMINA!BN186</f>
        <v>5.83</v>
      </c>
      <c r="M187" s="963">
        <f t="shared" si="36"/>
        <v>36.090000000000003</v>
      </c>
      <c r="N187" s="968">
        <f>+NOMINA!BR186</f>
        <v>60.53</v>
      </c>
      <c r="O187" s="968">
        <f>+NOMINA!BS186</f>
        <v>13.45</v>
      </c>
      <c r="P187" s="968">
        <f>+NOMINA!BT186</f>
        <v>11.66</v>
      </c>
      <c r="Q187" s="963">
        <f t="shared" si="37"/>
        <v>85.64</v>
      </c>
      <c r="R187" s="963">
        <f t="shared" si="38"/>
        <v>121.73</v>
      </c>
      <c r="S187" s="972">
        <v>0</v>
      </c>
      <c r="T187" s="443" t="e">
        <f>#REF!+#REF!-M187</f>
        <v>#REF!</v>
      </c>
      <c r="U187" s="952" t="e">
        <f>ROUND((#REF!+#REF!+#REF!+#REF!+#REF!+#REF!+#REF!+#REF!+#REF!),2)</f>
        <v>#REF!</v>
      </c>
      <c r="Y187" s="953" t="e">
        <f>#REF!+#REF!-M187</f>
        <v>#REF!</v>
      </c>
      <c r="Z187" s="954" t="e">
        <f>#REF!</f>
        <v>#REF!</v>
      </c>
      <c r="AA187" s="953" t="e">
        <f>#REF!+#REF!</f>
        <v>#REF!</v>
      </c>
      <c r="AB187" s="954" t="e">
        <f>#REF!</f>
        <v>#REF!</v>
      </c>
      <c r="AC187" s="955">
        <v>0</v>
      </c>
      <c r="AD187" s="954" t="e">
        <f>#REF!</f>
        <v>#REF!</v>
      </c>
      <c r="AE187" s="956" t="e">
        <f>#REF!+#REF!</f>
        <v>#REF!</v>
      </c>
      <c r="AF187" s="956" t="e">
        <f>#REF!+#REF!</f>
        <v>#REF!</v>
      </c>
      <c r="AG187" s="956"/>
      <c r="AH187" s="954" t="e">
        <f>#REF!</f>
        <v>#REF!</v>
      </c>
      <c r="AI187" s="954" t="e">
        <f t="shared" si="31"/>
        <v>#REF!</v>
      </c>
      <c r="AJ187" s="954">
        <f t="shared" si="32"/>
        <v>121.73</v>
      </c>
      <c r="AK187" s="954">
        <f t="shared" si="33"/>
        <v>0</v>
      </c>
      <c r="AL187" s="625"/>
    </row>
    <row r="188" spans="1:38" s="620" customFormat="1" ht="20.100000000000001" customHeight="1" x14ac:dyDescent="0.2">
      <c r="A188" s="759">
        <f t="shared" si="34"/>
        <v>144</v>
      </c>
      <c r="B188" s="957">
        <f>+NOMINA!C187</f>
        <v>16883267</v>
      </c>
      <c r="C188" s="958" t="str">
        <f>+NOMINA!D187</f>
        <v>Matheus Rondon Aida</v>
      </c>
      <c r="D188" s="955" t="s">
        <v>4622</v>
      </c>
      <c r="E188" s="959">
        <v>32351</v>
      </c>
      <c r="F188" s="955" t="s">
        <v>4620</v>
      </c>
      <c r="G188" s="971">
        <f>+NOMINA!H187</f>
        <v>38930</v>
      </c>
      <c r="H188" s="961">
        <f t="shared" si="35"/>
        <v>16</v>
      </c>
      <c r="I188" s="962">
        <v>0</v>
      </c>
      <c r="J188" s="968">
        <f>+NOMINA!BL187</f>
        <v>22.91</v>
      </c>
      <c r="K188" s="968">
        <f>+NOMINA!BM187</f>
        <v>2.86</v>
      </c>
      <c r="L188" s="968">
        <f>+NOMINA!BN187</f>
        <v>4.96</v>
      </c>
      <c r="M188" s="963">
        <f t="shared" si="36"/>
        <v>30.73</v>
      </c>
      <c r="N188" s="968">
        <f>+NOMINA!BR187</f>
        <v>51.55</v>
      </c>
      <c r="O188" s="968">
        <f>+NOMINA!BS187</f>
        <v>11.45</v>
      </c>
      <c r="P188" s="968">
        <f>+NOMINA!BT187</f>
        <v>9.92</v>
      </c>
      <c r="Q188" s="963">
        <f t="shared" si="37"/>
        <v>72.92</v>
      </c>
      <c r="R188" s="963">
        <f t="shared" si="38"/>
        <v>103.65</v>
      </c>
      <c r="S188" s="972">
        <v>0</v>
      </c>
      <c r="T188" s="443" t="e">
        <f>#REF!+#REF!-M188</f>
        <v>#REF!</v>
      </c>
      <c r="U188" s="952" t="e">
        <f>ROUND((#REF!+#REF!+#REF!+#REF!+#REF!+#REF!+#REF!+#REF!+#REF!),2)</f>
        <v>#REF!</v>
      </c>
      <c r="Y188" s="953" t="e">
        <f>#REF!+#REF!-M188</f>
        <v>#REF!</v>
      </c>
      <c r="Z188" s="954" t="e">
        <f>#REF!</f>
        <v>#REF!</v>
      </c>
      <c r="AA188" s="953" t="e">
        <f>#REF!+#REF!</f>
        <v>#REF!</v>
      </c>
      <c r="AB188" s="954" t="e">
        <f>#REF!</f>
        <v>#REF!</v>
      </c>
      <c r="AC188" s="955">
        <v>0</v>
      </c>
      <c r="AD188" s="954" t="e">
        <f>#REF!</f>
        <v>#REF!</v>
      </c>
      <c r="AE188" s="956" t="e">
        <f>#REF!+#REF!</f>
        <v>#REF!</v>
      </c>
      <c r="AF188" s="956" t="e">
        <f>#REF!+#REF!</f>
        <v>#REF!</v>
      </c>
      <c r="AG188" s="956"/>
      <c r="AH188" s="954" t="e">
        <f>#REF!</f>
        <v>#REF!</v>
      </c>
      <c r="AI188" s="954" t="e">
        <f t="shared" si="31"/>
        <v>#REF!</v>
      </c>
      <c r="AJ188" s="954">
        <f t="shared" si="32"/>
        <v>103.65</v>
      </c>
      <c r="AK188" s="954">
        <f t="shared" si="33"/>
        <v>0</v>
      </c>
      <c r="AL188" s="625"/>
    </row>
    <row r="189" spans="1:38" s="620" customFormat="1" ht="20.100000000000001" customHeight="1" x14ac:dyDescent="0.2">
      <c r="A189" s="759">
        <f t="shared" si="34"/>
        <v>145</v>
      </c>
      <c r="B189" s="957">
        <f>+NOMINA!C188</f>
        <v>17037244</v>
      </c>
      <c r="C189" s="958" t="str">
        <f>+NOMINA!D188</f>
        <v>Bastidas Yelitza del Carmen</v>
      </c>
      <c r="D189" s="955" t="s">
        <v>4622</v>
      </c>
      <c r="E189" s="959">
        <v>32351</v>
      </c>
      <c r="F189" s="955" t="s">
        <v>4620</v>
      </c>
      <c r="G189" s="971">
        <f>+NOMINA!H188</f>
        <v>40087</v>
      </c>
      <c r="H189" s="961">
        <f t="shared" si="35"/>
        <v>13</v>
      </c>
      <c r="I189" s="962">
        <v>0</v>
      </c>
      <c r="J189" s="968">
        <f>+NOMINA!BL188</f>
        <v>30.36</v>
      </c>
      <c r="K189" s="968">
        <f>+NOMINA!BM188</f>
        <v>3.8</v>
      </c>
      <c r="L189" s="968">
        <f>+NOMINA!BN188</f>
        <v>6.58</v>
      </c>
      <c r="M189" s="963">
        <f t="shared" si="36"/>
        <v>40.74</v>
      </c>
      <c r="N189" s="968">
        <f>+NOMINA!BR188</f>
        <v>68.31</v>
      </c>
      <c r="O189" s="968">
        <f>+NOMINA!BS188</f>
        <v>15.18</v>
      </c>
      <c r="P189" s="968">
        <f>+NOMINA!BT188</f>
        <v>13.16</v>
      </c>
      <c r="Q189" s="963">
        <f t="shared" si="37"/>
        <v>96.65</v>
      </c>
      <c r="R189" s="963">
        <f t="shared" si="38"/>
        <v>137.39000000000001</v>
      </c>
      <c r="S189" s="972">
        <v>0</v>
      </c>
      <c r="T189" s="443" t="e">
        <f>#REF!+#REF!-M189</f>
        <v>#REF!</v>
      </c>
      <c r="U189" s="952" t="e">
        <f>ROUND((#REF!+#REF!+#REF!+#REF!+#REF!+#REF!+#REF!+#REF!+#REF!),2)</f>
        <v>#REF!</v>
      </c>
      <c r="Y189" s="953" t="e">
        <f>#REF!+#REF!-M189</f>
        <v>#REF!</v>
      </c>
      <c r="Z189" s="954" t="e">
        <f>#REF!</f>
        <v>#REF!</v>
      </c>
      <c r="AA189" s="953" t="e">
        <f>#REF!+#REF!</f>
        <v>#REF!</v>
      </c>
      <c r="AB189" s="954" t="e">
        <f>#REF!</f>
        <v>#REF!</v>
      </c>
      <c r="AC189" s="955">
        <v>0</v>
      </c>
      <c r="AD189" s="954" t="e">
        <f>#REF!</f>
        <v>#REF!</v>
      </c>
      <c r="AE189" s="956" t="e">
        <f>#REF!+#REF!</f>
        <v>#REF!</v>
      </c>
      <c r="AF189" s="956" t="e">
        <f>#REF!+#REF!</f>
        <v>#REF!</v>
      </c>
      <c r="AG189" s="956"/>
      <c r="AH189" s="954" t="e">
        <f>#REF!</f>
        <v>#REF!</v>
      </c>
      <c r="AI189" s="954" t="e">
        <f t="shared" si="31"/>
        <v>#REF!</v>
      </c>
      <c r="AJ189" s="954">
        <f t="shared" si="32"/>
        <v>137.39000000000001</v>
      </c>
      <c r="AK189" s="954">
        <f t="shared" si="33"/>
        <v>0</v>
      </c>
      <c r="AL189" s="625"/>
    </row>
    <row r="190" spans="1:38" s="620" customFormat="1" ht="20.100000000000001" customHeight="1" x14ac:dyDescent="0.2">
      <c r="A190" s="759">
        <f t="shared" si="34"/>
        <v>146</v>
      </c>
      <c r="B190" s="957">
        <f>+NOMINA!C189</f>
        <v>17038061</v>
      </c>
      <c r="C190" s="958" t="str">
        <f>+NOMINA!D189</f>
        <v>Ruendez Araujo Omaira del Carmen</v>
      </c>
      <c r="D190" s="955" t="s">
        <v>4622</v>
      </c>
      <c r="E190" s="959">
        <v>32351</v>
      </c>
      <c r="F190" s="955" t="s">
        <v>4620</v>
      </c>
      <c r="G190" s="971">
        <f>+NOMINA!H189</f>
        <v>45809</v>
      </c>
      <c r="H190" s="961">
        <f t="shared" si="35"/>
        <v>0</v>
      </c>
      <c r="I190" s="962">
        <v>0</v>
      </c>
      <c r="J190" s="968">
        <f>+NOMINA!BL189</f>
        <v>17.18</v>
      </c>
      <c r="K190" s="968">
        <f>+NOMINA!BM189</f>
        <v>2.15</v>
      </c>
      <c r="L190" s="968">
        <f>+NOMINA!BN189</f>
        <v>3.72</v>
      </c>
      <c r="M190" s="963">
        <f t="shared" si="36"/>
        <v>23.05</v>
      </c>
      <c r="N190" s="968">
        <f>+NOMINA!BR189</f>
        <v>38.65</v>
      </c>
      <c r="O190" s="968">
        <f>+NOMINA!BS189</f>
        <v>8.59</v>
      </c>
      <c r="P190" s="968">
        <f>+NOMINA!BT189</f>
        <v>7.44</v>
      </c>
      <c r="Q190" s="963">
        <f t="shared" si="37"/>
        <v>54.68</v>
      </c>
      <c r="R190" s="963">
        <f t="shared" si="38"/>
        <v>77.73</v>
      </c>
      <c r="S190" s="972">
        <v>0</v>
      </c>
      <c r="T190" s="443" t="e">
        <f>#REF!+#REF!-M190</f>
        <v>#REF!</v>
      </c>
      <c r="U190" s="952" t="e">
        <f>ROUND((#REF!+#REF!+#REF!+#REF!+#REF!+#REF!+#REF!+#REF!+#REF!),2)</f>
        <v>#REF!</v>
      </c>
      <c r="Y190" s="953" t="e">
        <f>#REF!+#REF!-M190</f>
        <v>#REF!</v>
      </c>
      <c r="Z190" s="954" t="e">
        <f>#REF!</f>
        <v>#REF!</v>
      </c>
      <c r="AA190" s="953" t="e">
        <f>#REF!+#REF!</f>
        <v>#REF!</v>
      </c>
      <c r="AB190" s="954" t="e">
        <f>#REF!</f>
        <v>#REF!</v>
      </c>
      <c r="AC190" s="955">
        <v>0</v>
      </c>
      <c r="AD190" s="954" t="e">
        <f>#REF!</f>
        <v>#REF!</v>
      </c>
      <c r="AE190" s="956" t="e">
        <f>#REF!+#REF!</f>
        <v>#REF!</v>
      </c>
      <c r="AF190" s="956" t="e">
        <f>#REF!+#REF!</f>
        <v>#REF!</v>
      </c>
      <c r="AG190" s="956"/>
      <c r="AH190" s="954" t="e">
        <f>#REF!</f>
        <v>#REF!</v>
      </c>
      <c r="AI190" s="954" t="e">
        <f t="shared" si="31"/>
        <v>#REF!</v>
      </c>
      <c r="AJ190" s="954">
        <f t="shared" si="32"/>
        <v>77.73</v>
      </c>
      <c r="AK190" s="954">
        <f t="shared" si="33"/>
        <v>0</v>
      </c>
      <c r="AL190" s="625"/>
    </row>
    <row r="191" spans="1:38" s="620" customFormat="1" ht="20.100000000000001" customHeight="1" x14ac:dyDescent="0.2">
      <c r="A191" s="759">
        <f t="shared" si="34"/>
        <v>147</v>
      </c>
      <c r="B191" s="957">
        <f>+NOMINA!C190</f>
        <v>17094419</v>
      </c>
      <c r="C191" s="958" t="str">
        <f>+NOMINA!D190</f>
        <v>Aponte Rivera Lenismar del Valle</v>
      </c>
      <c r="D191" s="955" t="s">
        <v>4622</v>
      </c>
      <c r="E191" s="959">
        <v>32351</v>
      </c>
      <c r="F191" s="955" t="s">
        <v>4620</v>
      </c>
      <c r="G191" s="971">
        <f>+NOMINA!H190</f>
        <v>44409</v>
      </c>
      <c r="H191" s="961">
        <f t="shared" si="35"/>
        <v>1</v>
      </c>
      <c r="I191" s="962">
        <v>0</v>
      </c>
      <c r="J191" s="968">
        <f>+NOMINA!BL190</f>
        <v>17.91</v>
      </c>
      <c r="K191" s="968">
        <f>+NOMINA!BM190</f>
        <v>2.2400000000000002</v>
      </c>
      <c r="L191" s="968">
        <f>+NOMINA!BN190</f>
        <v>3.88</v>
      </c>
      <c r="M191" s="963">
        <f t="shared" si="36"/>
        <v>24.03</v>
      </c>
      <c r="N191" s="968">
        <f>+NOMINA!BR190</f>
        <v>40.299999999999997</v>
      </c>
      <c r="O191" s="968">
        <f>+NOMINA!BS190</f>
        <v>8.9600000000000009</v>
      </c>
      <c r="P191" s="968">
        <f>+NOMINA!BT190</f>
        <v>7.76</v>
      </c>
      <c r="Q191" s="963">
        <f t="shared" si="37"/>
        <v>57.02</v>
      </c>
      <c r="R191" s="963">
        <f t="shared" si="38"/>
        <v>81.050000000000011</v>
      </c>
      <c r="S191" s="972">
        <v>0</v>
      </c>
      <c r="T191" s="443" t="e">
        <f>#REF!+#REF!-M191</f>
        <v>#REF!</v>
      </c>
      <c r="U191" s="952" t="e">
        <f>ROUND((#REF!+#REF!+#REF!+#REF!+#REF!+#REF!+#REF!+#REF!+#REF!),2)</f>
        <v>#REF!</v>
      </c>
      <c r="Y191" s="953" t="e">
        <f>#REF!+#REF!-M191</f>
        <v>#REF!</v>
      </c>
      <c r="Z191" s="954" t="e">
        <f>#REF!</f>
        <v>#REF!</v>
      </c>
      <c r="AA191" s="953" t="e">
        <f>#REF!+#REF!</f>
        <v>#REF!</v>
      </c>
      <c r="AB191" s="954" t="e">
        <f>#REF!</f>
        <v>#REF!</v>
      </c>
      <c r="AC191" s="955">
        <v>0</v>
      </c>
      <c r="AD191" s="954" t="e">
        <f>#REF!</f>
        <v>#REF!</v>
      </c>
      <c r="AE191" s="956" t="e">
        <f>#REF!+#REF!</f>
        <v>#REF!</v>
      </c>
      <c r="AF191" s="956" t="e">
        <f>#REF!+#REF!</f>
        <v>#REF!</v>
      </c>
      <c r="AG191" s="956"/>
      <c r="AH191" s="954" t="e">
        <f>#REF!</f>
        <v>#REF!</v>
      </c>
      <c r="AI191" s="954" t="e">
        <f t="shared" si="31"/>
        <v>#REF!</v>
      </c>
      <c r="AJ191" s="954">
        <f t="shared" si="32"/>
        <v>81.050000000000011</v>
      </c>
      <c r="AK191" s="954">
        <f t="shared" si="33"/>
        <v>0</v>
      </c>
      <c r="AL191" s="625"/>
    </row>
    <row r="192" spans="1:38" s="620" customFormat="1" ht="20.100000000000001" customHeight="1" x14ac:dyDescent="0.2">
      <c r="A192" s="759">
        <f t="shared" si="34"/>
        <v>148</v>
      </c>
      <c r="B192" s="957">
        <f>+NOMINA!C191</f>
        <v>17094426</v>
      </c>
      <c r="C192" s="958" t="str">
        <f>+NOMINA!D191</f>
        <v>Manzanilla Araujo Richard Jose</v>
      </c>
      <c r="D192" s="955" t="s">
        <v>4622</v>
      </c>
      <c r="E192" s="959">
        <v>32351</v>
      </c>
      <c r="F192" s="955" t="s">
        <v>4620</v>
      </c>
      <c r="G192" s="971">
        <f>+NOMINA!H191</f>
        <v>43344</v>
      </c>
      <c r="H192" s="961">
        <f t="shared" si="35"/>
        <v>4</v>
      </c>
      <c r="I192" s="962">
        <v>0</v>
      </c>
      <c r="J192" s="968">
        <f>+NOMINA!BL191</f>
        <v>33.159999999999997</v>
      </c>
      <c r="K192" s="968">
        <f>+NOMINA!BM191</f>
        <v>4.1500000000000004</v>
      </c>
      <c r="L192" s="968">
        <f>+NOMINA!BN191</f>
        <v>7.19</v>
      </c>
      <c r="M192" s="963">
        <f t="shared" si="36"/>
        <v>44.5</v>
      </c>
      <c r="N192" s="968">
        <f>+NOMINA!BR191</f>
        <v>74.61</v>
      </c>
      <c r="O192" s="968">
        <f>+NOMINA!BS191</f>
        <v>16.579999999999998</v>
      </c>
      <c r="P192" s="968">
        <f>+NOMINA!BT191</f>
        <v>14.38</v>
      </c>
      <c r="Q192" s="963">
        <f t="shared" si="37"/>
        <v>105.57</v>
      </c>
      <c r="R192" s="963">
        <f t="shared" si="38"/>
        <v>150.07</v>
      </c>
      <c r="S192" s="972">
        <v>0</v>
      </c>
      <c r="T192" s="443" t="e">
        <f>#REF!+#REF!-M192</f>
        <v>#REF!</v>
      </c>
      <c r="U192" s="952" t="e">
        <f>ROUND((#REF!+#REF!+#REF!+#REF!+#REF!+#REF!+#REF!+#REF!+#REF!),2)</f>
        <v>#REF!</v>
      </c>
      <c r="Y192" s="953" t="e">
        <f>#REF!+#REF!-M192</f>
        <v>#REF!</v>
      </c>
      <c r="Z192" s="954" t="e">
        <f>#REF!</f>
        <v>#REF!</v>
      </c>
      <c r="AA192" s="953" t="e">
        <f>#REF!+#REF!</f>
        <v>#REF!</v>
      </c>
      <c r="AB192" s="954" t="e">
        <f>#REF!</f>
        <v>#REF!</v>
      </c>
      <c r="AC192" s="955">
        <v>0</v>
      </c>
      <c r="AD192" s="954" t="e">
        <f>#REF!</f>
        <v>#REF!</v>
      </c>
      <c r="AE192" s="956" t="e">
        <f>#REF!+#REF!</f>
        <v>#REF!</v>
      </c>
      <c r="AF192" s="956" t="e">
        <f>#REF!+#REF!</f>
        <v>#REF!</v>
      </c>
      <c r="AG192" s="956"/>
      <c r="AH192" s="954" t="e">
        <f>#REF!</f>
        <v>#REF!</v>
      </c>
      <c r="AI192" s="954" t="e">
        <f t="shared" si="31"/>
        <v>#REF!</v>
      </c>
      <c r="AJ192" s="954">
        <f t="shared" si="32"/>
        <v>150.07</v>
      </c>
      <c r="AK192" s="954">
        <f t="shared" si="33"/>
        <v>0</v>
      </c>
      <c r="AL192" s="625"/>
    </row>
    <row r="193" spans="1:38" s="620" customFormat="1" ht="20.100000000000001" customHeight="1" x14ac:dyDescent="0.2">
      <c r="A193" s="759">
        <f t="shared" si="34"/>
        <v>149</v>
      </c>
      <c r="B193" s="957">
        <f>+NOMINA!C192</f>
        <v>17130893</v>
      </c>
      <c r="C193" s="958" t="str">
        <f>+NOMINA!D192</f>
        <v>Leon Valero Ceila Maria</v>
      </c>
      <c r="D193" s="955" t="s">
        <v>4622</v>
      </c>
      <c r="E193" s="959">
        <v>32351</v>
      </c>
      <c r="F193" s="955" t="s">
        <v>4620</v>
      </c>
      <c r="G193" s="971">
        <f>+NOMINA!H192</f>
        <v>39602</v>
      </c>
      <c r="H193" s="961">
        <f t="shared" si="35"/>
        <v>14</v>
      </c>
      <c r="I193" s="962">
        <v>0</v>
      </c>
      <c r="J193" s="968">
        <f>+NOMINA!BL192</f>
        <v>28.87</v>
      </c>
      <c r="K193" s="968">
        <f>+NOMINA!BM192</f>
        <v>3.61</v>
      </c>
      <c r="L193" s="968">
        <f>+NOMINA!BN192</f>
        <v>6.26</v>
      </c>
      <c r="M193" s="963">
        <f t="shared" si="36"/>
        <v>38.74</v>
      </c>
      <c r="N193" s="968">
        <f>+NOMINA!BR192</f>
        <v>64.959999999999994</v>
      </c>
      <c r="O193" s="968">
        <f>+NOMINA!BS192</f>
        <v>14.44</v>
      </c>
      <c r="P193" s="968">
        <f>+NOMINA!BT192</f>
        <v>12.52</v>
      </c>
      <c r="Q193" s="963">
        <f t="shared" si="37"/>
        <v>91.92</v>
      </c>
      <c r="R193" s="963">
        <f t="shared" si="38"/>
        <v>130.66</v>
      </c>
      <c r="S193" s="972">
        <v>0</v>
      </c>
      <c r="T193" s="443" t="e">
        <f>#REF!+#REF!-M193</f>
        <v>#REF!</v>
      </c>
      <c r="U193" s="952" t="e">
        <f>ROUND((#REF!+#REF!+#REF!+#REF!+#REF!+#REF!+#REF!+#REF!+#REF!),2)</f>
        <v>#REF!</v>
      </c>
      <c r="Y193" s="953" t="e">
        <f>#REF!+#REF!-M193</f>
        <v>#REF!</v>
      </c>
      <c r="Z193" s="954" t="e">
        <f>#REF!</f>
        <v>#REF!</v>
      </c>
      <c r="AA193" s="953" t="e">
        <f>#REF!+#REF!</f>
        <v>#REF!</v>
      </c>
      <c r="AB193" s="954" t="e">
        <f>#REF!</f>
        <v>#REF!</v>
      </c>
      <c r="AC193" s="955">
        <v>0</v>
      </c>
      <c r="AD193" s="954" t="e">
        <f>#REF!</f>
        <v>#REF!</v>
      </c>
      <c r="AE193" s="956" t="e">
        <f>#REF!+#REF!</f>
        <v>#REF!</v>
      </c>
      <c r="AF193" s="956" t="e">
        <f>#REF!+#REF!</f>
        <v>#REF!</v>
      </c>
      <c r="AG193" s="956"/>
      <c r="AH193" s="954" t="e">
        <f>#REF!</f>
        <v>#REF!</v>
      </c>
      <c r="AI193" s="954" t="e">
        <f t="shared" si="31"/>
        <v>#REF!</v>
      </c>
      <c r="AJ193" s="954">
        <f t="shared" si="32"/>
        <v>130.66</v>
      </c>
      <c r="AK193" s="954">
        <f t="shared" si="33"/>
        <v>0</v>
      </c>
      <c r="AL193" s="625"/>
    </row>
    <row r="194" spans="1:38" s="620" customFormat="1" ht="20.100000000000001" customHeight="1" x14ac:dyDescent="0.2">
      <c r="A194" s="759">
        <f t="shared" si="34"/>
        <v>150</v>
      </c>
      <c r="B194" s="957">
        <f>+NOMINA!C193</f>
        <v>17265578</v>
      </c>
      <c r="C194" s="958" t="str">
        <f>+NOMINA!D193</f>
        <v>Briceño Aguilar Rebeca Andreina</v>
      </c>
      <c r="D194" s="955" t="s">
        <v>4622</v>
      </c>
      <c r="E194" s="959">
        <v>32351</v>
      </c>
      <c r="F194" s="955" t="s">
        <v>4620</v>
      </c>
      <c r="G194" s="971">
        <f>+NOMINA!H193</f>
        <v>45047</v>
      </c>
      <c r="H194" s="961">
        <f t="shared" si="35"/>
        <v>0</v>
      </c>
      <c r="I194" s="962">
        <v>0</v>
      </c>
      <c r="J194" s="968">
        <f>+NOMINA!BL193</f>
        <v>20.51</v>
      </c>
      <c r="K194" s="968">
        <f>+NOMINA!BM193</f>
        <v>2.56</v>
      </c>
      <c r="L194" s="968">
        <f>+NOMINA!BN193</f>
        <v>4.4400000000000004</v>
      </c>
      <c r="M194" s="963">
        <f t="shared" si="36"/>
        <v>27.51</v>
      </c>
      <c r="N194" s="968">
        <f>+NOMINA!BR193</f>
        <v>46.14</v>
      </c>
      <c r="O194" s="968">
        <f>+NOMINA!BS193</f>
        <v>10.25</v>
      </c>
      <c r="P194" s="968">
        <f>+NOMINA!BT193</f>
        <v>8.8800000000000008</v>
      </c>
      <c r="Q194" s="963">
        <f t="shared" si="37"/>
        <v>65.27</v>
      </c>
      <c r="R194" s="963">
        <f t="shared" si="38"/>
        <v>92.78</v>
      </c>
      <c r="S194" s="972">
        <v>0</v>
      </c>
      <c r="T194" s="443" t="e">
        <f>#REF!+#REF!-M194</f>
        <v>#REF!</v>
      </c>
      <c r="U194" s="952" t="e">
        <f>ROUND((#REF!+#REF!+#REF!+#REF!+#REF!+#REF!+#REF!+#REF!+#REF!),2)</f>
        <v>#REF!</v>
      </c>
      <c r="Y194" s="953" t="e">
        <f>#REF!+#REF!-M194</f>
        <v>#REF!</v>
      </c>
      <c r="Z194" s="954" t="e">
        <f>#REF!</f>
        <v>#REF!</v>
      </c>
      <c r="AA194" s="953" t="e">
        <f>#REF!+#REF!</f>
        <v>#REF!</v>
      </c>
      <c r="AB194" s="954" t="e">
        <f>#REF!</f>
        <v>#REF!</v>
      </c>
      <c r="AC194" s="955">
        <v>0</v>
      </c>
      <c r="AD194" s="954" t="e">
        <f>#REF!</f>
        <v>#REF!</v>
      </c>
      <c r="AE194" s="956" t="e">
        <f>#REF!+#REF!</f>
        <v>#REF!</v>
      </c>
      <c r="AF194" s="956" t="e">
        <f>#REF!+#REF!</f>
        <v>#REF!</v>
      </c>
      <c r="AG194" s="956"/>
      <c r="AH194" s="954" t="e">
        <f>#REF!</f>
        <v>#REF!</v>
      </c>
      <c r="AI194" s="954" t="e">
        <f t="shared" si="31"/>
        <v>#REF!</v>
      </c>
      <c r="AJ194" s="954">
        <f t="shared" si="32"/>
        <v>92.78</v>
      </c>
      <c r="AK194" s="954">
        <f t="shared" si="33"/>
        <v>0</v>
      </c>
      <c r="AL194" s="625"/>
    </row>
    <row r="195" spans="1:38" s="620" customFormat="1" ht="20.100000000000001" customHeight="1" x14ac:dyDescent="0.2">
      <c r="A195" s="759">
        <f t="shared" si="34"/>
        <v>151</v>
      </c>
      <c r="B195" s="957">
        <f>+NOMINA!C194</f>
        <v>17265648</v>
      </c>
      <c r="C195" s="958" t="str">
        <f>+NOMINA!D194</f>
        <v>Carrizo Mary Alejandra</v>
      </c>
      <c r="D195" s="955" t="s">
        <v>4622</v>
      </c>
      <c r="E195" s="959">
        <v>32351</v>
      </c>
      <c r="F195" s="955" t="s">
        <v>4620</v>
      </c>
      <c r="G195" s="971">
        <f>+NOMINA!H194</f>
        <v>43709</v>
      </c>
      <c r="H195" s="961">
        <f t="shared" si="35"/>
        <v>3</v>
      </c>
      <c r="I195" s="962">
        <v>0</v>
      </c>
      <c r="J195" s="968">
        <f>+NOMINA!BL194</f>
        <v>20.13</v>
      </c>
      <c r="K195" s="968">
        <f>+NOMINA!BM194</f>
        <v>2.52</v>
      </c>
      <c r="L195" s="968">
        <f>+NOMINA!BN194</f>
        <v>4.3600000000000003</v>
      </c>
      <c r="M195" s="963">
        <f t="shared" si="36"/>
        <v>27.01</v>
      </c>
      <c r="N195" s="968">
        <f>+NOMINA!BR194</f>
        <v>45.3</v>
      </c>
      <c r="O195" s="968">
        <f>+NOMINA!BS194</f>
        <v>10.07</v>
      </c>
      <c r="P195" s="968">
        <f>+NOMINA!BT194</f>
        <v>8.7200000000000006</v>
      </c>
      <c r="Q195" s="963">
        <f t="shared" si="37"/>
        <v>64.09</v>
      </c>
      <c r="R195" s="963">
        <f t="shared" si="38"/>
        <v>91.100000000000009</v>
      </c>
      <c r="S195" s="972">
        <v>0</v>
      </c>
      <c r="T195" s="443" t="e">
        <f>#REF!+#REF!-M195</f>
        <v>#REF!</v>
      </c>
      <c r="U195" s="952" t="e">
        <f>ROUND((#REF!+#REF!+#REF!+#REF!+#REF!+#REF!+#REF!+#REF!+#REF!),2)</f>
        <v>#REF!</v>
      </c>
      <c r="Y195" s="953" t="e">
        <f>#REF!+#REF!-M195</f>
        <v>#REF!</v>
      </c>
      <c r="Z195" s="954" t="e">
        <f>#REF!</f>
        <v>#REF!</v>
      </c>
      <c r="AA195" s="953" t="e">
        <f>#REF!+#REF!</f>
        <v>#REF!</v>
      </c>
      <c r="AB195" s="954" t="e">
        <f>#REF!</f>
        <v>#REF!</v>
      </c>
      <c r="AC195" s="955">
        <v>0</v>
      </c>
      <c r="AD195" s="954" t="e">
        <f>#REF!</f>
        <v>#REF!</v>
      </c>
      <c r="AE195" s="956" t="e">
        <f>#REF!+#REF!</f>
        <v>#REF!</v>
      </c>
      <c r="AF195" s="956" t="e">
        <f>#REF!+#REF!</f>
        <v>#REF!</v>
      </c>
      <c r="AG195" s="956"/>
      <c r="AH195" s="954" t="e">
        <f>#REF!</f>
        <v>#REF!</v>
      </c>
      <c r="AI195" s="954" t="e">
        <f t="shared" si="31"/>
        <v>#REF!</v>
      </c>
      <c r="AJ195" s="954">
        <f t="shared" si="32"/>
        <v>91.100000000000009</v>
      </c>
      <c r="AK195" s="954">
        <f t="shared" si="33"/>
        <v>0</v>
      </c>
      <c r="AL195" s="625"/>
    </row>
    <row r="196" spans="1:38" s="620" customFormat="1" ht="20.100000000000001" customHeight="1" x14ac:dyDescent="0.2">
      <c r="A196" s="759">
        <f t="shared" si="34"/>
        <v>152</v>
      </c>
      <c r="B196" s="957">
        <f>+NOMINA!C195</f>
        <v>17267324</v>
      </c>
      <c r="C196" s="958" t="str">
        <f>+NOMINA!D195</f>
        <v>Urdaneta Soto Katherine Esther</v>
      </c>
      <c r="D196" s="955" t="s">
        <v>4622</v>
      </c>
      <c r="E196" s="959">
        <v>32351</v>
      </c>
      <c r="F196" s="955" t="s">
        <v>4620</v>
      </c>
      <c r="G196" s="971">
        <f>+NOMINA!H195</f>
        <v>43785</v>
      </c>
      <c r="H196" s="961">
        <f t="shared" si="35"/>
        <v>3</v>
      </c>
      <c r="I196" s="962">
        <v>0</v>
      </c>
      <c r="J196" s="968">
        <f>+NOMINA!BL195</f>
        <v>18</v>
      </c>
      <c r="K196" s="968">
        <f>+NOMINA!BM195</f>
        <v>2.25</v>
      </c>
      <c r="L196" s="968">
        <f>+NOMINA!BN195</f>
        <v>3.9</v>
      </c>
      <c r="M196" s="963">
        <f t="shared" si="36"/>
        <v>24.15</v>
      </c>
      <c r="N196" s="968">
        <f>+NOMINA!BR195</f>
        <v>40.5</v>
      </c>
      <c r="O196" s="968">
        <f>+NOMINA!BS195</f>
        <v>9</v>
      </c>
      <c r="P196" s="968">
        <f>+NOMINA!BT195</f>
        <v>7.8</v>
      </c>
      <c r="Q196" s="963">
        <f t="shared" si="37"/>
        <v>57.3</v>
      </c>
      <c r="R196" s="963">
        <f t="shared" si="38"/>
        <v>81.449999999999989</v>
      </c>
      <c r="S196" s="972">
        <v>0</v>
      </c>
      <c r="T196" s="443" t="e">
        <f>#REF!+#REF!-M196</f>
        <v>#REF!</v>
      </c>
      <c r="U196" s="952" t="e">
        <f>ROUND((#REF!+#REF!+#REF!+#REF!+#REF!+#REF!+#REF!+#REF!+#REF!),2)</f>
        <v>#REF!</v>
      </c>
      <c r="Y196" s="953" t="e">
        <f>#REF!+#REF!-M196</f>
        <v>#REF!</v>
      </c>
      <c r="Z196" s="954" t="e">
        <f>#REF!</f>
        <v>#REF!</v>
      </c>
      <c r="AA196" s="953" t="e">
        <f>#REF!+#REF!</f>
        <v>#REF!</v>
      </c>
      <c r="AB196" s="954" t="e">
        <f>#REF!</f>
        <v>#REF!</v>
      </c>
      <c r="AC196" s="955">
        <v>0</v>
      </c>
      <c r="AD196" s="954" t="e">
        <f>#REF!</f>
        <v>#REF!</v>
      </c>
      <c r="AE196" s="956" t="e">
        <f>#REF!+#REF!</f>
        <v>#REF!</v>
      </c>
      <c r="AF196" s="956" t="e">
        <f>#REF!+#REF!</f>
        <v>#REF!</v>
      </c>
      <c r="AG196" s="956"/>
      <c r="AH196" s="954" t="e">
        <f>#REF!</f>
        <v>#REF!</v>
      </c>
      <c r="AI196" s="954" t="e">
        <f t="shared" si="31"/>
        <v>#REF!</v>
      </c>
      <c r="AJ196" s="954">
        <f t="shared" si="32"/>
        <v>81.449999999999989</v>
      </c>
      <c r="AK196" s="954">
        <f t="shared" si="33"/>
        <v>0</v>
      </c>
      <c r="AL196" s="625"/>
    </row>
    <row r="197" spans="1:38" s="620" customFormat="1" ht="20.100000000000001" customHeight="1" x14ac:dyDescent="0.2">
      <c r="A197" s="759">
        <f t="shared" si="34"/>
        <v>153</v>
      </c>
      <c r="B197" s="957">
        <f>+NOMINA!C196</f>
        <v>17391316</v>
      </c>
      <c r="C197" s="958" t="str">
        <f>+NOMINA!D196</f>
        <v>Torres Aranguren Lilibeth del Valle</v>
      </c>
      <c r="D197" s="955" t="s">
        <v>4622</v>
      </c>
      <c r="E197" s="959">
        <v>32351</v>
      </c>
      <c r="F197" s="955" t="s">
        <v>4620</v>
      </c>
      <c r="G197" s="971">
        <f>+NOMINA!H196</f>
        <v>44713</v>
      </c>
      <c r="H197" s="961">
        <f t="shared" si="35"/>
        <v>0</v>
      </c>
      <c r="I197" s="962">
        <v>0</v>
      </c>
      <c r="J197" s="968">
        <f>+NOMINA!BL196</f>
        <v>26.5</v>
      </c>
      <c r="K197" s="968">
        <f>+NOMINA!BM196</f>
        <v>3.31</v>
      </c>
      <c r="L197" s="968">
        <f>+NOMINA!BN196</f>
        <v>5.74</v>
      </c>
      <c r="M197" s="963">
        <f t="shared" si="36"/>
        <v>35.549999999999997</v>
      </c>
      <c r="N197" s="968">
        <f>+NOMINA!BR196</f>
        <v>59.63</v>
      </c>
      <c r="O197" s="968">
        <f>+NOMINA!BS196</f>
        <v>13.25</v>
      </c>
      <c r="P197" s="968">
        <f>+NOMINA!BT196</f>
        <v>11.48</v>
      </c>
      <c r="Q197" s="963">
        <f t="shared" si="37"/>
        <v>84.36</v>
      </c>
      <c r="R197" s="963">
        <f t="shared" si="38"/>
        <v>119.91</v>
      </c>
      <c r="S197" s="972">
        <v>0</v>
      </c>
      <c r="T197" s="443" t="e">
        <f>#REF!+#REF!-M197</f>
        <v>#REF!</v>
      </c>
      <c r="U197" s="952" t="e">
        <f>ROUND((#REF!+#REF!+#REF!+#REF!+#REF!+#REF!+#REF!+#REF!+#REF!),2)</f>
        <v>#REF!</v>
      </c>
      <c r="Y197" s="953" t="e">
        <f>#REF!+#REF!-M197</f>
        <v>#REF!</v>
      </c>
      <c r="Z197" s="954" t="e">
        <f>#REF!</f>
        <v>#REF!</v>
      </c>
      <c r="AA197" s="953" t="e">
        <f>#REF!+#REF!</f>
        <v>#REF!</v>
      </c>
      <c r="AB197" s="954" t="e">
        <f>#REF!</f>
        <v>#REF!</v>
      </c>
      <c r="AC197" s="955">
        <v>0</v>
      </c>
      <c r="AD197" s="954" t="e">
        <f>#REF!</f>
        <v>#REF!</v>
      </c>
      <c r="AE197" s="956" t="e">
        <f>#REF!+#REF!</f>
        <v>#REF!</v>
      </c>
      <c r="AF197" s="956" t="e">
        <f>#REF!+#REF!</f>
        <v>#REF!</v>
      </c>
      <c r="AG197" s="956"/>
      <c r="AH197" s="954" t="e">
        <f>#REF!</f>
        <v>#REF!</v>
      </c>
      <c r="AI197" s="954" t="e">
        <f t="shared" si="31"/>
        <v>#REF!</v>
      </c>
      <c r="AJ197" s="954">
        <f t="shared" si="32"/>
        <v>119.91</v>
      </c>
      <c r="AK197" s="954">
        <f t="shared" si="33"/>
        <v>0</v>
      </c>
      <c r="AL197" s="625"/>
    </row>
    <row r="198" spans="1:38" s="620" customFormat="1" ht="20.100000000000001" customHeight="1" x14ac:dyDescent="0.2">
      <c r="A198" s="759">
        <f t="shared" si="34"/>
        <v>154</v>
      </c>
      <c r="B198" s="957">
        <f>+NOMINA!C197</f>
        <v>17391892</v>
      </c>
      <c r="C198" s="958" t="str">
        <f>+NOMINA!D197</f>
        <v>Godoy Padilla Darcy Yaneth</v>
      </c>
      <c r="D198" s="955" t="s">
        <v>4622</v>
      </c>
      <c r="E198" s="959">
        <v>32351</v>
      </c>
      <c r="F198" s="955" t="s">
        <v>4620</v>
      </c>
      <c r="G198" s="971">
        <f>+NOMINA!H197</f>
        <v>45323</v>
      </c>
      <c r="H198" s="961">
        <f t="shared" si="35"/>
        <v>0</v>
      </c>
      <c r="I198" s="962">
        <v>0</v>
      </c>
      <c r="J198" s="968">
        <f>+NOMINA!BL197</f>
        <v>25.4</v>
      </c>
      <c r="K198" s="968">
        <f>+NOMINA!BM197</f>
        <v>3.18</v>
      </c>
      <c r="L198" s="968">
        <f>+NOMINA!BN197</f>
        <v>5.5</v>
      </c>
      <c r="M198" s="963">
        <f t="shared" si="36"/>
        <v>34.08</v>
      </c>
      <c r="N198" s="968">
        <f>+NOMINA!BR197</f>
        <v>57.16</v>
      </c>
      <c r="O198" s="968">
        <f>+NOMINA!BS197</f>
        <v>12.7</v>
      </c>
      <c r="P198" s="968">
        <f>+NOMINA!BT197</f>
        <v>11</v>
      </c>
      <c r="Q198" s="963">
        <f t="shared" si="37"/>
        <v>80.86</v>
      </c>
      <c r="R198" s="963">
        <f t="shared" si="38"/>
        <v>114.94</v>
      </c>
      <c r="S198" s="972">
        <v>0</v>
      </c>
      <c r="T198" s="443" t="e">
        <f>#REF!+#REF!-M198</f>
        <v>#REF!</v>
      </c>
      <c r="U198" s="952" t="e">
        <f>ROUND((#REF!+#REF!+#REF!+#REF!+#REF!+#REF!+#REF!+#REF!+#REF!),2)</f>
        <v>#REF!</v>
      </c>
      <c r="Y198" s="953" t="e">
        <f>#REF!+#REF!-M198</f>
        <v>#REF!</v>
      </c>
      <c r="Z198" s="954" t="e">
        <f>#REF!</f>
        <v>#REF!</v>
      </c>
      <c r="AA198" s="953" t="e">
        <f>#REF!+#REF!</f>
        <v>#REF!</v>
      </c>
      <c r="AB198" s="954" t="e">
        <f>#REF!</f>
        <v>#REF!</v>
      </c>
      <c r="AC198" s="955">
        <v>0</v>
      </c>
      <c r="AD198" s="954" t="e">
        <f>#REF!</f>
        <v>#REF!</v>
      </c>
      <c r="AE198" s="956" t="e">
        <f>#REF!+#REF!</f>
        <v>#REF!</v>
      </c>
      <c r="AF198" s="956" t="e">
        <f>#REF!+#REF!</f>
        <v>#REF!</v>
      </c>
      <c r="AG198" s="956"/>
      <c r="AH198" s="954" t="e">
        <f>#REF!</f>
        <v>#REF!</v>
      </c>
      <c r="AI198" s="954" t="e">
        <f t="shared" si="31"/>
        <v>#REF!</v>
      </c>
      <c r="AJ198" s="954">
        <f t="shared" si="32"/>
        <v>114.94</v>
      </c>
      <c r="AK198" s="954">
        <f t="shared" si="33"/>
        <v>0</v>
      </c>
      <c r="AL198" s="625"/>
    </row>
    <row r="199" spans="1:38" s="620" customFormat="1" ht="20.100000000000001" customHeight="1" x14ac:dyDescent="0.2">
      <c r="A199" s="759">
        <f t="shared" si="34"/>
        <v>155</v>
      </c>
      <c r="B199" s="957">
        <f>+NOMINA!C198</f>
        <v>17392309</v>
      </c>
      <c r="C199" s="958" t="str">
        <f>+NOMINA!D198</f>
        <v>Torres Briceño Yarelis del Carmen</v>
      </c>
      <c r="D199" s="955" t="s">
        <v>4622</v>
      </c>
      <c r="E199" s="959">
        <v>32351</v>
      </c>
      <c r="F199" s="955" t="s">
        <v>4620</v>
      </c>
      <c r="G199" s="971">
        <f>+NOMINA!H198</f>
        <v>43116</v>
      </c>
      <c r="H199" s="961">
        <f t="shared" si="35"/>
        <v>4</v>
      </c>
      <c r="I199" s="962">
        <v>0</v>
      </c>
      <c r="J199" s="968">
        <f>+NOMINA!BL198</f>
        <v>25.51</v>
      </c>
      <c r="K199" s="968">
        <f>+NOMINA!BM198</f>
        <v>3.19</v>
      </c>
      <c r="L199" s="968">
        <f>+NOMINA!BN198</f>
        <v>5.53</v>
      </c>
      <c r="M199" s="963">
        <f t="shared" si="36"/>
        <v>34.229999999999997</v>
      </c>
      <c r="N199" s="968">
        <f>+NOMINA!BR198</f>
        <v>57.39</v>
      </c>
      <c r="O199" s="968">
        <f>+NOMINA!BS198</f>
        <v>12.75</v>
      </c>
      <c r="P199" s="968">
        <f>+NOMINA!BT198</f>
        <v>11.06</v>
      </c>
      <c r="Q199" s="963">
        <f t="shared" si="37"/>
        <v>81.2</v>
      </c>
      <c r="R199" s="963">
        <f t="shared" si="38"/>
        <v>115.43</v>
      </c>
      <c r="S199" s="972">
        <v>0</v>
      </c>
      <c r="T199" s="443" t="e">
        <f>#REF!+#REF!-M199</f>
        <v>#REF!</v>
      </c>
      <c r="U199" s="952" t="e">
        <f>ROUND((#REF!+#REF!+#REF!+#REF!+#REF!+#REF!+#REF!+#REF!+#REF!),2)</f>
        <v>#REF!</v>
      </c>
      <c r="Y199" s="953" t="e">
        <f>#REF!+#REF!-M199</f>
        <v>#REF!</v>
      </c>
      <c r="Z199" s="954" t="e">
        <f>#REF!</f>
        <v>#REF!</v>
      </c>
      <c r="AA199" s="953" t="e">
        <f>#REF!+#REF!</f>
        <v>#REF!</v>
      </c>
      <c r="AB199" s="954" t="e">
        <f>#REF!</f>
        <v>#REF!</v>
      </c>
      <c r="AC199" s="955">
        <v>0</v>
      </c>
      <c r="AD199" s="954" t="e">
        <f>#REF!</f>
        <v>#REF!</v>
      </c>
      <c r="AE199" s="956" t="e">
        <f>#REF!+#REF!</f>
        <v>#REF!</v>
      </c>
      <c r="AF199" s="956" t="e">
        <f>#REF!+#REF!</f>
        <v>#REF!</v>
      </c>
      <c r="AG199" s="956"/>
      <c r="AH199" s="954" t="e">
        <f>#REF!</f>
        <v>#REF!</v>
      </c>
      <c r="AI199" s="954" t="e">
        <f t="shared" si="31"/>
        <v>#REF!</v>
      </c>
      <c r="AJ199" s="954">
        <f t="shared" si="32"/>
        <v>115.43</v>
      </c>
      <c r="AK199" s="954">
        <f t="shared" si="33"/>
        <v>0</v>
      </c>
      <c r="AL199" s="625"/>
    </row>
    <row r="200" spans="1:38" s="620" customFormat="1" ht="20.100000000000001" customHeight="1" x14ac:dyDescent="0.2">
      <c r="A200" s="759">
        <f t="shared" si="34"/>
        <v>156</v>
      </c>
      <c r="B200" s="957">
        <f>+NOMINA!C199</f>
        <v>17393693</v>
      </c>
      <c r="C200" s="958" t="str">
        <f>+NOMINA!D199</f>
        <v>Nuñez Maria Gusmara</v>
      </c>
      <c r="D200" s="955" t="s">
        <v>4622</v>
      </c>
      <c r="E200" s="959">
        <v>32351</v>
      </c>
      <c r="F200" s="955" t="s">
        <v>4620</v>
      </c>
      <c r="G200" s="971">
        <f>+NOMINA!H199</f>
        <v>44516</v>
      </c>
      <c r="H200" s="961">
        <f t="shared" si="35"/>
        <v>1</v>
      </c>
      <c r="I200" s="962">
        <v>0</v>
      </c>
      <c r="J200" s="968">
        <f>+NOMINA!BL199</f>
        <v>14.28</v>
      </c>
      <c r="K200" s="968">
        <f>+NOMINA!BM199</f>
        <v>1.79</v>
      </c>
      <c r="L200" s="968">
        <f>+NOMINA!BN199</f>
        <v>3.1</v>
      </c>
      <c r="M200" s="963">
        <f t="shared" si="36"/>
        <v>19.170000000000002</v>
      </c>
      <c r="N200" s="968">
        <f>+NOMINA!BR199</f>
        <v>32.14</v>
      </c>
      <c r="O200" s="968">
        <f>+NOMINA!BS199</f>
        <v>7.14</v>
      </c>
      <c r="P200" s="968">
        <f>+NOMINA!BT199</f>
        <v>6.2</v>
      </c>
      <c r="Q200" s="963">
        <f t="shared" si="37"/>
        <v>45.48</v>
      </c>
      <c r="R200" s="963">
        <f t="shared" si="38"/>
        <v>64.650000000000006</v>
      </c>
      <c r="S200" s="972">
        <v>0</v>
      </c>
      <c r="T200" s="443" t="e">
        <f>#REF!+#REF!-M200</f>
        <v>#REF!</v>
      </c>
      <c r="U200" s="952" t="e">
        <f>ROUND((#REF!+#REF!+#REF!+#REF!+#REF!+#REF!+#REF!+#REF!+#REF!),2)</f>
        <v>#REF!</v>
      </c>
      <c r="Y200" s="953" t="e">
        <f>#REF!+#REF!-M200</f>
        <v>#REF!</v>
      </c>
      <c r="Z200" s="954" t="e">
        <f>#REF!</f>
        <v>#REF!</v>
      </c>
      <c r="AA200" s="953" t="e">
        <f>#REF!+#REF!</f>
        <v>#REF!</v>
      </c>
      <c r="AB200" s="954" t="e">
        <f>#REF!</f>
        <v>#REF!</v>
      </c>
      <c r="AC200" s="955">
        <v>0</v>
      </c>
      <c r="AD200" s="954" t="e">
        <f>#REF!</f>
        <v>#REF!</v>
      </c>
      <c r="AE200" s="956" t="e">
        <f>#REF!+#REF!</f>
        <v>#REF!</v>
      </c>
      <c r="AF200" s="956" t="e">
        <f>#REF!+#REF!</f>
        <v>#REF!</v>
      </c>
      <c r="AG200" s="956"/>
      <c r="AH200" s="954" t="e">
        <f>#REF!</f>
        <v>#REF!</v>
      </c>
      <c r="AI200" s="954" t="e">
        <f t="shared" si="31"/>
        <v>#REF!</v>
      </c>
      <c r="AJ200" s="954">
        <f t="shared" si="32"/>
        <v>64.650000000000006</v>
      </c>
      <c r="AK200" s="954">
        <f t="shared" si="33"/>
        <v>0</v>
      </c>
      <c r="AL200" s="625"/>
    </row>
    <row r="201" spans="1:38" s="620" customFormat="1" ht="20.100000000000001" customHeight="1" x14ac:dyDescent="0.2">
      <c r="A201" s="759">
        <f t="shared" si="34"/>
        <v>157</v>
      </c>
      <c r="B201" s="957">
        <f>+NOMINA!C200</f>
        <v>17596844</v>
      </c>
      <c r="C201" s="958" t="str">
        <f>+NOMINA!D200</f>
        <v>Colmenares Jorge Luis</v>
      </c>
      <c r="D201" s="955" t="s">
        <v>4622</v>
      </c>
      <c r="E201" s="959">
        <v>32351</v>
      </c>
      <c r="F201" s="955" t="s">
        <v>4620</v>
      </c>
      <c r="G201" s="971">
        <f>+NOMINA!H200</f>
        <v>45474</v>
      </c>
      <c r="H201" s="961">
        <f t="shared" si="35"/>
        <v>0</v>
      </c>
      <c r="I201" s="962">
        <v>0</v>
      </c>
      <c r="J201" s="968">
        <f>+NOMINA!BL200</f>
        <v>25.12</v>
      </c>
      <c r="K201" s="968">
        <f>+NOMINA!BM200</f>
        <v>3.14</v>
      </c>
      <c r="L201" s="968">
        <f>+NOMINA!BN200</f>
        <v>5.44</v>
      </c>
      <c r="M201" s="963">
        <f t="shared" si="36"/>
        <v>33.700000000000003</v>
      </c>
      <c r="N201" s="968">
        <f>+NOMINA!BR200</f>
        <v>56.52</v>
      </c>
      <c r="O201" s="968">
        <f>+NOMINA!BS200</f>
        <v>12.56</v>
      </c>
      <c r="P201" s="968">
        <f>+NOMINA!BT200</f>
        <v>10.88</v>
      </c>
      <c r="Q201" s="963">
        <f t="shared" si="37"/>
        <v>79.959999999999994</v>
      </c>
      <c r="R201" s="963">
        <f t="shared" si="38"/>
        <v>113.66</v>
      </c>
      <c r="S201" s="972">
        <v>0</v>
      </c>
      <c r="T201" s="443" t="e">
        <f>#REF!+#REF!-M201</f>
        <v>#REF!</v>
      </c>
      <c r="U201" s="952" t="e">
        <f>ROUND((#REF!+#REF!+#REF!+#REF!+#REF!+#REF!+#REF!+#REF!+#REF!),2)</f>
        <v>#REF!</v>
      </c>
      <c r="Y201" s="953" t="e">
        <f>#REF!+#REF!-M201</f>
        <v>#REF!</v>
      </c>
      <c r="Z201" s="954" t="e">
        <f>#REF!</f>
        <v>#REF!</v>
      </c>
      <c r="AA201" s="953" t="e">
        <f>#REF!+#REF!</f>
        <v>#REF!</v>
      </c>
      <c r="AB201" s="954" t="e">
        <f>#REF!</f>
        <v>#REF!</v>
      </c>
      <c r="AC201" s="955">
        <v>0</v>
      </c>
      <c r="AD201" s="954" t="e">
        <f>#REF!</f>
        <v>#REF!</v>
      </c>
      <c r="AE201" s="956" t="e">
        <f>#REF!+#REF!</f>
        <v>#REF!</v>
      </c>
      <c r="AF201" s="956" t="e">
        <f>#REF!+#REF!</f>
        <v>#REF!</v>
      </c>
      <c r="AG201" s="956"/>
      <c r="AH201" s="954" t="e">
        <f>#REF!</f>
        <v>#REF!</v>
      </c>
      <c r="AI201" s="954" t="e">
        <f t="shared" si="31"/>
        <v>#REF!</v>
      </c>
      <c r="AJ201" s="954">
        <f t="shared" si="32"/>
        <v>113.66</v>
      </c>
      <c r="AK201" s="954">
        <f t="shared" si="33"/>
        <v>0</v>
      </c>
      <c r="AL201" s="625"/>
    </row>
    <row r="202" spans="1:38" s="620" customFormat="1" ht="20.100000000000001" customHeight="1" x14ac:dyDescent="0.2">
      <c r="A202" s="759">
        <f t="shared" si="34"/>
        <v>158</v>
      </c>
      <c r="B202" s="957">
        <f>+NOMINA!C201</f>
        <v>17597257</v>
      </c>
      <c r="C202" s="958" t="str">
        <f>+NOMINA!D201</f>
        <v>Linares Barreto Jorge Luis</v>
      </c>
      <c r="D202" s="955" t="s">
        <v>4622</v>
      </c>
      <c r="E202" s="959">
        <v>32351</v>
      </c>
      <c r="F202" s="955" t="s">
        <v>4620</v>
      </c>
      <c r="G202" s="971">
        <f>+NOMINA!H201</f>
        <v>45536</v>
      </c>
      <c r="H202" s="961">
        <f t="shared" si="35"/>
        <v>0</v>
      </c>
      <c r="I202" s="962">
        <v>0</v>
      </c>
      <c r="J202" s="968">
        <f>+NOMINA!BL201</f>
        <v>24.22</v>
      </c>
      <c r="K202" s="968">
        <f>+NOMINA!BM201</f>
        <v>3.03</v>
      </c>
      <c r="L202" s="968">
        <f>+NOMINA!BN201</f>
        <v>5.25</v>
      </c>
      <c r="M202" s="963">
        <f t="shared" si="36"/>
        <v>32.5</v>
      </c>
      <c r="N202" s="968">
        <f>+NOMINA!BR201</f>
        <v>54.5</v>
      </c>
      <c r="O202" s="968">
        <f>+NOMINA!BS201</f>
        <v>12.11</v>
      </c>
      <c r="P202" s="968">
        <f>+NOMINA!BT201</f>
        <v>10.5</v>
      </c>
      <c r="Q202" s="963">
        <f t="shared" si="37"/>
        <v>77.11</v>
      </c>
      <c r="R202" s="963">
        <f t="shared" si="38"/>
        <v>109.61</v>
      </c>
      <c r="S202" s="972">
        <v>0</v>
      </c>
      <c r="T202" s="443" t="e">
        <f>#REF!+#REF!-M202</f>
        <v>#REF!</v>
      </c>
      <c r="U202" s="952" t="e">
        <f>ROUND((#REF!+#REF!+#REF!+#REF!+#REF!+#REF!+#REF!+#REF!+#REF!),2)</f>
        <v>#REF!</v>
      </c>
      <c r="Y202" s="953" t="e">
        <f>#REF!+#REF!-M202</f>
        <v>#REF!</v>
      </c>
      <c r="Z202" s="954" t="e">
        <f>#REF!</f>
        <v>#REF!</v>
      </c>
      <c r="AA202" s="953" t="e">
        <f>#REF!+#REF!</f>
        <v>#REF!</v>
      </c>
      <c r="AB202" s="954" t="e">
        <f>#REF!</f>
        <v>#REF!</v>
      </c>
      <c r="AC202" s="955">
        <v>0</v>
      </c>
      <c r="AD202" s="954" t="e">
        <f>#REF!</f>
        <v>#REF!</v>
      </c>
      <c r="AE202" s="956" t="e">
        <f>#REF!+#REF!</f>
        <v>#REF!</v>
      </c>
      <c r="AF202" s="956" t="e">
        <f>#REF!+#REF!</f>
        <v>#REF!</v>
      </c>
      <c r="AG202" s="956"/>
      <c r="AH202" s="954" t="e">
        <f>#REF!</f>
        <v>#REF!</v>
      </c>
      <c r="AI202" s="954" t="e">
        <f t="shared" si="31"/>
        <v>#REF!</v>
      </c>
      <c r="AJ202" s="954">
        <f t="shared" si="32"/>
        <v>109.61</v>
      </c>
      <c r="AK202" s="954">
        <f t="shared" si="33"/>
        <v>0</v>
      </c>
      <c r="AL202" s="625"/>
    </row>
    <row r="203" spans="1:38" s="620" customFormat="1" ht="20.100000000000001" customHeight="1" x14ac:dyDescent="0.2">
      <c r="A203" s="759">
        <f t="shared" si="34"/>
        <v>159</v>
      </c>
      <c r="B203" s="957">
        <f>+NOMINA!C202</f>
        <v>17597285</v>
      </c>
      <c r="C203" s="958" t="str">
        <f>+NOMINA!D202</f>
        <v>Duarte Portillo Dani Vicente</v>
      </c>
      <c r="D203" s="955" t="s">
        <v>4622</v>
      </c>
      <c r="E203" s="959">
        <v>32351</v>
      </c>
      <c r="F203" s="955" t="s">
        <v>4620</v>
      </c>
      <c r="G203" s="971">
        <f>+NOMINA!H202</f>
        <v>42782</v>
      </c>
      <c r="H203" s="961">
        <f t="shared" si="35"/>
        <v>5</v>
      </c>
      <c r="I203" s="962">
        <v>0</v>
      </c>
      <c r="J203" s="968">
        <f>+NOMINA!BL202</f>
        <v>20.49</v>
      </c>
      <c r="K203" s="968">
        <f>+NOMINA!BM202</f>
        <v>2.56</v>
      </c>
      <c r="L203" s="968">
        <f>+NOMINA!BN202</f>
        <v>4.4400000000000004</v>
      </c>
      <c r="M203" s="963">
        <f t="shared" si="36"/>
        <v>27.49</v>
      </c>
      <c r="N203" s="968">
        <f>+NOMINA!BR202</f>
        <v>46.11</v>
      </c>
      <c r="O203" s="968">
        <f>+NOMINA!BS202</f>
        <v>10.25</v>
      </c>
      <c r="P203" s="968">
        <f>+NOMINA!BT202</f>
        <v>8.8800000000000008</v>
      </c>
      <c r="Q203" s="963">
        <f t="shared" si="37"/>
        <v>65.239999999999995</v>
      </c>
      <c r="R203" s="963">
        <f t="shared" si="38"/>
        <v>92.72999999999999</v>
      </c>
      <c r="S203" s="972">
        <v>0</v>
      </c>
      <c r="T203" s="443" t="e">
        <f>#REF!+#REF!-M203</f>
        <v>#REF!</v>
      </c>
      <c r="U203" s="952" t="e">
        <f>ROUND((#REF!+#REF!+#REF!+#REF!+#REF!+#REF!+#REF!+#REF!+#REF!),2)</f>
        <v>#REF!</v>
      </c>
      <c r="Y203" s="953" t="e">
        <f>#REF!+#REF!-M203</f>
        <v>#REF!</v>
      </c>
      <c r="Z203" s="954" t="e">
        <f>#REF!</f>
        <v>#REF!</v>
      </c>
      <c r="AA203" s="953" t="e">
        <f>#REF!+#REF!</f>
        <v>#REF!</v>
      </c>
      <c r="AB203" s="954" t="e">
        <f>#REF!</f>
        <v>#REF!</v>
      </c>
      <c r="AC203" s="955">
        <v>0</v>
      </c>
      <c r="AD203" s="954" t="e">
        <f>#REF!</f>
        <v>#REF!</v>
      </c>
      <c r="AE203" s="956" t="e">
        <f>#REF!+#REF!</f>
        <v>#REF!</v>
      </c>
      <c r="AF203" s="956" t="e">
        <f>#REF!+#REF!</f>
        <v>#REF!</v>
      </c>
      <c r="AG203" s="956"/>
      <c r="AH203" s="954" t="e">
        <f>#REF!</f>
        <v>#REF!</v>
      </c>
      <c r="AI203" s="954" t="e">
        <f t="shared" si="31"/>
        <v>#REF!</v>
      </c>
      <c r="AJ203" s="954">
        <f t="shared" si="32"/>
        <v>92.72999999999999</v>
      </c>
      <c r="AK203" s="954">
        <f t="shared" si="33"/>
        <v>0</v>
      </c>
      <c r="AL203" s="625"/>
    </row>
    <row r="204" spans="1:38" s="620" customFormat="1" ht="20.100000000000001" customHeight="1" x14ac:dyDescent="0.2">
      <c r="A204" s="759">
        <f t="shared" si="34"/>
        <v>160</v>
      </c>
      <c r="B204" s="957">
        <f>+NOMINA!C203</f>
        <v>17604568</v>
      </c>
      <c r="C204" s="958" t="str">
        <f>+NOMINA!D203</f>
        <v>Rivera Gil Christian Rafael</v>
      </c>
      <c r="D204" s="955" t="s">
        <v>4622</v>
      </c>
      <c r="E204" s="959">
        <v>32351</v>
      </c>
      <c r="F204" s="955" t="s">
        <v>4620</v>
      </c>
      <c r="G204" s="971">
        <f>+NOMINA!H203</f>
        <v>43831</v>
      </c>
      <c r="H204" s="961">
        <f t="shared" si="35"/>
        <v>2</v>
      </c>
      <c r="I204" s="962">
        <v>0</v>
      </c>
      <c r="J204" s="968">
        <f>+NOMINA!BL203</f>
        <v>21.32</v>
      </c>
      <c r="K204" s="968">
        <f>+NOMINA!BM203</f>
        <v>2.67</v>
      </c>
      <c r="L204" s="968">
        <f>+NOMINA!BN203</f>
        <v>4.62</v>
      </c>
      <c r="M204" s="963">
        <f t="shared" si="36"/>
        <v>28.61</v>
      </c>
      <c r="N204" s="968">
        <f>+NOMINA!BR203</f>
        <v>47.97</v>
      </c>
      <c r="O204" s="968">
        <f>+NOMINA!BS203</f>
        <v>10.66</v>
      </c>
      <c r="P204" s="968">
        <f>+NOMINA!BT203</f>
        <v>9.24</v>
      </c>
      <c r="Q204" s="963">
        <f t="shared" si="37"/>
        <v>67.87</v>
      </c>
      <c r="R204" s="963">
        <f t="shared" si="38"/>
        <v>96.48</v>
      </c>
      <c r="S204" s="972">
        <v>0</v>
      </c>
      <c r="T204" s="443" t="e">
        <f>#REF!+#REF!-M204</f>
        <v>#REF!</v>
      </c>
      <c r="U204" s="952" t="e">
        <f>ROUND((#REF!+#REF!+#REF!+#REF!+#REF!+#REF!+#REF!+#REF!+#REF!),2)</f>
        <v>#REF!</v>
      </c>
      <c r="Y204" s="953" t="e">
        <f>#REF!+#REF!-M204</f>
        <v>#REF!</v>
      </c>
      <c r="Z204" s="954" t="e">
        <f>#REF!</f>
        <v>#REF!</v>
      </c>
      <c r="AA204" s="953" t="e">
        <f>#REF!+#REF!</f>
        <v>#REF!</v>
      </c>
      <c r="AB204" s="954" t="e">
        <f>#REF!</f>
        <v>#REF!</v>
      </c>
      <c r="AC204" s="955">
        <v>0</v>
      </c>
      <c r="AD204" s="954" t="e">
        <f>#REF!</f>
        <v>#REF!</v>
      </c>
      <c r="AE204" s="956" t="e">
        <f>#REF!+#REF!</f>
        <v>#REF!</v>
      </c>
      <c r="AF204" s="956" t="e">
        <f>#REF!+#REF!</f>
        <v>#REF!</v>
      </c>
      <c r="AG204" s="956"/>
      <c r="AH204" s="954" t="e">
        <f>#REF!</f>
        <v>#REF!</v>
      </c>
      <c r="AI204" s="954" t="e">
        <f t="shared" si="31"/>
        <v>#REF!</v>
      </c>
      <c r="AJ204" s="954">
        <f t="shared" si="32"/>
        <v>96.48</v>
      </c>
      <c r="AK204" s="954">
        <f t="shared" si="33"/>
        <v>0</v>
      </c>
      <c r="AL204" s="625"/>
    </row>
    <row r="205" spans="1:38" s="620" customFormat="1" ht="20.100000000000001" customHeight="1" x14ac:dyDescent="0.2">
      <c r="A205" s="759">
        <f t="shared" si="34"/>
        <v>161</v>
      </c>
      <c r="B205" s="957">
        <f>+NOMINA!C204</f>
        <v>17605222</v>
      </c>
      <c r="C205" s="958" t="str">
        <f>+NOMINA!D204</f>
        <v>Aguial Dayana Carolina</v>
      </c>
      <c r="D205" s="955" t="s">
        <v>4622</v>
      </c>
      <c r="E205" s="959">
        <v>32351</v>
      </c>
      <c r="F205" s="955" t="s">
        <v>4620</v>
      </c>
      <c r="G205" s="971">
        <f>+NOMINA!H204</f>
        <v>42737</v>
      </c>
      <c r="H205" s="961">
        <f t="shared" si="35"/>
        <v>5</v>
      </c>
      <c r="I205" s="962">
        <v>0</v>
      </c>
      <c r="J205" s="968">
        <f>+NOMINA!BL204</f>
        <v>27.75</v>
      </c>
      <c r="K205" s="968">
        <f>+NOMINA!BM204</f>
        <v>3.47</v>
      </c>
      <c r="L205" s="968">
        <f>+NOMINA!BN204</f>
        <v>6.01</v>
      </c>
      <c r="M205" s="963">
        <f t="shared" si="36"/>
        <v>37.229999999999997</v>
      </c>
      <c r="N205" s="968">
        <f>+NOMINA!BR204</f>
        <v>62.44</v>
      </c>
      <c r="O205" s="968">
        <f>+NOMINA!BS204</f>
        <v>13.88</v>
      </c>
      <c r="P205" s="968">
        <f>+NOMINA!BT204</f>
        <v>12.02</v>
      </c>
      <c r="Q205" s="963">
        <f t="shared" si="37"/>
        <v>88.34</v>
      </c>
      <c r="R205" s="963">
        <f t="shared" si="38"/>
        <v>125.57</v>
      </c>
      <c r="S205" s="972">
        <v>0</v>
      </c>
      <c r="T205" s="443" t="e">
        <f>#REF!+#REF!-M205</f>
        <v>#REF!</v>
      </c>
      <c r="U205" s="952" t="e">
        <f>ROUND((#REF!+#REF!+#REF!+#REF!+#REF!+#REF!+#REF!+#REF!+#REF!),2)</f>
        <v>#REF!</v>
      </c>
      <c r="Y205" s="953" t="e">
        <f>#REF!+#REF!-M205</f>
        <v>#REF!</v>
      </c>
      <c r="Z205" s="954" t="e">
        <f>#REF!</f>
        <v>#REF!</v>
      </c>
      <c r="AA205" s="953" t="e">
        <f>#REF!+#REF!</f>
        <v>#REF!</v>
      </c>
      <c r="AB205" s="954" t="e">
        <f>#REF!</f>
        <v>#REF!</v>
      </c>
      <c r="AC205" s="955">
        <v>0</v>
      </c>
      <c r="AD205" s="954" t="e">
        <f>#REF!</f>
        <v>#REF!</v>
      </c>
      <c r="AE205" s="956" t="e">
        <f>#REF!+#REF!</f>
        <v>#REF!</v>
      </c>
      <c r="AF205" s="956" t="e">
        <f>#REF!+#REF!</f>
        <v>#REF!</v>
      </c>
      <c r="AG205" s="956"/>
      <c r="AH205" s="954" t="e">
        <f>#REF!</f>
        <v>#REF!</v>
      </c>
      <c r="AI205" s="954" t="e">
        <f t="shared" si="31"/>
        <v>#REF!</v>
      </c>
      <c r="AJ205" s="954">
        <f t="shared" si="32"/>
        <v>125.57</v>
      </c>
      <c r="AK205" s="954">
        <f t="shared" si="33"/>
        <v>0</v>
      </c>
      <c r="AL205" s="625"/>
    </row>
    <row r="206" spans="1:38" s="620" customFormat="1" ht="20.100000000000001" customHeight="1" x14ac:dyDescent="0.2">
      <c r="A206" s="759">
        <f t="shared" si="34"/>
        <v>162</v>
      </c>
      <c r="B206" s="957">
        <f>+NOMINA!C205</f>
        <v>17605492</v>
      </c>
      <c r="C206" s="958" t="str">
        <f>+NOMINA!D205</f>
        <v>Briceño Briceño Naibely Carolina</v>
      </c>
      <c r="D206" s="955" t="s">
        <v>4622</v>
      </c>
      <c r="E206" s="959">
        <v>32351</v>
      </c>
      <c r="F206" s="955" t="s">
        <v>4620</v>
      </c>
      <c r="G206" s="971">
        <f>+NOMINA!H205</f>
        <v>43967</v>
      </c>
      <c r="H206" s="961">
        <f t="shared" si="35"/>
        <v>2</v>
      </c>
      <c r="I206" s="962">
        <v>0</v>
      </c>
      <c r="J206" s="968">
        <f>+NOMINA!BL205</f>
        <v>24.28</v>
      </c>
      <c r="K206" s="968">
        <f>+NOMINA!BM205</f>
        <v>3.03</v>
      </c>
      <c r="L206" s="968">
        <f>+NOMINA!BN205</f>
        <v>5.26</v>
      </c>
      <c r="M206" s="963">
        <f t="shared" si="36"/>
        <v>32.57</v>
      </c>
      <c r="N206" s="968">
        <f>+NOMINA!BR205</f>
        <v>54.63</v>
      </c>
      <c r="O206" s="968">
        <f>+NOMINA!BS205</f>
        <v>12.14</v>
      </c>
      <c r="P206" s="968">
        <f>+NOMINA!BT205</f>
        <v>10.52</v>
      </c>
      <c r="Q206" s="963">
        <f t="shared" si="37"/>
        <v>77.290000000000006</v>
      </c>
      <c r="R206" s="963">
        <f t="shared" si="38"/>
        <v>109.86000000000001</v>
      </c>
      <c r="S206" s="972">
        <v>0</v>
      </c>
      <c r="T206" s="443" t="e">
        <f>#REF!+#REF!-M206</f>
        <v>#REF!</v>
      </c>
      <c r="U206" s="952" t="e">
        <f>ROUND((#REF!+#REF!+#REF!+#REF!+#REF!+#REF!+#REF!+#REF!+#REF!),2)</f>
        <v>#REF!</v>
      </c>
      <c r="Y206" s="953" t="e">
        <f>#REF!+#REF!-M206</f>
        <v>#REF!</v>
      </c>
      <c r="Z206" s="954" t="e">
        <f>#REF!</f>
        <v>#REF!</v>
      </c>
      <c r="AA206" s="953" t="e">
        <f>#REF!+#REF!</f>
        <v>#REF!</v>
      </c>
      <c r="AB206" s="954" t="e">
        <f>#REF!</f>
        <v>#REF!</v>
      </c>
      <c r="AC206" s="955">
        <v>0</v>
      </c>
      <c r="AD206" s="954" t="e">
        <f>#REF!</f>
        <v>#REF!</v>
      </c>
      <c r="AE206" s="956" t="e">
        <f>#REF!+#REF!</f>
        <v>#REF!</v>
      </c>
      <c r="AF206" s="956" t="e">
        <f>#REF!+#REF!</f>
        <v>#REF!</v>
      </c>
      <c r="AG206" s="956"/>
      <c r="AH206" s="954" t="e">
        <f>#REF!</f>
        <v>#REF!</v>
      </c>
      <c r="AI206" s="954" t="e">
        <f t="shared" si="31"/>
        <v>#REF!</v>
      </c>
      <c r="AJ206" s="954">
        <f t="shared" si="32"/>
        <v>109.86000000000001</v>
      </c>
      <c r="AK206" s="954">
        <f t="shared" si="33"/>
        <v>0</v>
      </c>
      <c r="AL206" s="625"/>
    </row>
    <row r="207" spans="1:38" s="620" customFormat="1" ht="20.100000000000001" customHeight="1" x14ac:dyDescent="0.2">
      <c r="A207" s="759">
        <f t="shared" si="34"/>
        <v>163</v>
      </c>
      <c r="B207" s="957">
        <f>+NOMINA!C206</f>
        <v>17606237</v>
      </c>
      <c r="C207" s="958" t="str">
        <f>+NOMINA!D206</f>
        <v>Castellano Rivera Maria Antonina</v>
      </c>
      <c r="D207" s="955" t="s">
        <v>4622</v>
      </c>
      <c r="E207" s="959">
        <v>32351</v>
      </c>
      <c r="F207" s="955" t="s">
        <v>4620</v>
      </c>
      <c r="G207" s="971">
        <f>+NOMINA!H206</f>
        <v>40909</v>
      </c>
      <c r="H207" s="961">
        <f t="shared" si="35"/>
        <v>10</v>
      </c>
      <c r="I207" s="962">
        <v>0</v>
      </c>
      <c r="J207" s="968">
        <f>+NOMINA!BL206</f>
        <v>18.989999999999998</v>
      </c>
      <c r="K207" s="968">
        <f>+NOMINA!BM206</f>
        <v>2.37</v>
      </c>
      <c r="L207" s="968">
        <f>+NOMINA!BN206</f>
        <v>4.12</v>
      </c>
      <c r="M207" s="963">
        <f t="shared" si="36"/>
        <v>25.48</v>
      </c>
      <c r="N207" s="968">
        <f>+NOMINA!BR206</f>
        <v>42.74</v>
      </c>
      <c r="O207" s="968">
        <f>+NOMINA!BS206</f>
        <v>9.5</v>
      </c>
      <c r="P207" s="968">
        <f>+NOMINA!BT206</f>
        <v>8.24</v>
      </c>
      <c r="Q207" s="963">
        <f t="shared" si="37"/>
        <v>60.48</v>
      </c>
      <c r="R207" s="963">
        <f t="shared" si="38"/>
        <v>85.96</v>
      </c>
      <c r="S207" s="972">
        <v>0</v>
      </c>
      <c r="T207" s="443" t="e">
        <f>#REF!+#REF!-M207</f>
        <v>#REF!</v>
      </c>
      <c r="U207" s="952" t="e">
        <f>ROUND((#REF!+#REF!+#REF!+#REF!+#REF!+#REF!+#REF!+#REF!+#REF!),2)</f>
        <v>#REF!</v>
      </c>
      <c r="Y207" s="953" t="e">
        <f>#REF!+#REF!-M207</f>
        <v>#REF!</v>
      </c>
      <c r="Z207" s="954" t="e">
        <f>#REF!</f>
        <v>#REF!</v>
      </c>
      <c r="AA207" s="953" t="e">
        <f>#REF!+#REF!</f>
        <v>#REF!</v>
      </c>
      <c r="AB207" s="954" t="e">
        <f>#REF!</f>
        <v>#REF!</v>
      </c>
      <c r="AC207" s="955">
        <v>0</v>
      </c>
      <c r="AD207" s="954" t="e">
        <f>#REF!</f>
        <v>#REF!</v>
      </c>
      <c r="AE207" s="956" t="e">
        <f>#REF!+#REF!</f>
        <v>#REF!</v>
      </c>
      <c r="AF207" s="956" t="e">
        <f>#REF!+#REF!</f>
        <v>#REF!</v>
      </c>
      <c r="AG207" s="956"/>
      <c r="AH207" s="954" t="e">
        <f>#REF!</f>
        <v>#REF!</v>
      </c>
      <c r="AI207" s="954" t="e">
        <f t="shared" si="31"/>
        <v>#REF!</v>
      </c>
      <c r="AJ207" s="954">
        <f t="shared" si="32"/>
        <v>85.96</v>
      </c>
      <c r="AK207" s="954">
        <f t="shared" si="33"/>
        <v>0</v>
      </c>
      <c r="AL207" s="625"/>
    </row>
    <row r="208" spans="1:38" s="620" customFormat="1" ht="20.100000000000001" customHeight="1" x14ac:dyDescent="0.2">
      <c r="A208" s="759">
        <f t="shared" si="34"/>
        <v>164</v>
      </c>
      <c r="B208" s="957">
        <f>+NOMINA!C207</f>
        <v>17830972</v>
      </c>
      <c r="C208" s="958" t="str">
        <f>+NOMINA!D207</f>
        <v>Bastidas Franco Dianellys Sarain</v>
      </c>
      <c r="D208" s="955" t="s">
        <v>4622</v>
      </c>
      <c r="E208" s="959">
        <v>32351</v>
      </c>
      <c r="F208" s="955" t="s">
        <v>4620</v>
      </c>
      <c r="G208" s="971">
        <f>+NOMINA!H207</f>
        <v>44713</v>
      </c>
      <c r="H208" s="961">
        <f t="shared" si="35"/>
        <v>0</v>
      </c>
      <c r="I208" s="962">
        <v>0</v>
      </c>
      <c r="J208" s="968">
        <f>+NOMINA!BL207</f>
        <v>23.96</v>
      </c>
      <c r="K208" s="968">
        <f>+NOMINA!BM207</f>
        <v>3</v>
      </c>
      <c r="L208" s="968">
        <f>+NOMINA!BN207</f>
        <v>5.19</v>
      </c>
      <c r="M208" s="963">
        <f t="shared" si="36"/>
        <v>32.15</v>
      </c>
      <c r="N208" s="968">
        <f>+NOMINA!BR207</f>
        <v>53.91</v>
      </c>
      <c r="O208" s="968">
        <f>+NOMINA!BS207</f>
        <v>11.98</v>
      </c>
      <c r="P208" s="968">
        <f>+NOMINA!BT207</f>
        <v>10.38</v>
      </c>
      <c r="Q208" s="963">
        <f t="shared" si="37"/>
        <v>76.27</v>
      </c>
      <c r="R208" s="963">
        <f t="shared" si="38"/>
        <v>108.41999999999999</v>
      </c>
      <c r="S208" s="972">
        <v>0</v>
      </c>
      <c r="T208" s="443" t="e">
        <f>#REF!+#REF!-M208</f>
        <v>#REF!</v>
      </c>
      <c r="U208" s="952" t="e">
        <f>ROUND((#REF!+#REF!+#REF!+#REF!+#REF!+#REF!+#REF!+#REF!+#REF!),2)</f>
        <v>#REF!</v>
      </c>
      <c r="Y208" s="953" t="e">
        <f>#REF!+#REF!-M208</f>
        <v>#REF!</v>
      </c>
      <c r="Z208" s="954" t="e">
        <f>#REF!</f>
        <v>#REF!</v>
      </c>
      <c r="AA208" s="953" t="e">
        <f>#REF!+#REF!</f>
        <v>#REF!</v>
      </c>
      <c r="AB208" s="954" t="e">
        <f>#REF!</f>
        <v>#REF!</v>
      </c>
      <c r="AC208" s="955">
        <v>0</v>
      </c>
      <c r="AD208" s="954" t="e">
        <f>#REF!</f>
        <v>#REF!</v>
      </c>
      <c r="AE208" s="956" t="e">
        <f>#REF!+#REF!</f>
        <v>#REF!</v>
      </c>
      <c r="AF208" s="956" t="e">
        <f>#REF!+#REF!</f>
        <v>#REF!</v>
      </c>
      <c r="AG208" s="956"/>
      <c r="AH208" s="954" t="e">
        <f>#REF!</f>
        <v>#REF!</v>
      </c>
      <c r="AI208" s="954" t="e">
        <f t="shared" si="31"/>
        <v>#REF!</v>
      </c>
      <c r="AJ208" s="954">
        <f t="shared" si="32"/>
        <v>108.41999999999999</v>
      </c>
      <c r="AK208" s="954">
        <f t="shared" si="33"/>
        <v>0</v>
      </c>
      <c r="AL208" s="625"/>
    </row>
    <row r="209" spans="1:38" s="620" customFormat="1" ht="20.100000000000001" customHeight="1" x14ac:dyDescent="0.2">
      <c r="A209" s="759">
        <f t="shared" si="34"/>
        <v>165</v>
      </c>
      <c r="B209" s="957">
        <f>+NOMINA!C208</f>
        <v>17831012</v>
      </c>
      <c r="C209" s="958" t="str">
        <f>+NOMINA!D208</f>
        <v>Valera Briceño Jesus Enrique</v>
      </c>
      <c r="D209" s="955" t="s">
        <v>4622</v>
      </c>
      <c r="E209" s="959">
        <v>32351</v>
      </c>
      <c r="F209" s="955" t="s">
        <v>4620</v>
      </c>
      <c r="G209" s="971">
        <f>+NOMINA!H208</f>
        <v>45474</v>
      </c>
      <c r="H209" s="961">
        <f t="shared" si="35"/>
        <v>0</v>
      </c>
      <c r="I209" s="962">
        <v>0</v>
      </c>
      <c r="J209" s="968">
        <f>+NOMINA!BL208</f>
        <v>19.38</v>
      </c>
      <c r="K209" s="968">
        <f>+NOMINA!BM208</f>
        <v>2.42</v>
      </c>
      <c r="L209" s="968">
        <f>+NOMINA!BN208</f>
        <v>4.2</v>
      </c>
      <c r="M209" s="963">
        <f t="shared" si="36"/>
        <v>26</v>
      </c>
      <c r="N209" s="968">
        <f>+NOMINA!BR208</f>
        <v>43.61</v>
      </c>
      <c r="O209" s="968">
        <f>+NOMINA!BS208</f>
        <v>9.69</v>
      </c>
      <c r="P209" s="968">
        <f>+NOMINA!BT208</f>
        <v>8.4</v>
      </c>
      <c r="Q209" s="963">
        <f t="shared" si="37"/>
        <v>61.7</v>
      </c>
      <c r="R209" s="963">
        <f t="shared" si="38"/>
        <v>87.7</v>
      </c>
      <c r="S209" s="972">
        <v>0</v>
      </c>
      <c r="T209" s="443" t="e">
        <f>#REF!+#REF!-M209</f>
        <v>#REF!</v>
      </c>
      <c r="U209" s="952" t="e">
        <f>ROUND((#REF!+#REF!+#REF!+#REF!+#REF!+#REF!+#REF!+#REF!+#REF!),2)</f>
        <v>#REF!</v>
      </c>
      <c r="Y209" s="953" t="e">
        <f>#REF!+#REF!-M209</f>
        <v>#REF!</v>
      </c>
      <c r="Z209" s="954" t="e">
        <f>#REF!</f>
        <v>#REF!</v>
      </c>
      <c r="AA209" s="953" t="e">
        <f>#REF!+#REF!</f>
        <v>#REF!</v>
      </c>
      <c r="AB209" s="954" t="e">
        <f>#REF!</f>
        <v>#REF!</v>
      </c>
      <c r="AC209" s="955">
        <v>0</v>
      </c>
      <c r="AD209" s="954" t="e">
        <f>#REF!</f>
        <v>#REF!</v>
      </c>
      <c r="AE209" s="956" t="e">
        <f>#REF!+#REF!</f>
        <v>#REF!</v>
      </c>
      <c r="AF209" s="956" t="e">
        <f>#REF!+#REF!</f>
        <v>#REF!</v>
      </c>
      <c r="AG209" s="956"/>
      <c r="AH209" s="954" t="e">
        <f>#REF!</f>
        <v>#REF!</v>
      </c>
      <c r="AI209" s="954" t="e">
        <f t="shared" si="31"/>
        <v>#REF!</v>
      </c>
      <c r="AJ209" s="954">
        <f t="shared" si="32"/>
        <v>87.7</v>
      </c>
      <c r="AK209" s="954">
        <f t="shared" si="33"/>
        <v>0</v>
      </c>
      <c r="AL209" s="625"/>
    </row>
    <row r="210" spans="1:38" s="620" customFormat="1" ht="20.100000000000001" customHeight="1" x14ac:dyDescent="0.2">
      <c r="A210" s="759">
        <f t="shared" si="34"/>
        <v>166</v>
      </c>
      <c r="B210" s="957">
        <f>+NOMINA!C209</f>
        <v>17832396</v>
      </c>
      <c r="C210" s="958" t="str">
        <f>+NOMINA!D209</f>
        <v>Pulido Sanchez Joalina Vanessa</v>
      </c>
      <c r="D210" s="955" t="s">
        <v>4622</v>
      </c>
      <c r="E210" s="959">
        <v>32351</v>
      </c>
      <c r="F210" s="955" t="s">
        <v>4620</v>
      </c>
      <c r="G210" s="971">
        <f>+NOMINA!H209</f>
        <v>43191</v>
      </c>
      <c r="H210" s="961">
        <f t="shared" si="35"/>
        <v>4</v>
      </c>
      <c r="I210" s="962">
        <v>0</v>
      </c>
      <c r="J210" s="968">
        <f>+NOMINA!BL209</f>
        <v>21.73</v>
      </c>
      <c r="K210" s="968">
        <f>+NOMINA!BM209</f>
        <v>2.72</v>
      </c>
      <c r="L210" s="968">
        <f>+NOMINA!BN209</f>
        <v>4.71</v>
      </c>
      <c r="M210" s="963">
        <f t="shared" si="36"/>
        <v>29.16</v>
      </c>
      <c r="N210" s="968">
        <f>+NOMINA!BR209</f>
        <v>48.89</v>
      </c>
      <c r="O210" s="968">
        <f>+NOMINA!BS209</f>
        <v>10.87</v>
      </c>
      <c r="P210" s="968">
        <f>+NOMINA!BT209</f>
        <v>9.42</v>
      </c>
      <c r="Q210" s="963">
        <f t="shared" si="37"/>
        <v>69.180000000000007</v>
      </c>
      <c r="R210" s="963">
        <f t="shared" si="38"/>
        <v>98.34</v>
      </c>
      <c r="S210" s="972">
        <v>0</v>
      </c>
      <c r="T210" s="443" t="e">
        <f>#REF!+#REF!-M210</f>
        <v>#REF!</v>
      </c>
      <c r="U210" s="952" t="e">
        <f>ROUND((#REF!+#REF!+#REF!+#REF!+#REF!+#REF!+#REF!+#REF!+#REF!),2)</f>
        <v>#REF!</v>
      </c>
      <c r="Y210" s="953" t="e">
        <f>#REF!+#REF!-M210</f>
        <v>#REF!</v>
      </c>
      <c r="Z210" s="954" t="e">
        <f>#REF!</f>
        <v>#REF!</v>
      </c>
      <c r="AA210" s="953" t="e">
        <f>#REF!+#REF!</f>
        <v>#REF!</v>
      </c>
      <c r="AB210" s="954" t="e">
        <f>#REF!</f>
        <v>#REF!</v>
      </c>
      <c r="AC210" s="955">
        <v>0</v>
      </c>
      <c r="AD210" s="954" t="e">
        <f>#REF!</f>
        <v>#REF!</v>
      </c>
      <c r="AE210" s="956" t="e">
        <f>#REF!+#REF!</f>
        <v>#REF!</v>
      </c>
      <c r="AF210" s="956" t="e">
        <f>#REF!+#REF!</f>
        <v>#REF!</v>
      </c>
      <c r="AG210" s="956"/>
      <c r="AH210" s="954" t="e">
        <f>#REF!</f>
        <v>#REF!</v>
      </c>
      <c r="AI210" s="954" t="e">
        <f t="shared" si="31"/>
        <v>#REF!</v>
      </c>
      <c r="AJ210" s="954">
        <f t="shared" si="32"/>
        <v>98.34</v>
      </c>
      <c r="AK210" s="954">
        <f t="shared" si="33"/>
        <v>0</v>
      </c>
      <c r="AL210" s="625"/>
    </row>
    <row r="211" spans="1:38" s="620" customFormat="1" ht="20.100000000000001" customHeight="1" x14ac:dyDescent="0.2">
      <c r="A211" s="759">
        <f t="shared" si="34"/>
        <v>167</v>
      </c>
      <c r="B211" s="957">
        <f>+NOMINA!C210</f>
        <v>17865154</v>
      </c>
      <c r="C211" s="958" t="str">
        <f>+NOMINA!D210</f>
        <v>Serrano Ingrid Maria</v>
      </c>
      <c r="D211" s="955" t="s">
        <v>4622</v>
      </c>
      <c r="E211" s="959">
        <v>32351</v>
      </c>
      <c r="F211" s="955" t="s">
        <v>4620</v>
      </c>
      <c r="G211" s="971">
        <f>+NOMINA!H210</f>
        <v>43846</v>
      </c>
      <c r="H211" s="961">
        <f t="shared" si="35"/>
        <v>2</v>
      </c>
      <c r="I211" s="962">
        <v>0</v>
      </c>
      <c r="J211" s="968">
        <f>+NOMINA!BL210</f>
        <v>17.25</v>
      </c>
      <c r="K211" s="968">
        <f>+NOMINA!BM210</f>
        <v>2.16</v>
      </c>
      <c r="L211" s="968">
        <f>+NOMINA!BN210</f>
        <v>3.74</v>
      </c>
      <c r="M211" s="963">
        <f t="shared" si="36"/>
        <v>23.15</v>
      </c>
      <c r="N211" s="968">
        <f>+NOMINA!BR210</f>
        <v>38.81</v>
      </c>
      <c r="O211" s="968">
        <f>+NOMINA!BS210</f>
        <v>8.6300000000000008</v>
      </c>
      <c r="P211" s="968">
        <f>+NOMINA!BT210</f>
        <v>7.48</v>
      </c>
      <c r="Q211" s="963">
        <f t="shared" si="37"/>
        <v>54.92</v>
      </c>
      <c r="R211" s="963">
        <f t="shared" si="38"/>
        <v>78.069999999999993</v>
      </c>
      <c r="S211" s="972">
        <v>0</v>
      </c>
      <c r="T211" s="443" t="e">
        <f>#REF!+#REF!-M211</f>
        <v>#REF!</v>
      </c>
      <c r="U211" s="952" t="e">
        <f>ROUND((#REF!+#REF!+#REF!+#REF!+#REF!+#REF!+#REF!+#REF!+#REF!),2)</f>
        <v>#REF!</v>
      </c>
      <c r="Y211" s="953" t="e">
        <f>#REF!+#REF!-M211</f>
        <v>#REF!</v>
      </c>
      <c r="Z211" s="954" t="e">
        <f>#REF!</f>
        <v>#REF!</v>
      </c>
      <c r="AA211" s="953" t="e">
        <f>#REF!+#REF!</f>
        <v>#REF!</v>
      </c>
      <c r="AB211" s="954" t="e">
        <f>#REF!</f>
        <v>#REF!</v>
      </c>
      <c r="AC211" s="955">
        <v>0</v>
      </c>
      <c r="AD211" s="954" t="e">
        <f>#REF!</f>
        <v>#REF!</v>
      </c>
      <c r="AE211" s="956" t="e">
        <f>#REF!+#REF!</f>
        <v>#REF!</v>
      </c>
      <c r="AF211" s="956" t="e">
        <f>#REF!+#REF!</f>
        <v>#REF!</v>
      </c>
      <c r="AG211" s="956"/>
      <c r="AH211" s="954" t="e">
        <f>#REF!</f>
        <v>#REF!</v>
      </c>
      <c r="AI211" s="954" t="e">
        <f t="shared" si="31"/>
        <v>#REF!</v>
      </c>
      <c r="AJ211" s="954">
        <f t="shared" si="32"/>
        <v>78.069999999999993</v>
      </c>
      <c r="AK211" s="954">
        <f t="shared" si="33"/>
        <v>0</v>
      </c>
      <c r="AL211" s="625"/>
    </row>
    <row r="212" spans="1:38" s="620" customFormat="1" ht="20.100000000000001" customHeight="1" x14ac:dyDescent="0.2">
      <c r="A212" s="759">
        <f t="shared" si="34"/>
        <v>168</v>
      </c>
      <c r="B212" s="957">
        <f>+NOMINA!C211</f>
        <v>18036203</v>
      </c>
      <c r="C212" s="958" t="str">
        <f>+NOMINA!D211</f>
        <v>Yepes Caceres Mervis Javier</v>
      </c>
      <c r="D212" s="955" t="s">
        <v>4622</v>
      </c>
      <c r="E212" s="959">
        <v>32351</v>
      </c>
      <c r="F212" s="955" t="s">
        <v>4620</v>
      </c>
      <c r="G212" s="971">
        <f>+NOMINA!H211</f>
        <v>45505</v>
      </c>
      <c r="H212" s="961">
        <f t="shared" si="35"/>
        <v>0</v>
      </c>
      <c r="I212" s="962">
        <v>0</v>
      </c>
      <c r="J212" s="968">
        <f>+NOMINA!BL211</f>
        <v>17.18</v>
      </c>
      <c r="K212" s="968">
        <f>+NOMINA!BM211</f>
        <v>2.15</v>
      </c>
      <c r="L212" s="968">
        <f>+NOMINA!BN211</f>
        <v>3.72</v>
      </c>
      <c r="M212" s="963">
        <f t="shared" si="36"/>
        <v>23.05</v>
      </c>
      <c r="N212" s="968">
        <f>+NOMINA!BR211</f>
        <v>38.65</v>
      </c>
      <c r="O212" s="968">
        <f>+NOMINA!BS211</f>
        <v>8.59</v>
      </c>
      <c r="P212" s="968">
        <f>+NOMINA!BT211</f>
        <v>7.44</v>
      </c>
      <c r="Q212" s="963">
        <f t="shared" si="37"/>
        <v>54.68</v>
      </c>
      <c r="R212" s="963">
        <f t="shared" si="38"/>
        <v>77.73</v>
      </c>
      <c r="S212" s="972">
        <v>0</v>
      </c>
      <c r="T212" s="443" t="e">
        <f>#REF!+#REF!-M212</f>
        <v>#REF!</v>
      </c>
      <c r="U212" s="952" t="e">
        <f>ROUND((#REF!+#REF!+#REF!+#REF!+#REF!+#REF!+#REF!+#REF!+#REF!),2)</f>
        <v>#REF!</v>
      </c>
      <c r="Y212" s="953" t="e">
        <f>#REF!+#REF!-M212</f>
        <v>#REF!</v>
      </c>
      <c r="Z212" s="954" t="e">
        <f>#REF!</f>
        <v>#REF!</v>
      </c>
      <c r="AA212" s="953" t="e">
        <f>#REF!+#REF!</f>
        <v>#REF!</v>
      </c>
      <c r="AB212" s="954" t="e">
        <f>#REF!</f>
        <v>#REF!</v>
      </c>
      <c r="AC212" s="955">
        <v>0</v>
      </c>
      <c r="AD212" s="954" t="e">
        <f>#REF!</f>
        <v>#REF!</v>
      </c>
      <c r="AE212" s="956" t="e">
        <f>#REF!+#REF!</f>
        <v>#REF!</v>
      </c>
      <c r="AF212" s="956" t="e">
        <f>#REF!+#REF!</f>
        <v>#REF!</v>
      </c>
      <c r="AG212" s="956"/>
      <c r="AH212" s="954" t="e">
        <f>#REF!</f>
        <v>#REF!</v>
      </c>
      <c r="AI212" s="954" t="e">
        <f t="shared" si="31"/>
        <v>#REF!</v>
      </c>
      <c r="AJ212" s="954">
        <f t="shared" si="32"/>
        <v>77.73</v>
      </c>
      <c r="AK212" s="954">
        <f t="shared" si="33"/>
        <v>0</v>
      </c>
      <c r="AL212" s="625"/>
    </row>
    <row r="213" spans="1:38" s="620" customFormat="1" ht="20.100000000000001" customHeight="1" x14ac:dyDescent="0.2">
      <c r="A213" s="759">
        <f t="shared" si="34"/>
        <v>169</v>
      </c>
      <c r="B213" s="957">
        <f>+NOMINA!C212</f>
        <v>18036156</v>
      </c>
      <c r="C213" s="958" t="str">
        <f>+NOMINA!D212</f>
        <v>Ruiz Vasquez Endri Ramon</v>
      </c>
      <c r="D213" s="955" t="s">
        <v>4622</v>
      </c>
      <c r="E213" s="959">
        <v>32351</v>
      </c>
      <c r="F213" s="955" t="s">
        <v>4620</v>
      </c>
      <c r="G213" s="971">
        <f>+NOMINA!H212</f>
        <v>45597</v>
      </c>
      <c r="H213" s="961">
        <f t="shared" si="35"/>
        <v>0</v>
      </c>
      <c r="I213" s="962">
        <v>0</v>
      </c>
      <c r="J213" s="968">
        <f>+NOMINA!BL212</f>
        <v>15.6</v>
      </c>
      <c r="K213" s="968">
        <f>+NOMINA!BM212</f>
        <v>1.95</v>
      </c>
      <c r="L213" s="968">
        <f>+NOMINA!BN212</f>
        <v>3.38</v>
      </c>
      <c r="M213" s="963">
        <f t="shared" si="36"/>
        <v>20.93</v>
      </c>
      <c r="N213" s="968">
        <f>+NOMINA!BR212</f>
        <v>35.1</v>
      </c>
      <c r="O213" s="968">
        <f>+NOMINA!BS212</f>
        <v>7.8</v>
      </c>
      <c r="P213" s="968">
        <f>+NOMINA!BT212</f>
        <v>6.76</v>
      </c>
      <c r="Q213" s="963">
        <f t="shared" si="37"/>
        <v>49.66</v>
      </c>
      <c r="R213" s="963">
        <f t="shared" si="38"/>
        <v>70.59</v>
      </c>
      <c r="S213" s="972">
        <v>0</v>
      </c>
      <c r="T213" s="443" t="e">
        <f>#REF!+#REF!-M213</f>
        <v>#REF!</v>
      </c>
      <c r="U213" s="952" t="e">
        <f>ROUND((#REF!+#REF!+#REF!+#REF!+#REF!+#REF!+#REF!+#REF!+#REF!),2)</f>
        <v>#REF!</v>
      </c>
      <c r="Y213" s="953" t="e">
        <f>#REF!+#REF!-M213</f>
        <v>#REF!</v>
      </c>
      <c r="Z213" s="954" t="e">
        <f>#REF!</f>
        <v>#REF!</v>
      </c>
      <c r="AA213" s="953" t="e">
        <f>#REF!+#REF!</f>
        <v>#REF!</v>
      </c>
      <c r="AB213" s="954" t="e">
        <f>#REF!</f>
        <v>#REF!</v>
      </c>
      <c r="AC213" s="955">
        <v>0</v>
      </c>
      <c r="AD213" s="954" t="e">
        <f>#REF!</f>
        <v>#REF!</v>
      </c>
      <c r="AE213" s="956" t="e">
        <f>#REF!+#REF!</f>
        <v>#REF!</v>
      </c>
      <c r="AF213" s="956" t="e">
        <f>#REF!+#REF!</f>
        <v>#REF!</v>
      </c>
      <c r="AG213" s="956"/>
      <c r="AH213" s="954" t="e">
        <f>#REF!</f>
        <v>#REF!</v>
      </c>
      <c r="AI213" s="954" t="e">
        <f t="shared" si="31"/>
        <v>#REF!</v>
      </c>
      <c r="AJ213" s="954">
        <f t="shared" si="32"/>
        <v>70.59</v>
      </c>
      <c r="AK213" s="954">
        <f t="shared" si="33"/>
        <v>0</v>
      </c>
      <c r="AL213" s="625"/>
    </row>
    <row r="214" spans="1:38" s="620" customFormat="1" ht="20.100000000000001" customHeight="1" x14ac:dyDescent="0.2">
      <c r="A214" s="759">
        <f t="shared" si="34"/>
        <v>170</v>
      </c>
      <c r="B214" s="957">
        <f>+NOMINA!C213</f>
        <v>18095603</v>
      </c>
      <c r="C214" s="958" t="str">
        <f>+NOMINA!D213</f>
        <v>Lozada Bencomo Daniela Carolina</v>
      </c>
      <c r="D214" s="955" t="s">
        <v>4622</v>
      </c>
      <c r="E214" s="959">
        <v>32351</v>
      </c>
      <c r="F214" s="955" t="s">
        <v>4620</v>
      </c>
      <c r="G214" s="971">
        <f>+NOMINA!H213</f>
        <v>42963</v>
      </c>
      <c r="H214" s="961">
        <f t="shared" si="35"/>
        <v>5</v>
      </c>
      <c r="I214" s="962">
        <v>0</v>
      </c>
      <c r="J214" s="968">
        <f>+NOMINA!BL213</f>
        <v>22.07</v>
      </c>
      <c r="K214" s="968">
        <f>+NOMINA!BM213</f>
        <v>2.76</v>
      </c>
      <c r="L214" s="968">
        <f>+NOMINA!BN213</f>
        <v>4.78</v>
      </c>
      <c r="M214" s="963">
        <f t="shared" si="36"/>
        <v>29.61</v>
      </c>
      <c r="N214" s="968">
        <f>+NOMINA!BR213</f>
        <v>49.65</v>
      </c>
      <c r="O214" s="968">
        <f>+NOMINA!BS213</f>
        <v>11.03</v>
      </c>
      <c r="P214" s="968">
        <f>+NOMINA!BT213</f>
        <v>9.56</v>
      </c>
      <c r="Q214" s="963">
        <f t="shared" si="37"/>
        <v>70.239999999999995</v>
      </c>
      <c r="R214" s="963">
        <f t="shared" si="38"/>
        <v>99.85</v>
      </c>
      <c r="S214" s="972">
        <v>0</v>
      </c>
      <c r="T214" s="443" t="e">
        <f>#REF!+#REF!-M214</f>
        <v>#REF!</v>
      </c>
      <c r="U214" s="952" t="e">
        <f>ROUND((#REF!+#REF!+#REF!+#REF!+#REF!+#REF!+#REF!+#REF!+#REF!),2)</f>
        <v>#REF!</v>
      </c>
      <c r="Y214" s="953" t="e">
        <f>#REF!+#REF!-M214</f>
        <v>#REF!</v>
      </c>
      <c r="Z214" s="954" t="e">
        <f>#REF!</f>
        <v>#REF!</v>
      </c>
      <c r="AA214" s="953" t="e">
        <f>#REF!+#REF!</f>
        <v>#REF!</v>
      </c>
      <c r="AB214" s="954" t="e">
        <f>#REF!</f>
        <v>#REF!</v>
      </c>
      <c r="AC214" s="955">
        <v>0</v>
      </c>
      <c r="AD214" s="954" t="e">
        <f>#REF!</f>
        <v>#REF!</v>
      </c>
      <c r="AE214" s="956" t="e">
        <f>#REF!+#REF!</f>
        <v>#REF!</v>
      </c>
      <c r="AF214" s="956" t="e">
        <f>#REF!+#REF!</f>
        <v>#REF!</v>
      </c>
      <c r="AG214" s="956"/>
      <c r="AH214" s="954" t="e">
        <f>#REF!</f>
        <v>#REF!</v>
      </c>
      <c r="AI214" s="954" t="e">
        <f t="shared" si="31"/>
        <v>#REF!</v>
      </c>
      <c r="AJ214" s="954">
        <f t="shared" si="32"/>
        <v>99.85</v>
      </c>
      <c r="AK214" s="954">
        <f t="shared" si="33"/>
        <v>0</v>
      </c>
      <c r="AL214" s="625"/>
    </row>
    <row r="215" spans="1:38" s="620" customFormat="1" ht="20.100000000000001" customHeight="1" x14ac:dyDescent="0.2">
      <c r="A215" s="759">
        <f t="shared" si="34"/>
        <v>171</v>
      </c>
      <c r="B215" s="957">
        <f>+NOMINA!C214</f>
        <v>18096996</v>
      </c>
      <c r="C215" s="958" t="str">
        <f>+NOMINA!D214</f>
        <v>Diaz Maldonado Anny Jackeline</v>
      </c>
      <c r="D215" s="955" t="s">
        <v>4622</v>
      </c>
      <c r="E215" s="959">
        <v>32351</v>
      </c>
      <c r="F215" s="955" t="s">
        <v>4620</v>
      </c>
      <c r="G215" s="971">
        <f>+NOMINA!H214</f>
        <v>44743</v>
      </c>
      <c r="H215" s="961">
        <f t="shared" si="35"/>
        <v>0</v>
      </c>
      <c r="I215" s="962">
        <v>0</v>
      </c>
      <c r="J215" s="968">
        <f>+NOMINA!BL214</f>
        <v>20.39</v>
      </c>
      <c r="K215" s="968">
        <f>+NOMINA!BM214</f>
        <v>2.5499999999999998</v>
      </c>
      <c r="L215" s="968">
        <f>+NOMINA!BN214</f>
        <v>4.42</v>
      </c>
      <c r="M215" s="963">
        <f t="shared" si="36"/>
        <v>27.36</v>
      </c>
      <c r="N215" s="968">
        <f>+NOMINA!BR214</f>
        <v>45.87</v>
      </c>
      <c r="O215" s="968">
        <f>+NOMINA!BS214</f>
        <v>10.19</v>
      </c>
      <c r="P215" s="968">
        <f>+NOMINA!BT214</f>
        <v>8.84</v>
      </c>
      <c r="Q215" s="963">
        <f t="shared" si="37"/>
        <v>64.900000000000006</v>
      </c>
      <c r="R215" s="963">
        <f t="shared" si="38"/>
        <v>92.26</v>
      </c>
      <c r="S215" s="972">
        <v>0</v>
      </c>
      <c r="T215" s="443" t="e">
        <f>#REF!+#REF!-M215</f>
        <v>#REF!</v>
      </c>
      <c r="U215" s="952" t="e">
        <f>ROUND((#REF!+#REF!+#REF!+#REF!+#REF!+#REF!+#REF!+#REF!+#REF!),2)</f>
        <v>#REF!</v>
      </c>
      <c r="Y215" s="953" t="e">
        <f>#REF!+#REF!-M215</f>
        <v>#REF!</v>
      </c>
      <c r="Z215" s="954" t="e">
        <f>#REF!</f>
        <v>#REF!</v>
      </c>
      <c r="AA215" s="953" t="e">
        <f>#REF!+#REF!</f>
        <v>#REF!</v>
      </c>
      <c r="AB215" s="954" t="e">
        <f>#REF!</f>
        <v>#REF!</v>
      </c>
      <c r="AC215" s="955">
        <v>0</v>
      </c>
      <c r="AD215" s="954" t="e">
        <f>#REF!</f>
        <v>#REF!</v>
      </c>
      <c r="AE215" s="956" t="e">
        <f>#REF!+#REF!</f>
        <v>#REF!</v>
      </c>
      <c r="AF215" s="956" t="e">
        <f>#REF!+#REF!</f>
        <v>#REF!</v>
      </c>
      <c r="AG215" s="956"/>
      <c r="AH215" s="954" t="e">
        <f>#REF!</f>
        <v>#REF!</v>
      </c>
      <c r="AI215" s="954" t="e">
        <f t="shared" si="31"/>
        <v>#REF!</v>
      </c>
      <c r="AJ215" s="954">
        <f t="shared" si="32"/>
        <v>92.26</v>
      </c>
      <c r="AK215" s="954">
        <f t="shared" si="33"/>
        <v>0</v>
      </c>
      <c r="AL215" s="625"/>
    </row>
    <row r="216" spans="1:38" s="620" customFormat="1" ht="20.100000000000001" customHeight="1" x14ac:dyDescent="0.2">
      <c r="A216" s="759">
        <f t="shared" si="34"/>
        <v>172</v>
      </c>
      <c r="B216" s="957">
        <f>+NOMINA!C215</f>
        <v>18097528</v>
      </c>
      <c r="C216" s="958" t="str">
        <f>+NOMINA!D215</f>
        <v>Godoy Suarez Nelson Jose</v>
      </c>
      <c r="D216" s="955" t="s">
        <v>4622</v>
      </c>
      <c r="E216" s="959">
        <v>32351</v>
      </c>
      <c r="F216" s="955" t="s">
        <v>4620</v>
      </c>
      <c r="G216" s="971">
        <f>+NOMINA!H215</f>
        <v>45536</v>
      </c>
      <c r="H216" s="961">
        <f t="shared" si="35"/>
        <v>0</v>
      </c>
      <c r="I216" s="962">
        <v>0</v>
      </c>
      <c r="J216" s="968">
        <f>+NOMINA!BL215</f>
        <v>17.18</v>
      </c>
      <c r="K216" s="968">
        <f>+NOMINA!BM215</f>
        <v>2.15</v>
      </c>
      <c r="L216" s="968">
        <f>+NOMINA!BN215</f>
        <v>3.72</v>
      </c>
      <c r="M216" s="963">
        <f t="shared" si="36"/>
        <v>23.05</v>
      </c>
      <c r="N216" s="968">
        <f>+NOMINA!BR215</f>
        <v>38.65</v>
      </c>
      <c r="O216" s="968">
        <f>+NOMINA!BS215</f>
        <v>8.59</v>
      </c>
      <c r="P216" s="968">
        <f>+NOMINA!BT215</f>
        <v>7.44</v>
      </c>
      <c r="Q216" s="963">
        <f t="shared" si="37"/>
        <v>54.68</v>
      </c>
      <c r="R216" s="963">
        <f t="shared" si="38"/>
        <v>77.73</v>
      </c>
      <c r="S216" s="972">
        <v>0</v>
      </c>
      <c r="T216" s="443" t="e">
        <f>#REF!+#REF!-M216</f>
        <v>#REF!</v>
      </c>
      <c r="U216" s="952" t="e">
        <f>ROUND((#REF!+#REF!+#REF!+#REF!+#REF!+#REF!+#REF!+#REF!+#REF!),2)</f>
        <v>#REF!</v>
      </c>
      <c r="Y216" s="953" t="e">
        <f>#REF!+#REF!-M216</f>
        <v>#REF!</v>
      </c>
      <c r="Z216" s="954" t="e">
        <f>#REF!</f>
        <v>#REF!</v>
      </c>
      <c r="AA216" s="953" t="e">
        <f>#REF!+#REF!</f>
        <v>#REF!</v>
      </c>
      <c r="AB216" s="954" t="e">
        <f>#REF!</f>
        <v>#REF!</v>
      </c>
      <c r="AC216" s="955">
        <v>0</v>
      </c>
      <c r="AD216" s="954" t="e">
        <f>#REF!</f>
        <v>#REF!</v>
      </c>
      <c r="AE216" s="956" t="e">
        <f>#REF!+#REF!</f>
        <v>#REF!</v>
      </c>
      <c r="AF216" s="956" t="e">
        <f>#REF!+#REF!</f>
        <v>#REF!</v>
      </c>
      <c r="AG216" s="956"/>
      <c r="AH216" s="954" t="e">
        <f>#REF!</f>
        <v>#REF!</v>
      </c>
      <c r="AI216" s="954" t="e">
        <f t="shared" si="31"/>
        <v>#REF!</v>
      </c>
      <c r="AJ216" s="954">
        <f t="shared" si="32"/>
        <v>77.73</v>
      </c>
      <c r="AK216" s="954">
        <f t="shared" si="33"/>
        <v>0</v>
      </c>
      <c r="AL216" s="625"/>
    </row>
    <row r="217" spans="1:38" s="620" customFormat="1" ht="20.100000000000001" customHeight="1" x14ac:dyDescent="0.2">
      <c r="A217" s="759">
        <f t="shared" si="34"/>
        <v>173</v>
      </c>
      <c r="B217" s="957">
        <f>+NOMINA!C216</f>
        <v>18097873</v>
      </c>
      <c r="C217" s="958" t="str">
        <f>+NOMINA!D216</f>
        <v>Villarreal Prada Yoriangela Nataly</v>
      </c>
      <c r="D217" s="955" t="s">
        <v>4622</v>
      </c>
      <c r="E217" s="959">
        <v>32351</v>
      </c>
      <c r="F217" s="955" t="s">
        <v>4620</v>
      </c>
      <c r="G217" s="971">
        <f>+NOMINA!H216</f>
        <v>44531</v>
      </c>
      <c r="H217" s="961">
        <f t="shared" si="35"/>
        <v>1</v>
      </c>
      <c r="I217" s="962">
        <v>0</v>
      </c>
      <c r="J217" s="968">
        <f>+NOMINA!BL216</f>
        <v>18.57</v>
      </c>
      <c r="K217" s="968">
        <f>+NOMINA!BM216</f>
        <v>2.3199999999999998</v>
      </c>
      <c r="L217" s="968">
        <f>+NOMINA!BN216</f>
        <v>4.0199999999999996</v>
      </c>
      <c r="M217" s="963">
        <f t="shared" si="36"/>
        <v>24.91</v>
      </c>
      <c r="N217" s="968">
        <f>+NOMINA!BR216</f>
        <v>41.78</v>
      </c>
      <c r="O217" s="968">
        <f>+NOMINA!BS216</f>
        <v>9.2899999999999991</v>
      </c>
      <c r="P217" s="968">
        <f>+NOMINA!BT216</f>
        <v>8.0399999999999991</v>
      </c>
      <c r="Q217" s="963">
        <f t="shared" si="37"/>
        <v>59.11</v>
      </c>
      <c r="R217" s="963">
        <f t="shared" si="38"/>
        <v>84.02</v>
      </c>
      <c r="S217" s="972">
        <v>0</v>
      </c>
      <c r="T217" s="443" t="e">
        <f>#REF!+#REF!-M217</f>
        <v>#REF!</v>
      </c>
      <c r="U217" s="952" t="e">
        <f>ROUND((#REF!+#REF!+#REF!+#REF!+#REF!+#REF!+#REF!+#REF!+#REF!),2)</f>
        <v>#REF!</v>
      </c>
      <c r="Y217" s="953" t="e">
        <f>#REF!+#REF!-M217</f>
        <v>#REF!</v>
      </c>
      <c r="Z217" s="954" t="e">
        <f>#REF!</f>
        <v>#REF!</v>
      </c>
      <c r="AA217" s="953" t="e">
        <f>#REF!+#REF!</f>
        <v>#REF!</v>
      </c>
      <c r="AB217" s="954" t="e">
        <f>#REF!</f>
        <v>#REF!</v>
      </c>
      <c r="AC217" s="955">
        <v>0</v>
      </c>
      <c r="AD217" s="954" t="e">
        <f>#REF!</f>
        <v>#REF!</v>
      </c>
      <c r="AE217" s="956" t="e">
        <f>#REF!+#REF!</f>
        <v>#REF!</v>
      </c>
      <c r="AF217" s="956" t="e">
        <f>#REF!+#REF!</f>
        <v>#REF!</v>
      </c>
      <c r="AG217" s="956"/>
      <c r="AH217" s="954" t="e">
        <f>#REF!</f>
        <v>#REF!</v>
      </c>
      <c r="AI217" s="954" t="e">
        <f t="shared" si="31"/>
        <v>#REF!</v>
      </c>
      <c r="AJ217" s="954">
        <f t="shared" si="32"/>
        <v>84.02</v>
      </c>
      <c r="AK217" s="954">
        <f t="shared" si="33"/>
        <v>0</v>
      </c>
      <c r="AL217" s="625"/>
    </row>
    <row r="218" spans="1:38" s="620" customFormat="1" ht="20.100000000000001" customHeight="1" x14ac:dyDescent="0.2">
      <c r="A218" s="759">
        <f t="shared" si="34"/>
        <v>174</v>
      </c>
      <c r="B218" s="957">
        <f>+NOMINA!C217</f>
        <v>18348317</v>
      </c>
      <c r="C218" s="958" t="str">
        <f>+NOMINA!D217</f>
        <v>Abreu Araujo Gilmer Francisco</v>
      </c>
      <c r="D218" s="955" t="s">
        <v>4622</v>
      </c>
      <c r="E218" s="959">
        <v>32351</v>
      </c>
      <c r="F218" s="955" t="s">
        <v>4620</v>
      </c>
      <c r="G218" s="971">
        <f>+NOMINA!H217</f>
        <v>43160</v>
      </c>
      <c r="H218" s="961">
        <f t="shared" si="35"/>
        <v>4</v>
      </c>
      <c r="I218" s="962">
        <v>0</v>
      </c>
      <c r="J218" s="968">
        <f>+NOMINA!BL217</f>
        <v>26.53</v>
      </c>
      <c r="K218" s="968">
        <f>+NOMINA!BM217</f>
        <v>3.32</v>
      </c>
      <c r="L218" s="968">
        <f>+NOMINA!BN217</f>
        <v>5.75</v>
      </c>
      <c r="M218" s="963">
        <f t="shared" si="36"/>
        <v>35.6</v>
      </c>
      <c r="N218" s="968">
        <f>+NOMINA!BR217</f>
        <v>59.69</v>
      </c>
      <c r="O218" s="968">
        <f>+NOMINA!BS217</f>
        <v>13.26</v>
      </c>
      <c r="P218" s="968">
        <f>+NOMINA!BT217</f>
        <v>11.5</v>
      </c>
      <c r="Q218" s="963">
        <f t="shared" si="37"/>
        <v>84.45</v>
      </c>
      <c r="R218" s="963">
        <f t="shared" si="38"/>
        <v>120.05000000000001</v>
      </c>
      <c r="S218" s="972">
        <v>0</v>
      </c>
      <c r="T218" s="443" t="e">
        <f>#REF!+#REF!-M218</f>
        <v>#REF!</v>
      </c>
      <c r="U218" s="952" t="e">
        <f>ROUND((#REF!+#REF!+#REF!+#REF!+#REF!+#REF!+#REF!+#REF!+#REF!),2)</f>
        <v>#REF!</v>
      </c>
      <c r="Y218" s="953" t="e">
        <f>#REF!+#REF!-M218</f>
        <v>#REF!</v>
      </c>
      <c r="Z218" s="954" t="e">
        <f>#REF!</f>
        <v>#REF!</v>
      </c>
      <c r="AA218" s="953" t="e">
        <f>#REF!+#REF!</f>
        <v>#REF!</v>
      </c>
      <c r="AB218" s="954" t="e">
        <f>#REF!</f>
        <v>#REF!</v>
      </c>
      <c r="AC218" s="955">
        <v>0</v>
      </c>
      <c r="AD218" s="954" t="e">
        <f>#REF!</f>
        <v>#REF!</v>
      </c>
      <c r="AE218" s="956" t="e">
        <f>#REF!+#REF!</f>
        <v>#REF!</v>
      </c>
      <c r="AF218" s="956" t="e">
        <f>#REF!+#REF!</f>
        <v>#REF!</v>
      </c>
      <c r="AG218" s="956"/>
      <c r="AH218" s="954" t="e">
        <f>#REF!</f>
        <v>#REF!</v>
      </c>
      <c r="AI218" s="954" t="e">
        <f t="shared" si="31"/>
        <v>#REF!</v>
      </c>
      <c r="AJ218" s="954">
        <f t="shared" si="32"/>
        <v>120.05000000000001</v>
      </c>
      <c r="AK218" s="954">
        <f t="shared" si="33"/>
        <v>0</v>
      </c>
      <c r="AL218" s="625"/>
    </row>
    <row r="219" spans="1:38" s="620" customFormat="1" ht="20.100000000000001" customHeight="1" x14ac:dyDescent="0.2">
      <c r="A219" s="759">
        <f t="shared" si="34"/>
        <v>175</v>
      </c>
      <c r="B219" s="957">
        <f>+NOMINA!C218</f>
        <v>18348721</v>
      </c>
      <c r="C219" s="958" t="str">
        <f>+NOMINA!D218</f>
        <v>Villarreal Lusana Carolina</v>
      </c>
      <c r="D219" s="955" t="s">
        <v>4622</v>
      </c>
      <c r="E219" s="959">
        <v>32351</v>
      </c>
      <c r="F219" s="955" t="s">
        <v>4620</v>
      </c>
      <c r="G219" s="971">
        <f>+NOMINA!H218</f>
        <v>42948</v>
      </c>
      <c r="H219" s="961">
        <f t="shared" si="35"/>
        <v>5</v>
      </c>
      <c r="I219" s="962">
        <v>0</v>
      </c>
      <c r="J219" s="968">
        <f>+NOMINA!BL218</f>
        <v>21.88</v>
      </c>
      <c r="K219" s="968">
        <f>+NOMINA!BM218</f>
        <v>2.73</v>
      </c>
      <c r="L219" s="968">
        <f>+NOMINA!BN218</f>
        <v>4.74</v>
      </c>
      <c r="M219" s="963">
        <f t="shared" si="36"/>
        <v>29.35</v>
      </c>
      <c r="N219" s="968">
        <f>+NOMINA!BR218</f>
        <v>49.22</v>
      </c>
      <c r="O219" s="968">
        <f>+NOMINA!BS218</f>
        <v>10.94</v>
      </c>
      <c r="P219" s="968">
        <f>+NOMINA!BT218</f>
        <v>9.48</v>
      </c>
      <c r="Q219" s="963">
        <f t="shared" si="37"/>
        <v>69.64</v>
      </c>
      <c r="R219" s="963">
        <f t="shared" si="38"/>
        <v>98.990000000000009</v>
      </c>
      <c r="S219" s="972">
        <v>0</v>
      </c>
      <c r="T219" s="443" t="e">
        <f>#REF!+#REF!-M219</f>
        <v>#REF!</v>
      </c>
      <c r="U219" s="952" t="e">
        <f>ROUND((#REF!+#REF!+#REF!+#REF!+#REF!+#REF!+#REF!+#REF!+#REF!),2)</f>
        <v>#REF!</v>
      </c>
      <c r="Y219" s="953" t="e">
        <f>#REF!+#REF!-M219</f>
        <v>#REF!</v>
      </c>
      <c r="Z219" s="954" t="e">
        <f>#REF!</f>
        <v>#REF!</v>
      </c>
      <c r="AA219" s="953" t="e">
        <f>#REF!+#REF!</f>
        <v>#REF!</v>
      </c>
      <c r="AB219" s="954" t="e">
        <f>#REF!</f>
        <v>#REF!</v>
      </c>
      <c r="AC219" s="955">
        <v>0</v>
      </c>
      <c r="AD219" s="954" t="e">
        <f>#REF!</f>
        <v>#REF!</v>
      </c>
      <c r="AE219" s="956" t="e">
        <f>#REF!+#REF!</f>
        <v>#REF!</v>
      </c>
      <c r="AF219" s="956" t="e">
        <f>#REF!+#REF!</f>
        <v>#REF!</v>
      </c>
      <c r="AG219" s="956"/>
      <c r="AH219" s="954" t="e">
        <f>#REF!</f>
        <v>#REF!</v>
      </c>
      <c r="AI219" s="954" t="e">
        <f t="shared" si="31"/>
        <v>#REF!</v>
      </c>
      <c r="AJ219" s="954">
        <f t="shared" si="32"/>
        <v>98.990000000000009</v>
      </c>
      <c r="AK219" s="954">
        <f t="shared" si="33"/>
        <v>0</v>
      </c>
      <c r="AL219" s="625"/>
    </row>
    <row r="220" spans="1:38" s="620" customFormat="1" ht="20.100000000000001" customHeight="1" x14ac:dyDescent="0.2">
      <c r="A220" s="759">
        <f t="shared" si="34"/>
        <v>176</v>
      </c>
      <c r="B220" s="957">
        <f>+NOMINA!C219</f>
        <v>18349021</v>
      </c>
      <c r="C220" s="958" t="str">
        <f>+NOMINA!D219</f>
        <v>Godoy Linares Amenaida del Valle</v>
      </c>
      <c r="D220" s="955" t="s">
        <v>4622</v>
      </c>
      <c r="E220" s="959">
        <v>32351</v>
      </c>
      <c r="F220" s="955" t="s">
        <v>4620</v>
      </c>
      <c r="G220" s="971">
        <f>+NOMINA!H219</f>
        <v>44683</v>
      </c>
      <c r="H220" s="961">
        <f t="shared" si="35"/>
        <v>0</v>
      </c>
      <c r="I220" s="962">
        <v>0</v>
      </c>
      <c r="J220" s="968">
        <f>+NOMINA!BL219</f>
        <v>27.61</v>
      </c>
      <c r="K220" s="968">
        <f>+NOMINA!BM219</f>
        <v>3.45</v>
      </c>
      <c r="L220" s="968">
        <f>+NOMINA!BN219</f>
        <v>5.98</v>
      </c>
      <c r="M220" s="963">
        <f t="shared" si="36"/>
        <v>37.04</v>
      </c>
      <c r="N220" s="968">
        <f>+NOMINA!BR219</f>
        <v>62.11</v>
      </c>
      <c r="O220" s="968">
        <f>+NOMINA!BS219</f>
        <v>13.8</v>
      </c>
      <c r="P220" s="968">
        <f>+NOMINA!BT219</f>
        <v>11.96</v>
      </c>
      <c r="Q220" s="963">
        <f t="shared" si="37"/>
        <v>87.87</v>
      </c>
      <c r="R220" s="963">
        <f t="shared" si="38"/>
        <v>124.91</v>
      </c>
      <c r="S220" s="972">
        <v>0</v>
      </c>
      <c r="T220" s="443" t="e">
        <f>#REF!+#REF!-M220</f>
        <v>#REF!</v>
      </c>
      <c r="U220" s="952" t="e">
        <f>ROUND((#REF!+#REF!+#REF!+#REF!+#REF!+#REF!+#REF!+#REF!+#REF!),2)</f>
        <v>#REF!</v>
      </c>
      <c r="Y220" s="953" t="e">
        <f>#REF!+#REF!-M220</f>
        <v>#REF!</v>
      </c>
      <c r="Z220" s="954" t="e">
        <f>#REF!</f>
        <v>#REF!</v>
      </c>
      <c r="AA220" s="953" t="e">
        <f>#REF!+#REF!</f>
        <v>#REF!</v>
      </c>
      <c r="AB220" s="954" t="e">
        <f>#REF!</f>
        <v>#REF!</v>
      </c>
      <c r="AC220" s="955">
        <v>0</v>
      </c>
      <c r="AD220" s="954" t="e">
        <f>#REF!</f>
        <v>#REF!</v>
      </c>
      <c r="AE220" s="956" t="e">
        <f>#REF!+#REF!</f>
        <v>#REF!</v>
      </c>
      <c r="AF220" s="956" t="e">
        <f>#REF!+#REF!</f>
        <v>#REF!</v>
      </c>
      <c r="AG220" s="956"/>
      <c r="AH220" s="954" t="e">
        <f>#REF!</f>
        <v>#REF!</v>
      </c>
      <c r="AI220" s="954" t="e">
        <f t="shared" si="31"/>
        <v>#REF!</v>
      </c>
      <c r="AJ220" s="954">
        <f t="shared" si="32"/>
        <v>124.91</v>
      </c>
      <c r="AK220" s="954">
        <f t="shared" si="33"/>
        <v>0</v>
      </c>
      <c r="AL220" s="625"/>
    </row>
    <row r="221" spans="1:38" s="620" customFormat="1" ht="20.100000000000001" customHeight="1" x14ac:dyDescent="0.2">
      <c r="A221" s="759">
        <f t="shared" si="34"/>
        <v>177</v>
      </c>
      <c r="B221" s="957">
        <f>+NOMINA!C220</f>
        <v>18349409</v>
      </c>
      <c r="C221" s="958" t="str">
        <f>+NOMINA!D220</f>
        <v>Fernandez Mendoza Maria Alejandra</v>
      </c>
      <c r="D221" s="955" t="s">
        <v>4622</v>
      </c>
      <c r="E221" s="959">
        <v>32351</v>
      </c>
      <c r="F221" s="955" t="s">
        <v>4620</v>
      </c>
      <c r="G221" s="971">
        <f>+NOMINA!H220</f>
        <v>45839</v>
      </c>
      <c r="H221" s="961">
        <f t="shared" si="35"/>
        <v>0</v>
      </c>
      <c r="I221" s="962">
        <v>0</v>
      </c>
      <c r="J221" s="968">
        <f>+NOMINA!BL220</f>
        <v>16.350000000000001</v>
      </c>
      <c r="K221" s="968">
        <f>+NOMINA!BM220</f>
        <v>2.04</v>
      </c>
      <c r="L221" s="968">
        <f>+NOMINA!BN220</f>
        <v>3.54</v>
      </c>
      <c r="M221" s="963">
        <f t="shared" si="36"/>
        <v>21.93</v>
      </c>
      <c r="N221" s="968">
        <f>+NOMINA!BR220</f>
        <v>36.79</v>
      </c>
      <c r="O221" s="968">
        <f>+NOMINA!BS220</f>
        <v>8.18</v>
      </c>
      <c r="P221" s="968">
        <f>+NOMINA!BT220</f>
        <v>7.08</v>
      </c>
      <c r="Q221" s="963">
        <f t="shared" si="37"/>
        <v>52.05</v>
      </c>
      <c r="R221" s="963">
        <f t="shared" si="38"/>
        <v>73.97999999999999</v>
      </c>
      <c r="S221" s="972">
        <v>0</v>
      </c>
      <c r="T221" s="443" t="e">
        <f>#REF!+#REF!-M221</f>
        <v>#REF!</v>
      </c>
      <c r="U221" s="952" t="e">
        <f>ROUND((#REF!+#REF!+#REF!+#REF!+#REF!+#REF!+#REF!+#REF!+#REF!),2)</f>
        <v>#REF!</v>
      </c>
      <c r="Y221" s="953" t="e">
        <f>#REF!+#REF!-M221</f>
        <v>#REF!</v>
      </c>
      <c r="Z221" s="954" t="e">
        <f>#REF!</f>
        <v>#REF!</v>
      </c>
      <c r="AA221" s="953" t="e">
        <f>#REF!+#REF!</f>
        <v>#REF!</v>
      </c>
      <c r="AB221" s="954" t="e">
        <f>#REF!</f>
        <v>#REF!</v>
      </c>
      <c r="AC221" s="955">
        <v>0</v>
      </c>
      <c r="AD221" s="954" t="e">
        <f>#REF!</f>
        <v>#REF!</v>
      </c>
      <c r="AE221" s="956" t="e">
        <f>#REF!+#REF!</f>
        <v>#REF!</v>
      </c>
      <c r="AF221" s="956" t="e">
        <f>#REF!+#REF!</f>
        <v>#REF!</v>
      </c>
      <c r="AG221" s="956"/>
      <c r="AH221" s="954" t="e">
        <f>#REF!</f>
        <v>#REF!</v>
      </c>
      <c r="AI221" s="954" t="e">
        <f t="shared" si="31"/>
        <v>#REF!</v>
      </c>
      <c r="AJ221" s="954">
        <f t="shared" si="32"/>
        <v>73.97999999999999</v>
      </c>
      <c r="AK221" s="954">
        <f t="shared" si="33"/>
        <v>0</v>
      </c>
      <c r="AL221" s="625"/>
    </row>
    <row r="222" spans="1:38" s="620" customFormat="1" ht="20.100000000000001" customHeight="1" x14ac:dyDescent="0.2">
      <c r="A222" s="759">
        <f t="shared" si="34"/>
        <v>178</v>
      </c>
      <c r="B222" s="957">
        <f>+NOMINA!C221</f>
        <v>18349653</v>
      </c>
      <c r="C222" s="958" t="str">
        <f>+NOMINA!D221</f>
        <v>Baptista Finol Violexy del Valle</v>
      </c>
      <c r="D222" s="955" t="s">
        <v>4622</v>
      </c>
      <c r="E222" s="959">
        <v>32351</v>
      </c>
      <c r="F222" s="955" t="s">
        <v>4620</v>
      </c>
      <c r="G222" s="971">
        <f>+NOMINA!H221</f>
        <v>45627</v>
      </c>
      <c r="H222" s="961">
        <f t="shared" si="35"/>
        <v>0</v>
      </c>
      <c r="I222" s="962">
        <v>0</v>
      </c>
      <c r="J222" s="968">
        <f>+NOMINA!BL221</f>
        <v>26.03</v>
      </c>
      <c r="K222" s="968">
        <f>+NOMINA!BM221</f>
        <v>3.25</v>
      </c>
      <c r="L222" s="968">
        <f>+NOMINA!BN221</f>
        <v>5.64</v>
      </c>
      <c r="M222" s="963">
        <f t="shared" si="36"/>
        <v>34.92</v>
      </c>
      <c r="N222" s="968">
        <f>+NOMINA!BR221</f>
        <v>58.56</v>
      </c>
      <c r="O222" s="968">
        <f>+NOMINA!BS221</f>
        <v>13.01</v>
      </c>
      <c r="P222" s="968">
        <f>+NOMINA!BT221</f>
        <v>11.28</v>
      </c>
      <c r="Q222" s="963">
        <f t="shared" si="37"/>
        <v>82.85</v>
      </c>
      <c r="R222" s="963">
        <f t="shared" si="38"/>
        <v>117.77</v>
      </c>
      <c r="S222" s="972">
        <v>0</v>
      </c>
      <c r="T222" s="443" t="e">
        <f>#REF!+#REF!-M222</f>
        <v>#REF!</v>
      </c>
      <c r="U222" s="952" t="e">
        <f>ROUND((#REF!+#REF!+#REF!+#REF!+#REF!+#REF!+#REF!+#REF!+#REF!),2)</f>
        <v>#REF!</v>
      </c>
      <c r="Y222" s="953" t="e">
        <f>#REF!+#REF!-M222</f>
        <v>#REF!</v>
      </c>
      <c r="Z222" s="954" t="e">
        <f>#REF!</f>
        <v>#REF!</v>
      </c>
      <c r="AA222" s="953" t="e">
        <f>#REF!+#REF!</f>
        <v>#REF!</v>
      </c>
      <c r="AB222" s="954" t="e">
        <f>#REF!</f>
        <v>#REF!</v>
      </c>
      <c r="AC222" s="955">
        <v>0</v>
      </c>
      <c r="AD222" s="954" t="e">
        <f>#REF!</f>
        <v>#REF!</v>
      </c>
      <c r="AE222" s="956" t="e">
        <f>#REF!+#REF!</f>
        <v>#REF!</v>
      </c>
      <c r="AF222" s="956" t="e">
        <f>#REF!+#REF!</f>
        <v>#REF!</v>
      </c>
      <c r="AG222" s="956"/>
      <c r="AH222" s="954" t="e">
        <f>#REF!</f>
        <v>#REF!</v>
      </c>
      <c r="AI222" s="954" t="e">
        <f t="shared" si="31"/>
        <v>#REF!</v>
      </c>
      <c r="AJ222" s="954">
        <f t="shared" si="32"/>
        <v>117.77</v>
      </c>
      <c r="AK222" s="954">
        <f t="shared" si="33"/>
        <v>0</v>
      </c>
      <c r="AL222" s="625"/>
    </row>
    <row r="223" spans="1:38" s="620" customFormat="1" ht="20.100000000000001" customHeight="1" x14ac:dyDescent="0.2">
      <c r="A223" s="759">
        <f t="shared" si="34"/>
        <v>179</v>
      </c>
      <c r="B223" s="957">
        <f>+NOMINA!C222</f>
        <v>18350884</v>
      </c>
      <c r="C223" s="958" t="str">
        <f>+NOMINA!D222</f>
        <v>Araujo Mendoza Mirelis Carolina</v>
      </c>
      <c r="D223" s="955" t="s">
        <v>4622</v>
      </c>
      <c r="E223" s="959">
        <v>32351</v>
      </c>
      <c r="F223" s="955" t="s">
        <v>4620</v>
      </c>
      <c r="G223" s="971">
        <f>+NOMINA!H222</f>
        <v>45474</v>
      </c>
      <c r="H223" s="961">
        <f t="shared" si="35"/>
        <v>0</v>
      </c>
      <c r="I223" s="962">
        <v>0</v>
      </c>
      <c r="J223" s="968">
        <f>+NOMINA!BL222</f>
        <v>16.43</v>
      </c>
      <c r="K223" s="968">
        <f>+NOMINA!BM222</f>
        <v>2.0499999999999998</v>
      </c>
      <c r="L223" s="968">
        <f>+NOMINA!BN222</f>
        <v>3.56</v>
      </c>
      <c r="M223" s="963">
        <f t="shared" si="36"/>
        <v>22.04</v>
      </c>
      <c r="N223" s="968">
        <f>+NOMINA!BR222</f>
        <v>36.96</v>
      </c>
      <c r="O223" s="968">
        <f>+NOMINA!BS222</f>
        <v>8.2100000000000009</v>
      </c>
      <c r="P223" s="968">
        <f>+NOMINA!BT222</f>
        <v>7.12</v>
      </c>
      <c r="Q223" s="963">
        <f t="shared" si="37"/>
        <v>52.29</v>
      </c>
      <c r="R223" s="963">
        <f t="shared" si="38"/>
        <v>74.33</v>
      </c>
      <c r="S223" s="972">
        <v>0</v>
      </c>
      <c r="T223" s="443" t="e">
        <f>#REF!+#REF!-M223</f>
        <v>#REF!</v>
      </c>
      <c r="U223" s="952" t="e">
        <f>ROUND((#REF!+#REF!+#REF!+#REF!+#REF!+#REF!+#REF!+#REF!+#REF!),2)</f>
        <v>#REF!</v>
      </c>
      <c r="Y223" s="953" t="e">
        <f>#REF!+#REF!-M223</f>
        <v>#REF!</v>
      </c>
      <c r="Z223" s="954" t="e">
        <f>#REF!</f>
        <v>#REF!</v>
      </c>
      <c r="AA223" s="953" t="e">
        <f>#REF!+#REF!</f>
        <v>#REF!</v>
      </c>
      <c r="AB223" s="954" t="e">
        <f>#REF!</f>
        <v>#REF!</v>
      </c>
      <c r="AC223" s="955">
        <v>0</v>
      </c>
      <c r="AD223" s="954" t="e">
        <f>#REF!</f>
        <v>#REF!</v>
      </c>
      <c r="AE223" s="956" t="e">
        <f>#REF!+#REF!</f>
        <v>#REF!</v>
      </c>
      <c r="AF223" s="956" t="e">
        <f>#REF!+#REF!</f>
        <v>#REF!</v>
      </c>
      <c r="AG223" s="956"/>
      <c r="AH223" s="954" t="e">
        <f>#REF!</f>
        <v>#REF!</v>
      </c>
      <c r="AI223" s="954" t="e">
        <f t="shared" si="31"/>
        <v>#REF!</v>
      </c>
      <c r="AJ223" s="954">
        <f t="shared" si="32"/>
        <v>74.33</v>
      </c>
      <c r="AK223" s="954">
        <f t="shared" si="33"/>
        <v>0</v>
      </c>
      <c r="AL223" s="625"/>
    </row>
    <row r="224" spans="1:38" s="620" customFormat="1" ht="20.100000000000001" customHeight="1" x14ac:dyDescent="0.2">
      <c r="A224" s="759">
        <f t="shared" si="34"/>
        <v>180</v>
      </c>
      <c r="B224" s="957">
        <f>+NOMINA!C223</f>
        <v>18378985</v>
      </c>
      <c r="C224" s="958" t="str">
        <f>+NOMINA!D223</f>
        <v>Quintero Paradas Ilse Maria</v>
      </c>
      <c r="D224" s="955" t="s">
        <v>4622</v>
      </c>
      <c r="E224" s="959">
        <v>32351</v>
      </c>
      <c r="F224" s="955" t="s">
        <v>4620</v>
      </c>
      <c r="G224" s="971">
        <f>+NOMINA!H223</f>
        <v>43147</v>
      </c>
      <c r="H224" s="961">
        <f t="shared" si="35"/>
        <v>4</v>
      </c>
      <c r="I224" s="962">
        <v>0</v>
      </c>
      <c r="J224" s="968">
        <f>+NOMINA!BL223</f>
        <v>26.23</v>
      </c>
      <c r="K224" s="968">
        <f>+NOMINA!BM223</f>
        <v>3.28</v>
      </c>
      <c r="L224" s="968">
        <f>+NOMINA!BN223</f>
        <v>5.68</v>
      </c>
      <c r="M224" s="963">
        <f t="shared" si="36"/>
        <v>35.19</v>
      </c>
      <c r="N224" s="968">
        <f>+NOMINA!BR223</f>
        <v>59.02</v>
      </c>
      <c r="O224" s="968">
        <f>+NOMINA!BS223</f>
        <v>13.11</v>
      </c>
      <c r="P224" s="968">
        <f>+NOMINA!BT223</f>
        <v>11.36</v>
      </c>
      <c r="Q224" s="963">
        <f t="shared" si="37"/>
        <v>83.49</v>
      </c>
      <c r="R224" s="963">
        <f t="shared" si="38"/>
        <v>118.67999999999999</v>
      </c>
      <c r="S224" s="972">
        <v>0</v>
      </c>
      <c r="T224" s="443" t="e">
        <f>#REF!+#REF!-M224</f>
        <v>#REF!</v>
      </c>
      <c r="U224" s="952" t="e">
        <f>ROUND((#REF!+#REF!+#REF!+#REF!+#REF!+#REF!+#REF!+#REF!+#REF!),2)</f>
        <v>#REF!</v>
      </c>
      <c r="Y224" s="953" t="e">
        <f>#REF!+#REF!-M224</f>
        <v>#REF!</v>
      </c>
      <c r="Z224" s="954" t="e">
        <f>#REF!</f>
        <v>#REF!</v>
      </c>
      <c r="AA224" s="953" t="e">
        <f>#REF!+#REF!</f>
        <v>#REF!</v>
      </c>
      <c r="AB224" s="954" t="e">
        <f>#REF!</f>
        <v>#REF!</v>
      </c>
      <c r="AC224" s="955">
        <v>0</v>
      </c>
      <c r="AD224" s="954" t="e">
        <f>#REF!</f>
        <v>#REF!</v>
      </c>
      <c r="AE224" s="956" t="e">
        <f>#REF!+#REF!</f>
        <v>#REF!</v>
      </c>
      <c r="AF224" s="956" t="e">
        <f>#REF!+#REF!</f>
        <v>#REF!</v>
      </c>
      <c r="AG224" s="956"/>
      <c r="AH224" s="954" t="e">
        <f>#REF!</f>
        <v>#REF!</v>
      </c>
      <c r="AI224" s="954" t="e">
        <f t="shared" si="31"/>
        <v>#REF!</v>
      </c>
      <c r="AJ224" s="954">
        <f t="shared" si="32"/>
        <v>118.67999999999999</v>
      </c>
      <c r="AK224" s="954">
        <f t="shared" si="33"/>
        <v>0</v>
      </c>
      <c r="AL224" s="625"/>
    </row>
    <row r="225" spans="1:38" s="620" customFormat="1" ht="20.100000000000001" customHeight="1" x14ac:dyDescent="0.2">
      <c r="A225" s="759">
        <f t="shared" si="34"/>
        <v>181</v>
      </c>
      <c r="B225" s="957">
        <f>+NOMINA!C224</f>
        <v>18456345</v>
      </c>
      <c r="C225" s="958" t="str">
        <f>+NOMINA!D224</f>
        <v>Peñaloza Olmos Eduardo Jose</v>
      </c>
      <c r="D225" s="955" t="s">
        <v>4622</v>
      </c>
      <c r="E225" s="959">
        <v>32351</v>
      </c>
      <c r="F225" s="955" t="s">
        <v>4620</v>
      </c>
      <c r="G225" s="971">
        <f>+NOMINA!H224</f>
        <v>44774</v>
      </c>
      <c r="H225" s="961">
        <f t="shared" si="35"/>
        <v>0</v>
      </c>
      <c r="I225" s="962">
        <v>0</v>
      </c>
      <c r="J225" s="968">
        <f>+NOMINA!BL224</f>
        <v>23.96</v>
      </c>
      <c r="K225" s="968">
        <f>+NOMINA!BM224</f>
        <v>3</v>
      </c>
      <c r="L225" s="968">
        <f>+NOMINA!BN224</f>
        <v>5.19</v>
      </c>
      <c r="M225" s="963">
        <f t="shared" si="36"/>
        <v>32.15</v>
      </c>
      <c r="N225" s="968">
        <f>+NOMINA!BR224</f>
        <v>53.91</v>
      </c>
      <c r="O225" s="968">
        <f>+NOMINA!BS224</f>
        <v>11.98</v>
      </c>
      <c r="P225" s="968">
        <f>+NOMINA!BT224</f>
        <v>10.38</v>
      </c>
      <c r="Q225" s="963">
        <f t="shared" si="37"/>
        <v>76.27</v>
      </c>
      <c r="R225" s="963">
        <f t="shared" si="38"/>
        <v>108.41999999999999</v>
      </c>
      <c r="S225" s="972">
        <v>0</v>
      </c>
      <c r="T225" s="443" t="e">
        <f>#REF!+#REF!-M225</f>
        <v>#REF!</v>
      </c>
      <c r="U225" s="952" t="e">
        <f>ROUND((#REF!+#REF!+#REF!+#REF!+#REF!+#REF!+#REF!+#REF!+#REF!),2)</f>
        <v>#REF!</v>
      </c>
      <c r="Y225" s="953" t="e">
        <f>#REF!+#REF!-M225</f>
        <v>#REF!</v>
      </c>
      <c r="Z225" s="954" t="e">
        <f>#REF!</f>
        <v>#REF!</v>
      </c>
      <c r="AA225" s="953" t="e">
        <f>#REF!+#REF!</f>
        <v>#REF!</v>
      </c>
      <c r="AB225" s="954" t="e">
        <f>#REF!</f>
        <v>#REF!</v>
      </c>
      <c r="AC225" s="955">
        <v>0</v>
      </c>
      <c r="AD225" s="954" t="e">
        <f>#REF!</f>
        <v>#REF!</v>
      </c>
      <c r="AE225" s="956" t="e">
        <f>#REF!+#REF!</f>
        <v>#REF!</v>
      </c>
      <c r="AF225" s="956" t="e">
        <f>#REF!+#REF!</f>
        <v>#REF!</v>
      </c>
      <c r="AG225" s="956"/>
      <c r="AH225" s="954" t="e">
        <f>#REF!</f>
        <v>#REF!</v>
      </c>
      <c r="AI225" s="954" t="e">
        <f t="shared" si="31"/>
        <v>#REF!</v>
      </c>
      <c r="AJ225" s="954">
        <f t="shared" si="32"/>
        <v>108.41999999999999</v>
      </c>
      <c r="AK225" s="954">
        <f t="shared" si="33"/>
        <v>0</v>
      </c>
      <c r="AL225" s="625"/>
    </row>
    <row r="226" spans="1:38" s="620" customFormat="1" ht="20.100000000000001" customHeight="1" x14ac:dyDescent="0.2">
      <c r="A226" s="759">
        <f t="shared" si="34"/>
        <v>182</v>
      </c>
      <c r="B226" s="957">
        <f>+NOMINA!C225</f>
        <v>18457406</v>
      </c>
      <c r="C226" s="958" t="str">
        <f>+NOMINA!D225</f>
        <v>Rivero Zambrano Herluis Jose</v>
      </c>
      <c r="D226" s="955" t="s">
        <v>4622</v>
      </c>
      <c r="E226" s="959">
        <v>32351</v>
      </c>
      <c r="F226" s="955" t="s">
        <v>4620</v>
      </c>
      <c r="G226" s="971">
        <f>+NOMINA!H225</f>
        <v>41548</v>
      </c>
      <c r="H226" s="961">
        <f t="shared" si="35"/>
        <v>9</v>
      </c>
      <c r="I226" s="962">
        <v>0</v>
      </c>
      <c r="J226" s="968">
        <f>+NOMINA!BL225</f>
        <v>0</v>
      </c>
      <c r="K226" s="968">
        <f>+NOMINA!BM225</f>
        <v>0</v>
      </c>
      <c r="L226" s="968">
        <f>+NOMINA!BN225</f>
        <v>0</v>
      </c>
      <c r="M226" s="963">
        <f t="shared" si="36"/>
        <v>0</v>
      </c>
      <c r="N226" s="968">
        <f>+NOMINA!BR225</f>
        <v>0</v>
      </c>
      <c r="O226" s="968">
        <f>+NOMINA!BS225</f>
        <v>0</v>
      </c>
      <c r="P226" s="968">
        <f>+NOMINA!BT225</f>
        <v>0</v>
      </c>
      <c r="Q226" s="963">
        <f t="shared" si="37"/>
        <v>0</v>
      </c>
      <c r="R226" s="963">
        <f t="shared" si="38"/>
        <v>0</v>
      </c>
      <c r="S226" s="972">
        <v>0</v>
      </c>
      <c r="T226" s="443" t="e">
        <f>#REF!+#REF!-M226</f>
        <v>#REF!</v>
      </c>
      <c r="U226" s="952" t="e">
        <f>ROUND((#REF!+#REF!+#REF!+#REF!+#REF!+#REF!+#REF!+#REF!+#REF!),2)</f>
        <v>#REF!</v>
      </c>
      <c r="Y226" s="953" t="e">
        <f>#REF!+#REF!-M226</f>
        <v>#REF!</v>
      </c>
      <c r="Z226" s="954" t="e">
        <f>#REF!</f>
        <v>#REF!</v>
      </c>
      <c r="AA226" s="953" t="e">
        <f>#REF!+#REF!</f>
        <v>#REF!</v>
      </c>
      <c r="AB226" s="954" t="e">
        <f>#REF!</f>
        <v>#REF!</v>
      </c>
      <c r="AC226" s="955">
        <v>0</v>
      </c>
      <c r="AD226" s="954" t="e">
        <f>#REF!</f>
        <v>#REF!</v>
      </c>
      <c r="AE226" s="956" t="e">
        <f>#REF!+#REF!</f>
        <v>#REF!</v>
      </c>
      <c r="AF226" s="956" t="e">
        <f>#REF!+#REF!</f>
        <v>#REF!</v>
      </c>
      <c r="AG226" s="956"/>
      <c r="AH226" s="954" t="e">
        <f>#REF!</f>
        <v>#REF!</v>
      </c>
      <c r="AI226" s="954" t="e">
        <f t="shared" si="31"/>
        <v>#REF!</v>
      </c>
      <c r="AJ226" s="954">
        <f t="shared" si="32"/>
        <v>0</v>
      </c>
      <c r="AK226" s="954">
        <f t="shared" si="33"/>
        <v>0</v>
      </c>
      <c r="AL226" s="625"/>
    </row>
    <row r="227" spans="1:38" s="620" customFormat="1" ht="20.100000000000001" customHeight="1" x14ac:dyDescent="0.2">
      <c r="A227" s="759">
        <f t="shared" si="34"/>
        <v>183</v>
      </c>
      <c r="B227" s="957">
        <f>+NOMINA!C226</f>
        <v>18458012</v>
      </c>
      <c r="C227" s="958" t="str">
        <f>+NOMINA!D226</f>
        <v>Briceño Uzcategui Maria Esperanza</v>
      </c>
      <c r="D227" s="955" t="s">
        <v>4622</v>
      </c>
      <c r="E227" s="959">
        <v>32351</v>
      </c>
      <c r="F227" s="955" t="s">
        <v>4620</v>
      </c>
      <c r="G227" s="971">
        <f>+NOMINA!H226</f>
        <v>44636</v>
      </c>
      <c r="H227" s="961">
        <f t="shared" si="35"/>
        <v>0</v>
      </c>
      <c r="I227" s="962">
        <v>0</v>
      </c>
      <c r="J227" s="968">
        <f>+NOMINA!BL226</f>
        <v>21.08</v>
      </c>
      <c r="K227" s="968">
        <f>+NOMINA!BM226</f>
        <v>2.63</v>
      </c>
      <c r="L227" s="968">
        <f>+NOMINA!BN226</f>
        <v>4.57</v>
      </c>
      <c r="M227" s="963">
        <f t="shared" si="36"/>
        <v>28.28</v>
      </c>
      <c r="N227" s="968">
        <f>+NOMINA!BR226</f>
        <v>47.42</v>
      </c>
      <c r="O227" s="968">
        <f>+NOMINA!BS226</f>
        <v>10.54</v>
      </c>
      <c r="P227" s="968">
        <f>+NOMINA!BT226</f>
        <v>9.14</v>
      </c>
      <c r="Q227" s="963">
        <f t="shared" si="37"/>
        <v>67.099999999999994</v>
      </c>
      <c r="R227" s="963">
        <f t="shared" si="38"/>
        <v>95.38</v>
      </c>
      <c r="S227" s="972">
        <v>0</v>
      </c>
      <c r="T227" s="443" t="e">
        <f>#REF!+#REF!-M227</f>
        <v>#REF!</v>
      </c>
      <c r="U227" s="952" t="e">
        <f>ROUND((#REF!+#REF!+#REF!+#REF!+#REF!+#REF!+#REF!+#REF!+#REF!),2)</f>
        <v>#REF!</v>
      </c>
      <c r="Y227" s="953" t="e">
        <f>#REF!+#REF!-M227</f>
        <v>#REF!</v>
      </c>
      <c r="Z227" s="954" t="e">
        <f>#REF!</f>
        <v>#REF!</v>
      </c>
      <c r="AA227" s="953" t="e">
        <f>#REF!+#REF!</f>
        <v>#REF!</v>
      </c>
      <c r="AB227" s="954" t="e">
        <f>#REF!</f>
        <v>#REF!</v>
      </c>
      <c r="AC227" s="955">
        <v>0</v>
      </c>
      <c r="AD227" s="954" t="e">
        <f>#REF!</f>
        <v>#REF!</v>
      </c>
      <c r="AE227" s="956" t="e">
        <f>#REF!+#REF!</f>
        <v>#REF!</v>
      </c>
      <c r="AF227" s="956" t="e">
        <f>#REF!+#REF!</f>
        <v>#REF!</v>
      </c>
      <c r="AG227" s="956"/>
      <c r="AH227" s="954" t="e">
        <f>#REF!</f>
        <v>#REF!</v>
      </c>
      <c r="AI227" s="954" t="e">
        <f t="shared" si="31"/>
        <v>#REF!</v>
      </c>
      <c r="AJ227" s="954">
        <f t="shared" si="32"/>
        <v>95.38</v>
      </c>
      <c r="AK227" s="954">
        <f t="shared" si="33"/>
        <v>0</v>
      </c>
      <c r="AL227" s="625"/>
    </row>
    <row r="228" spans="1:38" s="620" customFormat="1" ht="20.100000000000001" customHeight="1" x14ac:dyDescent="0.2">
      <c r="A228" s="759">
        <f t="shared" si="34"/>
        <v>184</v>
      </c>
      <c r="B228" s="957">
        <f>+NOMINA!C227</f>
        <v>18733682</v>
      </c>
      <c r="C228" s="958" t="str">
        <f>+NOMINA!D227</f>
        <v>Ocanto Ramirez Maria Alejandra</v>
      </c>
      <c r="D228" s="955" t="s">
        <v>4622</v>
      </c>
      <c r="E228" s="959">
        <v>32351</v>
      </c>
      <c r="F228" s="955" t="s">
        <v>4620</v>
      </c>
      <c r="G228" s="971">
        <f>+NOMINA!H227</f>
        <v>45474</v>
      </c>
      <c r="H228" s="961">
        <f t="shared" si="35"/>
        <v>0</v>
      </c>
      <c r="I228" s="962">
        <v>0</v>
      </c>
      <c r="J228" s="968">
        <f>+NOMINA!BL227</f>
        <v>16.43</v>
      </c>
      <c r="K228" s="968">
        <f>+NOMINA!BM227</f>
        <v>2.0499999999999998</v>
      </c>
      <c r="L228" s="968">
        <f>+NOMINA!BN227</f>
        <v>3.56</v>
      </c>
      <c r="M228" s="963">
        <f t="shared" si="36"/>
        <v>22.04</v>
      </c>
      <c r="N228" s="968">
        <f>+NOMINA!BR227</f>
        <v>36.96</v>
      </c>
      <c r="O228" s="968">
        <f>+NOMINA!BS227</f>
        <v>8.2100000000000009</v>
      </c>
      <c r="P228" s="968">
        <f>+NOMINA!BT227</f>
        <v>7.12</v>
      </c>
      <c r="Q228" s="963">
        <f t="shared" si="37"/>
        <v>52.29</v>
      </c>
      <c r="R228" s="963">
        <f t="shared" si="38"/>
        <v>74.33</v>
      </c>
      <c r="S228" s="972">
        <v>0</v>
      </c>
      <c r="T228" s="443" t="e">
        <f>#REF!+#REF!-M228</f>
        <v>#REF!</v>
      </c>
      <c r="U228" s="952" t="e">
        <f>ROUND((#REF!+#REF!+#REF!+#REF!+#REF!+#REF!+#REF!+#REF!+#REF!),2)</f>
        <v>#REF!</v>
      </c>
      <c r="Y228" s="953" t="e">
        <f>#REF!+#REF!-M228</f>
        <v>#REF!</v>
      </c>
      <c r="Z228" s="954" t="e">
        <f>#REF!</f>
        <v>#REF!</v>
      </c>
      <c r="AA228" s="953" t="e">
        <f>#REF!+#REF!</f>
        <v>#REF!</v>
      </c>
      <c r="AB228" s="954" t="e">
        <f>#REF!</f>
        <v>#REF!</v>
      </c>
      <c r="AC228" s="955">
        <v>0</v>
      </c>
      <c r="AD228" s="954" t="e">
        <f>#REF!</f>
        <v>#REF!</v>
      </c>
      <c r="AE228" s="956" t="e">
        <f>#REF!+#REF!</f>
        <v>#REF!</v>
      </c>
      <c r="AF228" s="956" t="e">
        <f>#REF!+#REF!</f>
        <v>#REF!</v>
      </c>
      <c r="AG228" s="956"/>
      <c r="AH228" s="954" t="e">
        <f>#REF!</f>
        <v>#REF!</v>
      </c>
      <c r="AI228" s="954" t="e">
        <f t="shared" si="31"/>
        <v>#REF!</v>
      </c>
      <c r="AJ228" s="954">
        <f t="shared" si="32"/>
        <v>74.33</v>
      </c>
      <c r="AK228" s="954">
        <f t="shared" si="33"/>
        <v>0</v>
      </c>
      <c r="AL228" s="625"/>
    </row>
    <row r="229" spans="1:38" s="620" customFormat="1" ht="20.100000000000001" customHeight="1" x14ac:dyDescent="0.2">
      <c r="A229" s="759">
        <f t="shared" si="34"/>
        <v>185</v>
      </c>
      <c r="B229" s="957">
        <f>+NOMINA!C228</f>
        <v>18801597</v>
      </c>
      <c r="C229" s="958" t="str">
        <f>+NOMINA!D228</f>
        <v>Rodriguez Salas Mary Carmen</v>
      </c>
      <c r="D229" s="955" t="s">
        <v>4622</v>
      </c>
      <c r="E229" s="959">
        <v>32351</v>
      </c>
      <c r="F229" s="955" t="s">
        <v>4620</v>
      </c>
      <c r="G229" s="971">
        <f>+NOMINA!H228</f>
        <v>43359</v>
      </c>
      <c r="H229" s="961">
        <f t="shared" si="35"/>
        <v>4</v>
      </c>
      <c r="I229" s="962">
        <v>0</v>
      </c>
      <c r="J229" s="968">
        <f>+NOMINA!BL228</f>
        <v>26.23</v>
      </c>
      <c r="K229" s="968">
        <f>+NOMINA!BM228</f>
        <v>3.28</v>
      </c>
      <c r="L229" s="968">
        <f>+NOMINA!BN228</f>
        <v>5.68</v>
      </c>
      <c r="M229" s="963">
        <f t="shared" si="36"/>
        <v>35.19</v>
      </c>
      <c r="N229" s="968">
        <f>+NOMINA!BR228</f>
        <v>59.02</v>
      </c>
      <c r="O229" s="968">
        <f>+NOMINA!BS228</f>
        <v>13.11</v>
      </c>
      <c r="P229" s="968">
        <f>+NOMINA!BT228</f>
        <v>11.36</v>
      </c>
      <c r="Q229" s="963">
        <f t="shared" si="37"/>
        <v>83.49</v>
      </c>
      <c r="R229" s="963">
        <f t="shared" si="38"/>
        <v>118.67999999999999</v>
      </c>
      <c r="S229" s="972">
        <v>0</v>
      </c>
      <c r="T229" s="443" t="e">
        <f>#REF!+#REF!-M229</f>
        <v>#REF!</v>
      </c>
      <c r="U229" s="952" t="e">
        <f>ROUND((#REF!+#REF!+#REF!+#REF!+#REF!+#REF!+#REF!+#REF!+#REF!),2)</f>
        <v>#REF!</v>
      </c>
      <c r="Y229" s="953" t="e">
        <f>#REF!+#REF!-M229</f>
        <v>#REF!</v>
      </c>
      <c r="Z229" s="954" t="e">
        <f>#REF!</f>
        <v>#REF!</v>
      </c>
      <c r="AA229" s="953" t="e">
        <f>#REF!+#REF!</f>
        <v>#REF!</v>
      </c>
      <c r="AB229" s="954" t="e">
        <f>#REF!</f>
        <v>#REF!</v>
      </c>
      <c r="AC229" s="955">
        <v>0</v>
      </c>
      <c r="AD229" s="954" t="e">
        <f>#REF!</f>
        <v>#REF!</v>
      </c>
      <c r="AE229" s="956" t="e">
        <f>#REF!+#REF!</f>
        <v>#REF!</v>
      </c>
      <c r="AF229" s="956" t="e">
        <f>#REF!+#REF!</f>
        <v>#REF!</v>
      </c>
      <c r="AG229" s="956"/>
      <c r="AH229" s="954" t="e">
        <f>#REF!</f>
        <v>#REF!</v>
      </c>
      <c r="AI229" s="954" t="e">
        <f t="shared" si="31"/>
        <v>#REF!</v>
      </c>
      <c r="AJ229" s="954">
        <f t="shared" si="32"/>
        <v>118.67999999999999</v>
      </c>
      <c r="AK229" s="954">
        <f t="shared" si="33"/>
        <v>0</v>
      </c>
      <c r="AL229" s="625"/>
    </row>
    <row r="230" spans="1:38" s="620" customFormat="1" ht="20.100000000000001" customHeight="1" x14ac:dyDescent="0.2">
      <c r="A230" s="759">
        <f t="shared" si="34"/>
        <v>186</v>
      </c>
      <c r="B230" s="957">
        <f>+NOMINA!C229</f>
        <v>18802405</v>
      </c>
      <c r="C230" s="958" t="str">
        <f>+NOMINA!D229</f>
        <v>Ramirez Rodriguez Rudys Arelys</v>
      </c>
      <c r="D230" s="955" t="s">
        <v>4622</v>
      </c>
      <c r="E230" s="959">
        <v>32351</v>
      </c>
      <c r="F230" s="955" t="s">
        <v>4620</v>
      </c>
      <c r="G230" s="971">
        <f>+NOMINA!H229</f>
        <v>44332</v>
      </c>
      <c r="H230" s="961">
        <f t="shared" si="35"/>
        <v>1</v>
      </c>
      <c r="I230" s="962">
        <v>0</v>
      </c>
      <c r="J230" s="968">
        <f>+NOMINA!BL229</f>
        <v>25.56</v>
      </c>
      <c r="K230" s="968">
        <f>+NOMINA!BM229</f>
        <v>3.2</v>
      </c>
      <c r="L230" s="968">
        <f>+NOMINA!BN229</f>
        <v>5.54</v>
      </c>
      <c r="M230" s="963">
        <f t="shared" si="36"/>
        <v>34.299999999999997</v>
      </c>
      <c r="N230" s="968">
        <f>+NOMINA!BR229</f>
        <v>57.52</v>
      </c>
      <c r="O230" s="968">
        <f>+NOMINA!BS229</f>
        <v>12.78</v>
      </c>
      <c r="P230" s="968">
        <f>+NOMINA!BT229</f>
        <v>11.08</v>
      </c>
      <c r="Q230" s="963">
        <f t="shared" si="37"/>
        <v>81.38</v>
      </c>
      <c r="R230" s="963">
        <f t="shared" si="38"/>
        <v>115.67999999999999</v>
      </c>
      <c r="S230" s="972">
        <v>0</v>
      </c>
      <c r="T230" s="443" t="e">
        <f>#REF!+#REF!-M230</f>
        <v>#REF!</v>
      </c>
      <c r="U230" s="952" t="e">
        <f>ROUND((#REF!+#REF!+#REF!+#REF!+#REF!+#REF!+#REF!+#REF!+#REF!),2)</f>
        <v>#REF!</v>
      </c>
      <c r="Y230" s="953" t="e">
        <f>#REF!+#REF!-M230</f>
        <v>#REF!</v>
      </c>
      <c r="Z230" s="954" t="e">
        <f>#REF!</f>
        <v>#REF!</v>
      </c>
      <c r="AA230" s="953" t="e">
        <f>#REF!+#REF!</f>
        <v>#REF!</v>
      </c>
      <c r="AB230" s="954" t="e">
        <f>#REF!</f>
        <v>#REF!</v>
      </c>
      <c r="AC230" s="955">
        <v>0</v>
      </c>
      <c r="AD230" s="954" t="e">
        <f>#REF!</f>
        <v>#REF!</v>
      </c>
      <c r="AE230" s="956" t="e">
        <f>#REF!+#REF!</f>
        <v>#REF!</v>
      </c>
      <c r="AF230" s="956" t="e">
        <f>#REF!+#REF!</f>
        <v>#REF!</v>
      </c>
      <c r="AG230" s="956"/>
      <c r="AH230" s="954" t="e">
        <f>#REF!</f>
        <v>#REF!</v>
      </c>
      <c r="AI230" s="954" t="e">
        <f t="shared" si="31"/>
        <v>#REF!</v>
      </c>
      <c r="AJ230" s="954">
        <f t="shared" si="32"/>
        <v>115.67999999999999</v>
      </c>
      <c r="AK230" s="954">
        <f t="shared" si="33"/>
        <v>0</v>
      </c>
      <c r="AL230" s="625"/>
    </row>
    <row r="231" spans="1:38" s="620" customFormat="1" ht="20.100000000000001" customHeight="1" x14ac:dyDescent="0.2">
      <c r="A231" s="759">
        <f t="shared" si="34"/>
        <v>187</v>
      </c>
      <c r="B231" s="957">
        <f>+NOMINA!C230</f>
        <v>18984406</v>
      </c>
      <c r="C231" s="958" t="str">
        <f>+NOMINA!D230</f>
        <v>Torres Santiago Eduardo David</v>
      </c>
      <c r="D231" s="955" t="s">
        <v>4622</v>
      </c>
      <c r="E231" s="959">
        <v>32351</v>
      </c>
      <c r="F231" s="955" t="s">
        <v>4620</v>
      </c>
      <c r="G231" s="971">
        <f>+NOMINA!H230</f>
        <v>45200</v>
      </c>
      <c r="H231" s="961">
        <f t="shared" si="35"/>
        <v>0</v>
      </c>
      <c r="I231" s="962">
        <v>0</v>
      </c>
      <c r="J231" s="968">
        <f>+NOMINA!BL230</f>
        <v>15.68</v>
      </c>
      <c r="K231" s="968">
        <f>+NOMINA!BM230</f>
        <v>1.96</v>
      </c>
      <c r="L231" s="968">
        <f>+NOMINA!BN230</f>
        <v>3.4</v>
      </c>
      <c r="M231" s="963">
        <f t="shared" si="36"/>
        <v>21.04</v>
      </c>
      <c r="N231" s="968">
        <f>+NOMINA!BR230</f>
        <v>35.28</v>
      </c>
      <c r="O231" s="968">
        <f>+NOMINA!BS230</f>
        <v>7.84</v>
      </c>
      <c r="P231" s="968">
        <f>+NOMINA!BT230</f>
        <v>6.8</v>
      </c>
      <c r="Q231" s="963">
        <f t="shared" si="37"/>
        <v>49.92</v>
      </c>
      <c r="R231" s="963">
        <f t="shared" si="38"/>
        <v>70.960000000000008</v>
      </c>
      <c r="S231" s="972">
        <v>0</v>
      </c>
      <c r="T231" s="443" t="e">
        <f>#REF!+#REF!-M231</f>
        <v>#REF!</v>
      </c>
      <c r="U231" s="952" t="e">
        <f>ROUND((#REF!+#REF!+#REF!+#REF!+#REF!+#REF!+#REF!+#REF!+#REF!),2)</f>
        <v>#REF!</v>
      </c>
      <c r="Y231" s="953" t="e">
        <f>#REF!+#REF!-M231</f>
        <v>#REF!</v>
      </c>
      <c r="Z231" s="954" t="e">
        <f>#REF!</f>
        <v>#REF!</v>
      </c>
      <c r="AA231" s="953" t="e">
        <f>#REF!+#REF!</f>
        <v>#REF!</v>
      </c>
      <c r="AB231" s="954" t="e">
        <f>#REF!</f>
        <v>#REF!</v>
      </c>
      <c r="AC231" s="955">
        <v>0</v>
      </c>
      <c r="AD231" s="954" t="e">
        <f>#REF!</f>
        <v>#REF!</v>
      </c>
      <c r="AE231" s="956" t="e">
        <f>#REF!+#REF!</f>
        <v>#REF!</v>
      </c>
      <c r="AF231" s="956" t="e">
        <f>#REF!+#REF!</f>
        <v>#REF!</v>
      </c>
      <c r="AG231" s="956"/>
      <c r="AH231" s="954" t="e">
        <f>#REF!</f>
        <v>#REF!</v>
      </c>
      <c r="AI231" s="954" t="e">
        <f t="shared" si="31"/>
        <v>#REF!</v>
      </c>
      <c r="AJ231" s="954">
        <f t="shared" si="32"/>
        <v>70.960000000000008</v>
      </c>
      <c r="AK231" s="954">
        <f t="shared" si="33"/>
        <v>0</v>
      </c>
      <c r="AL231" s="625"/>
    </row>
    <row r="232" spans="1:38" s="620" customFormat="1" ht="20.100000000000001" customHeight="1" x14ac:dyDescent="0.2">
      <c r="A232" s="759">
        <f t="shared" si="34"/>
        <v>188</v>
      </c>
      <c r="B232" s="957">
        <f>+NOMINA!C231</f>
        <v>19101647</v>
      </c>
      <c r="C232" s="958" t="str">
        <f>+NOMINA!D231</f>
        <v>Uzcategui Urbina Madeley Tatiana</v>
      </c>
      <c r="D232" s="955" t="s">
        <v>4622</v>
      </c>
      <c r="E232" s="959">
        <v>32351</v>
      </c>
      <c r="F232" s="955" t="s">
        <v>4620</v>
      </c>
      <c r="G232" s="971">
        <f>+NOMINA!H231</f>
        <v>43845</v>
      </c>
      <c r="H232" s="961">
        <f t="shared" si="35"/>
        <v>2</v>
      </c>
      <c r="I232" s="962">
        <v>0</v>
      </c>
      <c r="J232" s="968">
        <f>+NOMINA!BL231</f>
        <v>18.75</v>
      </c>
      <c r="K232" s="968">
        <f>+NOMINA!BM231</f>
        <v>2.34</v>
      </c>
      <c r="L232" s="968">
        <f>+NOMINA!BN231</f>
        <v>4.0599999999999996</v>
      </c>
      <c r="M232" s="963">
        <f t="shared" si="36"/>
        <v>25.15</v>
      </c>
      <c r="N232" s="968">
        <f>+NOMINA!BR231</f>
        <v>42.19</v>
      </c>
      <c r="O232" s="968">
        <f>+NOMINA!BS231</f>
        <v>9.3800000000000008</v>
      </c>
      <c r="P232" s="968">
        <f>+NOMINA!BT231</f>
        <v>8.1199999999999992</v>
      </c>
      <c r="Q232" s="963">
        <f t="shared" si="37"/>
        <v>59.69</v>
      </c>
      <c r="R232" s="963">
        <f t="shared" si="38"/>
        <v>84.84</v>
      </c>
      <c r="S232" s="972">
        <v>0</v>
      </c>
      <c r="T232" s="443" t="e">
        <f>#REF!+#REF!-M232</f>
        <v>#REF!</v>
      </c>
      <c r="U232" s="952" t="e">
        <f>ROUND((#REF!+#REF!+#REF!+#REF!+#REF!+#REF!+#REF!+#REF!+#REF!),2)</f>
        <v>#REF!</v>
      </c>
      <c r="Y232" s="953" t="e">
        <f>#REF!+#REF!-M232</f>
        <v>#REF!</v>
      </c>
      <c r="Z232" s="954" t="e">
        <f>#REF!</f>
        <v>#REF!</v>
      </c>
      <c r="AA232" s="953" t="e">
        <f>#REF!+#REF!</f>
        <v>#REF!</v>
      </c>
      <c r="AB232" s="954" t="e">
        <f>#REF!</f>
        <v>#REF!</v>
      </c>
      <c r="AC232" s="955">
        <v>0</v>
      </c>
      <c r="AD232" s="954" t="e">
        <f>#REF!</f>
        <v>#REF!</v>
      </c>
      <c r="AE232" s="956" t="e">
        <f>#REF!+#REF!</f>
        <v>#REF!</v>
      </c>
      <c r="AF232" s="956" t="e">
        <f>#REF!+#REF!</f>
        <v>#REF!</v>
      </c>
      <c r="AG232" s="956"/>
      <c r="AH232" s="954" t="e">
        <f>#REF!</f>
        <v>#REF!</v>
      </c>
      <c r="AI232" s="954" t="e">
        <f t="shared" si="31"/>
        <v>#REF!</v>
      </c>
      <c r="AJ232" s="954">
        <f t="shared" si="32"/>
        <v>84.84</v>
      </c>
      <c r="AK232" s="954">
        <f t="shared" si="33"/>
        <v>0</v>
      </c>
      <c r="AL232" s="625"/>
    </row>
    <row r="233" spans="1:38" s="620" customFormat="1" ht="20.100000000000001" customHeight="1" x14ac:dyDescent="0.2">
      <c r="A233" s="759">
        <f t="shared" si="34"/>
        <v>189</v>
      </c>
      <c r="B233" s="957">
        <f>+NOMINA!C232</f>
        <v>19101773</v>
      </c>
      <c r="C233" s="958" t="str">
        <f>+NOMINA!D232</f>
        <v>Gil Molina Maite Karina</v>
      </c>
      <c r="D233" s="955" t="s">
        <v>4622</v>
      </c>
      <c r="E233" s="959">
        <v>32351</v>
      </c>
      <c r="F233" s="955" t="s">
        <v>4620</v>
      </c>
      <c r="G233" s="971">
        <f>+NOMINA!H232</f>
        <v>45200</v>
      </c>
      <c r="H233" s="961">
        <f t="shared" si="35"/>
        <v>0</v>
      </c>
      <c r="I233" s="962">
        <v>0</v>
      </c>
      <c r="J233" s="968">
        <f>+NOMINA!BL232</f>
        <v>23.32</v>
      </c>
      <c r="K233" s="968">
        <f>+NOMINA!BM232</f>
        <v>2.92</v>
      </c>
      <c r="L233" s="968">
        <f>+NOMINA!BN232</f>
        <v>5.05</v>
      </c>
      <c r="M233" s="963">
        <f t="shared" si="36"/>
        <v>31.29</v>
      </c>
      <c r="N233" s="968">
        <f>+NOMINA!BR232</f>
        <v>52.47</v>
      </c>
      <c r="O233" s="968">
        <f>+NOMINA!BS232</f>
        <v>11.66</v>
      </c>
      <c r="P233" s="968">
        <f>+NOMINA!BT232</f>
        <v>10.1</v>
      </c>
      <c r="Q233" s="963">
        <f t="shared" si="37"/>
        <v>74.23</v>
      </c>
      <c r="R233" s="963">
        <f t="shared" si="38"/>
        <v>105.52000000000001</v>
      </c>
      <c r="S233" s="972">
        <v>0</v>
      </c>
      <c r="T233" s="443" t="e">
        <f>#REF!+#REF!-M233</f>
        <v>#REF!</v>
      </c>
      <c r="U233" s="952" t="e">
        <f>ROUND((#REF!+#REF!+#REF!+#REF!+#REF!+#REF!+#REF!+#REF!+#REF!),2)</f>
        <v>#REF!</v>
      </c>
      <c r="Y233" s="953" t="e">
        <f>#REF!+#REF!-M233</f>
        <v>#REF!</v>
      </c>
      <c r="Z233" s="954" t="e">
        <f>#REF!</f>
        <v>#REF!</v>
      </c>
      <c r="AA233" s="953" t="e">
        <f>#REF!+#REF!</f>
        <v>#REF!</v>
      </c>
      <c r="AB233" s="954" t="e">
        <f>#REF!</f>
        <v>#REF!</v>
      </c>
      <c r="AC233" s="955">
        <v>0</v>
      </c>
      <c r="AD233" s="954" t="e">
        <f>#REF!</f>
        <v>#REF!</v>
      </c>
      <c r="AE233" s="956" t="e">
        <f>#REF!+#REF!</f>
        <v>#REF!</v>
      </c>
      <c r="AF233" s="956" t="e">
        <f>#REF!+#REF!</f>
        <v>#REF!</v>
      </c>
      <c r="AG233" s="956"/>
      <c r="AH233" s="954" t="e">
        <f>#REF!</f>
        <v>#REF!</v>
      </c>
      <c r="AI233" s="954" t="e">
        <f t="shared" si="31"/>
        <v>#REF!</v>
      </c>
      <c r="AJ233" s="954">
        <f t="shared" si="32"/>
        <v>105.52000000000001</v>
      </c>
      <c r="AK233" s="954">
        <f t="shared" si="33"/>
        <v>0</v>
      </c>
      <c r="AL233" s="625"/>
    </row>
    <row r="234" spans="1:38" s="620" customFormat="1" ht="20.100000000000001" customHeight="1" x14ac:dyDescent="0.2">
      <c r="A234" s="759">
        <f t="shared" si="34"/>
        <v>190</v>
      </c>
      <c r="B234" s="957">
        <f>+NOMINA!C233</f>
        <v>19103118</v>
      </c>
      <c r="C234" s="958" t="str">
        <f>+NOMINA!D233</f>
        <v>Plaza Quintero Orelis Maria</v>
      </c>
      <c r="D234" s="955" t="s">
        <v>4622</v>
      </c>
      <c r="E234" s="959">
        <v>32351</v>
      </c>
      <c r="F234" s="955" t="s">
        <v>4620</v>
      </c>
      <c r="G234" s="971">
        <f>+NOMINA!H233</f>
        <v>43724</v>
      </c>
      <c r="H234" s="961">
        <f t="shared" si="35"/>
        <v>3</v>
      </c>
      <c r="I234" s="962">
        <v>0</v>
      </c>
      <c r="J234" s="968">
        <f>+NOMINA!BL233</f>
        <v>20.89</v>
      </c>
      <c r="K234" s="968">
        <f>+NOMINA!BM233</f>
        <v>2.61</v>
      </c>
      <c r="L234" s="968">
        <f>+NOMINA!BN233</f>
        <v>4.53</v>
      </c>
      <c r="M234" s="963">
        <f t="shared" si="36"/>
        <v>28.03</v>
      </c>
      <c r="N234" s="968">
        <f>+NOMINA!BR233</f>
        <v>47</v>
      </c>
      <c r="O234" s="968">
        <f>+NOMINA!BS233</f>
        <v>10.45</v>
      </c>
      <c r="P234" s="968">
        <f>+NOMINA!BT233</f>
        <v>9.06</v>
      </c>
      <c r="Q234" s="963">
        <f t="shared" si="37"/>
        <v>66.510000000000005</v>
      </c>
      <c r="R234" s="963">
        <f t="shared" si="38"/>
        <v>94.54</v>
      </c>
      <c r="S234" s="972">
        <v>0</v>
      </c>
      <c r="T234" s="443" t="e">
        <f>#REF!+#REF!-M234</f>
        <v>#REF!</v>
      </c>
      <c r="U234" s="952" t="e">
        <f>ROUND((#REF!+#REF!+#REF!+#REF!+#REF!+#REF!+#REF!+#REF!+#REF!),2)</f>
        <v>#REF!</v>
      </c>
      <c r="Y234" s="953" t="e">
        <f>#REF!+#REF!-M234</f>
        <v>#REF!</v>
      </c>
      <c r="Z234" s="954" t="e">
        <f>#REF!</f>
        <v>#REF!</v>
      </c>
      <c r="AA234" s="953" t="e">
        <f>#REF!+#REF!</f>
        <v>#REF!</v>
      </c>
      <c r="AB234" s="954" t="e">
        <f>#REF!</f>
        <v>#REF!</v>
      </c>
      <c r="AC234" s="955">
        <v>0</v>
      </c>
      <c r="AD234" s="954" t="e">
        <f>#REF!</f>
        <v>#REF!</v>
      </c>
      <c r="AE234" s="956" t="e">
        <f>#REF!+#REF!</f>
        <v>#REF!</v>
      </c>
      <c r="AF234" s="956" t="e">
        <f>#REF!+#REF!</f>
        <v>#REF!</v>
      </c>
      <c r="AG234" s="956"/>
      <c r="AH234" s="954" t="e">
        <f>#REF!</f>
        <v>#REF!</v>
      </c>
      <c r="AI234" s="954" t="e">
        <f t="shared" si="31"/>
        <v>#REF!</v>
      </c>
      <c r="AJ234" s="954">
        <f t="shared" si="32"/>
        <v>94.54</v>
      </c>
      <c r="AK234" s="954">
        <f t="shared" si="33"/>
        <v>0</v>
      </c>
      <c r="AL234" s="625"/>
    </row>
    <row r="235" spans="1:38" s="620" customFormat="1" ht="20.100000000000001" customHeight="1" x14ac:dyDescent="0.2">
      <c r="A235" s="759">
        <f t="shared" si="34"/>
        <v>191</v>
      </c>
      <c r="B235" s="957">
        <f>+NOMINA!C234</f>
        <v>19103604</v>
      </c>
      <c r="C235" s="958" t="str">
        <f>+NOMINA!D234</f>
        <v>Hernandez Graterol Gleidys Coromoto</v>
      </c>
      <c r="D235" s="955" t="s">
        <v>4622</v>
      </c>
      <c r="E235" s="959">
        <v>32351</v>
      </c>
      <c r="F235" s="955" t="s">
        <v>4620</v>
      </c>
      <c r="G235" s="971">
        <f>+NOMINA!H234</f>
        <v>44600</v>
      </c>
      <c r="H235" s="961">
        <f t="shared" si="35"/>
        <v>0</v>
      </c>
      <c r="I235" s="962">
        <v>0</v>
      </c>
      <c r="J235" s="968">
        <f>+NOMINA!BL234</f>
        <v>21.08</v>
      </c>
      <c r="K235" s="968">
        <f>+NOMINA!BM234</f>
        <v>2.63</v>
      </c>
      <c r="L235" s="968">
        <f>+NOMINA!BN234</f>
        <v>4.57</v>
      </c>
      <c r="M235" s="963">
        <f t="shared" si="36"/>
        <v>28.28</v>
      </c>
      <c r="N235" s="968">
        <f>+NOMINA!BR234</f>
        <v>47.42</v>
      </c>
      <c r="O235" s="968">
        <f>+NOMINA!BS234</f>
        <v>10.54</v>
      </c>
      <c r="P235" s="968">
        <f>+NOMINA!BT234</f>
        <v>9.14</v>
      </c>
      <c r="Q235" s="963">
        <f t="shared" si="37"/>
        <v>67.099999999999994</v>
      </c>
      <c r="R235" s="963">
        <f t="shared" si="38"/>
        <v>95.38</v>
      </c>
      <c r="S235" s="972">
        <v>0</v>
      </c>
      <c r="T235" s="443" t="e">
        <f>#REF!+#REF!-M235</f>
        <v>#REF!</v>
      </c>
      <c r="U235" s="952" t="e">
        <f>ROUND((#REF!+#REF!+#REF!+#REF!+#REF!+#REF!+#REF!+#REF!+#REF!),2)</f>
        <v>#REF!</v>
      </c>
      <c r="Y235" s="953" t="e">
        <f>#REF!+#REF!-M235</f>
        <v>#REF!</v>
      </c>
      <c r="Z235" s="954" t="e">
        <f>#REF!</f>
        <v>#REF!</v>
      </c>
      <c r="AA235" s="953" t="e">
        <f>#REF!+#REF!</f>
        <v>#REF!</v>
      </c>
      <c r="AB235" s="954" t="e">
        <f>#REF!</f>
        <v>#REF!</v>
      </c>
      <c r="AC235" s="955">
        <v>0</v>
      </c>
      <c r="AD235" s="954" t="e">
        <f>#REF!</f>
        <v>#REF!</v>
      </c>
      <c r="AE235" s="956" t="e">
        <f>#REF!+#REF!</f>
        <v>#REF!</v>
      </c>
      <c r="AF235" s="956" t="e">
        <f>#REF!+#REF!</f>
        <v>#REF!</v>
      </c>
      <c r="AG235" s="956"/>
      <c r="AH235" s="954" t="e">
        <f>#REF!</f>
        <v>#REF!</v>
      </c>
      <c r="AI235" s="954" t="e">
        <f t="shared" si="31"/>
        <v>#REF!</v>
      </c>
      <c r="AJ235" s="954">
        <f t="shared" si="32"/>
        <v>95.38</v>
      </c>
      <c r="AK235" s="954">
        <f t="shared" si="33"/>
        <v>0</v>
      </c>
      <c r="AL235" s="625"/>
    </row>
    <row r="236" spans="1:38" s="620" customFormat="1" ht="20.100000000000001" customHeight="1" x14ac:dyDescent="0.2">
      <c r="A236" s="759">
        <f t="shared" si="34"/>
        <v>192</v>
      </c>
      <c r="B236" s="957">
        <f>+NOMINA!C235</f>
        <v>19103823</v>
      </c>
      <c r="C236" s="958" t="str">
        <f>+NOMINA!D235</f>
        <v>Valero Sanchez Zulay del Valle</v>
      </c>
      <c r="D236" s="955" t="s">
        <v>4622</v>
      </c>
      <c r="E236" s="959">
        <v>32351</v>
      </c>
      <c r="F236" s="955" t="s">
        <v>4620</v>
      </c>
      <c r="G236" s="971">
        <f>+NOMINA!H235</f>
        <v>42795</v>
      </c>
      <c r="H236" s="961">
        <f t="shared" si="35"/>
        <v>5</v>
      </c>
      <c r="I236" s="962">
        <v>0</v>
      </c>
      <c r="J236" s="968">
        <f>+NOMINA!BL235</f>
        <v>29.72</v>
      </c>
      <c r="K236" s="968">
        <f>+NOMINA!BM235</f>
        <v>3.72</v>
      </c>
      <c r="L236" s="968">
        <f>+NOMINA!BN235</f>
        <v>6.44</v>
      </c>
      <c r="M236" s="963">
        <f t="shared" si="36"/>
        <v>39.880000000000003</v>
      </c>
      <c r="N236" s="968">
        <f>+NOMINA!BR235</f>
        <v>66.87</v>
      </c>
      <c r="O236" s="968">
        <f>+NOMINA!BS235</f>
        <v>14.86</v>
      </c>
      <c r="P236" s="968">
        <f>+NOMINA!BT235</f>
        <v>12.88</v>
      </c>
      <c r="Q236" s="963">
        <f t="shared" si="37"/>
        <v>94.61</v>
      </c>
      <c r="R236" s="963">
        <f t="shared" si="38"/>
        <v>134.49</v>
      </c>
      <c r="S236" s="972">
        <v>0</v>
      </c>
      <c r="T236" s="443" t="e">
        <f>#REF!+#REF!-M236</f>
        <v>#REF!</v>
      </c>
      <c r="U236" s="952" t="e">
        <f>ROUND((#REF!+#REF!+#REF!+#REF!+#REF!+#REF!+#REF!+#REF!+#REF!),2)</f>
        <v>#REF!</v>
      </c>
      <c r="Y236" s="953" t="e">
        <f>#REF!+#REF!-M236</f>
        <v>#REF!</v>
      </c>
      <c r="Z236" s="954" t="e">
        <f>#REF!</f>
        <v>#REF!</v>
      </c>
      <c r="AA236" s="953" t="e">
        <f>#REF!+#REF!</f>
        <v>#REF!</v>
      </c>
      <c r="AB236" s="954" t="e">
        <f>#REF!</f>
        <v>#REF!</v>
      </c>
      <c r="AC236" s="955">
        <v>0</v>
      </c>
      <c r="AD236" s="954" t="e">
        <f>#REF!</f>
        <v>#REF!</v>
      </c>
      <c r="AE236" s="956" t="e">
        <f>#REF!+#REF!</f>
        <v>#REF!</v>
      </c>
      <c r="AF236" s="956" t="e">
        <f>#REF!+#REF!</f>
        <v>#REF!</v>
      </c>
      <c r="AG236" s="956"/>
      <c r="AH236" s="954" t="e">
        <f>#REF!</f>
        <v>#REF!</v>
      </c>
      <c r="AI236" s="954" t="e">
        <f t="shared" ref="AI236:AI303" si="39">SUM(AA236:AH236)</f>
        <v>#REF!</v>
      </c>
      <c r="AJ236" s="954">
        <f t="shared" ref="AJ236:AJ303" si="40">M236+Q236</f>
        <v>134.49</v>
      </c>
      <c r="AK236" s="954">
        <f t="shared" ref="AK236:AK303" si="41">S236</f>
        <v>0</v>
      </c>
      <c r="AL236" s="625"/>
    </row>
    <row r="237" spans="1:38" s="620" customFormat="1" ht="20.100000000000001" customHeight="1" x14ac:dyDescent="0.2">
      <c r="A237" s="759">
        <f t="shared" si="34"/>
        <v>193</v>
      </c>
      <c r="B237" s="957">
        <f>+NOMINA!C236</f>
        <v>19286780</v>
      </c>
      <c r="C237" s="958" t="str">
        <f>+NOMINA!D236</f>
        <v>Mejia Rosales Katiusca Josefina</v>
      </c>
      <c r="D237" s="955" t="s">
        <v>4622</v>
      </c>
      <c r="E237" s="959">
        <v>32351</v>
      </c>
      <c r="F237" s="955" t="s">
        <v>4620</v>
      </c>
      <c r="G237" s="971">
        <f>+NOMINA!H236</f>
        <v>42492</v>
      </c>
      <c r="H237" s="961">
        <f t="shared" si="35"/>
        <v>6</v>
      </c>
      <c r="I237" s="962">
        <v>0</v>
      </c>
      <c r="J237" s="968">
        <f>+NOMINA!BL236</f>
        <v>22.15</v>
      </c>
      <c r="K237" s="968">
        <f>+NOMINA!BM236</f>
        <v>2.77</v>
      </c>
      <c r="L237" s="968">
        <f>+NOMINA!BN236</f>
        <v>4.8</v>
      </c>
      <c r="M237" s="963">
        <f t="shared" si="36"/>
        <v>29.72</v>
      </c>
      <c r="N237" s="968">
        <f>+NOMINA!BR236</f>
        <v>49.83</v>
      </c>
      <c r="O237" s="968">
        <f>+NOMINA!BS236</f>
        <v>11.07</v>
      </c>
      <c r="P237" s="968">
        <f>+NOMINA!BT236</f>
        <v>9.6</v>
      </c>
      <c r="Q237" s="963">
        <f t="shared" si="37"/>
        <v>70.5</v>
      </c>
      <c r="R237" s="963">
        <f t="shared" si="38"/>
        <v>100.22</v>
      </c>
      <c r="S237" s="972">
        <v>0</v>
      </c>
      <c r="T237" s="443" t="e">
        <f>#REF!+#REF!-M237</f>
        <v>#REF!</v>
      </c>
      <c r="U237" s="952" t="e">
        <f>ROUND((#REF!+#REF!+#REF!+#REF!+#REF!+#REF!+#REF!+#REF!+#REF!),2)</f>
        <v>#REF!</v>
      </c>
      <c r="Y237" s="953" t="e">
        <f>#REF!+#REF!-M237</f>
        <v>#REF!</v>
      </c>
      <c r="Z237" s="954" t="e">
        <f>#REF!</f>
        <v>#REF!</v>
      </c>
      <c r="AA237" s="953" t="e">
        <f>#REF!+#REF!</f>
        <v>#REF!</v>
      </c>
      <c r="AB237" s="954" t="e">
        <f>#REF!</f>
        <v>#REF!</v>
      </c>
      <c r="AC237" s="955">
        <v>0</v>
      </c>
      <c r="AD237" s="954" t="e">
        <f>#REF!</f>
        <v>#REF!</v>
      </c>
      <c r="AE237" s="956" t="e">
        <f>#REF!+#REF!</f>
        <v>#REF!</v>
      </c>
      <c r="AF237" s="956" t="e">
        <f>#REF!+#REF!</f>
        <v>#REF!</v>
      </c>
      <c r="AG237" s="956"/>
      <c r="AH237" s="954" t="e">
        <f>#REF!</f>
        <v>#REF!</v>
      </c>
      <c r="AI237" s="954" t="e">
        <f t="shared" si="39"/>
        <v>#REF!</v>
      </c>
      <c r="AJ237" s="954">
        <f t="shared" si="40"/>
        <v>100.22</v>
      </c>
      <c r="AK237" s="954">
        <f t="shared" si="41"/>
        <v>0</v>
      </c>
      <c r="AL237" s="625"/>
    </row>
    <row r="238" spans="1:38" s="620" customFormat="1" ht="20.100000000000001" customHeight="1" x14ac:dyDescent="0.2">
      <c r="A238" s="759">
        <f t="shared" ref="A238:A301" si="42">A237+1</f>
        <v>194</v>
      </c>
      <c r="B238" s="957">
        <f>+NOMINA!C237</f>
        <v>19287100</v>
      </c>
      <c r="C238" s="958" t="str">
        <f>+NOMINA!D237</f>
        <v>Leal Mejia Fraineli Yoset</v>
      </c>
      <c r="D238" s="955" t="s">
        <v>4622</v>
      </c>
      <c r="E238" s="959">
        <v>32351</v>
      </c>
      <c r="F238" s="955" t="s">
        <v>4620</v>
      </c>
      <c r="G238" s="971">
        <f>+NOMINA!H237</f>
        <v>44713</v>
      </c>
      <c r="H238" s="961">
        <f t="shared" ref="H238:H301" si="43">IF(AND(YEAR(G238)&lt;2023,MONTH(G238)&gt;$N$8),2023-YEAR(G238)-1,IF(OR(G238="",YEAR(G238)&gt;2023),0,2023-YEAR(G238)))</f>
        <v>0</v>
      </c>
      <c r="I238" s="962">
        <v>0</v>
      </c>
      <c r="J238" s="968">
        <f>+NOMINA!BL237</f>
        <v>21.08</v>
      </c>
      <c r="K238" s="968">
        <f>+NOMINA!BM237</f>
        <v>2.63</v>
      </c>
      <c r="L238" s="968">
        <f>+NOMINA!BN237</f>
        <v>4.57</v>
      </c>
      <c r="M238" s="963">
        <f t="shared" ref="M238:M301" si="44">ROUND(SUM(J238:L238),2)</f>
        <v>28.28</v>
      </c>
      <c r="N238" s="968">
        <f>+NOMINA!BR237</f>
        <v>47.42</v>
      </c>
      <c r="O238" s="968">
        <f>+NOMINA!BS237</f>
        <v>10.54</v>
      </c>
      <c r="P238" s="968">
        <f>+NOMINA!BT237</f>
        <v>9.14</v>
      </c>
      <c r="Q238" s="963">
        <f t="shared" ref="Q238:Q301" si="45">ROUND(SUM(N238:P238),2)</f>
        <v>67.099999999999994</v>
      </c>
      <c r="R238" s="963">
        <f t="shared" ref="R238:R301" si="46">M238+Q238</f>
        <v>95.38</v>
      </c>
      <c r="S238" s="972">
        <v>0</v>
      </c>
      <c r="T238" s="443" t="e">
        <f>#REF!+#REF!-M238</f>
        <v>#REF!</v>
      </c>
      <c r="U238" s="952" t="e">
        <f>ROUND((#REF!+#REF!+#REF!+#REF!+#REF!+#REF!+#REF!+#REF!+#REF!),2)</f>
        <v>#REF!</v>
      </c>
      <c r="Y238" s="953" t="e">
        <f>#REF!+#REF!-M238</f>
        <v>#REF!</v>
      </c>
      <c r="Z238" s="954" t="e">
        <f>#REF!</f>
        <v>#REF!</v>
      </c>
      <c r="AA238" s="953" t="e">
        <f>#REF!+#REF!</f>
        <v>#REF!</v>
      </c>
      <c r="AB238" s="954" t="e">
        <f>#REF!</f>
        <v>#REF!</v>
      </c>
      <c r="AC238" s="955">
        <v>0</v>
      </c>
      <c r="AD238" s="954" t="e">
        <f>#REF!</f>
        <v>#REF!</v>
      </c>
      <c r="AE238" s="956" t="e">
        <f>#REF!+#REF!</f>
        <v>#REF!</v>
      </c>
      <c r="AF238" s="956" t="e">
        <f>#REF!+#REF!</f>
        <v>#REF!</v>
      </c>
      <c r="AG238" s="956"/>
      <c r="AH238" s="954" t="e">
        <f>#REF!</f>
        <v>#REF!</v>
      </c>
      <c r="AI238" s="954" t="e">
        <f t="shared" si="39"/>
        <v>#REF!</v>
      </c>
      <c r="AJ238" s="954">
        <f t="shared" si="40"/>
        <v>95.38</v>
      </c>
      <c r="AK238" s="954">
        <f t="shared" si="41"/>
        <v>0</v>
      </c>
      <c r="AL238" s="625"/>
    </row>
    <row r="239" spans="1:38" s="620" customFormat="1" ht="20.100000000000001" customHeight="1" x14ac:dyDescent="0.2">
      <c r="A239" s="759">
        <f t="shared" si="42"/>
        <v>195</v>
      </c>
      <c r="B239" s="957">
        <f>+NOMINA!C238</f>
        <v>19610534</v>
      </c>
      <c r="C239" s="958" t="str">
        <f>+NOMINA!D238</f>
        <v>Santos Saavedra Greosmar Johan</v>
      </c>
      <c r="D239" s="955" t="s">
        <v>4622</v>
      </c>
      <c r="E239" s="959">
        <v>32351</v>
      </c>
      <c r="F239" s="955" t="s">
        <v>4620</v>
      </c>
      <c r="G239" s="971">
        <f>+NOMINA!H238</f>
        <v>44713</v>
      </c>
      <c r="H239" s="961">
        <f t="shared" si="43"/>
        <v>0</v>
      </c>
      <c r="I239" s="962">
        <v>0</v>
      </c>
      <c r="J239" s="968">
        <f>+NOMINA!BL238</f>
        <v>20.39</v>
      </c>
      <c r="K239" s="968">
        <f>+NOMINA!BM238</f>
        <v>2.5499999999999998</v>
      </c>
      <c r="L239" s="968">
        <f>+NOMINA!BN238</f>
        <v>4.42</v>
      </c>
      <c r="M239" s="963">
        <f t="shared" si="44"/>
        <v>27.36</v>
      </c>
      <c r="N239" s="968">
        <f>+NOMINA!BR238</f>
        <v>45.87</v>
      </c>
      <c r="O239" s="968">
        <f>+NOMINA!BS238</f>
        <v>10.19</v>
      </c>
      <c r="P239" s="968">
        <f>+NOMINA!BT238</f>
        <v>8.84</v>
      </c>
      <c r="Q239" s="963">
        <f t="shared" si="45"/>
        <v>64.900000000000006</v>
      </c>
      <c r="R239" s="963">
        <f t="shared" si="46"/>
        <v>92.26</v>
      </c>
      <c r="S239" s="972">
        <v>0</v>
      </c>
      <c r="T239" s="443" t="e">
        <f>#REF!+#REF!-M239</f>
        <v>#REF!</v>
      </c>
      <c r="U239" s="952" t="e">
        <f>ROUND((#REF!+#REF!+#REF!+#REF!+#REF!+#REF!+#REF!+#REF!+#REF!),2)</f>
        <v>#REF!</v>
      </c>
      <c r="Y239" s="953" t="e">
        <f>#REF!+#REF!-M239</f>
        <v>#REF!</v>
      </c>
      <c r="Z239" s="954" t="e">
        <f>#REF!</f>
        <v>#REF!</v>
      </c>
      <c r="AA239" s="953" t="e">
        <f>#REF!+#REF!</f>
        <v>#REF!</v>
      </c>
      <c r="AB239" s="954" t="e">
        <f>#REF!</f>
        <v>#REF!</v>
      </c>
      <c r="AC239" s="955">
        <v>0</v>
      </c>
      <c r="AD239" s="954" t="e">
        <f>#REF!</f>
        <v>#REF!</v>
      </c>
      <c r="AE239" s="956" t="e">
        <f>#REF!+#REF!</f>
        <v>#REF!</v>
      </c>
      <c r="AF239" s="956" t="e">
        <f>#REF!+#REF!</f>
        <v>#REF!</v>
      </c>
      <c r="AG239" s="956"/>
      <c r="AH239" s="954" t="e">
        <f>#REF!</f>
        <v>#REF!</v>
      </c>
      <c r="AI239" s="954" t="e">
        <f t="shared" si="39"/>
        <v>#REF!</v>
      </c>
      <c r="AJ239" s="954">
        <f t="shared" si="40"/>
        <v>92.26</v>
      </c>
      <c r="AK239" s="954">
        <f t="shared" si="41"/>
        <v>0</v>
      </c>
      <c r="AL239" s="625"/>
    </row>
    <row r="240" spans="1:38" s="620" customFormat="1" ht="20.100000000000001" customHeight="1" x14ac:dyDescent="0.2">
      <c r="A240" s="759">
        <f t="shared" si="42"/>
        <v>196</v>
      </c>
      <c r="B240" s="957">
        <f>+NOMINA!C239</f>
        <v>19610565</v>
      </c>
      <c r="C240" s="958" t="str">
        <f>+NOMINA!D239</f>
        <v>Uzcategui Uzcategui Saray Cristina</v>
      </c>
      <c r="D240" s="955" t="s">
        <v>4622</v>
      </c>
      <c r="E240" s="959">
        <v>32351</v>
      </c>
      <c r="F240" s="955" t="s">
        <v>4620</v>
      </c>
      <c r="G240" s="971">
        <f>+NOMINA!H239</f>
        <v>44713</v>
      </c>
      <c r="H240" s="961">
        <f t="shared" si="43"/>
        <v>0</v>
      </c>
      <c r="I240" s="962">
        <v>0</v>
      </c>
      <c r="J240" s="968">
        <f>+NOMINA!BL239</f>
        <v>21.96</v>
      </c>
      <c r="K240" s="968">
        <f>+NOMINA!BM239</f>
        <v>2.74</v>
      </c>
      <c r="L240" s="968">
        <f>+NOMINA!BN239</f>
        <v>4.76</v>
      </c>
      <c r="M240" s="963">
        <f t="shared" si="44"/>
        <v>29.46</v>
      </c>
      <c r="N240" s="968">
        <f>+NOMINA!BR239</f>
        <v>49.4</v>
      </c>
      <c r="O240" s="968">
        <f>+NOMINA!BS239</f>
        <v>10.98</v>
      </c>
      <c r="P240" s="968">
        <f>+NOMINA!BT239</f>
        <v>9.52</v>
      </c>
      <c r="Q240" s="963">
        <f t="shared" si="45"/>
        <v>69.900000000000006</v>
      </c>
      <c r="R240" s="963">
        <f t="shared" si="46"/>
        <v>99.360000000000014</v>
      </c>
      <c r="S240" s="972">
        <v>0</v>
      </c>
      <c r="T240" s="443" t="e">
        <f>#REF!+#REF!-M240</f>
        <v>#REF!</v>
      </c>
      <c r="U240" s="952" t="e">
        <f>ROUND((#REF!+#REF!+#REF!+#REF!+#REF!+#REF!+#REF!+#REF!+#REF!),2)</f>
        <v>#REF!</v>
      </c>
      <c r="Y240" s="953" t="e">
        <f>#REF!+#REF!-M240</f>
        <v>#REF!</v>
      </c>
      <c r="Z240" s="954" t="e">
        <f>#REF!</f>
        <v>#REF!</v>
      </c>
      <c r="AA240" s="953" t="e">
        <f>#REF!+#REF!</f>
        <v>#REF!</v>
      </c>
      <c r="AB240" s="954" t="e">
        <f>#REF!</f>
        <v>#REF!</v>
      </c>
      <c r="AC240" s="955">
        <v>0</v>
      </c>
      <c r="AD240" s="954" t="e">
        <f>#REF!</f>
        <v>#REF!</v>
      </c>
      <c r="AE240" s="956" t="e">
        <f>#REF!+#REF!</f>
        <v>#REF!</v>
      </c>
      <c r="AF240" s="956" t="e">
        <f>#REF!+#REF!</f>
        <v>#REF!</v>
      </c>
      <c r="AG240" s="956"/>
      <c r="AH240" s="954" t="e">
        <f>#REF!</f>
        <v>#REF!</v>
      </c>
      <c r="AI240" s="954" t="e">
        <f t="shared" si="39"/>
        <v>#REF!</v>
      </c>
      <c r="AJ240" s="954">
        <f t="shared" si="40"/>
        <v>99.360000000000014</v>
      </c>
      <c r="AK240" s="954">
        <f t="shared" si="41"/>
        <v>0</v>
      </c>
      <c r="AL240" s="625"/>
    </row>
    <row r="241" spans="1:38" s="620" customFormat="1" ht="20.100000000000001" customHeight="1" x14ac:dyDescent="0.2">
      <c r="A241" s="759">
        <f t="shared" si="42"/>
        <v>197</v>
      </c>
      <c r="B241" s="957">
        <f>+NOMINA!C240</f>
        <v>19643405</v>
      </c>
      <c r="C241" s="958" t="str">
        <f>+NOMINA!D240</f>
        <v>Valero Mejia Aleidy Rosana</v>
      </c>
      <c r="D241" s="955" t="s">
        <v>4622</v>
      </c>
      <c r="E241" s="959">
        <v>32351</v>
      </c>
      <c r="F241" s="955" t="s">
        <v>4620</v>
      </c>
      <c r="G241" s="971">
        <f>+NOMINA!H240</f>
        <v>43221</v>
      </c>
      <c r="H241" s="961">
        <f t="shared" si="43"/>
        <v>4</v>
      </c>
      <c r="I241" s="962">
        <v>0</v>
      </c>
      <c r="J241" s="968">
        <f>+NOMINA!BL240</f>
        <v>27.35</v>
      </c>
      <c r="K241" s="968">
        <f>+NOMINA!BM240</f>
        <v>3.42</v>
      </c>
      <c r="L241" s="968">
        <f>+NOMINA!BN240</f>
        <v>5.93</v>
      </c>
      <c r="M241" s="963">
        <f t="shared" si="44"/>
        <v>36.700000000000003</v>
      </c>
      <c r="N241" s="968">
        <f>+NOMINA!BR240</f>
        <v>61.54</v>
      </c>
      <c r="O241" s="968">
        <f>+NOMINA!BS240</f>
        <v>13.67</v>
      </c>
      <c r="P241" s="968">
        <f>+NOMINA!BT240</f>
        <v>11.86</v>
      </c>
      <c r="Q241" s="963">
        <f t="shared" si="45"/>
        <v>87.07</v>
      </c>
      <c r="R241" s="963">
        <f t="shared" si="46"/>
        <v>123.77</v>
      </c>
      <c r="S241" s="972">
        <v>0</v>
      </c>
      <c r="T241" s="443" t="e">
        <f>#REF!+#REF!-M241</f>
        <v>#REF!</v>
      </c>
      <c r="U241" s="952" t="e">
        <f>ROUND((#REF!+#REF!+#REF!+#REF!+#REF!+#REF!+#REF!+#REF!+#REF!),2)</f>
        <v>#REF!</v>
      </c>
      <c r="Y241" s="953" t="e">
        <f>#REF!+#REF!-M241</f>
        <v>#REF!</v>
      </c>
      <c r="Z241" s="954" t="e">
        <f>#REF!</f>
        <v>#REF!</v>
      </c>
      <c r="AA241" s="953" t="e">
        <f>#REF!+#REF!</f>
        <v>#REF!</v>
      </c>
      <c r="AB241" s="954" t="e">
        <f>#REF!</f>
        <v>#REF!</v>
      </c>
      <c r="AC241" s="955">
        <v>0</v>
      </c>
      <c r="AD241" s="954" t="e">
        <f>#REF!</f>
        <v>#REF!</v>
      </c>
      <c r="AE241" s="956" t="e">
        <f>#REF!+#REF!</f>
        <v>#REF!</v>
      </c>
      <c r="AF241" s="956" t="e">
        <f>#REF!+#REF!</f>
        <v>#REF!</v>
      </c>
      <c r="AG241" s="956"/>
      <c r="AH241" s="954" t="e">
        <f>#REF!</f>
        <v>#REF!</v>
      </c>
      <c r="AI241" s="954" t="e">
        <f t="shared" si="39"/>
        <v>#REF!</v>
      </c>
      <c r="AJ241" s="954">
        <f t="shared" si="40"/>
        <v>123.77</v>
      </c>
      <c r="AK241" s="954">
        <f t="shared" si="41"/>
        <v>0</v>
      </c>
      <c r="AL241" s="625"/>
    </row>
    <row r="242" spans="1:38" s="620" customFormat="1" ht="20.100000000000001" customHeight="1" x14ac:dyDescent="0.2">
      <c r="A242" s="759">
        <f t="shared" si="42"/>
        <v>198</v>
      </c>
      <c r="B242" s="957">
        <f>+NOMINA!C241</f>
        <v>19643806</v>
      </c>
      <c r="C242" s="958" t="str">
        <f>+NOMINA!D241</f>
        <v>Vazquez Hernandez Doris Mercedes</v>
      </c>
      <c r="D242" s="955" t="s">
        <v>4622</v>
      </c>
      <c r="E242" s="959">
        <v>32351</v>
      </c>
      <c r="F242" s="955" t="s">
        <v>4620</v>
      </c>
      <c r="G242" s="971">
        <f>+NOMINA!H241</f>
        <v>45505</v>
      </c>
      <c r="H242" s="961">
        <f t="shared" si="43"/>
        <v>0</v>
      </c>
      <c r="I242" s="962">
        <v>0</v>
      </c>
      <c r="J242" s="968">
        <f>+NOMINA!BL241</f>
        <v>20.13</v>
      </c>
      <c r="K242" s="968">
        <f>+NOMINA!BM241</f>
        <v>2.52</v>
      </c>
      <c r="L242" s="968">
        <f>+NOMINA!BN241</f>
        <v>4.3600000000000003</v>
      </c>
      <c r="M242" s="963">
        <f t="shared" si="44"/>
        <v>27.01</v>
      </c>
      <c r="N242" s="968">
        <f>+NOMINA!BR241</f>
        <v>45.29</v>
      </c>
      <c r="O242" s="968">
        <f>+NOMINA!BS241</f>
        <v>10.07</v>
      </c>
      <c r="P242" s="968">
        <f>+NOMINA!BT241</f>
        <v>8.7200000000000006</v>
      </c>
      <c r="Q242" s="963">
        <f t="shared" si="45"/>
        <v>64.08</v>
      </c>
      <c r="R242" s="963">
        <f t="shared" si="46"/>
        <v>91.09</v>
      </c>
      <c r="S242" s="972">
        <v>0</v>
      </c>
      <c r="T242" s="443" t="e">
        <f>#REF!+#REF!-M242</f>
        <v>#REF!</v>
      </c>
      <c r="U242" s="952" t="e">
        <f>ROUND((#REF!+#REF!+#REF!+#REF!+#REF!+#REF!+#REF!+#REF!+#REF!),2)</f>
        <v>#REF!</v>
      </c>
      <c r="Y242" s="953" t="e">
        <f>#REF!+#REF!-M242</f>
        <v>#REF!</v>
      </c>
      <c r="Z242" s="954" t="e">
        <f>#REF!</f>
        <v>#REF!</v>
      </c>
      <c r="AA242" s="953" t="e">
        <f>#REF!+#REF!</f>
        <v>#REF!</v>
      </c>
      <c r="AB242" s="954" t="e">
        <f>#REF!</f>
        <v>#REF!</v>
      </c>
      <c r="AC242" s="955">
        <v>0</v>
      </c>
      <c r="AD242" s="954" t="e">
        <f>#REF!</f>
        <v>#REF!</v>
      </c>
      <c r="AE242" s="956" t="e">
        <f>#REF!+#REF!</f>
        <v>#REF!</v>
      </c>
      <c r="AF242" s="956" t="e">
        <f>#REF!+#REF!</f>
        <v>#REF!</v>
      </c>
      <c r="AG242" s="956"/>
      <c r="AH242" s="954" t="e">
        <f>#REF!</f>
        <v>#REF!</v>
      </c>
      <c r="AI242" s="954" t="e">
        <f t="shared" si="39"/>
        <v>#REF!</v>
      </c>
      <c r="AJ242" s="954">
        <f t="shared" si="40"/>
        <v>91.09</v>
      </c>
      <c r="AK242" s="954">
        <f t="shared" si="41"/>
        <v>0</v>
      </c>
      <c r="AL242" s="625"/>
    </row>
    <row r="243" spans="1:38" s="620" customFormat="1" ht="20.100000000000001" customHeight="1" x14ac:dyDescent="0.2">
      <c r="A243" s="759">
        <f t="shared" si="42"/>
        <v>199</v>
      </c>
      <c r="B243" s="957">
        <f>+NOMINA!C242</f>
        <v>19644743</v>
      </c>
      <c r="C243" s="958" t="str">
        <f>+NOMINA!D242</f>
        <v>Villa Daniela Carolina</v>
      </c>
      <c r="D243" s="955" t="s">
        <v>4622</v>
      </c>
      <c r="E243" s="959">
        <v>32351</v>
      </c>
      <c r="F243" s="955" t="s">
        <v>4620</v>
      </c>
      <c r="G243" s="971">
        <f>+NOMINA!H242</f>
        <v>43967</v>
      </c>
      <c r="H243" s="961">
        <f t="shared" si="43"/>
        <v>2</v>
      </c>
      <c r="I243" s="962">
        <v>0</v>
      </c>
      <c r="J243" s="968">
        <f>+NOMINA!BL242</f>
        <v>25.72</v>
      </c>
      <c r="K243" s="968">
        <f>+NOMINA!BM242</f>
        <v>3.22</v>
      </c>
      <c r="L243" s="968">
        <f>+NOMINA!BN242</f>
        <v>5.57</v>
      </c>
      <c r="M243" s="963">
        <f t="shared" si="44"/>
        <v>34.51</v>
      </c>
      <c r="N243" s="968">
        <f>+NOMINA!BR242</f>
        <v>57.87</v>
      </c>
      <c r="O243" s="968">
        <f>+NOMINA!BS242</f>
        <v>12.86</v>
      </c>
      <c r="P243" s="968">
        <f>+NOMINA!BT242</f>
        <v>11.14</v>
      </c>
      <c r="Q243" s="963">
        <f t="shared" si="45"/>
        <v>81.87</v>
      </c>
      <c r="R243" s="963">
        <f t="shared" si="46"/>
        <v>116.38</v>
      </c>
      <c r="S243" s="972">
        <v>0</v>
      </c>
      <c r="T243" s="443" t="e">
        <f>#REF!+#REF!-M243</f>
        <v>#REF!</v>
      </c>
      <c r="U243" s="952" t="e">
        <f>ROUND((#REF!+#REF!+#REF!+#REF!+#REF!+#REF!+#REF!+#REF!+#REF!),2)</f>
        <v>#REF!</v>
      </c>
      <c r="Y243" s="953" t="e">
        <f>#REF!+#REF!-M243</f>
        <v>#REF!</v>
      </c>
      <c r="Z243" s="954" t="e">
        <f>#REF!</f>
        <v>#REF!</v>
      </c>
      <c r="AA243" s="953" t="e">
        <f>#REF!+#REF!</f>
        <v>#REF!</v>
      </c>
      <c r="AB243" s="954" t="e">
        <f>#REF!</f>
        <v>#REF!</v>
      </c>
      <c r="AC243" s="955">
        <v>0</v>
      </c>
      <c r="AD243" s="954" t="e">
        <f>#REF!</f>
        <v>#REF!</v>
      </c>
      <c r="AE243" s="956" t="e">
        <f>#REF!+#REF!</f>
        <v>#REF!</v>
      </c>
      <c r="AF243" s="956" t="e">
        <f>#REF!+#REF!</f>
        <v>#REF!</v>
      </c>
      <c r="AG243" s="956"/>
      <c r="AH243" s="954" t="e">
        <f>#REF!</f>
        <v>#REF!</v>
      </c>
      <c r="AI243" s="954" t="e">
        <f t="shared" si="39"/>
        <v>#REF!</v>
      </c>
      <c r="AJ243" s="954">
        <f t="shared" si="40"/>
        <v>116.38</v>
      </c>
      <c r="AK243" s="954">
        <f t="shared" si="41"/>
        <v>0</v>
      </c>
      <c r="AL243" s="625"/>
    </row>
    <row r="244" spans="1:38" s="620" customFormat="1" ht="20.100000000000001" customHeight="1" x14ac:dyDescent="0.2">
      <c r="A244" s="759">
        <f t="shared" si="42"/>
        <v>200</v>
      </c>
      <c r="B244" s="957">
        <f>+NOMINA!C243</f>
        <v>19644756</v>
      </c>
      <c r="C244" s="958" t="str">
        <f>+NOMINA!D243</f>
        <v>Mejia Aldana Norbelys Carolina</v>
      </c>
      <c r="D244" s="955" t="s">
        <v>4622</v>
      </c>
      <c r="E244" s="959">
        <v>32351</v>
      </c>
      <c r="F244" s="955" t="s">
        <v>4620</v>
      </c>
      <c r="G244" s="971">
        <f>+NOMINA!H243</f>
        <v>44470</v>
      </c>
      <c r="H244" s="961">
        <f t="shared" si="43"/>
        <v>1</v>
      </c>
      <c r="I244" s="962">
        <v>0</v>
      </c>
      <c r="J244" s="968">
        <f>+NOMINA!BL243</f>
        <v>13.71</v>
      </c>
      <c r="K244" s="968">
        <f>+NOMINA!BM243</f>
        <v>1.71</v>
      </c>
      <c r="L244" s="968">
        <f>+NOMINA!BN243</f>
        <v>2.97</v>
      </c>
      <c r="M244" s="963">
        <f t="shared" si="44"/>
        <v>18.39</v>
      </c>
      <c r="N244" s="968">
        <f>+NOMINA!BR243</f>
        <v>30.84</v>
      </c>
      <c r="O244" s="968">
        <f>+NOMINA!BS243</f>
        <v>6.85</v>
      </c>
      <c r="P244" s="968">
        <f>+NOMINA!BT243</f>
        <v>5.94</v>
      </c>
      <c r="Q244" s="963">
        <f t="shared" si="45"/>
        <v>43.63</v>
      </c>
      <c r="R244" s="963">
        <f t="shared" si="46"/>
        <v>62.02</v>
      </c>
      <c r="S244" s="972">
        <v>0</v>
      </c>
      <c r="T244" s="443" t="e">
        <f>#REF!+#REF!-M244</f>
        <v>#REF!</v>
      </c>
      <c r="U244" s="952" t="e">
        <f>ROUND((#REF!+#REF!+#REF!+#REF!+#REF!+#REF!+#REF!+#REF!+#REF!),2)</f>
        <v>#REF!</v>
      </c>
      <c r="Y244" s="953" t="e">
        <f>#REF!+#REF!-M244</f>
        <v>#REF!</v>
      </c>
      <c r="Z244" s="954" t="e">
        <f>#REF!</f>
        <v>#REF!</v>
      </c>
      <c r="AA244" s="953" t="e">
        <f>#REF!+#REF!</f>
        <v>#REF!</v>
      </c>
      <c r="AB244" s="954" t="e">
        <f>#REF!</f>
        <v>#REF!</v>
      </c>
      <c r="AC244" s="955">
        <v>0</v>
      </c>
      <c r="AD244" s="954" t="e">
        <f>#REF!</f>
        <v>#REF!</v>
      </c>
      <c r="AE244" s="956" t="e">
        <f>#REF!+#REF!</f>
        <v>#REF!</v>
      </c>
      <c r="AF244" s="956" t="e">
        <f>#REF!+#REF!</f>
        <v>#REF!</v>
      </c>
      <c r="AG244" s="956"/>
      <c r="AH244" s="954" t="e">
        <f>#REF!</f>
        <v>#REF!</v>
      </c>
      <c r="AI244" s="954" t="e">
        <f t="shared" si="39"/>
        <v>#REF!</v>
      </c>
      <c r="AJ244" s="954">
        <f t="shared" si="40"/>
        <v>62.02</v>
      </c>
      <c r="AK244" s="954">
        <f t="shared" si="41"/>
        <v>0</v>
      </c>
      <c r="AL244" s="625"/>
    </row>
    <row r="245" spans="1:38" s="620" customFormat="1" ht="20.100000000000001" customHeight="1" x14ac:dyDescent="0.2">
      <c r="A245" s="759">
        <f t="shared" si="42"/>
        <v>201</v>
      </c>
      <c r="B245" s="957">
        <f>+NOMINA!C244</f>
        <v>19794217</v>
      </c>
      <c r="C245" s="958" t="str">
        <f>+NOMINA!D244</f>
        <v>Suarez Leal Betzabeth Daimar</v>
      </c>
      <c r="D245" s="955" t="s">
        <v>4622</v>
      </c>
      <c r="E245" s="959">
        <v>32351</v>
      </c>
      <c r="F245" s="955" t="s">
        <v>4620</v>
      </c>
      <c r="G245" s="971">
        <f>+NOMINA!H244</f>
        <v>44683</v>
      </c>
      <c r="H245" s="961">
        <f t="shared" si="43"/>
        <v>0</v>
      </c>
      <c r="I245" s="962">
        <v>0</v>
      </c>
      <c r="J245" s="968">
        <f>+NOMINA!BL244</f>
        <v>26.5</v>
      </c>
      <c r="K245" s="968">
        <f>+NOMINA!BM244</f>
        <v>3.31</v>
      </c>
      <c r="L245" s="968">
        <f>+NOMINA!BN244</f>
        <v>5.74</v>
      </c>
      <c r="M245" s="963">
        <f t="shared" si="44"/>
        <v>35.549999999999997</v>
      </c>
      <c r="N245" s="968">
        <f>+NOMINA!BR244</f>
        <v>59.63</v>
      </c>
      <c r="O245" s="968">
        <f>+NOMINA!BS244</f>
        <v>13.25</v>
      </c>
      <c r="P245" s="968">
        <f>+NOMINA!BT244</f>
        <v>11.48</v>
      </c>
      <c r="Q245" s="963">
        <f t="shared" si="45"/>
        <v>84.36</v>
      </c>
      <c r="R245" s="963">
        <f t="shared" si="46"/>
        <v>119.91</v>
      </c>
      <c r="S245" s="972">
        <v>0</v>
      </c>
      <c r="T245" s="443" t="e">
        <f>#REF!+#REF!-M245</f>
        <v>#REF!</v>
      </c>
      <c r="U245" s="952" t="e">
        <f>ROUND((#REF!+#REF!+#REF!+#REF!+#REF!+#REF!+#REF!+#REF!+#REF!),2)</f>
        <v>#REF!</v>
      </c>
      <c r="Y245" s="953" t="e">
        <f>#REF!+#REF!-M245</f>
        <v>#REF!</v>
      </c>
      <c r="Z245" s="954" t="e">
        <f>#REF!</f>
        <v>#REF!</v>
      </c>
      <c r="AA245" s="953" t="e">
        <f>#REF!+#REF!</f>
        <v>#REF!</v>
      </c>
      <c r="AB245" s="954" t="e">
        <f>#REF!</f>
        <v>#REF!</v>
      </c>
      <c r="AC245" s="955">
        <v>0</v>
      </c>
      <c r="AD245" s="954" t="e">
        <f>#REF!</f>
        <v>#REF!</v>
      </c>
      <c r="AE245" s="956" t="e">
        <f>#REF!+#REF!</f>
        <v>#REF!</v>
      </c>
      <c r="AF245" s="956" t="e">
        <f>#REF!+#REF!</f>
        <v>#REF!</v>
      </c>
      <c r="AG245" s="956"/>
      <c r="AH245" s="954" t="e">
        <f>#REF!</f>
        <v>#REF!</v>
      </c>
      <c r="AI245" s="954" t="e">
        <f t="shared" si="39"/>
        <v>#REF!</v>
      </c>
      <c r="AJ245" s="954">
        <f t="shared" si="40"/>
        <v>119.91</v>
      </c>
      <c r="AK245" s="954">
        <f t="shared" si="41"/>
        <v>0</v>
      </c>
      <c r="AL245" s="625"/>
    </row>
    <row r="246" spans="1:38" s="620" customFormat="1" ht="20.100000000000001" customHeight="1" x14ac:dyDescent="0.2">
      <c r="A246" s="759">
        <f t="shared" si="42"/>
        <v>202</v>
      </c>
      <c r="B246" s="957">
        <f>+NOMINA!C245</f>
        <v>20038162</v>
      </c>
      <c r="C246" s="958" t="str">
        <f>+NOMINA!D245</f>
        <v>Jerez Rangel Gleidy Andreina</v>
      </c>
      <c r="D246" s="955" t="s">
        <v>4622</v>
      </c>
      <c r="E246" s="959">
        <v>32351</v>
      </c>
      <c r="F246" s="955" t="s">
        <v>4620</v>
      </c>
      <c r="G246" s="971">
        <f>+NOMINA!H245</f>
        <v>45597</v>
      </c>
      <c r="H246" s="961">
        <f t="shared" si="43"/>
        <v>0</v>
      </c>
      <c r="I246" s="962">
        <v>0</v>
      </c>
      <c r="J246" s="968">
        <f>+NOMINA!BL245</f>
        <v>26.03</v>
      </c>
      <c r="K246" s="968">
        <f>+NOMINA!BM245</f>
        <v>3.25</v>
      </c>
      <c r="L246" s="968">
        <f>+NOMINA!BN245</f>
        <v>5.64</v>
      </c>
      <c r="M246" s="963">
        <f t="shared" si="44"/>
        <v>34.92</v>
      </c>
      <c r="N246" s="968">
        <f>+NOMINA!BR245</f>
        <v>58.56</v>
      </c>
      <c r="O246" s="968">
        <f>+NOMINA!BS245</f>
        <v>13.01</v>
      </c>
      <c r="P246" s="968">
        <f>+NOMINA!BT245</f>
        <v>11.28</v>
      </c>
      <c r="Q246" s="963">
        <f t="shared" si="45"/>
        <v>82.85</v>
      </c>
      <c r="R246" s="963">
        <f t="shared" si="46"/>
        <v>117.77</v>
      </c>
      <c r="S246" s="972">
        <v>0</v>
      </c>
      <c r="T246" s="443" t="e">
        <f>#REF!+#REF!-M246</f>
        <v>#REF!</v>
      </c>
      <c r="U246" s="952" t="e">
        <f>ROUND((#REF!+#REF!+#REF!+#REF!+#REF!+#REF!+#REF!+#REF!+#REF!),2)</f>
        <v>#REF!</v>
      </c>
      <c r="Y246" s="953" t="e">
        <f>#REF!+#REF!-M246</f>
        <v>#REF!</v>
      </c>
      <c r="Z246" s="954" t="e">
        <f>#REF!</f>
        <v>#REF!</v>
      </c>
      <c r="AA246" s="953" t="e">
        <f>#REF!+#REF!</f>
        <v>#REF!</v>
      </c>
      <c r="AB246" s="954" t="e">
        <f>#REF!</f>
        <v>#REF!</v>
      </c>
      <c r="AC246" s="955">
        <v>0</v>
      </c>
      <c r="AD246" s="954" t="e">
        <f>#REF!</f>
        <v>#REF!</v>
      </c>
      <c r="AE246" s="956" t="e">
        <f>#REF!+#REF!</f>
        <v>#REF!</v>
      </c>
      <c r="AF246" s="956" t="e">
        <f>#REF!+#REF!</f>
        <v>#REF!</v>
      </c>
      <c r="AG246" s="956"/>
      <c r="AH246" s="954" t="e">
        <f>#REF!</f>
        <v>#REF!</v>
      </c>
      <c r="AI246" s="954" t="e">
        <f t="shared" si="39"/>
        <v>#REF!</v>
      </c>
      <c r="AJ246" s="954">
        <f t="shared" si="40"/>
        <v>117.77</v>
      </c>
      <c r="AK246" s="954">
        <f t="shared" si="41"/>
        <v>0</v>
      </c>
      <c r="AL246" s="625"/>
    </row>
    <row r="247" spans="1:38" s="620" customFormat="1" ht="20.100000000000001" customHeight="1" x14ac:dyDescent="0.2">
      <c r="A247" s="759">
        <f t="shared" si="42"/>
        <v>203</v>
      </c>
      <c r="B247" s="957">
        <f>+NOMINA!C246</f>
        <v>20040405</v>
      </c>
      <c r="C247" s="958" t="str">
        <f>+NOMINA!D246</f>
        <v>Lopez Padilla Angela Maria</v>
      </c>
      <c r="D247" s="955" t="s">
        <v>4622</v>
      </c>
      <c r="E247" s="959">
        <v>32351</v>
      </c>
      <c r="F247" s="955" t="s">
        <v>4620</v>
      </c>
      <c r="G247" s="971">
        <f>+NOMINA!H246</f>
        <v>45717</v>
      </c>
      <c r="H247" s="961">
        <f t="shared" si="43"/>
        <v>0</v>
      </c>
      <c r="I247" s="962">
        <v>0</v>
      </c>
      <c r="J247" s="968">
        <f>+NOMINA!BL246</f>
        <v>21.69</v>
      </c>
      <c r="K247" s="968">
        <f>+NOMINA!BM246</f>
        <v>2.71</v>
      </c>
      <c r="L247" s="968">
        <f>+NOMINA!BN246</f>
        <v>4.7</v>
      </c>
      <c r="M247" s="963">
        <f t="shared" si="44"/>
        <v>29.1</v>
      </c>
      <c r="N247" s="968">
        <f>+NOMINA!BR246</f>
        <v>48.81</v>
      </c>
      <c r="O247" s="968">
        <f>+NOMINA!BS246</f>
        <v>10.85</v>
      </c>
      <c r="P247" s="968">
        <f>+NOMINA!BT246</f>
        <v>9.4</v>
      </c>
      <c r="Q247" s="963">
        <f t="shared" si="45"/>
        <v>69.06</v>
      </c>
      <c r="R247" s="963">
        <f t="shared" si="46"/>
        <v>98.16</v>
      </c>
      <c r="S247" s="972">
        <v>0</v>
      </c>
      <c r="T247" s="443" t="e">
        <f>#REF!+#REF!-M247</f>
        <v>#REF!</v>
      </c>
      <c r="U247" s="952" t="e">
        <f>ROUND((#REF!+#REF!+#REF!+#REF!+#REF!+#REF!+#REF!+#REF!+#REF!),2)</f>
        <v>#REF!</v>
      </c>
      <c r="Y247" s="953" t="e">
        <f>#REF!+#REF!-M247</f>
        <v>#REF!</v>
      </c>
      <c r="Z247" s="954" t="e">
        <f>#REF!</f>
        <v>#REF!</v>
      </c>
      <c r="AA247" s="953" t="e">
        <f>#REF!+#REF!</f>
        <v>#REF!</v>
      </c>
      <c r="AB247" s="954" t="e">
        <f>#REF!</f>
        <v>#REF!</v>
      </c>
      <c r="AC247" s="955">
        <v>0</v>
      </c>
      <c r="AD247" s="954" t="e">
        <f>#REF!</f>
        <v>#REF!</v>
      </c>
      <c r="AE247" s="956" t="e">
        <f>#REF!+#REF!</f>
        <v>#REF!</v>
      </c>
      <c r="AF247" s="956" t="e">
        <f>#REF!+#REF!</f>
        <v>#REF!</v>
      </c>
      <c r="AG247" s="956"/>
      <c r="AH247" s="954" t="e">
        <f>#REF!</f>
        <v>#REF!</v>
      </c>
      <c r="AI247" s="954" t="e">
        <f t="shared" si="39"/>
        <v>#REF!</v>
      </c>
      <c r="AJ247" s="954">
        <f t="shared" si="40"/>
        <v>98.16</v>
      </c>
      <c r="AK247" s="954">
        <f t="shared" si="41"/>
        <v>0</v>
      </c>
      <c r="AL247" s="625"/>
    </row>
    <row r="248" spans="1:38" s="620" customFormat="1" ht="20.100000000000001" customHeight="1" x14ac:dyDescent="0.2">
      <c r="A248" s="759">
        <f t="shared" si="42"/>
        <v>204</v>
      </c>
      <c r="B248" s="957">
        <f>+NOMINA!C247</f>
        <v>20655363</v>
      </c>
      <c r="C248" s="958" t="str">
        <f>+NOMINA!D247</f>
        <v>Sarache Ramirez Maryelis Stefani</v>
      </c>
      <c r="D248" s="955" t="s">
        <v>4622</v>
      </c>
      <c r="E248" s="959">
        <v>32351</v>
      </c>
      <c r="F248" s="955" t="s">
        <v>4620</v>
      </c>
      <c r="G248" s="971">
        <f>+NOMINA!H247</f>
        <v>45323</v>
      </c>
      <c r="H248" s="961">
        <f t="shared" si="43"/>
        <v>0</v>
      </c>
      <c r="I248" s="962">
        <v>0</v>
      </c>
      <c r="J248" s="968">
        <f>+NOMINA!BL247</f>
        <v>26.17</v>
      </c>
      <c r="K248" s="968">
        <f>+NOMINA!BM247</f>
        <v>3.27</v>
      </c>
      <c r="L248" s="968">
        <f>+NOMINA!BN247</f>
        <v>5.67</v>
      </c>
      <c r="M248" s="963">
        <f t="shared" si="44"/>
        <v>35.11</v>
      </c>
      <c r="N248" s="968">
        <f>+NOMINA!BR247</f>
        <v>58.88</v>
      </c>
      <c r="O248" s="968">
        <f>+NOMINA!BS247</f>
        <v>13.08</v>
      </c>
      <c r="P248" s="968">
        <f>+NOMINA!BT247</f>
        <v>11.34</v>
      </c>
      <c r="Q248" s="963">
        <f t="shared" si="45"/>
        <v>83.3</v>
      </c>
      <c r="R248" s="963">
        <f t="shared" si="46"/>
        <v>118.41</v>
      </c>
      <c r="S248" s="972">
        <v>0</v>
      </c>
      <c r="T248" s="443" t="e">
        <f>#REF!+#REF!-M248</f>
        <v>#REF!</v>
      </c>
      <c r="U248" s="952" t="e">
        <f>ROUND((#REF!+#REF!+#REF!+#REF!+#REF!+#REF!+#REF!+#REF!+#REF!),2)</f>
        <v>#REF!</v>
      </c>
      <c r="Y248" s="953" t="e">
        <f>#REF!+#REF!-M248</f>
        <v>#REF!</v>
      </c>
      <c r="Z248" s="954" t="e">
        <f>#REF!</f>
        <v>#REF!</v>
      </c>
      <c r="AA248" s="953" t="e">
        <f>#REF!+#REF!</f>
        <v>#REF!</v>
      </c>
      <c r="AB248" s="954" t="e">
        <f>#REF!</f>
        <v>#REF!</v>
      </c>
      <c r="AC248" s="955">
        <v>0</v>
      </c>
      <c r="AD248" s="954" t="e">
        <f>#REF!</f>
        <v>#REF!</v>
      </c>
      <c r="AE248" s="956" t="e">
        <f>#REF!+#REF!</f>
        <v>#REF!</v>
      </c>
      <c r="AF248" s="956" t="e">
        <f>#REF!+#REF!</f>
        <v>#REF!</v>
      </c>
      <c r="AG248" s="956"/>
      <c r="AH248" s="954" t="e">
        <f>#REF!</f>
        <v>#REF!</v>
      </c>
      <c r="AI248" s="954" t="e">
        <f t="shared" si="39"/>
        <v>#REF!</v>
      </c>
      <c r="AJ248" s="954">
        <f t="shared" si="40"/>
        <v>118.41</v>
      </c>
      <c r="AK248" s="954">
        <f t="shared" si="41"/>
        <v>0</v>
      </c>
      <c r="AL248" s="625"/>
    </row>
    <row r="249" spans="1:38" s="620" customFormat="1" ht="20.100000000000001" customHeight="1" x14ac:dyDescent="0.2">
      <c r="A249" s="759">
        <f t="shared" si="42"/>
        <v>205</v>
      </c>
      <c r="B249" s="957">
        <f>+NOMINA!C248</f>
        <v>20401711</v>
      </c>
      <c r="C249" s="958" t="str">
        <f>+NOMINA!D248</f>
        <v>Mendez Giro Maryely Roxana</v>
      </c>
      <c r="D249" s="955" t="s">
        <v>4622</v>
      </c>
      <c r="E249" s="959">
        <v>32351</v>
      </c>
      <c r="F249" s="955" t="s">
        <v>4620</v>
      </c>
      <c r="G249" s="971">
        <f>+NOMINA!H248</f>
        <v>44363</v>
      </c>
      <c r="H249" s="961">
        <f t="shared" si="43"/>
        <v>1</v>
      </c>
      <c r="I249" s="962">
        <v>0</v>
      </c>
      <c r="J249" s="968">
        <f>+NOMINA!BL248</f>
        <v>28.06</v>
      </c>
      <c r="K249" s="968">
        <f>+NOMINA!BM248</f>
        <v>3.51</v>
      </c>
      <c r="L249" s="968">
        <f>+NOMINA!BN248</f>
        <v>6.08</v>
      </c>
      <c r="M249" s="963">
        <f t="shared" si="44"/>
        <v>37.65</v>
      </c>
      <c r="N249" s="968">
        <f>+NOMINA!BR248</f>
        <v>63.13</v>
      </c>
      <c r="O249" s="968">
        <f>+NOMINA!BS248</f>
        <v>14.03</v>
      </c>
      <c r="P249" s="968">
        <f>+NOMINA!BT248</f>
        <v>12.16</v>
      </c>
      <c r="Q249" s="963">
        <f t="shared" si="45"/>
        <v>89.32</v>
      </c>
      <c r="R249" s="963">
        <f t="shared" si="46"/>
        <v>126.97</v>
      </c>
      <c r="S249" s="972">
        <v>0</v>
      </c>
      <c r="T249" s="443" t="e">
        <f>#REF!+#REF!-M249</f>
        <v>#REF!</v>
      </c>
      <c r="U249" s="952" t="e">
        <f>ROUND((#REF!+#REF!+#REF!+#REF!+#REF!+#REF!+#REF!+#REF!+#REF!),2)</f>
        <v>#REF!</v>
      </c>
      <c r="Y249" s="953" t="e">
        <f>#REF!+#REF!-M249</f>
        <v>#REF!</v>
      </c>
      <c r="Z249" s="954" t="e">
        <f>#REF!</f>
        <v>#REF!</v>
      </c>
      <c r="AA249" s="953" t="e">
        <f>#REF!+#REF!</f>
        <v>#REF!</v>
      </c>
      <c r="AB249" s="954" t="e">
        <f>#REF!</f>
        <v>#REF!</v>
      </c>
      <c r="AC249" s="955">
        <v>0</v>
      </c>
      <c r="AD249" s="954" t="e">
        <f>#REF!</f>
        <v>#REF!</v>
      </c>
      <c r="AE249" s="956" t="e">
        <f>#REF!+#REF!</f>
        <v>#REF!</v>
      </c>
      <c r="AF249" s="956" t="e">
        <f>#REF!+#REF!</f>
        <v>#REF!</v>
      </c>
      <c r="AG249" s="956"/>
      <c r="AH249" s="954" t="e">
        <f>#REF!</f>
        <v>#REF!</v>
      </c>
      <c r="AI249" s="954" t="e">
        <f t="shared" si="39"/>
        <v>#REF!</v>
      </c>
      <c r="AJ249" s="954">
        <f t="shared" si="40"/>
        <v>126.97</v>
      </c>
      <c r="AK249" s="954">
        <f t="shared" si="41"/>
        <v>0</v>
      </c>
      <c r="AL249" s="625"/>
    </row>
    <row r="250" spans="1:38" s="620" customFormat="1" ht="20.100000000000001" customHeight="1" x14ac:dyDescent="0.2">
      <c r="A250" s="759">
        <f t="shared" si="42"/>
        <v>206</v>
      </c>
      <c r="B250" s="957">
        <f>+NOMINA!C249</f>
        <v>20428039</v>
      </c>
      <c r="C250" s="958" t="str">
        <f>+NOMINA!D249</f>
        <v>Manzanilla Juan Roberto Antonio</v>
      </c>
      <c r="D250" s="955" t="s">
        <v>4622</v>
      </c>
      <c r="E250" s="959">
        <v>32351</v>
      </c>
      <c r="F250" s="955" t="s">
        <v>4620</v>
      </c>
      <c r="G250" s="971">
        <f>+NOMINA!H249</f>
        <v>45566</v>
      </c>
      <c r="H250" s="961">
        <f t="shared" si="43"/>
        <v>0</v>
      </c>
      <c r="I250" s="962">
        <v>0</v>
      </c>
      <c r="J250" s="968">
        <f>+NOMINA!BL249</f>
        <v>17.41</v>
      </c>
      <c r="K250" s="968">
        <f>+NOMINA!BM249</f>
        <v>2.1800000000000002</v>
      </c>
      <c r="L250" s="968">
        <f>+NOMINA!BN249</f>
        <v>3.77</v>
      </c>
      <c r="M250" s="963">
        <f t="shared" si="44"/>
        <v>23.36</v>
      </c>
      <c r="N250" s="968">
        <f>+NOMINA!BR249</f>
        <v>39.18</v>
      </c>
      <c r="O250" s="968">
        <f>+NOMINA!BS249</f>
        <v>8.7100000000000009</v>
      </c>
      <c r="P250" s="968">
        <f>+NOMINA!BT249</f>
        <v>7.54</v>
      </c>
      <c r="Q250" s="963">
        <f t="shared" si="45"/>
        <v>55.43</v>
      </c>
      <c r="R250" s="963">
        <f t="shared" si="46"/>
        <v>78.789999999999992</v>
      </c>
      <c r="S250" s="972">
        <v>0</v>
      </c>
      <c r="T250" s="443" t="e">
        <f>#REF!+#REF!-M250</f>
        <v>#REF!</v>
      </c>
      <c r="U250" s="952" t="e">
        <f>ROUND((#REF!+#REF!+#REF!+#REF!+#REF!+#REF!+#REF!+#REF!+#REF!),2)</f>
        <v>#REF!</v>
      </c>
      <c r="Y250" s="953" t="e">
        <f>#REF!+#REF!-M250</f>
        <v>#REF!</v>
      </c>
      <c r="Z250" s="954" t="e">
        <f>#REF!</f>
        <v>#REF!</v>
      </c>
      <c r="AA250" s="953" t="e">
        <f>#REF!+#REF!</f>
        <v>#REF!</v>
      </c>
      <c r="AB250" s="954" t="e">
        <f>#REF!</f>
        <v>#REF!</v>
      </c>
      <c r="AC250" s="955">
        <v>0</v>
      </c>
      <c r="AD250" s="954" t="e">
        <f>#REF!</f>
        <v>#REF!</v>
      </c>
      <c r="AE250" s="956" t="e">
        <f>#REF!+#REF!</f>
        <v>#REF!</v>
      </c>
      <c r="AF250" s="956" t="e">
        <f>#REF!+#REF!</f>
        <v>#REF!</v>
      </c>
      <c r="AG250" s="956"/>
      <c r="AH250" s="954" t="e">
        <f>#REF!</f>
        <v>#REF!</v>
      </c>
      <c r="AI250" s="954" t="e">
        <f t="shared" si="39"/>
        <v>#REF!</v>
      </c>
      <c r="AJ250" s="954">
        <f t="shared" si="40"/>
        <v>78.789999999999992</v>
      </c>
      <c r="AK250" s="954">
        <f t="shared" si="41"/>
        <v>0</v>
      </c>
      <c r="AL250" s="625"/>
    </row>
    <row r="251" spans="1:38" s="620" customFormat="1" ht="20.100000000000001" customHeight="1" x14ac:dyDescent="0.2">
      <c r="A251" s="759">
        <f t="shared" si="42"/>
        <v>207</v>
      </c>
      <c r="B251" s="957">
        <f>+NOMINA!C250</f>
        <v>20603227</v>
      </c>
      <c r="C251" s="958" t="str">
        <f>+NOMINA!D250</f>
        <v>Morillo Garces Yeniree Lourdes</v>
      </c>
      <c r="D251" s="955" t="s">
        <v>4622</v>
      </c>
      <c r="E251" s="959">
        <v>32351</v>
      </c>
      <c r="F251" s="955" t="s">
        <v>4620</v>
      </c>
      <c r="G251" s="971">
        <f>+NOMINA!H250</f>
        <v>44470</v>
      </c>
      <c r="H251" s="961">
        <f t="shared" si="43"/>
        <v>1</v>
      </c>
      <c r="I251" s="962">
        <v>0</v>
      </c>
      <c r="J251" s="968">
        <f>+NOMINA!BL250</f>
        <v>21.08</v>
      </c>
      <c r="K251" s="968">
        <f>+NOMINA!BM250</f>
        <v>2.63</v>
      </c>
      <c r="L251" s="968">
        <f>+NOMINA!BN250</f>
        <v>4.57</v>
      </c>
      <c r="M251" s="963">
        <f t="shared" si="44"/>
        <v>28.28</v>
      </c>
      <c r="N251" s="968">
        <f>+NOMINA!BR250</f>
        <v>47.42</v>
      </c>
      <c r="O251" s="968">
        <f>+NOMINA!BS250</f>
        <v>10.54</v>
      </c>
      <c r="P251" s="968">
        <f>+NOMINA!BT250</f>
        <v>9.14</v>
      </c>
      <c r="Q251" s="963">
        <f t="shared" si="45"/>
        <v>67.099999999999994</v>
      </c>
      <c r="R251" s="963">
        <f t="shared" si="46"/>
        <v>95.38</v>
      </c>
      <c r="S251" s="972">
        <v>0</v>
      </c>
      <c r="T251" s="443" t="e">
        <f>#REF!+#REF!-M251</f>
        <v>#REF!</v>
      </c>
      <c r="U251" s="952" t="e">
        <f>ROUND((#REF!+#REF!+#REF!+#REF!+#REF!+#REF!+#REF!+#REF!+#REF!),2)</f>
        <v>#REF!</v>
      </c>
      <c r="Y251" s="953" t="e">
        <f>#REF!+#REF!-M251</f>
        <v>#REF!</v>
      </c>
      <c r="Z251" s="954" t="e">
        <f>#REF!</f>
        <v>#REF!</v>
      </c>
      <c r="AA251" s="953" t="e">
        <f>#REF!+#REF!</f>
        <v>#REF!</v>
      </c>
      <c r="AB251" s="954" t="e">
        <f>#REF!</f>
        <v>#REF!</v>
      </c>
      <c r="AC251" s="955">
        <v>0</v>
      </c>
      <c r="AD251" s="954" t="e">
        <f>#REF!</f>
        <v>#REF!</v>
      </c>
      <c r="AE251" s="956" t="e">
        <f>#REF!+#REF!</f>
        <v>#REF!</v>
      </c>
      <c r="AF251" s="956" t="e">
        <f>#REF!+#REF!</f>
        <v>#REF!</v>
      </c>
      <c r="AG251" s="956"/>
      <c r="AH251" s="954" t="e">
        <f>#REF!</f>
        <v>#REF!</v>
      </c>
      <c r="AI251" s="954" t="e">
        <f t="shared" si="39"/>
        <v>#REF!</v>
      </c>
      <c r="AJ251" s="954">
        <f t="shared" si="40"/>
        <v>95.38</v>
      </c>
      <c r="AK251" s="954">
        <f t="shared" si="41"/>
        <v>0</v>
      </c>
      <c r="AL251" s="625"/>
    </row>
    <row r="252" spans="1:38" s="620" customFormat="1" ht="20.100000000000001" customHeight="1" x14ac:dyDescent="0.2">
      <c r="A252" s="759">
        <f t="shared" si="42"/>
        <v>208</v>
      </c>
      <c r="B252" s="957">
        <f>+NOMINA!C251</f>
        <v>20707490</v>
      </c>
      <c r="C252" s="958" t="str">
        <f>+NOMINA!D251</f>
        <v>Saavedra Valera Keila Andreina</v>
      </c>
      <c r="D252" s="955" t="s">
        <v>4622</v>
      </c>
      <c r="E252" s="959">
        <v>32351</v>
      </c>
      <c r="F252" s="955" t="s">
        <v>4620</v>
      </c>
      <c r="G252" s="971">
        <f>+NOMINA!H251</f>
        <v>42751</v>
      </c>
      <c r="H252" s="961">
        <f t="shared" si="43"/>
        <v>5</v>
      </c>
      <c r="I252" s="962">
        <v>0</v>
      </c>
      <c r="J252" s="968">
        <f>+NOMINA!BL251</f>
        <v>21.14</v>
      </c>
      <c r="K252" s="968">
        <f>+NOMINA!BM251</f>
        <v>2.64</v>
      </c>
      <c r="L252" s="968">
        <f>+NOMINA!BN251</f>
        <v>4.58</v>
      </c>
      <c r="M252" s="963">
        <f t="shared" si="44"/>
        <v>28.36</v>
      </c>
      <c r="N252" s="968">
        <f>+NOMINA!BR251</f>
        <v>47.56</v>
      </c>
      <c r="O252" s="968">
        <f>+NOMINA!BS251</f>
        <v>10.57</v>
      </c>
      <c r="P252" s="968">
        <f>+NOMINA!BT251</f>
        <v>9.16</v>
      </c>
      <c r="Q252" s="963">
        <f t="shared" si="45"/>
        <v>67.290000000000006</v>
      </c>
      <c r="R252" s="963">
        <f t="shared" si="46"/>
        <v>95.65</v>
      </c>
      <c r="S252" s="972">
        <v>0</v>
      </c>
      <c r="T252" s="443" t="e">
        <f>#REF!+#REF!-M252</f>
        <v>#REF!</v>
      </c>
      <c r="U252" s="952" t="e">
        <f>ROUND((#REF!+#REF!+#REF!+#REF!+#REF!+#REF!+#REF!+#REF!+#REF!),2)</f>
        <v>#REF!</v>
      </c>
      <c r="Y252" s="953" t="e">
        <f>#REF!+#REF!-M252</f>
        <v>#REF!</v>
      </c>
      <c r="Z252" s="954" t="e">
        <f>#REF!</f>
        <v>#REF!</v>
      </c>
      <c r="AA252" s="953" t="e">
        <f>#REF!+#REF!</f>
        <v>#REF!</v>
      </c>
      <c r="AB252" s="954" t="e">
        <f>#REF!</f>
        <v>#REF!</v>
      </c>
      <c r="AC252" s="955">
        <v>0</v>
      </c>
      <c r="AD252" s="954" t="e">
        <f>#REF!</f>
        <v>#REF!</v>
      </c>
      <c r="AE252" s="956" t="e">
        <f>#REF!+#REF!</f>
        <v>#REF!</v>
      </c>
      <c r="AF252" s="956" t="e">
        <f>#REF!+#REF!</f>
        <v>#REF!</v>
      </c>
      <c r="AG252" s="956"/>
      <c r="AH252" s="954" t="e">
        <f>#REF!</f>
        <v>#REF!</v>
      </c>
      <c r="AI252" s="954" t="e">
        <f t="shared" si="39"/>
        <v>#REF!</v>
      </c>
      <c r="AJ252" s="954">
        <f t="shared" si="40"/>
        <v>95.65</v>
      </c>
      <c r="AK252" s="954">
        <f t="shared" si="41"/>
        <v>0</v>
      </c>
      <c r="AL252" s="625"/>
    </row>
    <row r="253" spans="1:38" s="620" customFormat="1" ht="20.100000000000001" customHeight="1" x14ac:dyDescent="0.2">
      <c r="A253" s="759">
        <f t="shared" si="42"/>
        <v>209</v>
      </c>
      <c r="B253" s="957">
        <f>+NOMINA!C252</f>
        <v>20789286</v>
      </c>
      <c r="C253" s="958" t="str">
        <f>+NOMINA!D252</f>
        <v>Viloria Jessica del Carmen</v>
      </c>
      <c r="D253" s="955" t="s">
        <v>4622</v>
      </c>
      <c r="E253" s="959">
        <v>32351</v>
      </c>
      <c r="F253" s="955" t="s">
        <v>4620</v>
      </c>
      <c r="G253" s="971">
        <f>+NOMINA!H252</f>
        <v>44713</v>
      </c>
      <c r="H253" s="961">
        <f t="shared" si="43"/>
        <v>0</v>
      </c>
      <c r="I253" s="962">
        <v>0</v>
      </c>
      <c r="J253" s="968">
        <f>+NOMINA!BL252</f>
        <v>24.68</v>
      </c>
      <c r="K253" s="968">
        <f>+NOMINA!BM252</f>
        <v>3.09</v>
      </c>
      <c r="L253" s="968">
        <f>+NOMINA!BN252</f>
        <v>5.35</v>
      </c>
      <c r="M253" s="963">
        <f t="shared" si="44"/>
        <v>33.119999999999997</v>
      </c>
      <c r="N253" s="968">
        <f>+NOMINA!BR252</f>
        <v>55.53</v>
      </c>
      <c r="O253" s="968">
        <f>+NOMINA!BS252</f>
        <v>12.34</v>
      </c>
      <c r="P253" s="968">
        <f>+NOMINA!BT252</f>
        <v>10.7</v>
      </c>
      <c r="Q253" s="963">
        <f t="shared" si="45"/>
        <v>78.569999999999993</v>
      </c>
      <c r="R253" s="963">
        <f t="shared" si="46"/>
        <v>111.69</v>
      </c>
      <c r="S253" s="972">
        <v>0</v>
      </c>
      <c r="T253" s="443" t="e">
        <f>#REF!+#REF!-M253</f>
        <v>#REF!</v>
      </c>
      <c r="U253" s="952" t="e">
        <f>ROUND((#REF!+#REF!+#REF!+#REF!+#REF!+#REF!+#REF!+#REF!+#REF!),2)</f>
        <v>#REF!</v>
      </c>
      <c r="Y253" s="953" t="e">
        <f>#REF!+#REF!-M253</f>
        <v>#REF!</v>
      </c>
      <c r="Z253" s="954" t="e">
        <f>#REF!</f>
        <v>#REF!</v>
      </c>
      <c r="AA253" s="953" t="e">
        <f>#REF!+#REF!</f>
        <v>#REF!</v>
      </c>
      <c r="AB253" s="954" t="e">
        <f>#REF!</f>
        <v>#REF!</v>
      </c>
      <c r="AC253" s="955">
        <v>0</v>
      </c>
      <c r="AD253" s="954" t="e">
        <f>#REF!</f>
        <v>#REF!</v>
      </c>
      <c r="AE253" s="956" t="e">
        <f>#REF!+#REF!</f>
        <v>#REF!</v>
      </c>
      <c r="AF253" s="956" t="e">
        <f>#REF!+#REF!</f>
        <v>#REF!</v>
      </c>
      <c r="AG253" s="956"/>
      <c r="AH253" s="954" t="e">
        <f>#REF!</f>
        <v>#REF!</v>
      </c>
      <c r="AI253" s="954" t="e">
        <f t="shared" si="39"/>
        <v>#REF!</v>
      </c>
      <c r="AJ253" s="954">
        <f t="shared" si="40"/>
        <v>111.69</v>
      </c>
      <c r="AK253" s="954">
        <f t="shared" si="41"/>
        <v>0</v>
      </c>
      <c r="AL253" s="625"/>
    </row>
    <row r="254" spans="1:38" s="620" customFormat="1" ht="20.100000000000001" customHeight="1" x14ac:dyDescent="0.2">
      <c r="A254" s="759">
        <f t="shared" si="42"/>
        <v>210</v>
      </c>
      <c r="B254" s="957">
        <f>+NOMINA!C253</f>
        <v>20790947</v>
      </c>
      <c r="C254" s="958" t="str">
        <f>+NOMINA!D253</f>
        <v>Urbina Cuellar Tannessy Lenery</v>
      </c>
      <c r="D254" s="955" t="s">
        <v>4622</v>
      </c>
      <c r="E254" s="959">
        <v>32351</v>
      </c>
      <c r="F254" s="955" t="s">
        <v>4620</v>
      </c>
      <c r="G254" s="971">
        <f>+NOMINA!H253</f>
        <v>43967</v>
      </c>
      <c r="H254" s="961">
        <f t="shared" si="43"/>
        <v>2</v>
      </c>
      <c r="I254" s="962">
        <v>0</v>
      </c>
      <c r="J254" s="968">
        <f>+NOMINA!BL253</f>
        <v>0</v>
      </c>
      <c r="K254" s="968">
        <f>+NOMINA!BM253</f>
        <v>0</v>
      </c>
      <c r="L254" s="968">
        <f>+NOMINA!BN253</f>
        <v>0</v>
      </c>
      <c r="M254" s="963">
        <f t="shared" si="44"/>
        <v>0</v>
      </c>
      <c r="N254" s="968">
        <f>+NOMINA!BR253</f>
        <v>0</v>
      </c>
      <c r="O254" s="968">
        <f>+NOMINA!BS253</f>
        <v>0</v>
      </c>
      <c r="P254" s="968">
        <f>+NOMINA!BT253</f>
        <v>0</v>
      </c>
      <c r="Q254" s="963">
        <f t="shared" si="45"/>
        <v>0</v>
      </c>
      <c r="R254" s="963">
        <f t="shared" si="46"/>
        <v>0</v>
      </c>
      <c r="S254" s="972">
        <v>0</v>
      </c>
      <c r="T254" s="443" t="e">
        <f>#REF!+#REF!-M254</f>
        <v>#REF!</v>
      </c>
      <c r="U254" s="952" t="e">
        <f>ROUND((#REF!+#REF!+#REF!+#REF!+#REF!+#REF!+#REF!+#REF!+#REF!),2)</f>
        <v>#REF!</v>
      </c>
      <c r="Y254" s="953" t="e">
        <f>#REF!+#REF!-M254</f>
        <v>#REF!</v>
      </c>
      <c r="Z254" s="954" t="e">
        <f>#REF!</f>
        <v>#REF!</v>
      </c>
      <c r="AA254" s="953" t="e">
        <f>#REF!+#REF!</f>
        <v>#REF!</v>
      </c>
      <c r="AB254" s="954" t="e">
        <f>#REF!</f>
        <v>#REF!</v>
      </c>
      <c r="AC254" s="955">
        <v>0</v>
      </c>
      <c r="AD254" s="954" t="e">
        <f>#REF!</f>
        <v>#REF!</v>
      </c>
      <c r="AE254" s="956" t="e">
        <f>#REF!+#REF!</f>
        <v>#REF!</v>
      </c>
      <c r="AF254" s="956" t="e">
        <f>#REF!+#REF!</f>
        <v>#REF!</v>
      </c>
      <c r="AG254" s="956"/>
      <c r="AH254" s="954" t="e">
        <f>#REF!</f>
        <v>#REF!</v>
      </c>
      <c r="AI254" s="954" t="e">
        <f t="shared" si="39"/>
        <v>#REF!</v>
      </c>
      <c r="AJ254" s="954">
        <f t="shared" si="40"/>
        <v>0</v>
      </c>
      <c r="AK254" s="954">
        <f t="shared" si="41"/>
        <v>0</v>
      </c>
      <c r="AL254" s="625"/>
    </row>
    <row r="255" spans="1:38" s="620" customFormat="1" ht="20.100000000000001" customHeight="1" x14ac:dyDescent="0.2">
      <c r="A255" s="759">
        <f t="shared" si="42"/>
        <v>211</v>
      </c>
      <c r="B255" s="957">
        <f>+NOMINA!C254</f>
        <v>21061126</v>
      </c>
      <c r="C255" s="958" t="str">
        <f>+NOMINA!D254</f>
        <v>Olivar Nava Robinson de Jesus</v>
      </c>
      <c r="D255" s="955" t="s">
        <v>4622</v>
      </c>
      <c r="E255" s="959">
        <v>32351</v>
      </c>
      <c r="F255" s="955" t="s">
        <v>4620</v>
      </c>
      <c r="G255" s="971">
        <f>+NOMINA!H254</f>
        <v>45047</v>
      </c>
      <c r="H255" s="961">
        <f t="shared" si="43"/>
        <v>0</v>
      </c>
      <c r="I255" s="962">
        <v>0</v>
      </c>
      <c r="J255" s="968">
        <f>+NOMINA!BL254</f>
        <v>24.44</v>
      </c>
      <c r="K255" s="968">
        <f>+NOMINA!BM254</f>
        <v>3.05</v>
      </c>
      <c r="L255" s="968">
        <f>+NOMINA!BN254</f>
        <v>5.29</v>
      </c>
      <c r="M255" s="963">
        <f t="shared" si="44"/>
        <v>32.78</v>
      </c>
      <c r="N255" s="968">
        <f>+NOMINA!BR254</f>
        <v>54.99</v>
      </c>
      <c r="O255" s="968">
        <f>+NOMINA!BS254</f>
        <v>12.22</v>
      </c>
      <c r="P255" s="968">
        <f>+NOMINA!BT254</f>
        <v>10.58</v>
      </c>
      <c r="Q255" s="963">
        <f t="shared" si="45"/>
        <v>77.790000000000006</v>
      </c>
      <c r="R255" s="963">
        <f t="shared" si="46"/>
        <v>110.57000000000001</v>
      </c>
      <c r="S255" s="972">
        <v>0</v>
      </c>
      <c r="T255" s="443" t="e">
        <f>#REF!+#REF!-M255</f>
        <v>#REF!</v>
      </c>
      <c r="U255" s="952" t="e">
        <f>ROUND((#REF!+#REF!+#REF!+#REF!+#REF!+#REF!+#REF!+#REF!+#REF!),2)</f>
        <v>#REF!</v>
      </c>
      <c r="Y255" s="953" t="e">
        <f>#REF!+#REF!-M255</f>
        <v>#REF!</v>
      </c>
      <c r="Z255" s="954" t="e">
        <f>#REF!</f>
        <v>#REF!</v>
      </c>
      <c r="AA255" s="953" t="e">
        <f>#REF!+#REF!</f>
        <v>#REF!</v>
      </c>
      <c r="AB255" s="954" t="e">
        <f>#REF!</f>
        <v>#REF!</v>
      </c>
      <c r="AC255" s="955">
        <v>0</v>
      </c>
      <c r="AD255" s="954" t="e">
        <f>#REF!</f>
        <v>#REF!</v>
      </c>
      <c r="AE255" s="956" t="e">
        <f>#REF!+#REF!</f>
        <v>#REF!</v>
      </c>
      <c r="AF255" s="956" t="e">
        <f>#REF!+#REF!</f>
        <v>#REF!</v>
      </c>
      <c r="AG255" s="956"/>
      <c r="AH255" s="954" t="e">
        <f>#REF!</f>
        <v>#REF!</v>
      </c>
      <c r="AI255" s="954" t="e">
        <f t="shared" si="39"/>
        <v>#REF!</v>
      </c>
      <c r="AJ255" s="954">
        <f t="shared" si="40"/>
        <v>110.57000000000001</v>
      </c>
      <c r="AK255" s="954">
        <f t="shared" si="41"/>
        <v>0</v>
      </c>
      <c r="AL255" s="625"/>
    </row>
    <row r="256" spans="1:38" s="620" customFormat="1" ht="20.100000000000001" customHeight="1" x14ac:dyDescent="0.2">
      <c r="A256" s="759">
        <f t="shared" si="42"/>
        <v>212</v>
      </c>
      <c r="B256" s="957">
        <f>+NOMINA!C255</f>
        <v>21061789</v>
      </c>
      <c r="C256" s="958" t="str">
        <f>+NOMINA!D255</f>
        <v>Suarez Briceño Daiver Jose</v>
      </c>
      <c r="D256" s="955" t="s">
        <v>4622</v>
      </c>
      <c r="E256" s="959">
        <v>32351</v>
      </c>
      <c r="F256" s="955" t="s">
        <v>4620</v>
      </c>
      <c r="G256" s="971">
        <f>+NOMINA!H255</f>
        <v>44713</v>
      </c>
      <c r="H256" s="961">
        <f t="shared" si="43"/>
        <v>0</v>
      </c>
      <c r="I256" s="962">
        <v>0</v>
      </c>
      <c r="J256" s="968">
        <f>+NOMINA!BL255</f>
        <v>23.96</v>
      </c>
      <c r="K256" s="968">
        <f>+NOMINA!BM255</f>
        <v>3</v>
      </c>
      <c r="L256" s="968">
        <f>+NOMINA!BN255</f>
        <v>5.19</v>
      </c>
      <c r="M256" s="963">
        <f t="shared" si="44"/>
        <v>32.15</v>
      </c>
      <c r="N256" s="968">
        <f>+NOMINA!BR255</f>
        <v>53.91</v>
      </c>
      <c r="O256" s="968">
        <f>+NOMINA!BS255</f>
        <v>11.98</v>
      </c>
      <c r="P256" s="968">
        <f>+NOMINA!BT255</f>
        <v>10.38</v>
      </c>
      <c r="Q256" s="963">
        <f t="shared" si="45"/>
        <v>76.27</v>
      </c>
      <c r="R256" s="963">
        <f t="shared" si="46"/>
        <v>108.41999999999999</v>
      </c>
      <c r="S256" s="972">
        <v>0</v>
      </c>
      <c r="T256" s="443" t="e">
        <f>#REF!+#REF!-M256</f>
        <v>#REF!</v>
      </c>
      <c r="U256" s="952" t="e">
        <f>ROUND((#REF!+#REF!+#REF!+#REF!+#REF!+#REF!+#REF!+#REF!+#REF!),2)</f>
        <v>#REF!</v>
      </c>
      <c r="Y256" s="953" t="e">
        <f>#REF!+#REF!-M256</f>
        <v>#REF!</v>
      </c>
      <c r="Z256" s="954" t="e">
        <f>#REF!</f>
        <v>#REF!</v>
      </c>
      <c r="AA256" s="953" t="e">
        <f>#REF!+#REF!</f>
        <v>#REF!</v>
      </c>
      <c r="AB256" s="954" t="e">
        <f>#REF!</f>
        <v>#REF!</v>
      </c>
      <c r="AC256" s="955">
        <v>0</v>
      </c>
      <c r="AD256" s="954" t="e">
        <f>#REF!</f>
        <v>#REF!</v>
      </c>
      <c r="AE256" s="956" t="e">
        <f>#REF!+#REF!</f>
        <v>#REF!</v>
      </c>
      <c r="AF256" s="956" t="e">
        <f>#REF!+#REF!</f>
        <v>#REF!</v>
      </c>
      <c r="AG256" s="956"/>
      <c r="AH256" s="954" t="e">
        <f>#REF!</f>
        <v>#REF!</v>
      </c>
      <c r="AI256" s="954" t="e">
        <f t="shared" si="39"/>
        <v>#REF!</v>
      </c>
      <c r="AJ256" s="954">
        <f t="shared" si="40"/>
        <v>108.41999999999999</v>
      </c>
      <c r="AK256" s="954">
        <f t="shared" si="41"/>
        <v>0</v>
      </c>
      <c r="AL256" s="625"/>
    </row>
    <row r="257" spans="1:38" s="620" customFormat="1" ht="20.100000000000001" customHeight="1" x14ac:dyDescent="0.2">
      <c r="A257" s="759">
        <f t="shared" si="42"/>
        <v>213</v>
      </c>
      <c r="B257" s="957">
        <f>+NOMINA!C256</f>
        <v>21365212</v>
      </c>
      <c r="C257" s="958" t="str">
        <f>+NOMINA!D256</f>
        <v>Manzanilla Gonzalez Landkler Josue</v>
      </c>
      <c r="D257" s="955" t="s">
        <v>4622</v>
      </c>
      <c r="E257" s="959">
        <v>32351</v>
      </c>
      <c r="F257" s="955" t="s">
        <v>4620</v>
      </c>
      <c r="G257" s="971">
        <f>+NOMINA!H256</f>
        <v>44317</v>
      </c>
      <c r="H257" s="961">
        <f t="shared" si="43"/>
        <v>1</v>
      </c>
      <c r="I257" s="962">
        <v>0</v>
      </c>
      <c r="J257" s="968">
        <f>+NOMINA!BL256</f>
        <v>13.2</v>
      </c>
      <c r="K257" s="968">
        <f>+NOMINA!BM256</f>
        <v>1.65</v>
      </c>
      <c r="L257" s="968">
        <f>+NOMINA!BN256</f>
        <v>2.86</v>
      </c>
      <c r="M257" s="963">
        <f t="shared" si="44"/>
        <v>17.71</v>
      </c>
      <c r="N257" s="968">
        <f>+NOMINA!BR256</f>
        <v>29.7</v>
      </c>
      <c r="O257" s="968">
        <f>+NOMINA!BS256</f>
        <v>6.6</v>
      </c>
      <c r="P257" s="968">
        <f>+NOMINA!BT256</f>
        <v>5.72</v>
      </c>
      <c r="Q257" s="963">
        <f t="shared" si="45"/>
        <v>42.02</v>
      </c>
      <c r="R257" s="963">
        <f t="shared" si="46"/>
        <v>59.730000000000004</v>
      </c>
      <c r="S257" s="972">
        <v>0</v>
      </c>
      <c r="T257" s="443" t="e">
        <f>#REF!+#REF!-M257</f>
        <v>#REF!</v>
      </c>
      <c r="U257" s="952" t="e">
        <f>ROUND((#REF!+#REF!+#REF!+#REF!+#REF!+#REF!+#REF!+#REF!+#REF!),2)</f>
        <v>#REF!</v>
      </c>
      <c r="Y257" s="953" t="e">
        <f>#REF!+#REF!-M257</f>
        <v>#REF!</v>
      </c>
      <c r="Z257" s="954" t="e">
        <f>#REF!</f>
        <v>#REF!</v>
      </c>
      <c r="AA257" s="953" t="e">
        <f>#REF!+#REF!</f>
        <v>#REF!</v>
      </c>
      <c r="AB257" s="954" t="e">
        <f>#REF!</f>
        <v>#REF!</v>
      </c>
      <c r="AC257" s="955">
        <v>0</v>
      </c>
      <c r="AD257" s="954" t="e">
        <f>#REF!</f>
        <v>#REF!</v>
      </c>
      <c r="AE257" s="956" t="e">
        <f>#REF!+#REF!</f>
        <v>#REF!</v>
      </c>
      <c r="AF257" s="956" t="e">
        <f>#REF!+#REF!</f>
        <v>#REF!</v>
      </c>
      <c r="AG257" s="956"/>
      <c r="AH257" s="954" t="e">
        <f>#REF!</f>
        <v>#REF!</v>
      </c>
      <c r="AI257" s="954" t="e">
        <f t="shared" si="39"/>
        <v>#REF!</v>
      </c>
      <c r="AJ257" s="954">
        <f t="shared" si="40"/>
        <v>59.730000000000004</v>
      </c>
      <c r="AK257" s="954">
        <f t="shared" si="41"/>
        <v>0</v>
      </c>
      <c r="AL257" s="625"/>
    </row>
    <row r="258" spans="1:38" s="620" customFormat="1" ht="20.100000000000001" customHeight="1" x14ac:dyDescent="0.2">
      <c r="A258" s="759">
        <f t="shared" si="42"/>
        <v>214</v>
      </c>
      <c r="B258" s="957">
        <f>+NOMINA!C257</f>
        <v>21592108</v>
      </c>
      <c r="C258" s="958" t="str">
        <f>+NOMINA!D257</f>
        <v>Coy Andara Darlin Gabriela</v>
      </c>
      <c r="D258" s="955" t="s">
        <v>4622</v>
      </c>
      <c r="E258" s="959">
        <v>32351</v>
      </c>
      <c r="F258" s="955" t="s">
        <v>4620</v>
      </c>
      <c r="G258" s="971">
        <f>+NOMINA!H257</f>
        <v>43024</v>
      </c>
      <c r="H258" s="961">
        <f t="shared" si="43"/>
        <v>5</v>
      </c>
      <c r="I258" s="962">
        <v>0</v>
      </c>
      <c r="J258" s="968">
        <f>+NOMINA!BL257</f>
        <v>0</v>
      </c>
      <c r="K258" s="968">
        <f>+NOMINA!BM257</f>
        <v>0</v>
      </c>
      <c r="L258" s="968">
        <f>+NOMINA!BN257</f>
        <v>0</v>
      </c>
      <c r="M258" s="963">
        <f t="shared" si="44"/>
        <v>0</v>
      </c>
      <c r="N258" s="968">
        <f>+NOMINA!BR257</f>
        <v>0</v>
      </c>
      <c r="O258" s="968">
        <f>+NOMINA!BS257</f>
        <v>0</v>
      </c>
      <c r="P258" s="968">
        <f>+NOMINA!BT257</f>
        <v>0</v>
      </c>
      <c r="Q258" s="963">
        <f t="shared" si="45"/>
        <v>0</v>
      </c>
      <c r="R258" s="963">
        <f t="shared" si="46"/>
        <v>0</v>
      </c>
      <c r="S258" s="972">
        <v>0</v>
      </c>
      <c r="T258" s="443" t="e">
        <f>#REF!+#REF!-M258</f>
        <v>#REF!</v>
      </c>
      <c r="U258" s="952" t="e">
        <f>ROUND((#REF!+#REF!+#REF!+#REF!+#REF!+#REF!+#REF!+#REF!+#REF!),2)</f>
        <v>#REF!</v>
      </c>
      <c r="Y258" s="953" t="e">
        <f>#REF!+#REF!-M258</f>
        <v>#REF!</v>
      </c>
      <c r="Z258" s="954" t="e">
        <f>#REF!</f>
        <v>#REF!</v>
      </c>
      <c r="AA258" s="953" t="e">
        <f>#REF!+#REF!</f>
        <v>#REF!</v>
      </c>
      <c r="AB258" s="954" t="e">
        <f>#REF!</f>
        <v>#REF!</v>
      </c>
      <c r="AC258" s="955">
        <v>0</v>
      </c>
      <c r="AD258" s="954" t="e">
        <f>#REF!</f>
        <v>#REF!</v>
      </c>
      <c r="AE258" s="956" t="e">
        <f>#REF!+#REF!</f>
        <v>#REF!</v>
      </c>
      <c r="AF258" s="956" t="e">
        <f>#REF!+#REF!</f>
        <v>#REF!</v>
      </c>
      <c r="AG258" s="956"/>
      <c r="AH258" s="954" t="e">
        <f>#REF!</f>
        <v>#REF!</v>
      </c>
      <c r="AI258" s="954" t="e">
        <f t="shared" si="39"/>
        <v>#REF!</v>
      </c>
      <c r="AJ258" s="954">
        <f t="shared" si="40"/>
        <v>0</v>
      </c>
      <c r="AK258" s="954">
        <f t="shared" si="41"/>
        <v>0</v>
      </c>
      <c r="AL258" s="625"/>
    </row>
    <row r="259" spans="1:38" s="620" customFormat="1" ht="20.100000000000001" customHeight="1" x14ac:dyDescent="0.2">
      <c r="A259" s="759">
        <f t="shared" si="42"/>
        <v>215</v>
      </c>
      <c r="B259" s="957">
        <f>+NOMINA!C258</f>
        <v>22622493</v>
      </c>
      <c r="C259" s="958" t="str">
        <f>+NOMINA!D258</f>
        <v>Barrios Olivar Geraldine Katiusca</v>
      </c>
      <c r="D259" s="955" t="s">
        <v>4622</v>
      </c>
      <c r="E259" s="959">
        <v>32351</v>
      </c>
      <c r="F259" s="955" t="s">
        <v>4620</v>
      </c>
      <c r="G259" s="971">
        <f>+NOMINA!H258</f>
        <v>44363</v>
      </c>
      <c r="H259" s="961">
        <f t="shared" si="43"/>
        <v>1</v>
      </c>
      <c r="I259" s="962">
        <v>0</v>
      </c>
      <c r="J259" s="968">
        <f>+NOMINA!BL258</f>
        <v>18.66</v>
      </c>
      <c r="K259" s="968">
        <f>+NOMINA!BM258</f>
        <v>2.33</v>
      </c>
      <c r="L259" s="968">
        <f>+NOMINA!BN258</f>
        <v>4.04</v>
      </c>
      <c r="M259" s="963">
        <f t="shared" si="44"/>
        <v>25.03</v>
      </c>
      <c r="N259" s="968">
        <f>+NOMINA!BR258</f>
        <v>41.99</v>
      </c>
      <c r="O259" s="968">
        <f>+NOMINA!BS258</f>
        <v>9.33</v>
      </c>
      <c r="P259" s="968">
        <f>+NOMINA!BT258</f>
        <v>8.08</v>
      </c>
      <c r="Q259" s="963">
        <f t="shared" si="45"/>
        <v>59.4</v>
      </c>
      <c r="R259" s="963">
        <f t="shared" si="46"/>
        <v>84.43</v>
      </c>
      <c r="S259" s="972">
        <v>0</v>
      </c>
      <c r="T259" s="443" t="e">
        <f>#REF!+#REF!-M259</f>
        <v>#REF!</v>
      </c>
      <c r="U259" s="952" t="e">
        <f>ROUND((#REF!+#REF!+#REF!+#REF!+#REF!+#REF!+#REF!+#REF!+#REF!),2)</f>
        <v>#REF!</v>
      </c>
      <c r="Y259" s="953" t="e">
        <f>#REF!+#REF!-M259</f>
        <v>#REF!</v>
      </c>
      <c r="Z259" s="954" t="e">
        <f>#REF!</f>
        <v>#REF!</v>
      </c>
      <c r="AA259" s="953" t="e">
        <f>#REF!+#REF!</f>
        <v>#REF!</v>
      </c>
      <c r="AB259" s="954" t="e">
        <f>#REF!</f>
        <v>#REF!</v>
      </c>
      <c r="AC259" s="955">
        <v>0</v>
      </c>
      <c r="AD259" s="954" t="e">
        <f>#REF!</f>
        <v>#REF!</v>
      </c>
      <c r="AE259" s="956" t="e">
        <f>#REF!+#REF!</f>
        <v>#REF!</v>
      </c>
      <c r="AF259" s="956" t="e">
        <f>#REF!+#REF!</f>
        <v>#REF!</v>
      </c>
      <c r="AG259" s="956"/>
      <c r="AH259" s="954" t="e">
        <f>#REF!</f>
        <v>#REF!</v>
      </c>
      <c r="AI259" s="954" t="e">
        <f t="shared" si="39"/>
        <v>#REF!</v>
      </c>
      <c r="AJ259" s="954">
        <f t="shared" si="40"/>
        <v>84.43</v>
      </c>
      <c r="AK259" s="954">
        <f t="shared" si="41"/>
        <v>0</v>
      </c>
      <c r="AL259" s="625"/>
    </row>
    <row r="260" spans="1:38" s="620" customFormat="1" ht="20.100000000000001" customHeight="1" x14ac:dyDescent="0.2">
      <c r="A260" s="759">
        <f t="shared" si="42"/>
        <v>216</v>
      </c>
      <c r="B260" s="957">
        <f>+NOMINA!C259</f>
        <v>22892886</v>
      </c>
      <c r="C260" s="958" t="str">
        <f>+NOMINA!D259</f>
        <v>Rivas Gonzalez Eddy Carolina</v>
      </c>
      <c r="D260" s="955" t="s">
        <v>4622</v>
      </c>
      <c r="E260" s="959">
        <v>32351</v>
      </c>
      <c r="F260" s="955" t="s">
        <v>4620</v>
      </c>
      <c r="G260" s="971">
        <f>+NOMINA!H259</f>
        <v>45748</v>
      </c>
      <c r="H260" s="961">
        <f t="shared" si="43"/>
        <v>0</v>
      </c>
      <c r="I260" s="962">
        <v>0</v>
      </c>
      <c r="J260" s="968">
        <f>+NOMINA!BL259</f>
        <v>15.6</v>
      </c>
      <c r="K260" s="968">
        <f>+NOMINA!BM259</f>
        <v>1.95</v>
      </c>
      <c r="L260" s="968">
        <f>+NOMINA!BN259</f>
        <v>3.38</v>
      </c>
      <c r="M260" s="963">
        <f t="shared" si="44"/>
        <v>20.93</v>
      </c>
      <c r="N260" s="968">
        <f>+NOMINA!BR259</f>
        <v>35.1</v>
      </c>
      <c r="O260" s="968">
        <f>+NOMINA!BS259</f>
        <v>7.8</v>
      </c>
      <c r="P260" s="968">
        <f>+NOMINA!BT259</f>
        <v>6.76</v>
      </c>
      <c r="Q260" s="963">
        <f t="shared" si="45"/>
        <v>49.66</v>
      </c>
      <c r="R260" s="963">
        <f t="shared" si="46"/>
        <v>70.59</v>
      </c>
      <c r="S260" s="972">
        <v>0</v>
      </c>
      <c r="T260" s="443" t="e">
        <f>#REF!+#REF!-M260</f>
        <v>#REF!</v>
      </c>
      <c r="U260" s="952" t="e">
        <f>ROUND((#REF!+#REF!+#REF!+#REF!+#REF!+#REF!+#REF!+#REF!+#REF!),2)</f>
        <v>#REF!</v>
      </c>
      <c r="Y260" s="953" t="e">
        <f>#REF!+#REF!-M260</f>
        <v>#REF!</v>
      </c>
      <c r="Z260" s="954" t="e">
        <f>#REF!</f>
        <v>#REF!</v>
      </c>
      <c r="AA260" s="953" t="e">
        <f>#REF!+#REF!</f>
        <v>#REF!</v>
      </c>
      <c r="AB260" s="954" t="e">
        <f>#REF!</f>
        <v>#REF!</v>
      </c>
      <c r="AC260" s="955">
        <v>0</v>
      </c>
      <c r="AD260" s="954" t="e">
        <f>#REF!</f>
        <v>#REF!</v>
      </c>
      <c r="AE260" s="956" t="e">
        <f>#REF!+#REF!</f>
        <v>#REF!</v>
      </c>
      <c r="AF260" s="956" t="e">
        <f>#REF!+#REF!</f>
        <v>#REF!</v>
      </c>
      <c r="AG260" s="956"/>
      <c r="AH260" s="954" t="e">
        <f>#REF!</f>
        <v>#REF!</v>
      </c>
      <c r="AI260" s="954" t="e">
        <f t="shared" si="39"/>
        <v>#REF!</v>
      </c>
      <c r="AJ260" s="954">
        <f t="shared" si="40"/>
        <v>70.59</v>
      </c>
      <c r="AK260" s="954">
        <f t="shared" si="41"/>
        <v>0</v>
      </c>
      <c r="AL260" s="625"/>
    </row>
    <row r="261" spans="1:38" s="620" customFormat="1" ht="20.100000000000001" customHeight="1" x14ac:dyDescent="0.2">
      <c r="A261" s="759">
        <f t="shared" si="42"/>
        <v>217</v>
      </c>
      <c r="B261" s="957">
        <f>+NOMINA!C260</f>
        <v>23254359</v>
      </c>
      <c r="C261" s="958" t="str">
        <f>+NOMINA!D260</f>
        <v>Calles Villarreal Jose Bertilio</v>
      </c>
      <c r="D261" s="955" t="s">
        <v>4622</v>
      </c>
      <c r="E261" s="959">
        <v>32351</v>
      </c>
      <c r="F261" s="955" t="s">
        <v>4620</v>
      </c>
      <c r="G261" s="971">
        <f>+NOMINA!H260</f>
        <v>45748</v>
      </c>
      <c r="H261" s="961">
        <f t="shared" si="43"/>
        <v>0</v>
      </c>
      <c r="I261" s="962">
        <v>0</v>
      </c>
      <c r="J261" s="968">
        <f>+NOMINA!BL260</f>
        <v>15.6</v>
      </c>
      <c r="K261" s="968">
        <f>+NOMINA!BM260</f>
        <v>1.95</v>
      </c>
      <c r="L261" s="968">
        <f>+NOMINA!BN260</f>
        <v>3.38</v>
      </c>
      <c r="M261" s="963">
        <f t="shared" si="44"/>
        <v>20.93</v>
      </c>
      <c r="N261" s="968">
        <f>+NOMINA!BR260</f>
        <v>35.1</v>
      </c>
      <c r="O261" s="968">
        <f>+NOMINA!BS260</f>
        <v>7.8</v>
      </c>
      <c r="P261" s="968">
        <f>+NOMINA!BT260</f>
        <v>6.76</v>
      </c>
      <c r="Q261" s="963">
        <f t="shared" si="45"/>
        <v>49.66</v>
      </c>
      <c r="R261" s="963">
        <f t="shared" si="46"/>
        <v>70.59</v>
      </c>
      <c r="S261" s="972">
        <v>0</v>
      </c>
      <c r="T261" s="443" t="e">
        <f>#REF!+#REF!-M261</f>
        <v>#REF!</v>
      </c>
      <c r="U261" s="952" t="e">
        <f>ROUND((#REF!+#REF!+#REF!+#REF!+#REF!+#REF!+#REF!+#REF!+#REF!),2)</f>
        <v>#REF!</v>
      </c>
      <c r="Y261" s="953" t="e">
        <f>#REF!+#REF!-M261</f>
        <v>#REF!</v>
      </c>
      <c r="Z261" s="954" t="e">
        <f>#REF!</f>
        <v>#REF!</v>
      </c>
      <c r="AA261" s="953" t="e">
        <f>#REF!+#REF!</f>
        <v>#REF!</v>
      </c>
      <c r="AB261" s="954" t="e">
        <f>#REF!</f>
        <v>#REF!</v>
      </c>
      <c r="AC261" s="955">
        <v>0</v>
      </c>
      <c r="AD261" s="954" t="e">
        <f>#REF!</f>
        <v>#REF!</v>
      </c>
      <c r="AE261" s="956" t="e">
        <f>#REF!+#REF!</f>
        <v>#REF!</v>
      </c>
      <c r="AF261" s="956" t="e">
        <f>#REF!+#REF!</f>
        <v>#REF!</v>
      </c>
      <c r="AG261" s="956"/>
      <c r="AH261" s="954" t="e">
        <f>#REF!</f>
        <v>#REF!</v>
      </c>
      <c r="AI261" s="954" t="e">
        <f t="shared" si="39"/>
        <v>#REF!</v>
      </c>
      <c r="AJ261" s="954">
        <f t="shared" si="40"/>
        <v>70.59</v>
      </c>
      <c r="AK261" s="954">
        <f t="shared" si="41"/>
        <v>0</v>
      </c>
      <c r="AL261" s="625"/>
    </row>
    <row r="262" spans="1:38" s="620" customFormat="1" ht="20.100000000000001" customHeight="1" x14ac:dyDescent="0.2">
      <c r="A262" s="759">
        <f t="shared" si="42"/>
        <v>218</v>
      </c>
      <c r="B262" s="957">
        <f>+NOMINA!C261</f>
        <v>23782360</v>
      </c>
      <c r="C262" s="958" t="str">
        <f>+NOMINA!D261</f>
        <v>Rivera Sandoval Ilva Azucena</v>
      </c>
      <c r="D262" s="955" t="s">
        <v>4622</v>
      </c>
      <c r="E262" s="959">
        <v>32351</v>
      </c>
      <c r="F262" s="955" t="s">
        <v>4620</v>
      </c>
      <c r="G262" s="971">
        <f>+NOMINA!H261</f>
        <v>39203</v>
      </c>
      <c r="H262" s="961">
        <f t="shared" si="43"/>
        <v>15</v>
      </c>
      <c r="I262" s="962">
        <v>0</v>
      </c>
      <c r="J262" s="968">
        <f>+NOMINA!BL261</f>
        <v>27.83</v>
      </c>
      <c r="K262" s="968">
        <f>+NOMINA!BM261</f>
        <v>3.48</v>
      </c>
      <c r="L262" s="968">
        <f>+NOMINA!BN261</f>
        <v>6.03</v>
      </c>
      <c r="M262" s="963">
        <f t="shared" si="44"/>
        <v>37.340000000000003</v>
      </c>
      <c r="N262" s="968">
        <f>+NOMINA!BR261</f>
        <v>62.62</v>
      </c>
      <c r="O262" s="968">
        <f>+NOMINA!BS261</f>
        <v>13.92</v>
      </c>
      <c r="P262" s="968">
        <f>+NOMINA!BT261</f>
        <v>12.06</v>
      </c>
      <c r="Q262" s="963">
        <f t="shared" si="45"/>
        <v>88.6</v>
      </c>
      <c r="R262" s="963">
        <f t="shared" si="46"/>
        <v>125.94</v>
      </c>
      <c r="S262" s="972">
        <v>0</v>
      </c>
      <c r="T262" s="443" t="e">
        <f>#REF!+#REF!-M262</f>
        <v>#REF!</v>
      </c>
      <c r="U262" s="952" t="e">
        <f>ROUND((#REF!+#REF!+#REF!+#REF!+#REF!+#REF!+#REF!+#REF!+#REF!),2)</f>
        <v>#REF!</v>
      </c>
      <c r="Y262" s="953" t="e">
        <f>#REF!+#REF!-M262</f>
        <v>#REF!</v>
      </c>
      <c r="Z262" s="954" t="e">
        <f>#REF!</f>
        <v>#REF!</v>
      </c>
      <c r="AA262" s="953" t="e">
        <f>#REF!+#REF!</f>
        <v>#REF!</v>
      </c>
      <c r="AB262" s="954" t="e">
        <f>#REF!</f>
        <v>#REF!</v>
      </c>
      <c r="AC262" s="955">
        <v>0</v>
      </c>
      <c r="AD262" s="954" t="e">
        <f>#REF!</f>
        <v>#REF!</v>
      </c>
      <c r="AE262" s="956" t="e">
        <f>#REF!+#REF!</f>
        <v>#REF!</v>
      </c>
      <c r="AF262" s="956" t="e">
        <f>#REF!+#REF!</f>
        <v>#REF!</v>
      </c>
      <c r="AG262" s="956"/>
      <c r="AH262" s="954" t="e">
        <f>#REF!</f>
        <v>#REF!</v>
      </c>
      <c r="AI262" s="954" t="e">
        <f t="shared" si="39"/>
        <v>#REF!</v>
      </c>
      <c r="AJ262" s="954">
        <f t="shared" si="40"/>
        <v>125.94</v>
      </c>
      <c r="AK262" s="954">
        <f t="shared" si="41"/>
        <v>0</v>
      </c>
      <c r="AL262" s="625"/>
    </row>
    <row r="263" spans="1:38" s="620" customFormat="1" ht="20.100000000000001" customHeight="1" x14ac:dyDescent="0.2">
      <c r="A263" s="759">
        <f t="shared" si="42"/>
        <v>219</v>
      </c>
      <c r="B263" s="957">
        <f>+NOMINA!C262</f>
        <v>23960738</v>
      </c>
      <c r="C263" s="958" t="str">
        <f>+NOMINA!D262</f>
        <v>Molina Briceño Maria de los Angeles</v>
      </c>
      <c r="D263" s="955" t="s">
        <v>4622</v>
      </c>
      <c r="E263" s="959">
        <v>32351</v>
      </c>
      <c r="F263" s="955" t="s">
        <v>4620</v>
      </c>
      <c r="G263" s="971">
        <f>+NOMINA!H262</f>
        <v>43497</v>
      </c>
      <c r="H263" s="961">
        <f t="shared" si="43"/>
        <v>3</v>
      </c>
      <c r="I263" s="962">
        <v>0</v>
      </c>
      <c r="J263" s="968">
        <f>+NOMINA!BL262</f>
        <v>24.59</v>
      </c>
      <c r="K263" s="968">
        <f>+NOMINA!BM262</f>
        <v>3.07</v>
      </c>
      <c r="L263" s="968">
        <f>+NOMINA!BN262</f>
        <v>5.33</v>
      </c>
      <c r="M263" s="963">
        <f t="shared" si="44"/>
        <v>32.99</v>
      </c>
      <c r="N263" s="968">
        <f>+NOMINA!BR262</f>
        <v>55.34</v>
      </c>
      <c r="O263" s="968">
        <f>+NOMINA!BS262</f>
        <v>12.3</v>
      </c>
      <c r="P263" s="968">
        <f>+NOMINA!BT262</f>
        <v>10.66</v>
      </c>
      <c r="Q263" s="963">
        <f t="shared" si="45"/>
        <v>78.3</v>
      </c>
      <c r="R263" s="963">
        <f t="shared" si="46"/>
        <v>111.28999999999999</v>
      </c>
      <c r="S263" s="972">
        <v>0</v>
      </c>
      <c r="T263" s="443" t="e">
        <f>#REF!+#REF!-M263</f>
        <v>#REF!</v>
      </c>
      <c r="U263" s="952" t="e">
        <f>ROUND((#REF!+#REF!+#REF!+#REF!+#REF!+#REF!+#REF!+#REF!+#REF!),2)</f>
        <v>#REF!</v>
      </c>
      <c r="Y263" s="953" t="e">
        <f>#REF!+#REF!-M263</f>
        <v>#REF!</v>
      </c>
      <c r="Z263" s="954" t="e">
        <f>#REF!</f>
        <v>#REF!</v>
      </c>
      <c r="AA263" s="953" t="e">
        <f>#REF!+#REF!</f>
        <v>#REF!</v>
      </c>
      <c r="AB263" s="954" t="e">
        <f>#REF!</f>
        <v>#REF!</v>
      </c>
      <c r="AC263" s="955">
        <v>0</v>
      </c>
      <c r="AD263" s="954" t="e">
        <f>#REF!</f>
        <v>#REF!</v>
      </c>
      <c r="AE263" s="956" t="e">
        <f>#REF!+#REF!</f>
        <v>#REF!</v>
      </c>
      <c r="AF263" s="956" t="e">
        <f>#REF!+#REF!</f>
        <v>#REF!</v>
      </c>
      <c r="AG263" s="956"/>
      <c r="AH263" s="954" t="e">
        <f>#REF!</f>
        <v>#REF!</v>
      </c>
      <c r="AI263" s="954" t="e">
        <f t="shared" si="39"/>
        <v>#REF!</v>
      </c>
      <c r="AJ263" s="954">
        <f t="shared" si="40"/>
        <v>111.28999999999999</v>
      </c>
      <c r="AK263" s="954">
        <f t="shared" si="41"/>
        <v>0</v>
      </c>
      <c r="AL263" s="625"/>
    </row>
    <row r="264" spans="1:38" s="620" customFormat="1" ht="20.100000000000001" customHeight="1" x14ac:dyDescent="0.2">
      <c r="A264" s="759">
        <f t="shared" si="42"/>
        <v>220</v>
      </c>
      <c r="B264" s="957">
        <f>+NOMINA!C263</f>
        <v>24135378</v>
      </c>
      <c r="C264" s="958" t="str">
        <f>+NOMINA!D263</f>
        <v>Rivas Hurtado Orleidys Betania</v>
      </c>
      <c r="D264" s="955" t="s">
        <v>4622</v>
      </c>
      <c r="E264" s="959">
        <v>32351</v>
      </c>
      <c r="F264" s="955" t="s">
        <v>4620</v>
      </c>
      <c r="G264" s="971">
        <f>+NOMINA!H263</f>
        <v>43862</v>
      </c>
      <c r="H264" s="961">
        <f t="shared" si="43"/>
        <v>2</v>
      </c>
      <c r="I264" s="962">
        <v>0</v>
      </c>
      <c r="J264" s="968">
        <f>+NOMINA!BL263</f>
        <v>25.72</v>
      </c>
      <c r="K264" s="968">
        <f>+NOMINA!BM263</f>
        <v>3.22</v>
      </c>
      <c r="L264" s="968">
        <f>+NOMINA!BN263</f>
        <v>5.57</v>
      </c>
      <c r="M264" s="963">
        <f t="shared" si="44"/>
        <v>34.51</v>
      </c>
      <c r="N264" s="968">
        <f>+NOMINA!BR263</f>
        <v>57.87</v>
      </c>
      <c r="O264" s="968">
        <f>+NOMINA!BS263</f>
        <v>12.86</v>
      </c>
      <c r="P264" s="968">
        <f>+NOMINA!BT263</f>
        <v>11.14</v>
      </c>
      <c r="Q264" s="963">
        <f t="shared" si="45"/>
        <v>81.87</v>
      </c>
      <c r="R264" s="963">
        <f t="shared" si="46"/>
        <v>116.38</v>
      </c>
      <c r="S264" s="972">
        <v>0</v>
      </c>
      <c r="T264" s="443" t="e">
        <f>#REF!+#REF!-M264</f>
        <v>#REF!</v>
      </c>
      <c r="U264" s="952" t="e">
        <f>ROUND((#REF!+#REF!+#REF!+#REF!+#REF!+#REF!+#REF!+#REF!+#REF!),2)</f>
        <v>#REF!</v>
      </c>
      <c r="Y264" s="953" t="e">
        <f>#REF!+#REF!-M264</f>
        <v>#REF!</v>
      </c>
      <c r="Z264" s="954" t="e">
        <f>#REF!</f>
        <v>#REF!</v>
      </c>
      <c r="AA264" s="953" t="e">
        <f>#REF!+#REF!</f>
        <v>#REF!</v>
      </c>
      <c r="AB264" s="954" t="e">
        <f>#REF!</f>
        <v>#REF!</v>
      </c>
      <c r="AC264" s="955">
        <v>0</v>
      </c>
      <c r="AD264" s="954" t="e">
        <f>#REF!</f>
        <v>#REF!</v>
      </c>
      <c r="AE264" s="956" t="e">
        <f>#REF!+#REF!</f>
        <v>#REF!</v>
      </c>
      <c r="AF264" s="956" t="e">
        <f>#REF!+#REF!</f>
        <v>#REF!</v>
      </c>
      <c r="AG264" s="956"/>
      <c r="AH264" s="954" t="e">
        <f>#REF!</f>
        <v>#REF!</v>
      </c>
      <c r="AI264" s="954" t="e">
        <f t="shared" si="39"/>
        <v>#REF!</v>
      </c>
      <c r="AJ264" s="954">
        <f t="shared" si="40"/>
        <v>116.38</v>
      </c>
      <c r="AK264" s="954">
        <f t="shared" si="41"/>
        <v>0</v>
      </c>
      <c r="AL264" s="625"/>
    </row>
    <row r="265" spans="1:38" s="620" customFormat="1" ht="20.100000000000001" customHeight="1" x14ac:dyDescent="0.2">
      <c r="A265" s="759">
        <f t="shared" si="42"/>
        <v>221</v>
      </c>
      <c r="B265" s="957">
        <f>+NOMINA!C264</f>
        <v>24136795</v>
      </c>
      <c r="C265" s="958" t="str">
        <f>+NOMINA!D264</f>
        <v>Viloria Maldonado Gerardo Jesus</v>
      </c>
      <c r="D265" s="955" t="s">
        <v>4622</v>
      </c>
      <c r="E265" s="959">
        <v>32351</v>
      </c>
      <c r="F265" s="955" t="s">
        <v>4620</v>
      </c>
      <c r="G265" s="971">
        <f>+NOMINA!H264</f>
        <v>44600</v>
      </c>
      <c r="H265" s="961">
        <f t="shared" si="43"/>
        <v>0</v>
      </c>
      <c r="I265" s="962">
        <v>0</v>
      </c>
      <c r="J265" s="968">
        <f>+NOMINA!BL264</f>
        <v>14.28</v>
      </c>
      <c r="K265" s="968">
        <f>+NOMINA!BM264</f>
        <v>1.79</v>
      </c>
      <c r="L265" s="968">
        <f>+NOMINA!BN264</f>
        <v>3.1</v>
      </c>
      <c r="M265" s="963">
        <f t="shared" si="44"/>
        <v>19.170000000000002</v>
      </c>
      <c r="N265" s="968">
        <f>+NOMINA!BR264</f>
        <v>32.14</v>
      </c>
      <c r="O265" s="968">
        <f>+NOMINA!BS264</f>
        <v>7.14</v>
      </c>
      <c r="P265" s="968">
        <f>+NOMINA!BT264</f>
        <v>6.2</v>
      </c>
      <c r="Q265" s="963">
        <f t="shared" si="45"/>
        <v>45.48</v>
      </c>
      <c r="R265" s="963">
        <f t="shared" si="46"/>
        <v>64.650000000000006</v>
      </c>
      <c r="S265" s="972">
        <v>0</v>
      </c>
      <c r="T265" s="443" t="e">
        <f>#REF!+#REF!-M265</f>
        <v>#REF!</v>
      </c>
      <c r="U265" s="952" t="e">
        <f>ROUND((#REF!+#REF!+#REF!+#REF!+#REF!+#REF!+#REF!+#REF!+#REF!),2)</f>
        <v>#REF!</v>
      </c>
      <c r="Y265" s="953" t="e">
        <f>#REF!+#REF!-M265</f>
        <v>#REF!</v>
      </c>
      <c r="Z265" s="954" t="e">
        <f>#REF!</f>
        <v>#REF!</v>
      </c>
      <c r="AA265" s="953" t="e">
        <f>#REF!+#REF!</f>
        <v>#REF!</v>
      </c>
      <c r="AB265" s="954" t="e">
        <f>#REF!</f>
        <v>#REF!</v>
      </c>
      <c r="AC265" s="955">
        <v>0</v>
      </c>
      <c r="AD265" s="954" t="e">
        <f>#REF!</f>
        <v>#REF!</v>
      </c>
      <c r="AE265" s="956" t="e">
        <f>#REF!+#REF!</f>
        <v>#REF!</v>
      </c>
      <c r="AF265" s="956" t="e">
        <f>#REF!+#REF!</f>
        <v>#REF!</v>
      </c>
      <c r="AG265" s="956"/>
      <c r="AH265" s="954" t="e">
        <f>#REF!</f>
        <v>#REF!</v>
      </c>
      <c r="AI265" s="954" t="e">
        <f t="shared" si="39"/>
        <v>#REF!</v>
      </c>
      <c r="AJ265" s="954">
        <f t="shared" si="40"/>
        <v>64.650000000000006</v>
      </c>
      <c r="AK265" s="954">
        <f t="shared" si="41"/>
        <v>0</v>
      </c>
      <c r="AL265" s="625"/>
    </row>
    <row r="266" spans="1:38" s="620" customFormat="1" ht="20.100000000000001" customHeight="1" x14ac:dyDescent="0.2">
      <c r="A266" s="759">
        <f t="shared" si="42"/>
        <v>222</v>
      </c>
      <c r="B266" s="957">
        <f>+NOMINA!C265</f>
        <v>23254845</v>
      </c>
      <c r="C266" s="958" t="str">
        <f>+NOMINA!D265</f>
        <v>Castellanos Paredes Luis Gregorio</v>
      </c>
      <c r="D266" s="955" t="s">
        <v>4622</v>
      </c>
      <c r="E266" s="959">
        <v>32351</v>
      </c>
      <c r="F266" s="955" t="s">
        <v>4620</v>
      </c>
      <c r="G266" s="971">
        <f>+NOMINA!H265</f>
        <v>44332</v>
      </c>
      <c r="H266" s="961">
        <f t="shared" si="43"/>
        <v>1</v>
      </c>
      <c r="I266" s="962">
        <v>0</v>
      </c>
      <c r="J266" s="968">
        <f>+NOMINA!BL265</f>
        <v>13.2</v>
      </c>
      <c r="K266" s="968">
        <f>+NOMINA!BM265</f>
        <v>1.65</v>
      </c>
      <c r="L266" s="968">
        <f>+NOMINA!BN265</f>
        <v>2.86</v>
      </c>
      <c r="M266" s="963">
        <f t="shared" si="44"/>
        <v>17.71</v>
      </c>
      <c r="N266" s="968">
        <f>+NOMINA!BR265</f>
        <v>29.7</v>
      </c>
      <c r="O266" s="968">
        <f>+NOMINA!BS265</f>
        <v>6.6</v>
      </c>
      <c r="P266" s="968">
        <f>+NOMINA!BT265</f>
        <v>5.72</v>
      </c>
      <c r="Q266" s="963">
        <f t="shared" si="45"/>
        <v>42.02</v>
      </c>
      <c r="R266" s="963">
        <f t="shared" si="46"/>
        <v>59.730000000000004</v>
      </c>
      <c r="S266" s="972">
        <v>0</v>
      </c>
      <c r="T266" s="443" t="e">
        <f>#REF!+#REF!-M266</f>
        <v>#REF!</v>
      </c>
      <c r="U266" s="952" t="e">
        <f>ROUND((#REF!+#REF!+#REF!+#REF!+#REF!+#REF!+#REF!+#REF!+#REF!),2)</f>
        <v>#REF!</v>
      </c>
      <c r="Y266" s="953" t="e">
        <f>#REF!+#REF!-M266</f>
        <v>#REF!</v>
      </c>
      <c r="Z266" s="954" t="e">
        <f>#REF!</f>
        <v>#REF!</v>
      </c>
      <c r="AA266" s="953" t="e">
        <f>#REF!+#REF!</f>
        <v>#REF!</v>
      </c>
      <c r="AB266" s="954" t="e">
        <f>#REF!</f>
        <v>#REF!</v>
      </c>
      <c r="AC266" s="955">
        <v>0</v>
      </c>
      <c r="AD266" s="954" t="e">
        <f>#REF!</f>
        <v>#REF!</v>
      </c>
      <c r="AE266" s="956" t="e">
        <f>#REF!+#REF!</f>
        <v>#REF!</v>
      </c>
      <c r="AF266" s="956" t="e">
        <f>#REF!+#REF!</f>
        <v>#REF!</v>
      </c>
      <c r="AG266" s="956"/>
      <c r="AH266" s="954" t="e">
        <f>#REF!</f>
        <v>#REF!</v>
      </c>
      <c r="AI266" s="954" t="e">
        <f t="shared" si="39"/>
        <v>#REF!</v>
      </c>
      <c r="AJ266" s="954">
        <f t="shared" si="40"/>
        <v>59.730000000000004</v>
      </c>
      <c r="AK266" s="954">
        <f t="shared" si="41"/>
        <v>0</v>
      </c>
      <c r="AL266" s="625"/>
    </row>
    <row r="267" spans="1:38" s="620" customFormat="1" ht="20.100000000000001" customHeight="1" x14ac:dyDescent="0.2">
      <c r="A267" s="759">
        <f t="shared" si="42"/>
        <v>223</v>
      </c>
      <c r="B267" s="957">
        <f>+NOMINA!C266</f>
        <v>23594366</v>
      </c>
      <c r="C267" s="958" t="str">
        <f>+NOMINA!D266</f>
        <v>Quintero Montilla Merly Paula</v>
      </c>
      <c r="D267" s="955" t="s">
        <v>4622</v>
      </c>
      <c r="E267" s="959">
        <v>32351</v>
      </c>
      <c r="F267" s="955" t="s">
        <v>4620</v>
      </c>
      <c r="G267" s="971">
        <f>+NOMINA!H266</f>
        <v>45413</v>
      </c>
      <c r="H267" s="961">
        <f t="shared" si="43"/>
        <v>0</v>
      </c>
      <c r="I267" s="962">
        <v>0</v>
      </c>
      <c r="J267" s="968">
        <f>+NOMINA!BL266</f>
        <v>21.83</v>
      </c>
      <c r="K267" s="968">
        <f>+NOMINA!BM266</f>
        <v>2.73</v>
      </c>
      <c r="L267" s="968">
        <f>+NOMINA!BN266</f>
        <v>4.7300000000000004</v>
      </c>
      <c r="M267" s="963">
        <f t="shared" si="44"/>
        <v>29.29</v>
      </c>
      <c r="N267" s="968">
        <f>+NOMINA!BR266</f>
        <v>49.13</v>
      </c>
      <c r="O267" s="968">
        <f>+NOMINA!BS266</f>
        <v>10.92</v>
      </c>
      <c r="P267" s="968">
        <f>+NOMINA!BT266</f>
        <v>9.4600000000000009</v>
      </c>
      <c r="Q267" s="963">
        <f t="shared" si="45"/>
        <v>69.510000000000005</v>
      </c>
      <c r="R267" s="963">
        <f t="shared" si="46"/>
        <v>98.800000000000011</v>
      </c>
      <c r="S267" s="972">
        <v>0</v>
      </c>
      <c r="T267" s="443" t="e">
        <f>#REF!+#REF!-M267</f>
        <v>#REF!</v>
      </c>
      <c r="U267" s="952" t="e">
        <f>ROUND((#REF!+#REF!+#REF!+#REF!+#REF!+#REF!+#REF!+#REF!+#REF!),2)</f>
        <v>#REF!</v>
      </c>
      <c r="Y267" s="953" t="e">
        <f>#REF!+#REF!-M267</f>
        <v>#REF!</v>
      </c>
      <c r="Z267" s="954" t="e">
        <f>#REF!</f>
        <v>#REF!</v>
      </c>
      <c r="AA267" s="953" t="e">
        <f>#REF!+#REF!</f>
        <v>#REF!</v>
      </c>
      <c r="AB267" s="954" t="e">
        <f>#REF!</f>
        <v>#REF!</v>
      </c>
      <c r="AC267" s="955">
        <v>0</v>
      </c>
      <c r="AD267" s="954" t="e">
        <f>#REF!</f>
        <v>#REF!</v>
      </c>
      <c r="AE267" s="956" t="e">
        <f>#REF!+#REF!</f>
        <v>#REF!</v>
      </c>
      <c r="AF267" s="956" t="e">
        <f>#REF!+#REF!</f>
        <v>#REF!</v>
      </c>
      <c r="AG267" s="956"/>
      <c r="AH267" s="954" t="e">
        <f>#REF!</f>
        <v>#REF!</v>
      </c>
      <c r="AI267" s="954" t="e">
        <f t="shared" si="39"/>
        <v>#REF!</v>
      </c>
      <c r="AJ267" s="954">
        <f t="shared" si="40"/>
        <v>98.800000000000011</v>
      </c>
      <c r="AK267" s="954">
        <f t="shared" si="41"/>
        <v>0</v>
      </c>
      <c r="AL267" s="625"/>
    </row>
    <row r="268" spans="1:38" s="620" customFormat="1" ht="20.100000000000001" customHeight="1" x14ac:dyDescent="0.2">
      <c r="A268" s="759">
        <f t="shared" si="42"/>
        <v>224</v>
      </c>
      <c r="B268" s="957">
        <f>+NOMINA!C267</f>
        <v>23775734</v>
      </c>
      <c r="C268" s="958" t="str">
        <f>+NOMINA!D267</f>
        <v>Gonzalez Torres Klerwin Alfonso</v>
      </c>
      <c r="D268" s="955" t="s">
        <v>4622</v>
      </c>
      <c r="E268" s="959">
        <v>32351</v>
      </c>
      <c r="F268" s="955" t="s">
        <v>4620</v>
      </c>
      <c r="G268" s="971">
        <f>+NOMINA!H267</f>
        <v>45627</v>
      </c>
      <c r="H268" s="961">
        <f t="shared" si="43"/>
        <v>0</v>
      </c>
      <c r="I268" s="962">
        <v>0</v>
      </c>
      <c r="J268" s="968">
        <f>+NOMINA!BL267</f>
        <v>16.739999999999998</v>
      </c>
      <c r="K268" s="968">
        <f>+NOMINA!BM267</f>
        <v>2.09</v>
      </c>
      <c r="L268" s="968">
        <f>+NOMINA!BN267</f>
        <v>3.63</v>
      </c>
      <c r="M268" s="963">
        <f t="shared" si="44"/>
        <v>22.46</v>
      </c>
      <c r="N268" s="968">
        <f>+NOMINA!BR267</f>
        <v>37.67</v>
      </c>
      <c r="O268" s="968">
        <f>+NOMINA!BS267</f>
        <v>8.3699999999999992</v>
      </c>
      <c r="P268" s="968">
        <f>+NOMINA!BT267</f>
        <v>7.26</v>
      </c>
      <c r="Q268" s="963">
        <f t="shared" si="45"/>
        <v>53.3</v>
      </c>
      <c r="R268" s="963">
        <f t="shared" si="46"/>
        <v>75.759999999999991</v>
      </c>
      <c r="S268" s="972">
        <v>0</v>
      </c>
      <c r="T268" s="443" t="e">
        <f>#REF!+#REF!-M268</f>
        <v>#REF!</v>
      </c>
      <c r="U268" s="952" t="e">
        <f>ROUND((#REF!+#REF!+#REF!+#REF!+#REF!+#REF!+#REF!+#REF!+#REF!),2)</f>
        <v>#REF!</v>
      </c>
      <c r="Y268" s="953" t="e">
        <f>#REF!+#REF!-M268</f>
        <v>#REF!</v>
      </c>
      <c r="Z268" s="954" t="e">
        <f>#REF!</f>
        <v>#REF!</v>
      </c>
      <c r="AA268" s="953" t="e">
        <f>#REF!+#REF!</f>
        <v>#REF!</v>
      </c>
      <c r="AB268" s="954" t="e">
        <f>#REF!</f>
        <v>#REF!</v>
      </c>
      <c r="AC268" s="955">
        <v>0</v>
      </c>
      <c r="AD268" s="954" t="e">
        <f>#REF!</f>
        <v>#REF!</v>
      </c>
      <c r="AE268" s="956" t="e">
        <f>#REF!+#REF!</f>
        <v>#REF!</v>
      </c>
      <c r="AF268" s="956" t="e">
        <f>#REF!+#REF!</f>
        <v>#REF!</v>
      </c>
      <c r="AG268" s="956"/>
      <c r="AH268" s="954" t="e">
        <f>#REF!</f>
        <v>#REF!</v>
      </c>
      <c r="AI268" s="954" t="e">
        <f t="shared" si="39"/>
        <v>#REF!</v>
      </c>
      <c r="AJ268" s="954">
        <f t="shared" si="40"/>
        <v>75.759999999999991</v>
      </c>
      <c r="AK268" s="954">
        <f t="shared" si="41"/>
        <v>0</v>
      </c>
      <c r="AL268" s="625"/>
    </row>
    <row r="269" spans="1:38" s="620" customFormat="1" ht="20.100000000000001" customHeight="1" x14ac:dyDescent="0.2">
      <c r="A269" s="759">
        <f t="shared" si="42"/>
        <v>225</v>
      </c>
      <c r="B269" s="957">
        <f>+NOMINA!C268</f>
        <v>24565372</v>
      </c>
      <c r="C269" s="958" t="str">
        <f>+NOMINA!D268</f>
        <v>Moreno Silva Alfredy Jose</v>
      </c>
      <c r="D269" s="955" t="s">
        <v>4622</v>
      </c>
      <c r="E269" s="959">
        <v>32351</v>
      </c>
      <c r="F269" s="955" t="s">
        <v>4620</v>
      </c>
      <c r="G269" s="971">
        <f>+NOMINA!H268</f>
        <v>40360</v>
      </c>
      <c r="H269" s="961">
        <f t="shared" si="43"/>
        <v>12</v>
      </c>
      <c r="I269" s="962">
        <v>0</v>
      </c>
      <c r="J269" s="968">
        <f>+NOMINA!BL268</f>
        <v>0</v>
      </c>
      <c r="K269" s="968">
        <f>+NOMINA!BM268</f>
        <v>0</v>
      </c>
      <c r="L269" s="968">
        <f>+NOMINA!BN268</f>
        <v>0</v>
      </c>
      <c r="M269" s="963">
        <f t="shared" si="44"/>
        <v>0</v>
      </c>
      <c r="N269" s="968">
        <f>+NOMINA!BR268</f>
        <v>0</v>
      </c>
      <c r="O269" s="968">
        <f>+NOMINA!BS268</f>
        <v>0</v>
      </c>
      <c r="P269" s="968">
        <f>+NOMINA!BT268</f>
        <v>0</v>
      </c>
      <c r="Q269" s="963">
        <f t="shared" si="45"/>
        <v>0</v>
      </c>
      <c r="R269" s="963">
        <f t="shared" si="46"/>
        <v>0</v>
      </c>
      <c r="S269" s="972">
        <v>0</v>
      </c>
      <c r="T269" s="443" t="e">
        <f>#REF!+#REF!-M269</f>
        <v>#REF!</v>
      </c>
      <c r="U269" s="952" t="e">
        <f>ROUND((#REF!+#REF!+#REF!+#REF!+#REF!+#REF!+#REF!+#REF!+#REF!),2)</f>
        <v>#REF!</v>
      </c>
      <c r="Y269" s="953" t="e">
        <f>#REF!+#REF!-M269</f>
        <v>#REF!</v>
      </c>
      <c r="Z269" s="954" t="e">
        <f>#REF!</f>
        <v>#REF!</v>
      </c>
      <c r="AA269" s="953" t="e">
        <f>#REF!+#REF!</f>
        <v>#REF!</v>
      </c>
      <c r="AB269" s="954" t="e">
        <f>#REF!</f>
        <v>#REF!</v>
      </c>
      <c r="AC269" s="955">
        <v>0</v>
      </c>
      <c r="AD269" s="954" t="e">
        <f>#REF!</f>
        <v>#REF!</v>
      </c>
      <c r="AE269" s="956" t="e">
        <f>#REF!+#REF!</f>
        <v>#REF!</v>
      </c>
      <c r="AF269" s="956" t="e">
        <f>#REF!+#REF!</f>
        <v>#REF!</v>
      </c>
      <c r="AG269" s="956"/>
      <c r="AH269" s="954" t="e">
        <f>#REF!</f>
        <v>#REF!</v>
      </c>
      <c r="AI269" s="954" t="e">
        <f t="shared" si="39"/>
        <v>#REF!</v>
      </c>
      <c r="AJ269" s="954">
        <f t="shared" si="40"/>
        <v>0</v>
      </c>
      <c r="AK269" s="954">
        <f t="shared" si="41"/>
        <v>0</v>
      </c>
      <c r="AL269" s="625"/>
    </row>
    <row r="270" spans="1:38" s="620" customFormat="1" ht="20.100000000000001" customHeight="1" x14ac:dyDescent="0.2">
      <c r="A270" s="759">
        <f t="shared" si="42"/>
        <v>226</v>
      </c>
      <c r="B270" s="957">
        <f>+NOMINA!C269</f>
        <v>25006139</v>
      </c>
      <c r="C270" s="958" t="str">
        <f>+NOMINA!D269</f>
        <v>Ramirez Palomares Carmen Beatriz</v>
      </c>
      <c r="D270" s="955" t="s">
        <v>4622</v>
      </c>
      <c r="E270" s="959">
        <v>32351</v>
      </c>
      <c r="F270" s="955" t="s">
        <v>4620</v>
      </c>
      <c r="G270" s="971">
        <f>+NOMINA!H269</f>
        <v>43512</v>
      </c>
      <c r="H270" s="961">
        <f t="shared" si="43"/>
        <v>3</v>
      </c>
      <c r="I270" s="962">
        <v>0</v>
      </c>
      <c r="J270" s="968">
        <f>+NOMINA!BL269</f>
        <v>20.13</v>
      </c>
      <c r="K270" s="968">
        <f>+NOMINA!BM269</f>
        <v>2.52</v>
      </c>
      <c r="L270" s="968">
        <f>+NOMINA!BN269</f>
        <v>4.3600000000000003</v>
      </c>
      <c r="M270" s="963">
        <f t="shared" si="44"/>
        <v>27.01</v>
      </c>
      <c r="N270" s="968">
        <f>+NOMINA!BR269</f>
        <v>45.3</v>
      </c>
      <c r="O270" s="968">
        <f>+NOMINA!BS269</f>
        <v>10.07</v>
      </c>
      <c r="P270" s="968">
        <f>+NOMINA!BT269</f>
        <v>8.7200000000000006</v>
      </c>
      <c r="Q270" s="963">
        <f t="shared" si="45"/>
        <v>64.09</v>
      </c>
      <c r="R270" s="963">
        <f t="shared" si="46"/>
        <v>91.100000000000009</v>
      </c>
      <c r="S270" s="972">
        <v>0</v>
      </c>
      <c r="T270" s="443" t="e">
        <f>#REF!+#REF!-M270</f>
        <v>#REF!</v>
      </c>
      <c r="U270" s="952" t="e">
        <f>ROUND((#REF!+#REF!+#REF!+#REF!+#REF!+#REF!+#REF!+#REF!+#REF!),2)</f>
        <v>#REF!</v>
      </c>
      <c r="Y270" s="953" t="e">
        <f>#REF!+#REF!-M270</f>
        <v>#REF!</v>
      </c>
      <c r="Z270" s="954" t="e">
        <f>#REF!</f>
        <v>#REF!</v>
      </c>
      <c r="AA270" s="953" t="e">
        <f>#REF!+#REF!</f>
        <v>#REF!</v>
      </c>
      <c r="AB270" s="954" t="e">
        <f>#REF!</f>
        <v>#REF!</v>
      </c>
      <c r="AC270" s="955">
        <v>0</v>
      </c>
      <c r="AD270" s="954" t="e">
        <f>#REF!</f>
        <v>#REF!</v>
      </c>
      <c r="AE270" s="956" t="e">
        <f>#REF!+#REF!</f>
        <v>#REF!</v>
      </c>
      <c r="AF270" s="956" t="e">
        <f>#REF!+#REF!</f>
        <v>#REF!</v>
      </c>
      <c r="AG270" s="956"/>
      <c r="AH270" s="954" t="e">
        <f>#REF!</f>
        <v>#REF!</v>
      </c>
      <c r="AI270" s="954" t="e">
        <f t="shared" si="39"/>
        <v>#REF!</v>
      </c>
      <c r="AJ270" s="954">
        <f t="shared" si="40"/>
        <v>91.100000000000009</v>
      </c>
      <c r="AK270" s="954">
        <f t="shared" si="41"/>
        <v>0</v>
      </c>
      <c r="AL270" s="625"/>
    </row>
    <row r="271" spans="1:38" s="620" customFormat="1" ht="20.100000000000001" customHeight="1" x14ac:dyDescent="0.2">
      <c r="A271" s="759">
        <f t="shared" si="42"/>
        <v>227</v>
      </c>
      <c r="B271" s="957">
        <f>+NOMINA!C270</f>
        <v>25006878</v>
      </c>
      <c r="C271" s="958" t="str">
        <f>+NOMINA!D270</f>
        <v>Fernandez Garcia Rafael Ramon</v>
      </c>
      <c r="D271" s="955" t="s">
        <v>4622</v>
      </c>
      <c r="E271" s="959">
        <v>32351</v>
      </c>
      <c r="F271" s="955" t="s">
        <v>4620</v>
      </c>
      <c r="G271" s="971">
        <f>+NOMINA!H270</f>
        <v>44986</v>
      </c>
      <c r="H271" s="961">
        <f t="shared" si="43"/>
        <v>0</v>
      </c>
      <c r="I271" s="962">
        <v>0</v>
      </c>
      <c r="J271" s="968">
        <f>+NOMINA!BL270</f>
        <v>19.88</v>
      </c>
      <c r="K271" s="968">
        <f>+NOMINA!BM270</f>
        <v>2.4900000000000002</v>
      </c>
      <c r="L271" s="968">
        <f>+NOMINA!BN270</f>
        <v>4.3099999999999996</v>
      </c>
      <c r="M271" s="963">
        <f t="shared" si="44"/>
        <v>26.68</v>
      </c>
      <c r="N271" s="968">
        <f>+NOMINA!BR270</f>
        <v>44.73</v>
      </c>
      <c r="O271" s="968">
        <f>+NOMINA!BS270</f>
        <v>9.94</v>
      </c>
      <c r="P271" s="968">
        <f>+NOMINA!BT270</f>
        <v>8.6199999999999992</v>
      </c>
      <c r="Q271" s="963">
        <f t="shared" si="45"/>
        <v>63.29</v>
      </c>
      <c r="R271" s="963">
        <f t="shared" si="46"/>
        <v>89.97</v>
      </c>
      <c r="S271" s="972">
        <v>0</v>
      </c>
      <c r="T271" s="443" t="e">
        <f>#REF!+#REF!-M271</f>
        <v>#REF!</v>
      </c>
      <c r="U271" s="952" t="e">
        <f>ROUND((#REF!+#REF!+#REF!+#REF!+#REF!+#REF!+#REF!+#REF!+#REF!),2)</f>
        <v>#REF!</v>
      </c>
      <c r="Y271" s="953" t="e">
        <f>#REF!+#REF!-M271</f>
        <v>#REF!</v>
      </c>
      <c r="Z271" s="954" t="e">
        <f>#REF!</f>
        <v>#REF!</v>
      </c>
      <c r="AA271" s="953" t="e">
        <f>#REF!+#REF!</f>
        <v>#REF!</v>
      </c>
      <c r="AB271" s="954" t="e">
        <f>#REF!</f>
        <v>#REF!</v>
      </c>
      <c r="AC271" s="955">
        <v>0</v>
      </c>
      <c r="AD271" s="954" t="e">
        <f>#REF!</f>
        <v>#REF!</v>
      </c>
      <c r="AE271" s="956" t="e">
        <f>#REF!+#REF!</f>
        <v>#REF!</v>
      </c>
      <c r="AF271" s="956" t="e">
        <f>#REF!+#REF!</f>
        <v>#REF!</v>
      </c>
      <c r="AG271" s="956"/>
      <c r="AH271" s="954" t="e">
        <f>#REF!</f>
        <v>#REF!</v>
      </c>
      <c r="AI271" s="954" t="e">
        <f t="shared" si="39"/>
        <v>#REF!</v>
      </c>
      <c r="AJ271" s="954">
        <f t="shared" si="40"/>
        <v>89.97</v>
      </c>
      <c r="AK271" s="954">
        <f t="shared" si="41"/>
        <v>0</v>
      </c>
      <c r="AL271" s="625"/>
    </row>
    <row r="272" spans="1:38" s="620" customFormat="1" ht="20.100000000000001" customHeight="1" x14ac:dyDescent="0.2">
      <c r="A272" s="759">
        <f t="shared" si="42"/>
        <v>228</v>
      </c>
      <c r="B272" s="957">
        <f>+NOMINA!C271</f>
        <v>25096069</v>
      </c>
      <c r="C272" s="958" t="str">
        <f>+NOMINA!D271</f>
        <v>Coello Diaz Yormileidys del Carmen</v>
      </c>
      <c r="D272" s="955" t="s">
        <v>4622</v>
      </c>
      <c r="E272" s="959">
        <v>32351</v>
      </c>
      <c r="F272" s="955" t="s">
        <v>4620</v>
      </c>
      <c r="G272" s="971">
        <f>+NOMINA!H271</f>
        <v>44599</v>
      </c>
      <c r="H272" s="961">
        <f t="shared" si="43"/>
        <v>0</v>
      </c>
      <c r="I272" s="962">
        <v>0</v>
      </c>
      <c r="J272" s="968">
        <f>+NOMINA!BL271</f>
        <v>27.61</v>
      </c>
      <c r="K272" s="968">
        <f>+NOMINA!BM271</f>
        <v>3.45</v>
      </c>
      <c r="L272" s="968">
        <f>+NOMINA!BN271</f>
        <v>5.98</v>
      </c>
      <c r="M272" s="963">
        <f t="shared" si="44"/>
        <v>37.04</v>
      </c>
      <c r="N272" s="968">
        <f>+NOMINA!BR271</f>
        <v>62.11</v>
      </c>
      <c r="O272" s="968">
        <f>+NOMINA!BS271</f>
        <v>13.8</v>
      </c>
      <c r="P272" s="968">
        <f>+NOMINA!BT271</f>
        <v>11.96</v>
      </c>
      <c r="Q272" s="963">
        <f t="shared" si="45"/>
        <v>87.87</v>
      </c>
      <c r="R272" s="963">
        <f t="shared" si="46"/>
        <v>124.91</v>
      </c>
      <c r="S272" s="972">
        <v>0</v>
      </c>
      <c r="T272" s="443" t="e">
        <f>#REF!+#REF!-M272</f>
        <v>#REF!</v>
      </c>
      <c r="U272" s="952" t="e">
        <f>ROUND((#REF!+#REF!+#REF!+#REF!+#REF!+#REF!+#REF!+#REF!+#REF!),2)</f>
        <v>#REF!</v>
      </c>
      <c r="Y272" s="953" t="e">
        <f>#REF!+#REF!-M272</f>
        <v>#REF!</v>
      </c>
      <c r="Z272" s="954" t="e">
        <f>#REF!</f>
        <v>#REF!</v>
      </c>
      <c r="AA272" s="953" t="e">
        <f>#REF!+#REF!</f>
        <v>#REF!</v>
      </c>
      <c r="AB272" s="954" t="e">
        <f>#REF!</f>
        <v>#REF!</v>
      </c>
      <c r="AC272" s="955">
        <v>0</v>
      </c>
      <c r="AD272" s="954" t="e">
        <f>#REF!</f>
        <v>#REF!</v>
      </c>
      <c r="AE272" s="956" t="e">
        <f>#REF!+#REF!</f>
        <v>#REF!</v>
      </c>
      <c r="AF272" s="956" t="e">
        <f>#REF!+#REF!</f>
        <v>#REF!</v>
      </c>
      <c r="AG272" s="956"/>
      <c r="AH272" s="954" t="e">
        <f>#REF!</f>
        <v>#REF!</v>
      </c>
      <c r="AI272" s="954" t="e">
        <f t="shared" si="39"/>
        <v>#REF!</v>
      </c>
      <c r="AJ272" s="954">
        <f t="shared" si="40"/>
        <v>124.91</v>
      </c>
      <c r="AK272" s="954">
        <f t="shared" si="41"/>
        <v>0</v>
      </c>
      <c r="AL272" s="625"/>
    </row>
    <row r="273" spans="1:38" s="620" customFormat="1" ht="20.100000000000001" customHeight="1" x14ac:dyDescent="0.2">
      <c r="A273" s="759">
        <f t="shared" si="42"/>
        <v>229</v>
      </c>
      <c r="B273" s="957">
        <f>+NOMINA!C272</f>
        <v>25173983</v>
      </c>
      <c r="C273" s="958" t="str">
        <f>+NOMINA!D272</f>
        <v>Guanda Barazarte Roxely Andreina</v>
      </c>
      <c r="D273" s="955" t="s">
        <v>4622</v>
      </c>
      <c r="E273" s="959">
        <v>32351</v>
      </c>
      <c r="F273" s="955" t="s">
        <v>4620</v>
      </c>
      <c r="G273" s="971">
        <f>+NOMINA!H272</f>
        <v>44363</v>
      </c>
      <c r="H273" s="961">
        <f t="shared" si="43"/>
        <v>1</v>
      </c>
      <c r="I273" s="962">
        <v>0</v>
      </c>
      <c r="J273" s="968">
        <f>+NOMINA!BL272</f>
        <v>13.78</v>
      </c>
      <c r="K273" s="968">
        <f>+NOMINA!BM272</f>
        <v>1.72</v>
      </c>
      <c r="L273" s="968">
        <f>+NOMINA!BN272</f>
        <v>2.99</v>
      </c>
      <c r="M273" s="963">
        <f t="shared" si="44"/>
        <v>18.489999999999998</v>
      </c>
      <c r="N273" s="968">
        <f>+NOMINA!BR272</f>
        <v>31</v>
      </c>
      <c r="O273" s="968">
        <f>+NOMINA!BS272</f>
        <v>6.89</v>
      </c>
      <c r="P273" s="968">
        <f>+NOMINA!BT272</f>
        <v>5.98</v>
      </c>
      <c r="Q273" s="963">
        <f t="shared" si="45"/>
        <v>43.87</v>
      </c>
      <c r="R273" s="963">
        <f t="shared" si="46"/>
        <v>62.36</v>
      </c>
      <c r="S273" s="972">
        <v>0</v>
      </c>
      <c r="T273" s="443" t="e">
        <f>#REF!+#REF!-M273</f>
        <v>#REF!</v>
      </c>
      <c r="U273" s="952" t="e">
        <f>ROUND((#REF!+#REF!+#REF!+#REF!+#REF!+#REF!+#REF!+#REF!+#REF!),2)</f>
        <v>#REF!</v>
      </c>
      <c r="Y273" s="953" t="e">
        <f>#REF!+#REF!-M273</f>
        <v>#REF!</v>
      </c>
      <c r="Z273" s="954" t="e">
        <f>#REF!</f>
        <v>#REF!</v>
      </c>
      <c r="AA273" s="953" t="e">
        <f>#REF!+#REF!</f>
        <v>#REF!</v>
      </c>
      <c r="AB273" s="954" t="e">
        <f>#REF!</f>
        <v>#REF!</v>
      </c>
      <c r="AC273" s="955">
        <v>0</v>
      </c>
      <c r="AD273" s="954" t="e">
        <f>#REF!</f>
        <v>#REF!</v>
      </c>
      <c r="AE273" s="956" t="e">
        <f>#REF!+#REF!</f>
        <v>#REF!</v>
      </c>
      <c r="AF273" s="956" t="e">
        <f>#REF!+#REF!</f>
        <v>#REF!</v>
      </c>
      <c r="AG273" s="956"/>
      <c r="AH273" s="954" t="e">
        <f>#REF!</f>
        <v>#REF!</v>
      </c>
      <c r="AI273" s="954" t="e">
        <f t="shared" si="39"/>
        <v>#REF!</v>
      </c>
      <c r="AJ273" s="954">
        <f t="shared" si="40"/>
        <v>62.36</v>
      </c>
      <c r="AK273" s="954">
        <f t="shared" si="41"/>
        <v>0</v>
      </c>
      <c r="AL273" s="625"/>
    </row>
    <row r="274" spans="1:38" s="620" customFormat="1" ht="20.100000000000001" customHeight="1" x14ac:dyDescent="0.2">
      <c r="A274" s="759">
        <f t="shared" si="42"/>
        <v>230</v>
      </c>
      <c r="B274" s="957">
        <f>+NOMINA!C273</f>
        <v>25303390</v>
      </c>
      <c r="C274" s="958" t="str">
        <f>+NOMINA!D273</f>
        <v>Graterol Castillo Yoselyn Zunedy</v>
      </c>
      <c r="D274" s="955" t="s">
        <v>4622</v>
      </c>
      <c r="E274" s="959">
        <v>32351</v>
      </c>
      <c r="F274" s="955" t="s">
        <v>4620</v>
      </c>
      <c r="G274" s="971">
        <f>+NOMINA!H273</f>
        <v>43862</v>
      </c>
      <c r="H274" s="961">
        <f t="shared" si="43"/>
        <v>2</v>
      </c>
      <c r="I274" s="962">
        <v>0</v>
      </c>
      <c r="J274" s="968">
        <f>+NOMINA!BL273</f>
        <v>18.75</v>
      </c>
      <c r="K274" s="968">
        <f>+NOMINA!BM273</f>
        <v>2.34</v>
      </c>
      <c r="L274" s="968">
        <f>+NOMINA!BN273</f>
        <v>4.0599999999999996</v>
      </c>
      <c r="M274" s="963">
        <f t="shared" si="44"/>
        <v>25.15</v>
      </c>
      <c r="N274" s="968">
        <f>+NOMINA!BR273</f>
        <v>42.19</v>
      </c>
      <c r="O274" s="968">
        <f>+NOMINA!BS273</f>
        <v>9.3800000000000008</v>
      </c>
      <c r="P274" s="968">
        <f>+NOMINA!BT273</f>
        <v>8.1199999999999992</v>
      </c>
      <c r="Q274" s="963">
        <f t="shared" si="45"/>
        <v>59.69</v>
      </c>
      <c r="R274" s="963">
        <f t="shared" si="46"/>
        <v>84.84</v>
      </c>
      <c r="S274" s="972">
        <v>0</v>
      </c>
      <c r="T274" s="443" t="e">
        <f>#REF!+#REF!-M274</f>
        <v>#REF!</v>
      </c>
      <c r="U274" s="952" t="e">
        <f>ROUND((#REF!+#REF!+#REF!+#REF!+#REF!+#REF!+#REF!+#REF!+#REF!),2)</f>
        <v>#REF!</v>
      </c>
      <c r="Y274" s="953" t="e">
        <f>#REF!+#REF!-M274</f>
        <v>#REF!</v>
      </c>
      <c r="Z274" s="954" t="e">
        <f>#REF!</f>
        <v>#REF!</v>
      </c>
      <c r="AA274" s="953" t="e">
        <f>#REF!+#REF!</f>
        <v>#REF!</v>
      </c>
      <c r="AB274" s="954" t="e">
        <f>#REF!</f>
        <v>#REF!</v>
      </c>
      <c r="AC274" s="955">
        <v>0</v>
      </c>
      <c r="AD274" s="954" t="e">
        <f>#REF!</f>
        <v>#REF!</v>
      </c>
      <c r="AE274" s="956" t="e">
        <f>#REF!+#REF!</f>
        <v>#REF!</v>
      </c>
      <c r="AF274" s="956" t="e">
        <f>#REF!+#REF!</f>
        <v>#REF!</v>
      </c>
      <c r="AG274" s="956"/>
      <c r="AH274" s="954" t="e">
        <f>#REF!</f>
        <v>#REF!</v>
      </c>
      <c r="AI274" s="954" t="e">
        <f t="shared" si="39"/>
        <v>#REF!</v>
      </c>
      <c r="AJ274" s="954">
        <f t="shared" si="40"/>
        <v>84.84</v>
      </c>
      <c r="AK274" s="954">
        <f t="shared" si="41"/>
        <v>0</v>
      </c>
      <c r="AL274" s="625"/>
    </row>
    <row r="275" spans="1:38" s="620" customFormat="1" ht="20.100000000000001" customHeight="1" x14ac:dyDescent="0.2">
      <c r="A275" s="759">
        <f t="shared" si="42"/>
        <v>231</v>
      </c>
      <c r="B275" s="957">
        <f>+NOMINA!C274</f>
        <v>25454143</v>
      </c>
      <c r="C275" s="958" t="str">
        <f>+NOMINA!D274</f>
        <v>Briceño Ana Beatriz</v>
      </c>
      <c r="D275" s="955" t="s">
        <v>4622</v>
      </c>
      <c r="E275" s="959">
        <v>32351</v>
      </c>
      <c r="F275" s="955" t="s">
        <v>4620</v>
      </c>
      <c r="G275" s="971">
        <f>+NOMINA!H274</f>
        <v>45536</v>
      </c>
      <c r="H275" s="961">
        <f t="shared" si="43"/>
        <v>0</v>
      </c>
      <c r="I275" s="962">
        <v>0</v>
      </c>
      <c r="J275" s="968">
        <f>+NOMINA!BL274</f>
        <v>16.43</v>
      </c>
      <c r="K275" s="968">
        <f>+NOMINA!BM274</f>
        <v>2.0499999999999998</v>
      </c>
      <c r="L275" s="968">
        <f>+NOMINA!BN274</f>
        <v>3.56</v>
      </c>
      <c r="M275" s="963">
        <f t="shared" si="44"/>
        <v>22.04</v>
      </c>
      <c r="N275" s="968">
        <f>+NOMINA!BR274</f>
        <v>36.96</v>
      </c>
      <c r="O275" s="968">
        <f>+NOMINA!BS274</f>
        <v>8.2100000000000009</v>
      </c>
      <c r="P275" s="968">
        <f>+NOMINA!BT274</f>
        <v>7.12</v>
      </c>
      <c r="Q275" s="963">
        <f t="shared" si="45"/>
        <v>52.29</v>
      </c>
      <c r="R275" s="963">
        <f t="shared" si="46"/>
        <v>74.33</v>
      </c>
      <c r="S275" s="972">
        <v>0</v>
      </c>
      <c r="T275" s="443" t="e">
        <f>#REF!+#REF!-M275</f>
        <v>#REF!</v>
      </c>
      <c r="U275" s="952" t="e">
        <f>ROUND((#REF!+#REF!+#REF!+#REF!+#REF!+#REF!+#REF!+#REF!+#REF!),2)</f>
        <v>#REF!</v>
      </c>
      <c r="Y275" s="953" t="e">
        <f>#REF!+#REF!-M275</f>
        <v>#REF!</v>
      </c>
      <c r="Z275" s="954" t="e">
        <f>#REF!</f>
        <v>#REF!</v>
      </c>
      <c r="AA275" s="953" t="e">
        <f>#REF!+#REF!</f>
        <v>#REF!</v>
      </c>
      <c r="AB275" s="954" t="e">
        <f>#REF!</f>
        <v>#REF!</v>
      </c>
      <c r="AC275" s="955">
        <v>0</v>
      </c>
      <c r="AD275" s="954" t="e">
        <f>#REF!</f>
        <v>#REF!</v>
      </c>
      <c r="AE275" s="956" t="e">
        <f>#REF!+#REF!</f>
        <v>#REF!</v>
      </c>
      <c r="AF275" s="956" t="e">
        <f>#REF!+#REF!</f>
        <v>#REF!</v>
      </c>
      <c r="AG275" s="956"/>
      <c r="AH275" s="954" t="e">
        <f>#REF!</f>
        <v>#REF!</v>
      </c>
      <c r="AI275" s="954" t="e">
        <f t="shared" si="39"/>
        <v>#REF!</v>
      </c>
      <c r="AJ275" s="954">
        <f t="shared" si="40"/>
        <v>74.33</v>
      </c>
      <c r="AK275" s="954">
        <f t="shared" si="41"/>
        <v>0</v>
      </c>
      <c r="AL275" s="625"/>
    </row>
    <row r="276" spans="1:38" s="620" customFormat="1" ht="20.100000000000001" customHeight="1" x14ac:dyDescent="0.2">
      <c r="A276" s="759">
        <f t="shared" si="42"/>
        <v>232</v>
      </c>
      <c r="B276" s="957">
        <f>+NOMINA!C275</f>
        <v>25604733</v>
      </c>
      <c r="C276" s="958" t="str">
        <f>+NOMINA!D275</f>
        <v>Nava Carrillo Oriana Daniela</v>
      </c>
      <c r="D276" s="955" t="s">
        <v>4622</v>
      </c>
      <c r="E276" s="959">
        <v>32351</v>
      </c>
      <c r="F276" s="955" t="s">
        <v>4620</v>
      </c>
      <c r="G276" s="971">
        <f>+NOMINA!H275</f>
        <v>43754</v>
      </c>
      <c r="H276" s="961">
        <f t="shared" si="43"/>
        <v>3</v>
      </c>
      <c r="I276" s="962">
        <v>0</v>
      </c>
      <c r="J276" s="968">
        <f>+NOMINA!BL275</f>
        <v>13.27</v>
      </c>
      <c r="K276" s="968">
        <f>+NOMINA!BM275</f>
        <v>1.66</v>
      </c>
      <c r="L276" s="968">
        <f>+NOMINA!BN275</f>
        <v>2.88</v>
      </c>
      <c r="M276" s="963">
        <f t="shared" si="44"/>
        <v>17.809999999999999</v>
      </c>
      <c r="N276" s="968">
        <f>+NOMINA!BR275</f>
        <v>29.86</v>
      </c>
      <c r="O276" s="968">
        <f>+NOMINA!BS275</f>
        <v>6.63</v>
      </c>
      <c r="P276" s="968">
        <f>+NOMINA!BT275</f>
        <v>5.76</v>
      </c>
      <c r="Q276" s="963">
        <f t="shared" si="45"/>
        <v>42.25</v>
      </c>
      <c r="R276" s="963">
        <f t="shared" si="46"/>
        <v>60.06</v>
      </c>
      <c r="S276" s="972">
        <v>0</v>
      </c>
      <c r="T276" s="443" t="e">
        <f>#REF!+#REF!-M276</f>
        <v>#REF!</v>
      </c>
      <c r="U276" s="952" t="e">
        <f>ROUND((#REF!+#REF!+#REF!+#REF!+#REF!+#REF!+#REF!+#REF!+#REF!),2)</f>
        <v>#REF!</v>
      </c>
      <c r="Y276" s="953" t="e">
        <f>#REF!+#REF!-M276</f>
        <v>#REF!</v>
      </c>
      <c r="Z276" s="954" t="e">
        <f>#REF!</f>
        <v>#REF!</v>
      </c>
      <c r="AA276" s="953" t="e">
        <f>#REF!+#REF!</f>
        <v>#REF!</v>
      </c>
      <c r="AB276" s="954" t="e">
        <f>#REF!</f>
        <v>#REF!</v>
      </c>
      <c r="AC276" s="955">
        <v>0</v>
      </c>
      <c r="AD276" s="954" t="e">
        <f>#REF!</f>
        <v>#REF!</v>
      </c>
      <c r="AE276" s="956" t="e">
        <f>#REF!+#REF!</f>
        <v>#REF!</v>
      </c>
      <c r="AF276" s="956" t="e">
        <f>#REF!+#REF!</f>
        <v>#REF!</v>
      </c>
      <c r="AG276" s="956"/>
      <c r="AH276" s="954" t="e">
        <f>#REF!</f>
        <v>#REF!</v>
      </c>
      <c r="AI276" s="954" t="e">
        <f t="shared" si="39"/>
        <v>#REF!</v>
      </c>
      <c r="AJ276" s="954">
        <f t="shared" si="40"/>
        <v>60.06</v>
      </c>
      <c r="AK276" s="954">
        <f t="shared" si="41"/>
        <v>0</v>
      </c>
      <c r="AL276" s="625"/>
    </row>
    <row r="277" spans="1:38" s="620" customFormat="1" ht="20.100000000000001" customHeight="1" x14ac:dyDescent="0.2">
      <c r="A277" s="759">
        <f t="shared" si="42"/>
        <v>233</v>
      </c>
      <c r="B277" s="957">
        <f>+NOMINA!C276</f>
        <v>25619540</v>
      </c>
      <c r="C277" s="958" t="str">
        <f>+NOMINA!D276</f>
        <v>Balza Vetencourt Maria Gabriela</v>
      </c>
      <c r="D277" s="955" t="s">
        <v>4622</v>
      </c>
      <c r="E277" s="959">
        <v>32351</v>
      </c>
      <c r="F277" s="955" t="s">
        <v>4620</v>
      </c>
      <c r="G277" s="971">
        <f>+NOMINA!H276</f>
        <v>44743</v>
      </c>
      <c r="H277" s="961">
        <f t="shared" si="43"/>
        <v>0</v>
      </c>
      <c r="I277" s="962">
        <v>0</v>
      </c>
      <c r="J277" s="968">
        <f>+NOMINA!BL276</f>
        <v>18.57</v>
      </c>
      <c r="K277" s="968">
        <f>+NOMINA!BM276</f>
        <v>2.3199999999999998</v>
      </c>
      <c r="L277" s="968">
        <f>+NOMINA!BN276</f>
        <v>4.0199999999999996</v>
      </c>
      <c r="M277" s="963">
        <f t="shared" si="44"/>
        <v>24.91</v>
      </c>
      <c r="N277" s="968">
        <f>+NOMINA!BR276</f>
        <v>41.78</v>
      </c>
      <c r="O277" s="968">
        <f>+NOMINA!BS276</f>
        <v>9.2899999999999991</v>
      </c>
      <c r="P277" s="968">
        <f>+NOMINA!BT276</f>
        <v>8.0399999999999991</v>
      </c>
      <c r="Q277" s="963">
        <f t="shared" si="45"/>
        <v>59.11</v>
      </c>
      <c r="R277" s="963">
        <f t="shared" si="46"/>
        <v>84.02</v>
      </c>
      <c r="S277" s="972">
        <v>0</v>
      </c>
      <c r="T277" s="443" t="e">
        <f>#REF!+#REF!-M277</f>
        <v>#REF!</v>
      </c>
      <c r="U277" s="952" t="e">
        <f>ROUND((#REF!+#REF!+#REF!+#REF!+#REF!+#REF!+#REF!+#REF!+#REF!),2)</f>
        <v>#REF!</v>
      </c>
      <c r="Y277" s="953" t="e">
        <f>#REF!+#REF!-M277</f>
        <v>#REF!</v>
      </c>
      <c r="Z277" s="954" t="e">
        <f>#REF!</f>
        <v>#REF!</v>
      </c>
      <c r="AA277" s="953" t="e">
        <f>#REF!+#REF!</f>
        <v>#REF!</v>
      </c>
      <c r="AB277" s="954" t="e">
        <f>#REF!</f>
        <v>#REF!</v>
      </c>
      <c r="AC277" s="955">
        <v>0</v>
      </c>
      <c r="AD277" s="954" t="e">
        <f>#REF!</f>
        <v>#REF!</v>
      </c>
      <c r="AE277" s="956" t="e">
        <f>#REF!+#REF!</f>
        <v>#REF!</v>
      </c>
      <c r="AF277" s="956" t="e">
        <f>#REF!+#REF!</f>
        <v>#REF!</v>
      </c>
      <c r="AG277" s="956"/>
      <c r="AH277" s="954" t="e">
        <f>#REF!</f>
        <v>#REF!</v>
      </c>
      <c r="AI277" s="954" t="e">
        <f t="shared" si="39"/>
        <v>#REF!</v>
      </c>
      <c r="AJ277" s="954">
        <f t="shared" si="40"/>
        <v>84.02</v>
      </c>
      <c r="AK277" s="954">
        <f t="shared" si="41"/>
        <v>0</v>
      </c>
      <c r="AL277" s="625"/>
    </row>
    <row r="278" spans="1:38" s="620" customFormat="1" ht="20.100000000000001" customHeight="1" x14ac:dyDescent="0.2">
      <c r="A278" s="759">
        <f t="shared" si="42"/>
        <v>234</v>
      </c>
      <c r="B278" s="957">
        <f>+NOMINA!C277</f>
        <v>26094609</v>
      </c>
      <c r="C278" s="958" t="str">
        <f>+NOMINA!D277</f>
        <v>Andara Moreno Marielena Nathaly</v>
      </c>
      <c r="D278" s="955" t="s">
        <v>4622</v>
      </c>
      <c r="E278" s="959">
        <v>32351</v>
      </c>
      <c r="F278" s="955" t="s">
        <v>4620</v>
      </c>
      <c r="G278" s="971">
        <f>+NOMINA!H277</f>
        <v>44713</v>
      </c>
      <c r="H278" s="961">
        <f t="shared" si="43"/>
        <v>0</v>
      </c>
      <c r="I278" s="962">
        <v>0</v>
      </c>
      <c r="J278" s="968">
        <f>+NOMINA!BL277</f>
        <v>23.96</v>
      </c>
      <c r="K278" s="968">
        <f>+NOMINA!BM277</f>
        <v>3</v>
      </c>
      <c r="L278" s="968">
        <f>+NOMINA!BN277</f>
        <v>5.19</v>
      </c>
      <c r="M278" s="963">
        <f t="shared" si="44"/>
        <v>32.15</v>
      </c>
      <c r="N278" s="968">
        <f>+NOMINA!BR277</f>
        <v>53.91</v>
      </c>
      <c r="O278" s="968">
        <f>+NOMINA!BS277</f>
        <v>11.98</v>
      </c>
      <c r="P278" s="968">
        <f>+NOMINA!BT277</f>
        <v>10.38</v>
      </c>
      <c r="Q278" s="963">
        <f t="shared" si="45"/>
        <v>76.27</v>
      </c>
      <c r="R278" s="963">
        <f t="shared" si="46"/>
        <v>108.41999999999999</v>
      </c>
      <c r="S278" s="972">
        <v>0</v>
      </c>
      <c r="T278" s="443" t="e">
        <f>#REF!+#REF!-M278</f>
        <v>#REF!</v>
      </c>
      <c r="U278" s="952" t="e">
        <f>ROUND((#REF!+#REF!+#REF!+#REF!+#REF!+#REF!+#REF!+#REF!+#REF!),2)</f>
        <v>#REF!</v>
      </c>
      <c r="Y278" s="953" t="e">
        <f>#REF!+#REF!-M278</f>
        <v>#REF!</v>
      </c>
      <c r="Z278" s="954" t="e">
        <f>#REF!</f>
        <v>#REF!</v>
      </c>
      <c r="AA278" s="953" t="e">
        <f>#REF!+#REF!</f>
        <v>#REF!</v>
      </c>
      <c r="AB278" s="954" t="e">
        <f>#REF!</f>
        <v>#REF!</v>
      </c>
      <c r="AC278" s="955">
        <v>0</v>
      </c>
      <c r="AD278" s="954" t="e">
        <f>#REF!</f>
        <v>#REF!</v>
      </c>
      <c r="AE278" s="956" t="e">
        <f>#REF!+#REF!</f>
        <v>#REF!</v>
      </c>
      <c r="AF278" s="956" t="e">
        <f>#REF!+#REF!</f>
        <v>#REF!</v>
      </c>
      <c r="AG278" s="956"/>
      <c r="AH278" s="954" t="e">
        <f>#REF!</f>
        <v>#REF!</v>
      </c>
      <c r="AI278" s="954" t="e">
        <f t="shared" si="39"/>
        <v>#REF!</v>
      </c>
      <c r="AJ278" s="954">
        <f t="shared" si="40"/>
        <v>108.41999999999999</v>
      </c>
      <c r="AK278" s="954">
        <f t="shared" si="41"/>
        <v>0</v>
      </c>
      <c r="AL278" s="625"/>
    </row>
    <row r="279" spans="1:38" s="620" customFormat="1" ht="20.100000000000001" customHeight="1" x14ac:dyDescent="0.2">
      <c r="A279" s="759">
        <f t="shared" si="42"/>
        <v>235</v>
      </c>
      <c r="B279" s="957">
        <f>+NOMINA!C278</f>
        <v>26094690</v>
      </c>
      <c r="C279" s="958" t="str">
        <f>+NOMINA!D278</f>
        <v>Fernandez Romero Numa Manuel</v>
      </c>
      <c r="D279" s="955" t="s">
        <v>4622</v>
      </c>
      <c r="E279" s="959">
        <v>32351</v>
      </c>
      <c r="F279" s="955" t="s">
        <v>4620</v>
      </c>
      <c r="G279" s="971">
        <f>+NOMINA!H278</f>
        <v>45017</v>
      </c>
      <c r="H279" s="961">
        <f t="shared" si="43"/>
        <v>0</v>
      </c>
      <c r="I279" s="962">
        <v>0</v>
      </c>
      <c r="J279" s="968">
        <f>+NOMINA!BL278</f>
        <v>17.260000000000002</v>
      </c>
      <c r="K279" s="968">
        <f>+NOMINA!BM278</f>
        <v>2.16</v>
      </c>
      <c r="L279" s="968">
        <f>+NOMINA!BN278</f>
        <v>3.74</v>
      </c>
      <c r="M279" s="963">
        <f t="shared" si="44"/>
        <v>23.16</v>
      </c>
      <c r="N279" s="968">
        <f>+NOMINA!BR278</f>
        <v>38.83</v>
      </c>
      <c r="O279" s="968">
        <f>+NOMINA!BS278</f>
        <v>8.6300000000000008</v>
      </c>
      <c r="P279" s="968">
        <f>+NOMINA!BT278</f>
        <v>7.48</v>
      </c>
      <c r="Q279" s="963">
        <f t="shared" si="45"/>
        <v>54.94</v>
      </c>
      <c r="R279" s="963">
        <f t="shared" si="46"/>
        <v>78.099999999999994</v>
      </c>
      <c r="S279" s="972"/>
      <c r="T279" s="443"/>
      <c r="U279" s="952"/>
      <c r="Y279" s="953"/>
      <c r="Z279" s="954"/>
      <c r="AA279" s="953"/>
      <c r="AB279" s="954"/>
      <c r="AC279" s="955"/>
      <c r="AD279" s="954"/>
      <c r="AE279" s="956"/>
      <c r="AF279" s="956"/>
      <c r="AG279" s="956"/>
      <c r="AH279" s="954"/>
      <c r="AI279" s="954"/>
      <c r="AJ279" s="954"/>
      <c r="AK279" s="954"/>
      <c r="AL279" s="625"/>
    </row>
    <row r="280" spans="1:38" s="620" customFormat="1" ht="20.100000000000001" customHeight="1" x14ac:dyDescent="0.2">
      <c r="A280" s="759">
        <f t="shared" si="42"/>
        <v>236</v>
      </c>
      <c r="B280" s="957">
        <f>+NOMINA!C279</f>
        <v>26114271</v>
      </c>
      <c r="C280" s="958" t="str">
        <f>+NOMINA!D279</f>
        <v>Moncayo Perez Ruddy Bellaliz</v>
      </c>
      <c r="D280" s="955" t="s">
        <v>4622</v>
      </c>
      <c r="E280" s="959">
        <v>32351</v>
      </c>
      <c r="F280" s="955" t="s">
        <v>4620</v>
      </c>
      <c r="G280" s="971">
        <f>+NOMINA!H279</f>
        <v>44636</v>
      </c>
      <c r="H280" s="961">
        <f t="shared" si="43"/>
        <v>0</v>
      </c>
      <c r="I280" s="962">
        <v>0</v>
      </c>
      <c r="J280" s="968">
        <f>+NOMINA!BL279</f>
        <v>23.96</v>
      </c>
      <c r="K280" s="968">
        <f>+NOMINA!BM279</f>
        <v>3</v>
      </c>
      <c r="L280" s="968">
        <f>+NOMINA!BN279</f>
        <v>5.19</v>
      </c>
      <c r="M280" s="963">
        <f t="shared" si="44"/>
        <v>32.15</v>
      </c>
      <c r="N280" s="968">
        <f>+NOMINA!BR279</f>
        <v>53.91</v>
      </c>
      <c r="O280" s="968">
        <f>+NOMINA!BS279</f>
        <v>11.98</v>
      </c>
      <c r="P280" s="968">
        <f>+NOMINA!BT279</f>
        <v>10.38</v>
      </c>
      <c r="Q280" s="963">
        <f t="shared" si="45"/>
        <v>76.27</v>
      </c>
      <c r="R280" s="963">
        <f t="shared" si="46"/>
        <v>108.41999999999999</v>
      </c>
      <c r="S280" s="972"/>
      <c r="T280" s="443"/>
      <c r="U280" s="952"/>
      <c r="Y280" s="953"/>
      <c r="Z280" s="954"/>
      <c r="AA280" s="953"/>
      <c r="AB280" s="954"/>
      <c r="AC280" s="955"/>
      <c r="AD280" s="954"/>
      <c r="AE280" s="956"/>
      <c r="AF280" s="956"/>
      <c r="AG280" s="956"/>
      <c r="AH280" s="954"/>
      <c r="AI280" s="954"/>
      <c r="AJ280" s="954"/>
      <c r="AK280" s="954"/>
      <c r="AL280" s="625"/>
    </row>
    <row r="281" spans="1:38" s="620" customFormat="1" ht="20.100000000000001" customHeight="1" x14ac:dyDescent="0.2">
      <c r="A281" s="759">
        <f t="shared" si="42"/>
        <v>237</v>
      </c>
      <c r="B281" s="957">
        <f>+NOMINA!C280</f>
        <v>26191823</v>
      </c>
      <c r="C281" s="958" t="str">
        <f>+NOMINA!D280</f>
        <v>Briceño Espinoza Brayhan Jose</v>
      </c>
      <c r="D281" s="955" t="s">
        <v>4622</v>
      </c>
      <c r="E281" s="959">
        <v>32351</v>
      </c>
      <c r="F281" s="955" t="s">
        <v>4620</v>
      </c>
      <c r="G281" s="971">
        <f>+NOMINA!H280</f>
        <v>44470</v>
      </c>
      <c r="H281" s="961">
        <f t="shared" si="43"/>
        <v>1</v>
      </c>
      <c r="I281" s="962">
        <v>0</v>
      </c>
      <c r="J281" s="968">
        <f>+NOMINA!BL280</f>
        <v>23.96</v>
      </c>
      <c r="K281" s="968">
        <f>+NOMINA!BM280</f>
        <v>3</v>
      </c>
      <c r="L281" s="968">
        <f>+NOMINA!BN280</f>
        <v>5.19</v>
      </c>
      <c r="M281" s="963">
        <f t="shared" si="44"/>
        <v>32.15</v>
      </c>
      <c r="N281" s="968">
        <f>+NOMINA!BR280</f>
        <v>53.91</v>
      </c>
      <c r="O281" s="968">
        <f>+NOMINA!BS280</f>
        <v>11.98</v>
      </c>
      <c r="P281" s="968">
        <f>+NOMINA!BT280</f>
        <v>10.38</v>
      </c>
      <c r="Q281" s="963">
        <f t="shared" si="45"/>
        <v>76.27</v>
      </c>
      <c r="R281" s="963">
        <f t="shared" si="46"/>
        <v>108.41999999999999</v>
      </c>
      <c r="S281" s="972"/>
      <c r="T281" s="443"/>
      <c r="U281" s="952"/>
      <c r="Y281" s="953"/>
      <c r="Z281" s="954"/>
      <c r="AA281" s="953"/>
      <c r="AB281" s="954"/>
      <c r="AC281" s="955"/>
      <c r="AD281" s="954"/>
      <c r="AE281" s="956"/>
      <c r="AF281" s="956"/>
      <c r="AG281" s="956"/>
      <c r="AH281" s="954"/>
      <c r="AI281" s="954"/>
      <c r="AJ281" s="954"/>
      <c r="AK281" s="954"/>
      <c r="AL281" s="625"/>
    </row>
    <row r="282" spans="1:38" s="620" customFormat="1" ht="20.100000000000001" customHeight="1" x14ac:dyDescent="0.2">
      <c r="A282" s="759">
        <f t="shared" si="42"/>
        <v>238</v>
      </c>
      <c r="B282" s="957">
        <f>+NOMINA!C281</f>
        <v>26235963</v>
      </c>
      <c r="C282" s="958" t="str">
        <f>+NOMINA!D281</f>
        <v>Segovia Segovia Freylu Margarita</v>
      </c>
      <c r="D282" s="955" t="s">
        <v>4622</v>
      </c>
      <c r="E282" s="959">
        <v>32351</v>
      </c>
      <c r="F282" s="955" t="s">
        <v>4620</v>
      </c>
      <c r="G282" s="971">
        <f>+NOMINA!H281</f>
        <v>45383</v>
      </c>
      <c r="H282" s="961">
        <f t="shared" si="43"/>
        <v>0</v>
      </c>
      <c r="I282" s="962">
        <v>0</v>
      </c>
      <c r="J282" s="968">
        <f>+NOMINA!BL281</f>
        <v>22.56</v>
      </c>
      <c r="K282" s="968">
        <f>+NOMINA!BM281</f>
        <v>2.82</v>
      </c>
      <c r="L282" s="968">
        <f>+NOMINA!BN281</f>
        <v>4.8899999999999997</v>
      </c>
      <c r="M282" s="963">
        <f t="shared" si="44"/>
        <v>30.27</v>
      </c>
      <c r="N282" s="968">
        <f>+NOMINA!BR281</f>
        <v>50.75</v>
      </c>
      <c r="O282" s="968">
        <f>+NOMINA!BS281</f>
        <v>11.28</v>
      </c>
      <c r="P282" s="968">
        <f>+NOMINA!BT281</f>
        <v>9.7799999999999994</v>
      </c>
      <c r="Q282" s="963">
        <f t="shared" si="45"/>
        <v>71.81</v>
      </c>
      <c r="R282" s="963">
        <f t="shared" si="46"/>
        <v>102.08</v>
      </c>
      <c r="S282" s="972"/>
      <c r="T282" s="443"/>
      <c r="U282" s="952"/>
      <c r="Y282" s="953"/>
      <c r="Z282" s="954"/>
      <c r="AA282" s="953"/>
      <c r="AB282" s="954"/>
      <c r="AC282" s="955"/>
      <c r="AD282" s="954"/>
      <c r="AE282" s="956"/>
      <c r="AF282" s="956"/>
      <c r="AG282" s="956"/>
      <c r="AH282" s="954"/>
      <c r="AI282" s="954"/>
      <c r="AJ282" s="954"/>
      <c r="AK282" s="954"/>
      <c r="AL282" s="625"/>
    </row>
    <row r="283" spans="1:38" s="620" customFormat="1" ht="20.100000000000001" customHeight="1" x14ac:dyDescent="0.2">
      <c r="A283" s="759">
        <f t="shared" si="42"/>
        <v>239</v>
      </c>
      <c r="B283" s="957">
        <f>+NOMINA!C282</f>
        <v>26413871</v>
      </c>
      <c r="C283" s="958" t="str">
        <f>+NOMINA!D282</f>
        <v>Molina Rojas Genesis Angely</v>
      </c>
      <c r="D283" s="955" t="s">
        <v>4622</v>
      </c>
      <c r="E283" s="959">
        <v>32351</v>
      </c>
      <c r="F283" s="955" t="s">
        <v>4620</v>
      </c>
      <c r="G283" s="971">
        <f>+NOMINA!H282</f>
        <v>44228</v>
      </c>
      <c r="H283" s="961">
        <f t="shared" si="43"/>
        <v>1</v>
      </c>
      <c r="I283" s="962">
        <v>0</v>
      </c>
      <c r="J283" s="968">
        <f>+NOMINA!BL282</f>
        <v>18.66</v>
      </c>
      <c r="K283" s="968">
        <f>+NOMINA!BM282</f>
        <v>2.33</v>
      </c>
      <c r="L283" s="968">
        <f>+NOMINA!BN282</f>
        <v>4.04</v>
      </c>
      <c r="M283" s="963">
        <f t="shared" si="44"/>
        <v>25.03</v>
      </c>
      <c r="N283" s="968">
        <f>+NOMINA!BR282</f>
        <v>41.99</v>
      </c>
      <c r="O283" s="968">
        <f>+NOMINA!BS282</f>
        <v>9.33</v>
      </c>
      <c r="P283" s="968">
        <f>+NOMINA!BT282</f>
        <v>8.08</v>
      </c>
      <c r="Q283" s="963">
        <f t="shared" si="45"/>
        <v>59.4</v>
      </c>
      <c r="R283" s="963">
        <f t="shared" si="46"/>
        <v>84.43</v>
      </c>
      <c r="S283" s="972"/>
      <c r="T283" s="443"/>
      <c r="U283" s="952"/>
      <c r="Y283" s="953"/>
      <c r="Z283" s="954"/>
      <c r="AA283" s="953"/>
      <c r="AB283" s="954"/>
      <c r="AC283" s="955"/>
      <c r="AD283" s="954"/>
      <c r="AE283" s="956"/>
      <c r="AF283" s="956"/>
      <c r="AG283" s="956"/>
      <c r="AH283" s="954"/>
      <c r="AI283" s="954"/>
      <c r="AJ283" s="954"/>
      <c r="AK283" s="954"/>
      <c r="AL283" s="625"/>
    </row>
    <row r="284" spans="1:38" s="620" customFormat="1" ht="20.100000000000001" customHeight="1" x14ac:dyDescent="0.2">
      <c r="A284" s="759">
        <f t="shared" si="42"/>
        <v>240</v>
      </c>
      <c r="B284" s="957">
        <f>+NOMINA!C283</f>
        <v>26591879</v>
      </c>
      <c r="C284" s="958" t="str">
        <f>+NOMINA!D283</f>
        <v>Delgado Cabezas Rosa Magdalena</v>
      </c>
      <c r="D284" s="955" t="s">
        <v>4622</v>
      </c>
      <c r="E284" s="959">
        <v>32351</v>
      </c>
      <c r="F284" s="955" t="s">
        <v>4620</v>
      </c>
      <c r="G284" s="971">
        <f>+NOMINA!H283</f>
        <v>43587</v>
      </c>
      <c r="H284" s="961">
        <f t="shared" si="43"/>
        <v>3</v>
      </c>
      <c r="I284" s="962">
        <v>0</v>
      </c>
      <c r="J284" s="968">
        <f>+NOMINA!BL283</f>
        <v>25.32</v>
      </c>
      <c r="K284" s="968">
        <f>+NOMINA!BM283</f>
        <v>3.16</v>
      </c>
      <c r="L284" s="968">
        <f>+NOMINA!BN283</f>
        <v>5.49</v>
      </c>
      <c r="M284" s="963">
        <f t="shared" si="44"/>
        <v>33.97</v>
      </c>
      <c r="N284" s="968">
        <f>+NOMINA!BR283</f>
        <v>56.96</v>
      </c>
      <c r="O284" s="968">
        <f>+NOMINA!BS283</f>
        <v>12.66</v>
      </c>
      <c r="P284" s="968">
        <f>+NOMINA!BT283</f>
        <v>10.98</v>
      </c>
      <c r="Q284" s="963">
        <f t="shared" si="45"/>
        <v>80.599999999999994</v>
      </c>
      <c r="R284" s="963">
        <f t="shared" si="46"/>
        <v>114.57</v>
      </c>
      <c r="S284" s="972"/>
      <c r="T284" s="443"/>
      <c r="U284" s="952"/>
      <c r="Y284" s="953"/>
      <c r="Z284" s="954"/>
      <c r="AA284" s="953"/>
      <c r="AB284" s="954"/>
      <c r="AC284" s="955"/>
      <c r="AD284" s="954"/>
      <c r="AE284" s="956"/>
      <c r="AF284" s="956"/>
      <c r="AG284" s="956"/>
      <c r="AH284" s="954"/>
      <c r="AI284" s="954"/>
      <c r="AJ284" s="954"/>
      <c r="AK284" s="954"/>
      <c r="AL284" s="625"/>
    </row>
    <row r="285" spans="1:38" s="620" customFormat="1" ht="20.100000000000001" customHeight="1" x14ac:dyDescent="0.2">
      <c r="A285" s="759">
        <f t="shared" si="42"/>
        <v>241</v>
      </c>
      <c r="B285" s="957">
        <f>+NOMINA!C284</f>
        <v>26690908</v>
      </c>
      <c r="C285" s="958" t="str">
        <f>+NOMINA!D284</f>
        <v>Segovia Lisbeira del Carmen</v>
      </c>
      <c r="D285" s="955" t="s">
        <v>4622</v>
      </c>
      <c r="E285" s="959">
        <v>32351</v>
      </c>
      <c r="F285" s="955" t="s">
        <v>4620</v>
      </c>
      <c r="G285" s="971">
        <f>+NOMINA!H284</f>
        <v>44228</v>
      </c>
      <c r="H285" s="961">
        <f t="shared" si="43"/>
        <v>1</v>
      </c>
      <c r="I285" s="962">
        <v>0</v>
      </c>
      <c r="J285" s="968">
        <f>+NOMINA!BL284</f>
        <v>17.91</v>
      </c>
      <c r="K285" s="968">
        <f>+NOMINA!BM284</f>
        <v>2.2400000000000002</v>
      </c>
      <c r="L285" s="968">
        <f>+NOMINA!BN284</f>
        <v>3.88</v>
      </c>
      <c r="M285" s="963">
        <f t="shared" si="44"/>
        <v>24.03</v>
      </c>
      <c r="N285" s="968">
        <f>+NOMINA!BR284</f>
        <v>40.299999999999997</v>
      </c>
      <c r="O285" s="968">
        <f>+NOMINA!BS284</f>
        <v>8.9600000000000009</v>
      </c>
      <c r="P285" s="968">
        <f>+NOMINA!BT284</f>
        <v>7.76</v>
      </c>
      <c r="Q285" s="963">
        <f t="shared" si="45"/>
        <v>57.02</v>
      </c>
      <c r="R285" s="963">
        <f t="shared" si="46"/>
        <v>81.050000000000011</v>
      </c>
      <c r="S285" s="972"/>
      <c r="T285" s="443"/>
      <c r="U285" s="952"/>
      <c r="Y285" s="953"/>
      <c r="Z285" s="954"/>
      <c r="AA285" s="953"/>
      <c r="AB285" s="954"/>
      <c r="AC285" s="955"/>
      <c r="AD285" s="954"/>
      <c r="AE285" s="956"/>
      <c r="AF285" s="956"/>
      <c r="AG285" s="956"/>
      <c r="AH285" s="954"/>
      <c r="AI285" s="954"/>
      <c r="AJ285" s="954"/>
      <c r="AK285" s="954"/>
      <c r="AL285" s="625"/>
    </row>
    <row r="286" spans="1:38" s="620" customFormat="1" ht="20.100000000000001" customHeight="1" x14ac:dyDescent="0.2">
      <c r="A286" s="759">
        <f t="shared" si="42"/>
        <v>242</v>
      </c>
      <c r="B286" s="957">
        <f>+NOMINA!C285</f>
        <v>26962104</v>
      </c>
      <c r="C286" s="958" t="str">
        <f>+NOMINA!D285</f>
        <v>Rubio Briceño Diana Carolina</v>
      </c>
      <c r="D286" s="955" t="s">
        <v>4622</v>
      </c>
      <c r="E286" s="959">
        <v>32351</v>
      </c>
      <c r="F286" s="955" t="s">
        <v>4620</v>
      </c>
      <c r="G286" s="971">
        <f>+NOMINA!H285</f>
        <v>44393</v>
      </c>
      <c r="H286" s="961">
        <f t="shared" si="43"/>
        <v>1</v>
      </c>
      <c r="I286" s="962">
        <v>0</v>
      </c>
      <c r="J286" s="968">
        <f>+NOMINA!BL285</f>
        <v>13.78</v>
      </c>
      <c r="K286" s="968">
        <f>+NOMINA!BM285</f>
        <v>1.72</v>
      </c>
      <c r="L286" s="968">
        <f>+NOMINA!BN285</f>
        <v>2.99</v>
      </c>
      <c r="M286" s="963">
        <f t="shared" si="44"/>
        <v>18.489999999999998</v>
      </c>
      <c r="N286" s="968">
        <f>+NOMINA!BR285</f>
        <v>31</v>
      </c>
      <c r="O286" s="968">
        <f>+NOMINA!BS285</f>
        <v>6.89</v>
      </c>
      <c r="P286" s="968">
        <f>+NOMINA!BT285</f>
        <v>5.98</v>
      </c>
      <c r="Q286" s="963">
        <f t="shared" si="45"/>
        <v>43.87</v>
      </c>
      <c r="R286" s="963">
        <f t="shared" si="46"/>
        <v>62.36</v>
      </c>
      <c r="S286" s="972"/>
      <c r="T286" s="443"/>
      <c r="U286" s="952"/>
      <c r="Y286" s="953"/>
      <c r="Z286" s="954"/>
      <c r="AA286" s="953"/>
      <c r="AB286" s="954"/>
      <c r="AC286" s="955"/>
      <c r="AD286" s="954"/>
      <c r="AE286" s="956"/>
      <c r="AF286" s="956"/>
      <c r="AG286" s="956"/>
      <c r="AH286" s="954"/>
      <c r="AI286" s="954"/>
      <c r="AJ286" s="954"/>
      <c r="AK286" s="954"/>
      <c r="AL286" s="625"/>
    </row>
    <row r="287" spans="1:38" s="620" customFormat="1" ht="20.100000000000001" customHeight="1" x14ac:dyDescent="0.2">
      <c r="A287" s="759">
        <f t="shared" si="42"/>
        <v>243</v>
      </c>
      <c r="B287" s="957">
        <f>+NOMINA!C286</f>
        <v>27022450</v>
      </c>
      <c r="C287" s="958" t="str">
        <f>+NOMINA!D286</f>
        <v>Montilla Gonzalez Maria Alexandra</v>
      </c>
      <c r="D287" s="955" t="s">
        <v>4622</v>
      </c>
      <c r="E287" s="959">
        <v>32351</v>
      </c>
      <c r="F287" s="955" t="s">
        <v>4620</v>
      </c>
      <c r="G287" s="971">
        <f>+NOMINA!H286</f>
        <v>45717</v>
      </c>
      <c r="H287" s="961">
        <f t="shared" si="43"/>
        <v>0</v>
      </c>
      <c r="I287" s="962">
        <v>0</v>
      </c>
      <c r="J287" s="968">
        <f>+NOMINA!BL286</f>
        <v>17.829999999999998</v>
      </c>
      <c r="K287" s="968">
        <f>+NOMINA!BM286</f>
        <v>2.23</v>
      </c>
      <c r="L287" s="968">
        <f>+NOMINA!BN286</f>
        <v>3.86</v>
      </c>
      <c r="M287" s="963">
        <f t="shared" si="44"/>
        <v>23.92</v>
      </c>
      <c r="N287" s="968">
        <f>+NOMINA!BR286</f>
        <v>40.130000000000003</v>
      </c>
      <c r="O287" s="968">
        <f>+NOMINA!BS286</f>
        <v>8.92</v>
      </c>
      <c r="P287" s="968">
        <f>+NOMINA!BT286</f>
        <v>7.72</v>
      </c>
      <c r="Q287" s="963">
        <f t="shared" si="45"/>
        <v>56.77</v>
      </c>
      <c r="R287" s="963">
        <f t="shared" si="46"/>
        <v>80.69</v>
      </c>
      <c r="S287" s="972"/>
      <c r="T287" s="443"/>
      <c r="U287" s="952"/>
      <c r="Y287" s="953"/>
      <c r="Z287" s="954"/>
      <c r="AA287" s="953"/>
      <c r="AB287" s="954"/>
      <c r="AC287" s="955"/>
      <c r="AD287" s="954"/>
      <c r="AE287" s="956"/>
      <c r="AF287" s="956"/>
      <c r="AG287" s="956"/>
      <c r="AH287" s="954"/>
      <c r="AI287" s="954"/>
      <c r="AJ287" s="954"/>
      <c r="AK287" s="954"/>
      <c r="AL287" s="625"/>
    </row>
    <row r="288" spans="1:38" s="620" customFormat="1" ht="20.100000000000001" customHeight="1" x14ac:dyDescent="0.2">
      <c r="A288" s="759">
        <f t="shared" si="42"/>
        <v>244</v>
      </c>
      <c r="B288" s="957">
        <f>+NOMINA!C287</f>
        <v>27251885</v>
      </c>
      <c r="C288" s="958" t="str">
        <f>+NOMINA!D287</f>
        <v>Barrozo Godoy Kellem Daniela</v>
      </c>
      <c r="D288" s="955" t="s">
        <v>4622</v>
      </c>
      <c r="E288" s="959">
        <v>32351</v>
      </c>
      <c r="F288" s="955" t="s">
        <v>4620</v>
      </c>
      <c r="G288" s="971">
        <f>+NOMINA!H287</f>
        <v>45474</v>
      </c>
      <c r="H288" s="961">
        <f t="shared" si="43"/>
        <v>0</v>
      </c>
      <c r="I288" s="962">
        <v>0</v>
      </c>
      <c r="J288" s="968">
        <f>+NOMINA!BL287</f>
        <v>16.43</v>
      </c>
      <c r="K288" s="968">
        <f>+NOMINA!BM287</f>
        <v>2.0499999999999998</v>
      </c>
      <c r="L288" s="968">
        <f>+NOMINA!BN287</f>
        <v>3.56</v>
      </c>
      <c r="M288" s="963">
        <f t="shared" si="44"/>
        <v>22.04</v>
      </c>
      <c r="N288" s="968">
        <f>+NOMINA!BR287</f>
        <v>36.96</v>
      </c>
      <c r="O288" s="968">
        <f>+NOMINA!BS287</f>
        <v>8.2100000000000009</v>
      </c>
      <c r="P288" s="968">
        <f>+NOMINA!BT287</f>
        <v>7.12</v>
      </c>
      <c r="Q288" s="963">
        <f t="shared" si="45"/>
        <v>52.29</v>
      </c>
      <c r="R288" s="963">
        <f t="shared" si="46"/>
        <v>74.33</v>
      </c>
      <c r="S288" s="972"/>
      <c r="T288" s="443"/>
      <c r="U288" s="952"/>
      <c r="Y288" s="953"/>
      <c r="Z288" s="954"/>
      <c r="AA288" s="953"/>
      <c r="AB288" s="954"/>
      <c r="AC288" s="955"/>
      <c r="AD288" s="954"/>
      <c r="AE288" s="956"/>
      <c r="AF288" s="956"/>
      <c r="AG288" s="956"/>
      <c r="AH288" s="954"/>
      <c r="AI288" s="954"/>
      <c r="AJ288" s="954"/>
      <c r="AK288" s="954"/>
      <c r="AL288" s="625"/>
    </row>
    <row r="289" spans="1:40" s="620" customFormat="1" ht="20.100000000000001" customHeight="1" x14ac:dyDescent="0.2">
      <c r="A289" s="759">
        <f t="shared" si="42"/>
        <v>245</v>
      </c>
      <c r="B289" s="957">
        <f>+NOMINA!C288</f>
        <v>27251899</v>
      </c>
      <c r="C289" s="958" t="str">
        <f>+NOMINA!D288</f>
        <v>Perez Gonzalez Maria Ines</v>
      </c>
      <c r="D289" s="955" t="s">
        <v>4622</v>
      </c>
      <c r="E289" s="959">
        <v>32351</v>
      </c>
      <c r="F289" s="955" t="s">
        <v>4620</v>
      </c>
      <c r="G289" s="971">
        <f>+NOMINA!H288</f>
        <v>45474</v>
      </c>
      <c r="H289" s="961">
        <f t="shared" si="43"/>
        <v>0</v>
      </c>
      <c r="I289" s="962">
        <v>0</v>
      </c>
      <c r="J289" s="968">
        <f>+NOMINA!BL288</f>
        <v>16.43</v>
      </c>
      <c r="K289" s="968">
        <f>+NOMINA!BM288</f>
        <v>2.0499999999999998</v>
      </c>
      <c r="L289" s="968">
        <f>+NOMINA!BN288</f>
        <v>3.56</v>
      </c>
      <c r="M289" s="963">
        <f t="shared" si="44"/>
        <v>22.04</v>
      </c>
      <c r="N289" s="968">
        <f>+NOMINA!BR288</f>
        <v>36.96</v>
      </c>
      <c r="O289" s="968">
        <f>+NOMINA!BS288</f>
        <v>8.2100000000000009</v>
      </c>
      <c r="P289" s="968">
        <f>+NOMINA!BT288</f>
        <v>7.12</v>
      </c>
      <c r="Q289" s="963">
        <f t="shared" si="45"/>
        <v>52.29</v>
      </c>
      <c r="R289" s="963">
        <f t="shared" si="46"/>
        <v>74.33</v>
      </c>
      <c r="S289" s="972"/>
      <c r="T289" s="443"/>
      <c r="U289" s="952"/>
      <c r="Y289" s="953"/>
      <c r="Z289" s="954"/>
      <c r="AA289" s="953"/>
      <c r="AB289" s="954"/>
      <c r="AC289" s="955"/>
      <c r="AD289" s="954"/>
      <c r="AE289" s="956"/>
      <c r="AF289" s="956"/>
      <c r="AG289" s="956"/>
      <c r="AH289" s="954"/>
      <c r="AI289" s="954"/>
      <c r="AJ289" s="954"/>
      <c r="AK289" s="954"/>
      <c r="AL289" s="625"/>
    </row>
    <row r="290" spans="1:40" s="620" customFormat="1" ht="20.100000000000001" customHeight="1" x14ac:dyDescent="0.2">
      <c r="A290" s="759">
        <f t="shared" si="42"/>
        <v>246</v>
      </c>
      <c r="B290" s="957">
        <f>+NOMINA!C289</f>
        <v>27363633</v>
      </c>
      <c r="C290" s="958" t="str">
        <f>+NOMINA!D289</f>
        <v>Padilla Blanco Melany Marian</v>
      </c>
      <c r="D290" s="955" t="s">
        <v>4622</v>
      </c>
      <c r="E290" s="959">
        <v>32351</v>
      </c>
      <c r="F290" s="955" t="s">
        <v>4620</v>
      </c>
      <c r="G290" s="971">
        <f>+NOMINA!H289</f>
        <v>45627</v>
      </c>
      <c r="H290" s="961">
        <f t="shared" si="43"/>
        <v>0</v>
      </c>
      <c r="I290" s="962">
        <v>0</v>
      </c>
      <c r="J290" s="968">
        <f>+NOMINA!BL289</f>
        <v>15.6</v>
      </c>
      <c r="K290" s="968">
        <f>+NOMINA!BM289</f>
        <v>1.95</v>
      </c>
      <c r="L290" s="968">
        <f>+NOMINA!BN289</f>
        <v>3.38</v>
      </c>
      <c r="M290" s="963">
        <f t="shared" si="44"/>
        <v>20.93</v>
      </c>
      <c r="N290" s="968">
        <f>+NOMINA!BR289</f>
        <v>35.1</v>
      </c>
      <c r="O290" s="968">
        <f>+NOMINA!BS289</f>
        <v>7.8</v>
      </c>
      <c r="P290" s="968">
        <f>+NOMINA!BT289</f>
        <v>6.76</v>
      </c>
      <c r="Q290" s="963">
        <f t="shared" si="45"/>
        <v>49.66</v>
      </c>
      <c r="R290" s="963">
        <f t="shared" si="46"/>
        <v>70.59</v>
      </c>
      <c r="S290" s="972"/>
      <c r="T290" s="443"/>
      <c r="U290" s="952"/>
      <c r="Y290" s="953"/>
      <c r="Z290" s="954"/>
      <c r="AA290" s="953"/>
      <c r="AB290" s="954"/>
      <c r="AC290" s="955"/>
      <c r="AD290" s="954"/>
      <c r="AE290" s="956"/>
      <c r="AF290" s="956"/>
      <c r="AG290" s="956"/>
      <c r="AH290" s="954"/>
      <c r="AI290" s="954"/>
      <c r="AJ290" s="954"/>
      <c r="AK290" s="954"/>
      <c r="AL290" s="625"/>
    </row>
    <row r="291" spans="1:40" s="620" customFormat="1" ht="20.100000000000001" customHeight="1" x14ac:dyDescent="0.2">
      <c r="A291" s="759">
        <f t="shared" si="42"/>
        <v>247</v>
      </c>
      <c r="B291" s="957">
        <f>+NOMINA!C290</f>
        <v>27415737</v>
      </c>
      <c r="C291" s="958" t="str">
        <f>+NOMINA!D290</f>
        <v>Rivas Torres Rosa Alba</v>
      </c>
      <c r="D291" s="955" t="s">
        <v>4622</v>
      </c>
      <c r="E291" s="959">
        <v>32351</v>
      </c>
      <c r="F291" s="955" t="s">
        <v>4620</v>
      </c>
      <c r="G291" s="971">
        <f>+NOMINA!H290</f>
        <v>44363</v>
      </c>
      <c r="H291" s="961">
        <f t="shared" si="43"/>
        <v>1</v>
      </c>
      <c r="I291" s="962">
        <v>0</v>
      </c>
      <c r="J291" s="968">
        <f>+NOMINA!BL290</f>
        <v>13.78</v>
      </c>
      <c r="K291" s="968">
        <f>+NOMINA!BM290</f>
        <v>1.72</v>
      </c>
      <c r="L291" s="968">
        <f>+NOMINA!BN290</f>
        <v>2.99</v>
      </c>
      <c r="M291" s="963">
        <f t="shared" si="44"/>
        <v>18.489999999999998</v>
      </c>
      <c r="N291" s="968">
        <f>+NOMINA!BR290</f>
        <v>31</v>
      </c>
      <c r="O291" s="968">
        <f>+NOMINA!BS290</f>
        <v>6.89</v>
      </c>
      <c r="P291" s="968">
        <f>+NOMINA!BT290</f>
        <v>5.98</v>
      </c>
      <c r="Q291" s="963">
        <f t="shared" si="45"/>
        <v>43.87</v>
      </c>
      <c r="R291" s="963">
        <f t="shared" si="46"/>
        <v>62.36</v>
      </c>
      <c r="S291" s="972"/>
      <c r="T291" s="443"/>
      <c r="U291" s="952"/>
      <c r="Y291" s="953"/>
      <c r="Z291" s="954"/>
      <c r="AA291" s="953"/>
      <c r="AB291" s="954"/>
      <c r="AC291" s="955"/>
      <c r="AD291" s="954"/>
      <c r="AE291" s="956"/>
      <c r="AF291" s="956"/>
      <c r="AG291" s="956"/>
      <c r="AH291" s="954"/>
      <c r="AI291" s="954"/>
      <c r="AJ291" s="954"/>
      <c r="AK291" s="954"/>
      <c r="AL291" s="625"/>
    </row>
    <row r="292" spans="1:40" s="620" customFormat="1" ht="20.100000000000001" customHeight="1" x14ac:dyDescent="0.2">
      <c r="A292" s="759">
        <f t="shared" si="42"/>
        <v>248</v>
      </c>
      <c r="B292" s="957">
        <f>+NOMINA!C291</f>
        <v>27415888</v>
      </c>
      <c r="C292" s="958" t="str">
        <f>+NOMINA!D291</f>
        <v>Perdomo Juarez Jose de Jesus</v>
      </c>
      <c r="D292" s="955" t="s">
        <v>4622</v>
      </c>
      <c r="E292" s="959">
        <v>32351</v>
      </c>
      <c r="F292" s="955" t="s">
        <v>4620</v>
      </c>
      <c r="G292" s="971">
        <f>+NOMINA!H291</f>
        <v>44713</v>
      </c>
      <c r="H292" s="961">
        <f t="shared" si="43"/>
        <v>0</v>
      </c>
      <c r="I292" s="962">
        <v>0</v>
      </c>
      <c r="J292" s="968">
        <f>+NOMINA!BL291</f>
        <v>14.91</v>
      </c>
      <c r="K292" s="968">
        <f>+NOMINA!BM291</f>
        <v>1.86</v>
      </c>
      <c r="L292" s="968">
        <f>+NOMINA!BN291</f>
        <v>3.23</v>
      </c>
      <c r="M292" s="963">
        <f t="shared" si="44"/>
        <v>20</v>
      </c>
      <c r="N292" s="968">
        <f>+NOMINA!BR291</f>
        <v>33.549999999999997</v>
      </c>
      <c r="O292" s="968">
        <f>+NOMINA!BS291</f>
        <v>7.45</v>
      </c>
      <c r="P292" s="968">
        <f>+NOMINA!BT291</f>
        <v>6.46</v>
      </c>
      <c r="Q292" s="963">
        <f t="shared" si="45"/>
        <v>47.46</v>
      </c>
      <c r="R292" s="963">
        <f t="shared" si="46"/>
        <v>67.460000000000008</v>
      </c>
      <c r="S292" s="972"/>
      <c r="T292" s="443"/>
      <c r="U292" s="952"/>
      <c r="Y292" s="953"/>
      <c r="Z292" s="954"/>
      <c r="AA292" s="953"/>
      <c r="AB292" s="954"/>
      <c r="AC292" s="955"/>
      <c r="AD292" s="954"/>
      <c r="AE292" s="956"/>
      <c r="AF292" s="956"/>
      <c r="AG292" s="956"/>
      <c r="AH292" s="954"/>
      <c r="AI292" s="954"/>
      <c r="AJ292" s="954"/>
      <c r="AK292" s="954"/>
      <c r="AL292" s="625"/>
    </row>
    <row r="293" spans="1:40" s="620" customFormat="1" ht="20.100000000000001" customHeight="1" x14ac:dyDescent="0.2">
      <c r="A293" s="759">
        <f t="shared" si="42"/>
        <v>249</v>
      </c>
      <c r="B293" s="957">
        <f>+NOMINA!C292</f>
        <v>27628603</v>
      </c>
      <c r="C293" s="958" t="str">
        <f>+NOMINA!D292</f>
        <v>Mendoza Mendoza Kelasky Kixuy</v>
      </c>
      <c r="D293" s="955" t="s">
        <v>4622</v>
      </c>
      <c r="E293" s="959">
        <v>32351</v>
      </c>
      <c r="F293" s="955" t="s">
        <v>4620</v>
      </c>
      <c r="G293" s="971">
        <f>+NOMINA!H292</f>
        <v>45139</v>
      </c>
      <c r="H293" s="961">
        <f t="shared" si="43"/>
        <v>0</v>
      </c>
      <c r="I293" s="962">
        <v>0</v>
      </c>
      <c r="J293" s="968">
        <f>+NOMINA!BL292</f>
        <v>12.7</v>
      </c>
      <c r="K293" s="968">
        <f>+NOMINA!BM292</f>
        <v>1.59</v>
      </c>
      <c r="L293" s="968">
        <f>+NOMINA!BN292</f>
        <v>2.75</v>
      </c>
      <c r="M293" s="963">
        <f t="shared" si="44"/>
        <v>17.04</v>
      </c>
      <c r="N293" s="968">
        <f>+NOMINA!BR292</f>
        <v>28.57</v>
      </c>
      <c r="O293" s="968">
        <f>+NOMINA!BS292</f>
        <v>6.35</v>
      </c>
      <c r="P293" s="968">
        <f>+NOMINA!BT292</f>
        <v>5.5</v>
      </c>
      <c r="Q293" s="963">
        <f t="shared" si="45"/>
        <v>40.42</v>
      </c>
      <c r="R293" s="963">
        <f t="shared" si="46"/>
        <v>57.46</v>
      </c>
      <c r="S293" s="972"/>
      <c r="T293" s="443"/>
      <c r="U293" s="952"/>
      <c r="Y293" s="953"/>
      <c r="Z293" s="954"/>
      <c r="AA293" s="953"/>
      <c r="AB293" s="954"/>
      <c r="AC293" s="955"/>
      <c r="AD293" s="954"/>
      <c r="AE293" s="956"/>
      <c r="AF293" s="956"/>
      <c r="AG293" s="956"/>
      <c r="AH293" s="954"/>
      <c r="AI293" s="954"/>
      <c r="AJ293" s="954"/>
      <c r="AK293" s="954"/>
      <c r="AL293" s="625"/>
    </row>
    <row r="294" spans="1:40" s="620" customFormat="1" ht="20.100000000000001" customHeight="1" x14ac:dyDescent="0.2">
      <c r="A294" s="759">
        <f t="shared" si="42"/>
        <v>250</v>
      </c>
      <c r="B294" s="957">
        <f>+NOMINA!C293</f>
        <v>27677242</v>
      </c>
      <c r="C294" s="958" t="str">
        <f>+NOMINA!D293</f>
        <v>Ramirez Torres Darwin Jose</v>
      </c>
      <c r="D294" s="955" t="s">
        <v>4622</v>
      </c>
      <c r="E294" s="959">
        <v>32351</v>
      </c>
      <c r="F294" s="955" t="s">
        <v>4620</v>
      </c>
      <c r="G294" s="971">
        <f>+NOMINA!H293</f>
        <v>45139</v>
      </c>
      <c r="H294" s="961">
        <f t="shared" si="43"/>
        <v>0</v>
      </c>
      <c r="I294" s="962">
        <v>0</v>
      </c>
      <c r="J294" s="968">
        <f>+NOMINA!BL293</f>
        <v>12.12</v>
      </c>
      <c r="K294" s="968">
        <f>+NOMINA!BM293</f>
        <v>1.52</v>
      </c>
      <c r="L294" s="968">
        <f>+NOMINA!BN293</f>
        <v>2.63</v>
      </c>
      <c r="M294" s="963">
        <f t="shared" si="44"/>
        <v>16.27</v>
      </c>
      <c r="N294" s="968">
        <f>+NOMINA!BR293</f>
        <v>27.27</v>
      </c>
      <c r="O294" s="968">
        <f>+NOMINA!BS293</f>
        <v>6.06</v>
      </c>
      <c r="P294" s="968">
        <f>+NOMINA!BT293</f>
        <v>5.26</v>
      </c>
      <c r="Q294" s="963">
        <f t="shared" si="45"/>
        <v>38.590000000000003</v>
      </c>
      <c r="R294" s="963">
        <f t="shared" si="46"/>
        <v>54.86</v>
      </c>
      <c r="S294" s="972"/>
      <c r="T294" s="443"/>
      <c r="U294" s="952"/>
      <c r="Y294" s="953"/>
      <c r="Z294" s="954"/>
      <c r="AA294" s="953"/>
      <c r="AB294" s="954"/>
      <c r="AC294" s="955"/>
      <c r="AD294" s="954"/>
      <c r="AE294" s="956"/>
      <c r="AF294" s="956"/>
      <c r="AG294" s="956"/>
      <c r="AH294" s="954"/>
      <c r="AI294" s="954"/>
      <c r="AJ294" s="954"/>
      <c r="AK294" s="954"/>
      <c r="AL294" s="625"/>
    </row>
    <row r="295" spans="1:40" s="620" customFormat="1" ht="20.100000000000001" customHeight="1" x14ac:dyDescent="0.2">
      <c r="A295" s="759">
        <f t="shared" si="42"/>
        <v>251</v>
      </c>
      <c r="B295" s="957">
        <f>+NOMINA!C294</f>
        <v>27889180</v>
      </c>
      <c r="C295" s="958" t="str">
        <f>+NOMINA!D294</f>
        <v>Moreno Andreina del Valle</v>
      </c>
      <c r="D295" s="955" t="s">
        <v>4622</v>
      </c>
      <c r="E295" s="959">
        <v>32351</v>
      </c>
      <c r="F295" s="955" t="s">
        <v>4620</v>
      </c>
      <c r="G295" s="971">
        <f>+NOMINA!H294</f>
        <v>44393</v>
      </c>
      <c r="H295" s="961">
        <f t="shared" si="43"/>
        <v>1</v>
      </c>
      <c r="I295" s="962">
        <v>0</v>
      </c>
      <c r="J295" s="968">
        <f>+NOMINA!BL294</f>
        <v>0</v>
      </c>
      <c r="K295" s="968">
        <f>+NOMINA!BM294</f>
        <v>0</v>
      </c>
      <c r="L295" s="968">
        <f>+NOMINA!BN294</f>
        <v>0</v>
      </c>
      <c r="M295" s="963">
        <f t="shared" si="44"/>
        <v>0</v>
      </c>
      <c r="N295" s="968">
        <f>+NOMINA!BR294</f>
        <v>0</v>
      </c>
      <c r="O295" s="968">
        <f>+NOMINA!BS294</f>
        <v>0</v>
      </c>
      <c r="P295" s="968">
        <f>+NOMINA!BT294</f>
        <v>0</v>
      </c>
      <c r="Q295" s="963">
        <f t="shared" si="45"/>
        <v>0</v>
      </c>
      <c r="R295" s="963">
        <f t="shared" si="46"/>
        <v>0</v>
      </c>
      <c r="S295" s="972"/>
      <c r="T295" s="443"/>
      <c r="U295" s="952"/>
      <c r="Y295" s="953"/>
      <c r="Z295" s="954"/>
      <c r="AA295" s="953"/>
      <c r="AB295" s="954"/>
      <c r="AC295" s="955"/>
      <c r="AD295" s="954"/>
      <c r="AE295" s="956"/>
      <c r="AF295" s="956"/>
      <c r="AG295" s="956"/>
      <c r="AH295" s="954"/>
      <c r="AI295" s="954"/>
      <c r="AJ295" s="954"/>
      <c r="AK295" s="954"/>
      <c r="AL295" s="625"/>
    </row>
    <row r="296" spans="1:40" s="620" customFormat="1" ht="20.100000000000001" customHeight="1" x14ac:dyDescent="0.2">
      <c r="A296" s="759">
        <f t="shared" si="42"/>
        <v>252</v>
      </c>
      <c r="B296" s="957">
        <f>+NOMINA!C295</f>
        <v>28079765</v>
      </c>
      <c r="C296" s="958" t="str">
        <f>+NOMINA!D295</f>
        <v>Mendoza Cardozo Josue Vicensio</v>
      </c>
      <c r="D296" s="955" t="s">
        <v>4622</v>
      </c>
      <c r="E296" s="959">
        <v>32351</v>
      </c>
      <c r="F296" s="955" t="s">
        <v>4620</v>
      </c>
      <c r="G296" s="971">
        <f>+NOMINA!H295</f>
        <v>44348</v>
      </c>
      <c r="H296" s="961">
        <f t="shared" si="43"/>
        <v>1</v>
      </c>
      <c r="I296" s="962">
        <v>0</v>
      </c>
      <c r="J296" s="968">
        <f>+NOMINA!BL295</f>
        <v>19.809999999999999</v>
      </c>
      <c r="K296" s="968">
        <f>+NOMINA!BM295</f>
        <v>2.48</v>
      </c>
      <c r="L296" s="968">
        <f>+NOMINA!BN295</f>
        <v>4.29</v>
      </c>
      <c r="M296" s="963">
        <f t="shared" si="44"/>
        <v>26.58</v>
      </c>
      <c r="N296" s="968">
        <f>+NOMINA!BR295</f>
        <v>44.58</v>
      </c>
      <c r="O296" s="968">
        <f>+NOMINA!BS295</f>
        <v>9.91</v>
      </c>
      <c r="P296" s="968">
        <f>+NOMINA!BT295</f>
        <v>8.58</v>
      </c>
      <c r="Q296" s="963">
        <f t="shared" si="45"/>
        <v>63.07</v>
      </c>
      <c r="R296" s="963">
        <f t="shared" si="46"/>
        <v>89.65</v>
      </c>
      <c r="S296" s="972"/>
      <c r="T296" s="443"/>
      <c r="U296" s="952"/>
      <c r="Y296" s="953"/>
      <c r="Z296" s="954"/>
      <c r="AA296" s="953"/>
      <c r="AB296" s="954"/>
      <c r="AC296" s="955"/>
      <c r="AD296" s="954"/>
      <c r="AE296" s="956"/>
      <c r="AF296" s="956"/>
      <c r="AG296" s="956"/>
      <c r="AH296" s="954"/>
      <c r="AI296" s="954"/>
      <c r="AJ296" s="954"/>
      <c r="AK296" s="954"/>
      <c r="AL296" s="625"/>
    </row>
    <row r="297" spans="1:40" s="620" customFormat="1" ht="20.100000000000001" customHeight="1" x14ac:dyDescent="0.2">
      <c r="A297" s="759">
        <f t="shared" si="42"/>
        <v>253</v>
      </c>
      <c r="B297" s="957">
        <f>+NOMINA!C296</f>
        <v>28096003</v>
      </c>
      <c r="C297" s="958" t="str">
        <f>+NOMINA!D296</f>
        <v>Quintero Peña Maria Alejandra</v>
      </c>
      <c r="D297" s="955" t="s">
        <v>4622</v>
      </c>
      <c r="E297" s="959">
        <v>32351</v>
      </c>
      <c r="F297" s="955" t="s">
        <v>4620</v>
      </c>
      <c r="G297" s="971">
        <f>+NOMINA!H296</f>
        <v>44228</v>
      </c>
      <c r="H297" s="961">
        <f t="shared" si="43"/>
        <v>1</v>
      </c>
      <c r="I297" s="962">
        <v>0</v>
      </c>
      <c r="J297" s="968">
        <f>+NOMINA!BL296</f>
        <v>17.16</v>
      </c>
      <c r="K297" s="968">
        <f>+NOMINA!BM296</f>
        <v>2.15</v>
      </c>
      <c r="L297" s="968">
        <f>+NOMINA!BN296</f>
        <v>3.72</v>
      </c>
      <c r="M297" s="963">
        <f t="shared" si="44"/>
        <v>23.03</v>
      </c>
      <c r="N297" s="968">
        <f>+NOMINA!BR296</f>
        <v>38.61</v>
      </c>
      <c r="O297" s="968">
        <f>+NOMINA!BS296</f>
        <v>8.58</v>
      </c>
      <c r="P297" s="968">
        <f>+NOMINA!BT296</f>
        <v>7.44</v>
      </c>
      <c r="Q297" s="963">
        <f t="shared" si="45"/>
        <v>54.63</v>
      </c>
      <c r="R297" s="963">
        <f t="shared" si="46"/>
        <v>77.66</v>
      </c>
      <c r="S297" s="972"/>
      <c r="T297" s="443"/>
      <c r="U297" s="952"/>
      <c r="Y297" s="953"/>
      <c r="Z297" s="954"/>
      <c r="AA297" s="953"/>
      <c r="AB297" s="954"/>
      <c r="AC297" s="955"/>
      <c r="AD297" s="954"/>
      <c r="AE297" s="956"/>
      <c r="AF297" s="956"/>
      <c r="AG297" s="956"/>
      <c r="AH297" s="954"/>
      <c r="AI297" s="954"/>
      <c r="AJ297" s="954"/>
      <c r="AK297" s="954"/>
      <c r="AL297" s="625"/>
    </row>
    <row r="298" spans="1:40" s="620" customFormat="1" ht="20.100000000000001" customHeight="1" x14ac:dyDescent="0.2">
      <c r="A298" s="759">
        <f t="shared" si="42"/>
        <v>254</v>
      </c>
      <c r="B298" s="957">
        <f>+NOMINA!C297</f>
        <v>28096576</v>
      </c>
      <c r="C298" s="958" t="str">
        <f>+NOMINA!D297</f>
        <v>Gutierrez Betania Belsally</v>
      </c>
      <c r="D298" s="955" t="s">
        <v>4622</v>
      </c>
      <c r="E298" s="959">
        <v>32351</v>
      </c>
      <c r="F298" s="955" t="s">
        <v>4620</v>
      </c>
      <c r="G298" s="971">
        <f>+NOMINA!H297</f>
        <v>45017</v>
      </c>
      <c r="H298" s="961">
        <f t="shared" si="43"/>
        <v>0</v>
      </c>
      <c r="I298" s="962">
        <v>0</v>
      </c>
      <c r="J298" s="968">
        <f>+NOMINA!BL297</f>
        <v>13.27</v>
      </c>
      <c r="K298" s="968">
        <f>+NOMINA!BM297</f>
        <v>1.66</v>
      </c>
      <c r="L298" s="968">
        <f>+NOMINA!BN297</f>
        <v>2.88</v>
      </c>
      <c r="M298" s="963">
        <f t="shared" si="44"/>
        <v>17.809999999999999</v>
      </c>
      <c r="N298" s="968">
        <f>+NOMINA!BR297</f>
        <v>29.87</v>
      </c>
      <c r="O298" s="968">
        <f>+NOMINA!BS297</f>
        <v>6.64</v>
      </c>
      <c r="P298" s="968">
        <f>+NOMINA!BT297</f>
        <v>5.76</v>
      </c>
      <c r="Q298" s="963">
        <f t="shared" si="45"/>
        <v>42.27</v>
      </c>
      <c r="R298" s="963">
        <f t="shared" si="46"/>
        <v>60.08</v>
      </c>
      <c r="S298" s="972"/>
      <c r="T298" s="443"/>
      <c r="U298" s="952"/>
      <c r="Y298" s="953"/>
      <c r="Z298" s="954"/>
      <c r="AA298" s="953"/>
      <c r="AB298" s="954"/>
      <c r="AC298" s="955"/>
      <c r="AD298" s="954"/>
      <c r="AE298" s="956"/>
      <c r="AF298" s="956"/>
      <c r="AG298" s="956"/>
      <c r="AH298" s="954"/>
      <c r="AI298" s="954"/>
      <c r="AJ298" s="954"/>
      <c r="AK298" s="954"/>
      <c r="AL298" s="625"/>
    </row>
    <row r="299" spans="1:40" s="620" customFormat="1" ht="20.100000000000001" customHeight="1" x14ac:dyDescent="0.2">
      <c r="A299" s="759">
        <f t="shared" si="42"/>
        <v>255</v>
      </c>
      <c r="B299" s="957">
        <f>+NOMINA!C298</f>
        <v>28445465</v>
      </c>
      <c r="C299" s="958" t="str">
        <f>+NOMINA!D298</f>
        <v>Castillo Carrizo Katherine Cecilia</v>
      </c>
      <c r="D299" s="955" t="s">
        <v>4622</v>
      </c>
      <c r="E299" s="959">
        <v>32351</v>
      </c>
      <c r="F299" s="955" t="s">
        <v>4620</v>
      </c>
      <c r="G299" s="971">
        <f>+NOMINA!H298</f>
        <v>43770</v>
      </c>
      <c r="H299" s="961">
        <f t="shared" si="43"/>
        <v>3</v>
      </c>
      <c r="I299" s="962">
        <v>0</v>
      </c>
      <c r="J299" s="968">
        <f>+NOMINA!BL298</f>
        <v>13.27</v>
      </c>
      <c r="K299" s="968">
        <f>+NOMINA!BM298</f>
        <v>1.66</v>
      </c>
      <c r="L299" s="968">
        <f>+NOMINA!BN298</f>
        <v>2.88</v>
      </c>
      <c r="M299" s="963">
        <f t="shared" si="44"/>
        <v>17.809999999999999</v>
      </c>
      <c r="N299" s="968">
        <f>+NOMINA!BR298</f>
        <v>29.86</v>
      </c>
      <c r="O299" s="968">
        <f>+NOMINA!BS298</f>
        <v>6.63</v>
      </c>
      <c r="P299" s="968">
        <f>+NOMINA!BT298</f>
        <v>5.76</v>
      </c>
      <c r="Q299" s="963">
        <f t="shared" si="45"/>
        <v>42.25</v>
      </c>
      <c r="R299" s="963">
        <f t="shared" si="46"/>
        <v>60.06</v>
      </c>
      <c r="S299" s="972"/>
      <c r="T299" s="443"/>
      <c r="U299" s="952"/>
      <c r="Y299" s="953"/>
      <c r="Z299" s="954"/>
      <c r="AA299" s="953"/>
      <c r="AB299" s="954"/>
      <c r="AC299" s="955"/>
      <c r="AD299" s="954"/>
      <c r="AE299" s="956"/>
      <c r="AF299" s="956"/>
      <c r="AG299" s="956"/>
      <c r="AH299" s="954"/>
      <c r="AI299" s="954"/>
      <c r="AJ299" s="954"/>
      <c r="AK299" s="954"/>
      <c r="AL299" s="625"/>
    </row>
    <row r="300" spans="1:40" s="620" customFormat="1" ht="20.100000000000001" customHeight="1" x14ac:dyDescent="0.2">
      <c r="A300" s="759">
        <f t="shared" si="42"/>
        <v>256</v>
      </c>
      <c r="B300" s="957">
        <f>+NOMINA!C299</f>
        <v>29539827</v>
      </c>
      <c r="C300" s="958" t="str">
        <f>+NOMINA!D299</f>
        <v>Rivero Fajardo Nohely Gabriela</v>
      </c>
      <c r="D300" s="955" t="s">
        <v>4622</v>
      </c>
      <c r="E300" s="959">
        <v>32351</v>
      </c>
      <c r="F300" s="955" t="s">
        <v>4620</v>
      </c>
      <c r="G300" s="971">
        <f>+NOMINA!H299</f>
        <v>45901</v>
      </c>
      <c r="H300" s="961">
        <f t="shared" si="43"/>
        <v>0</v>
      </c>
      <c r="I300" s="962">
        <v>0</v>
      </c>
      <c r="J300" s="968">
        <f>+NOMINA!BL299</f>
        <v>21.69</v>
      </c>
      <c r="K300" s="968">
        <f>+NOMINA!BM299</f>
        <v>2.71</v>
      </c>
      <c r="L300" s="968">
        <f>+NOMINA!BN299</f>
        <v>4.7</v>
      </c>
      <c r="M300" s="963">
        <f t="shared" si="44"/>
        <v>29.1</v>
      </c>
      <c r="N300" s="968">
        <f>+NOMINA!BR299</f>
        <v>48.81</v>
      </c>
      <c r="O300" s="968">
        <f>+NOMINA!BS299</f>
        <v>10.85</v>
      </c>
      <c r="P300" s="968">
        <f>+NOMINA!BT299</f>
        <v>9.4</v>
      </c>
      <c r="Q300" s="963">
        <f t="shared" si="45"/>
        <v>69.06</v>
      </c>
      <c r="R300" s="963">
        <f t="shared" si="46"/>
        <v>98.16</v>
      </c>
      <c r="S300" s="972"/>
      <c r="T300" s="443"/>
      <c r="U300" s="952"/>
      <c r="Y300" s="953"/>
      <c r="Z300" s="954"/>
      <c r="AA300" s="953"/>
      <c r="AB300" s="954"/>
      <c r="AC300" s="955"/>
      <c r="AD300" s="954"/>
      <c r="AE300" s="956"/>
      <c r="AF300" s="956"/>
      <c r="AG300" s="956"/>
      <c r="AH300" s="954"/>
      <c r="AI300" s="954"/>
      <c r="AJ300" s="954"/>
      <c r="AK300" s="954"/>
      <c r="AL300" s="625"/>
    </row>
    <row r="301" spans="1:40" s="620" customFormat="1" ht="20.100000000000001" customHeight="1" x14ac:dyDescent="0.2">
      <c r="A301" s="759">
        <f t="shared" si="42"/>
        <v>257</v>
      </c>
      <c r="B301" s="957">
        <f>+NOMINA!C300</f>
        <v>29585477</v>
      </c>
      <c r="C301" s="958" t="str">
        <f>+NOMINA!D300</f>
        <v>Gil Ruiz Marianyeli Sarait</v>
      </c>
      <c r="D301" s="955" t="s">
        <v>4622</v>
      </c>
      <c r="E301" s="959">
        <v>32351</v>
      </c>
      <c r="F301" s="955" t="s">
        <v>4620</v>
      </c>
      <c r="G301" s="971">
        <f>+NOMINA!H300</f>
        <v>43512</v>
      </c>
      <c r="H301" s="961">
        <f t="shared" si="43"/>
        <v>3</v>
      </c>
      <c r="I301" s="962">
        <v>0</v>
      </c>
      <c r="J301" s="968">
        <f>+NOMINA!BL300</f>
        <v>14.91</v>
      </c>
      <c r="K301" s="968">
        <f>+NOMINA!BM300</f>
        <v>1.86</v>
      </c>
      <c r="L301" s="968">
        <f>+NOMINA!BN300</f>
        <v>3.23</v>
      </c>
      <c r="M301" s="963">
        <f t="shared" si="44"/>
        <v>20</v>
      </c>
      <c r="N301" s="968">
        <f>+NOMINA!BR300</f>
        <v>33.549999999999997</v>
      </c>
      <c r="O301" s="968">
        <f>+NOMINA!BS300</f>
        <v>7.45</v>
      </c>
      <c r="P301" s="968">
        <f>+NOMINA!BT300</f>
        <v>6.46</v>
      </c>
      <c r="Q301" s="963">
        <f t="shared" si="45"/>
        <v>47.46</v>
      </c>
      <c r="R301" s="963">
        <f t="shared" si="46"/>
        <v>67.460000000000008</v>
      </c>
      <c r="S301" s="972"/>
      <c r="T301" s="443"/>
      <c r="U301" s="952"/>
      <c r="Y301" s="953"/>
      <c r="Z301" s="954"/>
      <c r="AA301" s="953"/>
      <c r="AB301" s="954"/>
      <c r="AC301" s="955"/>
      <c r="AD301" s="954"/>
      <c r="AE301" s="956"/>
      <c r="AF301" s="956"/>
      <c r="AG301" s="956"/>
      <c r="AH301" s="954"/>
      <c r="AI301" s="954"/>
      <c r="AJ301" s="954"/>
      <c r="AK301" s="954"/>
      <c r="AL301" s="625"/>
    </row>
    <row r="302" spans="1:40" s="620" customFormat="1" ht="20.100000000000001" customHeight="1" x14ac:dyDescent="0.2">
      <c r="A302" s="759">
        <f t="shared" ref="A302:A303" si="47">A301+1</f>
        <v>258</v>
      </c>
      <c r="B302" s="957">
        <f>+NOMINA!C301</f>
        <v>30190238</v>
      </c>
      <c r="C302" s="958" t="str">
        <f>+NOMINA!D301</f>
        <v>Mendoza Osuna Zaida Liseth</v>
      </c>
      <c r="D302" s="955" t="s">
        <v>4622</v>
      </c>
      <c r="E302" s="959">
        <v>32351</v>
      </c>
      <c r="F302" s="955" t="s">
        <v>4620</v>
      </c>
      <c r="G302" s="971">
        <f>+NOMINA!H301</f>
        <v>45200</v>
      </c>
      <c r="H302" s="961">
        <f t="shared" ref="H302:H303" si="48">IF(AND(YEAR(G302)&lt;2023,MONTH(G302)&gt;$N$8),2023-YEAR(G302)-1,IF(OR(G302="",YEAR(G302)&gt;2023),0,2023-YEAR(G302)))</f>
        <v>0</v>
      </c>
      <c r="I302" s="962">
        <v>0</v>
      </c>
      <c r="J302" s="968">
        <f>+NOMINA!BL301</f>
        <v>15.68</v>
      </c>
      <c r="K302" s="968">
        <f>+NOMINA!BM301</f>
        <v>1.96</v>
      </c>
      <c r="L302" s="968">
        <f>+NOMINA!BN301</f>
        <v>3.4</v>
      </c>
      <c r="M302" s="963">
        <f t="shared" ref="M302:M303" si="49">ROUND(SUM(J302:L302),2)</f>
        <v>21.04</v>
      </c>
      <c r="N302" s="968">
        <f>+NOMINA!BR301</f>
        <v>35.28</v>
      </c>
      <c r="O302" s="968">
        <f>+NOMINA!BS301</f>
        <v>7.84</v>
      </c>
      <c r="P302" s="968">
        <f>+NOMINA!BT301</f>
        <v>6.8</v>
      </c>
      <c r="Q302" s="963">
        <f t="shared" ref="Q302:Q303" si="50">ROUND(SUM(N302:P302),2)</f>
        <v>49.92</v>
      </c>
      <c r="R302" s="963">
        <f t="shared" ref="R302:R303" si="51">M302+Q302</f>
        <v>70.960000000000008</v>
      </c>
      <c r="S302" s="972"/>
      <c r="T302" s="443"/>
      <c r="U302" s="952"/>
      <c r="Y302" s="953"/>
      <c r="Z302" s="954"/>
      <c r="AA302" s="953"/>
      <c r="AB302" s="954"/>
      <c r="AC302" s="955"/>
      <c r="AD302" s="954"/>
      <c r="AE302" s="956"/>
      <c r="AF302" s="956"/>
      <c r="AG302" s="956"/>
      <c r="AH302" s="954"/>
      <c r="AI302" s="954"/>
      <c r="AJ302" s="954"/>
      <c r="AK302" s="954"/>
      <c r="AL302" s="625"/>
    </row>
    <row r="303" spans="1:40" s="620" customFormat="1" ht="20.100000000000001" customHeight="1" thickBot="1" x14ac:dyDescent="0.25">
      <c r="A303" s="759">
        <f t="shared" si="47"/>
        <v>259</v>
      </c>
      <c r="B303" s="957">
        <f>+NOMINA!C302</f>
        <v>30438508</v>
      </c>
      <c r="C303" s="958" t="str">
        <f>+NOMINA!D302</f>
        <v>Teran Araujo Marihangeli Nicoll</v>
      </c>
      <c r="D303" s="955" t="s">
        <v>4622</v>
      </c>
      <c r="E303" s="959">
        <v>32351</v>
      </c>
      <c r="F303" s="955" t="s">
        <v>4620</v>
      </c>
      <c r="G303" s="971">
        <f>+NOMINA!H302</f>
        <v>45200</v>
      </c>
      <c r="H303" s="961">
        <f t="shared" si="48"/>
        <v>0</v>
      </c>
      <c r="I303" s="962">
        <v>0</v>
      </c>
      <c r="J303" s="968">
        <f>+NOMINA!BL302</f>
        <v>13.27</v>
      </c>
      <c r="K303" s="968">
        <f>+NOMINA!BM302</f>
        <v>1.66</v>
      </c>
      <c r="L303" s="968">
        <f>+NOMINA!BN302</f>
        <v>2.88</v>
      </c>
      <c r="M303" s="963">
        <f t="shared" si="49"/>
        <v>17.809999999999999</v>
      </c>
      <c r="N303" s="968">
        <f>+NOMINA!BR302</f>
        <v>29.86</v>
      </c>
      <c r="O303" s="968">
        <f>+NOMINA!BS302</f>
        <v>6.63</v>
      </c>
      <c r="P303" s="968">
        <f>+NOMINA!BT302</f>
        <v>5.76</v>
      </c>
      <c r="Q303" s="963">
        <f t="shared" si="50"/>
        <v>42.25</v>
      </c>
      <c r="R303" s="963">
        <f t="shared" si="51"/>
        <v>60.06</v>
      </c>
      <c r="S303" s="972">
        <v>0</v>
      </c>
      <c r="T303" s="443" t="e">
        <f>#REF!+#REF!-M303</f>
        <v>#REF!</v>
      </c>
      <c r="U303" s="952" t="e">
        <f>ROUND((#REF!+#REF!+#REF!+#REF!+#REF!+#REF!+#REF!+#REF!+#REF!),2)</f>
        <v>#REF!</v>
      </c>
      <c r="Y303" s="953" t="e">
        <f>#REF!+#REF!-M303</f>
        <v>#REF!</v>
      </c>
      <c r="Z303" s="954" t="e">
        <f>#REF!</f>
        <v>#REF!</v>
      </c>
      <c r="AA303" s="953" t="e">
        <f>#REF!+#REF!</f>
        <v>#REF!</v>
      </c>
      <c r="AB303" s="954" t="e">
        <f>#REF!</f>
        <v>#REF!</v>
      </c>
      <c r="AC303" s="955">
        <v>0</v>
      </c>
      <c r="AD303" s="954" t="e">
        <f>#REF!</f>
        <v>#REF!</v>
      </c>
      <c r="AE303" s="956" t="e">
        <f>#REF!+#REF!</f>
        <v>#REF!</v>
      </c>
      <c r="AF303" s="956" t="e">
        <f>#REF!+#REF!</f>
        <v>#REF!</v>
      </c>
      <c r="AG303" s="956"/>
      <c r="AH303" s="954" t="e">
        <f>#REF!</f>
        <v>#REF!</v>
      </c>
      <c r="AI303" s="954" t="e">
        <f t="shared" si="39"/>
        <v>#REF!</v>
      </c>
      <c r="AJ303" s="954">
        <f t="shared" si="40"/>
        <v>60.06</v>
      </c>
      <c r="AK303" s="954">
        <f t="shared" si="41"/>
        <v>0</v>
      </c>
      <c r="AL303" s="625"/>
    </row>
    <row r="304" spans="1:40" s="620" customFormat="1" ht="18.95" customHeight="1" thickBot="1" x14ac:dyDescent="0.3">
      <c r="A304" s="667"/>
      <c r="B304" s="1085" t="s">
        <v>4562</v>
      </c>
      <c r="C304" s="1065"/>
      <c r="D304" s="1065"/>
      <c r="E304" s="1065"/>
      <c r="F304" s="1065"/>
      <c r="G304" s="1065"/>
      <c r="H304" s="1065"/>
      <c r="I304" s="1068"/>
      <c r="J304" s="685">
        <f t="shared" ref="J304:U304" si="52">SUM(J45:J303)</f>
        <v>5302.9300000000021</v>
      </c>
      <c r="K304" s="685">
        <f t="shared" si="52"/>
        <v>662.94000000000028</v>
      </c>
      <c r="L304" s="685">
        <f t="shared" si="52"/>
        <v>1158.8700000000013</v>
      </c>
      <c r="M304" s="685">
        <f t="shared" si="52"/>
        <v>7124.7399999999943</v>
      </c>
      <c r="N304" s="685">
        <f t="shared" si="52"/>
        <v>11931.490000000003</v>
      </c>
      <c r="O304" s="685">
        <f t="shared" si="52"/>
        <v>2651.4500000000016</v>
      </c>
      <c r="P304" s="685">
        <f t="shared" si="52"/>
        <v>2317.7400000000025</v>
      </c>
      <c r="Q304" s="685">
        <f t="shared" si="52"/>
        <v>16900.680000000011</v>
      </c>
      <c r="R304" s="685">
        <f t="shared" si="52"/>
        <v>24025.420000000013</v>
      </c>
      <c r="S304" s="685">
        <f t="shared" si="52"/>
        <v>0</v>
      </c>
      <c r="T304" s="686" t="e">
        <f t="shared" si="52"/>
        <v>#REF!</v>
      </c>
      <c r="U304" s="687" t="e">
        <f t="shared" si="52"/>
        <v>#REF!</v>
      </c>
      <c r="V304" s="688"/>
      <c r="W304" s="688"/>
      <c r="X304" s="688"/>
      <c r="Y304" s="953" t="e">
        <f t="shared" ref="Y304:AF304" si="53">SUM(Y45:Y303)</f>
        <v>#REF!</v>
      </c>
      <c r="Z304" s="954" t="e">
        <f t="shared" si="53"/>
        <v>#REF!</v>
      </c>
      <c r="AA304" s="953" t="e">
        <f t="shared" si="53"/>
        <v>#REF!</v>
      </c>
      <c r="AB304" s="953" t="e">
        <f t="shared" si="53"/>
        <v>#REF!</v>
      </c>
      <c r="AC304" s="953">
        <f t="shared" si="53"/>
        <v>0</v>
      </c>
      <c r="AD304" s="953" t="e">
        <f t="shared" si="53"/>
        <v>#REF!</v>
      </c>
      <c r="AE304" s="953" t="e">
        <f t="shared" si="53"/>
        <v>#REF!</v>
      </c>
      <c r="AF304" s="953" t="e">
        <f t="shared" si="53"/>
        <v>#REF!</v>
      </c>
      <c r="AG304" s="953"/>
      <c r="AH304" s="953" t="e">
        <f>SUM(AH45:AH303)</f>
        <v>#REF!</v>
      </c>
      <c r="AI304" s="953" t="e">
        <f>SUM(AI45:AI303)</f>
        <v>#REF!</v>
      </c>
      <c r="AJ304" s="953">
        <f>SUM(AJ45:AJ303)</f>
        <v>22219.880000000012</v>
      </c>
      <c r="AK304" s="953">
        <f>SUM(AK45:AK303)</f>
        <v>0</v>
      </c>
      <c r="AL304" s="625"/>
      <c r="AM304" s="625" t="e">
        <f>+NOMINA!#REF!</f>
        <v>#REF!</v>
      </c>
      <c r="AN304" s="625" t="e">
        <f>+R304-AM304</f>
        <v>#REF!</v>
      </c>
    </row>
    <row r="305" spans="1:40" s="620" customFormat="1" ht="18.95" customHeight="1" thickBot="1" x14ac:dyDescent="0.3">
      <c r="A305" s="1075"/>
      <c r="B305" s="691"/>
      <c r="C305" s="691"/>
      <c r="D305" s="691"/>
      <c r="E305" s="691"/>
      <c r="F305" s="691"/>
      <c r="G305" s="691"/>
      <c r="H305" s="691"/>
      <c r="I305" s="691"/>
      <c r="J305" s="787"/>
      <c r="K305" s="787"/>
      <c r="L305" s="787"/>
      <c r="M305" s="787"/>
      <c r="N305" s="787"/>
      <c r="O305" s="787"/>
      <c r="P305" s="787"/>
      <c r="Q305" s="787"/>
      <c r="R305" s="787"/>
      <c r="S305" s="787"/>
      <c r="T305" s="787"/>
      <c r="U305" s="787"/>
      <c r="V305" s="688"/>
      <c r="W305" s="688"/>
      <c r="X305" s="688"/>
      <c r="Y305" s="1076"/>
      <c r="Z305" s="1077"/>
      <c r="AA305" s="1078"/>
      <c r="AB305" s="1078"/>
      <c r="AC305" s="1078"/>
      <c r="AD305" s="1078"/>
      <c r="AE305" s="1078"/>
      <c r="AF305" s="1078"/>
      <c r="AG305" s="1078"/>
      <c r="AH305" s="1078"/>
      <c r="AI305" s="1078"/>
      <c r="AJ305" s="1078"/>
      <c r="AK305" s="1078"/>
      <c r="AL305" s="625"/>
      <c r="AM305" s="625"/>
      <c r="AN305" s="625"/>
    </row>
    <row r="306" spans="1:40" s="698" customFormat="1" ht="18.95" customHeight="1" x14ac:dyDescent="0.25">
      <c r="A306" s="656" t="str">
        <f>+"OBREROS_FIJOS_"&amp;NOMINA!F9&amp;"_"&amp;NOMINA!H9</f>
        <v>OBREROS_FIJOS_SEPTIEMBRE_2025</v>
      </c>
      <c r="B306" s="690"/>
      <c r="C306" s="691"/>
      <c r="D306" s="692"/>
      <c r="E306" s="691"/>
      <c r="F306" s="693"/>
      <c r="G306" s="833"/>
      <c r="H306" s="695"/>
      <c r="I306" s="695"/>
      <c r="J306" s="811"/>
      <c r="K306" s="811"/>
      <c r="L306" s="811"/>
      <c r="M306" s="811"/>
      <c r="N306" s="696"/>
      <c r="O306" s="696"/>
      <c r="P306" s="696"/>
      <c r="Q306" s="696"/>
      <c r="R306" s="696"/>
      <c r="S306" s="696"/>
      <c r="T306" s="697"/>
      <c r="U306" s="697"/>
      <c r="V306" s="697"/>
      <c r="W306" s="697"/>
      <c r="X306" s="697"/>
      <c r="Y306" s="953"/>
      <c r="Z306" s="697"/>
      <c r="AA306" s="697"/>
      <c r="AB306" s="697"/>
      <c r="AC306" s="697"/>
      <c r="AD306" s="697"/>
      <c r="AE306" s="697"/>
      <c r="AF306" s="697" t="e">
        <f>AE304+AF304</f>
        <v>#REF!</v>
      </c>
      <c r="AG306" s="697"/>
      <c r="AH306" s="697"/>
      <c r="AI306" s="697"/>
      <c r="AJ306" s="697"/>
      <c r="AK306" s="697"/>
      <c r="AL306" s="697"/>
      <c r="AN306" s="697"/>
    </row>
    <row r="307" spans="1:40" s="620" customFormat="1" ht="20.100000000000001" customHeight="1" x14ac:dyDescent="0.2">
      <c r="A307" s="759">
        <v>1</v>
      </c>
      <c r="B307" s="957">
        <f>+NOMINA!C305</f>
        <v>5505183</v>
      </c>
      <c r="C307" s="958" t="str">
        <f>+NOMINA!D305</f>
        <v>Paredes Marquez Eduardo Jesus</v>
      </c>
      <c r="D307" s="955" t="s">
        <v>4622</v>
      </c>
      <c r="E307" s="959">
        <v>32351</v>
      </c>
      <c r="F307" s="955" t="s">
        <v>4620</v>
      </c>
      <c r="G307" s="971">
        <f>+NOMINA!H305</f>
        <v>44562</v>
      </c>
      <c r="H307" s="961">
        <f>IF(AND(YEAR(G307)&lt;2023,MONTH(G307)&gt;$N$8),2023-YEAR(G307)-1,IF(OR(G307="",YEAR(G307)&gt;2023),0,2023-YEAR(G307)))</f>
        <v>0</v>
      </c>
      <c r="I307" s="962">
        <v>0</v>
      </c>
      <c r="J307" s="968">
        <f>+NOMINA!BL305</f>
        <v>13.98</v>
      </c>
      <c r="K307" s="968">
        <f>+NOMINA!BM305</f>
        <v>1.75</v>
      </c>
      <c r="L307" s="968">
        <f>+NOMINA!BN305</f>
        <v>3.03</v>
      </c>
      <c r="M307" s="963">
        <f>ROUND(SUM(J307:L307),2)</f>
        <v>18.760000000000002</v>
      </c>
      <c r="N307" s="968">
        <f>+NOMINA!BR305</f>
        <v>31.46</v>
      </c>
      <c r="O307" s="968">
        <f>+NOMINA!BS305</f>
        <v>6.99</v>
      </c>
      <c r="P307" s="968">
        <f>+NOMINA!BT305</f>
        <v>6.06</v>
      </c>
      <c r="Q307" s="963">
        <f t="shared" ref="Q307" si="54">ROUND(SUM(N307:P307),2)</f>
        <v>44.51</v>
      </c>
      <c r="R307" s="963">
        <f t="shared" ref="R307" si="55">M307+Q307</f>
        <v>63.269999999999996</v>
      </c>
      <c r="S307" s="972">
        <v>0</v>
      </c>
      <c r="T307" s="443" t="e">
        <f>#REF!+#REF!-M307</f>
        <v>#REF!</v>
      </c>
      <c r="U307" s="952" t="e">
        <f>ROUND((#REF!+#REF!+#REF!+#REF!+#REF!+#REF!+#REF!+#REF!+#REF!),2)</f>
        <v>#REF!</v>
      </c>
      <c r="Y307" s="953" t="e">
        <f>#REF!+#REF!-M307</f>
        <v>#REF!</v>
      </c>
      <c r="Z307" s="954" t="e">
        <f>#REF!</f>
        <v>#REF!</v>
      </c>
      <c r="AA307" s="953" t="e">
        <f>#REF!+#REF!</f>
        <v>#REF!</v>
      </c>
      <c r="AB307" s="954" t="e">
        <f>#REF!</f>
        <v>#REF!</v>
      </c>
      <c r="AC307" s="955">
        <v>0</v>
      </c>
      <c r="AD307" s="954" t="e">
        <f>#REF!</f>
        <v>#REF!</v>
      </c>
      <c r="AE307" s="956" t="e">
        <f>#REF!+#REF!</f>
        <v>#REF!</v>
      </c>
      <c r="AF307" s="956" t="e">
        <f>#REF!+#REF!</f>
        <v>#REF!</v>
      </c>
      <c r="AG307" s="956"/>
      <c r="AH307" s="954" t="e">
        <f>#REF!</f>
        <v>#REF!</v>
      </c>
      <c r="AI307" s="954" t="e">
        <f t="shared" ref="AI307:AI366" si="56">SUM(AA307:AH307)</f>
        <v>#REF!</v>
      </c>
      <c r="AJ307" s="954">
        <f t="shared" ref="AJ307:AJ370" si="57">M307+Q307</f>
        <v>63.269999999999996</v>
      </c>
      <c r="AK307" s="954">
        <f t="shared" ref="AK307:AK370" si="58">S307</f>
        <v>0</v>
      </c>
      <c r="AL307" s="625"/>
    </row>
    <row r="308" spans="1:40" s="620" customFormat="1" ht="20.100000000000001" customHeight="1" x14ac:dyDescent="0.2">
      <c r="A308" s="759">
        <f t="shared" ref="A308:A371" si="59">A307+1</f>
        <v>2</v>
      </c>
      <c r="B308" s="957">
        <f>+NOMINA!C306</f>
        <v>5757455</v>
      </c>
      <c r="C308" s="958" t="str">
        <f>+NOMINA!D306</f>
        <v>Ramirez Garcia Maria Perpetua</v>
      </c>
      <c r="D308" s="955" t="s">
        <v>4622</v>
      </c>
      <c r="E308" s="959">
        <v>32351</v>
      </c>
      <c r="F308" s="955" t="s">
        <v>4620</v>
      </c>
      <c r="G308" s="971">
        <f>+NOMINA!H306</f>
        <v>39409</v>
      </c>
      <c r="H308" s="961">
        <f t="shared" ref="H308:H371" si="60">IF(AND(YEAR(G308)&lt;2023,MONTH(G308)&gt;$N$8),2023-YEAR(G308)-1,IF(OR(G308="",YEAR(G308)&gt;2023),0,2023-YEAR(G308)))</f>
        <v>15</v>
      </c>
      <c r="I308" s="962">
        <v>0</v>
      </c>
      <c r="J308" s="968">
        <f>+NOMINA!BL306</f>
        <v>0</v>
      </c>
      <c r="K308" s="968">
        <f>+NOMINA!BM306</f>
        <v>0</v>
      </c>
      <c r="L308" s="968">
        <f>+NOMINA!BN306</f>
        <v>3.37</v>
      </c>
      <c r="M308" s="963">
        <f t="shared" ref="M308:M371" si="61">ROUND(SUM(J308:L308),2)</f>
        <v>3.37</v>
      </c>
      <c r="N308" s="968">
        <f>+NOMINA!BR306</f>
        <v>0</v>
      </c>
      <c r="O308" s="968">
        <f>+NOMINA!BS306</f>
        <v>0</v>
      </c>
      <c r="P308" s="968">
        <f>+NOMINA!BT306</f>
        <v>6.74</v>
      </c>
      <c r="Q308" s="963">
        <f t="shared" ref="Q308:Q371" si="62">ROUND(SUM(N308:P308),2)</f>
        <v>6.74</v>
      </c>
      <c r="R308" s="963">
        <f t="shared" ref="R308:R371" si="63">M308+Q308</f>
        <v>10.11</v>
      </c>
      <c r="S308" s="972">
        <v>0</v>
      </c>
      <c r="T308" s="443" t="e">
        <f>#REF!+#REF!-M308</f>
        <v>#REF!</v>
      </c>
      <c r="U308" s="952" t="e">
        <f>ROUND((#REF!+#REF!+#REF!+#REF!+#REF!+#REF!+#REF!+#REF!+#REF!),2)</f>
        <v>#REF!</v>
      </c>
      <c r="Y308" s="953" t="e">
        <f>#REF!+#REF!-M308</f>
        <v>#REF!</v>
      </c>
      <c r="Z308" s="954" t="e">
        <f>#REF!</f>
        <v>#REF!</v>
      </c>
      <c r="AA308" s="953" t="e">
        <f>#REF!+#REF!</f>
        <v>#REF!</v>
      </c>
      <c r="AB308" s="954" t="e">
        <f>#REF!</f>
        <v>#REF!</v>
      </c>
      <c r="AC308" s="955">
        <v>0</v>
      </c>
      <c r="AD308" s="954" t="e">
        <f>#REF!</f>
        <v>#REF!</v>
      </c>
      <c r="AE308" s="956" t="e">
        <f>#REF!+#REF!</f>
        <v>#REF!</v>
      </c>
      <c r="AF308" s="956" t="e">
        <f>#REF!+#REF!</f>
        <v>#REF!</v>
      </c>
      <c r="AG308" s="956"/>
      <c r="AH308" s="954" t="e">
        <f>#REF!</f>
        <v>#REF!</v>
      </c>
      <c r="AI308" s="954" t="e">
        <f t="shared" si="56"/>
        <v>#REF!</v>
      </c>
      <c r="AJ308" s="954">
        <f t="shared" si="57"/>
        <v>10.11</v>
      </c>
      <c r="AK308" s="954">
        <f t="shared" si="58"/>
        <v>0</v>
      </c>
      <c r="AL308" s="625"/>
    </row>
    <row r="309" spans="1:40" s="620" customFormat="1" ht="20.100000000000001" customHeight="1" x14ac:dyDescent="0.2">
      <c r="A309" s="759">
        <f t="shared" si="59"/>
        <v>3</v>
      </c>
      <c r="B309" s="957">
        <f>+NOMINA!C307</f>
        <v>5762185</v>
      </c>
      <c r="C309" s="958" t="str">
        <f>+NOMINA!D307</f>
        <v>Salas Quintero Jose Gregorio</v>
      </c>
      <c r="D309" s="955" t="s">
        <v>4622</v>
      </c>
      <c r="E309" s="959">
        <v>32351</v>
      </c>
      <c r="F309" s="955" t="s">
        <v>4620</v>
      </c>
      <c r="G309" s="971">
        <f>+NOMINA!H307</f>
        <v>37622</v>
      </c>
      <c r="H309" s="961">
        <f t="shared" si="60"/>
        <v>19</v>
      </c>
      <c r="I309" s="962">
        <v>0</v>
      </c>
      <c r="J309" s="968">
        <f>+NOMINA!BL307</f>
        <v>16.23</v>
      </c>
      <c r="K309" s="968">
        <f>+NOMINA!BM307</f>
        <v>2.0299999999999998</v>
      </c>
      <c r="L309" s="968">
        <f>+NOMINA!BN307</f>
        <v>3.52</v>
      </c>
      <c r="M309" s="963">
        <f t="shared" si="61"/>
        <v>21.78</v>
      </c>
      <c r="N309" s="968">
        <f>+NOMINA!BR307</f>
        <v>36.51</v>
      </c>
      <c r="O309" s="968">
        <f>+NOMINA!BS307</f>
        <v>8.11</v>
      </c>
      <c r="P309" s="968">
        <f>+NOMINA!BT307</f>
        <v>7.04</v>
      </c>
      <c r="Q309" s="963">
        <f t="shared" si="62"/>
        <v>51.66</v>
      </c>
      <c r="R309" s="963">
        <f t="shared" si="63"/>
        <v>73.44</v>
      </c>
      <c r="S309" s="972">
        <v>0</v>
      </c>
      <c r="T309" s="443" t="e">
        <f>#REF!+#REF!-M309</f>
        <v>#REF!</v>
      </c>
      <c r="U309" s="952" t="e">
        <f>ROUND((#REF!+#REF!+#REF!+#REF!+#REF!+#REF!+#REF!+#REF!+#REF!),2)</f>
        <v>#REF!</v>
      </c>
      <c r="Y309" s="953" t="e">
        <f>#REF!+#REF!-M309</f>
        <v>#REF!</v>
      </c>
      <c r="Z309" s="954" t="e">
        <f>#REF!</f>
        <v>#REF!</v>
      </c>
      <c r="AA309" s="953" t="e">
        <f>#REF!+#REF!</f>
        <v>#REF!</v>
      </c>
      <c r="AB309" s="954" t="e">
        <f>#REF!</f>
        <v>#REF!</v>
      </c>
      <c r="AC309" s="955">
        <v>0</v>
      </c>
      <c r="AD309" s="954" t="e">
        <f>#REF!</f>
        <v>#REF!</v>
      </c>
      <c r="AE309" s="956" t="e">
        <f>#REF!+#REF!</f>
        <v>#REF!</v>
      </c>
      <c r="AF309" s="956" t="e">
        <f>#REF!+#REF!</f>
        <v>#REF!</v>
      </c>
      <c r="AG309" s="956"/>
      <c r="AH309" s="954" t="e">
        <f>#REF!</f>
        <v>#REF!</v>
      </c>
      <c r="AI309" s="954" t="e">
        <f t="shared" si="56"/>
        <v>#REF!</v>
      </c>
      <c r="AJ309" s="954">
        <f t="shared" si="57"/>
        <v>73.44</v>
      </c>
      <c r="AK309" s="954">
        <f t="shared" si="58"/>
        <v>0</v>
      </c>
      <c r="AL309" s="625"/>
    </row>
    <row r="310" spans="1:40" s="620" customFormat="1" ht="20.100000000000001" customHeight="1" x14ac:dyDescent="0.2">
      <c r="A310" s="759">
        <f t="shared" si="59"/>
        <v>4</v>
      </c>
      <c r="B310" s="957">
        <f>+NOMINA!C308</f>
        <v>6332524</v>
      </c>
      <c r="C310" s="958" t="str">
        <f>+NOMINA!D308</f>
        <v>Flores Diana Yamilet</v>
      </c>
      <c r="D310" s="955" t="s">
        <v>4622</v>
      </c>
      <c r="E310" s="959">
        <v>32351</v>
      </c>
      <c r="F310" s="955" t="s">
        <v>4620</v>
      </c>
      <c r="G310" s="971">
        <f>+NOMINA!H308</f>
        <v>42948</v>
      </c>
      <c r="H310" s="961">
        <f t="shared" si="60"/>
        <v>5</v>
      </c>
      <c r="I310" s="962">
        <v>0</v>
      </c>
      <c r="J310" s="968">
        <f>+NOMINA!BL308</f>
        <v>14.57</v>
      </c>
      <c r="K310" s="968">
        <f>+NOMINA!BM308</f>
        <v>1.82</v>
      </c>
      <c r="L310" s="968">
        <f>+NOMINA!BN308</f>
        <v>3.16</v>
      </c>
      <c r="M310" s="963">
        <f t="shared" si="61"/>
        <v>19.55</v>
      </c>
      <c r="N310" s="968">
        <f>+NOMINA!BR308</f>
        <v>32.79</v>
      </c>
      <c r="O310" s="968">
        <f>+NOMINA!BS308</f>
        <v>7.29</v>
      </c>
      <c r="P310" s="968">
        <f>+NOMINA!BT308</f>
        <v>6.32</v>
      </c>
      <c r="Q310" s="963">
        <f t="shared" si="62"/>
        <v>46.4</v>
      </c>
      <c r="R310" s="963">
        <f t="shared" si="63"/>
        <v>65.95</v>
      </c>
      <c r="S310" s="972">
        <v>0</v>
      </c>
      <c r="T310" s="443" t="e">
        <f>#REF!+#REF!-M310</f>
        <v>#REF!</v>
      </c>
      <c r="U310" s="952" t="e">
        <f>ROUND((#REF!+#REF!+#REF!+#REF!+#REF!+#REF!+#REF!+#REF!+#REF!),2)</f>
        <v>#REF!</v>
      </c>
      <c r="Y310" s="953" t="e">
        <f>#REF!+#REF!-M310</f>
        <v>#REF!</v>
      </c>
      <c r="Z310" s="954" t="e">
        <f>#REF!</f>
        <v>#REF!</v>
      </c>
      <c r="AA310" s="953" t="e">
        <f>#REF!+#REF!</f>
        <v>#REF!</v>
      </c>
      <c r="AB310" s="954" t="e">
        <f>#REF!</f>
        <v>#REF!</v>
      </c>
      <c r="AC310" s="955">
        <v>0</v>
      </c>
      <c r="AD310" s="954" t="e">
        <f>#REF!</f>
        <v>#REF!</v>
      </c>
      <c r="AE310" s="956" t="e">
        <f>#REF!+#REF!</f>
        <v>#REF!</v>
      </c>
      <c r="AF310" s="956" t="e">
        <f>#REF!+#REF!</f>
        <v>#REF!</v>
      </c>
      <c r="AG310" s="956"/>
      <c r="AH310" s="954" t="e">
        <f>#REF!</f>
        <v>#REF!</v>
      </c>
      <c r="AI310" s="954" t="e">
        <f t="shared" si="56"/>
        <v>#REF!</v>
      </c>
      <c r="AJ310" s="954">
        <f t="shared" si="57"/>
        <v>65.95</v>
      </c>
      <c r="AK310" s="954">
        <f t="shared" si="58"/>
        <v>0</v>
      </c>
      <c r="AL310" s="625"/>
    </row>
    <row r="311" spans="1:40" s="620" customFormat="1" ht="20.100000000000001" customHeight="1" x14ac:dyDescent="0.2">
      <c r="A311" s="759">
        <f t="shared" si="59"/>
        <v>5</v>
      </c>
      <c r="B311" s="957">
        <f>+NOMINA!C309</f>
        <v>6902701</v>
      </c>
      <c r="C311" s="958" t="str">
        <f>+NOMINA!D309</f>
        <v>Santiago Torres Jose Ramon</v>
      </c>
      <c r="D311" s="955" t="s">
        <v>4622</v>
      </c>
      <c r="E311" s="959">
        <v>32351</v>
      </c>
      <c r="F311" s="955" t="s">
        <v>4620</v>
      </c>
      <c r="G311" s="971">
        <f>+NOMINA!H309</f>
        <v>44228</v>
      </c>
      <c r="H311" s="961">
        <f t="shared" si="60"/>
        <v>1</v>
      </c>
      <c r="I311" s="962">
        <v>0</v>
      </c>
      <c r="J311" s="968">
        <f>+NOMINA!BL309</f>
        <v>13.39</v>
      </c>
      <c r="K311" s="968">
        <f>+NOMINA!BM309</f>
        <v>1.67</v>
      </c>
      <c r="L311" s="968">
        <f>+NOMINA!BN309</f>
        <v>2.9</v>
      </c>
      <c r="M311" s="963">
        <f t="shared" si="61"/>
        <v>17.96</v>
      </c>
      <c r="N311" s="968">
        <f>+NOMINA!BR309</f>
        <v>30.13</v>
      </c>
      <c r="O311" s="968">
        <f>+NOMINA!BS309</f>
        <v>6.7</v>
      </c>
      <c r="P311" s="968">
        <f>+NOMINA!BT309</f>
        <v>5.8</v>
      </c>
      <c r="Q311" s="963">
        <f t="shared" si="62"/>
        <v>42.63</v>
      </c>
      <c r="R311" s="963">
        <f t="shared" si="63"/>
        <v>60.59</v>
      </c>
      <c r="S311" s="972">
        <v>0</v>
      </c>
      <c r="T311" s="443" t="e">
        <f>#REF!+#REF!-M311</f>
        <v>#REF!</v>
      </c>
      <c r="U311" s="952" t="e">
        <f>ROUND((#REF!+#REF!+#REF!+#REF!+#REF!+#REF!+#REF!+#REF!+#REF!),2)</f>
        <v>#REF!</v>
      </c>
      <c r="Y311" s="953" t="e">
        <f>#REF!+#REF!-M311</f>
        <v>#REF!</v>
      </c>
      <c r="Z311" s="954" t="e">
        <f>#REF!</f>
        <v>#REF!</v>
      </c>
      <c r="AA311" s="953" t="e">
        <f>#REF!+#REF!</f>
        <v>#REF!</v>
      </c>
      <c r="AB311" s="954" t="e">
        <f>#REF!</f>
        <v>#REF!</v>
      </c>
      <c r="AC311" s="955">
        <v>0</v>
      </c>
      <c r="AD311" s="954" t="e">
        <f>#REF!</f>
        <v>#REF!</v>
      </c>
      <c r="AE311" s="956" t="e">
        <f>#REF!+#REF!</f>
        <v>#REF!</v>
      </c>
      <c r="AF311" s="956" t="e">
        <f>#REF!+#REF!</f>
        <v>#REF!</v>
      </c>
      <c r="AG311" s="956"/>
      <c r="AH311" s="954" t="e">
        <f>#REF!</f>
        <v>#REF!</v>
      </c>
      <c r="AI311" s="954" t="e">
        <f t="shared" si="56"/>
        <v>#REF!</v>
      </c>
      <c r="AJ311" s="954">
        <f t="shared" si="57"/>
        <v>60.59</v>
      </c>
      <c r="AK311" s="954">
        <f t="shared" si="58"/>
        <v>0</v>
      </c>
      <c r="AL311" s="625"/>
    </row>
    <row r="312" spans="1:40" s="620" customFormat="1" ht="20.100000000000001" customHeight="1" x14ac:dyDescent="0.2">
      <c r="A312" s="759">
        <f t="shared" si="59"/>
        <v>6</v>
      </c>
      <c r="B312" s="957">
        <f>+NOMINA!C310</f>
        <v>7252065</v>
      </c>
      <c r="C312" s="958" t="str">
        <f>+NOMINA!D310</f>
        <v>Rivas Rivas Jose Gerardo</v>
      </c>
      <c r="D312" s="955" t="s">
        <v>4622</v>
      </c>
      <c r="E312" s="959">
        <v>32351</v>
      </c>
      <c r="F312" s="955" t="s">
        <v>4620</v>
      </c>
      <c r="G312" s="971">
        <f>+NOMINA!H310</f>
        <v>43891</v>
      </c>
      <c r="H312" s="961">
        <f t="shared" si="60"/>
        <v>2</v>
      </c>
      <c r="I312" s="962">
        <v>0</v>
      </c>
      <c r="J312" s="968">
        <f>+NOMINA!BL310</f>
        <v>17.38</v>
      </c>
      <c r="K312" s="968">
        <f>+NOMINA!BM310</f>
        <v>2.17</v>
      </c>
      <c r="L312" s="968">
        <f>+NOMINA!BN310</f>
        <v>3.76</v>
      </c>
      <c r="M312" s="963">
        <f t="shared" si="61"/>
        <v>23.31</v>
      </c>
      <c r="N312" s="968">
        <f>+NOMINA!BR310</f>
        <v>39.1</v>
      </c>
      <c r="O312" s="968">
        <f>+NOMINA!BS310</f>
        <v>8.69</v>
      </c>
      <c r="P312" s="968">
        <f>+NOMINA!BT310</f>
        <v>7.52</v>
      </c>
      <c r="Q312" s="963">
        <f t="shared" si="62"/>
        <v>55.31</v>
      </c>
      <c r="R312" s="963">
        <f t="shared" si="63"/>
        <v>78.62</v>
      </c>
      <c r="S312" s="972">
        <v>0</v>
      </c>
      <c r="T312" s="443" t="e">
        <f>#REF!+#REF!-M312</f>
        <v>#REF!</v>
      </c>
      <c r="U312" s="952" t="e">
        <f>ROUND((#REF!+#REF!+#REF!+#REF!+#REF!+#REF!+#REF!+#REF!+#REF!),2)</f>
        <v>#REF!</v>
      </c>
      <c r="Y312" s="953" t="e">
        <f>#REF!+#REF!-M312</f>
        <v>#REF!</v>
      </c>
      <c r="Z312" s="954" t="e">
        <f>#REF!</f>
        <v>#REF!</v>
      </c>
      <c r="AA312" s="953" t="e">
        <f>#REF!+#REF!</f>
        <v>#REF!</v>
      </c>
      <c r="AB312" s="954" t="e">
        <f>#REF!</f>
        <v>#REF!</v>
      </c>
      <c r="AC312" s="955">
        <v>0</v>
      </c>
      <c r="AD312" s="954" t="e">
        <f>#REF!</f>
        <v>#REF!</v>
      </c>
      <c r="AE312" s="956" t="e">
        <f>#REF!+#REF!</f>
        <v>#REF!</v>
      </c>
      <c r="AF312" s="956" t="e">
        <f>#REF!+#REF!</f>
        <v>#REF!</v>
      </c>
      <c r="AG312" s="956"/>
      <c r="AH312" s="954" t="e">
        <f>#REF!</f>
        <v>#REF!</v>
      </c>
      <c r="AI312" s="954" t="e">
        <f t="shared" si="56"/>
        <v>#REF!</v>
      </c>
      <c r="AJ312" s="954">
        <f t="shared" si="57"/>
        <v>78.62</v>
      </c>
      <c r="AK312" s="954">
        <f t="shared" si="58"/>
        <v>0</v>
      </c>
      <c r="AL312" s="625"/>
    </row>
    <row r="313" spans="1:40" s="620" customFormat="1" ht="20.100000000000001" customHeight="1" x14ac:dyDescent="0.2">
      <c r="A313" s="759">
        <f t="shared" si="59"/>
        <v>7</v>
      </c>
      <c r="B313" s="957">
        <f>+NOMINA!C311</f>
        <v>9008311</v>
      </c>
      <c r="C313" s="958" t="str">
        <f>+NOMINA!D311</f>
        <v>Toro Margi Enrique</v>
      </c>
      <c r="D313" s="955" t="s">
        <v>4622</v>
      </c>
      <c r="E313" s="959">
        <v>32351</v>
      </c>
      <c r="F313" s="955" t="s">
        <v>4620</v>
      </c>
      <c r="G313" s="971">
        <f>+NOMINA!H311</f>
        <v>39265</v>
      </c>
      <c r="H313" s="961">
        <f t="shared" si="60"/>
        <v>15</v>
      </c>
      <c r="I313" s="962">
        <v>0</v>
      </c>
      <c r="J313" s="968">
        <f>+NOMINA!BL311</f>
        <v>14.62</v>
      </c>
      <c r="K313" s="968">
        <f>+NOMINA!BM311</f>
        <v>1.83</v>
      </c>
      <c r="L313" s="968">
        <f>+NOMINA!BN311</f>
        <v>3.17</v>
      </c>
      <c r="M313" s="963">
        <f t="shared" si="61"/>
        <v>19.62</v>
      </c>
      <c r="N313" s="968">
        <f>+NOMINA!BR311</f>
        <v>32.880000000000003</v>
      </c>
      <c r="O313" s="968">
        <f>+NOMINA!BS311</f>
        <v>7.31</v>
      </c>
      <c r="P313" s="968">
        <f>+NOMINA!BT311</f>
        <v>6.34</v>
      </c>
      <c r="Q313" s="963">
        <f t="shared" si="62"/>
        <v>46.53</v>
      </c>
      <c r="R313" s="963">
        <f t="shared" si="63"/>
        <v>66.150000000000006</v>
      </c>
      <c r="S313" s="972">
        <v>0</v>
      </c>
      <c r="T313" s="443" t="e">
        <f>#REF!+#REF!-M313</f>
        <v>#REF!</v>
      </c>
      <c r="U313" s="952" t="e">
        <f>ROUND((#REF!+#REF!+#REF!+#REF!+#REF!+#REF!+#REF!+#REF!+#REF!),2)</f>
        <v>#REF!</v>
      </c>
      <c r="Y313" s="953" t="e">
        <f>#REF!+#REF!-M313</f>
        <v>#REF!</v>
      </c>
      <c r="Z313" s="954" t="e">
        <f>#REF!</f>
        <v>#REF!</v>
      </c>
      <c r="AA313" s="953" t="e">
        <f>#REF!+#REF!</f>
        <v>#REF!</v>
      </c>
      <c r="AB313" s="954" t="e">
        <f>#REF!</f>
        <v>#REF!</v>
      </c>
      <c r="AC313" s="955">
        <v>0</v>
      </c>
      <c r="AD313" s="954" t="e">
        <f>#REF!</f>
        <v>#REF!</v>
      </c>
      <c r="AE313" s="956" t="e">
        <f>#REF!+#REF!</f>
        <v>#REF!</v>
      </c>
      <c r="AF313" s="956" t="e">
        <f>#REF!+#REF!</f>
        <v>#REF!</v>
      </c>
      <c r="AG313" s="956"/>
      <c r="AH313" s="954" t="e">
        <f>#REF!</f>
        <v>#REF!</v>
      </c>
      <c r="AI313" s="954" t="e">
        <f t="shared" si="56"/>
        <v>#REF!</v>
      </c>
      <c r="AJ313" s="954">
        <f t="shared" si="57"/>
        <v>66.150000000000006</v>
      </c>
      <c r="AK313" s="954">
        <f t="shared" si="58"/>
        <v>0</v>
      </c>
      <c r="AL313" s="625"/>
    </row>
    <row r="314" spans="1:40" s="620" customFormat="1" ht="20.100000000000001" customHeight="1" x14ac:dyDescent="0.2">
      <c r="A314" s="759">
        <f t="shared" si="59"/>
        <v>8</v>
      </c>
      <c r="B314" s="957">
        <f>+NOMINA!C312</f>
        <v>9011963</v>
      </c>
      <c r="C314" s="958" t="str">
        <f>+NOMINA!D312</f>
        <v>Alarcon Argenio</v>
      </c>
      <c r="D314" s="955" t="s">
        <v>4622</v>
      </c>
      <c r="E314" s="959">
        <v>32351</v>
      </c>
      <c r="F314" s="955" t="s">
        <v>4620</v>
      </c>
      <c r="G314" s="971">
        <f>+NOMINA!H312</f>
        <v>39820</v>
      </c>
      <c r="H314" s="961">
        <f t="shared" si="60"/>
        <v>13</v>
      </c>
      <c r="I314" s="962">
        <v>0</v>
      </c>
      <c r="J314" s="968">
        <f>+NOMINA!BL312</f>
        <v>0</v>
      </c>
      <c r="K314" s="968">
        <f>+NOMINA!BM312</f>
        <v>0</v>
      </c>
      <c r="L314" s="968">
        <f>+NOMINA!BN312</f>
        <v>3.12</v>
      </c>
      <c r="M314" s="963">
        <f t="shared" si="61"/>
        <v>3.12</v>
      </c>
      <c r="N314" s="968">
        <f>+NOMINA!BR312</f>
        <v>0</v>
      </c>
      <c r="O314" s="968">
        <f>+NOMINA!BS312</f>
        <v>0</v>
      </c>
      <c r="P314" s="968">
        <f>+NOMINA!BT312</f>
        <v>6.24</v>
      </c>
      <c r="Q314" s="963">
        <f t="shared" si="62"/>
        <v>6.24</v>
      </c>
      <c r="R314" s="963">
        <f t="shared" si="63"/>
        <v>9.36</v>
      </c>
      <c r="S314" s="972">
        <v>0</v>
      </c>
      <c r="T314" s="443" t="e">
        <f>#REF!+#REF!-M314</f>
        <v>#REF!</v>
      </c>
      <c r="U314" s="952" t="e">
        <f>ROUND((#REF!+#REF!+#REF!+#REF!+#REF!+#REF!+#REF!+#REF!+#REF!),2)</f>
        <v>#REF!</v>
      </c>
      <c r="Y314" s="953" t="e">
        <f>#REF!+#REF!-M314</f>
        <v>#REF!</v>
      </c>
      <c r="Z314" s="954" t="e">
        <f>#REF!</f>
        <v>#REF!</v>
      </c>
      <c r="AA314" s="953" t="e">
        <f>#REF!+#REF!</f>
        <v>#REF!</v>
      </c>
      <c r="AB314" s="954" t="e">
        <f>#REF!</f>
        <v>#REF!</v>
      </c>
      <c r="AC314" s="955">
        <v>0</v>
      </c>
      <c r="AD314" s="954" t="e">
        <f>#REF!</f>
        <v>#REF!</v>
      </c>
      <c r="AE314" s="956" t="e">
        <f>#REF!+#REF!</f>
        <v>#REF!</v>
      </c>
      <c r="AF314" s="956" t="e">
        <f>#REF!+#REF!</f>
        <v>#REF!</v>
      </c>
      <c r="AG314" s="956"/>
      <c r="AH314" s="954" t="e">
        <f>#REF!</f>
        <v>#REF!</v>
      </c>
      <c r="AI314" s="954" t="e">
        <f t="shared" si="56"/>
        <v>#REF!</v>
      </c>
      <c r="AJ314" s="954">
        <f t="shared" si="57"/>
        <v>9.36</v>
      </c>
      <c r="AK314" s="954">
        <f t="shared" si="58"/>
        <v>0</v>
      </c>
      <c r="AL314" s="625"/>
    </row>
    <row r="315" spans="1:40" s="620" customFormat="1" ht="20.100000000000001" customHeight="1" x14ac:dyDescent="0.2">
      <c r="A315" s="759">
        <f t="shared" si="59"/>
        <v>9</v>
      </c>
      <c r="B315" s="957">
        <f>+NOMINA!C313</f>
        <v>9100500</v>
      </c>
      <c r="C315" s="958" t="str">
        <f>+NOMINA!D313</f>
        <v>Hernandez de Villegas Zoraida Elodia</v>
      </c>
      <c r="D315" s="955" t="s">
        <v>4622</v>
      </c>
      <c r="E315" s="959">
        <v>32351</v>
      </c>
      <c r="F315" s="955" t="s">
        <v>4620</v>
      </c>
      <c r="G315" s="971">
        <f>+NOMINA!H313</f>
        <v>39496</v>
      </c>
      <c r="H315" s="961">
        <f t="shared" si="60"/>
        <v>14</v>
      </c>
      <c r="I315" s="962">
        <v>0</v>
      </c>
      <c r="J315" s="968">
        <f>+NOMINA!BL313</f>
        <v>13.27</v>
      </c>
      <c r="K315" s="968">
        <f>+NOMINA!BM313</f>
        <v>1.66</v>
      </c>
      <c r="L315" s="968">
        <f>+NOMINA!BN313</f>
        <v>2.88</v>
      </c>
      <c r="M315" s="963">
        <f t="shared" si="61"/>
        <v>17.809999999999999</v>
      </c>
      <c r="N315" s="968">
        <f>+NOMINA!BR313</f>
        <v>29.86</v>
      </c>
      <c r="O315" s="968">
        <f>+NOMINA!BS313</f>
        <v>6.64</v>
      </c>
      <c r="P315" s="968">
        <f>+NOMINA!BT313</f>
        <v>5.76</v>
      </c>
      <c r="Q315" s="963">
        <f t="shared" si="62"/>
        <v>42.26</v>
      </c>
      <c r="R315" s="963">
        <f t="shared" si="63"/>
        <v>60.069999999999993</v>
      </c>
      <c r="S315" s="972">
        <v>0</v>
      </c>
      <c r="T315" s="443" t="e">
        <f>#REF!+#REF!-M315</f>
        <v>#REF!</v>
      </c>
      <c r="U315" s="952" t="e">
        <f>ROUND((#REF!+#REF!+#REF!+#REF!+#REF!+#REF!+#REF!+#REF!+#REF!),2)</f>
        <v>#REF!</v>
      </c>
      <c r="Y315" s="953" t="e">
        <f>#REF!+#REF!-M315</f>
        <v>#REF!</v>
      </c>
      <c r="Z315" s="954" t="e">
        <f>#REF!</f>
        <v>#REF!</v>
      </c>
      <c r="AA315" s="953" t="e">
        <f>#REF!+#REF!</f>
        <v>#REF!</v>
      </c>
      <c r="AB315" s="954" t="e">
        <f>#REF!</f>
        <v>#REF!</v>
      </c>
      <c r="AC315" s="955">
        <v>0</v>
      </c>
      <c r="AD315" s="954" t="e">
        <f>#REF!</f>
        <v>#REF!</v>
      </c>
      <c r="AE315" s="956" t="e">
        <f>#REF!+#REF!</f>
        <v>#REF!</v>
      </c>
      <c r="AF315" s="956" t="e">
        <f>#REF!+#REF!</f>
        <v>#REF!</v>
      </c>
      <c r="AG315" s="956"/>
      <c r="AH315" s="954" t="e">
        <f>#REF!</f>
        <v>#REF!</v>
      </c>
      <c r="AI315" s="954" t="e">
        <f t="shared" si="56"/>
        <v>#REF!</v>
      </c>
      <c r="AJ315" s="954">
        <f t="shared" si="57"/>
        <v>60.069999999999993</v>
      </c>
      <c r="AK315" s="954">
        <f t="shared" si="58"/>
        <v>0</v>
      </c>
      <c r="AL315" s="625"/>
    </row>
    <row r="316" spans="1:40" s="620" customFormat="1" ht="20.100000000000001" customHeight="1" x14ac:dyDescent="0.2">
      <c r="A316" s="759">
        <f t="shared" si="59"/>
        <v>10</v>
      </c>
      <c r="B316" s="957">
        <f>+NOMINA!C314</f>
        <v>9110498</v>
      </c>
      <c r="C316" s="958" t="str">
        <f>+NOMINA!D314</f>
        <v>Ruiz Alberto Jose</v>
      </c>
      <c r="D316" s="955" t="s">
        <v>4622</v>
      </c>
      <c r="E316" s="959">
        <v>32351</v>
      </c>
      <c r="F316" s="955" t="s">
        <v>4620</v>
      </c>
      <c r="G316" s="971">
        <f>+NOMINA!H314</f>
        <v>37508</v>
      </c>
      <c r="H316" s="961">
        <f t="shared" si="60"/>
        <v>20</v>
      </c>
      <c r="I316" s="962">
        <v>0</v>
      </c>
      <c r="J316" s="968">
        <f>+NOMINA!BL314</f>
        <v>15.12</v>
      </c>
      <c r="K316" s="968">
        <f>+NOMINA!BM314</f>
        <v>1.89</v>
      </c>
      <c r="L316" s="968">
        <f>+NOMINA!BN314</f>
        <v>3.28</v>
      </c>
      <c r="M316" s="963">
        <f t="shared" si="61"/>
        <v>20.29</v>
      </c>
      <c r="N316" s="968">
        <f>+NOMINA!BR314</f>
        <v>34.020000000000003</v>
      </c>
      <c r="O316" s="968">
        <f>+NOMINA!BS314</f>
        <v>7.56</v>
      </c>
      <c r="P316" s="968">
        <f>+NOMINA!BT314</f>
        <v>6.56</v>
      </c>
      <c r="Q316" s="963">
        <f t="shared" si="62"/>
        <v>48.14</v>
      </c>
      <c r="R316" s="963">
        <f t="shared" si="63"/>
        <v>68.430000000000007</v>
      </c>
      <c r="S316" s="972">
        <v>0</v>
      </c>
      <c r="T316" s="443" t="e">
        <f>#REF!+#REF!-M316</f>
        <v>#REF!</v>
      </c>
      <c r="U316" s="952" t="e">
        <f>ROUND((#REF!+#REF!+#REF!+#REF!+#REF!+#REF!+#REF!+#REF!+#REF!),2)</f>
        <v>#REF!</v>
      </c>
      <c r="Y316" s="953" t="e">
        <f>#REF!+#REF!-M316</f>
        <v>#REF!</v>
      </c>
      <c r="Z316" s="954" t="e">
        <f>#REF!</f>
        <v>#REF!</v>
      </c>
      <c r="AA316" s="953" t="e">
        <f>#REF!+#REF!</f>
        <v>#REF!</v>
      </c>
      <c r="AB316" s="954" t="e">
        <f>#REF!</f>
        <v>#REF!</v>
      </c>
      <c r="AC316" s="955">
        <v>0</v>
      </c>
      <c r="AD316" s="954" t="e">
        <f>#REF!</f>
        <v>#REF!</v>
      </c>
      <c r="AE316" s="956" t="e">
        <f>#REF!+#REF!</f>
        <v>#REF!</v>
      </c>
      <c r="AF316" s="956" t="e">
        <f>#REF!+#REF!</f>
        <v>#REF!</v>
      </c>
      <c r="AG316" s="956"/>
      <c r="AH316" s="954" t="e">
        <f>#REF!</f>
        <v>#REF!</v>
      </c>
      <c r="AI316" s="954" t="e">
        <f t="shared" si="56"/>
        <v>#REF!</v>
      </c>
      <c r="AJ316" s="954">
        <f t="shared" si="57"/>
        <v>68.430000000000007</v>
      </c>
      <c r="AK316" s="954">
        <f t="shared" si="58"/>
        <v>0</v>
      </c>
      <c r="AL316" s="625"/>
    </row>
    <row r="317" spans="1:40" s="620" customFormat="1" ht="20.100000000000001" customHeight="1" x14ac:dyDescent="0.2">
      <c r="A317" s="759">
        <f t="shared" si="59"/>
        <v>11</v>
      </c>
      <c r="B317" s="957">
        <f>+NOMINA!C315</f>
        <v>9163994</v>
      </c>
      <c r="C317" s="958" t="str">
        <f>+NOMINA!D315</f>
        <v>Rodriguez Fernandez Carlos Eduardo</v>
      </c>
      <c r="D317" s="955" t="s">
        <v>4622</v>
      </c>
      <c r="E317" s="959">
        <v>32351</v>
      </c>
      <c r="F317" s="955" t="s">
        <v>4620</v>
      </c>
      <c r="G317" s="971">
        <f>+NOMINA!H315</f>
        <v>43770</v>
      </c>
      <c r="H317" s="961">
        <f t="shared" si="60"/>
        <v>3</v>
      </c>
      <c r="I317" s="962">
        <v>0</v>
      </c>
      <c r="J317" s="968">
        <f>+NOMINA!BL315</f>
        <v>14.29</v>
      </c>
      <c r="K317" s="968">
        <f>+NOMINA!BM315</f>
        <v>1.79</v>
      </c>
      <c r="L317" s="968">
        <f>+NOMINA!BN315</f>
        <v>3.1</v>
      </c>
      <c r="M317" s="963">
        <f t="shared" si="61"/>
        <v>19.18</v>
      </c>
      <c r="N317" s="968">
        <f>+NOMINA!BR315</f>
        <v>32.15</v>
      </c>
      <c r="O317" s="968">
        <f>+NOMINA!BS315</f>
        <v>7.14</v>
      </c>
      <c r="P317" s="968">
        <f>+NOMINA!BT315</f>
        <v>6.2</v>
      </c>
      <c r="Q317" s="963">
        <f t="shared" si="62"/>
        <v>45.49</v>
      </c>
      <c r="R317" s="963">
        <f t="shared" si="63"/>
        <v>64.67</v>
      </c>
      <c r="S317" s="972">
        <v>0</v>
      </c>
      <c r="T317" s="443" t="e">
        <f>#REF!+#REF!-M317</f>
        <v>#REF!</v>
      </c>
      <c r="U317" s="952" t="e">
        <f>ROUND((#REF!+#REF!+#REF!+#REF!+#REF!+#REF!+#REF!+#REF!+#REF!),2)</f>
        <v>#REF!</v>
      </c>
      <c r="Y317" s="953" t="e">
        <f>#REF!+#REF!-M317</f>
        <v>#REF!</v>
      </c>
      <c r="Z317" s="954" t="e">
        <f>#REF!</f>
        <v>#REF!</v>
      </c>
      <c r="AA317" s="953" t="e">
        <f>#REF!+#REF!</f>
        <v>#REF!</v>
      </c>
      <c r="AB317" s="954" t="e">
        <f>#REF!</f>
        <v>#REF!</v>
      </c>
      <c r="AC317" s="955">
        <v>0</v>
      </c>
      <c r="AD317" s="954" t="e">
        <f>#REF!</f>
        <v>#REF!</v>
      </c>
      <c r="AE317" s="956" t="e">
        <f>#REF!+#REF!</f>
        <v>#REF!</v>
      </c>
      <c r="AF317" s="956" t="e">
        <f>#REF!+#REF!</f>
        <v>#REF!</v>
      </c>
      <c r="AG317" s="956"/>
      <c r="AH317" s="954" t="e">
        <f>#REF!</f>
        <v>#REF!</v>
      </c>
      <c r="AI317" s="954" t="e">
        <f t="shared" si="56"/>
        <v>#REF!</v>
      </c>
      <c r="AJ317" s="954">
        <f t="shared" si="57"/>
        <v>64.67</v>
      </c>
      <c r="AK317" s="954">
        <f t="shared" si="58"/>
        <v>0</v>
      </c>
      <c r="AL317" s="625"/>
    </row>
    <row r="318" spans="1:40" s="620" customFormat="1" ht="20.100000000000001" customHeight="1" x14ac:dyDescent="0.2">
      <c r="A318" s="759">
        <f t="shared" si="59"/>
        <v>12</v>
      </c>
      <c r="B318" s="957">
        <f>+NOMINA!C316</f>
        <v>9167342</v>
      </c>
      <c r="C318" s="958" t="str">
        <f>+NOMINA!D316</f>
        <v>Gutierrez Briceño Jose Justimiano</v>
      </c>
      <c r="D318" s="955" t="s">
        <v>4622</v>
      </c>
      <c r="E318" s="959">
        <v>32351</v>
      </c>
      <c r="F318" s="955" t="s">
        <v>4620</v>
      </c>
      <c r="G318" s="971">
        <f>+NOMINA!H316</f>
        <v>43845</v>
      </c>
      <c r="H318" s="961">
        <f t="shared" si="60"/>
        <v>2</v>
      </c>
      <c r="I318" s="962">
        <v>0</v>
      </c>
      <c r="J318" s="968">
        <f>+NOMINA!BL316</f>
        <v>13.37</v>
      </c>
      <c r="K318" s="968">
        <f>+NOMINA!BM316</f>
        <v>1.67</v>
      </c>
      <c r="L318" s="968">
        <f>+NOMINA!BN316</f>
        <v>2.9</v>
      </c>
      <c r="M318" s="963">
        <f t="shared" si="61"/>
        <v>17.940000000000001</v>
      </c>
      <c r="N318" s="968">
        <f>+NOMINA!BR316</f>
        <v>30.07</v>
      </c>
      <c r="O318" s="968">
        <f>+NOMINA!BS316</f>
        <v>6.68</v>
      </c>
      <c r="P318" s="968">
        <f>+NOMINA!BT316</f>
        <v>5.8</v>
      </c>
      <c r="Q318" s="963">
        <f t="shared" si="62"/>
        <v>42.55</v>
      </c>
      <c r="R318" s="963">
        <f t="shared" si="63"/>
        <v>60.489999999999995</v>
      </c>
      <c r="S318" s="972">
        <v>0</v>
      </c>
      <c r="T318" s="443" t="e">
        <f>#REF!+#REF!-M318</f>
        <v>#REF!</v>
      </c>
      <c r="U318" s="952" t="e">
        <f>ROUND((#REF!+#REF!+#REF!+#REF!+#REF!+#REF!+#REF!+#REF!+#REF!),2)</f>
        <v>#REF!</v>
      </c>
      <c r="Y318" s="953" t="e">
        <f>#REF!+#REF!-M318</f>
        <v>#REF!</v>
      </c>
      <c r="Z318" s="954" t="e">
        <f>#REF!</f>
        <v>#REF!</v>
      </c>
      <c r="AA318" s="953" t="e">
        <f>#REF!+#REF!</f>
        <v>#REF!</v>
      </c>
      <c r="AB318" s="954" t="e">
        <f>#REF!</f>
        <v>#REF!</v>
      </c>
      <c r="AC318" s="955">
        <v>0</v>
      </c>
      <c r="AD318" s="954" t="e">
        <f>#REF!</f>
        <v>#REF!</v>
      </c>
      <c r="AE318" s="956" t="e">
        <f>#REF!+#REF!</f>
        <v>#REF!</v>
      </c>
      <c r="AF318" s="956" t="e">
        <f>#REF!+#REF!</f>
        <v>#REF!</v>
      </c>
      <c r="AG318" s="956"/>
      <c r="AH318" s="954" t="e">
        <f>#REF!</f>
        <v>#REF!</v>
      </c>
      <c r="AI318" s="954" t="e">
        <f t="shared" si="56"/>
        <v>#REF!</v>
      </c>
      <c r="AJ318" s="954">
        <f t="shared" si="57"/>
        <v>60.489999999999995</v>
      </c>
      <c r="AK318" s="954">
        <f t="shared" si="58"/>
        <v>0</v>
      </c>
      <c r="AL318" s="625"/>
    </row>
    <row r="319" spans="1:40" s="620" customFormat="1" ht="20.100000000000001" customHeight="1" x14ac:dyDescent="0.2">
      <c r="A319" s="759">
        <f t="shared" si="59"/>
        <v>13</v>
      </c>
      <c r="B319" s="957">
        <f>+NOMINA!C317</f>
        <v>9310477</v>
      </c>
      <c r="C319" s="958" t="str">
        <f>+NOMINA!D317</f>
        <v>Campos Muchacho Rafael Angel</v>
      </c>
      <c r="D319" s="955" t="s">
        <v>4622</v>
      </c>
      <c r="E319" s="959">
        <v>32351</v>
      </c>
      <c r="F319" s="955" t="s">
        <v>4620</v>
      </c>
      <c r="G319" s="971">
        <f>+NOMINA!H317</f>
        <v>44075</v>
      </c>
      <c r="H319" s="961">
        <f t="shared" si="60"/>
        <v>2</v>
      </c>
      <c r="I319" s="962">
        <v>0</v>
      </c>
      <c r="J319" s="968">
        <f>+NOMINA!BL317</f>
        <v>13.37</v>
      </c>
      <c r="K319" s="968">
        <f>+NOMINA!BM317</f>
        <v>1.67</v>
      </c>
      <c r="L319" s="968">
        <f>+NOMINA!BN317</f>
        <v>2.9</v>
      </c>
      <c r="M319" s="963">
        <f t="shared" si="61"/>
        <v>17.940000000000001</v>
      </c>
      <c r="N319" s="968">
        <f>+NOMINA!BR317</f>
        <v>30.07</v>
      </c>
      <c r="O319" s="968">
        <f>+NOMINA!BS317</f>
        <v>6.68</v>
      </c>
      <c r="P319" s="968">
        <f>+NOMINA!BT317</f>
        <v>5.8</v>
      </c>
      <c r="Q319" s="963">
        <f t="shared" si="62"/>
        <v>42.55</v>
      </c>
      <c r="R319" s="963">
        <f t="shared" si="63"/>
        <v>60.489999999999995</v>
      </c>
      <c r="S319" s="972">
        <v>0</v>
      </c>
      <c r="T319" s="443" t="e">
        <f>#REF!+#REF!-M319</f>
        <v>#REF!</v>
      </c>
      <c r="U319" s="952" t="e">
        <f>ROUND((#REF!+#REF!+#REF!+#REF!+#REF!+#REF!+#REF!+#REF!+#REF!),2)</f>
        <v>#REF!</v>
      </c>
      <c r="Y319" s="953" t="e">
        <f>#REF!+#REF!-M319</f>
        <v>#REF!</v>
      </c>
      <c r="Z319" s="954" t="e">
        <f>#REF!</f>
        <v>#REF!</v>
      </c>
      <c r="AA319" s="953" t="e">
        <f>#REF!+#REF!</f>
        <v>#REF!</v>
      </c>
      <c r="AB319" s="954" t="e">
        <f>#REF!</f>
        <v>#REF!</v>
      </c>
      <c r="AC319" s="955">
        <v>0</v>
      </c>
      <c r="AD319" s="954" t="e">
        <f>#REF!</f>
        <v>#REF!</v>
      </c>
      <c r="AE319" s="956" t="e">
        <f>#REF!+#REF!</f>
        <v>#REF!</v>
      </c>
      <c r="AF319" s="956" t="e">
        <f>#REF!+#REF!</f>
        <v>#REF!</v>
      </c>
      <c r="AG319" s="956"/>
      <c r="AH319" s="954" t="e">
        <f>#REF!</f>
        <v>#REF!</v>
      </c>
      <c r="AI319" s="954" t="e">
        <f t="shared" si="56"/>
        <v>#REF!</v>
      </c>
      <c r="AJ319" s="954">
        <f t="shared" si="57"/>
        <v>60.489999999999995</v>
      </c>
      <c r="AK319" s="954">
        <f t="shared" si="58"/>
        <v>0</v>
      </c>
      <c r="AL319" s="625"/>
    </row>
    <row r="320" spans="1:40" s="620" customFormat="1" ht="20.100000000000001" customHeight="1" x14ac:dyDescent="0.2">
      <c r="A320" s="759">
        <f t="shared" si="59"/>
        <v>14</v>
      </c>
      <c r="B320" s="957">
        <f>+NOMINA!C318</f>
        <v>9323739</v>
      </c>
      <c r="C320" s="958" t="str">
        <f>+NOMINA!D318</f>
        <v>Vargas Benitez Jose Nerio</v>
      </c>
      <c r="D320" s="955" t="s">
        <v>4622</v>
      </c>
      <c r="E320" s="959">
        <v>32351</v>
      </c>
      <c r="F320" s="955" t="s">
        <v>4620</v>
      </c>
      <c r="G320" s="971">
        <f>+NOMINA!H318</f>
        <v>39300</v>
      </c>
      <c r="H320" s="961">
        <f t="shared" si="60"/>
        <v>15</v>
      </c>
      <c r="I320" s="962">
        <v>0</v>
      </c>
      <c r="J320" s="968">
        <f>+NOMINA!BL318</f>
        <v>14.62</v>
      </c>
      <c r="K320" s="968">
        <f>+NOMINA!BM318</f>
        <v>1.83</v>
      </c>
      <c r="L320" s="968">
        <f>+NOMINA!BN318</f>
        <v>3.17</v>
      </c>
      <c r="M320" s="963">
        <f t="shared" si="61"/>
        <v>19.62</v>
      </c>
      <c r="N320" s="968">
        <f>+NOMINA!BR318</f>
        <v>32.880000000000003</v>
      </c>
      <c r="O320" s="968">
        <f>+NOMINA!BS318</f>
        <v>7.31</v>
      </c>
      <c r="P320" s="968">
        <f>+NOMINA!BT318</f>
        <v>6.34</v>
      </c>
      <c r="Q320" s="963">
        <f t="shared" si="62"/>
        <v>46.53</v>
      </c>
      <c r="R320" s="963">
        <f t="shared" si="63"/>
        <v>66.150000000000006</v>
      </c>
      <c r="S320" s="972">
        <v>0</v>
      </c>
      <c r="T320" s="443" t="e">
        <f>#REF!+#REF!-M320</f>
        <v>#REF!</v>
      </c>
      <c r="U320" s="952" t="e">
        <f>ROUND((#REF!+#REF!+#REF!+#REF!+#REF!+#REF!+#REF!+#REF!+#REF!),2)</f>
        <v>#REF!</v>
      </c>
      <c r="Y320" s="953" t="e">
        <f>#REF!+#REF!-M320</f>
        <v>#REF!</v>
      </c>
      <c r="Z320" s="954" t="e">
        <f>#REF!</f>
        <v>#REF!</v>
      </c>
      <c r="AA320" s="953" t="e">
        <f>#REF!+#REF!</f>
        <v>#REF!</v>
      </c>
      <c r="AB320" s="954" t="e">
        <f>#REF!</f>
        <v>#REF!</v>
      </c>
      <c r="AC320" s="955">
        <v>0</v>
      </c>
      <c r="AD320" s="954" t="e">
        <f>#REF!</f>
        <v>#REF!</v>
      </c>
      <c r="AE320" s="956" t="e">
        <f>#REF!+#REF!</f>
        <v>#REF!</v>
      </c>
      <c r="AF320" s="956" t="e">
        <f>#REF!+#REF!</f>
        <v>#REF!</v>
      </c>
      <c r="AG320" s="956"/>
      <c r="AH320" s="954" t="e">
        <f>#REF!</f>
        <v>#REF!</v>
      </c>
      <c r="AI320" s="954" t="e">
        <f t="shared" si="56"/>
        <v>#REF!</v>
      </c>
      <c r="AJ320" s="954">
        <f t="shared" si="57"/>
        <v>66.150000000000006</v>
      </c>
      <c r="AK320" s="954">
        <f t="shared" si="58"/>
        <v>0</v>
      </c>
      <c r="AL320" s="625"/>
    </row>
    <row r="321" spans="1:38" s="620" customFormat="1" ht="20.100000000000001" customHeight="1" x14ac:dyDescent="0.2">
      <c r="A321" s="759">
        <f t="shared" si="59"/>
        <v>15</v>
      </c>
      <c r="B321" s="957">
        <f>+NOMINA!C319</f>
        <v>9325664</v>
      </c>
      <c r="C321" s="958" t="str">
        <f>+NOMINA!D319</f>
        <v>Lobo Mendoza Luz Marina</v>
      </c>
      <c r="D321" s="955" t="s">
        <v>4622</v>
      </c>
      <c r="E321" s="959">
        <v>32351</v>
      </c>
      <c r="F321" s="955" t="s">
        <v>4620</v>
      </c>
      <c r="G321" s="971">
        <f>+NOMINA!H319</f>
        <v>42948</v>
      </c>
      <c r="H321" s="961">
        <f t="shared" si="60"/>
        <v>5</v>
      </c>
      <c r="I321" s="962">
        <v>0</v>
      </c>
      <c r="J321" s="968">
        <f>+NOMINA!BL319</f>
        <v>13.62</v>
      </c>
      <c r="K321" s="968">
        <f>+NOMINA!BM319</f>
        <v>1.7</v>
      </c>
      <c r="L321" s="968">
        <f>+NOMINA!BN319</f>
        <v>2.95</v>
      </c>
      <c r="M321" s="963">
        <f t="shared" si="61"/>
        <v>18.27</v>
      </c>
      <c r="N321" s="968">
        <f>+NOMINA!BR319</f>
        <v>30.64</v>
      </c>
      <c r="O321" s="968">
        <f>+NOMINA!BS319</f>
        <v>6.81</v>
      </c>
      <c r="P321" s="968">
        <f>+NOMINA!BT319</f>
        <v>5.9</v>
      </c>
      <c r="Q321" s="963">
        <f t="shared" si="62"/>
        <v>43.35</v>
      </c>
      <c r="R321" s="963">
        <f t="shared" si="63"/>
        <v>61.620000000000005</v>
      </c>
      <c r="S321" s="972">
        <v>0</v>
      </c>
      <c r="T321" s="443" t="e">
        <f>#REF!+#REF!-M321</f>
        <v>#REF!</v>
      </c>
      <c r="U321" s="952" t="e">
        <f>ROUND((#REF!+#REF!+#REF!+#REF!+#REF!+#REF!+#REF!+#REF!+#REF!),2)</f>
        <v>#REF!</v>
      </c>
      <c r="Y321" s="953" t="e">
        <f>#REF!+#REF!-M321</f>
        <v>#REF!</v>
      </c>
      <c r="Z321" s="954" t="e">
        <f>#REF!</f>
        <v>#REF!</v>
      </c>
      <c r="AA321" s="953" t="e">
        <f>#REF!+#REF!</f>
        <v>#REF!</v>
      </c>
      <c r="AB321" s="954" t="e">
        <f>#REF!</f>
        <v>#REF!</v>
      </c>
      <c r="AC321" s="955">
        <v>0</v>
      </c>
      <c r="AD321" s="954" t="e">
        <f>#REF!</f>
        <v>#REF!</v>
      </c>
      <c r="AE321" s="956" t="e">
        <f>#REF!+#REF!</f>
        <v>#REF!</v>
      </c>
      <c r="AF321" s="956" t="e">
        <f>#REF!+#REF!</f>
        <v>#REF!</v>
      </c>
      <c r="AG321" s="956"/>
      <c r="AH321" s="954" t="e">
        <f>#REF!</f>
        <v>#REF!</v>
      </c>
      <c r="AI321" s="954" t="e">
        <f t="shared" si="56"/>
        <v>#REF!</v>
      </c>
      <c r="AJ321" s="954">
        <f t="shared" si="57"/>
        <v>61.620000000000005</v>
      </c>
      <c r="AK321" s="954">
        <f t="shared" si="58"/>
        <v>0</v>
      </c>
      <c r="AL321" s="625"/>
    </row>
    <row r="322" spans="1:38" s="620" customFormat="1" ht="20.100000000000001" customHeight="1" x14ac:dyDescent="0.2">
      <c r="A322" s="759">
        <f t="shared" si="59"/>
        <v>16</v>
      </c>
      <c r="B322" s="957">
        <f>+NOMINA!C320</f>
        <v>9328045</v>
      </c>
      <c r="C322" s="958" t="str">
        <f>+NOMINA!D320</f>
        <v>Paredes Quintero Jose Benigno</v>
      </c>
      <c r="D322" s="955" t="s">
        <v>4622</v>
      </c>
      <c r="E322" s="959">
        <v>32351</v>
      </c>
      <c r="F322" s="955" t="s">
        <v>4620</v>
      </c>
      <c r="G322" s="971">
        <f>+NOMINA!H320</f>
        <v>44212</v>
      </c>
      <c r="H322" s="961">
        <f t="shared" si="60"/>
        <v>1</v>
      </c>
      <c r="I322" s="962">
        <v>0</v>
      </c>
      <c r="J322" s="968">
        <f>+NOMINA!BL320</f>
        <v>13.3</v>
      </c>
      <c r="K322" s="968">
        <f>+NOMINA!BM320</f>
        <v>1.66</v>
      </c>
      <c r="L322" s="968">
        <f>+NOMINA!BN320</f>
        <v>2.88</v>
      </c>
      <c r="M322" s="963">
        <f t="shared" si="61"/>
        <v>17.84</v>
      </c>
      <c r="N322" s="968">
        <f>+NOMINA!BR320</f>
        <v>29.92</v>
      </c>
      <c r="O322" s="968">
        <f>+NOMINA!BS320</f>
        <v>6.65</v>
      </c>
      <c r="P322" s="968">
        <f>+NOMINA!BT320</f>
        <v>5.76</v>
      </c>
      <c r="Q322" s="963">
        <f t="shared" si="62"/>
        <v>42.33</v>
      </c>
      <c r="R322" s="963">
        <f t="shared" si="63"/>
        <v>60.17</v>
      </c>
      <c r="S322" s="972">
        <v>0</v>
      </c>
      <c r="T322" s="443" t="e">
        <f>#REF!+#REF!-M322</f>
        <v>#REF!</v>
      </c>
      <c r="U322" s="952" t="e">
        <f>ROUND((#REF!+#REF!+#REF!+#REF!+#REF!+#REF!+#REF!+#REF!+#REF!),2)</f>
        <v>#REF!</v>
      </c>
      <c r="Y322" s="953" t="e">
        <f>#REF!+#REF!-M322</f>
        <v>#REF!</v>
      </c>
      <c r="Z322" s="954" t="e">
        <f>#REF!</f>
        <v>#REF!</v>
      </c>
      <c r="AA322" s="953" t="e">
        <f>#REF!+#REF!</f>
        <v>#REF!</v>
      </c>
      <c r="AB322" s="954" t="e">
        <f>#REF!</f>
        <v>#REF!</v>
      </c>
      <c r="AC322" s="955">
        <v>0</v>
      </c>
      <c r="AD322" s="954" t="e">
        <f>#REF!</f>
        <v>#REF!</v>
      </c>
      <c r="AE322" s="956" t="e">
        <f>#REF!+#REF!</f>
        <v>#REF!</v>
      </c>
      <c r="AF322" s="956" t="e">
        <f>#REF!+#REF!</f>
        <v>#REF!</v>
      </c>
      <c r="AG322" s="956"/>
      <c r="AH322" s="954" t="e">
        <f>#REF!</f>
        <v>#REF!</v>
      </c>
      <c r="AI322" s="954" t="e">
        <f t="shared" si="56"/>
        <v>#REF!</v>
      </c>
      <c r="AJ322" s="954">
        <f t="shared" si="57"/>
        <v>60.17</v>
      </c>
      <c r="AK322" s="954">
        <f t="shared" si="58"/>
        <v>0</v>
      </c>
      <c r="AL322" s="625"/>
    </row>
    <row r="323" spans="1:38" s="620" customFormat="1" ht="20.100000000000001" customHeight="1" x14ac:dyDescent="0.2">
      <c r="A323" s="759">
        <f t="shared" si="59"/>
        <v>17</v>
      </c>
      <c r="B323" s="957">
        <f>+NOMINA!C321</f>
        <v>10178456</v>
      </c>
      <c r="C323" s="958" t="str">
        <f>+NOMINA!D321</f>
        <v>Figueroa Roa Yudith Griselda</v>
      </c>
      <c r="D323" s="955" t="s">
        <v>4622</v>
      </c>
      <c r="E323" s="959">
        <v>32351</v>
      </c>
      <c r="F323" s="955" t="s">
        <v>4620</v>
      </c>
      <c r="G323" s="971">
        <f>+NOMINA!H321</f>
        <v>44287</v>
      </c>
      <c r="H323" s="961">
        <f t="shared" si="60"/>
        <v>1</v>
      </c>
      <c r="I323" s="962">
        <v>0</v>
      </c>
      <c r="J323" s="968">
        <f>+NOMINA!BL321</f>
        <v>12.24</v>
      </c>
      <c r="K323" s="968">
        <f>+NOMINA!BM321</f>
        <v>1.53</v>
      </c>
      <c r="L323" s="968">
        <f>+NOMINA!BN321</f>
        <v>2.65</v>
      </c>
      <c r="M323" s="963">
        <f t="shared" si="61"/>
        <v>16.420000000000002</v>
      </c>
      <c r="N323" s="968">
        <f>+NOMINA!BR321</f>
        <v>27.54</v>
      </c>
      <c r="O323" s="968">
        <f>+NOMINA!BS321</f>
        <v>6.12</v>
      </c>
      <c r="P323" s="968">
        <f>+NOMINA!BT321</f>
        <v>5.3</v>
      </c>
      <c r="Q323" s="963">
        <f t="shared" si="62"/>
        <v>38.96</v>
      </c>
      <c r="R323" s="963">
        <f t="shared" si="63"/>
        <v>55.38</v>
      </c>
      <c r="S323" s="972">
        <v>0</v>
      </c>
      <c r="T323" s="443" t="e">
        <f>#REF!+#REF!-M323</f>
        <v>#REF!</v>
      </c>
      <c r="U323" s="952" t="e">
        <f>ROUND((#REF!+#REF!+#REF!+#REF!+#REF!+#REF!+#REF!+#REF!+#REF!),2)</f>
        <v>#REF!</v>
      </c>
      <c r="Y323" s="953" t="e">
        <f>#REF!+#REF!-M323</f>
        <v>#REF!</v>
      </c>
      <c r="Z323" s="954" t="e">
        <f>#REF!</f>
        <v>#REF!</v>
      </c>
      <c r="AA323" s="953" t="e">
        <f>#REF!+#REF!</f>
        <v>#REF!</v>
      </c>
      <c r="AB323" s="954" t="e">
        <f>#REF!</f>
        <v>#REF!</v>
      </c>
      <c r="AC323" s="955">
        <v>0</v>
      </c>
      <c r="AD323" s="954" t="e">
        <f>#REF!</f>
        <v>#REF!</v>
      </c>
      <c r="AE323" s="956" t="e">
        <f>#REF!+#REF!</f>
        <v>#REF!</v>
      </c>
      <c r="AF323" s="956" t="e">
        <f>#REF!+#REF!</f>
        <v>#REF!</v>
      </c>
      <c r="AG323" s="956"/>
      <c r="AH323" s="954" t="e">
        <f>#REF!</f>
        <v>#REF!</v>
      </c>
      <c r="AI323" s="954" t="e">
        <f t="shared" si="56"/>
        <v>#REF!</v>
      </c>
      <c r="AJ323" s="954">
        <f t="shared" si="57"/>
        <v>55.38</v>
      </c>
      <c r="AK323" s="954">
        <f t="shared" si="58"/>
        <v>0</v>
      </c>
      <c r="AL323" s="625"/>
    </row>
    <row r="324" spans="1:38" s="620" customFormat="1" ht="20.100000000000001" customHeight="1" x14ac:dyDescent="0.2">
      <c r="A324" s="759">
        <f t="shared" si="59"/>
        <v>18</v>
      </c>
      <c r="B324" s="957">
        <f>+NOMINA!C322</f>
        <v>10317435</v>
      </c>
      <c r="C324" s="958" t="str">
        <f>+NOMINA!D322</f>
        <v>Milla Ana Julia</v>
      </c>
      <c r="D324" s="955" t="s">
        <v>4622</v>
      </c>
      <c r="E324" s="959">
        <v>32351</v>
      </c>
      <c r="F324" s="955" t="s">
        <v>4620</v>
      </c>
      <c r="G324" s="971">
        <f>+NOMINA!H322</f>
        <v>39559</v>
      </c>
      <c r="H324" s="961">
        <f t="shared" si="60"/>
        <v>14</v>
      </c>
      <c r="I324" s="962">
        <v>0</v>
      </c>
      <c r="J324" s="968">
        <f>+NOMINA!BL322</f>
        <v>13.27</v>
      </c>
      <c r="K324" s="968">
        <f>+NOMINA!BM322</f>
        <v>1.66</v>
      </c>
      <c r="L324" s="968">
        <f>+NOMINA!BN322</f>
        <v>2.88</v>
      </c>
      <c r="M324" s="963">
        <f t="shared" si="61"/>
        <v>17.809999999999999</v>
      </c>
      <c r="N324" s="968">
        <f>+NOMINA!BR322</f>
        <v>29.86</v>
      </c>
      <c r="O324" s="968">
        <f>+NOMINA!BS322</f>
        <v>6.64</v>
      </c>
      <c r="P324" s="968">
        <f>+NOMINA!BT322</f>
        <v>5.76</v>
      </c>
      <c r="Q324" s="963">
        <f t="shared" si="62"/>
        <v>42.26</v>
      </c>
      <c r="R324" s="963">
        <f t="shared" si="63"/>
        <v>60.069999999999993</v>
      </c>
      <c r="S324" s="972">
        <v>0</v>
      </c>
      <c r="T324" s="443" t="e">
        <f>#REF!+#REF!-M324</f>
        <v>#REF!</v>
      </c>
      <c r="U324" s="952" t="e">
        <f>ROUND((#REF!+#REF!+#REF!+#REF!+#REF!+#REF!+#REF!+#REF!+#REF!),2)</f>
        <v>#REF!</v>
      </c>
      <c r="Y324" s="953" t="e">
        <f>#REF!+#REF!-M324</f>
        <v>#REF!</v>
      </c>
      <c r="Z324" s="954" t="e">
        <f>#REF!</f>
        <v>#REF!</v>
      </c>
      <c r="AA324" s="953" t="e">
        <f>#REF!+#REF!</f>
        <v>#REF!</v>
      </c>
      <c r="AB324" s="954" t="e">
        <f>#REF!</f>
        <v>#REF!</v>
      </c>
      <c r="AC324" s="955">
        <v>0</v>
      </c>
      <c r="AD324" s="954" t="e">
        <f>#REF!</f>
        <v>#REF!</v>
      </c>
      <c r="AE324" s="956" t="e">
        <f>#REF!+#REF!</f>
        <v>#REF!</v>
      </c>
      <c r="AF324" s="956" t="e">
        <f>#REF!+#REF!</f>
        <v>#REF!</v>
      </c>
      <c r="AG324" s="956"/>
      <c r="AH324" s="954" t="e">
        <f>#REF!</f>
        <v>#REF!</v>
      </c>
      <c r="AI324" s="954" t="e">
        <f t="shared" si="56"/>
        <v>#REF!</v>
      </c>
      <c r="AJ324" s="954">
        <f t="shared" si="57"/>
        <v>60.069999999999993</v>
      </c>
      <c r="AK324" s="954">
        <f t="shared" si="58"/>
        <v>0</v>
      </c>
      <c r="AL324" s="625"/>
    </row>
    <row r="325" spans="1:38" s="620" customFormat="1" ht="20.100000000000001" customHeight="1" x14ac:dyDescent="0.2">
      <c r="A325" s="759">
        <f t="shared" si="59"/>
        <v>19</v>
      </c>
      <c r="B325" s="957">
        <f>+NOMINA!C323</f>
        <v>10396367</v>
      </c>
      <c r="C325" s="958" t="str">
        <f>+NOMINA!D323</f>
        <v>Hidalgo Linares Gloria Margarita</v>
      </c>
      <c r="D325" s="955" t="s">
        <v>4622</v>
      </c>
      <c r="E325" s="959">
        <v>32351</v>
      </c>
      <c r="F325" s="955" t="s">
        <v>4620</v>
      </c>
      <c r="G325" s="971">
        <f>+NOMINA!H323</f>
        <v>39722</v>
      </c>
      <c r="H325" s="961">
        <f t="shared" si="60"/>
        <v>14</v>
      </c>
      <c r="I325" s="962">
        <v>0</v>
      </c>
      <c r="J325" s="968">
        <f>+NOMINA!BL323</f>
        <v>15.44</v>
      </c>
      <c r="K325" s="968">
        <f>+NOMINA!BM323</f>
        <v>1.93</v>
      </c>
      <c r="L325" s="968">
        <f>+NOMINA!BN323</f>
        <v>3.35</v>
      </c>
      <c r="M325" s="963">
        <f t="shared" si="61"/>
        <v>20.72</v>
      </c>
      <c r="N325" s="968">
        <f>+NOMINA!BR323</f>
        <v>34.74</v>
      </c>
      <c r="O325" s="968">
        <f>+NOMINA!BS323</f>
        <v>7.72</v>
      </c>
      <c r="P325" s="968">
        <f>+NOMINA!BT323</f>
        <v>6.7</v>
      </c>
      <c r="Q325" s="963">
        <f t="shared" si="62"/>
        <v>49.16</v>
      </c>
      <c r="R325" s="963">
        <f t="shared" si="63"/>
        <v>69.88</v>
      </c>
      <c r="S325" s="972">
        <v>0</v>
      </c>
      <c r="T325" s="443" t="e">
        <f>#REF!+#REF!-M325</f>
        <v>#REF!</v>
      </c>
      <c r="U325" s="952" t="e">
        <f>ROUND((#REF!+#REF!+#REF!+#REF!+#REF!+#REF!+#REF!+#REF!+#REF!),2)</f>
        <v>#REF!</v>
      </c>
      <c r="Y325" s="953" t="e">
        <f>#REF!+#REF!-M325</f>
        <v>#REF!</v>
      </c>
      <c r="Z325" s="954" t="e">
        <f>#REF!</f>
        <v>#REF!</v>
      </c>
      <c r="AA325" s="953" t="e">
        <f>#REF!+#REF!</f>
        <v>#REF!</v>
      </c>
      <c r="AB325" s="954" t="e">
        <f>#REF!</f>
        <v>#REF!</v>
      </c>
      <c r="AC325" s="955">
        <v>0</v>
      </c>
      <c r="AD325" s="954" t="e">
        <f>#REF!</f>
        <v>#REF!</v>
      </c>
      <c r="AE325" s="956" t="e">
        <f>#REF!+#REF!</f>
        <v>#REF!</v>
      </c>
      <c r="AF325" s="956" t="e">
        <f>#REF!+#REF!</f>
        <v>#REF!</v>
      </c>
      <c r="AG325" s="956"/>
      <c r="AH325" s="954" t="e">
        <f>#REF!</f>
        <v>#REF!</v>
      </c>
      <c r="AI325" s="954" t="e">
        <f t="shared" si="56"/>
        <v>#REF!</v>
      </c>
      <c r="AJ325" s="954">
        <f t="shared" si="57"/>
        <v>69.88</v>
      </c>
      <c r="AK325" s="954">
        <f t="shared" si="58"/>
        <v>0</v>
      </c>
      <c r="AL325" s="625"/>
    </row>
    <row r="326" spans="1:38" s="620" customFormat="1" ht="20.100000000000001" customHeight="1" x14ac:dyDescent="0.2">
      <c r="A326" s="759">
        <f t="shared" si="59"/>
        <v>20</v>
      </c>
      <c r="B326" s="957">
        <f>+NOMINA!C324</f>
        <v>10399474</v>
      </c>
      <c r="C326" s="958" t="str">
        <f>+NOMINA!D324</f>
        <v>Ramirez Araujo Teresa Maria</v>
      </c>
      <c r="D326" s="955" t="s">
        <v>4622</v>
      </c>
      <c r="E326" s="959">
        <v>32351</v>
      </c>
      <c r="F326" s="955" t="s">
        <v>4620</v>
      </c>
      <c r="G326" s="971">
        <f>+NOMINA!H324</f>
        <v>45597</v>
      </c>
      <c r="H326" s="961">
        <f t="shared" si="60"/>
        <v>0</v>
      </c>
      <c r="I326" s="962">
        <v>0</v>
      </c>
      <c r="J326" s="968">
        <f>+NOMINA!BL324</f>
        <v>12.55</v>
      </c>
      <c r="K326" s="968">
        <f>+NOMINA!BM324</f>
        <v>1.57</v>
      </c>
      <c r="L326" s="968">
        <f>+NOMINA!BN324</f>
        <v>2.72</v>
      </c>
      <c r="M326" s="963">
        <f t="shared" si="61"/>
        <v>16.84</v>
      </c>
      <c r="N326" s="968">
        <f>+NOMINA!BR324</f>
        <v>28.25</v>
      </c>
      <c r="O326" s="968">
        <f>+NOMINA!BS324</f>
        <v>6.28</v>
      </c>
      <c r="P326" s="968">
        <f>+NOMINA!BT324</f>
        <v>5.44</v>
      </c>
      <c r="Q326" s="963">
        <f t="shared" si="62"/>
        <v>39.97</v>
      </c>
      <c r="R326" s="963">
        <f t="shared" si="63"/>
        <v>56.81</v>
      </c>
      <c r="S326" s="972">
        <v>0</v>
      </c>
      <c r="T326" s="443" t="e">
        <f>#REF!+#REF!-M326</f>
        <v>#REF!</v>
      </c>
      <c r="U326" s="952" t="e">
        <f>ROUND((#REF!+#REF!+#REF!+#REF!+#REF!+#REF!+#REF!+#REF!+#REF!),2)</f>
        <v>#REF!</v>
      </c>
      <c r="Y326" s="953" t="e">
        <f>#REF!+#REF!-M326</f>
        <v>#REF!</v>
      </c>
      <c r="Z326" s="954" t="e">
        <f>#REF!</f>
        <v>#REF!</v>
      </c>
      <c r="AA326" s="953" t="e">
        <f>#REF!+#REF!</f>
        <v>#REF!</v>
      </c>
      <c r="AB326" s="954" t="e">
        <f>#REF!</f>
        <v>#REF!</v>
      </c>
      <c r="AC326" s="955">
        <v>0</v>
      </c>
      <c r="AD326" s="954" t="e">
        <f>#REF!</f>
        <v>#REF!</v>
      </c>
      <c r="AE326" s="956" t="e">
        <f>#REF!+#REF!</f>
        <v>#REF!</v>
      </c>
      <c r="AF326" s="956" t="e">
        <f>#REF!+#REF!</f>
        <v>#REF!</v>
      </c>
      <c r="AG326" s="956"/>
      <c r="AH326" s="954" t="e">
        <f>#REF!</f>
        <v>#REF!</v>
      </c>
      <c r="AI326" s="954" t="e">
        <f t="shared" si="56"/>
        <v>#REF!</v>
      </c>
      <c r="AJ326" s="954">
        <f t="shared" si="57"/>
        <v>56.81</v>
      </c>
      <c r="AK326" s="954">
        <f t="shared" si="58"/>
        <v>0</v>
      </c>
      <c r="AL326" s="625"/>
    </row>
    <row r="327" spans="1:38" s="620" customFormat="1" ht="20.100000000000001" customHeight="1" x14ac:dyDescent="0.2">
      <c r="A327" s="759">
        <f t="shared" si="59"/>
        <v>21</v>
      </c>
      <c r="B327" s="957">
        <f>+NOMINA!C325</f>
        <v>10401329</v>
      </c>
      <c r="C327" s="958" t="str">
        <f>+NOMINA!D325</f>
        <v>Gonzalez Torres Orangel Ramon</v>
      </c>
      <c r="D327" s="955" t="s">
        <v>4622</v>
      </c>
      <c r="E327" s="959">
        <v>32351</v>
      </c>
      <c r="F327" s="955" t="s">
        <v>4620</v>
      </c>
      <c r="G327" s="971">
        <f>+NOMINA!H325</f>
        <v>39539</v>
      </c>
      <c r="H327" s="961">
        <f t="shared" si="60"/>
        <v>14</v>
      </c>
      <c r="I327" s="962">
        <v>0</v>
      </c>
      <c r="J327" s="968">
        <f>+NOMINA!BL325</f>
        <v>20.239999999999998</v>
      </c>
      <c r="K327" s="968">
        <f>+NOMINA!BM325</f>
        <v>2.5299999999999998</v>
      </c>
      <c r="L327" s="968">
        <f>+NOMINA!BN325</f>
        <v>4.38</v>
      </c>
      <c r="M327" s="963">
        <f t="shared" si="61"/>
        <v>27.15</v>
      </c>
      <c r="N327" s="968">
        <f>+NOMINA!BR325</f>
        <v>45.53</v>
      </c>
      <c r="O327" s="968">
        <f>+NOMINA!BS325</f>
        <v>10.119999999999999</v>
      </c>
      <c r="P327" s="968">
        <f>+NOMINA!BT325</f>
        <v>8.76</v>
      </c>
      <c r="Q327" s="963">
        <f t="shared" si="62"/>
        <v>64.41</v>
      </c>
      <c r="R327" s="963">
        <f t="shared" si="63"/>
        <v>91.56</v>
      </c>
      <c r="S327" s="972">
        <v>0</v>
      </c>
      <c r="T327" s="443" t="e">
        <f>#REF!+#REF!-M327</f>
        <v>#REF!</v>
      </c>
      <c r="U327" s="952" t="e">
        <f>ROUND((#REF!+#REF!+#REF!+#REF!+#REF!+#REF!+#REF!+#REF!+#REF!),2)</f>
        <v>#REF!</v>
      </c>
      <c r="Y327" s="953" t="e">
        <f>#REF!+#REF!-M327</f>
        <v>#REF!</v>
      </c>
      <c r="Z327" s="954" t="e">
        <f>#REF!</f>
        <v>#REF!</v>
      </c>
      <c r="AA327" s="953" t="e">
        <f>#REF!+#REF!</f>
        <v>#REF!</v>
      </c>
      <c r="AB327" s="954" t="e">
        <f>#REF!</f>
        <v>#REF!</v>
      </c>
      <c r="AC327" s="955">
        <v>0</v>
      </c>
      <c r="AD327" s="954" t="e">
        <f>#REF!</f>
        <v>#REF!</v>
      </c>
      <c r="AE327" s="956" t="e">
        <f>#REF!+#REF!</f>
        <v>#REF!</v>
      </c>
      <c r="AF327" s="956" t="e">
        <f>#REF!+#REF!</f>
        <v>#REF!</v>
      </c>
      <c r="AG327" s="956"/>
      <c r="AH327" s="954" t="e">
        <f>#REF!</f>
        <v>#REF!</v>
      </c>
      <c r="AI327" s="954" t="e">
        <f t="shared" si="56"/>
        <v>#REF!</v>
      </c>
      <c r="AJ327" s="954">
        <f t="shared" si="57"/>
        <v>91.56</v>
      </c>
      <c r="AK327" s="954">
        <f t="shared" si="58"/>
        <v>0</v>
      </c>
      <c r="AL327" s="625"/>
    </row>
    <row r="328" spans="1:38" s="620" customFormat="1" ht="20.100000000000001" customHeight="1" x14ac:dyDescent="0.2">
      <c r="A328" s="759">
        <f t="shared" si="59"/>
        <v>22</v>
      </c>
      <c r="B328" s="957">
        <f>+NOMINA!C326</f>
        <v>10907687</v>
      </c>
      <c r="C328" s="958" t="str">
        <f>+NOMINA!D326</f>
        <v>Viloria Garcia Karina Liseth</v>
      </c>
      <c r="D328" s="955" t="s">
        <v>4622</v>
      </c>
      <c r="E328" s="959">
        <v>32351</v>
      </c>
      <c r="F328" s="955" t="s">
        <v>4620</v>
      </c>
      <c r="G328" s="971">
        <f>+NOMINA!H326</f>
        <v>38749</v>
      </c>
      <c r="H328" s="961">
        <f t="shared" si="60"/>
        <v>16</v>
      </c>
      <c r="I328" s="962">
        <v>0</v>
      </c>
      <c r="J328" s="968">
        <f>+NOMINA!BL326</f>
        <v>15.82</v>
      </c>
      <c r="K328" s="968">
        <f>+NOMINA!BM326</f>
        <v>1.98</v>
      </c>
      <c r="L328" s="968">
        <f>+NOMINA!BN326</f>
        <v>3.43</v>
      </c>
      <c r="M328" s="963">
        <f t="shared" si="61"/>
        <v>21.23</v>
      </c>
      <c r="N328" s="968">
        <f>+NOMINA!BR326</f>
        <v>35.590000000000003</v>
      </c>
      <c r="O328" s="968">
        <f>+NOMINA!BS326</f>
        <v>7.91</v>
      </c>
      <c r="P328" s="968">
        <f>+NOMINA!BT326</f>
        <v>6.86</v>
      </c>
      <c r="Q328" s="963">
        <f t="shared" si="62"/>
        <v>50.36</v>
      </c>
      <c r="R328" s="963">
        <f t="shared" si="63"/>
        <v>71.59</v>
      </c>
      <c r="S328" s="972">
        <v>0</v>
      </c>
      <c r="T328" s="443" t="e">
        <f>#REF!+#REF!-M328</f>
        <v>#REF!</v>
      </c>
      <c r="U328" s="952" t="e">
        <f>ROUND((#REF!+#REF!+#REF!+#REF!+#REF!+#REF!+#REF!+#REF!+#REF!),2)</f>
        <v>#REF!</v>
      </c>
      <c r="Y328" s="953" t="e">
        <f>#REF!+#REF!-M328</f>
        <v>#REF!</v>
      </c>
      <c r="Z328" s="954" t="e">
        <f>#REF!</f>
        <v>#REF!</v>
      </c>
      <c r="AA328" s="953" t="e">
        <f>#REF!+#REF!</f>
        <v>#REF!</v>
      </c>
      <c r="AB328" s="954" t="e">
        <f>#REF!</f>
        <v>#REF!</v>
      </c>
      <c r="AC328" s="955">
        <v>0</v>
      </c>
      <c r="AD328" s="954" t="e">
        <f>#REF!</f>
        <v>#REF!</v>
      </c>
      <c r="AE328" s="956" t="e">
        <f>#REF!+#REF!</f>
        <v>#REF!</v>
      </c>
      <c r="AF328" s="956" t="e">
        <f>#REF!+#REF!</f>
        <v>#REF!</v>
      </c>
      <c r="AG328" s="956"/>
      <c r="AH328" s="954" t="e">
        <f>#REF!</f>
        <v>#REF!</v>
      </c>
      <c r="AI328" s="954" t="e">
        <f t="shared" si="56"/>
        <v>#REF!</v>
      </c>
      <c r="AJ328" s="954">
        <f t="shared" si="57"/>
        <v>71.59</v>
      </c>
      <c r="AK328" s="954">
        <f t="shared" si="58"/>
        <v>0</v>
      </c>
      <c r="AL328" s="625"/>
    </row>
    <row r="329" spans="1:38" s="620" customFormat="1" ht="20.100000000000001" customHeight="1" x14ac:dyDescent="0.2">
      <c r="A329" s="759">
        <f t="shared" si="59"/>
        <v>23</v>
      </c>
      <c r="B329" s="957">
        <f>+NOMINA!C327</f>
        <v>10908543</v>
      </c>
      <c r="C329" s="958" t="str">
        <f>+NOMINA!D327</f>
        <v>Quintero Eric Ludwig</v>
      </c>
      <c r="D329" s="955" t="s">
        <v>4622</v>
      </c>
      <c r="E329" s="959">
        <v>32351</v>
      </c>
      <c r="F329" s="955" t="s">
        <v>4620</v>
      </c>
      <c r="G329" s="971">
        <f>+NOMINA!H327</f>
        <v>42751</v>
      </c>
      <c r="H329" s="961">
        <f t="shared" si="60"/>
        <v>5</v>
      </c>
      <c r="I329" s="962">
        <v>0</v>
      </c>
      <c r="J329" s="968">
        <f>+NOMINA!BL327</f>
        <v>14.57</v>
      </c>
      <c r="K329" s="968">
        <f>+NOMINA!BM327</f>
        <v>1.82</v>
      </c>
      <c r="L329" s="968">
        <f>+NOMINA!BN327</f>
        <v>3.16</v>
      </c>
      <c r="M329" s="963">
        <f t="shared" si="61"/>
        <v>19.55</v>
      </c>
      <c r="N329" s="968">
        <f>+NOMINA!BR327</f>
        <v>32.79</v>
      </c>
      <c r="O329" s="968">
        <f>+NOMINA!BS327</f>
        <v>7.29</v>
      </c>
      <c r="P329" s="968">
        <f>+NOMINA!BT327</f>
        <v>6.32</v>
      </c>
      <c r="Q329" s="963">
        <f t="shared" si="62"/>
        <v>46.4</v>
      </c>
      <c r="R329" s="963">
        <f t="shared" si="63"/>
        <v>65.95</v>
      </c>
      <c r="S329" s="972">
        <v>0</v>
      </c>
      <c r="T329" s="443" t="e">
        <f>#REF!+#REF!-M329</f>
        <v>#REF!</v>
      </c>
      <c r="U329" s="952" t="e">
        <f>ROUND((#REF!+#REF!+#REF!+#REF!+#REF!+#REF!+#REF!+#REF!+#REF!),2)</f>
        <v>#REF!</v>
      </c>
      <c r="Y329" s="953" t="e">
        <f>#REF!+#REF!-M329</f>
        <v>#REF!</v>
      </c>
      <c r="Z329" s="954" t="e">
        <f>#REF!</f>
        <v>#REF!</v>
      </c>
      <c r="AA329" s="953" t="e">
        <f>#REF!+#REF!</f>
        <v>#REF!</v>
      </c>
      <c r="AB329" s="954" t="e">
        <f>#REF!</f>
        <v>#REF!</v>
      </c>
      <c r="AC329" s="955">
        <v>0</v>
      </c>
      <c r="AD329" s="954" t="e">
        <f>#REF!</f>
        <v>#REF!</v>
      </c>
      <c r="AE329" s="956" t="e">
        <f>#REF!+#REF!</f>
        <v>#REF!</v>
      </c>
      <c r="AF329" s="956" t="e">
        <f>#REF!+#REF!</f>
        <v>#REF!</v>
      </c>
      <c r="AG329" s="956"/>
      <c r="AH329" s="954" t="e">
        <f>#REF!</f>
        <v>#REF!</v>
      </c>
      <c r="AI329" s="954" t="e">
        <f t="shared" si="56"/>
        <v>#REF!</v>
      </c>
      <c r="AJ329" s="954">
        <f t="shared" si="57"/>
        <v>65.95</v>
      </c>
      <c r="AK329" s="954">
        <f t="shared" si="58"/>
        <v>0</v>
      </c>
      <c r="AL329" s="625"/>
    </row>
    <row r="330" spans="1:38" s="620" customFormat="1" ht="20.100000000000001" customHeight="1" x14ac:dyDescent="0.2">
      <c r="A330" s="759">
        <f t="shared" si="59"/>
        <v>24</v>
      </c>
      <c r="B330" s="957">
        <f>+NOMINA!C328</f>
        <v>10909678</v>
      </c>
      <c r="C330" s="958" t="str">
        <f>+NOMINA!D328</f>
        <v>Delgado Jose Argenis</v>
      </c>
      <c r="D330" s="955" t="s">
        <v>4622</v>
      </c>
      <c r="E330" s="959">
        <v>32351</v>
      </c>
      <c r="F330" s="955" t="s">
        <v>4620</v>
      </c>
      <c r="G330" s="971">
        <f>+NOMINA!H328</f>
        <v>43952</v>
      </c>
      <c r="H330" s="961">
        <f t="shared" si="60"/>
        <v>2</v>
      </c>
      <c r="I330" s="962">
        <v>0</v>
      </c>
      <c r="J330" s="968">
        <f>+NOMINA!BL328</f>
        <v>12.3</v>
      </c>
      <c r="K330" s="968">
        <f>+NOMINA!BM328</f>
        <v>1.54</v>
      </c>
      <c r="L330" s="968">
        <f>+NOMINA!BN328</f>
        <v>2.67</v>
      </c>
      <c r="M330" s="963">
        <f t="shared" si="61"/>
        <v>16.510000000000002</v>
      </c>
      <c r="N330" s="968">
        <f>+NOMINA!BR328</f>
        <v>27.68</v>
      </c>
      <c r="O330" s="968">
        <f>+NOMINA!BS328</f>
        <v>6.15</v>
      </c>
      <c r="P330" s="968">
        <f>+NOMINA!BT328</f>
        <v>5.34</v>
      </c>
      <c r="Q330" s="963">
        <f t="shared" si="62"/>
        <v>39.17</v>
      </c>
      <c r="R330" s="963">
        <f t="shared" si="63"/>
        <v>55.680000000000007</v>
      </c>
      <c r="S330" s="972">
        <v>0</v>
      </c>
      <c r="T330" s="443" t="e">
        <f>#REF!+#REF!-M330</f>
        <v>#REF!</v>
      </c>
      <c r="U330" s="952" t="e">
        <f>ROUND((#REF!+#REF!+#REF!+#REF!+#REF!+#REF!+#REF!+#REF!+#REF!),2)</f>
        <v>#REF!</v>
      </c>
      <c r="Y330" s="953" t="e">
        <f>#REF!+#REF!-M330</f>
        <v>#REF!</v>
      </c>
      <c r="Z330" s="954" t="e">
        <f>#REF!</f>
        <v>#REF!</v>
      </c>
      <c r="AA330" s="953" t="e">
        <f>#REF!+#REF!</f>
        <v>#REF!</v>
      </c>
      <c r="AB330" s="954" t="e">
        <f>#REF!</f>
        <v>#REF!</v>
      </c>
      <c r="AC330" s="955">
        <v>0</v>
      </c>
      <c r="AD330" s="954" t="e">
        <f>#REF!</f>
        <v>#REF!</v>
      </c>
      <c r="AE330" s="956" t="e">
        <f>#REF!+#REF!</f>
        <v>#REF!</v>
      </c>
      <c r="AF330" s="956" t="e">
        <f>#REF!+#REF!</f>
        <v>#REF!</v>
      </c>
      <c r="AG330" s="956"/>
      <c r="AH330" s="954" t="e">
        <f>#REF!</f>
        <v>#REF!</v>
      </c>
      <c r="AI330" s="954" t="e">
        <f t="shared" si="56"/>
        <v>#REF!</v>
      </c>
      <c r="AJ330" s="954">
        <f t="shared" si="57"/>
        <v>55.680000000000007</v>
      </c>
      <c r="AK330" s="954">
        <f t="shared" si="58"/>
        <v>0</v>
      </c>
      <c r="AL330" s="625"/>
    </row>
    <row r="331" spans="1:38" s="620" customFormat="1" ht="20.100000000000001" customHeight="1" x14ac:dyDescent="0.2">
      <c r="A331" s="759">
        <f t="shared" si="59"/>
        <v>25</v>
      </c>
      <c r="B331" s="957">
        <f>+NOMINA!C329</f>
        <v>10909819</v>
      </c>
      <c r="C331" s="958" t="str">
        <f>+NOMINA!D329</f>
        <v>Carrizo Jose Waldo</v>
      </c>
      <c r="D331" s="955" t="s">
        <v>4622</v>
      </c>
      <c r="E331" s="959">
        <v>32351</v>
      </c>
      <c r="F331" s="955" t="s">
        <v>4620</v>
      </c>
      <c r="G331" s="971">
        <f>+NOMINA!H329</f>
        <v>43359</v>
      </c>
      <c r="H331" s="961">
        <f t="shared" si="60"/>
        <v>4</v>
      </c>
      <c r="I331" s="962">
        <v>0</v>
      </c>
      <c r="J331" s="968">
        <f>+NOMINA!BL329</f>
        <v>14.48</v>
      </c>
      <c r="K331" s="968">
        <f>+NOMINA!BM329</f>
        <v>1.81</v>
      </c>
      <c r="L331" s="968">
        <f>+NOMINA!BN329</f>
        <v>3.14</v>
      </c>
      <c r="M331" s="963">
        <f t="shared" si="61"/>
        <v>19.43</v>
      </c>
      <c r="N331" s="968">
        <f>+NOMINA!BR329</f>
        <v>32.57</v>
      </c>
      <c r="O331" s="968">
        <f>+NOMINA!BS329</f>
        <v>7.24</v>
      </c>
      <c r="P331" s="968">
        <f>+NOMINA!BT329</f>
        <v>6.28</v>
      </c>
      <c r="Q331" s="963">
        <f t="shared" si="62"/>
        <v>46.09</v>
      </c>
      <c r="R331" s="963">
        <f t="shared" si="63"/>
        <v>65.52000000000001</v>
      </c>
      <c r="S331" s="972">
        <v>0</v>
      </c>
      <c r="T331" s="443" t="e">
        <f>#REF!+#REF!-M331</f>
        <v>#REF!</v>
      </c>
      <c r="U331" s="952" t="e">
        <f>ROUND((#REF!+#REF!+#REF!+#REF!+#REF!+#REF!+#REF!+#REF!+#REF!),2)</f>
        <v>#REF!</v>
      </c>
      <c r="Y331" s="953" t="e">
        <f>#REF!+#REF!-M331</f>
        <v>#REF!</v>
      </c>
      <c r="Z331" s="954" t="e">
        <f>#REF!</f>
        <v>#REF!</v>
      </c>
      <c r="AA331" s="953" t="e">
        <f>#REF!+#REF!</f>
        <v>#REF!</v>
      </c>
      <c r="AB331" s="954" t="e">
        <f>#REF!</f>
        <v>#REF!</v>
      </c>
      <c r="AC331" s="955">
        <v>0</v>
      </c>
      <c r="AD331" s="954" t="e">
        <f>#REF!</f>
        <v>#REF!</v>
      </c>
      <c r="AE331" s="956" t="e">
        <f>#REF!+#REF!</f>
        <v>#REF!</v>
      </c>
      <c r="AF331" s="956" t="e">
        <f>#REF!+#REF!</f>
        <v>#REF!</v>
      </c>
      <c r="AG331" s="956"/>
      <c r="AH331" s="954" t="e">
        <f>#REF!</f>
        <v>#REF!</v>
      </c>
      <c r="AI331" s="954" t="e">
        <f t="shared" si="56"/>
        <v>#REF!</v>
      </c>
      <c r="AJ331" s="954">
        <f t="shared" si="57"/>
        <v>65.52000000000001</v>
      </c>
      <c r="AK331" s="954">
        <f t="shared" si="58"/>
        <v>0</v>
      </c>
      <c r="AL331" s="625"/>
    </row>
    <row r="332" spans="1:38" s="620" customFormat="1" ht="20.100000000000001" customHeight="1" x14ac:dyDescent="0.2">
      <c r="A332" s="759">
        <f t="shared" si="59"/>
        <v>26</v>
      </c>
      <c r="B332" s="957">
        <f>+NOMINA!C330</f>
        <v>10912635</v>
      </c>
      <c r="C332" s="958" t="str">
        <f>+NOMINA!D330</f>
        <v>Gutierrez Briceño Jose Orangel</v>
      </c>
      <c r="D332" s="955" t="s">
        <v>4622</v>
      </c>
      <c r="E332" s="959">
        <v>32351</v>
      </c>
      <c r="F332" s="955" t="s">
        <v>4620</v>
      </c>
      <c r="G332" s="971">
        <f>+NOMINA!H330</f>
        <v>44348</v>
      </c>
      <c r="H332" s="961">
        <f t="shared" si="60"/>
        <v>1</v>
      </c>
      <c r="I332" s="962">
        <v>0</v>
      </c>
      <c r="J332" s="968">
        <f>+NOMINA!BL330</f>
        <v>13.3</v>
      </c>
      <c r="K332" s="968">
        <f>+NOMINA!BM330</f>
        <v>1.66</v>
      </c>
      <c r="L332" s="968">
        <f>+NOMINA!BN330</f>
        <v>2.88</v>
      </c>
      <c r="M332" s="963">
        <f t="shared" si="61"/>
        <v>17.84</v>
      </c>
      <c r="N332" s="968">
        <f>+NOMINA!BR330</f>
        <v>29.92</v>
      </c>
      <c r="O332" s="968">
        <f>+NOMINA!BS330</f>
        <v>6.65</v>
      </c>
      <c r="P332" s="968">
        <f>+NOMINA!BT330</f>
        <v>5.76</v>
      </c>
      <c r="Q332" s="963">
        <f t="shared" si="62"/>
        <v>42.33</v>
      </c>
      <c r="R332" s="963">
        <f t="shared" si="63"/>
        <v>60.17</v>
      </c>
      <c r="S332" s="972">
        <v>0</v>
      </c>
      <c r="T332" s="443" t="e">
        <f>#REF!+#REF!-M332</f>
        <v>#REF!</v>
      </c>
      <c r="U332" s="952" t="e">
        <f>ROUND((#REF!+#REF!+#REF!+#REF!+#REF!+#REF!+#REF!+#REF!+#REF!),2)</f>
        <v>#REF!</v>
      </c>
      <c r="Y332" s="953" t="e">
        <f>#REF!+#REF!-M332</f>
        <v>#REF!</v>
      </c>
      <c r="Z332" s="954" t="e">
        <f>#REF!</f>
        <v>#REF!</v>
      </c>
      <c r="AA332" s="953" t="e">
        <f>#REF!+#REF!</f>
        <v>#REF!</v>
      </c>
      <c r="AB332" s="954" t="e">
        <f>#REF!</f>
        <v>#REF!</v>
      </c>
      <c r="AC332" s="955">
        <v>0</v>
      </c>
      <c r="AD332" s="954" t="e">
        <f>#REF!</f>
        <v>#REF!</v>
      </c>
      <c r="AE332" s="956" t="e">
        <f>#REF!+#REF!</f>
        <v>#REF!</v>
      </c>
      <c r="AF332" s="956" t="e">
        <f>#REF!+#REF!</f>
        <v>#REF!</v>
      </c>
      <c r="AG332" s="956"/>
      <c r="AH332" s="954" t="e">
        <f>#REF!</f>
        <v>#REF!</v>
      </c>
      <c r="AI332" s="954" t="e">
        <f t="shared" si="56"/>
        <v>#REF!</v>
      </c>
      <c r="AJ332" s="954">
        <f t="shared" si="57"/>
        <v>60.17</v>
      </c>
      <c r="AK332" s="954">
        <f t="shared" si="58"/>
        <v>0</v>
      </c>
      <c r="AL332" s="625"/>
    </row>
    <row r="333" spans="1:38" s="620" customFormat="1" ht="20.100000000000001" customHeight="1" x14ac:dyDescent="0.2">
      <c r="A333" s="759">
        <f t="shared" si="59"/>
        <v>27</v>
      </c>
      <c r="B333" s="957">
        <f>+NOMINA!C331</f>
        <v>10915274</v>
      </c>
      <c r="C333" s="958" t="str">
        <f>+NOMINA!D331</f>
        <v>Montilla Vergara Belkys Josefina</v>
      </c>
      <c r="D333" s="955" t="s">
        <v>4622</v>
      </c>
      <c r="E333" s="959">
        <v>32351</v>
      </c>
      <c r="F333" s="955" t="s">
        <v>4620</v>
      </c>
      <c r="G333" s="971">
        <f>+NOMINA!H331</f>
        <v>44635</v>
      </c>
      <c r="H333" s="961">
        <f t="shared" si="60"/>
        <v>0</v>
      </c>
      <c r="I333" s="962">
        <v>0</v>
      </c>
      <c r="J333" s="968">
        <f>+NOMINA!BL331</f>
        <v>13.23</v>
      </c>
      <c r="K333" s="968">
        <f>+NOMINA!BM331</f>
        <v>1.65</v>
      </c>
      <c r="L333" s="968">
        <f>+NOMINA!BN331</f>
        <v>2.87</v>
      </c>
      <c r="M333" s="963">
        <f t="shared" si="61"/>
        <v>17.75</v>
      </c>
      <c r="N333" s="968">
        <f>+NOMINA!BR331</f>
        <v>29.76</v>
      </c>
      <c r="O333" s="968">
        <f>+NOMINA!BS331</f>
        <v>6.61</v>
      </c>
      <c r="P333" s="968">
        <f>+NOMINA!BT331</f>
        <v>5.74</v>
      </c>
      <c r="Q333" s="963">
        <f t="shared" si="62"/>
        <v>42.11</v>
      </c>
      <c r="R333" s="963">
        <f t="shared" si="63"/>
        <v>59.86</v>
      </c>
      <c r="S333" s="972">
        <v>0</v>
      </c>
      <c r="T333" s="443" t="e">
        <f>#REF!+#REF!-M333</f>
        <v>#REF!</v>
      </c>
      <c r="U333" s="952" t="e">
        <f>ROUND((#REF!+#REF!+#REF!+#REF!+#REF!+#REF!+#REF!+#REF!+#REF!),2)</f>
        <v>#REF!</v>
      </c>
      <c r="Y333" s="953" t="e">
        <f>#REF!+#REF!-M333</f>
        <v>#REF!</v>
      </c>
      <c r="Z333" s="954" t="e">
        <f>#REF!</f>
        <v>#REF!</v>
      </c>
      <c r="AA333" s="953" t="e">
        <f>#REF!+#REF!</f>
        <v>#REF!</v>
      </c>
      <c r="AB333" s="954" t="e">
        <f>#REF!</f>
        <v>#REF!</v>
      </c>
      <c r="AC333" s="955">
        <v>0</v>
      </c>
      <c r="AD333" s="954" t="e">
        <f>#REF!</f>
        <v>#REF!</v>
      </c>
      <c r="AE333" s="956" t="e">
        <f>#REF!+#REF!</f>
        <v>#REF!</v>
      </c>
      <c r="AF333" s="956" t="e">
        <f>#REF!+#REF!</f>
        <v>#REF!</v>
      </c>
      <c r="AG333" s="956"/>
      <c r="AH333" s="954" t="e">
        <f>#REF!</f>
        <v>#REF!</v>
      </c>
      <c r="AI333" s="954" t="e">
        <f t="shared" si="56"/>
        <v>#REF!</v>
      </c>
      <c r="AJ333" s="954">
        <f t="shared" si="57"/>
        <v>59.86</v>
      </c>
      <c r="AK333" s="954">
        <f t="shared" si="58"/>
        <v>0</v>
      </c>
      <c r="AL333" s="625"/>
    </row>
    <row r="334" spans="1:38" s="620" customFormat="1" ht="20.100000000000001" customHeight="1" x14ac:dyDescent="0.2">
      <c r="A334" s="759">
        <f t="shared" si="59"/>
        <v>28</v>
      </c>
      <c r="B334" s="957">
        <f>+NOMINA!C332</f>
        <v>11129355</v>
      </c>
      <c r="C334" s="958" t="str">
        <f>+NOMINA!D332</f>
        <v>Luque Azuaje Rigoberto</v>
      </c>
      <c r="D334" s="955" t="s">
        <v>4622</v>
      </c>
      <c r="E334" s="959">
        <v>32351</v>
      </c>
      <c r="F334" s="955" t="s">
        <v>4620</v>
      </c>
      <c r="G334" s="971">
        <f>+NOMINA!H332</f>
        <v>39539</v>
      </c>
      <c r="H334" s="961">
        <f t="shared" si="60"/>
        <v>14</v>
      </c>
      <c r="I334" s="962">
        <v>0</v>
      </c>
      <c r="J334" s="968">
        <f>+NOMINA!BL332</f>
        <v>18.850000000000001</v>
      </c>
      <c r="K334" s="968">
        <f>+NOMINA!BM332</f>
        <v>2.36</v>
      </c>
      <c r="L334" s="968">
        <f>+NOMINA!BN332</f>
        <v>4.08</v>
      </c>
      <c r="M334" s="963">
        <f t="shared" si="61"/>
        <v>25.29</v>
      </c>
      <c r="N334" s="968">
        <f>+NOMINA!BR332</f>
        <v>42.42</v>
      </c>
      <c r="O334" s="968">
        <f>+NOMINA!BS332</f>
        <v>9.43</v>
      </c>
      <c r="P334" s="968">
        <f>+NOMINA!BT332</f>
        <v>8.16</v>
      </c>
      <c r="Q334" s="963">
        <f t="shared" si="62"/>
        <v>60.01</v>
      </c>
      <c r="R334" s="963">
        <f t="shared" si="63"/>
        <v>85.3</v>
      </c>
      <c r="S334" s="972">
        <v>0</v>
      </c>
      <c r="T334" s="443" t="e">
        <f>#REF!+#REF!-M334</f>
        <v>#REF!</v>
      </c>
      <c r="U334" s="952" t="e">
        <f>ROUND((#REF!+#REF!+#REF!+#REF!+#REF!+#REF!+#REF!+#REF!+#REF!),2)</f>
        <v>#REF!</v>
      </c>
      <c r="Y334" s="953" t="e">
        <f>#REF!+#REF!-M334</f>
        <v>#REF!</v>
      </c>
      <c r="Z334" s="954" t="e">
        <f>#REF!</f>
        <v>#REF!</v>
      </c>
      <c r="AA334" s="953" t="e">
        <f>#REF!+#REF!</f>
        <v>#REF!</v>
      </c>
      <c r="AB334" s="954" t="e">
        <f>#REF!</f>
        <v>#REF!</v>
      </c>
      <c r="AC334" s="955">
        <v>0</v>
      </c>
      <c r="AD334" s="954" t="e">
        <f>#REF!</f>
        <v>#REF!</v>
      </c>
      <c r="AE334" s="956" t="e">
        <f>#REF!+#REF!</f>
        <v>#REF!</v>
      </c>
      <c r="AF334" s="956" t="e">
        <f>#REF!+#REF!</f>
        <v>#REF!</v>
      </c>
      <c r="AG334" s="956"/>
      <c r="AH334" s="954" t="e">
        <f>#REF!</f>
        <v>#REF!</v>
      </c>
      <c r="AI334" s="954" t="e">
        <f t="shared" si="56"/>
        <v>#REF!</v>
      </c>
      <c r="AJ334" s="954">
        <f t="shared" si="57"/>
        <v>85.3</v>
      </c>
      <c r="AK334" s="954">
        <f t="shared" si="58"/>
        <v>0</v>
      </c>
      <c r="AL334" s="625"/>
    </row>
    <row r="335" spans="1:38" s="620" customFormat="1" ht="20.100000000000001" customHeight="1" x14ac:dyDescent="0.2">
      <c r="A335" s="759">
        <f t="shared" si="59"/>
        <v>29</v>
      </c>
      <c r="B335" s="957">
        <f>+NOMINA!C333</f>
        <v>11315202</v>
      </c>
      <c r="C335" s="958" t="str">
        <f>+NOMINA!D333</f>
        <v>Barreto Maria Ramona</v>
      </c>
      <c r="D335" s="955" t="s">
        <v>4622</v>
      </c>
      <c r="E335" s="959">
        <v>32351</v>
      </c>
      <c r="F335" s="955" t="s">
        <v>4620</v>
      </c>
      <c r="G335" s="971">
        <f>+NOMINA!H333</f>
        <v>39539</v>
      </c>
      <c r="H335" s="961">
        <f t="shared" si="60"/>
        <v>14</v>
      </c>
      <c r="I335" s="962">
        <v>0</v>
      </c>
      <c r="J335" s="968">
        <f>+NOMINA!BL333</f>
        <v>15.57</v>
      </c>
      <c r="K335" s="968">
        <f>+NOMINA!BM333</f>
        <v>1.95</v>
      </c>
      <c r="L335" s="968">
        <f>+NOMINA!BN333</f>
        <v>3.37</v>
      </c>
      <c r="M335" s="963">
        <f t="shared" si="61"/>
        <v>20.89</v>
      </c>
      <c r="N335" s="968">
        <f>+NOMINA!BR333</f>
        <v>35.020000000000003</v>
      </c>
      <c r="O335" s="968">
        <f>+NOMINA!BS333</f>
        <v>7.78</v>
      </c>
      <c r="P335" s="968">
        <f>+NOMINA!BT333</f>
        <v>6.74</v>
      </c>
      <c r="Q335" s="963">
        <f t="shared" si="62"/>
        <v>49.54</v>
      </c>
      <c r="R335" s="963">
        <f t="shared" si="63"/>
        <v>70.430000000000007</v>
      </c>
      <c r="S335" s="972">
        <v>0</v>
      </c>
      <c r="T335" s="443" t="e">
        <f>#REF!+#REF!-M335</f>
        <v>#REF!</v>
      </c>
      <c r="U335" s="952" t="e">
        <f>ROUND((#REF!+#REF!+#REF!+#REF!+#REF!+#REF!+#REF!+#REF!+#REF!),2)</f>
        <v>#REF!</v>
      </c>
      <c r="Y335" s="953" t="e">
        <f>#REF!+#REF!-M335</f>
        <v>#REF!</v>
      </c>
      <c r="Z335" s="954" t="e">
        <f>#REF!</f>
        <v>#REF!</v>
      </c>
      <c r="AA335" s="953" t="e">
        <f>#REF!+#REF!</f>
        <v>#REF!</v>
      </c>
      <c r="AB335" s="954" t="e">
        <f>#REF!</f>
        <v>#REF!</v>
      </c>
      <c r="AC335" s="955">
        <v>0</v>
      </c>
      <c r="AD335" s="954" t="e">
        <f>#REF!</f>
        <v>#REF!</v>
      </c>
      <c r="AE335" s="956" t="e">
        <f>#REF!+#REF!</f>
        <v>#REF!</v>
      </c>
      <c r="AF335" s="956" t="e">
        <f>#REF!+#REF!</f>
        <v>#REF!</v>
      </c>
      <c r="AG335" s="956"/>
      <c r="AH335" s="954" t="e">
        <f>#REF!</f>
        <v>#REF!</v>
      </c>
      <c r="AI335" s="954" t="e">
        <f t="shared" si="56"/>
        <v>#REF!</v>
      </c>
      <c r="AJ335" s="954">
        <f t="shared" si="57"/>
        <v>70.430000000000007</v>
      </c>
      <c r="AK335" s="954">
        <f t="shared" si="58"/>
        <v>0</v>
      </c>
      <c r="AL335" s="625"/>
    </row>
    <row r="336" spans="1:38" s="620" customFormat="1" ht="20.100000000000001" customHeight="1" x14ac:dyDescent="0.2">
      <c r="A336" s="759">
        <f t="shared" si="59"/>
        <v>30</v>
      </c>
      <c r="B336" s="957">
        <f>+NOMINA!C334</f>
        <v>11321681</v>
      </c>
      <c r="C336" s="958" t="str">
        <f>+NOMINA!D334</f>
        <v>Bentancourt Rivas Luis Enrique</v>
      </c>
      <c r="D336" s="955" t="s">
        <v>4622</v>
      </c>
      <c r="E336" s="959">
        <v>32351</v>
      </c>
      <c r="F336" s="955" t="s">
        <v>4620</v>
      </c>
      <c r="G336" s="971">
        <f>+NOMINA!H334</f>
        <v>44805</v>
      </c>
      <c r="H336" s="961">
        <f t="shared" si="60"/>
        <v>0</v>
      </c>
      <c r="I336" s="962">
        <v>0</v>
      </c>
      <c r="J336" s="968">
        <f>+NOMINA!BL334</f>
        <v>13.23</v>
      </c>
      <c r="K336" s="968">
        <f>+NOMINA!BM334</f>
        <v>1.65</v>
      </c>
      <c r="L336" s="968">
        <f>+NOMINA!BN334</f>
        <v>2.87</v>
      </c>
      <c r="M336" s="963">
        <f t="shared" si="61"/>
        <v>17.75</v>
      </c>
      <c r="N336" s="968">
        <f>+NOMINA!BR334</f>
        <v>29.76</v>
      </c>
      <c r="O336" s="968">
        <f>+NOMINA!BS334</f>
        <v>6.61</v>
      </c>
      <c r="P336" s="968">
        <f>+NOMINA!BT334</f>
        <v>5.74</v>
      </c>
      <c r="Q336" s="963">
        <f t="shared" si="62"/>
        <v>42.11</v>
      </c>
      <c r="R336" s="963">
        <f t="shared" si="63"/>
        <v>59.86</v>
      </c>
      <c r="S336" s="972">
        <v>0</v>
      </c>
      <c r="T336" s="443" t="e">
        <f>#REF!+#REF!-M336</f>
        <v>#REF!</v>
      </c>
      <c r="U336" s="952" t="e">
        <f>ROUND((#REF!+#REF!+#REF!+#REF!+#REF!+#REF!+#REF!+#REF!+#REF!),2)</f>
        <v>#REF!</v>
      </c>
      <c r="Y336" s="953" t="e">
        <f>#REF!+#REF!-M336</f>
        <v>#REF!</v>
      </c>
      <c r="Z336" s="954" t="e">
        <f>#REF!</f>
        <v>#REF!</v>
      </c>
      <c r="AA336" s="953" t="e">
        <f>#REF!+#REF!</f>
        <v>#REF!</v>
      </c>
      <c r="AB336" s="954" t="e">
        <f>#REF!</f>
        <v>#REF!</v>
      </c>
      <c r="AC336" s="955">
        <v>0</v>
      </c>
      <c r="AD336" s="954" t="e">
        <f>#REF!</f>
        <v>#REF!</v>
      </c>
      <c r="AE336" s="956" t="e">
        <f>#REF!+#REF!</f>
        <v>#REF!</v>
      </c>
      <c r="AF336" s="956" t="e">
        <f>#REF!+#REF!</f>
        <v>#REF!</v>
      </c>
      <c r="AG336" s="956"/>
      <c r="AH336" s="954" t="e">
        <f>#REF!</f>
        <v>#REF!</v>
      </c>
      <c r="AI336" s="954" t="e">
        <f t="shared" si="56"/>
        <v>#REF!</v>
      </c>
      <c r="AJ336" s="954">
        <f t="shared" si="57"/>
        <v>59.86</v>
      </c>
      <c r="AK336" s="954">
        <f t="shared" si="58"/>
        <v>0</v>
      </c>
      <c r="AL336" s="625"/>
    </row>
    <row r="337" spans="1:38" s="620" customFormat="1" ht="20.100000000000001" customHeight="1" x14ac:dyDescent="0.2">
      <c r="A337" s="759">
        <f t="shared" si="59"/>
        <v>31</v>
      </c>
      <c r="B337" s="957">
        <f>+NOMINA!C335</f>
        <v>11321782</v>
      </c>
      <c r="C337" s="958" t="str">
        <f>+NOMINA!D335</f>
        <v>Flores Camacho Maria Zoraida</v>
      </c>
      <c r="D337" s="955" t="s">
        <v>4622</v>
      </c>
      <c r="E337" s="959">
        <v>32351</v>
      </c>
      <c r="F337" s="955" t="s">
        <v>4620</v>
      </c>
      <c r="G337" s="971">
        <f>+NOMINA!H335</f>
        <v>43815</v>
      </c>
      <c r="H337" s="961">
        <f t="shared" si="60"/>
        <v>3</v>
      </c>
      <c r="I337" s="962">
        <v>0</v>
      </c>
      <c r="J337" s="968">
        <f>+NOMINA!BL335</f>
        <v>14.29</v>
      </c>
      <c r="K337" s="968">
        <f>+NOMINA!BM335</f>
        <v>1.79</v>
      </c>
      <c r="L337" s="968">
        <f>+NOMINA!BN335</f>
        <v>3.1</v>
      </c>
      <c r="M337" s="963">
        <f t="shared" si="61"/>
        <v>19.18</v>
      </c>
      <c r="N337" s="968">
        <f>+NOMINA!BR335</f>
        <v>32.15</v>
      </c>
      <c r="O337" s="968">
        <f>+NOMINA!BS335</f>
        <v>7.14</v>
      </c>
      <c r="P337" s="968">
        <f>+NOMINA!BT335</f>
        <v>6.2</v>
      </c>
      <c r="Q337" s="963">
        <f t="shared" si="62"/>
        <v>45.49</v>
      </c>
      <c r="R337" s="963">
        <f t="shared" si="63"/>
        <v>64.67</v>
      </c>
      <c r="S337" s="972">
        <v>0</v>
      </c>
      <c r="T337" s="443" t="e">
        <f>#REF!+#REF!-M337</f>
        <v>#REF!</v>
      </c>
      <c r="U337" s="952" t="e">
        <f>ROUND((#REF!+#REF!+#REF!+#REF!+#REF!+#REF!+#REF!+#REF!+#REF!),2)</f>
        <v>#REF!</v>
      </c>
      <c r="Y337" s="953" t="e">
        <f>#REF!+#REF!-M337</f>
        <v>#REF!</v>
      </c>
      <c r="Z337" s="954" t="e">
        <f>#REF!</f>
        <v>#REF!</v>
      </c>
      <c r="AA337" s="953" t="e">
        <f>#REF!+#REF!</f>
        <v>#REF!</v>
      </c>
      <c r="AB337" s="954" t="e">
        <f>#REF!</f>
        <v>#REF!</v>
      </c>
      <c r="AC337" s="955">
        <v>0</v>
      </c>
      <c r="AD337" s="954" t="e">
        <f>#REF!</f>
        <v>#REF!</v>
      </c>
      <c r="AE337" s="956" t="e">
        <f>#REF!+#REF!</f>
        <v>#REF!</v>
      </c>
      <c r="AF337" s="956" t="e">
        <f>#REF!+#REF!</f>
        <v>#REF!</v>
      </c>
      <c r="AG337" s="956"/>
      <c r="AH337" s="954" t="e">
        <f>#REF!</f>
        <v>#REF!</v>
      </c>
      <c r="AI337" s="954" t="e">
        <f t="shared" si="56"/>
        <v>#REF!</v>
      </c>
      <c r="AJ337" s="954">
        <f t="shared" si="57"/>
        <v>64.67</v>
      </c>
      <c r="AK337" s="954">
        <f t="shared" si="58"/>
        <v>0</v>
      </c>
      <c r="AL337" s="625"/>
    </row>
    <row r="338" spans="1:38" s="620" customFormat="1" ht="20.100000000000001" customHeight="1" x14ac:dyDescent="0.2">
      <c r="A338" s="759">
        <f t="shared" si="59"/>
        <v>32</v>
      </c>
      <c r="B338" s="957">
        <f>+NOMINA!C336</f>
        <v>11324931</v>
      </c>
      <c r="C338" s="958" t="str">
        <f>+NOMINA!D336</f>
        <v>Sulbaran de Araujo Magaly</v>
      </c>
      <c r="D338" s="955" t="s">
        <v>4622</v>
      </c>
      <c r="E338" s="959">
        <v>32351</v>
      </c>
      <c r="F338" s="955" t="s">
        <v>4620</v>
      </c>
      <c r="G338" s="971">
        <f>+NOMINA!H336</f>
        <v>38784</v>
      </c>
      <c r="H338" s="961">
        <f t="shared" si="60"/>
        <v>16</v>
      </c>
      <c r="I338" s="962">
        <v>0</v>
      </c>
      <c r="J338" s="968">
        <f>+NOMINA!BL336</f>
        <v>15.82</v>
      </c>
      <c r="K338" s="968">
        <f>+NOMINA!BM336</f>
        <v>1.98</v>
      </c>
      <c r="L338" s="968">
        <f>+NOMINA!BN336</f>
        <v>3.43</v>
      </c>
      <c r="M338" s="963">
        <f t="shared" si="61"/>
        <v>21.23</v>
      </c>
      <c r="N338" s="968">
        <f>+NOMINA!BR336</f>
        <v>35.590000000000003</v>
      </c>
      <c r="O338" s="968">
        <f>+NOMINA!BS336</f>
        <v>7.91</v>
      </c>
      <c r="P338" s="968">
        <f>+NOMINA!BT336</f>
        <v>6.86</v>
      </c>
      <c r="Q338" s="963">
        <f t="shared" si="62"/>
        <v>50.36</v>
      </c>
      <c r="R338" s="963">
        <f t="shared" si="63"/>
        <v>71.59</v>
      </c>
      <c r="S338" s="972">
        <v>0</v>
      </c>
      <c r="T338" s="443" t="e">
        <f>#REF!+#REF!-M338</f>
        <v>#REF!</v>
      </c>
      <c r="U338" s="952" t="e">
        <f>ROUND((#REF!+#REF!+#REF!+#REF!+#REF!+#REF!+#REF!+#REF!+#REF!),2)</f>
        <v>#REF!</v>
      </c>
      <c r="Y338" s="953" t="e">
        <f>#REF!+#REF!-M338</f>
        <v>#REF!</v>
      </c>
      <c r="Z338" s="954" t="e">
        <f>#REF!</f>
        <v>#REF!</v>
      </c>
      <c r="AA338" s="953" t="e">
        <f>#REF!+#REF!</f>
        <v>#REF!</v>
      </c>
      <c r="AB338" s="954" t="e">
        <f>#REF!</f>
        <v>#REF!</v>
      </c>
      <c r="AC338" s="955">
        <v>0</v>
      </c>
      <c r="AD338" s="954" t="e">
        <f>#REF!</f>
        <v>#REF!</v>
      </c>
      <c r="AE338" s="956" t="e">
        <f>#REF!+#REF!</f>
        <v>#REF!</v>
      </c>
      <c r="AF338" s="956" t="e">
        <f>#REF!+#REF!</f>
        <v>#REF!</v>
      </c>
      <c r="AG338" s="956"/>
      <c r="AH338" s="954" t="e">
        <f>#REF!</f>
        <v>#REF!</v>
      </c>
      <c r="AI338" s="954" t="e">
        <f t="shared" si="56"/>
        <v>#REF!</v>
      </c>
      <c r="AJ338" s="954">
        <f t="shared" si="57"/>
        <v>71.59</v>
      </c>
      <c r="AK338" s="954">
        <f t="shared" si="58"/>
        <v>0</v>
      </c>
      <c r="AL338" s="625"/>
    </row>
    <row r="339" spans="1:38" s="620" customFormat="1" ht="20.100000000000001" customHeight="1" x14ac:dyDescent="0.2">
      <c r="A339" s="759">
        <f t="shared" si="59"/>
        <v>33</v>
      </c>
      <c r="B339" s="957">
        <f>+NOMINA!C337</f>
        <v>11894400</v>
      </c>
      <c r="C339" s="958" t="str">
        <f>+NOMINA!D337</f>
        <v>Aldana Olivar Maria del Carmen</v>
      </c>
      <c r="D339" s="955" t="s">
        <v>4622</v>
      </c>
      <c r="E339" s="959">
        <v>32351</v>
      </c>
      <c r="F339" s="955" t="s">
        <v>4620</v>
      </c>
      <c r="G339" s="971">
        <f>+NOMINA!H337</f>
        <v>44287</v>
      </c>
      <c r="H339" s="961">
        <f t="shared" si="60"/>
        <v>1</v>
      </c>
      <c r="I339" s="962">
        <v>0</v>
      </c>
      <c r="J339" s="968">
        <f>+NOMINA!BL337</f>
        <v>14.21</v>
      </c>
      <c r="K339" s="968">
        <f>+NOMINA!BM337</f>
        <v>1.78</v>
      </c>
      <c r="L339" s="968">
        <f>+NOMINA!BN337</f>
        <v>3.08</v>
      </c>
      <c r="M339" s="963">
        <f t="shared" si="61"/>
        <v>19.07</v>
      </c>
      <c r="N339" s="968">
        <f>+NOMINA!BR337</f>
        <v>31.97</v>
      </c>
      <c r="O339" s="968">
        <f>+NOMINA!BS337</f>
        <v>7.1</v>
      </c>
      <c r="P339" s="968">
        <f>+NOMINA!BT337</f>
        <v>6.16</v>
      </c>
      <c r="Q339" s="963">
        <f t="shared" si="62"/>
        <v>45.23</v>
      </c>
      <c r="R339" s="963">
        <f t="shared" si="63"/>
        <v>64.3</v>
      </c>
      <c r="S339" s="972">
        <v>0</v>
      </c>
      <c r="T339" s="443" t="e">
        <f>#REF!+#REF!-M339</f>
        <v>#REF!</v>
      </c>
      <c r="U339" s="952" t="e">
        <f>ROUND((#REF!+#REF!+#REF!+#REF!+#REF!+#REF!+#REF!+#REF!+#REF!),2)</f>
        <v>#REF!</v>
      </c>
      <c r="Y339" s="953" t="e">
        <f>#REF!+#REF!-M339</f>
        <v>#REF!</v>
      </c>
      <c r="Z339" s="954" t="e">
        <f>#REF!</f>
        <v>#REF!</v>
      </c>
      <c r="AA339" s="953" t="e">
        <f>#REF!+#REF!</f>
        <v>#REF!</v>
      </c>
      <c r="AB339" s="954" t="e">
        <f>#REF!</f>
        <v>#REF!</v>
      </c>
      <c r="AC339" s="955">
        <v>0</v>
      </c>
      <c r="AD339" s="954" t="e">
        <f>#REF!</f>
        <v>#REF!</v>
      </c>
      <c r="AE339" s="956" t="e">
        <f>#REF!+#REF!</f>
        <v>#REF!</v>
      </c>
      <c r="AF339" s="956" t="e">
        <f>#REF!+#REF!</f>
        <v>#REF!</v>
      </c>
      <c r="AG339" s="956"/>
      <c r="AH339" s="954" t="e">
        <f>#REF!</f>
        <v>#REF!</v>
      </c>
      <c r="AI339" s="954" t="e">
        <f t="shared" si="56"/>
        <v>#REF!</v>
      </c>
      <c r="AJ339" s="954">
        <f t="shared" si="57"/>
        <v>64.3</v>
      </c>
      <c r="AK339" s="954">
        <f t="shared" si="58"/>
        <v>0</v>
      </c>
      <c r="AL339" s="625"/>
    </row>
    <row r="340" spans="1:38" s="620" customFormat="1" ht="20.100000000000001" customHeight="1" x14ac:dyDescent="0.2">
      <c r="A340" s="759">
        <f t="shared" si="59"/>
        <v>34</v>
      </c>
      <c r="B340" s="957">
        <f>+NOMINA!C338</f>
        <v>11897863</v>
      </c>
      <c r="C340" s="958" t="str">
        <f>+NOMINA!D338</f>
        <v>Rodriguez Maria Ibel</v>
      </c>
      <c r="D340" s="955" t="s">
        <v>4622</v>
      </c>
      <c r="E340" s="959">
        <v>32351</v>
      </c>
      <c r="F340" s="955" t="s">
        <v>4620</v>
      </c>
      <c r="G340" s="971">
        <f>+NOMINA!H338</f>
        <v>41548</v>
      </c>
      <c r="H340" s="961">
        <f t="shared" si="60"/>
        <v>9</v>
      </c>
      <c r="I340" s="962">
        <v>0</v>
      </c>
      <c r="J340" s="968">
        <f>+NOMINA!BL338</f>
        <v>12.74</v>
      </c>
      <c r="K340" s="968">
        <f>+NOMINA!BM338</f>
        <v>1.59</v>
      </c>
      <c r="L340" s="968">
        <f>+NOMINA!BN338</f>
        <v>2.76</v>
      </c>
      <c r="M340" s="963">
        <f t="shared" si="61"/>
        <v>17.09</v>
      </c>
      <c r="N340" s="968">
        <f>+NOMINA!BR338</f>
        <v>28.67</v>
      </c>
      <c r="O340" s="968">
        <f>+NOMINA!BS338</f>
        <v>6.37</v>
      </c>
      <c r="P340" s="968">
        <f>+NOMINA!BT338</f>
        <v>5.52</v>
      </c>
      <c r="Q340" s="963">
        <f t="shared" si="62"/>
        <v>40.56</v>
      </c>
      <c r="R340" s="963">
        <f t="shared" si="63"/>
        <v>57.650000000000006</v>
      </c>
      <c r="S340" s="972">
        <v>0</v>
      </c>
      <c r="T340" s="443" t="e">
        <f>#REF!+#REF!-M340</f>
        <v>#REF!</v>
      </c>
      <c r="U340" s="952" t="e">
        <f>ROUND((#REF!+#REF!+#REF!+#REF!+#REF!+#REF!+#REF!+#REF!+#REF!),2)</f>
        <v>#REF!</v>
      </c>
      <c r="Y340" s="953" t="e">
        <f>#REF!+#REF!-M340</f>
        <v>#REF!</v>
      </c>
      <c r="Z340" s="954" t="e">
        <f>#REF!</f>
        <v>#REF!</v>
      </c>
      <c r="AA340" s="953" t="e">
        <f>#REF!+#REF!</f>
        <v>#REF!</v>
      </c>
      <c r="AB340" s="954" t="e">
        <f>#REF!</f>
        <v>#REF!</v>
      </c>
      <c r="AC340" s="955">
        <v>0</v>
      </c>
      <c r="AD340" s="954" t="e">
        <f>#REF!</f>
        <v>#REF!</v>
      </c>
      <c r="AE340" s="956" t="e">
        <f>#REF!+#REF!</f>
        <v>#REF!</v>
      </c>
      <c r="AF340" s="956" t="e">
        <f>#REF!+#REF!</f>
        <v>#REF!</v>
      </c>
      <c r="AG340" s="956"/>
      <c r="AH340" s="954" t="e">
        <f>#REF!</f>
        <v>#REF!</v>
      </c>
      <c r="AI340" s="954" t="e">
        <f t="shared" si="56"/>
        <v>#REF!</v>
      </c>
      <c r="AJ340" s="954">
        <f t="shared" si="57"/>
        <v>57.650000000000006</v>
      </c>
      <c r="AK340" s="954">
        <f t="shared" si="58"/>
        <v>0</v>
      </c>
      <c r="AL340" s="625"/>
    </row>
    <row r="341" spans="1:38" s="620" customFormat="1" ht="20.100000000000001" customHeight="1" x14ac:dyDescent="0.2">
      <c r="A341" s="759">
        <f t="shared" si="59"/>
        <v>35</v>
      </c>
      <c r="B341" s="957">
        <f>+NOMINA!C339</f>
        <v>12038359</v>
      </c>
      <c r="C341" s="958" t="str">
        <f>+NOMINA!D339</f>
        <v>Amaya Perez Carmen Elena</v>
      </c>
      <c r="D341" s="955" t="s">
        <v>4622</v>
      </c>
      <c r="E341" s="959">
        <v>32351</v>
      </c>
      <c r="F341" s="955" t="s">
        <v>4620</v>
      </c>
      <c r="G341" s="971">
        <f>+NOMINA!H339</f>
        <v>38103</v>
      </c>
      <c r="H341" s="961">
        <f t="shared" si="60"/>
        <v>18</v>
      </c>
      <c r="I341" s="962">
        <v>0</v>
      </c>
      <c r="J341" s="968">
        <f>+NOMINA!BL339</f>
        <v>16.09</v>
      </c>
      <c r="K341" s="968">
        <f>+NOMINA!BM339</f>
        <v>2.0099999999999998</v>
      </c>
      <c r="L341" s="968">
        <f>+NOMINA!BN339</f>
        <v>3.49</v>
      </c>
      <c r="M341" s="963">
        <f t="shared" si="61"/>
        <v>21.59</v>
      </c>
      <c r="N341" s="968">
        <f>+NOMINA!BR339</f>
        <v>36.19</v>
      </c>
      <c r="O341" s="968">
        <f>+NOMINA!BS339</f>
        <v>8.0399999999999991</v>
      </c>
      <c r="P341" s="968">
        <f>+NOMINA!BT339</f>
        <v>6.98</v>
      </c>
      <c r="Q341" s="963">
        <f t="shared" si="62"/>
        <v>51.21</v>
      </c>
      <c r="R341" s="963">
        <f t="shared" si="63"/>
        <v>72.8</v>
      </c>
      <c r="S341" s="972">
        <v>0</v>
      </c>
      <c r="T341" s="443" t="e">
        <f>#REF!+#REF!-M341</f>
        <v>#REF!</v>
      </c>
      <c r="U341" s="952" t="e">
        <f>ROUND((#REF!+#REF!+#REF!+#REF!+#REF!+#REF!+#REF!+#REF!+#REF!),2)</f>
        <v>#REF!</v>
      </c>
      <c r="Y341" s="953" t="e">
        <f>#REF!+#REF!-M341</f>
        <v>#REF!</v>
      </c>
      <c r="Z341" s="954" t="e">
        <f>#REF!</f>
        <v>#REF!</v>
      </c>
      <c r="AA341" s="953" t="e">
        <f>#REF!+#REF!</f>
        <v>#REF!</v>
      </c>
      <c r="AB341" s="954" t="e">
        <f>#REF!</f>
        <v>#REF!</v>
      </c>
      <c r="AC341" s="955">
        <v>0</v>
      </c>
      <c r="AD341" s="954" t="e">
        <f>#REF!</f>
        <v>#REF!</v>
      </c>
      <c r="AE341" s="956" t="e">
        <f>#REF!+#REF!</f>
        <v>#REF!</v>
      </c>
      <c r="AF341" s="956" t="e">
        <f>#REF!+#REF!</f>
        <v>#REF!</v>
      </c>
      <c r="AG341" s="956"/>
      <c r="AH341" s="954" t="e">
        <f>#REF!</f>
        <v>#REF!</v>
      </c>
      <c r="AI341" s="954" t="e">
        <f t="shared" si="56"/>
        <v>#REF!</v>
      </c>
      <c r="AJ341" s="954">
        <f t="shared" si="57"/>
        <v>72.8</v>
      </c>
      <c r="AK341" s="954">
        <f t="shared" si="58"/>
        <v>0</v>
      </c>
      <c r="AL341" s="625"/>
    </row>
    <row r="342" spans="1:38" s="620" customFormat="1" ht="20.100000000000001" customHeight="1" x14ac:dyDescent="0.2">
      <c r="A342" s="759">
        <f t="shared" si="59"/>
        <v>36</v>
      </c>
      <c r="B342" s="957">
        <f>+NOMINA!C340</f>
        <v>12042930</v>
      </c>
      <c r="C342" s="958" t="str">
        <f>+NOMINA!D340</f>
        <v>Barroeta Cardozo Leonid Andrei</v>
      </c>
      <c r="D342" s="955" t="s">
        <v>4622</v>
      </c>
      <c r="E342" s="959">
        <v>32351</v>
      </c>
      <c r="F342" s="955" t="s">
        <v>4620</v>
      </c>
      <c r="G342" s="971">
        <f>+NOMINA!H340</f>
        <v>44986</v>
      </c>
      <c r="H342" s="961">
        <f t="shared" si="60"/>
        <v>0</v>
      </c>
      <c r="I342" s="962">
        <v>0</v>
      </c>
      <c r="J342" s="968">
        <f>+NOMINA!BL340</f>
        <v>13.16</v>
      </c>
      <c r="K342" s="968">
        <f>+NOMINA!BM340</f>
        <v>1.64</v>
      </c>
      <c r="L342" s="968">
        <f>+NOMINA!BN340</f>
        <v>2.85</v>
      </c>
      <c r="M342" s="963">
        <f t="shared" si="61"/>
        <v>17.649999999999999</v>
      </c>
      <c r="N342" s="968">
        <f>+NOMINA!BR340</f>
        <v>29.6</v>
      </c>
      <c r="O342" s="968">
        <f>+NOMINA!BS340</f>
        <v>6.58</v>
      </c>
      <c r="P342" s="968">
        <f>+NOMINA!BT340</f>
        <v>5.7</v>
      </c>
      <c r="Q342" s="963">
        <f t="shared" si="62"/>
        <v>41.88</v>
      </c>
      <c r="R342" s="963">
        <f t="shared" si="63"/>
        <v>59.53</v>
      </c>
      <c r="S342" s="972">
        <v>0</v>
      </c>
      <c r="T342" s="443" t="e">
        <f>#REF!+#REF!-M342</f>
        <v>#REF!</v>
      </c>
      <c r="U342" s="952" t="e">
        <f>ROUND((#REF!+#REF!+#REF!+#REF!+#REF!+#REF!+#REF!+#REF!+#REF!),2)</f>
        <v>#REF!</v>
      </c>
      <c r="Y342" s="953" t="e">
        <f>#REF!+#REF!-M342</f>
        <v>#REF!</v>
      </c>
      <c r="Z342" s="954" t="e">
        <f>#REF!</f>
        <v>#REF!</v>
      </c>
      <c r="AA342" s="953" t="e">
        <f>#REF!+#REF!</f>
        <v>#REF!</v>
      </c>
      <c r="AB342" s="954" t="e">
        <f>#REF!</f>
        <v>#REF!</v>
      </c>
      <c r="AC342" s="955">
        <v>0</v>
      </c>
      <c r="AD342" s="954" t="e">
        <f>#REF!</f>
        <v>#REF!</v>
      </c>
      <c r="AE342" s="956" t="e">
        <f>#REF!+#REF!</f>
        <v>#REF!</v>
      </c>
      <c r="AF342" s="956" t="e">
        <f>#REF!+#REF!</f>
        <v>#REF!</v>
      </c>
      <c r="AG342" s="956"/>
      <c r="AH342" s="954" t="e">
        <f>#REF!</f>
        <v>#REF!</v>
      </c>
      <c r="AI342" s="954" t="e">
        <f t="shared" si="56"/>
        <v>#REF!</v>
      </c>
      <c r="AJ342" s="954">
        <f t="shared" si="57"/>
        <v>59.53</v>
      </c>
      <c r="AK342" s="954">
        <f t="shared" si="58"/>
        <v>0</v>
      </c>
      <c r="AL342" s="625"/>
    </row>
    <row r="343" spans="1:38" s="620" customFormat="1" ht="20.100000000000001" customHeight="1" x14ac:dyDescent="0.2">
      <c r="A343" s="759">
        <f t="shared" si="59"/>
        <v>37</v>
      </c>
      <c r="B343" s="957">
        <f>+NOMINA!C341</f>
        <v>12043135</v>
      </c>
      <c r="C343" s="958" t="str">
        <f>+NOMINA!D341</f>
        <v>Avila Salvio Rodolfo</v>
      </c>
      <c r="D343" s="955" t="s">
        <v>4622</v>
      </c>
      <c r="E343" s="959">
        <v>32351</v>
      </c>
      <c r="F343" s="955" t="s">
        <v>4620</v>
      </c>
      <c r="G343" s="971">
        <f>+NOMINA!H341</f>
        <v>43724</v>
      </c>
      <c r="H343" s="961">
        <f t="shared" si="60"/>
        <v>3</v>
      </c>
      <c r="I343" s="962">
        <v>0</v>
      </c>
      <c r="J343" s="968">
        <f>+NOMINA!BL341</f>
        <v>14.38</v>
      </c>
      <c r="K343" s="968">
        <f>+NOMINA!BM341</f>
        <v>1.8</v>
      </c>
      <c r="L343" s="968">
        <f>+NOMINA!BN341</f>
        <v>3.12</v>
      </c>
      <c r="M343" s="963">
        <f t="shared" si="61"/>
        <v>19.3</v>
      </c>
      <c r="N343" s="968">
        <f>+NOMINA!BR341</f>
        <v>32.36</v>
      </c>
      <c r="O343" s="968">
        <f>+NOMINA!BS341</f>
        <v>7.19</v>
      </c>
      <c r="P343" s="968">
        <f>+NOMINA!BT341</f>
        <v>6.24</v>
      </c>
      <c r="Q343" s="963">
        <f t="shared" si="62"/>
        <v>45.79</v>
      </c>
      <c r="R343" s="963">
        <f t="shared" si="63"/>
        <v>65.09</v>
      </c>
      <c r="S343" s="972">
        <v>0</v>
      </c>
      <c r="T343" s="443" t="e">
        <f>#REF!+#REF!-M343</f>
        <v>#REF!</v>
      </c>
      <c r="U343" s="952" t="e">
        <f>ROUND((#REF!+#REF!+#REF!+#REF!+#REF!+#REF!+#REF!+#REF!+#REF!),2)</f>
        <v>#REF!</v>
      </c>
      <c r="Y343" s="953" t="e">
        <f>#REF!+#REF!-M343</f>
        <v>#REF!</v>
      </c>
      <c r="Z343" s="954" t="e">
        <f>#REF!</f>
        <v>#REF!</v>
      </c>
      <c r="AA343" s="953" t="e">
        <f>#REF!+#REF!</f>
        <v>#REF!</v>
      </c>
      <c r="AB343" s="954" t="e">
        <f>#REF!</f>
        <v>#REF!</v>
      </c>
      <c r="AC343" s="955">
        <v>0</v>
      </c>
      <c r="AD343" s="954" t="e">
        <f>#REF!</f>
        <v>#REF!</v>
      </c>
      <c r="AE343" s="956" t="e">
        <f>#REF!+#REF!</f>
        <v>#REF!</v>
      </c>
      <c r="AF343" s="956" t="e">
        <f>#REF!+#REF!</f>
        <v>#REF!</v>
      </c>
      <c r="AG343" s="956"/>
      <c r="AH343" s="954" t="e">
        <f>#REF!</f>
        <v>#REF!</v>
      </c>
      <c r="AI343" s="954" t="e">
        <f t="shared" si="56"/>
        <v>#REF!</v>
      </c>
      <c r="AJ343" s="954">
        <f t="shared" si="57"/>
        <v>65.09</v>
      </c>
      <c r="AK343" s="954">
        <f t="shared" si="58"/>
        <v>0</v>
      </c>
      <c r="AL343" s="625"/>
    </row>
    <row r="344" spans="1:38" s="620" customFormat="1" ht="20.100000000000001" customHeight="1" x14ac:dyDescent="0.2">
      <c r="A344" s="759">
        <f t="shared" si="59"/>
        <v>38</v>
      </c>
      <c r="B344" s="957">
        <f>+NOMINA!C342</f>
        <v>12044124</v>
      </c>
      <c r="C344" s="958" t="str">
        <f>+NOMINA!D342</f>
        <v>Rivas Carlos Luis</v>
      </c>
      <c r="D344" s="955" t="s">
        <v>4622</v>
      </c>
      <c r="E344" s="959">
        <v>32351</v>
      </c>
      <c r="F344" s="955" t="s">
        <v>4620</v>
      </c>
      <c r="G344" s="971">
        <f>+NOMINA!H342</f>
        <v>39539</v>
      </c>
      <c r="H344" s="961">
        <f t="shared" si="60"/>
        <v>14</v>
      </c>
      <c r="I344" s="962">
        <v>0</v>
      </c>
      <c r="J344" s="968">
        <f>+NOMINA!BL342</f>
        <v>18.850000000000001</v>
      </c>
      <c r="K344" s="968">
        <f>+NOMINA!BM342</f>
        <v>2.36</v>
      </c>
      <c r="L344" s="968">
        <f>+NOMINA!BN342</f>
        <v>4.08</v>
      </c>
      <c r="M344" s="963">
        <f t="shared" si="61"/>
        <v>25.29</v>
      </c>
      <c r="N344" s="968">
        <f>+NOMINA!BR342</f>
        <v>42.42</v>
      </c>
      <c r="O344" s="968">
        <f>+NOMINA!BS342</f>
        <v>9.43</v>
      </c>
      <c r="P344" s="968">
        <f>+NOMINA!BT342</f>
        <v>8.16</v>
      </c>
      <c r="Q344" s="963">
        <f t="shared" si="62"/>
        <v>60.01</v>
      </c>
      <c r="R344" s="963">
        <f t="shared" si="63"/>
        <v>85.3</v>
      </c>
      <c r="S344" s="972">
        <v>0</v>
      </c>
      <c r="T344" s="443" t="e">
        <f>#REF!+#REF!-M344</f>
        <v>#REF!</v>
      </c>
      <c r="U344" s="952" t="e">
        <f>ROUND((#REF!+#REF!+#REF!+#REF!+#REF!+#REF!+#REF!+#REF!+#REF!),2)</f>
        <v>#REF!</v>
      </c>
      <c r="Y344" s="953" t="e">
        <f>#REF!+#REF!-M344</f>
        <v>#REF!</v>
      </c>
      <c r="Z344" s="954" t="e">
        <f>#REF!</f>
        <v>#REF!</v>
      </c>
      <c r="AA344" s="953" t="e">
        <f>#REF!+#REF!</f>
        <v>#REF!</v>
      </c>
      <c r="AB344" s="954" t="e">
        <f>#REF!</f>
        <v>#REF!</v>
      </c>
      <c r="AC344" s="955">
        <v>0</v>
      </c>
      <c r="AD344" s="954" t="e">
        <f>#REF!</f>
        <v>#REF!</v>
      </c>
      <c r="AE344" s="956" t="e">
        <f>#REF!+#REF!</f>
        <v>#REF!</v>
      </c>
      <c r="AF344" s="956" t="e">
        <f>#REF!+#REF!</f>
        <v>#REF!</v>
      </c>
      <c r="AG344" s="956"/>
      <c r="AH344" s="954" t="e">
        <f>#REF!</f>
        <v>#REF!</v>
      </c>
      <c r="AI344" s="954" t="e">
        <f t="shared" si="56"/>
        <v>#REF!</v>
      </c>
      <c r="AJ344" s="954">
        <f t="shared" si="57"/>
        <v>85.3</v>
      </c>
      <c r="AK344" s="954">
        <f t="shared" si="58"/>
        <v>0</v>
      </c>
      <c r="AL344" s="625"/>
    </row>
    <row r="345" spans="1:38" s="620" customFormat="1" ht="20.100000000000001" customHeight="1" x14ac:dyDescent="0.2">
      <c r="A345" s="759">
        <f t="shared" si="59"/>
        <v>39</v>
      </c>
      <c r="B345" s="957">
        <f>+NOMINA!C343</f>
        <v>12044754</v>
      </c>
      <c r="C345" s="958" t="str">
        <f>+NOMINA!D343</f>
        <v>Briceño Graterol Oscar Antonio</v>
      </c>
      <c r="D345" s="955" t="s">
        <v>4622</v>
      </c>
      <c r="E345" s="959">
        <v>32351</v>
      </c>
      <c r="F345" s="955" t="s">
        <v>4620</v>
      </c>
      <c r="G345" s="971">
        <f>+NOMINA!H343</f>
        <v>43481</v>
      </c>
      <c r="H345" s="961">
        <f t="shared" si="60"/>
        <v>3</v>
      </c>
      <c r="I345" s="962">
        <v>0</v>
      </c>
      <c r="J345" s="968">
        <f>+NOMINA!BL343</f>
        <v>13.45</v>
      </c>
      <c r="K345" s="968">
        <f>+NOMINA!BM343</f>
        <v>1.68</v>
      </c>
      <c r="L345" s="968">
        <f>+NOMINA!BN343</f>
        <v>2.91</v>
      </c>
      <c r="M345" s="963">
        <f t="shared" si="61"/>
        <v>18.04</v>
      </c>
      <c r="N345" s="968">
        <f>+NOMINA!BR343</f>
        <v>30.26</v>
      </c>
      <c r="O345" s="968">
        <f>+NOMINA!BS343</f>
        <v>6.73</v>
      </c>
      <c r="P345" s="968">
        <f>+NOMINA!BT343</f>
        <v>5.82</v>
      </c>
      <c r="Q345" s="963">
        <f t="shared" si="62"/>
        <v>42.81</v>
      </c>
      <c r="R345" s="963">
        <f t="shared" si="63"/>
        <v>60.85</v>
      </c>
      <c r="S345" s="972">
        <v>0</v>
      </c>
      <c r="T345" s="443" t="e">
        <f>#REF!+#REF!-M345</f>
        <v>#REF!</v>
      </c>
      <c r="U345" s="952" t="e">
        <f>ROUND((#REF!+#REF!+#REF!+#REF!+#REF!+#REF!+#REF!+#REF!+#REF!),2)</f>
        <v>#REF!</v>
      </c>
      <c r="Y345" s="953" t="e">
        <f>#REF!+#REF!-M345</f>
        <v>#REF!</v>
      </c>
      <c r="Z345" s="954" t="e">
        <f>#REF!</f>
        <v>#REF!</v>
      </c>
      <c r="AA345" s="953" t="e">
        <f>#REF!+#REF!</f>
        <v>#REF!</v>
      </c>
      <c r="AB345" s="954" t="e">
        <f>#REF!</f>
        <v>#REF!</v>
      </c>
      <c r="AC345" s="955">
        <v>0</v>
      </c>
      <c r="AD345" s="954" t="e">
        <f>#REF!</f>
        <v>#REF!</v>
      </c>
      <c r="AE345" s="956" t="e">
        <f>#REF!+#REF!</f>
        <v>#REF!</v>
      </c>
      <c r="AF345" s="956" t="e">
        <f>#REF!+#REF!</f>
        <v>#REF!</v>
      </c>
      <c r="AG345" s="956"/>
      <c r="AH345" s="954" t="e">
        <f>#REF!</f>
        <v>#REF!</v>
      </c>
      <c r="AI345" s="954" t="e">
        <f t="shared" si="56"/>
        <v>#REF!</v>
      </c>
      <c r="AJ345" s="954">
        <f t="shared" si="57"/>
        <v>60.85</v>
      </c>
      <c r="AK345" s="954">
        <f t="shared" si="58"/>
        <v>0</v>
      </c>
      <c r="AL345" s="625"/>
    </row>
    <row r="346" spans="1:38" s="620" customFormat="1" ht="20.100000000000001" customHeight="1" x14ac:dyDescent="0.2">
      <c r="A346" s="759">
        <f t="shared" si="59"/>
        <v>40</v>
      </c>
      <c r="B346" s="957">
        <f>+NOMINA!C344</f>
        <v>12046834</v>
      </c>
      <c r="C346" s="958" t="str">
        <f>+NOMINA!D344</f>
        <v>Perez Montilla William Jose</v>
      </c>
      <c r="D346" s="955" t="s">
        <v>4622</v>
      </c>
      <c r="E346" s="959">
        <v>32351</v>
      </c>
      <c r="F346" s="955" t="s">
        <v>4620</v>
      </c>
      <c r="G346" s="971">
        <f>+NOMINA!H344</f>
        <v>43313</v>
      </c>
      <c r="H346" s="961">
        <f t="shared" si="60"/>
        <v>4</v>
      </c>
      <c r="I346" s="962">
        <v>0</v>
      </c>
      <c r="J346" s="968">
        <f>+NOMINA!BL344</f>
        <v>15.05</v>
      </c>
      <c r="K346" s="968">
        <f>+NOMINA!BM344</f>
        <v>1.88</v>
      </c>
      <c r="L346" s="968">
        <f>+NOMINA!BN344</f>
        <v>3.26</v>
      </c>
      <c r="M346" s="963">
        <f t="shared" si="61"/>
        <v>20.190000000000001</v>
      </c>
      <c r="N346" s="968">
        <f>+NOMINA!BR344</f>
        <v>33.869999999999997</v>
      </c>
      <c r="O346" s="968">
        <f>+NOMINA!BS344</f>
        <v>7.53</v>
      </c>
      <c r="P346" s="968">
        <f>+NOMINA!BT344</f>
        <v>6.52</v>
      </c>
      <c r="Q346" s="963">
        <f t="shared" si="62"/>
        <v>47.92</v>
      </c>
      <c r="R346" s="963">
        <f t="shared" si="63"/>
        <v>68.11</v>
      </c>
      <c r="S346" s="972">
        <v>0</v>
      </c>
      <c r="T346" s="443" t="e">
        <f>#REF!+#REF!-M346</f>
        <v>#REF!</v>
      </c>
      <c r="U346" s="952" t="e">
        <f>ROUND((#REF!+#REF!+#REF!+#REF!+#REF!+#REF!+#REF!+#REF!+#REF!),2)</f>
        <v>#REF!</v>
      </c>
      <c r="Y346" s="953" t="e">
        <f>#REF!+#REF!-M346</f>
        <v>#REF!</v>
      </c>
      <c r="Z346" s="954" t="e">
        <f>#REF!</f>
        <v>#REF!</v>
      </c>
      <c r="AA346" s="953" t="e">
        <f>#REF!+#REF!</f>
        <v>#REF!</v>
      </c>
      <c r="AB346" s="954" t="e">
        <f>#REF!</f>
        <v>#REF!</v>
      </c>
      <c r="AC346" s="955">
        <v>0</v>
      </c>
      <c r="AD346" s="954" t="e">
        <f>#REF!</f>
        <v>#REF!</v>
      </c>
      <c r="AE346" s="956" t="e">
        <f>#REF!+#REF!</f>
        <v>#REF!</v>
      </c>
      <c r="AF346" s="956" t="e">
        <f>#REF!+#REF!</f>
        <v>#REF!</v>
      </c>
      <c r="AG346" s="956"/>
      <c r="AH346" s="954" t="e">
        <f>#REF!</f>
        <v>#REF!</v>
      </c>
      <c r="AI346" s="954" t="e">
        <f t="shared" si="56"/>
        <v>#REF!</v>
      </c>
      <c r="AJ346" s="954">
        <f t="shared" si="57"/>
        <v>68.11</v>
      </c>
      <c r="AK346" s="954">
        <f t="shared" si="58"/>
        <v>0</v>
      </c>
      <c r="AL346" s="625"/>
    </row>
    <row r="347" spans="1:38" s="620" customFormat="1" ht="20.100000000000001" customHeight="1" x14ac:dyDescent="0.2">
      <c r="A347" s="759">
        <f t="shared" si="59"/>
        <v>41</v>
      </c>
      <c r="B347" s="957">
        <f>+NOMINA!C345</f>
        <v>12047016</v>
      </c>
      <c r="C347" s="958" t="str">
        <f>+NOMINA!D345</f>
        <v>Lozada de Estenoz Maria Edicta</v>
      </c>
      <c r="D347" s="955" t="s">
        <v>4622</v>
      </c>
      <c r="E347" s="959">
        <v>32351</v>
      </c>
      <c r="F347" s="955" t="s">
        <v>4620</v>
      </c>
      <c r="G347" s="971">
        <f>+NOMINA!H345</f>
        <v>42948</v>
      </c>
      <c r="H347" s="961">
        <f t="shared" si="60"/>
        <v>5</v>
      </c>
      <c r="I347" s="962">
        <v>0</v>
      </c>
      <c r="J347" s="968">
        <f>+NOMINA!BL345</f>
        <v>15.15</v>
      </c>
      <c r="K347" s="968">
        <f>+NOMINA!BM345</f>
        <v>1.89</v>
      </c>
      <c r="L347" s="968">
        <f>+NOMINA!BN345</f>
        <v>3.28</v>
      </c>
      <c r="M347" s="963">
        <f t="shared" si="61"/>
        <v>20.32</v>
      </c>
      <c r="N347" s="968">
        <f>+NOMINA!BR345</f>
        <v>34.08</v>
      </c>
      <c r="O347" s="968">
        <f>+NOMINA!BS345</f>
        <v>7.57</v>
      </c>
      <c r="P347" s="968">
        <f>+NOMINA!BT345</f>
        <v>6.56</v>
      </c>
      <c r="Q347" s="963">
        <f t="shared" si="62"/>
        <v>48.21</v>
      </c>
      <c r="R347" s="963">
        <f t="shared" si="63"/>
        <v>68.53</v>
      </c>
      <c r="S347" s="972">
        <v>0</v>
      </c>
      <c r="T347" s="443" t="e">
        <f>#REF!+#REF!-M347</f>
        <v>#REF!</v>
      </c>
      <c r="U347" s="952" t="e">
        <f>ROUND((#REF!+#REF!+#REF!+#REF!+#REF!+#REF!+#REF!+#REF!+#REF!),2)</f>
        <v>#REF!</v>
      </c>
      <c r="Y347" s="953" t="e">
        <f>#REF!+#REF!-M347</f>
        <v>#REF!</v>
      </c>
      <c r="Z347" s="954" t="e">
        <f>#REF!</f>
        <v>#REF!</v>
      </c>
      <c r="AA347" s="953" t="e">
        <f>#REF!+#REF!</f>
        <v>#REF!</v>
      </c>
      <c r="AB347" s="954" t="e">
        <f>#REF!</f>
        <v>#REF!</v>
      </c>
      <c r="AC347" s="955">
        <v>0</v>
      </c>
      <c r="AD347" s="954" t="e">
        <f>#REF!</f>
        <v>#REF!</v>
      </c>
      <c r="AE347" s="956" t="e">
        <f>#REF!+#REF!</f>
        <v>#REF!</v>
      </c>
      <c r="AF347" s="956" t="e">
        <f>#REF!+#REF!</f>
        <v>#REF!</v>
      </c>
      <c r="AG347" s="956"/>
      <c r="AH347" s="954" t="e">
        <f>#REF!</f>
        <v>#REF!</v>
      </c>
      <c r="AI347" s="954" t="e">
        <f t="shared" si="56"/>
        <v>#REF!</v>
      </c>
      <c r="AJ347" s="954">
        <f t="shared" si="57"/>
        <v>68.53</v>
      </c>
      <c r="AK347" s="954">
        <f t="shared" si="58"/>
        <v>0</v>
      </c>
      <c r="AL347" s="625"/>
    </row>
    <row r="348" spans="1:38" s="620" customFormat="1" ht="20.100000000000001" customHeight="1" x14ac:dyDescent="0.2">
      <c r="A348" s="759">
        <f t="shared" si="59"/>
        <v>42</v>
      </c>
      <c r="B348" s="957">
        <f>+NOMINA!C346</f>
        <v>12797215</v>
      </c>
      <c r="C348" s="958" t="str">
        <f>+NOMINA!D346</f>
        <v>Briceño Matheus Yhonny Alberto</v>
      </c>
      <c r="D348" s="955" t="s">
        <v>4622</v>
      </c>
      <c r="E348" s="959">
        <v>32351</v>
      </c>
      <c r="F348" s="955" t="s">
        <v>4620</v>
      </c>
      <c r="G348" s="971">
        <f>+NOMINA!H346</f>
        <v>45778</v>
      </c>
      <c r="H348" s="961">
        <f t="shared" si="60"/>
        <v>0</v>
      </c>
      <c r="I348" s="962">
        <v>0</v>
      </c>
      <c r="J348" s="968">
        <f>+NOMINA!BL346</f>
        <v>12</v>
      </c>
      <c r="K348" s="968">
        <f>+NOMINA!BM346</f>
        <v>1.5</v>
      </c>
      <c r="L348" s="968">
        <f>+NOMINA!BN346</f>
        <v>2.6</v>
      </c>
      <c r="M348" s="963">
        <f t="shared" si="61"/>
        <v>16.100000000000001</v>
      </c>
      <c r="N348" s="968">
        <f>+NOMINA!BR346</f>
        <v>27</v>
      </c>
      <c r="O348" s="968">
        <f>+NOMINA!BS346</f>
        <v>6</v>
      </c>
      <c r="P348" s="968">
        <f>+NOMINA!BT346</f>
        <v>5.2</v>
      </c>
      <c r="Q348" s="963">
        <f t="shared" si="62"/>
        <v>38.200000000000003</v>
      </c>
      <c r="R348" s="963">
        <f t="shared" si="63"/>
        <v>54.300000000000004</v>
      </c>
      <c r="S348" s="972">
        <v>0</v>
      </c>
      <c r="T348" s="443" t="e">
        <f>#REF!+#REF!-M348</f>
        <v>#REF!</v>
      </c>
      <c r="U348" s="952" t="e">
        <f>ROUND((#REF!+#REF!+#REF!+#REF!+#REF!+#REF!+#REF!+#REF!+#REF!),2)</f>
        <v>#REF!</v>
      </c>
      <c r="Y348" s="953" t="e">
        <f>#REF!+#REF!-M348</f>
        <v>#REF!</v>
      </c>
      <c r="Z348" s="954" t="e">
        <f>#REF!</f>
        <v>#REF!</v>
      </c>
      <c r="AA348" s="953" t="e">
        <f>#REF!+#REF!</f>
        <v>#REF!</v>
      </c>
      <c r="AB348" s="954" t="e">
        <f>#REF!</f>
        <v>#REF!</v>
      </c>
      <c r="AC348" s="955">
        <v>0</v>
      </c>
      <c r="AD348" s="954" t="e">
        <f>#REF!</f>
        <v>#REF!</v>
      </c>
      <c r="AE348" s="956" t="e">
        <f>#REF!+#REF!</f>
        <v>#REF!</v>
      </c>
      <c r="AF348" s="956" t="e">
        <f>#REF!+#REF!</f>
        <v>#REF!</v>
      </c>
      <c r="AG348" s="956"/>
      <c r="AH348" s="954" t="e">
        <f>#REF!</f>
        <v>#REF!</v>
      </c>
      <c r="AI348" s="954" t="e">
        <f t="shared" si="56"/>
        <v>#REF!</v>
      </c>
      <c r="AJ348" s="954">
        <f t="shared" si="57"/>
        <v>54.300000000000004</v>
      </c>
      <c r="AK348" s="954">
        <f t="shared" si="58"/>
        <v>0</v>
      </c>
      <c r="AL348" s="625"/>
    </row>
    <row r="349" spans="1:38" s="620" customFormat="1" ht="20.100000000000001" customHeight="1" x14ac:dyDescent="0.2">
      <c r="A349" s="759">
        <f t="shared" si="59"/>
        <v>43</v>
      </c>
      <c r="B349" s="957">
        <f>+NOMINA!C347</f>
        <v>12797543</v>
      </c>
      <c r="C349" s="958" t="str">
        <f>+NOMINA!D347</f>
        <v>Carrizo Blanco Doris Coromoto</v>
      </c>
      <c r="D349" s="955" t="s">
        <v>4622</v>
      </c>
      <c r="E349" s="959">
        <v>32351</v>
      </c>
      <c r="F349" s="955" t="s">
        <v>4620</v>
      </c>
      <c r="G349" s="971">
        <f>+NOMINA!H347</f>
        <v>42948</v>
      </c>
      <c r="H349" s="961">
        <f t="shared" si="60"/>
        <v>5</v>
      </c>
      <c r="I349" s="962">
        <v>0</v>
      </c>
      <c r="J349" s="968">
        <f>+NOMINA!BL347</f>
        <v>13.62</v>
      </c>
      <c r="K349" s="968">
        <f>+NOMINA!BM347</f>
        <v>1.7</v>
      </c>
      <c r="L349" s="968">
        <f>+NOMINA!BN347</f>
        <v>2.95</v>
      </c>
      <c r="M349" s="963">
        <f t="shared" si="61"/>
        <v>18.27</v>
      </c>
      <c r="N349" s="968">
        <f>+NOMINA!BR347</f>
        <v>30.64</v>
      </c>
      <c r="O349" s="968">
        <f>+NOMINA!BS347</f>
        <v>6.81</v>
      </c>
      <c r="P349" s="968">
        <f>+NOMINA!BT347</f>
        <v>5.9</v>
      </c>
      <c r="Q349" s="963">
        <f t="shared" si="62"/>
        <v>43.35</v>
      </c>
      <c r="R349" s="963">
        <f t="shared" si="63"/>
        <v>61.620000000000005</v>
      </c>
      <c r="S349" s="972">
        <v>0</v>
      </c>
      <c r="T349" s="443" t="e">
        <f>#REF!+#REF!-M349</f>
        <v>#REF!</v>
      </c>
      <c r="U349" s="952" t="e">
        <f>ROUND((#REF!+#REF!+#REF!+#REF!+#REF!+#REF!+#REF!+#REF!+#REF!),2)</f>
        <v>#REF!</v>
      </c>
      <c r="Y349" s="953" t="e">
        <f>#REF!+#REF!-M349</f>
        <v>#REF!</v>
      </c>
      <c r="Z349" s="954" t="e">
        <f>#REF!</f>
        <v>#REF!</v>
      </c>
      <c r="AA349" s="953" t="e">
        <f>#REF!+#REF!</f>
        <v>#REF!</v>
      </c>
      <c r="AB349" s="954" t="e">
        <f>#REF!</f>
        <v>#REF!</v>
      </c>
      <c r="AC349" s="955">
        <v>0</v>
      </c>
      <c r="AD349" s="954" t="e">
        <f>#REF!</f>
        <v>#REF!</v>
      </c>
      <c r="AE349" s="956" t="e">
        <f>#REF!+#REF!</f>
        <v>#REF!</v>
      </c>
      <c r="AF349" s="956" t="e">
        <f>#REF!+#REF!</f>
        <v>#REF!</v>
      </c>
      <c r="AG349" s="956"/>
      <c r="AH349" s="954" t="e">
        <f>#REF!</f>
        <v>#REF!</v>
      </c>
      <c r="AI349" s="954" t="e">
        <f t="shared" si="56"/>
        <v>#REF!</v>
      </c>
      <c r="AJ349" s="954">
        <f t="shared" si="57"/>
        <v>61.620000000000005</v>
      </c>
      <c r="AK349" s="954">
        <f t="shared" si="58"/>
        <v>0</v>
      </c>
      <c r="AL349" s="625"/>
    </row>
    <row r="350" spans="1:38" s="620" customFormat="1" ht="20.100000000000001" customHeight="1" x14ac:dyDescent="0.2">
      <c r="A350" s="759">
        <f t="shared" si="59"/>
        <v>44</v>
      </c>
      <c r="B350" s="957">
        <f>+NOMINA!C348</f>
        <v>12797598</v>
      </c>
      <c r="C350" s="958" t="str">
        <f>+NOMINA!D348</f>
        <v>Gutierrez Briceño Jose Gabriel</v>
      </c>
      <c r="D350" s="955" t="s">
        <v>4622</v>
      </c>
      <c r="E350" s="959">
        <v>32351</v>
      </c>
      <c r="F350" s="955" t="s">
        <v>4620</v>
      </c>
      <c r="G350" s="971">
        <f>+NOMINA!H348</f>
        <v>44635</v>
      </c>
      <c r="H350" s="961">
        <f t="shared" si="60"/>
        <v>0</v>
      </c>
      <c r="I350" s="962">
        <v>0</v>
      </c>
      <c r="J350" s="968">
        <f>+NOMINA!BL348</f>
        <v>14.71</v>
      </c>
      <c r="K350" s="968">
        <f>+NOMINA!BM348</f>
        <v>1.84</v>
      </c>
      <c r="L350" s="968">
        <f>+NOMINA!BN348</f>
        <v>3.19</v>
      </c>
      <c r="M350" s="963">
        <f t="shared" si="61"/>
        <v>19.739999999999998</v>
      </c>
      <c r="N350" s="968">
        <f>+NOMINA!BR348</f>
        <v>33.090000000000003</v>
      </c>
      <c r="O350" s="968">
        <f>+NOMINA!BS348</f>
        <v>7.35</v>
      </c>
      <c r="P350" s="968">
        <f>+NOMINA!BT348</f>
        <v>6.38</v>
      </c>
      <c r="Q350" s="963">
        <f t="shared" si="62"/>
        <v>46.82</v>
      </c>
      <c r="R350" s="963">
        <f t="shared" si="63"/>
        <v>66.56</v>
      </c>
      <c r="S350" s="972">
        <v>0</v>
      </c>
      <c r="T350" s="443" t="e">
        <f>#REF!+#REF!-M350</f>
        <v>#REF!</v>
      </c>
      <c r="U350" s="952" t="e">
        <f>ROUND((#REF!+#REF!+#REF!+#REF!+#REF!+#REF!+#REF!+#REF!+#REF!),2)</f>
        <v>#REF!</v>
      </c>
      <c r="Y350" s="953" t="e">
        <f>#REF!+#REF!-M350</f>
        <v>#REF!</v>
      </c>
      <c r="Z350" s="954" t="e">
        <f>#REF!</f>
        <v>#REF!</v>
      </c>
      <c r="AA350" s="953" t="e">
        <f>#REF!+#REF!</f>
        <v>#REF!</v>
      </c>
      <c r="AB350" s="954" t="e">
        <f>#REF!</f>
        <v>#REF!</v>
      </c>
      <c r="AC350" s="955">
        <v>0</v>
      </c>
      <c r="AD350" s="954" t="e">
        <f>#REF!</f>
        <v>#REF!</v>
      </c>
      <c r="AE350" s="956" t="e">
        <f>#REF!+#REF!</f>
        <v>#REF!</v>
      </c>
      <c r="AF350" s="956" t="e">
        <f>#REF!+#REF!</f>
        <v>#REF!</v>
      </c>
      <c r="AG350" s="956"/>
      <c r="AH350" s="954" t="e">
        <f>#REF!</f>
        <v>#REF!</v>
      </c>
      <c r="AI350" s="954" t="e">
        <f t="shared" si="56"/>
        <v>#REF!</v>
      </c>
      <c r="AJ350" s="954">
        <f t="shared" si="57"/>
        <v>66.56</v>
      </c>
      <c r="AK350" s="954">
        <f t="shared" si="58"/>
        <v>0</v>
      </c>
      <c r="AL350" s="625"/>
    </row>
    <row r="351" spans="1:38" s="620" customFormat="1" ht="20.100000000000001" customHeight="1" x14ac:dyDescent="0.2">
      <c r="A351" s="759">
        <f t="shared" si="59"/>
        <v>45</v>
      </c>
      <c r="B351" s="957">
        <f>+NOMINA!C349</f>
        <v>13049800</v>
      </c>
      <c r="C351" s="958" t="str">
        <f>+NOMINA!D349</f>
        <v>Artigas Sanchez Mereldes Corina</v>
      </c>
      <c r="D351" s="955" t="s">
        <v>4622</v>
      </c>
      <c r="E351" s="959">
        <v>32351</v>
      </c>
      <c r="F351" s="955" t="s">
        <v>4620</v>
      </c>
      <c r="G351" s="971">
        <f>+NOMINA!H349</f>
        <v>42171</v>
      </c>
      <c r="H351" s="961">
        <f t="shared" si="60"/>
        <v>7</v>
      </c>
      <c r="I351" s="962">
        <v>0</v>
      </c>
      <c r="J351" s="968">
        <f>+NOMINA!BL349</f>
        <v>12.66</v>
      </c>
      <c r="K351" s="968">
        <f>+NOMINA!BM349</f>
        <v>1.58</v>
      </c>
      <c r="L351" s="968">
        <f>+NOMINA!BN349</f>
        <v>2.74</v>
      </c>
      <c r="M351" s="963">
        <f t="shared" si="61"/>
        <v>16.98</v>
      </c>
      <c r="N351" s="968">
        <f>+NOMINA!BR349</f>
        <v>28.49</v>
      </c>
      <c r="O351" s="968">
        <f>+NOMINA!BS349</f>
        <v>6.33</v>
      </c>
      <c r="P351" s="968">
        <f>+NOMINA!BT349</f>
        <v>5.48</v>
      </c>
      <c r="Q351" s="963">
        <f t="shared" si="62"/>
        <v>40.299999999999997</v>
      </c>
      <c r="R351" s="963">
        <f t="shared" si="63"/>
        <v>57.28</v>
      </c>
      <c r="S351" s="972">
        <v>0</v>
      </c>
      <c r="T351" s="443" t="e">
        <f>#REF!+#REF!-M351</f>
        <v>#REF!</v>
      </c>
      <c r="U351" s="952" t="e">
        <f>ROUND((#REF!+#REF!+#REF!+#REF!+#REF!+#REF!+#REF!+#REF!+#REF!),2)</f>
        <v>#REF!</v>
      </c>
      <c r="Y351" s="953" t="e">
        <f>#REF!+#REF!-M351</f>
        <v>#REF!</v>
      </c>
      <c r="Z351" s="954" t="e">
        <f>#REF!</f>
        <v>#REF!</v>
      </c>
      <c r="AA351" s="953" t="e">
        <f>#REF!+#REF!</f>
        <v>#REF!</v>
      </c>
      <c r="AB351" s="954" t="e">
        <f>#REF!</f>
        <v>#REF!</v>
      </c>
      <c r="AC351" s="955">
        <v>0</v>
      </c>
      <c r="AD351" s="954" t="e">
        <f>#REF!</f>
        <v>#REF!</v>
      </c>
      <c r="AE351" s="956" t="e">
        <f>#REF!+#REF!</f>
        <v>#REF!</v>
      </c>
      <c r="AF351" s="956" t="e">
        <f>#REF!+#REF!</f>
        <v>#REF!</v>
      </c>
      <c r="AG351" s="956"/>
      <c r="AH351" s="954" t="e">
        <f>#REF!</f>
        <v>#REF!</v>
      </c>
      <c r="AI351" s="954" t="e">
        <f t="shared" si="56"/>
        <v>#REF!</v>
      </c>
      <c r="AJ351" s="954">
        <f t="shared" si="57"/>
        <v>57.28</v>
      </c>
      <c r="AK351" s="954">
        <f t="shared" si="58"/>
        <v>0</v>
      </c>
      <c r="AL351" s="625"/>
    </row>
    <row r="352" spans="1:38" s="620" customFormat="1" ht="20.100000000000001" customHeight="1" x14ac:dyDescent="0.2">
      <c r="A352" s="759">
        <f t="shared" si="59"/>
        <v>46</v>
      </c>
      <c r="B352" s="957">
        <f>+NOMINA!C350</f>
        <v>13376729</v>
      </c>
      <c r="C352" s="958" t="str">
        <f>+NOMINA!D350</f>
        <v>Briceño Aldana Yhon Mario</v>
      </c>
      <c r="D352" s="955" t="s">
        <v>4622</v>
      </c>
      <c r="E352" s="959">
        <v>32351</v>
      </c>
      <c r="F352" s="955" t="s">
        <v>4620</v>
      </c>
      <c r="G352" s="971">
        <f>+NOMINA!H350</f>
        <v>42948</v>
      </c>
      <c r="H352" s="961">
        <f t="shared" si="60"/>
        <v>5</v>
      </c>
      <c r="I352" s="962">
        <v>0</v>
      </c>
      <c r="J352" s="968">
        <f>+NOMINA!BL350</f>
        <v>19.690000000000001</v>
      </c>
      <c r="K352" s="968">
        <f>+NOMINA!BM350</f>
        <v>2.46</v>
      </c>
      <c r="L352" s="968">
        <f>+NOMINA!BN350</f>
        <v>4.2699999999999996</v>
      </c>
      <c r="M352" s="963">
        <f t="shared" si="61"/>
        <v>26.42</v>
      </c>
      <c r="N352" s="968">
        <f>+NOMINA!BR350</f>
        <v>44.31</v>
      </c>
      <c r="O352" s="968">
        <f>+NOMINA!BS350</f>
        <v>9.85</v>
      </c>
      <c r="P352" s="968">
        <f>+NOMINA!BT350</f>
        <v>8.5399999999999991</v>
      </c>
      <c r="Q352" s="963">
        <f t="shared" si="62"/>
        <v>62.7</v>
      </c>
      <c r="R352" s="963">
        <f t="shared" si="63"/>
        <v>89.12</v>
      </c>
      <c r="S352" s="972">
        <v>0</v>
      </c>
      <c r="T352" s="443" t="e">
        <f>#REF!+#REF!-M352</f>
        <v>#REF!</v>
      </c>
      <c r="U352" s="952" t="e">
        <f>ROUND((#REF!+#REF!+#REF!+#REF!+#REF!+#REF!+#REF!+#REF!+#REF!),2)</f>
        <v>#REF!</v>
      </c>
      <c r="Y352" s="953" t="e">
        <f>#REF!+#REF!-M352</f>
        <v>#REF!</v>
      </c>
      <c r="Z352" s="954" t="e">
        <f>#REF!</f>
        <v>#REF!</v>
      </c>
      <c r="AA352" s="953" t="e">
        <f>#REF!+#REF!</f>
        <v>#REF!</v>
      </c>
      <c r="AB352" s="954" t="e">
        <f>#REF!</f>
        <v>#REF!</v>
      </c>
      <c r="AC352" s="955">
        <v>0</v>
      </c>
      <c r="AD352" s="954" t="e">
        <f>#REF!</f>
        <v>#REF!</v>
      </c>
      <c r="AE352" s="956" t="e">
        <f>#REF!+#REF!</f>
        <v>#REF!</v>
      </c>
      <c r="AF352" s="956" t="e">
        <f>#REF!+#REF!</f>
        <v>#REF!</v>
      </c>
      <c r="AG352" s="956"/>
      <c r="AH352" s="954" t="e">
        <f>#REF!</f>
        <v>#REF!</v>
      </c>
      <c r="AI352" s="954" t="e">
        <f t="shared" si="56"/>
        <v>#REF!</v>
      </c>
      <c r="AJ352" s="954">
        <f t="shared" si="57"/>
        <v>89.12</v>
      </c>
      <c r="AK352" s="954">
        <f t="shared" si="58"/>
        <v>0</v>
      </c>
      <c r="AL352" s="625"/>
    </row>
    <row r="353" spans="1:38" s="620" customFormat="1" ht="20.100000000000001" customHeight="1" x14ac:dyDescent="0.2">
      <c r="A353" s="759">
        <f t="shared" si="59"/>
        <v>47</v>
      </c>
      <c r="B353" s="957">
        <f>+NOMINA!C351</f>
        <v>13404824</v>
      </c>
      <c r="C353" s="958" t="str">
        <f>+NOMINA!D351</f>
        <v>Malpica Rivas Julio Enrique</v>
      </c>
      <c r="D353" s="955" t="s">
        <v>4622</v>
      </c>
      <c r="E353" s="959">
        <v>32351</v>
      </c>
      <c r="F353" s="955" t="s">
        <v>4620</v>
      </c>
      <c r="G353" s="971">
        <f>+NOMINA!H351</f>
        <v>45474</v>
      </c>
      <c r="H353" s="961">
        <f t="shared" si="60"/>
        <v>0</v>
      </c>
      <c r="I353" s="962">
        <v>0</v>
      </c>
      <c r="J353" s="968">
        <f>+NOMINA!BL351</f>
        <v>13.09</v>
      </c>
      <c r="K353" s="968">
        <f>+NOMINA!BM351</f>
        <v>1.64</v>
      </c>
      <c r="L353" s="968">
        <f>+NOMINA!BN351</f>
        <v>2.84</v>
      </c>
      <c r="M353" s="963">
        <f t="shared" si="61"/>
        <v>17.57</v>
      </c>
      <c r="N353" s="968">
        <f>+NOMINA!BR351</f>
        <v>29.44</v>
      </c>
      <c r="O353" s="968">
        <f>+NOMINA!BS351</f>
        <v>6.54</v>
      </c>
      <c r="P353" s="968">
        <f>+NOMINA!BT351</f>
        <v>5.68</v>
      </c>
      <c r="Q353" s="963">
        <f t="shared" si="62"/>
        <v>41.66</v>
      </c>
      <c r="R353" s="963">
        <f t="shared" si="63"/>
        <v>59.23</v>
      </c>
      <c r="S353" s="972">
        <v>0</v>
      </c>
      <c r="T353" s="443" t="e">
        <f>#REF!+#REF!-M353</f>
        <v>#REF!</v>
      </c>
      <c r="U353" s="952" t="e">
        <f>ROUND((#REF!+#REF!+#REF!+#REF!+#REF!+#REF!+#REF!+#REF!+#REF!),2)</f>
        <v>#REF!</v>
      </c>
      <c r="Y353" s="953" t="e">
        <f>#REF!+#REF!-M353</f>
        <v>#REF!</v>
      </c>
      <c r="Z353" s="954" t="e">
        <f>#REF!</f>
        <v>#REF!</v>
      </c>
      <c r="AA353" s="953" t="e">
        <f>#REF!+#REF!</f>
        <v>#REF!</v>
      </c>
      <c r="AB353" s="954" t="e">
        <f>#REF!</f>
        <v>#REF!</v>
      </c>
      <c r="AC353" s="955">
        <v>0</v>
      </c>
      <c r="AD353" s="954" t="e">
        <f>#REF!</f>
        <v>#REF!</v>
      </c>
      <c r="AE353" s="956" t="e">
        <f>#REF!+#REF!</f>
        <v>#REF!</v>
      </c>
      <c r="AF353" s="956" t="e">
        <f>#REF!+#REF!</f>
        <v>#REF!</v>
      </c>
      <c r="AG353" s="956"/>
      <c r="AH353" s="954" t="e">
        <f>#REF!</f>
        <v>#REF!</v>
      </c>
      <c r="AI353" s="954" t="e">
        <f t="shared" si="56"/>
        <v>#REF!</v>
      </c>
      <c r="AJ353" s="954">
        <f t="shared" si="57"/>
        <v>59.23</v>
      </c>
      <c r="AK353" s="954">
        <f t="shared" si="58"/>
        <v>0</v>
      </c>
      <c r="AL353" s="625"/>
    </row>
    <row r="354" spans="1:38" s="620" customFormat="1" ht="20.100000000000001" customHeight="1" x14ac:dyDescent="0.2">
      <c r="A354" s="759">
        <f t="shared" si="59"/>
        <v>48</v>
      </c>
      <c r="B354" s="957">
        <f>+NOMINA!C352</f>
        <v>13745328</v>
      </c>
      <c r="C354" s="958" t="str">
        <f>+NOMINA!D352</f>
        <v>Arroyo Williams Jose</v>
      </c>
      <c r="D354" s="955" t="s">
        <v>4622</v>
      </c>
      <c r="E354" s="959">
        <v>32351</v>
      </c>
      <c r="F354" s="955" t="s">
        <v>4620</v>
      </c>
      <c r="G354" s="971">
        <f>+NOMINA!H352</f>
        <v>44805</v>
      </c>
      <c r="H354" s="961">
        <f t="shared" si="60"/>
        <v>0</v>
      </c>
      <c r="I354" s="962">
        <v>0</v>
      </c>
      <c r="J354" s="968">
        <f>+NOMINA!BL352</f>
        <v>17.940000000000001</v>
      </c>
      <c r="K354" s="968">
        <f>+NOMINA!BM352</f>
        <v>2.2400000000000002</v>
      </c>
      <c r="L354" s="968">
        <f>+NOMINA!BN352</f>
        <v>3.89</v>
      </c>
      <c r="M354" s="963">
        <f t="shared" si="61"/>
        <v>24.07</v>
      </c>
      <c r="N354" s="968">
        <f>+NOMINA!BR352</f>
        <v>40.369999999999997</v>
      </c>
      <c r="O354" s="968">
        <f>+NOMINA!BS352</f>
        <v>8.9700000000000006</v>
      </c>
      <c r="P354" s="968">
        <f>+NOMINA!BT352</f>
        <v>7.78</v>
      </c>
      <c r="Q354" s="963">
        <f t="shared" si="62"/>
        <v>57.12</v>
      </c>
      <c r="R354" s="963">
        <f t="shared" si="63"/>
        <v>81.19</v>
      </c>
      <c r="S354" s="972">
        <v>0</v>
      </c>
      <c r="T354" s="443" t="e">
        <f>#REF!+#REF!-M354</f>
        <v>#REF!</v>
      </c>
      <c r="U354" s="952" t="e">
        <f>ROUND((#REF!+#REF!+#REF!+#REF!+#REF!+#REF!+#REF!+#REF!+#REF!),2)</f>
        <v>#REF!</v>
      </c>
      <c r="Y354" s="953" t="e">
        <f>#REF!+#REF!-M354</f>
        <v>#REF!</v>
      </c>
      <c r="Z354" s="954" t="e">
        <f>#REF!</f>
        <v>#REF!</v>
      </c>
      <c r="AA354" s="953" t="e">
        <f>#REF!+#REF!</f>
        <v>#REF!</v>
      </c>
      <c r="AB354" s="954" t="e">
        <f>#REF!</f>
        <v>#REF!</v>
      </c>
      <c r="AC354" s="955">
        <v>0</v>
      </c>
      <c r="AD354" s="954" t="e">
        <f>#REF!</f>
        <v>#REF!</v>
      </c>
      <c r="AE354" s="956" t="e">
        <f>#REF!+#REF!</f>
        <v>#REF!</v>
      </c>
      <c r="AF354" s="956" t="e">
        <f>#REF!+#REF!</f>
        <v>#REF!</v>
      </c>
      <c r="AG354" s="956"/>
      <c r="AH354" s="954" t="e">
        <f>#REF!</f>
        <v>#REF!</v>
      </c>
      <c r="AI354" s="954" t="e">
        <f t="shared" si="56"/>
        <v>#REF!</v>
      </c>
      <c r="AJ354" s="954">
        <f t="shared" si="57"/>
        <v>81.19</v>
      </c>
      <c r="AK354" s="954">
        <f t="shared" si="58"/>
        <v>0</v>
      </c>
      <c r="AL354" s="625"/>
    </row>
    <row r="355" spans="1:38" s="620" customFormat="1" ht="20.100000000000001" customHeight="1" x14ac:dyDescent="0.2">
      <c r="A355" s="759">
        <f t="shared" si="59"/>
        <v>49</v>
      </c>
      <c r="B355" s="957">
        <f>+NOMINA!C353</f>
        <v>13996661</v>
      </c>
      <c r="C355" s="958" t="str">
        <f>+NOMINA!D353</f>
        <v>Perez Montilla Yosmer Alexander</v>
      </c>
      <c r="D355" s="955" t="s">
        <v>4622</v>
      </c>
      <c r="E355" s="959">
        <v>32351</v>
      </c>
      <c r="F355" s="955" t="s">
        <v>4620</v>
      </c>
      <c r="G355" s="971">
        <f>+NOMINA!H353</f>
        <v>44743</v>
      </c>
      <c r="H355" s="961">
        <f t="shared" si="60"/>
        <v>0</v>
      </c>
      <c r="I355" s="962">
        <v>0</v>
      </c>
      <c r="J355" s="968">
        <f>+NOMINA!BL353</f>
        <v>20.260000000000002</v>
      </c>
      <c r="K355" s="968">
        <f>+NOMINA!BM353</f>
        <v>2.5299999999999998</v>
      </c>
      <c r="L355" s="968">
        <f>+NOMINA!BN353</f>
        <v>4.3899999999999997</v>
      </c>
      <c r="M355" s="963">
        <f t="shared" si="61"/>
        <v>27.18</v>
      </c>
      <c r="N355" s="968">
        <f>+NOMINA!BR353</f>
        <v>45.58</v>
      </c>
      <c r="O355" s="968">
        <f>+NOMINA!BS353</f>
        <v>10.130000000000001</v>
      </c>
      <c r="P355" s="968">
        <f>+NOMINA!BT353</f>
        <v>8.7799999999999994</v>
      </c>
      <c r="Q355" s="963">
        <f t="shared" si="62"/>
        <v>64.489999999999995</v>
      </c>
      <c r="R355" s="963">
        <f t="shared" si="63"/>
        <v>91.669999999999987</v>
      </c>
      <c r="S355" s="972">
        <v>0</v>
      </c>
      <c r="T355" s="443" t="e">
        <f>#REF!+#REF!-M355</f>
        <v>#REF!</v>
      </c>
      <c r="U355" s="952" t="e">
        <f>ROUND((#REF!+#REF!+#REF!+#REF!+#REF!+#REF!+#REF!+#REF!+#REF!),2)</f>
        <v>#REF!</v>
      </c>
      <c r="Y355" s="953" t="e">
        <f>#REF!+#REF!-M355</f>
        <v>#REF!</v>
      </c>
      <c r="Z355" s="954" t="e">
        <f>#REF!</f>
        <v>#REF!</v>
      </c>
      <c r="AA355" s="953" t="e">
        <f>#REF!+#REF!</f>
        <v>#REF!</v>
      </c>
      <c r="AB355" s="954" t="e">
        <f>#REF!</f>
        <v>#REF!</v>
      </c>
      <c r="AC355" s="955">
        <v>0</v>
      </c>
      <c r="AD355" s="954" t="e">
        <f>#REF!</f>
        <v>#REF!</v>
      </c>
      <c r="AE355" s="956" t="e">
        <f>#REF!+#REF!</f>
        <v>#REF!</v>
      </c>
      <c r="AF355" s="956" t="e">
        <f>#REF!+#REF!</f>
        <v>#REF!</v>
      </c>
      <c r="AG355" s="956"/>
      <c r="AH355" s="954" t="e">
        <f>#REF!</f>
        <v>#REF!</v>
      </c>
      <c r="AI355" s="954" t="e">
        <f t="shared" si="56"/>
        <v>#REF!</v>
      </c>
      <c r="AJ355" s="954">
        <f t="shared" si="57"/>
        <v>91.669999999999987</v>
      </c>
      <c r="AK355" s="954">
        <f t="shared" si="58"/>
        <v>0</v>
      </c>
      <c r="AL355" s="625"/>
    </row>
    <row r="356" spans="1:38" s="620" customFormat="1" ht="20.100000000000001" customHeight="1" x14ac:dyDescent="0.2">
      <c r="A356" s="759">
        <f t="shared" si="59"/>
        <v>50</v>
      </c>
      <c r="B356" s="957">
        <f>+NOMINA!C354</f>
        <v>13996885</v>
      </c>
      <c r="C356" s="958" t="str">
        <f>+NOMINA!D354</f>
        <v>Pulido Rojo Wilmer Jose</v>
      </c>
      <c r="D356" s="955" t="s">
        <v>4622</v>
      </c>
      <c r="E356" s="959">
        <v>32351</v>
      </c>
      <c r="F356" s="955" t="s">
        <v>4620</v>
      </c>
      <c r="G356" s="971">
        <f>+NOMINA!H354</f>
        <v>44363</v>
      </c>
      <c r="H356" s="961">
        <f t="shared" si="60"/>
        <v>1</v>
      </c>
      <c r="I356" s="962">
        <v>0</v>
      </c>
      <c r="J356" s="968">
        <f>+NOMINA!BL354</f>
        <v>17.850000000000001</v>
      </c>
      <c r="K356" s="968">
        <f>+NOMINA!BM354</f>
        <v>2.23</v>
      </c>
      <c r="L356" s="968">
        <f>+NOMINA!BN354</f>
        <v>3.87</v>
      </c>
      <c r="M356" s="963">
        <f t="shared" si="61"/>
        <v>23.95</v>
      </c>
      <c r="N356" s="968">
        <f>+NOMINA!BR354</f>
        <v>40.15</v>
      </c>
      <c r="O356" s="968">
        <f>+NOMINA!BS354</f>
        <v>8.92</v>
      </c>
      <c r="P356" s="968">
        <f>+NOMINA!BT354</f>
        <v>7.74</v>
      </c>
      <c r="Q356" s="963">
        <f t="shared" si="62"/>
        <v>56.81</v>
      </c>
      <c r="R356" s="963">
        <f t="shared" si="63"/>
        <v>80.760000000000005</v>
      </c>
      <c r="S356" s="972">
        <v>0</v>
      </c>
      <c r="T356" s="443" t="e">
        <f>#REF!+#REF!-M356</f>
        <v>#REF!</v>
      </c>
      <c r="U356" s="952" t="e">
        <f>ROUND((#REF!+#REF!+#REF!+#REF!+#REF!+#REF!+#REF!+#REF!+#REF!),2)</f>
        <v>#REF!</v>
      </c>
      <c r="Y356" s="953" t="e">
        <f>#REF!+#REF!-M356</f>
        <v>#REF!</v>
      </c>
      <c r="Z356" s="954" t="e">
        <f>#REF!</f>
        <v>#REF!</v>
      </c>
      <c r="AA356" s="953" t="e">
        <f>#REF!+#REF!</f>
        <v>#REF!</v>
      </c>
      <c r="AB356" s="954" t="e">
        <f>#REF!</f>
        <v>#REF!</v>
      </c>
      <c r="AC356" s="955">
        <v>0</v>
      </c>
      <c r="AD356" s="954" t="e">
        <f>#REF!</f>
        <v>#REF!</v>
      </c>
      <c r="AE356" s="956" t="e">
        <f>#REF!+#REF!</f>
        <v>#REF!</v>
      </c>
      <c r="AF356" s="956" t="e">
        <f>#REF!+#REF!</f>
        <v>#REF!</v>
      </c>
      <c r="AG356" s="956"/>
      <c r="AH356" s="954" t="e">
        <f>#REF!</f>
        <v>#REF!</v>
      </c>
      <c r="AI356" s="954" t="e">
        <f t="shared" si="56"/>
        <v>#REF!</v>
      </c>
      <c r="AJ356" s="954">
        <f t="shared" si="57"/>
        <v>80.760000000000005</v>
      </c>
      <c r="AK356" s="954">
        <f t="shared" si="58"/>
        <v>0</v>
      </c>
      <c r="AL356" s="625"/>
    </row>
    <row r="357" spans="1:38" s="620" customFormat="1" ht="20.100000000000001" customHeight="1" x14ac:dyDescent="0.2">
      <c r="A357" s="759">
        <f t="shared" si="59"/>
        <v>51</v>
      </c>
      <c r="B357" s="957">
        <f>+NOMINA!C355</f>
        <v>14149971</v>
      </c>
      <c r="C357" s="958" t="str">
        <f>+NOMINA!D355</f>
        <v>Rivera Virginia del Carmen</v>
      </c>
      <c r="D357" s="955" t="s">
        <v>4622</v>
      </c>
      <c r="E357" s="959">
        <v>32351</v>
      </c>
      <c r="F357" s="955" t="s">
        <v>4620</v>
      </c>
      <c r="G357" s="971">
        <f>+NOMINA!H355</f>
        <v>41091</v>
      </c>
      <c r="H357" s="961">
        <f t="shared" si="60"/>
        <v>10</v>
      </c>
      <c r="I357" s="962">
        <v>0</v>
      </c>
      <c r="J357" s="968">
        <f>+NOMINA!BL355</f>
        <v>12.91</v>
      </c>
      <c r="K357" s="968">
        <f>+NOMINA!BM355</f>
        <v>1.61</v>
      </c>
      <c r="L357" s="968">
        <f>+NOMINA!BN355</f>
        <v>2.8</v>
      </c>
      <c r="M357" s="963">
        <f t="shared" si="61"/>
        <v>17.32</v>
      </c>
      <c r="N357" s="968">
        <f>+NOMINA!BR355</f>
        <v>29.05</v>
      </c>
      <c r="O357" s="968">
        <f>+NOMINA!BS355</f>
        <v>6.46</v>
      </c>
      <c r="P357" s="968">
        <f>+NOMINA!BT355</f>
        <v>5.6</v>
      </c>
      <c r="Q357" s="963">
        <f t="shared" si="62"/>
        <v>41.11</v>
      </c>
      <c r="R357" s="963">
        <f t="shared" si="63"/>
        <v>58.43</v>
      </c>
      <c r="S357" s="972">
        <v>0</v>
      </c>
      <c r="T357" s="443" t="e">
        <f>#REF!+#REF!-M357</f>
        <v>#REF!</v>
      </c>
      <c r="U357" s="952" t="e">
        <f>ROUND((#REF!+#REF!+#REF!+#REF!+#REF!+#REF!+#REF!+#REF!+#REF!),2)</f>
        <v>#REF!</v>
      </c>
      <c r="Y357" s="953" t="e">
        <f>#REF!+#REF!-M357</f>
        <v>#REF!</v>
      </c>
      <c r="Z357" s="954" t="e">
        <f>#REF!</f>
        <v>#REF!</v>
      </c>
      <c r="AA357" s="953" t="e">
        <f>#REF!+#REF!</f>
        <v>#REF!</v>
      </c>
      <c r="AB357" s="954" t="e">
        <f>#REF!</f>
        <v>#REF!</v>
      </c>
      <c r="AC357" s="955">
        <v>0</v>
      </c>
      <c r="AD357" s="954" t="e">
        <f>#REF!</f>
        <v>#REF!</v>
      </c>
      <c r="AE357" s="956" t="e">
        <f>#REF!+#REF!</f>
        <v>#REF!</v>
      </c>
      <c r="AF357" s="956" t="e">
        <f>#REF!+#REF!</f>
        <v>#REF!</v>
      </c>
      <c r="AG357" s="956"/>
      <c r="AH357" s="954" t="e">
        <f>#REF!</f>
        <v>#REF!</v>
      </c>
      <c r="AI357" s="954" t="e">
        <f t="shared" si="56"/>
        <v>#REF!</v>
      </c>
      <c r="AJ357" s="954">
        <f t="shared" si="57"/>
        <v>58.43</v>
      </c>
      <c r="AK357" s="954">
        <f t="shared" si="58"/>
        <v>0</v>
      </c>
      <c r="AL357" s="625"/>
    </row>
    <row r="358" spans="1:38" s="620" customFormat="1" ht="20.100000000000001" customHeight="1" x14ac:dyDescent="0.2">
      <c r="A358" s="759">
        <f t="shared" si="59"/>
        <v>52</v>
      </c>
      <c r="B358" s="957">
        <f>+NOMINA!C356</f>
        <v>14150495</v>
      </c>
      <c r="C358" s="958" t="str">
        <f>+NOMINA!D356</f>
        <v>Umbria de Segovia Alexandra del Carmen</v>
      </c>
      <c r="D358" s="955" t="s">
        <v>4622</v>
      </c>
      <c r="E358" s="959">
        <v>32351</v>
      </c>
      <c r="F358" s="955" t="s">
        <v>4620</v>
      </c>
      <c r="G358" s="971">
        <f>+NOMINA!H356</f>
        <v>44228</v>
      </c>
      <c r="H358" s="961">
        <f t="shared" si="60"/>
        <v>1</v>
      </c>
      <c r="I358" s="962">
        <v>0</v>
      </c>
      <c r="J358" s="968">
        <f>+NOMINA!BL356</f>
        <v>14.21</v>
      </c>
      <c r="K358" s="968">
        <f>+NOMINA!BM356</f>
        <v>1.78</v>
      </c>
      <c r="L358" s="968">
        <f>+NOMINA!BN356</f>
        <v>3.08</v>
      </c>
      <c r="M358" s="963">
        <f t="shared" si="61"/>
        <v>19.07</v>
      </c>
      <c r="N358" s="968">
        <f>+NOMINA!BR356</f>
        <v>31.97</v>
      </c>
      <c r="O358" s="968">
        <f>+NOMINA!BS356</f>
        <v>7.1</v>
      </c>
      <c r="P358" s="968">
        <f>+NOMINA!BT356</f>
        <v>6.16</v>
      </c>
      <c r="Q358" s="963">
        <f t="shared" si="62"/>
        <v>45.23</v>
      </c>
      <c r="R358" s="963">
        <f t="shared" si="63"/>
        <v>64.3</v>
      </c>
      <c r="S358" s="972">
        <v>0</v>
      </c>
      <c r="T358" s="443" t="e">
        <f>#REF!+#REF!-M358</f>
        <v>#REF!</v>
      </c>
      <c r="U358" s="952" t="e">
        <f>ROUND((#REF!+#REF!+#REF!+#REF!+#REF!+#REF!+#REF!+#REF!+#REF!),2)</f>
        <v>#REF!</v>
      </c>
      <c r="Y358" s="953" t="e">
        <f>#REF!+#REF!-M358</f>
        <v>#REF!</v>
      </c>
      <c r="Z358" s="954" t="e">
        <f>#REF!</f>
        <v>#REF!</v>
      </c>
      <c r="AA358" s="953" t="e">
        <f>#REF!+#REF!</f>
        <v>#REF!</v>
      </c>
      <c r="AB358" s="954" t="e">
        <f>#REF!</f>
        <v>#REF!</v>
      </c>
      <c r="AC358" s="955">
        <v>0</v>
      </c>
      <c r="AD358" s="954" t="e">
        <f>#REF!</f>
        <v>#REF!</v>
      </c>
      <c r="AE358" s="956" t="e">
        <f>#REF!+#REF!</f>
        <v>#REF!</v>
      </c>
      <c r="AF358" s="956" t="e">
        <f>#REF!+#REF!</f>
        <v>#REF!</v>
      </c>
      <c r="AG358" s="956"/>
      <c r="AH358" s="954" t="e">
        <f>#REF!</f>
        <v>#REF!</v>
      </c>
      <c r="AI358" s="954" t="e">
        <f t="shared" si="56"/>
        <v>#REF!</v>
      </c>
      <c r="AJ358" s="954">
        <f t="shared" si="57"/>
        <v>64.3</v>
      </c>
      <c r="AK358" s="954">
        <f t="shared" si="58"/>
        <v>0</v>
      </c>
      <c r="AL358" s="625"/>
    </row>
    <row r="359" spans="1:38" s="620" customFormat="1" ht="20.100000000000001" customHeight="1" x14ac:dyDescent="0.2">
      <c r="A359" s="759">
        <f t="shared" si="59"/>
        <v>53</v>
      </c>
      <c r="B359" s="957">
        <f>+NOMINA!C357</f>
        <v>14718369</v>
      </c>
      <c r="C359" s="958" t="str">
        <f>+NOMINA!D357</f>
        <v>Pacheco Yudith del Valle</v>
      </c>
      <c r="D359" s="955" t="s">
        <v>4622</v>
      </c>
      <c r="E359" s="959">
        <v>32351</v>
      </c>
      <c r="F359" s="955" t="s">
        <v>4620</v>
      </c>
      <c r="G359" s="971">
        <f>+NOMINA!H357</f>
        <v>43147</v>
      </c>
      <c r="H359" s="961">
        <f t="shared" si="60"/>
        <v>4</v>
      </c>
      <c r="I359" s="962">
        <v>0</v>
      </c>
      <c r="J359" s="968">
        <f>+NOMINA!BL357</f>
        <v>12.44</v>
      </c>
      <c r="K359" s="968">
        <f>+NOMINA!BM357</f>
        <v>1.56</v>
      </c>
      <c r="L359" s="968">
        <f>+NOMINA!BN357</f>
        <v>2.7</v>
      </c>
      <c r="M359" s="963">
        <f t="shared" si="61"/>
        <v>16.7</v>
      </c>
      <c r="N359" s="968">
        <f>+NOMINA!BR357</f>
        <v>28</v>
      </c>
      <c r="O359" s="968">
        <f>+NOMINA!BS357</f>
        <v>6.22</v>
      </c>
      <c r="P359" s="968">
        <f>+NOMINA!BT357</f>
        <v>5.4</v>
      </c>
      <c r="Q359" s="963">
        <f t="shared" si="62"/>
        <v>39.619999999999997</v>
      </c>
      <c r="R359" s="963">
        <f t="shared" si="63"/>
        <v>56.319999999999993</v>
      </c>
      <c r="S359" s="972">
        <v>0</v>
      </c>
      <c r="T359" s="443" t="e">
        <f>#REF!+#REF!-M359</f>
        <v>#REF!</v>
      </c>
      <c r="U359" s="952" t="e">
        <f>ROUND((#REF!+#REF!+#REF!+#REF!+#REF!+#REF!+#REF!+#REF!+#REF!),2)</f>
        <v>#REF!</v>
      </c>
      <c r="Y359" s="953" t="e">
        <f>#REF!+#REF!-M359</f>
        <v>#REF!</v>
      </c>
      <c r="Z359" s="954" t="e">
        <f>#REF!</f>
        <v>#REF!</v>
      </c>
      <c r="AA359" s="953" t="e">
        <f>#REF!+#REF!</f>
        <v>#REF!</v>
      </c>
      <c r="AB359" s="954" t="e">
        <f>#REF!</f>
        <v>#REF!</v>
      </c>
      <c r="AC359" s="955">
        <v>0</v>
      </c>
      <c r="AD359" s="954" t="e">
        <f>#REF!</f>
        <v>#REF!</v>
      </c>
      <c r="AE359" s="956" t="e">
        <f>#REF!+#REF!</f>
        <v>#REF!</v>
      </c>
      <c r="AF359" s="956" t="e">
        <f>#REF!+#REF!</f>
        <v>#REF!</v>
      </c>
      <c r="AG359" s="956"/>
      <c r="AH359" s="954" t="e">
        <f>#REF!</f>
        <v>#REF!</v>
      </c>
      <c r="AI359" s="954" t="e">
        <f t="shared" si="56"/>
        <v>#REF!</v>
      </c>
      <c r="AJ359" s="954">
        <f t="shared" si="57"/>
        <v>56.319999999999993</v>
      </c>
      <c r="AK359" s="954">
        <f t="shared" si="58"/>
        <v>0</v>
      </c>
      <c r="AL359" s="625"/>
    </row>
    <row r="360" spans="1:38" s="620" customFormat="1" ht="20.100000000000001" customHeight="1" x14ac:dyDescent="0.2">
      <c r="A360" s="759">
        <f t="shared" si="59"/>
        <v>54</v>
      </c>
      <c r="B360" s="957">
        <f>+NOMINA!C358</f>
        <v>14718468</v>
      </c>
      <c r="C360" s="958" t="str">
        <f>+NOMINA!D358</f>
        <v>Frias Aldana Yhonny Ramon</v>
      </c>
      <c r="D360" s="955" t="s">
        <v>4622</v>
      </c>
      <c r="E360" s="959">
        <v>32351</v>
      </c>
      <c r="F360" s="955" t="s">
        <v>4620</v>
      </c>
      <c r="G360" s="971">
        <f>+NOMINA!H358</f>
        <v>42948</v>
      </c>
      <c r="H360" s="961">
        <f t="shared" si="60"/>
        <v>5</v>
      </c>
      <c r="I360" s="962">
        <v>0</v>
      </c>
      <c r="J360" s="968">
        <f>+NOMINA!BL358</f>
        <v>15.15</v>
      </c>
      <c r="K360" s="968">
        <f>+NOMINA!BM358</f>
        <v>1.89</v>
      </c>
      <c r="L360" s="968">
        <f>+NOMINA!BN358</f>
        <v>3.28</v>
      </c>
      <c r="M360" s="963">
        <f t="shared" si="61"/>
        <v>20.32</v>
      </c>
      <c r="N360" s="968">
        <f>+NOMINA!BR358</f>
        <v>34.08</v>
      </c>
      <c r="O360" s="968">
        <f>+NOMINA!BS358</f>
        <v>7.57</v>
      </c>
      <c r="P360" s="968">
        <f>+NOMINA!BT358</f>
        <v>6.56</v>
      </c>
      <c r="Q360" s="963">
        <f t="shared" si="62"/>
        <v>48.21</v>
      </c>
      <c r="R360" s="963">
        <f t="shared" si="63"/>
        <v>68.53</v>
      </c>
      <c r="S360" s="972">
        <v>0</v>
      </c>
      <c r="T360" s="443" t="e">
        <f>#REF!+#REF!-M360</f>
        <v>#REF!</v>
      </c>
      <c r="U360" s="952" t="e">
        <f>ROUND((#REF!+#REF!+#REF!+#REF!+#REF!+#REF!+#REF!+#REF!+#REF!),2)</f>
        <v>#REF!</v>
      </c>
      <c r="Y360" s="953" t="e">
        <f>#REF!+#REF!-M360</f>
        <v>#REF!</v>
      </c>
      <c r="Z360" s="954" t="e">
        <f>#REF!</f>
        <v>#REF!</v>
      </c>
      <c r="AA360" s="953" t="e">
        <f>#REF!+#REF!</f>
        <v>#REF!</v>
      </c>
      <c r="AB360" s="954" t="e">
        <f>#REF!</f>
        <v>#REF!</v>
      </c>
      <c r="AC360" s="955">
        <v>0</v>
      </c>
      <c r="AD360" s="954" t="e">
        <f>#REF!</f>
        <v>#REF!</v>
      </c>
      <c r="AE360" s="956" t="e">
        <f>#REF!+#REF!</f>
        <v>#REF!</v>
      </c>
      <c r="AF360" s="956" t="e">
        <f>#REF!+#REF!</f>
        <v>#REF!</v>
      </c>
      <c r="AG360" s="956"/>
      <c r="AH360" s="954" t="e">
        <f>#REF!</f>
        <v>#REF!</v>
      </c>
      <c r="AI360" s="954" t="e">
        <f t="shared" si="56"/>
        <v>#REF!</v>
      </c>
      <c r="AJ360" s="954">
        <f t="shared" si="57"/>
        <v>68.53</v>
      </c>
      <c r="AK360" s="954">
        <f t="shared" si="58"/>
        <v>0</v>
      </c>
      <c r="AL360" s="625"/>
    </row>
    <row r="361" spans="1:38" s="620" customFormat="1" ht="20.100000000000001" customHeight="1" x14ac:dyDescent="0.2">
      <c r="A361" s="759">
        <f t="shared" si="59"/>
        <v>55</v>
      </c>
      <c r="B361" s="957">
        <f>+NOMINA!C359</f>
        <v>14719205</v>
      </c>
      <c r="C361" s="958" t="str">
        <f>+NOMINA!D359</f>
        <v>Chinchilla Perez Jean Carlos</v>
      </c>
      <c r="D361" s="955" t="s">
        <v>4622</v>
      </c>
      <c r="E361" s="959">
        <v>32351</v>
      </c>
      <c r="F361" s="955" t="s">
        <v>4620</v>
      </c>
      <c r="G361" s="971">
        <f>+NOMINA!H359</f>
        <v>39861</v>
      </c>
      <c r="H361" s="961">
        <f t="shared" si="60"/>
        <v>13</v>
      </c>
      <c r="I361" s="962">
        <v>0</v>
      </c>
      <c r="J361" s="968">
        <f>+NOMINA!BL359</f>
        <v>14.39</v>
      </c>
      <c r="K361" s="968">
        <f>+NOMINA!BM359</f>
        <v>1.8</v>
      </c>
      <c r="L361" s="968">
        <f>+NOMINA!BN359</f>
        <v>3.12</v>
      </c>
      <c r="M361" s="963">
        <f t="shared" si="61"/>
        <v>19.309999999999999</v>
      </c>
      <c r="N361" s="968">
        <f>+NOMINA!BR359</f>
        <v>32.380000000000003</v>
      </c>
      <c r="O361" s="968">
        <f>+NOMINA!BS359</f>
        <v>7.2</v>
      </c>
      <c r="P361" s="968">
        <f>+NOMINA!BT359</f>
        <v>6.24</v>
      </c>
      <c r="Q361" s="963">
        <f t="shared" si="62"/>
        <v>45.82</v>
      </c>
      <c r="R361" s="963">
        <f t="shared" si="63"/>
        <v>65.13</v>
      </c>
      <c r="S361" s="972">
        <v>0</v>
      </c>
      <c r="T361" s="443" t="e">
        <f>#REF!+#REF!-M361</f>
        <v>#REF!</v>
      </c>
      <c r="U361" s="952" t="e">
        <f>ROUND((#REF!+#REF!+#REF!+#REF!+#REF!+#REF!+#REF!+#REF!+#REF!),2)</f>
        <v>#REF!</v>
      </c>
      <c r="Y361" s="953" t="e">
        <f>#REF!+#REF!-M361</f>
        <v>#REF!</v>
      </c>
      <c r="Z361" s="954" t="e">
        <f>#REF!</f>
        <v>#REF!</v>
      </c>
      <c r="AA361" s="953" t="e">
        <f>#REF!+#REF!</f>
        <v>#REF!</v>
      </c>
      <c r="AB361" s="954" t="e">
        <f>#REF!</f>
        <v>#REF!</v>
      </c>
      <c r="AC361" s="955">
        <v>0</v>
      </c>
      <c r="AD361" s="954" t="e">
        <f>#REF!</f>
        <v>#REF!</v>
      </c>
      <c r="AE361" s="956" t="e">
        <f>#REF!+#REF!</f>
        <v>#REF!</v>
      </c>
      <c r="AF361" s="956" t="e">
        <f>#REF!+#REF!</f>
        <v>#REF!</v>
      </c>
      <c r="AG361" s="956"/>
      <c r="AH361" s="954" t="e">
        <f>#REF!</f>
        <v>#REF!</v>
      </c>
      <c r="AI361" s="954" t="e">
        <f t="shared" si="56"/>
        <v>#REF!</v>
      </c>
      <c r="AJ361" s="954">
        <f t="shared" si="57"/>
        <v>65.13</v>
      </c>
      <c r="AK361" s="954">
        <f t="shared" si="58"/>
        <v>0</v>
      </c>
      <c r="AL361" s="625"/>
    </row>
    <row r="362" spans="1:38" s="620" customFormat="1" ht="20.100000000000001" customHeight="1" x14ac:dyDescent="0.2">
      <c r="A362" s="759">
        <f t="shared" si="59"/>
        <v>56</v>
      </c>
      <c r="B362" s="957">
        <f>+NOMINA!C360</f>
        <v>14719356</v>
      </c>
      <c r="C362" s="958" t="str">
        <f>+NOMINA!D360</f>
        <v>Linares Montilla Gerardo Enrique</v>
      </c>
      <c r="D362" s="955" t="s">
        <v>4622</v>
      </c>
      <c r="E362" s="959">
        <v>32351</v>
      </c>
      <c r="F362" s="955" t="s">
        <v>4620</v>
      </c>
      <c r="G362" s="971">
        <f>+NOMINA!H360</f>
        <v>44348</v>
      </c>
      <c r="H362" s="961">
        <f t="shared" si="60"/>
        <v>1</v>
      </c>
      <c r="I362" s="962">
        <v>0</v>
      </c>
      <c r="J362" s="968">
        <f>+NOMINA!BL360</f>
        <v>14.45</v>
      </c>
      <c r="K362" s="968">
        <f>+NOMINA!BM360</f>
        <v>1.81</v>
      </c>
      <c r="L362" s="968">
        <f>+NOMINA!BN360</f>
        <v>3.13</v>
      </c>
      <c r="M362" s="963">
        <f t="shared" si="61"/>
        <v>19.39</v>
      </c>
      <c r="N362" s="968">
        <f>+NOMINA!BR360</f>
        <v>32.51</v>
      </c>
      <c r="O362" s="968">
        <f>+NOMINA!BS360</f>
        <v>7.22</v>
      </c>
      <c r="P362" s="968">
        <f>+NOMINA!BT360</f>
        <v>6.26</v>
      </c>
      <c r="Q362" s="963">
        <f t="shared" si="62"/>
        <v>45.99</v>
      </c>
      <c r="R362" s="963">
        <f t="shared" si="63"/>
        <v>65.38</v>
      </c>
      <c r="S362" s="972">
        <v>0</v>
      </c>
      <c r="T362" s="443" t="e">
        <f>#REF!+#REF!-M362</f>
        <v>#REF!</v>
      </c>
      <c r="U362" s="952" t="e">
        <f>ROUND((#REF!+#REF!+#REF!+#REF!+#REF!+#REF!+#REF!+#REF!+#REF!),2)</f>
        <v>#REF!</v>
      </c>
      <c r="Y362" s="953" t="e">
        <f>#REF!+#REF!-M362</f>
        <v>#REF!</v>
      </c>
      <c r="Z362" s="954" t="e">
        <f>#REF!</f>
        <v>#REF!</v>
      </c>
      <c r="AA362" s="953" t="e">
        <f>#REF!+#REF!</f>
        <v>#REF!</v>
      </c>
      <c r="AB362" s="954" t="e">
        <f>#REF!</f>
        <v>#REF!</v>
      </c>
      <c r="AC362" s="955">
        <v>0</v>
      </c>
      <c r="AD362" s="954" t="e">
        <f>#REF!</f>
        <v>#REF!</v>
      </c>
      <c r="AE362" s="956" t="e">
        <f>#REF!+#REF!</f>
        <v>#REF!</v>
      </c>
      <c r="AF362" s="956" t="e">
        <f>#REF!+#REF!</f>
        <v>#REF!</v>
      </c>
      <c r="AG362" s="956"/>
      <c r="AH362" s="954" t="e">
        <f>#REF!</f>
        <v>#REF!</v>
      </c>
      <c r="AI362" s="954" t="e">
        <f t="shared" si="56"/>
        <v>#REF!</v>
      </c>
      <c r="AJ362" s="954">
        <f t="shared" si="57"/>
        <v>65.38</v>
      </c>
      <c r="AK362" s="954">
        <f t="shared" si="58"/>
        <v>0</v>
      </c>
      <c r="AL362" s="625"/>
    </row>
    <row r="363" spans="1:38" s="620" customFormat="1" ht="20.100000000000001" customHeight="1" x14ac:dyDescent="0.2">
      <c r="A363" s="759">
        <f t="shared" si="59"/>
        <v>57</v>
      </c>
      <c r="B363" s="957">
        <f>+NOMINA!C361</f>
        <v>14780893</v>
      </c>
      <c r="C363" s="958" t="str">
        <f>+NOMINA!D361</f>
        <v>Perez Gonzalez Reinaldo Andre</v>
      </c>
      <c r="D363" s="955" t="s">
        <v>4622</v>
      </c>
      <c r="E363" s="959">
        <v>32351</v>
      </c>
      <c r="F363" s="955" t="s">
        <v>4620</v>
      </c>
      <c r="G363" s="971">
        <f>+NOMINA!H361</f>
        <v>41570</v>
      </c>
      <c r="H363" s="961">
        <f t="shared" si="60"/>
        <v>9</v>
      </c>
      <c r="I363" s="962">
        <v>0</v>
      </c>
      <c r="J363" s="968">
        <f>+NOMINA!BL361</f>
        <v>13.89</v>
      </c>
      <c r="K363" s="968">
        <f>+NOMINA!BM361</f>
        <v>1.74</v>
      </c>
      <c r="L363" s="968">
        <f>+NOMINA!BN361</f>
        <v>3.01</v>
      </c>
      <c r="M363" s="963">
        <f t="shared" si="61"/>
        <v>18.64</v>
      </c>
      <c r="N363" s="968">
        <f>+NOMINA!BR361</f>
        <v>31.24</v>
      </c>
      <c r="O363" s="968">
        <f>+NOMINA!BS361</f>
        <v>6.94</v>
      </c>
      <c r="P363" s="968">
        <f>+NOMINA!BT361</f>
        <v>6.02</v>
      </c>
      <c r="Q363" s="963">
        <f t="shared" si="62"/>
        <v>44.2</v>
      </c>
      <c r="R363" s="963">
        <f t="shared" si="63"/>
        <v>62.84</v>
      </c>
      <c r="S363" s="972">
        <v>0</v>
      </c>
      <c r="T363" s="443" t="e">
        <f>#REF!+#REF!-M363</f>
        <v>#REF!</v>
      </c>
      <c r="U363" s="952" t="e">
        <f>ROUND((#REF!+#REF!+#REF!+#REF!+#REF!+#REF!+#REF!+#REF!+#REF!),2)</f>
        <v>#REF!</v>
      </c>
      <c r="Y363" s="953" t="e">
        <f>#REF!+#REF!-M363</f>
        <v>#REF!</v>
      </c>
      <c r="Z363" s="954" t="e">
        <f>#REF!</f>
        <v>#REF!</v>
      </c>
      <c r="AA363" s="953" t="e">
        <f>#REF!+#REF!</f>
        <v>#REF!</v>
      </c>
      <c r="AB363" s="954" t="e">
        <f>#REF!</f>
        <v>#REF!</v>
      </c>
      <c r="AC363" s="955">
        <v>0</v>
      </c>
      <c r="AD363" s="954" t="e">
        <f>#REF!</f>
        <v>#REF!</v>
      </c>
      <c r="AE363" s="956" t="e">
        <f>#REF!+#REF!</f>
        <v>#REF!</v>
      </c>
      <c r="AF363" s="956" t="e">
        <f>#REF!+#REF!</f>
        <v>#REF!</v>
      </c>
      <c r="AG363" s="956"/>
      <c r="AH363" s="954" t="e">
        <f>#REF!</f>
        <v>#REF!</v>
      </c>
      <c r="AI363" s="954" t="e">
        <f t="shared" si="56"/>
        <v>#REF!</v>
      </c>
      <c r="AJ363" s="954">
        <f t="shared" si="57"/>
        <v>62.84</v>
      </c>
      <c r="AK363" s="954">
        <f t="shared" si="58"/>
        <v>0</v>
      </c>
      <c r="AL363" s="625"/>
    </row>
    <row r="364" spans="1:38" s="620" customFormat="1" ht="20.100000000000001" customHeight="1" x14ac:dyDescent="0.2">
      <c r="A364" s="759">
        <f t="shared" si="59"/>
        <v>58</v>
      </c>
      <c r="B364" s="957">
        <f>+NOMINA!C362</f>
        <v>14928047</v>
      </c>
      <c r="C364" s="958" t="str">
        <f>+NOMINA!D362</f>
        <v>Becerra Teran Maria Alejandra</v>
      </c>
      <c r="D364" s="955" t="s">
        <v>4622</v>
      </c>
      <c r="E364" s="959">
        <v>32351</v>
      </c>
      <c r="F364" s="955" t="s">
        <v>4620</v>
      </c>
      <c r="G364" s="971">
        <f>+NOMINA!H362</f>
        <v>43297</v>
      </c>
      <c r="H364" s="961">
        <f t="shared" si="60"/>
        <v>4</v>
      </c>
      <c r="I364" s="962">
        <v>0</v>
      </c>
      <c r="J364" s="968">
        <f>+NOMINA!BL362</f>
        <v>14.48</v>
      </c>
      <c r="K364" s="968">
        <f>+NOMINA!BM362</f>
        <v>1.81</v>
      </c>
      <c r="L364" s="968">
        <f>+NOMINA!BN362</f>
        <v>3.14</v>
      </c>
      <c r="M364" s="963">
        <f t="shared" si="61"/>
        <v>19.43</v>
      </c>
      <c r="N364" s="968">
        <f>+NOMINA!BR362</f>
        <v>32.57</v>
      </c>
      <c r="O364" s="968">
        <f>+NOMINA!BS362</f>
        <v>7.24</v>
      </c>
      <c r="P364" s="968">
        <f>+NOMINA!BT362</f>
        <v>6.28</v>
      </c>
      <c r="Q364" s="963">
        <f t="shared" si="62"/>
        <v>46.09</v>
      </c>
      <c r="R364" s="963">
        <f t="shared" si="63"/>
        <v>65.52000000000001</v>
      </c>
      <c r="S364" s="972">
        <v>0</v>
      </c>
      <c r="T364" s="443" t="e">
        <f>#REF!+#REF!-M364</f>
        <v>#REF!</v>
      </c>
      <c r="U364" s="952" t="e">
        <f>ROUND((#REF!+#REF!+#REF!+#REF!+#REF!+#REF!+#REF!+#REF!+#REF!),2)</f>
        <v>#REF!</v>
      </c>
      <c r="Y364" s="953" t="e">
        <f>#REF!+#REF!-M364</f>
        <v>#REF!</v>
      </c>
      <c r="Z364" s="954" t="e">
        <f>#REF!</f>
        <v>#REF!</v>
      </c>
      <c r="AA364" s="953" t="e">
        <f>#REF!+#REF!</f>
        <v>#REF!</v>
      </c>
      <c r="AB364" s="954" t="e">
        <f>#REF!</f>
        <v>#REF!</v>
      </c>
      <c r="AC364" s="955">
        <v>0</v>
      </c>
      <c r="AD364" s="954" t="e">
        <f>#REF!</f>
        <v>#REF!</v>
      </c>
      <c r="AE364" s="956" t="e">
        <f>#REF!+#REF!</f>
        <v>#REF!</v>
      </c>
      <c r="AF364" s="956" t="e">
        <f>#REF!+#REF!</f>
        <v>#REF!</v>
      </c>
      <c r="AG364" s="956"/>
      <c r="AH364" s="954" t="e">
        <f>#REF!</f>
        <v>#REF!</v>
      </c>
      <c r="AI364" s="954" t="e">
        <f t="shared" si="56"/>
        <v>#REF!</v>
      </c>
      <c r="AJ364" s="954">
        <f t="shared" si="57"/>
        <v>65.52000000000001</v>
      </c>
      <c r="AK364" s="954">
        <f t="shared" si="58"/>
        <v>0</v>
      </c>
      <c r="AL364" s="625"/>
    </row>
    <row r="365" spans="1:38" s="620" customFormat="1" ht="20.100000000000001" customHeight="1" x14ac:dyDescent="0.2">
      <c r="A365" s="759">
        <f t="shared" si="59"/>
        <v>59</v>
      </c>
      <c r="B365" s="957">
        <f>+NOMINA!C363</f>
        <v>15042683</v>
      </c>
      <c r="C365" s="958" t="str">
        <f>+NOMINA!D363</f>
        <v>Rivera Hermes Edixon</v>
      </c>
      <c r="D365" s="955" t="s">
        <v>4622</v>
      </c>
      <c r="E365" s="959">
        <v>32351</v>
      </c>
      <c r="F365" s="955" t="s">
        <v>4620</v>
      </c>
      <c r="G365" s="971">
        <f>+NOMINA!H363</f>
        <v>45292</v>
      </c>
      <c r="H365" s="961">
        <f t="shared" si="60"/>
        <v>0</v>
      </c>
      <c r="I365" s="962">
        <v>0</v>
      </c>
      <c r="J365" s="968">
        <f>+NOMINA!BL363</f>
        <v>12.64</v>
      </c>
      <c r="K365" s="968">
        <f>+NOMINA!BM363</f>
        <v>1.58</v>
      </c>
      <c r="L365" s="968">
        <f>+NOMINA!BN363</f>
        <v>2.74</v>
      </c>
      <c r="M365" s="963">
        <f t="shared" si="61"/>
        <v>16.96</v>
      </c>
      <c r="N365" s="968">
        <f>+NOMINA!BR363</f>
        <v>28.43</v>
      </c>
      <c r="O365" s="968">
        <f>+NOMINA!BS363</f>
        <v>6.32</v>
      </c>
      <c r="P365" s="968">
        <f>+NOMINA!BT363</f>
        <v>5.48</v>
      </c>
      <c r="Q365" s="963">
        <f t="shared" si="62"/>
        <v>40.229999999999997</v>
      </c>
      <c r="R365" s="963">
        <f t="shared" si="63"/>
        <v>57.19</v>
      </c>
      <c r="S365" s="972">
        <v>0</v>
      </c>
      <c r="T365" s="443" t="e">
        <f>#REF!+#REF!-M365</f>
        <v>#REF!</v>
      </c>
      <c r="U365" s="952" t="e">
        <f>ROUND((#REF!+#REF!+#REF!+#REF!+#REF!+#REF!+#REF!+#REF!+#REF!),2)</f>
        <v>#REF!</v>
      </c>
      <c r="Y365" s="953" t="e">
        <f>#REF!+#REF!-M365</f>
        <v>#REF!</v>
      </c>
      <c r="Z365" s="954" t="e">
        <f>#REF!</f>
        <v>#REF!</v>
      </c>
      <c r="AA365" s="953" t="e">
        <f>#REF!+#REF!</f>
        <v>#REF!</v>
      </c>
      <c r="AB365" s="954" t="e">
        <f>#REF!</f>
        <v>#REF!</v>
      </c>
      <c r="AC365" s="955">
        <v>0</v>
      </c>
      <c r="AD365" s="954" t="e">
        <f>#REF!</f>
        <v>#REF!</v>
      </c>
      <c r="AE365" s="956" t="e">
        <f>#REF!+#REF!</f>
        <v>#REF!</v>
      </c>
      <c r="AF365" s="956" t="e">
        <f>#REF!+#REF!</f>
        <v>#REF!</v>
      </c>
      <c r="AG365" s="956"/>
      <c r="AH365" s="954" t="e">
        <f>#REF!</f>
        <v>#REF!</v>
      </c>
      <c r="AI365" s="954" t="e">
        <f t="shared" si="56"/>
        <v>#REF!</v>
      </c>
      <c r="AJ365" s="954">
        <f t="shared" si="57"/>
        <v>57.19</v>
      </c>
      <c r="AK365" s="954">
        <f t="shared" si="58"/>
        <v>0</v>
      </c>
      <c r="AL365" s="625"/>
    </row>
    <row r="366" spans="1:38" s="620" customFormat="1" ht="20.100000000000001" customHeight="1" x14ac:dyDescent="0.2">
      <c r="A366" s="759">
        <f t="shared" si="59"/>
        <v>60</v>
      </c>
      <c r="B366" s="957">
        <f>+NOMINA!C364</f>
        <v>15293784</v>
      </c>
      <c r="C366" s="958" t="str">
        <f>+NOMINA!D364</f>
        <v>Meza Alipio Jose</v>
      </c>
      <c r="D366" s="955" t="s">
        <v>4622</v>
      </c>
      <c r="E366" s="959">
        <v>32351</v>
      </c>
      <c r="F366" s="955" t="s">
        <v>4620</v>
      </c>
      <c r="G366" s="971">
        <f>+NOMINA!H364</f>
        <v>45778</v>
      </c>
      <c r="H366" s="961">
        <f t="shared" si="60"/>
        <v>0</v>
      </c>
      <c r="I366" s="962">
        <v>0</v>
      </c>
      <c r="J366" s="968">
        <f>+NOMINA!BL364</f>
        <v>12</v>
      </c>
      <c r="K366" s="968">
        <f>+NOMINA!BM364</f>
        <v>1.5</v>
      </c>
      <c r="L366" s="968">
        <f>+NOMINA!BN364</f>
        <v>2.6</v>
      </c>
      <c r="M366" s="963">
        <f t="shared" si="61"/>
        <v>16.100000000000001</v>
      </c>
      <c r="N366" s="968">
        <f>+NOMINA!BR364</f>
        <v>27</v>
      </c>
      <c r="O366" s="968">
        <f>+NOMINA!BS364</f>
        <v>6</v>
      </c>
      <c r="P366" s="968">
        <f>+NOMINA!BT364</f>
        <v>5.2</v>
      </c>
      <c r="Q366" s="963">
        <f t="shared" si="62"/>
        <v>38.200000000000003</v>
      </c>
      <c r="R366" s="963">
        <f t="shared" si="63"/>
        <v>54.300000000000004</v>
      </c>
      <c r="S366" s="972">
        <v>0</v>
      </c>
      <c r="T366" s="443" t="e">
        <f>#REF!+#REF!-M366</f>
        <v>#REF!</v>
      </c>
      <c r="U366" s="952" t="e">
        <f>ROUND((#REF!+#REF!+#REF!+#REF!+#REF!+#REF!+#REF!+#REF!+#REF!),2)</f>
        <v>#REF!</v>
      </c>
      <c r="Y366" s="953" t="e">
        <f>#REF!+#REF!-M366</f>
        <v>#REF!</v>
      </c>
      <c r="Z366" s="954" t="e">
        <f>#REF!</f>
        <v>#REF!</v>
      </c>
      <c r="AA366" s="953" t="e">
        <f>#REF!+#REF!</f>
        <v>#REF!</v>
      </c>
      <c r="AB366" s="954" t="e">
        <f>#REF!</f>
        <v>#REF!</v>
      </c>
      <c r="AC366" s="955">
        <v>0</v>
      </c>
      <c r="AD366" s="954" t="e">
        <f>#REF!</f>
        <v>#REF!</v>
      </c>
      <c r="AE366" s="956" t="e">
        <f>#REF!+#REF!</f>
        <v>#REF!</v>
      </c>
      <c r="AF366" s="956" t="e">
        <f>#REF!+#REF!</f>
        <v>#REF!</v>
      </c>
      <c r="AG366" s="956"/>
      <c r="AH366" s="954" t="e">
        <f>#REF!</f>
        <v>#REF!</v>
      </c>
      <c r="AI366" s="954" t="e">
        <f t="shared" si="56"/>
        <v>#REF!</v>
      </c>
      <c r="AJ366" s="954">
        <f t="shared" si="57"/>
        <v>54.300000000000004</v>
      </c>
      <c r="AK366" s="954">
        <f t="shared" si="58"/>
        <v>0</v>
      </c>
      <c r="AL366" s="625"/>
    </row>
    <row r="367" spans="1:38" s="620" customFormat="1" ht="20.100000000000001" customHeight="1" x14ac:dyDescent="0.2">
      <c r="A367" s="759">
        <f t="shared" si="59"/>
        <v>61</v>
      </c>
      <c r="B367" s="957">
        <f>+NOMINA!C365</f>
        <v>15583194</v>
      </c>
      <c r="C367" s="958" t="str">
        <f>+NOMINA!D365</f>
        <v>Garcia Briceño Wuiston Andres</v>
      </c>
      <c r="D367" s="955" t="s">
        <v>4622</v>
      </c>
      <c r="E367" s="959">
        <v>32351</v>
      </c>
      <c r="F367" s="955" t="s">
        <v>4620</v>
      </c>
      <c r="G367" s="971">
        <f>+NOMINA!H365</f>
        <v>44166</v>
      </c>
      <c r="H367" s="961">
        <f t="shared" si="60"/>
        <v>2</v>
      </c>
      <c r="I367" s="962">
        <v>0</v>
      </c>
      <c r="J367" s="968">
        <f>+NOMINA!BL365</f>
        <v>15.56</v>
      </c>
      <c r="K367" s="968">
        <f>+NOMINA!BM365</f>
        <v>1.94</v>
      </c>
      <c r="L367" s="968">
        <f>+NOMINA!BN365</f>
        <v>3.37</v>
      </c>
      <c r="M367" s="963">
        <f t="shared" si="61"/>
        <v>20.87</v>
      </c>
      <c r="N367" s="968">
        <f>+NOMINA!BR365</f>
        <v>35.01</v>
      </c>
      <c r="O367" s="968">
        <f>+NOMINA!BS365</f>
        <v>7.78</v>
      </c>
      <c r="P367" s="968">
        <f>+NOMINA!BT365</f>
        <v>6.74</v>
      </c>
      <c r="Q367" s="963">
        <f t="shared" si="62"/>
        <v>49.53</v>
      </c>
      <c r="R367" s="963">
        <f t="shared" si="63"/>
        <v>70.400000000000006</v>
      </c>
      <c r="S367" s="972">
        <v>0</v>
      </c>
      <c r="T367" s="443" t="e">
        <f>#REF!+#REF!-M367</f>
        <v>#REF!</v>
      </c>
      <c r="U367" s="952" t="e">
        <f>ROUND((#REF!+#REF!+#REF!+#REF!+#REF!+#REF!+#REF!+#REF!+#REF!),2)</f>
        <v>#REF!</v>
      </c>
      <c r="Y367" s="953" t="e">
        <f>#REF!+#REF!-M367</f>
        <v>#REF!</v>
      </c>
      <c r="Z367" s="954" t="e">
        <f>#REF!</f>
        <v>#REF!</v>
      </c>
      <c r="AA367" s="953" t="e">
        <f>#REF!+#REF!</f>
        <v>#REF!</v>
      </c>
      <c r="AB367" s="954" t="e">
        <f>#REF!</f>
        <v>#REF!</v>
      </c>
      <c r="AC367" s="955">
        <v>0</v>
      </c>
      <c r="AD367" s="954" t="e">
        <f>#REF!</f>
        <v>#REF!</v>
      </c>
      <c r="AE367" s="956" t="e">
        <f>#REF!+#REF!</f>
        <v>#REF!</v>
      </c>
      <c r="AF367" s="956" t="e">
        <f>#REF!+#REF!</f>
        <v>#REF!</v>
      </c>
      <c r="AG367" s="956"/>
      <c r="AH367" s="954" t="e">
        <f>#REF!</f>
        <v>#REF!</v>
      </c>
      <c r="AI367" s="954" t="e">
        <f t="shared" ref="AI367:AI398" si="64">SUM(AA367:AH367)</f>
        <v>#REF!</v>
      </c>
      <c r="AJ367" s="954">
        <f t="shared" si="57"/>
        <v>70.400000000000006</v>
      </c>
      <c r="AK367" s="954">
        <f t="shared" si="58"/>
        <v>0</v>
      </c>
      <c r="AL367" s="625"/>
    </row>
    <row r="368" spans="1:38" s="620" customFormat="1" ht="20.100000000000001" customHeight="1" x14ac:dyDescent="0.2">
      <c r="A368" s="759">
        <f t="shared" si="59"/>
        <v>62</v>
      </c>
      <c r="B368" s="957">
        <f>+NOMINA!C366</f>
        <v>14928592</v>
      </c>
      <c r="C368" s="958" t="str">
        <f>+NOMINA!D366</f>
        <v>Rosales Ruiz Jesus Alberto</v>
      </c>
      <c r="D368" s="955" t="s">
        <v>4622</v>
      </c>
      <c r="E368" s="959">
        <v>32351</v>
      </c>
      <c r="F368" s="955" t="s">
        <v>4620</v>
      </c>
      <c r="G368" s="971">
        <f>+NOMINA!H366</f>
        <v>45017</v>
      </c>
      <c r="H368" s="961">
        <f t="shared" si="60"/>
        <v>0</v>
      </c>
      <c r="I368" s="962">
        <v>0</v>
      </c>
      <c r="J368" s="968">
        <f>+NOMINA!BL366</f>
        <v>14.05</v>
      </c>
      <c r="K368" s="968">
        <f>+NOMINA!BM366</f>
        <v>1.76</v>
      </c>
      <c r="L368" s="968">
        <f>+NOMINA!BN366</f>
        <v>3.04</v>
      </c>
      <c r="M368" s="963">
        <f t="shared" si="61"/>
        <v>18.850000000000001</v>
      </c>
      <c r="N368" s="968">
        <f>+NOMINA!BR366</f>
        <v>31.61</v>
      </c>
      <c r="O368" s="968">
        <f>+NOMINA!BS366</f>
        <v>7.03</v>
      </c>
      <c r="P368" s="968">
        <f>+NOMINA!BT366</f>
        <v>6.08</v>
      </c>
      <c r="Q368" s="963">
        <f t="shared" si="62"/>
        <v>44.72</v>
      </c>
      <c r="R368" s="963">
        <f t="shared" si="63"/>
        <v>63.57</v>
      </c>
      <c r="S368" s="972">
        <v>0</v>
      </c>
      <c r="T368" s="443" t="e">
        <f>#REF!+#REF!-M368</f>
        <v>#REF!</v>
      </c>
      <c r="U368" s="952" t="e">
        <f>ROUND((#REF!+#REF!+#REF!+#REF!+#REF!+#REF!+#REF!+#REF!+#REF!),2)</f>
        <v>#REF!</v>
      </c>
      <c r="Y368" s="953" t="e">
        <f>#REF!+#REF!-M368</f>
        <v>#REF!</v>
      </c>
      <c r="Z368" s="954" t="e">
        <f>#REF!</f>
        <v>#REF!</v>
      </c>
      <c r="AA368" s="953" t="e">
        <f>#REF!+#REF!</f>
        <v>#REF!</v>
      </c>
      <c r="AB368" s="954" t="e">
        <f>#REF!</f>
        <v>#REF!</v>
      </c>
      <c r="AC368" s="955">
        <v>0</v>
      </c>
      <c r="AD368" s="954" t="e">
        <f>#REF!</f>
        <v>#REF!</v>
      </c>
      <c r="AE368" s="956" t="e">
        <f>#REF!+#REF!</f>
        <v>#REF!</v>
      </c>
      <c r="AF368" s="956" t="e">
        <f>#REF!+#REF!</f>
        <v>#REF!</v>
      </c>
      <c r="AG368" s="956"/>
      <c r="AH368" s="954" t="e">
        <f>#REF!</f>
        <v>#REF!</v>
      </c>
      <c r="AI368" s="954" t="e">
        <f t="shared" si="64"/>
        <v>#REF!</v>
      </c>
      <c r="AJ368" s="954">
        <f t="shared" si="57"/>
        <v>63.57</v>
      </c>
      <c r="AK368" s="954">
        <f t="shared" si="58"/>
        <v>0</v>
      </c>
      <c r="AL368" s="625"/>
    </row>
    <row r="369" spans="1:38" s="620" customFormat="1" ht="20.100000000000001" customHeight="1" x14ac:dyDescent="0.2">
      <c r="A369" s="759">
        <f t="shared" si="59"/>
        <v>63</v>
      </c>
      <c r="B369" s="957">
        <f>+NOMINA!C367</f>
        <v>15952512</v>
      </c>
      <c r="C369" s="958" t="str">
        <f>+NOMINA!D367</f>
        <v>Graterol Gonzalez Maria Ysela</v>
      </c>
      <c r="D369" s="955" t="s">
        <v>4622</v>
      </c>
      <c r="E369" s="959">
        <v>32351</v>
      </c>
      <c r="F369" s="955" t="s">
        <v>4620</v>
      </c>
      <c r="G369" s="971">
        <f>+NOMINA!H367</f>
        <v>40725</v>
      </c>
      <c r="H369" s="961">
        <f t="shared" si="60"/>
        <v>11</v>
      </c>
      <c r="I369" s="962">
        <v>0</v>
      </c>
      <c r="J369" s="968">
        <f>+NOMINA!BL367</f>
        <v>13</v>
      </c>
      <c r="K369" s="968">
        <f>+NOMINA!BM367</f>
        <v>1.62</v>
      </c>
      <c r="L369" s="968">
        <f>+NOMINA!BN367</f>
        <v>2.82</v>
      </c>
      <c r="M369" s="963">
        <f t="shared" si="61"/>
        <v>17.440000000000001</v>
      </c>
      <c r="N369" s="968">
        <f>+NOMINA!BR367</f>
        <v>29.24</v>
      </c>
      <c r="O369" s="968">
        <f>+NOMINA!BS367</f>
        <v>6.5</v>
      </c>
      <c r="P369" s="968">
        <f>+NOMINA!BT367</f>
        <v>5.64</v>
      </c>
      <c r="Q369" s="963">
        <f t="shared" si="62"/>
        <v>41.38</v>
      </c>
      <c r="R369" s="963">
        <f t="shared" si="63"/>
        <v>58.820000000000007</v>
      </c>
      <c r="S369" s="972">
        <v>0</v>
      </c>
      <c r="T369" s="443" t="e">
        <f>#REF!+#REF!-M369</f>
        <v>#REF!</v>
      </c>
      <c r="U369" s="952" t="e">
        <f>ROUND((#REF!+#REF!+#REF!+#REF!+#REF!+#REF!+#REF!+#REF!+#REF!),2)</f>
        <v>#REF!</v>
      </c>
      <c r="Y369" s="953" t="e">
        <f>#REF!+#REF!-M369</f>
        <v>#REF!</v>
      </c>
      <c r="Z369" s="954" t="e">
        <f>#REF!</f>
        <v>#REF!</v>
      </c>
      <c r="AA369" s="953" t="e">
        <f>#REF!+#REF!</f>
        <v>#REF!</v>
      </c>
      <c r="AB369" s="954" t="e">
        <f>#REF!</f>
        <v>#REF!</v>
      </c>
      <c r="AC369" s="955">
        <v>0</v>
      </c>
      <c r="AD369" s="954" t="e">
        <f>#REF!</f>
        <v>#REF!</v>
      </c>
      <c r="AE369" s="956" t="e">
        <f>#REF!+#REF!</f>
        <v>#REF!</v>
      </c>
      <c r="AF369" s="956" t="e">
        <f>#REF!+#REF!</f>
        <v>#REF!</v>
      </c>
      <c r="AG369" s="956"/>
      <c r="AH369" s="954" t="e">
        <f>#REF!</f>
        <v>#REF!</v>
      </c>
      <c r="AI369" s="954" t="e">
        <f t="shared" si="64"/>
        <v>#REF!</v>
      </c>
      <c r="AJ369" s="954">
        <f t="shared" si="57"/>
        <v>58.820000000000007</v>
      </c>
      <c r="AK369" s="954">
        <f t="shared" si="58"/>
        <v>0</v>
      </c>
      <c r="AL369" s="625"/>
    </row>
    <row r="370" spans="1:38" s="620" customFormat="1" ht="20.100000000000001" customHeight="1" x14ac:dyDescent="0.2">
      <c r="A370" s="759">
        <f t="shared" si="59"/>
        <v>64</v>
      </c>
      <c r="B370" s="957">
        <f>+NOMINA!C368</f>
        <v>15953703</v>
      </c>
      <c r="C370" s="958" t="str">
        <f>+NOMINA!D368</f>
        <v>Briceño Salas Jose Leonardo</v>
      </c>
      <c r="D370" s="955" t="s">
        <v>4622</v>
      </c>
      <c r="E370" s="959">
        <v>32351</v>
      </c>
      <c r="F370" s="955" t="s">
        <v>4620</v>
      </c>
      <c r="G370" s="971">
        <f>+NOMINA!H368</f>
        <v>38718</v>
      </c>
      <c r="H370" s="961">
        <f t="shared" si="60"/>
        <v>16</v>
      </c>
      <c r="I370" s="962">
        <v>0</v>
      </c>
      <c r="J370" s="968">
        <f>+NOMINA!BL368</f>
        <v>15.88</v>
      </c>
      <c r="K370" s="968">
        <f>+NOMINA!BM368</f>
        <v>1.99</v>
      </c>
      <c r="L370" s="968">
        <f>+NOMINA!BN368</f>
        <v>3.44</v>
      </c>
      <c r="M370" s="963">
        <f t="shared" si="61"/>
        <v>21.31</v>
      </c>
      <c r="N370" s="968">
        <f>+NOMINA!BR368</f>
        <v>35.729999999999997</v>
      </c>
      <c r="O370" s="968">
        <f>+NOMINA!BS368</f>
        <v>7.94</v>
      </c>
      <c r="P370" s="968">
        <f>+NOMINA!BT368</f>
        <v>6.88</v>
      </c>
      <c r="Q370" s="963">
        <f t="shared" si="62"/>
        <v>50.55</v>
      </c>
      <c r="R370" s="963">
        <f t="shared" si="63"/>
        <v>71.86</v>
      </c>
      <c r="S370" s="972">
        <v>0</v>
      </c>
      <c r="T370" s="443" t="e">
        <f>#REF!+#REF!-M370</f>
        <v>#REF!</v>
      </c>
      <c r="U370" s="952" t="e">
        <f>ROUND((#REF!+#REF!+#REF!+#REF!+#REF!+#REF!+#REF!+#REF!+#REF!),2)</f>
        <v>#REF!</v>
      </c>
      <c r="Y370" s="953" t="e">
        <f>#REF!+#REF!-M370</f>
        <v>#REF!</v>
      </c>
      <c r="Z370" s="954" t="e">
        <f>#REF!</f>
        <v>#REF!</v>
      </c>
      <c r="AA370" s="953" t="e">
        <f>#REF!+#REF!</f>
        <v>#REF!</v>
      </c>
      <c r="AB370" s="954" t="e">
        <f>#REF!</f>
        <v>#REF!</v>
      </c>
      <c r="AC370" s="955">
        <v>0</v>
      </c>
      <c r="AD370" s="954" t="e">
        <f>#REF!</f>
        <v>#REF!</v>
      </c>
      <c r="AE370" s="956" t="e">
        <f>#REF!+#REF!</f>
        <v>#REF!</v>
      </c>
      <c r="AF370" s="956" t="e">
        <f>#REF!+#REF!</f>
        <v>#REF!</v>
      </c>
      <c r="AG370" s="956"/>
      <c r="AH370" s="954" t="e">
        <f>#REF!</f>
        <v>#REF!</v>
      </c>
      <c r="AI370" s="954" t="e">
        <f t="shared" si="64"/>
        <v>#REF!</v>
      </c>
      <c r="AJ370" s="954">
        <f t="shared" si="57"/>
        <v>71.86</v>
      </c>
      <c r="AK370" s="954">
        <f t="shared" si="58"/>
        <v>0</v>
      </c>
      <c r="AL370" s="625"/>
    </row>
    <row r="371" spans="1:38" s="620" customFormat="1" ht="20.100000000000001" customHeight="1" x14ac:dyDescent="0.2">
      <c r="A371" s="759">
        <f t="shared" si="59"/>
        <v>65</v>
      </c>
      <c r="B371" s="957">
        <f>+NOMINA!C369</f>
        <v>16266801</v>
      </c>
      <c r="C371" s="958" t="str">
        <f>+NOMINA!D369</f>
        <v>Briceño Gonzalez Mirla Carolina</v>
      </c>
      <c r="D371" s="955" t="s">
        <v>4622</v>
      </c>
      <c r="E371" s="959">
        <v>32351</v>
      </c>
      <c r="F371" s="955" t="s">
        <v>4620</v>
      </c>
      <c r="G371" s="971">
        <f>+NOMINA!H369</f>
        <v>39496</v>
      </c>
      <c r="H371" s="961">
        <f t="shared" si="60"/>
        <v>14</v>
      </c>
      <c r="I371" s="962">
        <v>0</v>
      </c>
      <c r="J371" s="968">
        <f>+NOMINA!BL369</f>
        <v>16.14</v>
      </c>
      <c r="K371" s="968">
        <f>+NOMINA!BM369</f>
        <v>2.02</v>
      </c>
      <c r="L371" s="968">
        <f>+NOMINA!BN369</f>
        <v>3.5</v>
      </c>
      <c r="M371" s="963">
        <f t="shared" si="61"/>
        <v>21.66</v>
      </c>
      <c r="N371" s="968">
        <f>+NOMINA!BR369</f>
        <v>36.32</v>
      </c>
      <c r="O371" s="968">
        <f>+NOMINA!BS369</f>
        <v>8.07</v>
      </c>
      <c r="P371" s="968">
        <f>+NOMINA!BT369</f>
        <v>7</v>
      </c>
      <c r="Q371" s="963">
        <f t="shared" si="62"/>
        <v>51.39</v>
      </c>
      <c r="R371" s="963">
        <f t="shared" si="63"/>
        <v>73.05</v>
      </c>
      <c r="S371" s="972">
        <v>0</v>
      </c>
      <c r="T371" s="443" t="e">
        <f>#REF!+#REF!-M371</f>
        <v>#REF!</v>
      </c>
      <c r="U371" s="952" t="e">
        <f>ROUND((#REF!+#REF!+#REF!+#REF!+#REF!+#REF!+#REF!+#REF!+#REF!),2)</f>
        <v>#REF!</v>
      </c>
      <c r="Y371" s="953" t="e">
        <f>#REF!+#REF!-M371</f>
        <v>#REF!</v>
      </c>
      <c r="Z371" s="954" t="e">
        <f>#REF!</f>
        <v>#REF!</v>
      </c>
      <c r="AA371" s="953" t="e">
        <f>#REF!+#REF!</f>
        <v>#REF!</v>
      </c>
      <c r="AB371" s="954" t="e">
        <f>#REF!</f>
        <v>#REF!</v>
      </c>
      <c r="AC371" s="955">
        <v>0</v>
      </c>
      <c r="AD371" s="954" t="e">
        <f>#REF!</f>
        <v>#REF!</v>
      </c>
      <c r="AE371" s="956" t="e">
        <f>#REF!+#REF!</f>
        <v>#REF!</v>
      </c>
      <c r="AF371" s="956" t="e">
        <f>#REF!+#REF!</f>
        <v>#REF!</v>
      </c>
      <c r="AG371" s="956"/>
      <c r="AH371" s="954" t="e">
        <f>#REF!</f>
        <v>#REF!</v>
      </c>
      <c r="AI371" s="954" t="e">
        <f t="shared" si="64"/>
        <v>#REF!</v>
      </c>
      <c r="AJ371" s="954">
        <f t="shared" ref="AJ371:AJ398" si="65">M371+Q371</f>
        <v>73.05</v>
      </c>
      <c r="AK371" s="954">
        <f t="shared" ref="AK371:AK398" si="66">S371</f>
        <v>0</v>
      </c>
      <c r="AL371" s="625"/>
    </row>
    <row r="372" spans="1:38" s="620" customFormat="1" ht="20.100000000000001" customHeight="1" x14ac:dyDescent="0.2">
      <c r="A372" s="759">
        <f t="shared" ref="A372:A389" si="67">A371+1</f>
        <v>66</v>
      </c>
      <c r="B372" s="957">
        <f>+NOMINA!C370</f>
        <v>16739958</v>
      </c>
      <c r="C372" s="958" t="str">
        <f>+NOMINA!D370</f>
        <v>Ramirez Ramirez Natali Gabriela</v>
      </c>
      <c r="D372" s="955" t="s">
        <v>4622</v>
      </c>
      <c r="E372" s="959">
        <v>32351</v>
      </c>
      <c r="F372" s="955" t="s">
        <v>4620</v>
      </c>
      <c r="G372" s="971">
        <f>+NOMINA!H370</f>
        <v>44866</v>
      </c>
      <c r="H372" s="961">
        <f t="shared" ref="H372:H398" si="68">IF(AND(YEAR(G372)&lt;2023,MONTH(G372)&gt;$N$8),2023-YEAR(G372)-1,IF(OR(G372="",YEAR(G372)&gt;2023),0,2023-YEAR(G372)))</f>
        <v>0</v>
      </c>
      <c r="I372" s="962">
        <v>0</v>
      </c>
      <c r="J372" s="968">
        <f>+NOMINA!BL370</f>
        <v>13.84</v>
      </c>
      <c r="K372" s="968">
        <f>+NOMINA!BM370</f>
        <v>1.73</v>
      </c>
      <c r="L372" s="968">
        <f>+NOMINA!BN370</f>
        <v>3</v>
      </c>
      <c r="M372" s="963">
        <f t="shared" ref="M372:M398" si="69">ROUND(SUM(J372:L372),2)</f>
        <v>18.57</v>
      </c>
      <c r="N372" s="968">
        <f>+NOMINA!BR370</f>
        <v>31.14</v>
      </c>
      <c r="O372" s="968">
        <f>+NOMINA!BS370</f>
        <v>6.92</v>
      </c>
      <c r="P372" s="968">
        <f>+NOMINA!BT370</f>
        <v>6</v>
      </c>
      <c r="Q372" s="963">
        <f t="shared" ref="Q372:Q398" si="70">ROUND(SUM(N372:P372),2)</f>
        <v>44.06</v>
      </c>
      <c r="R372" s="963">
        <f t="shared" ref="R372:R398" si="71">M372+Q372</f>
        <v>62.63</v>
      </c>
      <c r="S372" s="972">
        <v>0</v>
      </c>
      <c r="T372" s="443" t="e">
        <f>#REF!+#REF!-M372</f>
        <v>#REF!</v>
      </c>
      <c r="U372" s="952" t="e">
        <f>ROUND((#REF!+#REF!+#REF!+#REF!+#REF!+#REF!+#REF!+#REF!+#REF!),2)</f>
        <v>#REF!</v>
      </c>
      <c r="Y372" s="953" t="e">
        <f>#REF!+#REF!-M372</f>
        <v>#REF!</v>
      </c>
      <c r="Z372" s="954" t="e">
        <f>#REF!</f>
        <v>#REF!</v>
      </c>
      <c r="AA372" s="953" t="e">
        <f>#REF!+#REF!</f>
        <v>#REF!</v>
      </c>
      <c r="AB372" s="954" t="e">
        <f>#REF!</f>
        <v>#REF!</v>
      </c>
      <c r="AC372" s="955">
        <v>0</v>
      </c>
      <c r="AD372" s="954" t="e">
        <f>#REF!</f>
        <v>#REF!</v>
      </c>
      <c r="AE372" s="956" t="e">
        <f>#REF!+#REF!</f>
        <v>#REF!</v>
      </c>
      <c r="AF372" s="956" t="e">
        <f>#REF!+#REF!</f>
        <v>#REF!</v>
      </c>
      <c r="AG372" s="956"/>
      <c r="AH372" s="954" t="e">
        <f>#REF!</f>
        <v>#REF!</v>
      </c>
      <c r="AI372" s="954" t="e">
        <f t="shared" si="64"/>
        <v>#REF!</v>
      </c>
      <c r="AJ372" s="954">
        <f t="shared" si="65"/>
        <v>62.63</v>
      </c>
      <c r="AK372" s="954">
        <f t="shared" si="66"/>
        <v>0</v>
      </c>
      <c r="AL372" s="625"/>
    </row>
    <row r="373" spans="1:38" s="620" customFormat="1" ht="20.100000000000001" customHeight="1" x14ac:dyDescent="0.2">
      <c r="A373" s="759">
        <f t="shared" si="67"/>
        <v>67</v>
      </c>
      <c r="B373" s="957">
        <f>+NOMINA!C371</f>
        <v>16881526</v>
      </c>
      <c r="C373" s="958" t="str">
        <f>+NOMINA!D371</f>
        <v>Montilla Mendoza Addy Coromoto</v>
      </c>
      <c r="D373" s="955" t="s">
        <v>4622</v>
      </c>
      <c r="E373" s="959">
        <v>32351</v>
      </c>
      <c r="F373" s="955" t="s">
        <v>4620</v>
      </c>
      <c r="G373" s="971">
        <f>+NOMINA!H371</f>
        <v>44470</v>
      </c>
      <c r="H373" s="961">
        <f t="shared" si="68"/>
        <v>1</v>
      </c>
      <c r="I373" s="962">
        <v>0</v>
      </c>
      <c r="J373" s="968">
        <f>+NOMINA!BL371</f>
        <v>13.33</v>
      </c>
      <c r="K373" s="968">
        <f>+NOMINA!BM371</f>
        <v>1.67</v>
      </c>
      <c r="L373" s="968">
        <f>+NOMINA!BN371</f>
        <v>2.89</v>
      </c>
      <c r="M373" s="963">
        <f t="shared" si="69"/>
        <v>17.89</v>
      </c>
      <c r="N373" s="968">
        <f>+NOMINA!BR371</f>
        <v>30</v>
      </c>
      <c r="O373" s="968">
        <f>+NOMINA!BS371</f>
        <v>6.67</v>
      </c>
      <c r="P373" s="968">
        <f>+NOMINA!BT371</f>
        <v>5.78</v>
      </c>
      <c r="Q373" s="963">
        <f t="shared" si="70"/>
        <v>42.45</v>
      </c>
      <c r="R373" s="963">
        <f t="shared" si="71"/>
        <v>60.34</v>
      </c>
      <c r="S373" s="972">
        <v>0</v>
      </c>
      <c r="T373" s="443" t="e">
        <f>#REF!+#REF!-M373</f>
        <v>#REF!</v>
      </c>
      <c r="U373" s="952" t="e">
        <f>ROUND((#REF!+#REF!+#REF!+#REF!+#REF!+#REF!+#REF!+#REF!+#REF!),2)</f>
        <v>#REF!</v>
      </c>
      <c r="Y373" s="953" t="e">
        <f>#REF!+#REF!-M373</f>
        <v>#REF!</v>
      </c>
      <c r="Z373" s="954" t="e">
        <f>#REF!</f>
        <v>#REF!</v>
      </c>
      <c r="AA373" s="953" t="e">
        <f>#REF!+#REF!</f>
        <v>#REF!</v>
      </c>
      <c r="AB373" s="954" t="e">
        <f>#REF!</f>
        <v>#REF!</v>
      </c>
      <c r="AC373" s="955">
        <v>0</v>
      </c>
      <c r="AD373" s="954" t="e">
        <f>#REF!</f>
        <v>#REF!</v>
      </c>
      <c r="AE373" s="956" t="e">
        <f>#REF!+#REF!</f>
        <v>#REF!</v>
      </c>
      <c r="AF373" s="956" t="e">
        <f>#REF!+#REF!</f>
        <v>#REF!</v>
      </c>
      <c r="AG373" s="956"/>
      <c r="AH373" s="954" t="e">
        <f>#REF!</f>
        <v>#REF!</v>
      </c>
      <c r="AI373" s="954" t="e">
        <f t="shared" si="64"/>
        <v>#REF!</v>
      </c>
      <c r="AJ373" s="954">
        <f t="shared" si="65"/>
        <v>60.34</v>
      </c>
      <c r="AK373" s="954">
        <f t="shared" si="66"/>
        <v>0</v>
      </c>
      <c r="AL373" s="625"/>
    </row>
    <row r="374" spans="1:38" s="620" customFormat="1" ht="20.100000000000001" customHeight="1" x14ac:dyDescent="0.2">
      <c r="A374" s="759">
        <f t="shared" si="67"/>
        <v>68</v>
      </c>
      <c r="B374" s="957">
        <f>+NOMINA!C372</f>
        <v>17093567</v>
      </c>
      <c r="C374" s="958" t="str">
        <f>+NOMINA!D372</f>
        <v>Torres Villarreal Yenny del Carmen</v>
      </c>
      <c r="D374" s="955" t="s">
        <v>4622</v>
      </c>
      <c r="E374" s="959">
        <v>32351</v>
      </c>
      <c r="F374" s="955" t="s">
        <v>4620</v>
      </c>
      <c r="G374" s="971">
        <f>+NOMINA!H372</f>
        <v>39449</v>
      </c>
      <c r="H374" s="961">
        <f t="shared" si="68"/>
        <v>14</v>
      </c>
      <c r="I374" s="962">
        <v>0</v>
      </c>
      <c r="J374" s="968">
        <f>+NOMINA!BL372</f>
        <v>14.5</v>
      </c>
      <c r="K374" s="968">
        <f>+NOMINA!BM372</f>
        <v>1.81</v>
      </c>
      <c r="L374" s="968">
        <f>+NOMINA!BN372</f>
        <v>3.14</v>
      </c>
      <c r="M374" s="963">
        <f t="shared" si="69"/>
        <v>19.45</v>
      </c>
      <c r="N374" s="968">
        <f>+NOMINA!BR372</f>
        <v>32.630000000000003</v>
      </c>
      <c r="O374" s="968">
        <f>+NOMINA!BS372</f>
        <v>7.25</v>
      </c>
      <c r="P374" s="968">
        <f>+NOMINA!BT372</f>
        <v>6.28</v>
      </c>
      <c r="Q374" s="963">
        <f t="shared" si="70"/>
        <v>46.16</v>
      </c>
      <c r="R374" s="963">
        <f t="shared" si="71"/>
        <v>65.61</v>
      </c>
      <c r="S374" s="972">
        <v>0</v>
      </c>
      <c r="T374" s="443" t="e">
        <f>#REF!+#REF!-M374</f>
        <v>#REF!</v>
      </c>
      <c r="U374" s="952" t="e">
        <f>ROUND((#REF!+#REF!+#REF!+#REF!+#REF!+#REF!+#REF!+#REF!+#REF!),2)</f>
        <v>#REF!</v>
      </c>
      <c r="Y374" s="953" t="e">
        <f>#REF!+#REF!-M374</f>
        <v>#REF!</v>
      </c>
      <c r="Z374" s="954" t="e">
        <f>#REF!</f>
        <v>#REF!</v>
      </c>
      <c r="AA374" s="953" t="e">
        <f>#REF!+#REF!</f>
        <v>#REF!</v>
      </c>
      <c r="AB374" s="954" t="e">
        <f>#REF!</f>
        <v>#REF!</v>
      </c>
      <c r="AC374" s="955">
        <v>0</v>
      </c>
      <c r="AD374" s="954" t="e">
        <f>#REF!</f>
        <v>#REF!</v>
      </c>
      <c r="AE374" s="956" t="e">
        <f>#REF!+#REF!</f>
        <v>#REF!</v>
      </c>
      <c r="AF374" s="956" t="e">
        <f>#REF!+#REF!</f>
        <v>#REF!</v>
      </c>
      <c r="AG374" s="956"/>
      <c r="AH374" s="954" t="e">
        <f>#REF!</f>
        <v>#REF!</v>
      </c>
      <c r="AI374" s="954" t="e">
        <f t="shared" si="64"/>
        <v>#REF!</v>
      </c>
      <c r="AJ374" s="954">
        <f t="shared" si="65"/>
        <v>65.61</v>
      </c>
      <c r="AK374" s="954">
        <f t="shared" si="66"/>
        <v>0</v>
      </c>
      <c r="AL374" s="625"/>
    </row>
    <row r="375" spans="1:38" s="620" customFormat="1" ht="20.100000000000001" customHeight="1" x14ac:dyDescent="0.2">
      <c r="A375" s="759">
        <f t="shared" si="67"/>
        <v>69</v>
      </c>
      <c r="B375" s="957">
        <f>+NOMINA!C373</f>
        <v>17093846</v>
      </c>
      <c r="C375" s="958" t="str">
        <f>+NOMINA!D373</f>
        <v>Bastidas Rivera Junior Antonio</v>
      </c>
      <c r="D375" s="955" t="s">
        <v>4622</v>
      </c>
      <c r="E375" s="959">
        <v>32351</v>
      </c>
      <c r="F375" s="955" t="s">
        <v>4620</v>
      </c>
      <c r="G375" s="971">
        <f>+NOMINA!H373</f>
        <v>45017</v>
      </c>
      <c r="H375" s="961">
        <f t="shared" si="68"/>
        <v>0</v>
      </c>
      <c r="I375" s="962">
        <v>0</v>
      </c>
      <c r="J375" s="968">
        <f>+NOMINA!BL373</f>
        <v>13.16</v>
      </c>
      <c r="K375" s="968">
        <f>+NOMINA!BM373</f>
        <v>1.64</v>
      </c>
      <c r="L375" s="968">
        <f>+NOMINA!BN373</f>
        <v>2.85</v>
      </c>
      <c r="M375" s="963">
        <f t="shared" si="69"/>
        <v>17.649999999999999</v>
      </c>
      <c r="N375" s="968">
        <f>+NOMINA!BR373</f>
        <v>29.6</v>
      </c>
      <c r="O375" s="968">
        <f>+NOMINA!BS373</f>
        <v>6.58</v>
      </c>
      <c r="P375" s="968">
        <f>+NOMINA!BT373</f>
        <v>5.7</v>
      </c>
      <c r="Q375" s="963">
        <f t="shared" si="70"/>
        <v>41.88</v>
      </c>
      <c r="R375" s="963">
        <f t="shared" si="71"/>
        <v>59.53</v>
      </c>
      <c r="S375" s="972">
        <v>0</v>
      </c>
      <c r="T375" s="443" t="e">
        <f>#REF!+#REF!-M375</f>
        <v>#REF!</v>
      </c>
      <c r="U375" s="952" t="e">
        <f>ROUND((#REF!+#REF!+#REF!+#REF!+#REF!+#REF!+#REF!+#REF!+#REF!),2)</f>
        <v>#REF!</v>
      </c>
      <c r="Y375" s="953" t="e">
        <f>#REF!+#REF!-M375</f>
        <v>#REF!</v>
      </c>
      <c r="Z375" s="954" t="e">
        <f>#REF!</f>
        <v>#REF!</v>
      </c>
      <c r="AA375" s="953" t="e">
        <f>#REF!+#REF!</f>
        <v>#REF!</v>
      </c>
      <c r="AB375" s="954" t="e">
        <f>#REF!</f>
        <v>#REF!</v>
      </c>
      <c r="AC375" s="955">
        <v>0</v>
      </c>
      <c r="AD375" s="954" t="e">
        <f>#REF!</f>
        <v>#REF!</v>
      </c>
      <c r="AE375" s="956" t="e">
        <f>#REF!+#REF!</f>
        <v>#REF!</v>
      </c>
      <c r="AF375" s="956" t="e">
        <f>#REF!+#REF!</f>
        <v>#REF!</v>
      </c>
      <c r="AG375" s="956"/>
      <c r="AH375" s="954" t="e">
        <f>#REF!</f>
        <v>#REF!</v>
      </c>
      <c r="AI375" s="954" t="e">
        <f t="shared" si="64"/>
        <v>#REF!</v>
      </c>
      <c r="AJ375" s="954">
        <f t="shared" si="65"/>
        <v>59.53</v>
      </c>
      <c r="AK375" s="954">
        <f t="shared" si="66"/>
        <v>0</v>
      </c>
      <c r="AL375" s="625"/>
    </row>
    <row r="376" spans="1:38" s="620" customFormat="1" ht="20.100000000000001" customHeight="1" x14ac:dyDescent="0.2">
      <c r="A376" s="759">
        <f t="shared" si="67"/>
        <v>70</v>
      </c>
      <c r="B376" s="957">
        <f>+NOMINA!C374</f>
        <v>17095084</v>
      </c>
      <c r="C376" s="958" t="str">
        <f>+NOMINA!D374</f>
        <v>Gonzalez Simancas Yulimar del Valle</v>
      </c>
      <c r="D376" s="955" t="s">
        <v>4622</v>
      </c>
      <c r="E376" s="959">
        <v>32351</v>
      </c>
      <c r="F376" s="955" t="s">
        <v>4620</v>
      </c>
      <c r="G376" s="971">
        <f>+NOMINA!H374</f>
        <v>44317</v>
      </c>
      <c r="H376" s="961">
        <f t="shared" si="68"/>
        <v>1</v>
      </c>
      <c r="I376" s="962">
        <v>0</v>
      </c>
      <c r="J376" s="968">
        <f>+NOMINA!BL374</f>
        <v>15.36</v>
      </c>
      <c r="K376" s="968">
        <f>+NOMINA!BM374</f>
        <v>1.92</v>
      </c>
      <c r="L376" s="968">
        <f>+NOMINA!BN374</f>
        <v>3.33</v>
      </c>
      <c r="M376" s="963">
        <f t="shared" si="69"/>
        <v>20.61</v>
      </c>
      <c r="N376" s="968">
        <f>+NOMINA!BR374</f>
        <v>34.56</v>
      </c>
      <c r="O376" s="968">
        <f>+NOMINA!BS374</f>
        <v>7.68</v>
      </c>
      <c r="P376" s="968">
        <f>+NOMINA!BT374</f>
        <v>6.66</v>
      </c>
      <c r="Q376" s="963">
        <f t="shared" si="70"/>
        <v>48.9</v>
      </c>
      <c r="R376" s="963">
        <f t="shared" si="71"/>
        <v>69.509999999999991</v>
      </c>
      <c r="S376" s="972">
        <v>0</v>
      </c>
      <c r="T376" s="443" t="e">
        <f>#REF!+#REF!-M376</f>
        <v>#REF!</v>
      </c>
      <c r="U376" s="952" t="e">
        <f>ROUND((#REF!+#REF!+#REF!+#REF!+#REF!+#REF!+#REF!+#REF!+#REF!),2)</f>
        <v>#REF!</v>
      </c>
      <c r="Y376" s="953" t="e">
        <f>#REF!+#REF!-M376</f>
        <v>#REF!</v>
      </c>
      <c r="Z376" s="954" t="e">
        <f>#REF!</f>
        <v>#REF!</v>
      </c>
      <c r="AA376" s="953" t="e">
        <f>#REF!+#REF!</f>
        <v>#REF!</v>
      </c>
      <c r="AB376" s="954" t="e">
        <f>#REF!</f>
        <v>#REF!</v>
      </c>
      <c r="AC376" s="955">
        <v>0</v>
      </c>
      <c r="AD376" s="954" t="e">
        <f>#REF!</f>
        <v>#REF!</v>
      </c>
      <c r="AE376" s="956" t="e">
        <f>#REF!+#REF!</f>
        <v>#REF!</v>
      </c>
      <c r="AF376" s="956" t="e">
        <f>#REF!+#REF!</f>
        <v>#REF!</v>
      </c>
      <c r="AG376" s="956"/>
      <c r="AH376" s="954" t="e">
        <f>#REF!</f>
        <v>#REF!</v>
      </c>
      <c r="AI376" s="954" t="e">
        <f t="shared" si="64"/>
        <v>#REF!</v>
      </c>
      <c r="AJ376" s="954">
        <f t="shared" si="65"/>
        <v>69.509999999999991</v>
      </c>
      <c r="AK376" s="954">
        <f t="shared" si="66"/>
        <v>0</v>
      </c>
      <c r="AL376" s="625"/>
    </row>
    <row r="377" spans="1:38" s="620" customFormat="1" ht="20.100000000000001" customHeight="1" x14ac:dyDescent="0.2">
      <c r="A377" s="759">
        <f t="shared" si="67"/>
        <v>71</v>
      </c>
      <c r="B377" s="957">
        <f>+NOMINA!C375</f>
        <v>17267173</v>
      </c>
      <c r="C377" s="958" t="str">
        <f>+NOMINA!D375</f>
        <v>Torres Alvarez Olga Josefina</v>
      </c>
      <c r="D377" s="955" t="s">
        <v>4622</v>
      </c>
      <c r="E377" s="959">
        <v>32351</v>
      </c>
      <c r="F377" s="955" t="s">
        <v>4620</v>
      </c>
      <c r="G377" s="971">
        <f>+NOMINA!H375</f>
        <v>44317</v>
      </c>
      <c r="H377" s="961">
        <f t="shared" si="68"/>
        <v>1</v>
      </c>
      <c r="I377" s="962">
        <v>0</v>
      </c>
      <c r="J377" s="968">
        <f>+NOMINA!BL375</f>
        <v>14.76</v>
      </c>
      <c r="K377" s="968">
        <f>+NOMINA!BM375</f>
        <v>1.85</v>
      </c>
      <c r="L377" s="968">
        <f>+NOMINA!BN375</f>
        <v>3.2</v>
      </c>
      <c r="M377" s="963">
        <f t="shared" si="69"/>
        <v>19.809999999999999</v>
      </c>
      <c r="N377" s="968">
        <f>+NOMINA!BR375</f>
        <v>33.21</v>
      </c>
      <c r="O377" s="968">
        <f>+NOMINA!BS375</f>
        <v>7.38</v>
      </c>
      <c r="P377" s="968">
        <f>+NOMINA!BT375</f>
        <v>6.4</v>
      </c>
      <c r="Q377" s="963">
        <f t="shared" si="70"/>
        <v>46.99</v>
      </c>
      <c r="R377" s="963">
        <f t="shared" si="71"/>
        <v>66.8</v>
      </c>
      <c r="S377" s="972">
        <v>0</v>
      </c>
      <c r="T377" s="443" t="e">
        <f>#REF!+#REF!-M377</f>
        <v>#REF!</v>
      </c>
      <c r="U377" s="952" t="e">
        <f>ROUND((#REF!+#REF!+#REF!+#REF!+#REF!+#REF!+#REF!+#REF!+#REF!),2)</f>
        <v>#REF!</v>
      </c>
      <c r="Y377" s="953" t="e">
        <f>#REF!+#REF!-M377</f>
        <v>#REF!</v>
      </c>
      <c r="Z377" s="954" t="e">
        <f>#REF!</f>
        <v>#REF!</v>
      </c>
      <c r="AA377" s="953" t="e">
        <f>#REF!+#REF!</f>
        <v>#REF!</v>
      </c>
      <c r="AB377" s="954" t="e">
        <f>#REF!</f>
        <v>#REF!</v>
      </c>
      <c r="AC377" s="955">
        <v>0</v>
      </c>
      <c r="AD377" s="954" t="e">
        <f>#REF!</f>
        <v>#REF!</v>
      </c>
      <c r="AE377" s="956" t="e">
        <f>#REF!+#REF!</f>
        <v>#REF!</v>
      </c>
      <c r="AF377" s="956" t="e">
        <f>#REF!+#REF!</f>
        <v>#REF!</v>
      </c>
      <c r="AG377" s="956"/>
      <c r="AH377" s="954" t="e">
        <f>#REF!</f>
        <v>#REF!</v>
      </c>
      <c r="AI377" s="954" t="e">
        <f t="shared" si="64"/>
        <v>#REF!</v>
      </c>
      <c r="AJ377" s="954">
        <f t="shared" si="65"/>
        <v>66.8</v>
      </c>
      <c r="AK377" s="954">
        <f t="shared" si="66"/>
        <v>0</v>
      </c>
      <c r="AL377" s="625"/>
    </row>
    <row r="378" spans="1:38" s="620" customFormat="1" ht="20.100000000000001" customHeight="1" x14ac:dyDescent="0.2">
      <c r="A378" s="759">
        <f t="shared" si="67"/>
        <v>72</v>
      </c>
      <c r="B378" s="957">
        <f>+NOMINA!C376</f>
        <v>17267546</v>
      </c>
      <c r="C378" s="958" t="str">
        <f>+NOMINA!D376</f>
        <v>Bastidas Rivera Franklin Enrique</v>
      </c>
      <c r="D378" s="955" t="s">
        <v>4622</v>
      </c>
      <c r="E378" s="959">
        <v>32351</v>
      </c>
      <c r="F378" s="955" t="s">
        <v>4620</v>
      </c>
      <c r="G378" s="971">
        <f>+NOMINA!H376</f>
        <v>39197</v>
      </c>
      <c r="H378" s="961">
        <f t="shared" si="68"/>
        <v>15</v>
      </c>
      <c r="I378" s="962">
        <v>0</v>
      </c>
      <c r="J378" s="968">
        <f>+NOMINA!BL376</f>
        <v>15.19</v>
      </c>
      <c r="K378" s="968">
        <f>+NOMINA!BM376</f>
        <v>1.9</v>
      </c>
      <c r="L378" s="968">
        <f>+NOMINA!BN376</f>
        <v>3.29</v>
      </c>
      <c r="M378" s="963">
        <f t="shared" si="69"/>
        <v>20.38</v>
      </c>
      <c r="N378" s="968">
        <f>+NOMINA!BR376</f>
        <v>34.18</v>
      </c>
      <c r="O378" s="968">
        <f>+NOMINA!BS376</f>
        <v>7.6</v>
      </c>
      <c r="P378" s="968">
        <f>+NOMINA!BT376</f>
        <v>6.58</v>
      </c>
      <c r="Q378" s="963">
        <f t="shared" si="70"/>
        <v>48.36</v>
      </c>
      <c r="R378" s="963">
        <f t="shared" si="71"/>
        <v>68.739999999999995</v>
      </c>
      <c r="S378" s="972">
        <v>0</v>
      </c>
      <c r="T378" s="443" t="e">
        <f>#REF!+#REF!-M378</f>
        <v>#REF!</v>
      </c>
      <c r="U378" s="952" t="e">
        <f>ROUND((#REF!+#REF!+#REF!+#REF!+#REF!+#REF!+#REF!+#REF!+#REF!),2)</f>
        <v>#REF!</v>
      </c>
      <c r="Y378" s="953" t="e">
        <f>#REF!+#REF!-M378</f>
        <v>#REF!</v>
      </c>
      <c r="Z378" s="954" t="e">
        <f>#REF!</f>
        <v>#REF!</v>
      </c>
      <c r="AA378" s="953" t="e">
        <f>#REF!+#REF!</f>
        <v>#REF!</v>
      </c>
      <c r="AB378" s="954" t="e">
        <f>#REF!</f>
        <v>#REF!</v>
      </c>
      <c r="AC378" s="955">
        <v>0</v>
      </c>
      <c r="AD378" s="954" t="e">
        <f>#REF!</f>
        <v>#REF!</v>
      </c>
      <c r="AE378" s="956" t="e">
        <f>#REF!+#REF!</f>
        <v>#REF!</v>
      </c>
      <c r="AF378" s="956" t="e">
        <f>#REF!+#REF!</f>
        <v>#REF!</v>
      </c>
      <c r="AG378" s="956"/>
      <c r="AH378" s="954" t="e">
        <f>#REF!</f>
        <v>#REF!</v>
      </c>
      <c r="AI378" s="954" t="e">
        <f t="shared" si="64"/>
        <v>#REF!</v>
      </c>
      <c r="AJ378" s="954">
        <f t="shared" si="65"/>
        <v>68.739999999999995</v>
      </c>
      <c r="AK378" s="954">
        <f t="shared" si="66"/>
        <v>0</v>
      </c>
      <c r="AL378" s="625"/>
    </row>
    <row r="379" spans="1:38" s="620" customFormat="1" ht="20.100000000000001" customHeight="1" x14ac:dyDescent="0.2">
      <c r="A379" s="759">
        <f t="shared" si="67"/>
        <v>73</v>
      </c>
      <c r="B379" s="957">
        <f>+NOMINA!C377</f>
        <v>18096032</v>
      </c>
      <c r="C379" s="958" t="str">
        <f>+NOMINA!D377</f>
        <v>Graterol Graterol Isidro Antonio</v>
      </c>
      <c r="D379" s="955" t="s">
        <v>4622</v>
      </c>
      <c r="E379" s="959">
        <v>32351</v>
      </c>
      <c r="F379" s="955" t="s">
        <v>4620</v>
      </c>
      <c r="G379" s="971">
        <f>+NOMINA!H377</f>
        <v>45566</v>
      </c>
      <c r="H379" s="961">
        <f t="shared" si="68"/>
        <v>0</v>
      </c>
      <c r="I379" s="962">
        <v>0</v>
      </c>
      <c r="J379" s="968">
        <f>+NOMINA!BL377</f>
        <v>20.85</v>
      </c>
      <c r="K379" s="968">
        <f>+NOMINA!BM377</f>
        <v>2.61</v>
      </c>
      <c r="L379" s="968">
        <f>+NOMINA!BN377</f>
        <v>4.5199999999999996</v>
      </c>
      <c r="M379" s="963">
        <f t="shared" si="69"/>
        <v>27.98</v>
      </c>
      <c r="N379" s="968">
        <f>+NOMINA!BR377</f>
        <v>46.92</v>
      </c>
      <c r="O379" s="968">
        <f>+NOMINA!BS377</f>
        <v>10.43</v>
      </c>
      <c r="P379" s="968">
        <f>+NOMINA!BT377</f>
        <v>9.0399999999999991</v>
      </c>
      <c r="Q379" s="963">
        <f t="shared" si="70"/>
        <v>66.39</v>
      </c>
      <c r="R379" s="963">
        <f t="shared" si="71"/>
        <v>94.37</v>
      </c>
      <c r="S379" s="972">
        <v>0</v>
      </c>
      <c r="T379" s="443" t="e">
        <f>#REF!+#REF!-M379</f>
        <v>#REF!</v>
      </c>
      <c r="U379" s="952" t="e">
        <f>ROUND((#REF!+#REF!+#REF!+#REF!+#REF!+#REF!+#REF!+#REF!+#REF!),2)</f>
        <v>#REF!</v>
      </c>
      <c r="Y379" s="953" t="e">
        <f>#REF!+#REF!-M379</f>
        <v>#REF!</v>
      </c>
      <c r="Z379" s="954" t="e">
        <f>#REF!</f>
        <v>#REF!</v>
      </c>
      <c r="AA379" s="953" t="e">
        <f>#REF!+#REF!</f>
        <v>#REF!</v>
      </c>
      <c r="AB379" s="954" t="e">
        <f>#REF!</f>
        <v>#REF!</v>
      </c>
      <c r="AC379" s="955">
        <v>0</v>
      </c>
      <c r="AD379" s="954" t="e">
        <f>#REF!</f>
        <v>#REF!</v>
      </c>
      <c r="AE379" s="956" t="e">
        <f>#REF!+#REF!</f>
        <v>#REF!</v>
      </c>
      <c r="AF379" s="956" t="e">
        <f>#REF!+#REF!</f>
        <v>#REF!</v>
      </c>
      <c r="AG379" s="956"/>
      <c r="AH379" s="954" t="e">
        <f>#REF!</f>
        <v>#REF!</v>
      </c>
      <c r="AI379" s="954" t="e">
        <f t="shared" si="64"/>
        <v>#REF!</v>
      </c>
      <c r="AJ379" s="954">
        <f t="shared" si="65"/>
        <v>94.37</v>
      </c>
      <c r="AK379" s="954">
        <f t="shared" si="66"/>
        <v>0</v>
      </c>
      <c r="AL379" s="625"/>
    </row>
    <row r="380" spans="1:38" s="620" customFormat="1" ht="20.100000000000001" customHeight="1" x14ac:dyDescent="0.2">
      <c r="A380" s="759">
        <f t="shared" si="67"/>
        <v>74</v>
      </c>
      <c r="B380" s="957">
        <f>+NOMINA!C378</f>
        <v>18096338</v>
      </c>
      <c r="C380" s="958" t="str">
        <f>+NOMINA!D378</f>
        <v>Ramirez Manzanilla Jose Jesus</v>
      </c>
      <c r="D380" s="955" t="s">
        <v>4622</v>
      </c>
      <c r="E380" s="959">
        <v>32351</v>
      </c>
      <c r="F380" s="955" t="s">
        <v>4620</v>
      </c>
      <c r="G380" s="971">
        <f>+NOMINA!H378</f>
        <v>39463</v>
      </c>
      <c r="H380" s="961">
        <f t="shared" si="68"/>
        <v>14</v>
      </c>
      <c r="I380" s="962">
        <v>0</v>
      </c>
      <c r="J380" s="968">
        <f>+NOMINA!BL378</f>
        <v>16.52</v>
      </c>
      <c r="K380" s="968">
        <f>+NOMINA!BM378</f>
        <v>2.0699999999999998</v>
      </c>
      <c r="L380" s="968">
        <f>+NOMINA!BN378</f>
        <v>3.58</v>
      </c>
      <c r="M380" s="963">
        <f t="shared" si="69"/>
        <v>22.17</v>
      </c>
      <c r="N380" s="968">
        <f>+NOMINA!BR378</f>
        <v>37.17</v>
      </c>
      <c r="O380" s="968">
        <f>+NOMINA!BS378</f>
        <v>8.26</v>
      </c>
      <c r="P380" s="968">
        <f>+NOMINA!BT378</f>
        <v>7.16</v>
      </c>
      <c r="Q380" s="963">
        <f t="shared" si="70"/>
        <v>52.59</v>
      </c>
      <c r="R380" s="963">
        <f t="shared" si="71"/>
        <v>74.760000000000005</v>
      </c>
      <c r="S380" s="972">
        <v>0</v>
      </c>
      <c r="T380" s="443" t="e">
        <f>#REF!+#REF!-M380</f>
        <v>#REF!</v>
      </c>
      <c r="U380" s="952" t="e">
        <f>ROUND((#REF!+#REF!+#REF!+#REF!+#REF!+#REF!+#REF!+#REF!+#REF!),2)</f>
        <v>#REF!</v>
      </c>
      <c r="Y380" s="953" t="e">
        <f>#REF!+#REF!-M380</f>
        <v>#REF!</v>
      </c>
      <c r="Z380" s="954" t="e">
        <f>#REF!</f>
        <v>#REF!</v>
      </c>
      <c r="AA380" s="953" t="e">
        <f>#REF!+#REF!</f>
        <v>#REF!</v>
      </c>
      <c r="AB380" s="954" t="e">
        <f>#REF!</f>
        <v>#REF!</v>
      </c>
      <c r="AC380" s="955">
        <v>0</v>
      </c>
      <c r="AD380" s="954" t="e">
        <f>#REF!</f>
        <v>#REF!</v>
      </c>
      <c r="AE380" s="956" t="e">
        <f>#REF!+#REF!</f>
        <v>#REF!</v>
      </c>
      <c r="AF380" s="956" t="e">
        <f>#REF!+#REF!</f>
        <v>#REF!</v>
      </c>
      <c r="AG380" s="956"/>
      <c r="AH380" s="954" t="e">
        <f>#REF!</f>
        <v>#REF!</v>
      </c>
      <c r="AI380" s="954" t="e">
        <f t="shared" si="64"/>
        <v>#REF!</v>
      </c>
      <c r="AJ380" s="954">
        <f t="shared" si="65"/>
        <v>74.760000000000005</v>
      </c>
      <c r="AK380" s="954">
        <f t="shared" si="66"/>
        <v>0</v>
      </c>
      <c r="AL380" s="625"/>
    </row>
    <row r="381" spans="1:38" s="620" customFormat="1" ht="20.100000000000001" customHeight="1" x14ac:dyDescent="0.2">
      <c r="A381" s="759">
        <f t="shared" si="67"/>
        <v>75</v>
      </c>
      <c r="B381" s="957">
        <f>+NOMINA!C379</f>
        <v>18350780</v>
      </c>
      <c r="C381" s="958" t="str">
        <f>+NOMINA!D379</f>
        <v>Frias Aldana Giovanny Jacinto</v>
      </c>
      <c r="D381" s="955" t="s">
        <v>4622</v>
      </c>
      <c r="E381" s="959">
        <v>32351</v>
      </c>
      <c r="F381" s="955" t="s">
        <v>4620</v>
      </c>
      <c r="G381" s="971">
        <f>+NOMINA!H379</f>
        <v>43116</v>
      </c>
      <c r="H381" s="961">
        <f t="shared" si="68"/>
        <v>4</v>
      </c>
      <c r="I381" s="962">
        <v>0</v>
      </c>
      <c r="J381" s="968">
        <f>+NOMINA!BL379</f>
        <v>19.57</v>
      </c>
      <c r="K381" s="968">
        <f>+NOMINA!BM379</f>
        <v>2.4500000000000002</v>
      </c>
      <c r="L381" s="968">
        <f>+NOMINA!BN379</f>
        <v>4.24</v>
      </c>
      <c r="M381" s="963">
        <f t="shared" si="69"/>
        <v>26.26</v>
      </c>
      <c r="N381" s="968">
        <f>+NOMINA!BR379</f>
        <v>44.03</v>
      </c>
      <c r="O381" s="968">
        <f>+NOMINA!BS379</f>
        <v>9.7799999999999994</v>
      </c>
      <c r="P381" s="968">
        <f>+NOMINA!BT379</f>
        <v>8.48</v>
      </c>
      <c r="Q381" s="963">
        <f t="shared" si="70"/>
        <v>62.29</v>
      </c>
      <c r="R381" s="963">
        <f t="shared" si="71"/>
        <v>88.55</v>
      </c>
      <c r="S381" s="972">
        <v>0</v>
      </c>
      <c r="T381" s="443" t="e">
        <f>#REF!+#REF!-M381</f>
        <v>#REF!</v>
      </c>
      <c r="U381" s="952" t="e">
        <f>ROUND((#REF!+#REF!+#REF!+#REF!+#REF!+#REF!+#REF!+#REF!+#REF!),2)</f>
        <v>#REF!</v>
      </c>
      <c r="Y381" s="953" t="e">
        <f>#REF!+#REF!-M381</f>
        <v>#REF!</v>
      </c>
      <c r="Z381" s="954" t="e">
        <f>#REF!</f>
        <v>#REF!</v>
      </c>
      <c r="AA381" s="953" t="e">
        <f>#REF!+#REF!</f>
        <v>#REF!</v>
      </c>
      <c r="AB381" s="954" t="e">
        <f>#REF!</f>
        <v>#REF!</v>
      </c>
      <c r="AC381" s="955">
        <v>0</v>
      </c>
      <c r="AD381" s="954" t="e">
        <f>#REF!</f>
        <v>#REF!</v>
      </c>
      <c r="AE381" s="956" t="e">
        <f>#REF!+#REF!</f>
        <v>#REF!</v>
      </c>
      <c r="AF381" s="956" t="e">
        <f>#REF!+#REF!</f>
        <v>#REF!</v>
      </c>
      <c r="AG381" s="956"/>
      <c r="AH381" s="954" t="e">
        <f>#REF!</f>
        <v>#REF!</v>
      </c>
      <c r="AI381" s="954" t="e">
        <f t="shared" si="64"/>
        <v>#REF!</v>
      </c>
      <c r="AJ381" s="954">
        <f t="shared" si="65"/>
        <v>88.55</v>
      </c>
      <c r="AK381" s="954">
        <f t="shared" si="66"/>
        <v>0</v>
      </c>
      <c r="AL381" s="625"/>
    </row>
    <row r="382" spans="1:38" s="620" customFormat="1" ht="20.100000000000001" customHeight="1" x14ac:dyDescent="0.2">
      <c r="A382" s="759">
        <f t="shared" si="67"/>
        <v>76</v>
      </c>
      <c r="B382" s="957">
        <f>+NOMINA!C380</f>
        <v>18456167</v>
      </c>
      <c r="C382" s="958" t="str">
        <f>+NOMINA!D380</f>
        <v>Olmos Linares Luis Alberto</v>
      </c>
      <c r="D382" s="955" t="s">
        <v>4622</v>
      </c>
      <c r="E382" s="959">
        <v>32351</v>
      </c>
      <c r="F382" s="955" t="s">
        <v>4620</v>
      </c>
      <c r="G382" s="971">
        <f>+NOMINA!H380</f>
        <v>44516</v>
      </c>
      <c r="H382" s="961">
        <f t="shared" si="68"/>
        <v>1</v>
      </c>
      <c r="I382" s="962">
        <v>0</v>
      </c>
      <c r="J382" s="968">
        <f>+NOMINA!BL380</f>
        <v>15.28</v>
      </c>
      <c r="K382" s="968">
        <f>+NOMINA!BM380</f>
        <v>1.91</v>
      </c>
      <c r="L382" s="968">
        <f>+NOMINA!BN380</f>
        <v>3.31</v>
      </c>
      <c r="M382" s="963">
        <f t="shared" si="69"/>
        <v>20.5</v>
      </c>
      <c r="N382" s="968">
        <f>+NOMINA!BR380</f>
        <v>34.39</v>
      </c>
      <c r="O382" s="968">
        <f>+NOMINA!BS380</f>
        <v>7.64</v>
      </c>
      <c r="P382" s="968">
        <f>+NOMINA!BT380</f>
        <v>6.62</v>
      </c>
      <c r="Q382" s="963">
        <f t="shared" si="70"/>
        <v>48.65</v>
      </c>
      <c r="R382" s="963">
        <f t="shared" si="71"/>
        <v>69.150000000000006</v>
      </c>
      <c r="S382" s="972">
        <v>0</v>
      </c>
      <c r="T382" s="443" t="e">
        <f>#REF!+#REF!-M382</f>
        <v>#REF!</v>
      </c>
      <c r="U382" s="952" t="e">
        <f>ROUND((#REF!+#REF!+#REF!+#REF!+#REF!+#REF!+#REF!+#REF!+#REF!),2)</f>
        <v>#REF!</v>
      </c>
      <c r="Y382" s="953" t="e">
        <f>#REF!+#REF!-M382</f>
        <v>#REF!</v>
      </c>
      <c r="Z382" s="954" t="e">
        <f>#REF!</f>
        <v>#REF!</v>
      </c>
      <c r="AA382" s="953" t="e">
        <f>#REF!+#REF!</f>
        <v>#REF!</v>
      </c>
      <c r="AB382" s="954" t="e">
        <f>#REF!</f>
        <v>#REF!</v>
      </c>
      <c r="AC382" s="955">
        <v>0</v>
      </c>
      <c r="AD382" s="954" t="e">
        <f>#REF!</f>
        <v>#REF!</v>
      </c>
      <c r="AE382" s="956" t="e">
        <f>#REF!+#REF!</f>
        <v>#REF!</v>
      </c>
      <c r="AF382" s="956" t="e">
        <f>#REF!+#REF!</f>
        <v>#REF!</v>
      </c>
      <c r="AG382" s="956"/>
      <c r="AH382" s="954" t="e">
        <f>#REF!</f>
        <v>#REF!</v>
      </c>
      <c r="AI382" s="954" t="e">
        <f t="shared" si="64"/>
        <v>#REF!</v>
      </c>
      <c r="AJ382" s="954">
        <f t="shared" si="65"/>
        <v>69.150000000000006</v>
      </c>
      <c r="AK382" s="954">
        <f t="shared" si="66"/>
        <v>0</v>
      </c>
      <c r="AL382" s="625"/>
    </row>
    <row r="383" spans="1:38" s="620" customFormat="1" ht="20.100000000000001" customHeight="1" x14ac:dyDescent="0.2">
      <c r="A383" s="759">
        <f t="shared" si="67"/>
        <v>77</v>
      </c>
      <c r="B383" s="957">
        <f>+NOMINA!C381</f>
        <v>18456576</v>
      </c>
      <c r="C383" s="958" t="str">
        <f>+NOMINA!D381</f>
        <v>Quintero Duran Emilio Alfonso</v>
      </c>
      <c r="D383" s="955" t="s">
        <v>4622</v>
      </c>
      <c r="E383" s="959">
        <v>32351</v>
      </c>
      <c r="F383" s="955" t="s">
        <v>4620</v>
      </c>
      <c r="G383" s="971">
        <f>+NOMINA!H381</f>
        <v>44743</v>
      </c>
      <c r="H383" s="961">
        <f t="shared" si="68"/>
        <v>0</v>
      </c>
      <c r="I383" s="962">
        <v>0</v>
      </c>
      <c r="J383" s="968">
        <f>+NOMINA!BL381</f>
        <v>19.25</v>
      </c>
      <c r="K383" s="968">
        <f>+NOMINA!BM381</f>
        <v>2.41</v>
      </c>
      <c r="L383" s="968">
        <f>+NOMINA!BN381</f>
        <v>4.17</v>
      </c>
      <c r="M383" s="963">
        <f t="shared" si="69"/>
        <v>25.83</v>
      </c>
      <c r="N383" s="968">
        <f>+NOMINA!BR381</f>
        <v>43.31</v>
      </c>
      <c r="O383" s="968">
        <f>+NOMINA!BS381</f>
        <v>9.6199999999999992</v>
      </c>
      <c r="P383" s="968">
        <f>+NOMINA!BT381</f>
        <v>8.34</v>
      </c>
      <c r="Q383" s="963">
        <f t="shared" si="70"/>
        <v>61.27</v>
      </c>
      <c r="R383" s="963">
        <f t="shared" si="71"/>
        <v>87.1</v>
      </c>
      <c r="S383" s="972">
        <v>0</v>
      </c>
      <c r="T383" s="443" t="e">
        <f>#REF!+#REF!-M383</f>
        <v>#REF!</v>
      </c>
      <c r="U383" s="952" t="e">
        <f>ROUND((#REF!+#REF!+#REF!+#REF!+#REF!+#REF!+#REF!+#REF!+#REF!),2)</f>
        <v>#REF!</v>
      </c>
      <c r="Y383" s="953" t="e">
        <f>#REF!+#REF!-M383</f>
        <v>#REF!</v>
      </c>
      <c r="Z383" s="954" t="e">
        <f>#REF!</f>
        <v>#REF!</v>
      </c>
      <c r="AA383" s="953" t="e">
        <f>#REF!+#REF!</f>
        <v>#REF!</v>
      </c>
      <c r="AB383" s="954" t="e">
        <f>#REF!</f>
        <v>#REF!</v>
      </c>
      <c r="AC383" s="955">
        <v>0</v>
      </c>
      <c r="AD383" s="954" t="e">
        <f>#REF!</f>
        <v>#REF!</v>
      </c>
      <c r="AE383" s="956" t="e">
        <f>#REF!+#REF!</f>
        <v>#REF!</v>
      </c>
      <c r="AF383" s="956" t="e">
        <f>#REF!+#REF!</f>
        <v>#REF!</v>
      </c>
      <c r="AG383" s="956"/>
      <c r="AH383" s="954" t="e">
        <f>#REF!</f>
        <v>#REF!</v>
      </c>
      <c r="AI383" s="954" t="e">
        <f t="shared" si="64"/>
        <v>#REF!</v>
      </c>
      <c r="AJ383" s="954">
        <f t="shared" si="65"/>
        <v>87.1</v>
      </c>
      <c r="AK383" s="954">
        <f t="shared" si="66"/>
        <v>0</v>
      </c>
      <c r="AL383" s="625"/>
    </row>
    <row r="384" spans="1:38" s="620" customFormat="1" ht="20.100000000000001" customHeight="1" x14ac:dyDescent="0.2">
      <c r="A384" s="759">
        <f t="shared" si="67"/>
        <v>78</v>
      </c>
      <c r="B384" s="957">
        <f>+NOMINA!C382</f>
        <v>20039961</v>
      </c>
      <c r="C384" s="958" t="str">
        <f>+NOMINA!D382</f>
        <v>Torres Villarreal Lisbeth Carolina</v>
      </c>
      <c r="D384" s="955" t="s">
        <v>4622</v>
      </c>
      <c r="E384" s="959">
        <v>32351</v>
      </c>
      <c r="F384" s="955" t="s">
        <v>4620</v>
      </c>
      <c r="G384" s="971">
        <f>+NOMINA!H382</f>
        <v>38412</v>
      </c>
      <c r="H384" s="961">
        <f t="shared" si="68"/>
        <v>17</v>
      </c>
      <c r="I384" s="962">
        <v>0</v>
      </c>
      <c r="J384" s="968">
        <f>+NOMINA!BL382</f>
        <v>14.71</v>
      </c>
      <c r="K384" s="968">
        <f>+NOMINA!BM382</f>
        <v>1.84</v>
      </c>
      <c r="L384" s="968">
        <f>+NOMINA!BN382</f>
        <v>3.19</v>
      </c>
      <c r="M384" s="963">
        <f t="shared" si="69"/>
        <v>19.739999999999998</v>
      </c>
      <c r="N384" s="968">
        <f>+NOMINA!BR382</f>
        <v>33.11</v>
      </c>
      <c r="O384" s="968">
        <f>+NOMINA!BS382</f>
        <v>7.36</v>
      </c>
      <c r="P384" s="968">
        <f>+NOMINA!BT382</f>
        <v>6.38</v>
      </c>
      <c r="Q384" s="963">
        <f t="shared" si="70"/>
        <v>46.85</v>
      </c>
      <c r="R384" s="963">
        <f t="shared" si="71"/>
        <v>66.59</v>
      </c>
      <c r="S384" s="972">
        <v>0</v>
      </c>
      <c r="T384" s="443" t="e">
        <f>#REF!+#REF!-M384</f>
        <v>#REF!</v>
      </c>
      <c r="U384" s="952" t="e">
        <f>ROUND((#REF!+#REF!+#REF!+#REF!+#REF!+#REF!+#REF!+#REF!+#REF!),2)</f>
        <v>#REF!</v>
      </c>
      <c r="Y384" s="953" t="e">
        <f>#REF!+#REF!-M384</f>
        <v>#REF!</v>
      </c>
      <c r="Z384" s="954" t="e">
        <f>#REF!</f>
        <v>#REF!</v>
      </c>
      <c r="AA384" s="953" t="e">
        <f>#REF!+#REF!</f>
        <v>#REF!</v>
      </c>
      <c r="AB384" s="954" t="e">
        <f>#REF!</f>
        <v>#REF!</v>
      </c>
      <c r="AC384" s="955">
        <v>0</v>
      </c>
      <c r="AD384" s="954" t="e">
        <f>#REF!</f>
        <v>#REF!</v>
      </c>
      <c r="AE384" s="956" t="e">
        <f>#REF!+#REF!</f>
        <v>#REF!</v>
      </c>
      <c r="AF384" s="956" t="e">
        <f>#REF!+#REF!</f>
        <v>#REF!</v>
      </c>
      <c r="AG384" s="956"/>
      <c r="AH384" s="954" t="e">
        <f>#REF!</f>
        <v>#REF!</v>
      </c>
      <c r="AI384" s="954" t="e">
        <f t="shared" si="64"/>
        <v>#REF!</v>
      </c>
      <c r="AJ384" s="954">
        <f t="shared" si="65"/>
        <v>66.59</v>
      </c>
      <c r="AK384" s="954">
        <f t="shared" si="66"/>
        <v>0</v>
      </c>
      <c r="AL384" s="625"/>
    </row>
    <row r="385" spans="1:40" s="620" customFormat="1" ht="20.100000000000001" customHeight="1" x14ac:dyDescent="0.2">
      <c r="A385" s="759">
        <f t="shared" si="67"/>
        <v>79</v>
      </c>
      <c r="B385" s="957">
        <f>+NOMINA!C383</f>
        <v>20040649</v>
      </c>
      <c r="C385" s="958" t="str">
        <f>+NOMINA!D383</f>
        <v>Isarra Materan Jose de La Paz</v>
      </c>
      <c r="D385" s="955" t="s">
        <v>4622</v>
      </c>
      <c r="E385" s="959">
        <v>32351</v>
      </c>
      <c r="F385" s="955" t="s">
        <v>4620</v>
      </c>
      <c r="G385" s="971">
        <f>+NOMINA!H383</f>
        <v>44743</v>
      </c>
      <c r="H385" s="961">
        <f t="shared" si="68"/>
        <v>0</v>
      </c>
      <c r="I385" s="962">
        <v>0</v>
      </c>
      <c r="J385" s="968">
        <f>+NOMINA!BL383</f>
        <v>19.25</v>
      </c>
      <c r="K385" s="968">
        <f>+NOMINA!BM383</f>
        <v>2.41</v>
      </c>
      <c r="L385" s="968">
        <f>+NOMINA!BN383</f>
        <v>4.17</v>
      </c>
      <c r="M385" s="963">
        <f t="shared" si="69"/>
        <v>25.83</v>
      </c>
      <c r="N385" s="968">
        <f>+NOMINA!BR383</f>
        <v>43.31</v>
      </c>
      <c r="O385" s="968">
        <f>+NOMINA!BS383</f>
        <v>9.6199999999999992</v>
      </c>
      <c r="P385" s="968">
        <f>+NOMINA!BT383</f>
        <v>8.34</v>
      </c>
      <c r="Q385" s="963">
        <f t="shared" si="70"/>
        <v>61.27</v>
      </c>
      <c r="R385" s="963">
        <f t="shared" si="71"/>
        <v>87.1</v>
      </c>
      <c r="S385" s="972">
        <v>0</v>
      </c>
      <c r="T385" s="443" t="e">
        <f>#REF!+#REF!-M385</f>
        <v>#REF!</v>
      </c>
      <c r="U385" s="952" t="e">
        <f>ROUND((#REF!+#REF!+#REF!+#REF!+#REF!+#REF!+#REF!+#REF!+#REF!),2)</f>
        <v>#REF!</v>
      </c>
      <c r="Y385" s="953" t="e">
        <f>#REF!+#REF!-M385</f>
        <v>#REF!</v>
      </c>
      <c r="Z385" s="954" t="e">
        <f>#REF!</f>
        <v>#REF!</v>
      </c>
      <c r="AA385" s="953" t="e">
        <f>#REF!+#REF!</f>
        <v>#REF!</v>
      </c>
      <c r="AB385" s="954" t="e">
        <f>#REF!</f>
        <v>#REF!</v>
      </c>
      <c r="AC385" s="955">
        <v>0</v>
      </c>
      <c r="AD385" s="954" t="e">
        <f>#REF!</f>
        <v>#REF!</v>
      </c>
      <c r="AE385" s="956" t="e">
        <f>#REF!+#REF!</f>
        <v>#REF!</v>
      </c>
      <c r="AF385" s="956" t="e">
        <f>#REF!+#REF!</f>
        <v>#REF!</v>
      </c>
      <c r="AG385" s="956"/>
      <c r="AH385" s="954" t="e">
        <f>#REF!</f>
        <v>#REF!</v>
      </c>
      <c r="AI385" s="954" t="e">
        <f t="shared" si="64"/>
        <v>#REF!</v>
      </c>
      <c r="AJ385" s="954">
        <f t="shared" si="65"/>
        <v>87.1</v>
      </c>
      <c r="AK385" s="954">
        <f t="shared" si="66"/>
        <v>0</v>
      </c>
      <c r="AL385" s="625"/>
    </row>
    <row r="386" spans="1:40" s="620" customFormat="1" ht="20.100000000000001" customHeight="1" x14ac:dyDescent="0.2">
      <c r="A386" s="759">
        <f t="shared" si="67"/>
        <v>80</v>
      </c>
      <c r="B386" s="957">
        <f>+NOMINA!C384</f>
        <v>20788036</v>
      </c>
      <c r="C386" s="958" t="str">
        <f>+NOMINA!D384</f>
        <v>Cabrera Duran Albert Josue</v>
      </c>
      <c r="D386" s="955" t="s">
        <v>4622</v>
      </c>
      <c r="E386" s="959">
        <v>32351</v>
      </c>
      <c r="F386" s="955" t="s">
        <v>4620</v>
      </c>
      <c r="G386" s="971">
        <f>+NOMINA!H384</f>
        <v>45778</v>
      </c>
      <c r="H386" s="961">
        <f t="shared" si="68"/>
        <v>0</v>
      </c>
      <c r="I386" s="962">
        <v>0</v>
      </c>
      <c r="J386" s="968">
        <f>+NOMINA!BL384</f>
        <v>15.05</v>
      </c>
      <c r="K386" s="968">
        <f>+NOMINA!BM384</f>
        <v>1.88</v>
      </c>
      <c r="L386" s="968">
        <f>+NOMINA!BN384</f>
        <v>3.26</v>
      </c>
      <c r="M386" s="963">
        <f t="shared" si="69"/>
        <v>20.190000000000001</v>
      </c>
      <c r="N386" s="968">
        <f>+NOMINA!BR384</f>
        <v>33.85</v>
      </c>
      <c r="O386" s="968">
        <f>+NOMINA!BS384</f>
        <v>7.52</v>
      </c>
      <c r="P386" s="968">
        <f>+NOMINA!BT384</f>
        <v>6.52</v>
      </c>
      <c r="Q386" s="963">
        <f t="shared" si="70"/>
        <v>47.89</v>
      </c>
      <c r="R386" s="963">
        <f t="shared" si="71"/>
        <v>68.08</v>
      </c>
      <c r="S386" s="972">
        <v>0</v>
      </c>
      <c r="T386" s="443" t="e">
        <f>#REF!+#REF!-M386</f>
        <v>#REF!</v>
      </c>
      <c r="U386" s="952" t="e">
        <f>ROUND((#REF!+#REF!+#REF!+#REF!+#REF!+#REF!+#REF!+#REF!+#REF!),2)</f>
        <v>#REF!</v>
      </c>
      <c r="Y386" s="953" t="e">
        <f>#REF!+#REF!-M386</f>
        <v>#REF!</v>
      </c>
      <c r="Z386" s="954" t="e">
        <f>#REF!</f>
        <v>#REF!</v>
      </c>
      <c r="AA386" s="953" t="e">
        <f>#REF!+#REF!</f>
        <v>#REF!</v>
      </c>
      <c r="AB386" s="954" t="e">
        <f>#REF!</f>
        <v>#REF!</v>
      </c>
      <c r="AC386" s="955">
        <v>0</v>
      </c>
      <c r="AD386" s="954" t="e">
        <f>#REF!</f>
        <v>#REF!</v>
      </c>
      <c r="AE386" s="956" t="e">
        <f>#REF!+#REF!</f>
        <v>#REF!</v>
      </c>
      <c r="AF386" s="956" t="e">
        <f>#REF!+#REF!</f>
        <v>#REF!</v>
      </c>
      <c r="AG386" s="956"/>
      <c r="AH386" s="954" t="e">
        <f>#REF!</f>
        <v>#REF!</v>
      </c>
      <c r="AI386" s="954" t="e">
        <f t="shared" si="64"/>
        <v>#REF!</v>
      </c>
      <c r="AJ386" s="954">
        <f t="shared" si="65"/>
        <v>68.08</v>
      </c>
      <c r="AK386" s="954">
        <f t="shared" si="66"/>
        <v>0</v>
      </c>
      <c r="AL386" s="625"/>
    </row>
    <row r="387" spans="1:40" s="620" customFormat="1" ht="20.100000000000001" customHeight="1" x14ac:dyDescent="0.2">
      <c r="A387" s="759">
        <f t="shared" si="67"/>
        <v>81</v>
      </c>
      <c r="B387" s="957">
        <f>+NOMINA!C385</f>
        <v>21366579</v>
      </c>
      <c r="C387" s="958" t="str">
        <f>+NOMINA!D385</f>
        <v>Azuaje Espinoza Erick Enrique</v>
      </c>
      <c r="D387" s="955" t="s">
        <v>4622</v>
      </c>
      <c r="E387" s="959">
        <v>32351</v>
      </c>
      <c r="F387" s="955" t="s">
        <v>4620</v>
      </c>
      <c r="G387" s="971">
        <f>+NOMINA!H385</f>
        <v>44774</v>
      </c>
      <c r="H387" s="961">
        <f t="shared" si="68"/>
        <v>0</v>
      </c>
      <c r="I387" s="962">
        <v>0</v>
      </c>
      <c r="J387" s="968">
        <f>+NOMINA!BL385</f>
        <v>13.33</v>
      </c>
      <c r="K387" s="968">
        <f>+NOMINA!BM385</f>
        <v>1.67</v>
      </c>
      <c r="L387" s="968">
        <f>+NOMINA!BN385</f>
        <v>2.89</v>
      </c>
      <c r="M387" s="963">
        <f t="shared" si="69"/>
        <v>17.89</v>
      </c>
      <c r="N387" s="968">
        <f>+NOMINA!BR385</f>
        <v>29.99</v>
      </c>
      <c r="O387" s="968">
        <f>+NOMINA!BS385</f>
        <v>6.66</v>
      </c>
      <c r="P387" s="968">
        <f>+NOMINA!BT385</f>
        <v>5.78</v>
      </c>
      <c r="Q387" s="963">
        <f t="shared" si="70"/>
        <v>42.43</v>
      </c>
      <c r="R387" s="963">
        <f t="shared" si="71"/>
        <v>60.32</v>
      </c>
      <c r="S387" s="972">
        <v>0</v>
      </c>
      <c r="T387" s="443" t="e">
        <f>#REF!+#REF!-M387</f>
        <v>#REF!</v>
      </c>
      <c r="U387" s="952" t="e">
        <f>ROUND((#REF!+#REF!+#REF!+#REF!+#REF!+#REF!+#REF!+#REF!+#REF!),2)</f>
        <v>#REF!</v>
      </c>
      <c r="Y387" s="953" t="e">
        <f>#REF!+#REF!-M387</f>
        <v>#REF!</v>
      </c>
      <c r="Z387" s="954" t="e">
        <f>#REF!</f>
        <v>#REF!</v>
      </c>
      <c r="AA387" s="953" t="e">
        <f>#REF!+#REF!</f>
        <v>#REF!</v>
      </c>
      <c r="AB387" s="954" t="e">
        <f>#REF!</f>
        <v>#REF!</v>
      </c>
      <c r="AC387" s="955">
        <v>0</v>
      </c>
      <c r="AD387" s="954" t="e">
        <f>#REF!</f>
        <v>#REF!</v>
      </c>
      <c r="AE387" s="956" t="e">
        <f>#REF!+#REF!</f>
        <v>#REF!</v>
      </c>
      <c r="AF387" s="956" t="e">
        <f>#REF!+#REF!</f>
        <v>#REF!</v>
      </c>
      <c r="AG387" s="956"/>
      <c r="AH387" s="954" t="e">
        <f>#REF!</f>
        <v>#REF!</v>
      </c>
      <c r="AI387" s="954" t="e">
        <f t="shared" si="64"/>
        <v>#REF!</v>
      </c>
      <c r="AJ387" s="954">
        <f t="shared" si="65"/>
        <v>60.32</v>
      </c>
      <c r="AK387" s="954">
        <f t="shared" si="66"/>
        <v>0</v>
      </c>
      <c r="AL387" s="625"/>
    </row>
    <row r="388" spans="1:40" s="620" customFormat="1" ht="20.100000000000001" customHeight="1" x14ac:dyDescent="0.2">
      <c r="A388" s="759">
        <f t="shared" si="67"/>
        <v>82</v>
      </c>
      <c r="B388" s="957">
        <f>+NOMINA!C386</f>
        <v>23594381</v>
      </c>
      <c r="C388" s="958" t="str">
        <f>+NOMINA!D386</f>
        <v>Albornoz Montilla Daniel Enrique</v>
      </c>
      <c r="D388" s="955" t="s">
        <v>4622</v>
      </c>
      <c r="E388" s="959">
        <v>32351</v>
      </c>
      <c r="F388" s="955" t="s">
        <v>4620</v>
      </c>
      <c r="G388" s="971">
        <f>+NOMINA!H386</f>
        <v>45597</v>
      </c>
      <c r="H388" s="961">
        <f t="shared" si="68"/>
        <v>0</v>
      </c>
      <c r="I388" s="962">
        <v>0</v>
      </c>
      <c r="J388" s="968">
        <f>+NOMINA!BL386</f>
        <v>12.55</v>
      </c>
      <c r="K388" s="968">
        <f>+NOMINA!BM386</f>
        <v>1.57</v>
      </c>
      <c r="L388" s="968">
        <f>+NOMINA!BN386</f>
        <v>2.72</v>
      </c>
      <c r="M388" s="963">
        <f t="shared" si="69"/>
        <v>16.84</v>
      </c>
      <c r="N388" s="968">
        <f>+NOMINA!BR386</f>
        <v>28.25</v>
      </c>
      <c r="O388" s="968">
        <f>+NOMINA!BS386</f>
        <v>6.28</v>
      </c>
      <c r="P388" s="968">
        <f>+NOMINA!BT386</f>
        <v>5.44</v>
      </c>
      <c r="Q388" s="963">
        <f t="shared" si="70"/>
        <v>39.97</v>
      </c>
      <c r="R388" s="963">
        <f t="shared" si="71"/>
        <v>56.81</v>
      </c>
      <c r="S388" s="972">
        <v>0</v>
      </c>
      <c r="T388" s="443" t="e">
        <f>#REF!+#REF!-M388</f>
        <v>#REF!</v>
      </c>
      <c r="U388" s="952" t="e">
        <f>ROUND((#REF!+#REF!+#REF!+#REF!+#REF!+#REF!+#REF!+#REF!+#REF!),2)</f>
        <v>#REF!</v>
      </c>
      <c r="Y388" s="953" t="e">
        <f>#REF!+#REF!-M388</f>
        <v>#REF!</v>
      </c>
      <c r="Z388" s="954" t="e">
        <f>#REF!</f>
        <v>#REF!</v>
      </c>
      <c r="AA388" s="953" t="e">
        <f>#REF!+#REF!</f>
        <v>#REF!</v>
      </c>
      <c r="AB388" s="954" t="e">
        <f>#REF!</f>
        <v>#REF!</v>
      </c>
      <c r="AC388" s="955">
        <v>0</v>
      </c>
      <c r="AD388" s="954" t="e">
        <f>#REF!</f>
        <v>#REF!</v>
      </c>
      <c r="AE388" s="956" t="e">
        <f>#REF!+#REF!</f>
        <v>#REF!</v>
      </c>
      <c r="AF388" s="956" t="e">
        <f>#REF!+#REF!</f>
        <v>#REF!</v>
      </c>
      <c r="AG388" s="956"/>
      <c r="AH388" s="954" t="e">
        <f>#REF!</f>
        <v>#REF!</v>
      </c>
      <c r="AI388" s="954" t="e">
        <f t="shared" si="64"/>
        <v>#REF!</v>
      </c>
      <c r="AJ388" s="954">
        <f t="shared" si="65"/>
        <v>56.81</v>
      </c>
      <c r="AK388" s="954">
        <f t="shared" si="66"/>
        <v>0</v>
      </c>
      <c r="AL388" s="625"/>
    </row>
    <row r="389" spans="1:40" s="620" customFormat="1" ht="20.100000000000001" customHeight="1" x14ac:dyDescent="0.2">
      <c r="A389" s="759">
        <f t="shared" si="67"/>
        <v>83</v>
      </c>
      <c r="B389" s="957">
        <f>+NOMINA!C387</f>
        <v>25173228</v>
      </c>
      <c r="C389" s="958" t="str">
        <f>+NOMINA!D387</f>
        <v>Davila Sanchez Eduar Alexander</v>
      </c>
      <c r="D389" s="955" t="s">
        <v>4622</v>
      </c>
      <c r="E389" s="959">
        <v>32351</v>
      </c>
      <c r="F389" s="955" t="s">
        <v>4620</v>
      </c>
      <c r="G389" s="971">
        <f>+NOMINA!H387</f>
        <v>44531</v>
      </c>
      <c r="H389" s="961">
        <f t="shared" si="68"/>
        <v>1</v>
      </c>
      <c r="I389" s="962">
        <v>0</v>
      </c>
      <c r="J389" s="968">
        <f>+NOMINA!BL387</f>
        <v>18.690000000000001</v>
      </c>
      <c r="K389" s="968">
        <f>+NOMINA!BM387</f>
        <v>2.34</v>
      </c>
      <c r="L389" s="968">
        <f>+NOMINA!BN387</f>
        <v>4.05</v>
      </c>
      <c r="M389" s="963">
        <f t="shared" si="69"/>
        <v>25.08</v>
      </c>
      <c r="N389" s="968">
        <f>+NOMINA!BR387</f>
        <v>42.06</v>
      </c>
      <c r="O389" s="968">
        <f>+NOMINA!BS387</f>
        <v>9.35</v>
      </c>
      <c r="P389" s="968">
        <f>+NOMINA!BT387</f>
        <v>8.1</v>
      </c>
      <c r="Q389" s="963">
        <f t="shared" si="70"/>
        <v>59.51</v>
      </c>
      <c r="R389" s="963">
        <f t="shared" si="71"/>
        <v>84.59</v>
      </c>
      <c r="S389" s="972">
        <v>0</v>
      </c>
      <c r="T389" s="443" t="e">
        <f>#REF!+#REF!-M389</f>
        <v>#REF!</v>
      </c>
      <c r="U389" s="952" t="e">
        <f>ROUND((#REF!+#REF!+#REF!+#REF!+#REF!+#REF!+#REF!+#REF!+#REF!),2)</f>
        <v>#REF!</v>
      </c>
      <c r="Y389" s="953" t="e">
        <f>#REF!+#REF!-M389</f>
        <v>#REF!</v>
      </c>
      <c r="Z389" s="954" t="e">
        <f>#REF!</f>
        <v>#REF!</v>
      </c>
      <c r="AA389" s="953" t="e">
        <f>#REF!+#REF!</f>
        <v>#REF!</v>
      </c>
      <c r="AB389" s="954" t="e">
        <f>#REF!</f>
        <v>#REF!</v>
      </c>
      <c r="AC389" s="955">
        <v>0</v>
      </c>
      <c r="AD389" s="954" t="e">
        <f>#REF!</f>
        <v>#REF!</v>
      </c>
      <c r="AE389" s="956" t="e">
        <f>#REF!+#REF!</f>
        <v>#REF!</v>
      </c>
      <c r="AF389" s="956" t="e">
        <f>#REF!+#REF!</f>
        <v>#REF!</v>
      </c>
      <c r="AG389" s="956"/>
      <c r="AH389" s="954" t="e">
        <f>#REF!</f>
        <v>#REF!</v>
      </c>
      <c r="AI389" s="954" t="e">
        <f t="shared" si="64"/>
        <v>#REF!</v>
      </c>
      <c r="AJ389" s="954">
        <f t="shared" si="65"/>
        <v>84.59</v>
      </c>
      <c r="AK389" s="954">
        <f t="shared" si="66"/>
        <v>0</v>
      </c>
      <c r="AL389" s="625"/>
    </row>
    <row r="390" spans="1:40" s="620" customFormat="1" ht="20.100000000000001" customHeight="1" x14ac:dyDescent="0.2">
      <c r="A390" s="759">
        <f t="shared" ref="A390:A398" si="72">+A389+1</f>
        <v>84</v>
      </c>
      <c r="B390" s="957">
        <f>+NOMINA!C388</f>
        <v>25631811</v>
      </c>
      <c r="C390" s="958" t="str">
        <f>+NOMINA!D388</f>
        <v>Barrios Briceño Christian Xavier</v>
      </c>
      <c r="D390" s="955" t="s">
        <v>4622</v>
      </c>
      <c r="E390" s="959">
        <v>32351</v>
      </c>
      <c r="F390" s="955" t="s">
        <v>4620</v>
      </c>
      <c r="G390" s="971">
        <f>+NOMINA!H388</f>
        <v>44440</v>
      </c>
      <c r="H390" s="961">
        <f t="shared" si="68"/>
        <v>1</v>
      </c>
      <c r="I390" s="962">
        <v>0</v>
      </c>
      <c r="J390" s="968">
        <f>+NOMINA!BL388</f>
        <v>14.21</v>
      </c>
      <c r="K390" s="968">
        <f>+NOMINA!BM388</f>
        <v>1.78</v>
      </c>
      <c r="L390" s="968">
        <f>+NOMINA!BN388</f>
        <v>3.08</v>
      </c>
      <c r="M390" s="963">
        <f t="shared" si="69"/>
        <v>19.07</v>
      </c>
      <c r="N390" s="968">
        <f>+NOMINA!BR388</f>
        <v>31.97</v>
      </c>
      <c r="O390" s="968">
        <f>+NOMINA!BS388</f>
        <v>7.1</v>
      </c>
      <c r="P390" s="968">
        <f>+NOMINA!BT388</f>
        <v>6.16</v>
      </c>
      <c r="Q390" s="963">
        <f t="shared" si="70"/>
        <v>45.23</v>
      </c>
      <c r="R390" s="963">
        <f t="shared" si="71"/>
        <v>64.3</v>
      </c>
      <c r="S390" s="972"/>
      <c r="T390" s="443"/>
      <c r="U390" s="952"/>
      <c r="Y390" s="953"/>
      <c r="Z390" s="954"/>
      <c r="AA390" s="953"/>
      <c r="AB390" s="954"/>
      <c r="AC390" s="955"/>
      <c r="AD390" s="954"/>
      <c r="AE390" s="956"/>
      <c r="AF390" s="956"/>
      <c r="AG390" s="956"/>
      <c r="AH390" s="954"/>
      <c r="AI390" s="954"/>
      <c r="AJ390" s="954"/>
      <c r="AK390" s="954"/>
      <c r="AL390" s="625"/>
    </row>
    <row r="391" spans="1:40" s="620" customFormat="1" ht="20.100000000000001" customHeight="1" x14ac:dyDescent="0.2">
      <c r="A391" s="759">
        <f t="shared" si="72"/>
        <v>85</v>
      </c>
      <c r="B391" s="957">
        <f>+NOMINA!C389</f>
        <v>25919888</v>
      </c>
      <c r="C391" s="958" t="str">
        <f>+NOMINA!D389</f>
        <v>Rivero Lamus Ninoska del Valle</v>
      </c>
      <c r="D391" s="955" t="s">
        <v>4622</v>
      </c>
      <c r="E391" s="959">
        <v>32351</v>
      </c>
      <c r="F391" s="955" t="s">
        <v>4620</v>
      </c>
      <c r="G391" s="971">
        <f>+NOMINA!H389</f>
        <v>44805</v>
      </c>
      <c r="H391" s="961">
        <f t="shared" si="68"/>
        <v>0</v>
      </c>
      <c r="I391" s="962">
        <v>0</v>
      </c>
      <c r="J391" s="968">
        <f>+NOMINA!BL389</f>
        <v>13.33</v>
      </c>
      <c r="K391" s="968">
        <f>+NOMINA!BM389</f>
        <v>1.67</v>
      </c>
      <c r="L391" s="968">
        <f>+NOMINA!BN389</f>
        <v>2.89</v>
      </c>
      <c r="M391" s="963">
        <f t="shared" si="69"/>
        <v>17.89</v>
      </c>
      <c r="N391" s="968">
        <f>+NOMINA!BR389</f>
        <v>30</v>
      </c>
      <c r="O391" s="968">
        <f>+NOMINA!BS389</f>
        <v>6.67</v>
      </c>
      <c r="P391" s="968">
        <f>+NOMINA!BT389</f>
        <v>5.78</v>
      </c>
      <c r="Q391" s="963">
        <f t="shared" si="70"/>
        <v>42.45</v>
      </c>
      <c r="R391" s="963">
        <f t="shared" si="71"/>
        <v>60.34</v>
      </c>
      <c r="S391" s="972"/>
      <c r="T391" s="443"/>
      <c r="U391" s="952"/>
      <c r="Y391" s="953"/>
      <c r="Z391" s="954"/>
      <c r="AA391" s="953"/>
      <c r="AB391" s="954"/>
      <c r="AC391" s="955"/>
      <c r="AD391" s="954"/>
      <c r="AE391" s="956"/>
      <c r="AF391" s="956"/>
      <c r="AG391" s="956"/>
      <c r="AH391" s="954"/>
      <c r="AI391" s="954"/>
      <c r="AJ391" s="954"/>
      <c r="AK391" s="954"/>
      <c r="AL391" s="625"/>
    </row>
    <row r="392" spans="1:40" s="620" customFormat="1" ht="20.100000000000001" customHeight="1" x14ac:dyDescent="0.2">
      <c r="A392" s="759">
        <f t="shared" si="72"/>
        <v>86</v>
      </c>
      <c r="B392" s="957">
        <f>+NOMINA!C390</f>
        <v>26235670</v>
      </c>
      <c r="C392" s="958" t="str">
        <f>+NOMINA!D390</f>
        <v>Viloria Garcia Kieny Keyvit</v>
      </c>
      <c r="D392" s="955" t="s">
        <v>4622</v>
      </c>
      <c r="E392" s="959">
        <v>32351</v>
      </c>
      <c r="F392" s="955" t="s">
        <v>4620</v>
      </c>
      <c r="G392" s="971">
        <f>+NOMINA!H390</f>
        <v>45597</v>
      </c>
      <c r="H392" s="961">
        <f t="shared" si="68"/>
        <v>0</v>
      </c>
      <c r="I392" s="962">
        <v>0</v>
      </c>
      <c r="J392" s="968">
        <f>+NOMINA!BL390</f>
        <v>13.13</v>
      </c>
      <c r="K392" s="968">
        <f>+NOMINA!BM390</f>
        <v>1.64</v>
      </c>
      <c r="L392" s="968">
        <f>+NOMINA!BN390</f>
        <v>2.85</v>
      </c>
      <c r="M392" s="963">
        <f t="shared" si="69"/>
        <v>17.62</v>
      </c>
      <c r="N392" s="968">
        <f>+NOMINA!BR390</f>
        <v>29.54</v>
      </c>
      <c r="O392" s="968">
        <f>+NOMINA!BS390</f>
        <v>6.57</v>
      </c>
      <c r="P392" s="968">
        <f>+NOMINA!BT390</f>
        <v>5.7</v>
      </c>
      <c r="Q392" s="963">
        <f t="shared" si="70"/>
        <v>41.81</v>
      </c>
      <c r="R392" s="963">
        <f t="shared" si="71"/>
        <v>59.430000000000007</v>
      </c>
      <c r="S392" s="972"/>
      <c r="T392" s="443"/>
      <c r="U392" s="952"/>
      <c r="Y392" s="953"/>
      <c r="Z392" s="954"/>
      <c r="AA392" s="953"/>
      <c r="AB392" s="954"/>
      <c r="AC392" s="955"/>
      <c r="AD392" s="954"/>
      <c r="AE392" s="956"/>
      <c r="AF392" s="956"/>
      <c r="AG392" s="956"/>
      <c r="AH392" s="954"/>
      <c r="AI392" s="954"/>
      <c r="AJ392" s="954"/>
      <c r="AK392" s="954"/>
      <c r="AL392" s="625"/>
    </row>
    <row r="393" spans="1:40" s="620" customFormat="1" ht="20.100000000000001" customHeight="1" x14ac:dyDescent="0.2">
      <c r="A393" s="759">
        <f t="shared" si="72"/>
        <v>87</v>
      </c>
      <c r="B393" s="957">
        <f>+NOMINA!C391</f>
        <v>26482867</v>
      </c>
      <c r="C393" s="958" t="str">
        <f>+NOMINA!D391</f>
        <v>Valecillos Duran Brando Jose</v>
      </c>
      <c r="D393" s="955" t="s">
        <v>4622</v>
      </c>
      <c r="E393" s="959">
        <v>32351</v>
      </c>
      <c r="F393" s="955" t="s">
        <v>4620</v>
      </c>
      <c r="G393" s="971">
        <f>+NOMINA!H391</f>
        <v>45078</v>
      </c>
      <c r="H393" s="961">
        <f t="shared" si="68"/>
        <v>0</v>
      </c>
      <c r="I393" s="962">
        <v>0</v>
      </c>
      <c r="J393" s="968">
        <f>+NOMINA!BL391</f>
        <v>13.16</v>
      </c>
      <c r="K393" s="968">
        <f>+NOMINA!BM391</f>
        <v>1.64</v>
      </c>
      <c r="L393" s="968">
        <f>+NOMINA!BN391</f>
        <v>2.85</v>
      </c>
      <c r="M393" s="963">
        <f t="shared" si="69"/>
        <v>17.649999999999999</v>
      </c>
      <c r="N393" s="968">
        <f>+NOMINA!BR391</f>
        <v>29.6</v>
      </c>
      <c r="O393" s="968">
        <f>+NOMINA!BS391</f>
        <v>6.58</v>
      </c>
      <c r="P393" s="968">
        <f>+NOMINA!BT391</f>
        <v>5.7</v>
      </c>
      <c r="Q393" s="963">
        <f t="shared" si="70"/>
        <v>41.88</v>
      </c>
      <c r="R393" s="963">
        <f t="shared" si="71"/>
        <v>59.53</v>
      </c>
      <c r="S393" s="1112"/>
      <c r="T393" s="1113"/>
      <c r="U393" s="1114"/>
      <c r="Y393" s="1076"/>
      <c r="Z393" s="1115"/>
      <c r="AA393" s="1076"/>
      <c r="AB393" s="1115"/>
      <c r="AC393" s="1104"/>
      <c r="AD393" s="1115"/>
      <c r="AE393" s="1116"/>
      <c r="AF393" s="1116"/>
      <c r="AG393" s="1116"/>
      <c r="AH393" s="1115"/>
      <c r="AI393" s="1115"/>
      <c r="AJ393" s="1115"/>
      <c r="AK393" s="1115"/>
      <c r="AL393" s="625"/>
    </row>
    <row r="394" spans="1:40" s="620" customFormat="1" ht="20.100000000000001" customHeight="1" x14ac:dyDescent="0.2">
      <c r="A394" s="759">
        <f t="shared" si="72"/>
        <v>88</v>
      </c>
      <c r="B394" s="957">
        <f>+NOMINA!C392</f>
        <v>27415509</v>
      </c>
      <c r="C394" s="958" t="str">
        <f>+NOMINA!D392</f>
        <v>Barreto Rivero Luis Diego</v>
      </c>
      <c r="D394" s="955" t="s">
        <v>4622</v>
      </c>
      <c r="E394" s="959">
        <v>32351</v>
      </c>
      <c r="F394" s="955" t="s">
        <v>4620</v>
      </c>
      <c r="G394" s="971">
        <f>+NOMINA!H392</f>
        <v>43678</v>
      </c>
      <c r="H394" s="961">
        <f t="shared" si="68"/>
        <v>3</v>
      </c>
      <c r="I394" s="962">
        <v>0</v>
      </c>
      <c r="J394" s="968">
        <f>+NOMINA!BL392</f>
        <v>13.45</v>
      </c>
      <c r="K394" s="968">
        <f>+NOMINA!BM392</f>
        <v>1.68</v>
      </c>
      <c r="L394" s="968">
        <f>+NOMINA!BN392</f>
        <v>2.91</v>
      </c>
      <c r="M394" s="963">
        <f t="shared" si="69"/>
        <v>18.04</v>
      </c>
      <c r="N394" s="968">
        <f>+NOMINA!BR392</f>
        <v>30.26</v>
      </c>
      <c r="O394" s="968">
        <f>+NOMINA!BS392</f>
        <v>6.73</v>
      </c>
      <c r="P394" s="968">
        <f>+NOMINA!BT392</f>
        <v>5.82</v>
      </c>
      <c r="Q394" s="963">
        <f t="shared" si="70"/>
        <v>42.81</v>
      </c>
      <c r="R394" s="963">
        <f t="shared" si="71"/>
        <v>60.85</v>
      </c>
      <c r="S394" s="1112"/>
      <c r="T394" s="1113"/>
      <c r="U394" s="1114"/>
      <c r="Y394" s="1076"/>
      <c r="Z394" s="1115"/>
      <c r="AA394" s="1076"/>
      <c r="AB394" s="1115"/>
      <c r="AC394" s="1104"/>
      <c r="AD394" s="1115"/>
      <c r="AE394" s="1116"/>
      <c r="AF394" s="1116"/>
      <c r="AG394" s="1116"/>
      <c r="AH394" s="1115"/>
      <c r="AI394" s="1115"/>
      <c r="AJ394" s="1115"/>
      <c r="AK394" s="1115"/>
      <c r="AL394" s="625"/>
    </row>
    <row r="395" spans="1:40" s="620" customFormat="1" ht="20.100000000000001" customHeight="1" x14ac:dyDescent="0.2">
      <c r="A395" s="759">
        <f t="shared" si="72"/>
        <v>89</v>
      </c>
      <c r="B395" s="957">
        <f>+NOMINA!C393</f>
        <v>27470077</v>
      </c>
      <c r="C395" s="958" t="str">
        <f>+NOMINA!D393</f>
        <v>Gonzalez Castellanos Yusberly Yohandri</v>
      </c>
      <c r="D395" s="955" t="s">
        <v>4622</v>
      </c>
      <c r="E395" s="959">
        <v>32351</v>
      </c>
      <c r="F395" s="955" t="s">
        <v>4620</v>
      </c>
      <c r="G395" s="971">
        <f>+NOMINA!H393</f>
        <v>44743</v>
      </c>
      <c r="H395" s="961">
        <f t="shared" si="68"/>
        <v>0</v>
      </c>
      <c r="I395" s="962">
        <v>0</v>
      </c>
      <c r="J395" s="968">
        <f>+NOMINA!BL393</f>
        <v>12.76</v>
      </c>
      <c r="K395" s="968">
        <f>+NOMINA!BM393</f>
        <v>1.59</v>
      </c>
      <c r="L395" s="968">
        <f>+NOMINA!BN393</f>
        <v>2.76</v>
      </c>
      <c r="M395" s="963">
        <f t="shared" si="69"/>
        <v>17.11</v>
      </c>
      <c r="N395" s="968">
        <f>+NOMINA!BR393</f>
        <v>28.7</v>
      </c>
      <c r="O395" s="968">
        <f>+NOMINA!BS393</f>
        <v>6.38</v>
      </c>
      <c r="P395" s="968">
        <f>+NOMINA!BT393</f>
        <v>5.52</v>
      </c>
      <c r="Q395" s="963">
        <f t="shared" si="70"/>
        <v>40.6</v>
      </c>
      <c r="R395" s="963">
        <f t="shared" si="71"/>
        <v>57.71</v>
      </c>
      <c r="S395" s="1112"/>
      <c r="T395" s="1113"/>
      <c r="U395" s="1114"/>
      <c r="Y395" s="1076"/>
      <c r="Z395" s="1115"/>
      <c r="AA395" s="1076"/>
      <c r="AB395" s="1115"/>
      <c r="AC395" s="1468"/>
      <c r="AD395" s="1115"/>
      <c r="AE395" s="1116"/>
      <c r="AF395" s="1116"/>
      <c r="AG395" s="1116"/>
      <c r="AH395" s="1115"/>
      <c r="AI395" s="1115"/>
      <c r="AJ395" s="1115"/>
      <c r="AK395" s="1115"/>
      <c r="AL395" s="625"/>
    </row>
    <row r="396" spans="1:40" s="620" customFormat="1" ht="20.100000000000001" customHeight="1" x14ac:dyDescent="0.2">
      <c r="A396" s="759">
        <f t="shared" si="72"/>
        <v>90</v>
      </c>
      <c r="B396" s="957">
        <f>+NOMINA!C394</f>
        <v>29539270</v>
      </c>
      <c r="C396" s="958" t="str">
        <f>+NOMINA!D394</f>
        <v>Rojas Carrillo Laureano Augusto</v>
      </c>
      <c r="D396" s="955" t="s">
        <v>4622</v>
      </c>
      <c r="E396" s="959">
        <v>32351</v>
      </c>
      <c r="F396" s="955" t="s">
        <v>4620</v>
      </c>
      <c r="G396" s="971">
        <f>+NOMINA!H394</f>
        <v>44287</v>
      </c>
      <c r="H396" s="961">
        <f t="shared" si="68"/>
        <v>1</v>
      </c>
      <c r="I396" s="962">
        <v>0</v>
      </c>
      <c r="J396" s="968">
        <f>+NOMINA!BL394</f>
        <v>13.3</v>
      </c>
      <c r="K396" s="968">
        <f>+NOMINA!BM394</f>
        <v>1.66</v>
      </c>
      <c r="L396" s="968">
        <f>+NOMINA!BN394</f>
        <v>2.88</v>
      </c>
      <c r="M396" s="963">
        <f t="shared" si="69"/>
        <v>17.84</v>
      </c>
      <c r="N396" s="968">
        <f>+NOMINA!BR394</f>
        <v>29.92</v>
      </c>
      <c r="O396" s="968">
        <f>+NOMINA!BS394</f>
        <v>6.65</v>
      </c>
      <c r="P396" s="968">
        <f>+NOMINA!BT394</f>
        <v>5.76</v>
      </c>
      <c r="Q396" s="963">
        <f t="shared" si="70"/>
        <v>42.33</v>
      </c>
      <c r="R396" s="963">
        <f t="shared" si="71"/>
        <v>60.17</v>
      </c>
      <c r="S396" s="1112"/>
      <c r="T396" s="1113"/>
      <c r="U396" s="1114"/>
      <c r="Y396" s="1076"/>
      <c r="Z396" s="1115"/>
      <c r="AA396" s="1076"/>
      <c r="AB396" s="1115"/>
      <c r="AC396" s="1468"/>
      <c r="AD396" s="1115"/>
      <c r="AE396" s="1116"/>
      <c r="AF396" s="1116"/>
      <c r="AG396" s="1116"/>
      <c r="AH396" s="1115"/>
      <c r="AI396" s="1115"/>
      <c r="AJ396" s="1115"/>
      <c r="AK396" s="1115"/>
      <c r="AL396" s="625"/>
    </row>
    <row r="397" spans="1:40" s="620" customFormat="1" ht="20.100000000000001" customHeight="1" x14ac:dyDescent="0.2">
      <c r="A397" s="759">
        <f t="shared" si="72"/>
        <v>91</v>
      </c>
      <c r="B397" s="957">
        <f>+NOMINA!C395</f>
        <v>29994277</v>
      </c>
      <c r="C397" s="958" t="str">
        <f>+NOMINA!D395</f>
        <v>Quintero Rangel Jose Arsenio</v>
      </c>
      <c r="D397" s="955" t="s">
        <v>4622</v>
      </c>
      <c r="E397" s="959">
        <v>32351</v>
      </c>
      <c r="F397" s="955" t="s">
        <v>4620</v>
      </c>
      <c r="G397" s="971">
        <f>+NOMINA!H395</f>
        <v>44562</v>
      </c>
      <c r="H397" s="961">
        <f t="shared" si="68"/>
        <v>0</v>
      </c>
      <c r="I397" s="962">
        <v>0</v>
      </c>
      <c r="J397" s="968">
        <f>+NOMINA!BL395</f>
        <v>13.23</v>
      </c>
      <c r="K397" s="968">
        <f>+NOMINA!BM395</f>
        <v>1.65</v>
      </c>
      <c r="L397" s="968">
        <f>+NOMINA!BN395</f>
        <v>2.87</v>
      </c>
      <c r="M397" s="963">
        <f t="shared" si="69"/>
        <v>17.75</v>
      </c>
      <c r="N397" s="968">
        <f>+NOMINA!BR395</f>
        <v>29.76</v>
      </c>
      <c r="O397" s="968">
        <f>+NOMINA!BS395</f>
        <v>6.61</v>
      </c>
      <c r="P397" s="968">
        <f>+NOMINA!BT395</f>
        <v>5.74</v>
      </c>
      <c r="Q397" s="963">
        <f t="shared" si="70"/>
        <v>42.11</v>
      </c>
      <c r="R397" s="963">
        <f t="shared" si="71"/>
        <v>59.86</v>
      </c>
      <c r="S397" s="1112"/>
      <c r="T397" s="1113"/>
      <c r="U397" s="1114"/>
      <c r="Y397" s="1076"/>
      <c r="Z397" s="1115"/>
      <c r="AA397" s="1076"/>
      <c r="AB397" s="1115"/>
      <c r="AC397" s="1104"/>
      <c r="AD397" s="1115"/>
      <c r="AE397" s="1116"/>
      <c r="AF397" s="1116"/>
      <c r="AG397" s="1116"/>
      <c r="AH397" s="1115"/>
      <c r="AI397" s="1115"/>
      <c r="AJ397" s="1115"/>
      <c r="AK397" s="1115"/>
      <c r="AL397" s="625"/>
    </row>
    <row r="398" spans="1:40" s="620" customFormat="1" ht="20.100000000000001" customHeight="1" thickBot="1" x14ac:dyDescent="0.25">
      <c r="A398" s="759">
        <f t="shared" si="72"/>
        <v>92</v>
      </c>
      <c r="B398" s="957">
        <f>+NOMINA!C396</f>
        <v>32084560</v>
      </c>
      <c r="C398" s="958" t="str">
        <f>+NOMINA!D396</f>
        <v>Hernandez Gomez Carmen Elena</v>
      </c>
      <c r="D398" s="955" t="s">
        <v>4622</v>
      </c>
      <c r="E398" s="959">
        <v>32351</v>
      </c>
      <c r="F398" s="955" t="s">
        <v>4620</v>
      </c>
      <c r="G398" s="971">
        <f>+NOMINA!H396</f>
        <v>44348</v>
      </c>
      <c r="H398" s="961">
        <f t="shared" si="68"/>
        <v>1</v>
      </c>
      <c r="I398" s="962">
        <v>0</v>
      </c>
      <c r="J398" s="968">
        <f>+NOMINA!BL396</f>
        <v>14.78</v>
      </c>
      <c r="K398" s="968">
        <f>+NOMINA!BM396</f>
        <v>1.85</v>
      </c>
      <c r="L398" s="968">
        <f>+NOMINA!BN396</f>
        <v>3.2</v>
      </c>
      <c r="M398" s="963">
        <f t="shared" si="69"/>
        <v>19.829999999999998</v>
      </c>
      <c r="N398" s="968">
        <f>+NOMINA!BR396</f>
        <v>33.270000000000003</v>
      </c>
      <c r="O398" s="968">
        <f>+NOMINA!BS396</f>
        <v>7.39</v>
      </c>
      <c r="P398" s="968">
        <f>+NOMINA!BT396</f>
        <v>6.4</v>
      </c>
      <c r="Q398" s="963">
        <f t="shared" si="70"/>
        <v>47.06</v>
      </c>
      <c r="R398" s="963">
        <f t="shared" si="71"/>
        <v>66.89</v>
      </c>
      <c r="S398" s="972">
        <v>0</v>
      </c>
      <c r="T398" s="443" t="e">
        <f>#REF!+#REF!-M398</f>
        <v>#REF!</v>
      </c>
      <c r="U398" s="952" t="e">
        <f>ROUND((#REF!+#REF!+#REF!+#REF!+#REF!+#REF!+#REF!+#REF!+#REF!),2)</f>
        <v>#REF!</v>
      </c>
      <c r="Y398" s="953" t="e">
        <f>#REF!+#REF!-M398</f>
        <v>#REF!</v>
      </c>
      <c r="Z398" s="954" t="e">
        <f>#REF!</f>
        <v>#REF!</v>
      </c>
      <c r="AA398" s="953" t="e">
        <f>#REF!+#REF!</f>
        <v>#REF!</v>
      </c>
      <c r="AB398" s="954" t="e">
        <f>#REF!</f>
        <v>#REF!</v>
      </c>
      <c r="AC398" s="955">
        <v>0</v>
      </c>
      <c r="AD398" s="954" t="e">
        <f>#REF!</f>
        <v>#REF!</v>
      </c>
      <c r="AE398" s="956" t="e">
        <f>#REF!+#REF!</f>
        <v>#REF!</v>
      </c>
      <c r="AF398" s="956" t="e">
        <f>#REF!+#REF!</f>
        <v>#REF!</v>
      </c>
      <c r="AG398" s="956"/>
      <c r="AH398" s="954" t="e">
        <f>#REF!</f>
        <v>#REF!</v>
      </c>
      <c r="AI398" s="954" t="e">
        <f t="shared" si="64"/>
        <v>#REF!</v>
      </c>
      <c r="AJ398" s="954">
        <f t="shared" si="65"/>
        <v>66.89</v>
      </c>
      <c r="AK398" s="954">
        <f t="shared" si="66"/>
        <v>0</v>
      </c>
      <c r="AL398" s="625"/>
    </row>
    <row r="399" spans="1:40" s="620" customFormat="1" ht="18.95" customHeight="1" thickBot="1" x14ac:dyDescent="0.3">
      <c r="A399" s="667"/>
      <c r="B399" s="1086" t="s">
        <v>4493</v>
      </c>
      <c r="C399" s="1065"/>
      <c r="D399" s="1065"/>
      <c r="E399" s="1065"/>
      <c r="F399" s="1065"/>
      <c r="G399" s="1065"/>
      <c r="H399" s="1065"/>
      <c r="I399" s="1068"/>
      <c r="J399" s="670">
        <f t="shared" ref="J399:U399" si="73">SUM(J307:J398)</f>
        <v>1328.9600000000003</v>
      </c>
      <c r="K399" s="670">
        <f t="shared" si="73"/>
        <v>166.14999999999992</v>
      </c>
      <c r="L399" s="670">
        <f t="shared" si="73"/>
        <v>294.5</v>
      </c>
      <c r="M399" s="670">
        <f t="shared" si="73"/>
        <v>1789.6100000000001</v>
      </c>
      <c r="N399" s="670">
        <f t="shared" si="73"/>
        <v>2990.0099999999989</v>
      </c>
      <c r="O399" s="670">
        <f t="shared" si="73"/>
        <v>664.47000000000014</v>
      </c>
      <c r="P399" s="670">
        <f t="shared" si="73"/>
        <v>589</v>
      </c>
      <c r="Q399" s="670">
        <f t="shared" si="73"/>
        <v>4243.4799999999987</v>
      </c>
      <c r="R399" s="670">
        <f t="shared" si="73"/>
        <v>6033.0900000000047</v>
      </c>
      <c r="S399" s="670">
        <f t="shared" si="73"/>
        <v>0</v>
      </c>
      <c r="T399" s="671" t="e">
        <f t="shared" si="73"/>
        <v>#REF!</v>
      </c>
      <c r="U399" s="700" t="e">
        <f t="shared" si="73"/>
        <v>#REF!</v>
      </c>
      <c r="V399" s="688"/>
      <c r="W399" s="688"/>
      <c r="X399" s="688"/>
      <c r="Y399" s="954" t="e">
        <f t="shared" ref="Y399:AK399" si="74">SUM(Y307:Y398)</f>
        <v>#REF!</v>
      </c>
      <c r="Z399" s="954" t="e">
        <f t="shared" si="74"/>
        <v>#REF!</v>
      </c>
      <c r="AA399" s="954" t="e">
        <f t="shared" si="74"/>
        <v>#REF!</v>
      </c>
      <c r="AB399" s="954" t="e">
        <f t="shared" si="74"/>
        <v>#REF!</v>
      </c>
      <c r="AC399" s="954">
        <f t="shared" si="74"/>
        <v>0</v>
      </c>
      <c r="AD399" s="954" t="e">
        <f t="shared" si="74"/>
        <v>#REF!</v>
      </c>
      <c r="AE399" s="954" t="e">
        <f t="shared" si="74"/>
        <v>#REF!</v>
      </c>
      <c r="AF399" s="954" t="e">
        <f t="shared" si="74"/>
        <v>#REF!</v>
      </c>
      <c r="AG399" s="954">
        <f t="shared" si="74"/>
        <v>0</v>
      </c>
      <c r="AH399" s="954" t="e">
        <f t="shared" si="74"/>
        <v>#REF!</v>
      </c>
      <c r="AI399" s="954" t="e">
        <f t="shared" si="74"/>
        <v>#REF!</v>
      </c>
      <c r="AJ399" s="954">
        <f t="shared" si="74"/>
        <v>5550.9000000000042</v>
      </c>
      <c r="AK399" s="954">
        <f t="shared" si="74"/>
        <v>0</v>
      </c>
      <c r="AL399" s="625"/>
      <c r="AM399" s="625">
        <f>+NOMINA!BW388</f>
        <v>64.3</v>
      </c>
      <c r="AN399" s="625">
        <f>+R399-AM399</f>
        <v>5968.7900000000045</v>
      </c>
    </row>
    <row r="400" spans="1:40" s="620" customFormat="1" ht="18.95" customHeight="1" x14ac:dyDescent="0.2">
      <c r="A400" s="619"/>
      <c r="C400" s="622"/>
      <c r="E400" s="622"/>
      <c r="F400" s="920"/>
      <c r="G400" s="834"/>
      <c r="J400" s="619"/>
      <c r="K400" s="619"/>
      <c r="L400" s="619"/>
      <c r="M400" s="619"/>
      <c r="N400" s="624"/>
      <c r="O400" s="624"/>
      <c r="P400" s="624"/>
      <c r="Q400" s="624"/>
      <c r="R400" s="619"/>
      <c r="S400" s="619"/>
      <c r="Y400" s="953"/>
      <c r="AL400" s="625"/>
    </row>
    <row r="401" spans="1:40" s="620" customFormat="1" ht="18.95" customHeight="1" thickBot="1" x14ac:dyDescent="0.25">
      <c r="A401" s="619"/>
      <c r="C401" s="622"/>
      <c r="E401" s="622"/>
      <c r="F401" s="920"/>
      <c r="G401" s="834"/>
      <c r="J401" s="619"/>
      <c r="K401" s="619"/>
      <c r="L401" s="619"/>
      <c r="M401" s="619"/>
      <c r="N401" s="619"/>
      <c r="O401" s="619"/>
      <c r="P401" s="619"/>
      <c r="Q401" s="619"/>
      <c r="R401" s="619"/>
      <c r="S401" s="619"/>
      <c r="Y401" s="953"/>
      <c r="AL401" s="625"/>
    </row>
    <row r="402" spans="1:40" s="702" customFormat="1" ht="18.95" customHeight="1" thickBot="1" x14ac:dyDescent="0.3">
      <c r="A402" s="703">
        <f>+A398+A303+A41+A14</f>
        <v>378</v>
      </c>
      <c r="B402" s="704"/>
      <c r="C402" s="705"/>
      <c r="D402" s="706"/>
      <c r="E402" s="705"/>
      <c r="F402" s="706"/>
      <c r="G402" s="835" t="s">
        <v>2875</v>
      </c>
      <c r="H402" s="706"/>
      <c r="I402" s="706"/>
      <c r="J402" s="708">
        <f t="shared" ref="J402:U402" si="75">J15+J42+J304+J399</f>
        <v>7386.5400000000018</v>
      </c>
      <c r="K402" s="708">
        <f t="shared" si="75"/>
        <v>923.41000000000008</v>
      </c>
      <c r="L402" s="708">
        <f t="shared" si="75"/>
        <v>1616.8700000000013</v>
      </c>
      <c r="M402" s="708">
        <f t="shared" si="75"/>
        <v>9926.8199999999943</v>
      </c>
      <c r="N402" s="708">
        <f t="shared" si="75"/>
        <v>16619.450000000004</v>
      </c>
      <c r="O402" s="708">
        <f t="shared" si="75"/>
        <v>3693.2300000000018</v>
      </c>
      <c r="P402" s="708">
        <f t="shared" si="75"/>
        <v>3233.7400000000025</v>
      </c>
      <c r="Q402" s="708">
        <f t="shared" si="75"/>
        <v>23546.420000000009</v>
      </c>
      <c r="R402" s="708">
        <f t="shared" si="75"/>
        <v>33473.24000000002</v>
      </c>
      <c r="S402" s="708">
        <f t="shared" si="75"/>
        <v>0</v>
      </c>
      <c r="T402" s="708" t="e">
        <f t="shared" si="75"/>
        <v>#REF!</v>
      </c>
      <c r="U402" s="708" t="e">
        <f t="shared" si="75"/>
        <v>#REF!</v>
      </c>
      <c r="V402" s="709"/>
      <c r="W402" s="709"/>
      <c r="X402" s="709"/>
      <c r="Y402" s="966" t="e">
        <f t="shared" ref="Y402:AF402" si="76">Y399+Y304+Y42</f>
        <v>#REF!</v>
      </c>
      <c r="Z402" s="967" t="e">
        <f t="shared" si="76"/>
        <v>#REF!</v>
      </c>
      <c r="AA402" s="966" t="e">
        <f t="shared" si="76"/>
        <v>#REF!</v>
      </c>
      <c r="AB402" s="966" t="e">
        <f t="shared" si="76"/>
        <v>#REF!</v>
      </c>
      <c r="AC402" s="966">
        <f t="shared" si="76"/>
        <v>0</v>
      </c>
      <c r="AD402" s="966" t="e">
        <f t="shared" si="76"/>
        <v>#REF!</v>
      </c>
      <c r="AE402" s="966" t="e">
        <f t="shared" si="76"/>
        <v>#REF!</v>
      </c>
      <c r="AF402" s="966" t="e">
        <f t="shared" si="76"/>
        <v>#REF!</v>
      </c>
      <c r="AG402" s="966"/>
      <c r="AH402" s="966" t="e">
        <f>AH399+AH304+AH42</f>
        <v>#REF!</v>
      </c>
      <c r="AI402" s="966" t="e">
        <f>AI399+AI304+AI42</f>
        <v>#REF!</v>
      </c>
      <c r="AJ402" s="966">
        <f>AJ399+AJ304+AJ42</f>
        <v>30942.090000000018</v>
      </c>
      <c r="AK402" s="966">
        <f>AK399+AK304+AK42</f>
        <v>0</v>
      </c>
      <c r="AM402" s="625">
        <f>+NOMINA!BW392</f>
        <v>60.85</v>
      </c>
      <c r="AN402" s="625">
        <f>+R402-AM402</f>
        <v>33412.390000000021</v>
      </c>
    </row>
    <row r="403" spans="1:40" s="620" customFormat="1" ht="21.75" customHeight="1" x14ac:dyDescent="0.25">
      <c r="A403" s="619"/>
      <c r="C403" s="622"/>
      <c r="E403" s="622"/>
      <c r="F403" s="920"/>
      <c r="G403" s="817"/>
      <c r="H403" s="920"/>
      <c r="I403" s="920"/>
      <c r="J403" s="624"/>
      <c r="K403" s="624"/>
      <c r="L403" s="624"/>
      <c r="M403" s="624"/>
      <c r="N403" s="624"/>
      <c r="O403" s="624"/>
      <c r="P403" s="624"/>
      <c r="Q403" s="624"/>
      <c r="R403" s="624"/>
      <c r="S403" s="624"/>
      <c r="T403" s="625"/>
      <c r="U403" s="625"/>
      <c r="V403" s="625"/>
      <c r="W403" s="625"/>
      <c r="X403" s="625"/>
      <c r="Y403" s="625"/>
      <c r="Z403" s="625"/>
      <c r="AA403" s="625"/>
      <c r="AB403" s="625"/>
      <c r="AC403" s="625"/>
      <c r="AD403" s="625"/>
      <c r="AE403" s="1778" t="e">
        <f>AE402+AF402</f>
        <v>#REF!</v>
      </c>
      <c r="AF403" s="1779"/>
      <c r="AG403" s="710"/>
      <c r="AH403" s="625"/>
      <c r="AI403" s="625"/>
      <c r="AJ403" s="625"/>
      <c r="AK403" s="625"/>
      <c r="AL403" s="625"/>
      <c r="AN403" s="625"/>
    </row>
    <row r="404" spans="1:40" s="620" customFormat="1" x14ac:dyDescent="0.2">
      <c r="A404" s="711" t="s">
        <v>4664</v>
      </c>
      <c r="B404" s="712"/>
      <c r="C404" s="713"/>
      <c r="E404" s="622"/>
      <c r="F404" s="920"/>
      <c r="G404" s="834"/>
      <c r="J404" s="619"/>
      <c r="K404" s="619"/>
      <c r="L404" s="619"/>
      <c r="M404" s="619"/>
      <c r="N404" s="624"/>
      <c r="O404" s="624"/>
      <c r="P404" s="624"/>
      <c r="Q404" s="624"/>
      <c r="R404" s="624"/>
      <c r="S404" s="624"/>
      <c r="T404" s="625"/>
      <c r="U404" s="625"/>
      <c r="V404" s="625"/>
      <c r="W404" s="625"/>
      <c r="X404" s="625"/>
      <c r="Y404" s="625"/>
      <c r="Z404" s="625"/>
      <c r="AA404" s="625"/>
      <c r="AB404" s="625"/>
      <c r="AC404" s="625"/>
      <c r="AD404" s="625"/>
      <c r="AE404" s="625"/>
      <c r="AF404" s="625"/>
      <c r="AG404" s="625"/>
      <c r="AH404" s="625"/>
      <c r="AI404" s="625"/>
      <c r="AJ404" s="625"/>
      <c r="AK404" s="625"/>
      <c r="AL404" s="625"/>
      <c r="AN404" s="625"/>
    </row>
    <row r="405" spans="1:40" s="620" customFormat="1" x14ac:dyDescent="0.2">
      <c r="A405" s="711" t="s">
        <v>4665</v>
      </c>
      <c r="B405" s="712"/>
      <c r="C405" s="713"/>
      <c r="E405" s="622"/>
      <c r="F405" s="920"/>
      <c r="G405" s="817"/>
      <c r="H405" s="920"/>
      <c r="I405" s="920"/>
      <c r="J405" s="619"/>
      <c r="K405" s="619"/>
      <c r="L405" s="619"/>
      <c r="M405" s="619"/>
      <c r="N405" s="624"/>
      <c r="O405" s="624"/>
      <c r="P405" s="624"/>
      <c r="Q405" s="624"/>
      <c r="R405" s="624"/>
      <c r="S405" s="624"/>
      <c r="T405" s="625"/>
      <c r="U405" s="625"/>
      <c r="V405" s="625"/>
      <c r="W405" s="625"/>
      <c r="X405" s="625"/>
      <c r="Y405" s="625"/>
      <c r="Z405" s="625"/>
      <c r="AA405" s="625"/>
      <c r="AB405" s="625"/>
      <c r="AC405" s="625"/>
      <c r="AD405" s="625"/>
      <c r="AE405" s="625"/>
      <c r="AF405" s="625"/>
      <c r="AG405" s="625"/>
      <c r="AH405" s="625"/>
      <c r="AI405" s="625"/>
      <c r="AJ405" s="625"/>
      <c r="AK405" s="625"/>
      <c r="AL405" s="625"/>
      <c r="AN405" s="625"/>
    </row>
    <row r="406" spans="1:40" s="620" customFormat="1" x14ac:dyDescent="0.2">
      <c r="A406" s="619"/>
      <c r="C406" s="622"/>
      <c r="E406" s="622"/>
      <c r="F406" s="920"/>
      <c r="G406" s="817"/>
      <c r="H406" s="920"/>
      <c r="I406" s="920"/>
      <c r="J406" s="624"/>
      <c r="K406" s="624"/>
      <c r="L406" s="624"/>
      <c r="M406" s="619"/>
      <c r="N406" s="624"/>
      <c r="O406" s="624"/>
      <c r="P406" s="624"/>
      <c r="Q406" s="624"/>
      <c r="R406" s="624"/>
      <c r="S406" s="624"/>
      <c r="T406" s="625"/>
      <c r="U406" s="625"/>
      <c r="V406" s="625"/>
      <c r="W406" s="625"/>
      <c r="X406" s="625"/>
      <c r="Y406" s="625"/>
      <c r="Z406" s="625"/>
      <c r="AA406" s="625"/>
      <c r="AB406" s="625"/>
      <c r="AC406" s="625"/>
      <c r="AD406" s="625"/>
      <c r="AE406" s="625"/>
      <c r="AF406" s="625"/>
      <c r="AG406" s="625"/>
      <c r="AH406" s="625"/>
      <c r="AI406" s="625"/>
      <c r="AJ406" s="625"/>
      <c r="AK406" s="625"/>
      <c r="AL406" s="625"/>
      <c r="AN406" s="625"/>
    </row>
    <row r="407" spans="1:40" s="620" customFormat="1" x14ac:dyDescent="0.2">
      <c r="A407" s="619"/>
      <c r="C407" s="622"/>
      <c r="E407" s="622"/>
      <c r="F407" s="920"/>
      <c r="G407" s="817"/>
      <c r="H407" s="920"/>
      <c r="I407" s="920"/>
      <c r="J407" s="624"/>
      <c r="K407" s="624"/>
      <c r="L407" s="624"/>
      <c r="M407" s="619"/>
      <c r="N407" s="624"/>
      <c r="O407" s="624"/>
      <c r="P407" s="624"/>
      <c r="Q407" s="624"/>
      <c r="R407" s="624"/>
      <c r="S407" s="624"/>
      <c r="T407" s="625"/>
      <c r="U407" s="625"/>
      <c r="V407" s="625"/>
      <c r="W407" s="625"/>
      <c r="X407" s="625"/>
      <c r="Y407" s="625"/>
      <c r="Z407" s="625"/>
      <c r="AA407" s="625"/>
      <c r="AB407" s="625"/>
      <c r="AC407" s="625"/>
      <c r="AD407" s="625"/>
      <c r="AE407" s="625"/>
      <c r="AF407" s="625"/>
      <c r="AG407" s="625"/>
      <c r="AH407" s="625"/>
      <c r="AI407" s="625"/>
      <c r="AJ407" s="625"/>
      <c r="AK407" s="625"/>
      <c r="AL407" s="625"/>
      <c r="AN407" s="625"/>
    </row>
    <row r="408" spans="1:40" s="620" customFormat="1" x14ac:dyDescent="0.2">
      <c r="A408" s="619"/>
      <c r="C408" s="622"/>
      <c r="E408" s="622"/>
      <c r="F408" s="920"/>
      <c r="G408" s="817"/>
      <c r="H408" s="920"/>
      <c r="I408" s="920"/>
      <c r="J408" s="619"/>
      <c r="K408" s="619"/>
      <c r="L408" s="619"/>
      <c r="M408" s="619"/>
      <c r="N408" s="624"/>
      <c r="O408" s="624"/>
      <c r="P408" s="624"/>
      <c r="Q408" s="624"/>
      <c r="R408" s="624"/>
      <c r="S408" s="624"/>
      <c r="T408" s="625"/>
      <c r="U408" s="625"/>
      <c r="V408" s="625"/>
      <c r="W408" s="625"/>
      <c r="X408" s="625"/>
      <c r="Y408" s="625"/>
      <c r="Z408" s="625"/>
      <c r="AA408" s="625"/>
      <c r="AB408" s="625"/>
      <c r="AC408" s="625"/>
      <c r="AD408" s="625"/>
      <c r="AE408" s="625"/>
      <c r="AF408" s="625"/>
      <c r="AG408" s="625"/>
      <c r="AH408" s="625"/>
      <c r="AI408" s="625"/>
      <c r="AJ408" s="625"/>
      <c r="AK408" s="625"/>
      <c r="AL408" s="625"/>
      <c r="AN408" s="625"/>
    </row>
    <row r="409" spans="1:40" s="620" customFormat="1" x14ac:dyDescent="0.2">
      <c r="B409" s="714"/>
      <c r="C409" s="726" t="s">
        <v>5833</v>
      </c>
      <c r="D409" s="716"/>
      <c r="E409" s="716"/>
      <c r="F409" s="716"/>
      <c r="G409" s="834"/>
      <c r="H409" s="715"/>
      <c r="J409" s="619"/>
      <c r="K409" s="717" t="s">
        <v>5834</v>
      </c>
      <c r="L409" s="619"/>
      <c r="M409" s="619"/>
      <c r="N409" s="624"/>
      <c r="O409" s="624"/>
      <c r="P409" s="715" t="s">
        <v>5835</v>
      </c>
      <c r="Q409" s="624"/>
      <c r="R409" s="624"/>
      <c r="S409" s="624"/>
      <c r="T409" s="625"/>
      <c r="U409" s="625"/>
      <c r="V409" s="625"/>
      <c r="W409" s="625"/>
      <c r="X409" s="625"/>
      <c r="Y409" s="625"/>
      <c r="Z409" s="625"/>
      <c r="AA409" s="625"/>
      <c r="AB409" s="625"/>
      <c r="AC409" s="625"/>
      <c r="AD409" s="625"/>
      <c r="AE409" s="625"/>
      <c r="AF409" s="625"/>
      <c r="AG409" s="625"/>
      <c r="AH409" s="625"/>
      <c r="AI409" s="625"/>
      <c r="AJ409" s="625"/>
      <c r="AK409" s="625"/>
      <c r="AL409" s="625"/>
      <c r="AN409" s="625"/>
    </row>
    <row r="410" spans="1:40" s="620" customFormat="1" x14ac:dyDescent="0.2">
      <c r="A410" s="714"/>
      <c r="B410" s="714"/>
      <c r="C410" s="718"/>
      <c r="D410" s="716"/>
      <c r="E410" s="716"/>
      <c r="F410" s="716"/>
      <c r="G410" s="834"/>
      <c r="H410" s="714"/>
      <c r="J410" s="619"/>
      <c r="K410" s="719"/>
      <c r="L410" s="619"/>
      <c r="M410" s="619"/>
      <c r="N410" s="624"/>
      <c r="O410" s="624"/>
      <c r="P410" s="720"/>
      <c r="Q410" s="624"/>
      <c r="R410" s="624"/>
      <c r="S410" s="624"/>
      <c r="T410" s="625"/>
      <c r="U410" s="625"/>
      <c r="V410" s="625"/>
      <c r="W410" s="625"/>
      <c r="X410" s="625"/>
      <c r="Y410" s="625"/>
      <c r="Z410" s="625"/>
      <c r="AA410" s="625"/>
      <c r="AB410" s="625"/>
      <c r="AC410" s="625"/>
      <c r="AD410" s="625"/>
      <c r="AE410" s="625"/>
      <c r="AF410" s="625"/>
      <c r="AG410" s="625"/>
      <c r="AH410" s="625"/>
      <c r="AI410" s="625"/>
      <c r="AJ410" s="625"/>
      <c r="AK410" s="625"/>
      <c r="AL410" s="625"/>
      <c r="AN410" s="625"/>
    </row>
    <row r="411" spans="1:40" s="620" customFormat="1" x14ac:dyDescent="0.2">
      <c r="A411" s="721"/>
      <c r="B411" s="722"/>
      <c r="C411" s="723"/>
      <c r="D411" s="724"/>
      <c r="E411" s="724"/>
      <c r="F411" s="724"/>
      <c r="G411" s="834"/>
      <c r="H411" s="721"/>
      <c r="J411" s="619"/>
      <c r="K411" s="722"/>
      <c r="L411" s="619"/>
      <c r="M411" s="619"/>
      <c r="N411" s="624"/>
      <c r="O411" s="624"/>
      <c r="P411" s="715"/>
      <c r="Q411" s="624"/>
      <c r="R411" s="624"/>
      <c r="S411" s="624"/>
      <c r="T411" s="625"/>
      <c r="U411" s="625"/>
      <c r="V411" s="625"/>
      <c r="W411" s="625"/>
      <c r="X411" s="625"/>
      <c r="Y411" s="625"/>
      <c r="Z411" s="625"/>
      <c r="AA411" s="625"/>
      <c r="AB411" s="625"/>
      <c r="AC411" s="625"/>
      <c r="AD411" s="625"/>
      <c r="AE411" s="625"/>
      <c r="AF411" s="625"/>
      <c r="AG411" s="625"/>
      <c r="AH411" s="625"/>
      <c r="AI411" s="625"/>
      <c r="AJ411" s="625"/>
      <c r="AK411" s="625"/>
      <c r="AL411" s="625"/>
      <c r="AN411" s="625"/>
    </row>
    <row r="412" spans="1:40" s="620" customFormat="1" x14ac:dyDescent="0.2">
      <c r="A412" s="725" t="s">
        <v>6752</v>
      </c>
      <c r="B412" s="726"/>
      <c r="C412" s="724"/>
      <c r="D412" s="724"/>
      <c r="E412" s="724"/>
      <c r="F412" s="724"/>
      <c r="G412" s="725" t="s">
        <v>6116</v>
      </c>
      <c r="H412" s="725"/>
      <c r="J412" s="619"/>
      <c r="K412" s="727" t="s">
        <v>5836</v>
      </c>
      <c r="L412" s="619"/>
      <c r="M412" s="619"/>
      <c r="N412" s="624"/>
      <c r="O412" s="624"/>
      <c r="P412" s="715" t="s">
        <v>5847</v>
      </c>
      <c r="Q412" s="624"/>
      <c r="R412" s="624"/>
      <c r="S412" s="624"/>
      <c r="T412" s="625"/>
      <c r="U412" s="625"/>
      <c r="V412" s="625"/>
      <c r="W412" s="625"/>
      <c r="X412" s="625"/>
      <c r="Y412" s="625"/>
      <c r="Z412" s="625"/>
      <c r="AA412" s="625"/>
      <c r="AB412" s="625"/>
      <c r="AC412" s="625"/>
      <c r="AD412" s="625"/>
      <c r="AE412" s="625"/>
      <c r="AF412" s="625"/>
      <c r="AG412" s="625"/>
      <c r="AH412" s="625"/>
      <c r="AI412" s="625"/>
      <c r="AJ412" s="625"/>
      <c r="AK412" s="625"/>
      <c r="AL412" s="625"/>
      <c r="AN412" s="625"/>
    </row>
    <row r="413" spans="1:40" s="620" customFormat="1" x14ac:dyDescent="0.2">
      <c r="A413" s="725" t="s">
        <v>6753</v>
      </c>
      <c r="B413" s="726"/>
      <c r="C413" s="724"/>
      <c r="D413" s="724"/>
      <c r="E413" s="724"/>
      <c r="F413" s="724"/>
      <c r="G413" s="725" t="s">
        <v>6117</v>
      </c>
      <c r="H413" s="725"/>
      <c r="J413" s="619"/>
      <c r="K413" s="727" t="s">
        <v>5838</v>
      </c>
      <c r="L413" s="619"/>
      <c r="M413" s="619"/>
      <c r="N413" s="624"/>
      <c r="O413" s="624"/>
      <c r="P413" s="725" t="s">
        <v>5839</v>
      </c>
      <c r="Q413" s="624"/>
      <c r="R413" s="624"/>
      <c r="S413" s="624"/>
      <c r="T413" s="625"/>
      <c r="U413" s="625"/>
      <c r="V413" s="625"/>
      <c r="W413" s="625"/>
      <c r="X413" s="625"/>
      <c r="Y413" s="625"/>
      <c r="Z413" s="625"/>
      <c r="AA413" s="625"/>
      <c r="AB413" s="625"/>
      <c r="AC413" s="625"/>
      <c r="AD413" s="625"/>
      <c r="AE413" s="625"/>
      <c r="AF413" s="625"/>
      <c r="AG413" s="625"/>
      <c r="AH413" s="625"/>
      <c r="AI413" s="625"/>
      <c r="AJ413" s="625"/>
      <c r="AK413" s="625"/>
      <c r="AL413" s="625"/>
      <c r="AN413" s="625"/>
    </row>
    <row r="414" spans="1:40" s="620" customFormat="1" x14ac:dyDescent="0.2">
      <c r="A414" s="725" t="s">
        <v>5240</v>
      </c>
      <c r="B414" s="726"/>
      <c r="C414" s="724"/>
      <c r="D414" s="724"/>
      <c r="E414" s="724"/>
      <c r="F414" s="724"/>
      <c r="G414" s="725" t="s">
        <v>5261</v>
      </c>
      <c r="H414" s="725"/>
      <c r="J414" s="619"/>
      <c r="K414" s="727" t="s">
        <v>5840</v>
      </c>
      <c r="L414" s="619"/>
      <c r="M414" s="619"/>
      <c r="N414" s="624"/>
      <c r="O414" s="624"/>
      <c r="P414" s="715" t="s">
        <v>5841</v>
      </c>
      <c r="Q414" s="624"/>
      <c r="R414" s="624"/>
      <c r="S414" s="624"/>
      <c r="T414" s="625"/>
      <c r="U414" s="625"/>
      <c r="V414" s="625"/>
      <c r="W414" s="625"/>
      <c r="X414" s="625"/>
      <c r="Y414" s="625"/>
      <c r="Z414" s="625"/>
      <c r="AA414" s="625"/>
      <c r="AB414" s="625"/>
      <c r="AC414" s="625"/>
      <c r="AD414" s="625"/>
      <c r="AE414" s="625"/>
      <c r="AF414" s="625"/>
      <c r="AG414" s="625"/>
      <c r="AH414" s="625"/>
      <c r="AI414" s="625"/>
      <c r="AJ414" s="625"/>
      <c r="AK414" s="625"/>
      <c r="AL414" s="625"/>
      <c r="AN414" s="625"/>
    </row>
  </sheetData>
  <sheetProtection formatCells="0" formatColumns="0" formatRows="0" insertColumns="0" insertRows="0" deleteColumns="0" deleteRows="0" sort="0" autoFilter="0"/>
  <dataConsolidate/>
  <mergeCells count="5">
    <mergeCell ref="B9:G9"/>
    <mergeCell ref="Y9:AD9"/>
    <mergeCell ref="J10:L10"/>
    <mergeCell ref="AI10:AJ10"/>
    <mergeCell ref="AE403:AF403"/>
  </mergeCells>
  <dataValidations disablePrompts="1" count="3">
    <dataValidation type="list" allowBlank="1" showInputMessage="1" showErrorMessage="1" sqref="S13:S14 S307:S398 S16:S41 S45:S303">
      <formula1>CESTAT</formula1>
    </dataValidation>
    <dataValidation type="list" allowBlank="1" showInputMessage="1" showErrorMessage="1" sqref="D307:D398 D13:D41 D45:D303">
      <formula1>NAC</formula1>
    </dataValidation>
    <dataValidation type="list" allowBlank="1" showInputMessage="1" showErrorMessage="1" sqref="F307:F398 F13:F41 F45:F303">
      <formula1>GEN</formula1>
    </dataValidation>
  </dataValidations>
  <pageMargins left="0.98425196850393704" right="0" top="0.39370078740157483" bottom="0.39370078740157483" header="0.31496062992125984" footer="0.31496062992125984"/>
  <pageSetup paperSize="258" scale="6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C47"/>
  <sheetViews>
    <sheetView view="pageBreakPreview" topLeftCell="A3" zoomScale="30" zoomScaleNormal="85" zoomScaleSheetLayoutView="30" zoomScalePageLayoutView="30" workbookViewId="0">
      <selection activeCell="J19" sqref="J19"/>
    </sheetView>
  </sheetViews>
  <sheetFormatPr baseColWidth="10" defaultRowHeight="28.5" x14ac:dyDescent="0.25"/>
  <cols>
    <col min="1" max="1" width="5.85546875" style="1578" customWidth="1"/>
    <col min="2" max="2" width="43.5703125" style="1584" customWidth="1"/>
    <col min="3" max="3" width="34.28515625" style="1584" customWidth="1"/>
    <col min="4" max="4" width="33.140625" style="1580" customWidth="1"/>
    <col min="5" max="5" width="29.85546875" style="1580" customWidth="1"/>
    <col min="6" max="6" width="31.7109375" style="1580" customWidth="1"/>
    <col min="7" max="7" width="22.85546875" style="1580" customWidth="1"/>
    <col min="8" max="8" width="31.42578125" style="1580" customWidth="1"/>
    <col min="9" max="9" width="27.140625" style="1580" customWidth="1"/>
    <col min="10" max="10" width="13.85546875" style="364" customWidth="1"/>
    <col min="11" max="11" width="18.140625" style="364" customWidth="1"/>
    <col min="12" max="12" width="25.42578125" style="364" customWidth="1"/>
    <col min="13" max="13" width="25.28515625" style="364" customWidth="1"/>
    <col min="14" max="14" width="26.28515625" style="364" customWidth="1"/>
    <col min="15" max="15" width="25.140625" style="1531" customWidth="1"/>
    <col min="16" max="16" width="28.85546875" style="1585" customWidth="1"/>
    <col min="17" max="17" width="39.28515625" style="593" hidden="1" customWidth="1"/>
    <col min="18" max="18" width="37.42578125" style="593" hidden="1" customWidth="1"/>
    <col min="19" max="19" width="31.85546875" style="593" hidden="1" customWidth="1"/>
    <col min="20" max="20" width="30" style="593" hidden="1" customWidth="1"/>
    <col min="21" max="21" width="19.5703125" style="18" hidden="1" customWidth="1"/>
    <col min="22" max="22" width="20" style="593" customWidth="1"/>
    <col min="23" max="24" width="11.42578125" style="593"/>
    <col min="25" max="25" width="28.5703125" style="593" customWidth="1"/>
    <col min="26" max="27" width="11.42578125" style="593"/>
    <col min="28" max="29" width="17.5703125" style="593" customWidth="1"/>
    <col min="30" max="16384" width="11.42578125" style="593"/>
  </cols>
  <sheetData>
    <row r="3" spans="1:29" s="1525" customFormat="1" ht="41.25" customHeight="1" thickBot="1" x14ac:dyDescent="0.3">
      <c r="A3" s="1524"/>
      <c r="B3" s="1786" t="s">
        <v>7292</v>
      </c>
      <c r="C3" s="1786"/>
      <c r="D3" s="1786"/>
      <c r="E3" s="1786"/>
      <c r="F3" s="1786"/>
      <c r="G3" s="1786"/>
      <c r="H3" s="1787" t="s">
        <v>7293</v>
      </c>
      <c r="I3" s="1788"/>
      <c r="J3" s="1788"/>
      <c r="K3" s="1788"/>
      <c r="L3" s="1788"/>
      <c r="M3" s="1788"/>
      <c r="N3" s="1788"/>
      <c r="O3" s="1788"/>
      <c r="P3" s="1788"/>
      <c r="Q3" s="1788"/>
      <c r="R3" s="1788"/>
      <c r="S3" s="1788"/>
      <c r="T3" s="1788"/>
      <c r="U3" s="1788"/>
      <c r="V3" s="1789"/>
    </row>
    <row r="4" spans="1:29" s="1533" customFormat="1" ht="86.25" customHeight="1" thickBot="1" x14ac:dyDescent="0.3">
      <c r="A4" s="1526"/>
      <c r="B4" s="1790" t="s">
        <v>7294</v>
      </c>
      <c r="C4" s="1790"/>
      <c r="D4" s="1790"/>
      <c r="E4" s="1527"/>
      <c r="F4" s="1528"/>
      <c r="G4" s="1529"/>
      <c r="H4" s="1791" t="str">
        <f>B4</f>
        <v>FEBRERO 2025</v>
      </c>
      <c r="I4" s="1792"/>
      <c r="J4" s="1792"/>
      <c r="K4" s="1792"/>
      <c r="L4" s="1792"/>
      <c r="M4" s="1793"/>
      <c r="N4" s="1530"/>
      <c r="O4" s="1531"/>
      <c r="P4" s="1532"/>
      <c r="Q4" s="1794"/>
      <c r="R4" s="1795"/>
      <c r="U4" s="1534"/>
      <c r="V4" s="1535"/>
      <c r="W4" s="1535"/>
    </row>
    <row r="5" spans="1:29" s="1547" customFormat="1" ht="164.25" customHeight="1" x14ac:dyDescent="0.4">
      <c r="A5" s="1536"/>
      <c r="B5" s="1537" t="s">
        <v>7295</v>
      </c>
      <c r="C5" s="1538" t="s">
        <v>7296</v>
      </c>
      <c r="D5" s="1538" t="s">
        <v>7297</v>
      </c>
      <c r="E5" s="1539" t="s">
        <v>7298</v>
      </c>
      <c r="F5" s="1540" t="s">
        <v>7299</v>
      </c>
      <c r="G5" s="1540" t="s">
        <v>7300</v>
      </c>
      <c r="H5" s="1541" t="s">
        <v>7301</v>
      </c>
      <c r="I5" s="1541" t="s">
        <v>7302</v>
      </c>
      <c r="J5" s="1542" t="s">
        <v>4471</v>
      </c>
      <c r="K5" s="1537" t="s">
        <v>7303</v>
      </c>
      <c r="L5" s="1537" t="s">
        <v>5054</v>
      </c>
      <c r="M5" s="1537" t="s">
        <v>7304</v>
      </c>
      <c r="N5" s="1543" t="s">
        <v>7305</v>
      </c>
      <c r="O5" s="1544" t="s">
        <v>7306</v>
      </c>
      <c r="P5" s="1544" t="s">
        <v>7307</v>
      </c>
      <c r="Q5" s="1545" t="s">
        <v>7308</v>
      </c>
      <c r="R5" s="1545" t="s">
        <v>7309</v>
      </c>
      <c r="S5" s="1544" t="s">
        <v>7233</v>
      </c>
      <c r="T5" s="1544" t="s">
        <v>7309</v>
      </c>
      <c r="U5" s="1544" t="s">
        <v>7310</v>
      </c>
      <c r="V5" s="1546" t="s">
        <v>7310</v>
      </c>
      <c r="W5" s="1535"/>
    </row>
    <row r="6" spans="1:29" s="1561" customFormat="1" ht="56.25" customHeight="1" x14ac:dyDescent="0.4">
      <c r="A6" s="1548">
        <v>6</v>
      </c>
      <c r="B6" s="1548" t="s">
        <v>5824</v>
      </c>
      <c r="C6" s="1549">
        <f>NOMINA!CG400</f>
        <v>66983.23</v>
      </c>
      <c r="D6" s="1549">
        <f>NOMINA!CK400</f>
        <v>187052.99999999994</v>
      </c>
      <c r="E6" s="1563" t="s">
        <v>7311</v>
      </c>
      <c r="F6" s="1550">
        <f t="shared" ref="F6" ca="1" si="0">O6-V6</f>
        <v>357</v>
      </c>
      <c r="G6" s="1551">
        <f>NOMINA!CJ400</f>
        <v>400</v>
      </c>
      <c r="H6" s="1552">
        <f>NOMINA!CA405</f>
        <v>71845.73</v>
      </c>
      <c r="I6" s="1552">
        <f>NOMINA!CA406</f>
        <v>73733.000000000029</v>
      </c>
      <c r="J6" s="1553">
        <v>0</v>
      </c>
      <c r="K6" s="1554">
        <v>25</v>
      </c>
      <c r="L6" s="1554">
        <v>244</v>
      </c>
      <c r="M6" s="1554">
        <v>92</v>
      </c>
      <c r="N6" s="1555">
        <f t="shared" ref="N6" si="1">SUM(J6:M6)</f>
        <v>361</v>
      </c>
      <c r="O6" s="1556">
        <f ca="1">NOMINA!B400</f>
        <v>378</v>
      </c>
      <c r="P6" s="1557">
        <f ca="1">O6-N6</f>
        <v>17</v>
      </c>
      <c r="Q6" s="1558">
        <v>1168225.05</v>
      </c>
      <c r="R6" s="1558">
        <f t="shared" ref="R6" si="2">ROUND(Q6/4,2)</f>
        <v>292056.26</v>
      </c>
      <c r="S6" s="1558"/>
      <c r="T6" s="1558"/>
      <c r="U6" s="1559">
        <v>22</v>
      </c>
      <c r="V6" s="1557">
        <v>21</v>
      </c>
      <c r="W6" s="1562"/>
      <c r="X6" s="1560">
        <v>5</v>
      </c>
      <c r="AB6" s="1561">
        <v>69380.73</v>
      </c>
      <c r="AC6" s="1561">
        <v>74446.430000000022</v>
      </c>
    </row>
    <row r="7" spans="1:29" s="1535" customFormat="1" ht="43.5" customHeight="1" x14ac:dyDescent="0.4">
      <c r="A7" s="1565"/>
      <c r="B7" s="1566"/>
      <c r="C7" s="1566"/>
      <c r="D7" s="1566"/>
      <c r="E7" s="1566"/>
      <c r="F7" s="1566"/>
      <c r="G7" s="1550"/>
      <c r="H7" s="1567"/>
      <c r="I7" s="1567"/>
      <c r="J7" s="1568"/>
      <c r="K7" s="1568"/>
      <c r="L7" s="1568"/>
      <c r="M7" s="1568"/>
      <c r="N7" s="1568"/>
      <c r="O7" s="1569">
        <f ca="1">SUM(O6:O6)</f>
        <v>378</v>
      </c>
      <c r="S7" s="1570"/>
      <c r="T7" s="1570"/>
      <c r="X7" s="1564">
        <v>5</v>
      </c>
    </row>
    <row r="8" spans="1:29" s="1590" customFormat="1" x14ac:dyDescent="0.45">
      <c r="A8" s="1586"/>
      <c r="B8" s="1587"/>
      <c r="C8" s="1587"/>
      <c r="D8" s="1587"/>
      <c r="E8" s="1587"/>
      <c r="F8" s="1587"/>
      <c r="G8" s="1587"/>
      <c r="H8" s="1587"/>
      <c r="I8" s="1587"/>
      <c r="J8" s="1588"/>
      <c r="K8" s="1588"/>
      <c r="L8" s="1588"/>
      <c r="M8" s="1588"/>
      <c r="N8" s="1589"/>
      <c r="O8" s="1571"/>
      <c r="S8" s="1591"/>
      <c r="T8" s="1591"/>
      <c r="X8" s="1592"/>
    </row>
    <row r="9" spans="1:29" s="1535" customFormat="1" ht="31.5" x14ac:dyDescent="0.4">
      <c r="A9" s="1565"/>
      <c r="B9" s="1566"/>
      <c r="C9" s="1593"/>
      <c r="D9" s="1593"/>
      <c r="E9" s="1593"/>
      <c r="F9" s="1593"/>
      <c r="G9" s="1593"/>
      <c r="H9" s="1593"/>
      <c r="I9" s="1593"/>
      <c r="J9" s="1593"/>
      <c r="K9" s="1593"/>
      <c r="L9" s="1593"/>
      <c r="M9" s="1593"/>
      <c r="N9" s="1593"/>
      <c r="O9" s="1593"/>
      <c r="P9" s="1593"/>
      <c r="Q9" s="1593"/>
      <c r="R9" s="1593"/>
      <c r="S9" s="1593"/>
      <c r="T9" s="1593"/>
      <c r="U9" s="1593"/>
      <c r="V9" s="1593"/>
      <c r="X9" s="1564"/>
    </row>
    <row r="10" spans="1:29" s="1535" customFormat="1" x14ac:dyDescent="0.4">
      <c r="A10" s="1565"/>
      <c r="B10" s="1566"/>
      <c r="C10" s="1566"/>
      <c r="D10" s="1566"/>
      <c r="E10" s="1566"/>
      <c r="F10" s="1566"/>
      <c r="G10" s="1566"/>
      <c r="H10" s="1566"/>
      <c r="I10" s="1566"/>
      <c r="J10" s="1568"/>
      <c r="K10" s="1568"/>
      <c r="L10" s="1568"/>
      <c r="M10" s="1568"/>
      <c r="N10" s="1568"/>
      <c r="O10" s="1571"/>
      <c r="X10" s="1564">
        <v>5</v>
      </c>
    </row>
    <row r="11" spans="1:29" s="1535" customFormat="1" ht="35.25" x14ac:dyDescent="0.25">
      <c r="A11" s="1565"/>
      <c r="B11" s="1566"/>
      <c r="C11" s="1566"/>
      <c r="D11" s="1566"/>
      <c r="E11" s="1566"/>
      <c r="F11" s="1566"/>
      <c r="G11" s="1566"/>
      <c r="H11" s="1566"/>
      <c r="I11" s="1566"/>
      <c r="J11" s="1566"/>
      <c r="K11" s="1566"/>
      <c r="L11" s="1572"/>
      <c r="M11" s="1572"/>
      <c r="N11" s="1572"/>
      <c r="O11" s="1571"/>
      <c r="P11" s="1535" t="s">
        <v>7292</v>
      </c>
      <c r="Y11" s="1549">
        <v>2120</v>
      </c>
    </row>
    <row r="12" spans="1:29" s="1535" customFormat="1" x14ac:dyDescent="0.25">
      <c r="A12" s="1565"/>
      <c r="B12" s="1572"/>
      <c r="C12" s="1572"/>
      <c r="D12" s="1566"/>
      <c r="E12" s="1566"/>
      <c r="F12" s="1566"/>
      <c r="G12" s="1566"/>
      <c r="H12" s="1566"/>
      <c r="I12" s="1566"/>
      <c r="J12" s="1572"/>
      <c r="K12" s="1572"/>
      <c r="L12" s="1572"/>
      <c r="M12" s="1572"/>
      <c r="N12" s="1572"/>
      <c r="O12" s="1571"/>
      <c r="U12" s="1573"/>
    </row>
    <row r="13" spans="1:29" s="1535" customFormat="1" x14ac:dyDescent="0.25">
      <c r="A13" s="1565"/>
      <c r="B13" s="1572"/>
      <c r="C13" s="1572"/>
      <c r="D13" s="1566"/>
      <c r="E13" s="1566"/>
      <c r="F13" s="1566"/>
      <c r="G13" s="1566"/>
      <c r="H13" s="1566"/>
      <c r="I13" s="1566"/>
      <c r="J13" s="1572"/>
      <c r="K13" s="1572"/>
      <c r="L13" s="1572"/>
      <c r="M13" s="1572"/>
      <c r="N13" s="1572"/>
      <c r="O13" s="1571"/>
      <c r="U13" s="1573"/>
    </row>
    <row r="14" spans="1:29" s="1535" customFormat="1" x14ac:dyDescent="0.25">
      <c r="A14" s="1565"/>
      <c r="B14" s="1572"/>
      <c r="C14" s="1572"/>
      <c r="D14" s="1566"/>
      <c r="E14" s="1566"/>
      <c r="F14" s="1566"/>
      <c r="G14" s="1566"/>
      <c r="H14" s="1566"/>
      <c r="I14" s="1566"/>
      <c r="J14" s="1572"/>
      <c r="K14" s="1572"/>
      <c r="L14" s="1572"/>
      <c r="M14" s="1572"/>
      <c r="N14" s="1572"/>
      <c r="O14" s="1571"/>
      <c r="U14" s="1573"/>
    </row>
    <row r="15" spans="1:29" s="1535" customFormat="1" x14ac:dyDescent="0.25">
      <c r="A15" s="1565"/>
      <c r="B15" s="1572"/>
      <c r="C15" s="1572"/>
      <c r="D15" s="1566"/>
      <c r="E15" s="1566"/>
      <c r="F15" s="1566"/>
      <c r="G15" s="1566"/>
      <c r="H15" s="1566"/>
      <c r="I15" s="1566"/>
      <c r="J15" s="1572"/>
      <c r="K15" s="1572"/>
      <c r="L15" s="1572"/>
      <c r="M15" s="1572"/>
      <c r="N15" s="1572"/>
      <c r="O15" s="1571"/>
      <c r="U15" s="1573"/>
    </row>
    <row r="16" spans="1:29" s="1535" customFormat="1" x14ac:dyDescent="0.25">
      <c r="A16" s="1565"/>
      <c r="B16" s="1572"/>
      <c r="C16" s="1572"/>
      <c r="D16" s="1566"/>
      <c r="E16" s="1566"/>
      <c r="F16" s="1566"/>
      <c r="G16" s="1566"/>
      <c r="H16" s="1566"/>
      <c r="I16" s="1566"/>
      <c r="J16" s="1572"/>
      <c r="K16" s="1572"/>
      <c r="L16" s="1572"/>
      <c r="M16" s="1572"/>
      <c r="N16" s="1572"/>
      <c r="O16" s="1571"/>
      <c r="U16" s="1573"/>
    </row>
    <row r="17" spans="1:21" s="1535" customFormat="1" x14ac:dyDescent="0.25">
      <c r="A17" s="1565"/>
      <c r="B17" s="1572"/>
      <c r="C17" s="1572"/>
      <c r="D17" s="1566"/>
      <c r="E17" s="1566"/>
      <c r="F17" s="1566"/>
      <c r="G17" s="1566"/>
      <c r="H17" s="1566"/>
      <c r="I17" s="1566"/>
      <c r="J17" s="1572"/>
      <c r="K17" s="1572"/>
      <c r="L17" s="1572"/>
      <c r="M17" s="1572"/>
      <c r="N17" s="1572"/>
      <c r="O17" s="1571"/>
      <c r="U17" s="1573"/>
    </row>
    <row r="18" spans="1:21" s="1535" customFormat="1" x14ac:dyDescent="0.25">
      <c r="A18" s="1565"/>
      <c r="B18" s="1572"/>
      <c r="C18" s="1572"/>
      <c r="D18" s="1566"/>
      <c r="E18" s="1566"/>
      <c r="F18" s="1566"/>
      <c r="G18" s="1566"/>
      <c r="H18" s="1566"/>
      <c r="I18" s="1566"/>
      <c r="J18" s="1572"/>
      <c r="K18" s="1572"/>
      <c r="L18" s="1572"/>
      <c r="M18" s="1572"/>
      <c r="N18" s="1572"/>
      <c r="O18" s="1571"/>
      <c r="U18" s="1573"/>
    </row>
    <row r="19" spans="1:21" s="1535" customFormat="1" x14ac:dyDescent="0.25">
      <c r="A19" s="1565"/>
      <c r="B19" s="1572"/>
      <c r="C19" s="1572"/>
      <c r="D19" s="1566"/>
      <c r="E19" s="1566"/>
      <c r="F19" s="1566"/>
      <c r="G19" s="1566"/>
      <c r="H19" s="1566"/>
      <c r="I19" s="1566"/>
      <c r="J19" s="1572"/>
      <c r="K19" s="1572"/>
      <c r="L19" s="1572"/>
      <c r="M19" s="1572"/>
      <c r="N19" s="1572"/>
      <c r="O19" s="1571"/>
      <c r="U19" s="1573"/>
    </row>
    <row r="20" spans="1:21" s="1535" customFormat="1" x14ac:dyDescent="0.25">
      <c r="A20" s="1565"/>
      <c r="B20" s="1572"/>
      <c r="C20" s="1572"/>
      <c r="D20" s="1566"/>
      <c r="E20" s="1566"/>
      <c r="F20" s="1566"/>
      <c r="G20" s="1566"/>
      <c r="H20" s="1566"/>
      <c r="I20" s="1566"/>
      <c r="J20" s="1572"/>
      <c r="K20" s="1572"/>
      <c r="L20" s="1572"/>
      <c r="M20" s="1572"/>
      <c r="N20" s="1572"/>
      <c r="O20" s="1571"/>
      <c r="U20" s="1573"/>
    </row>
    <row r="21" spans="1:21" s="1535" customFormat="1" x14ac:dyDescent="0.25">
      <c r="A21" s="1565"/>
      <c r="B21" s="1572"/>
      <c r="C21" s="1572"/>
      <c r="D21" s="1566"/>
      <c r="E21" s="1566"/>
      <c r="F21" s="1566"/>
      <c r="G21" s="1566"/>
      <c r="H21" s="1566"/>
      <c r="I21" s="1566"/>
      <c r="J21" s="1572"/>
      <c r="K21" s="1572"/>
      <c r="L21" s="1572"/>
      <c r="M21" s="1572"/>
      <c r="N21" s="1572"/>
      <c r="O21" s="1571"/>
      <c r="U21" s="1573"/>
    </row>
    <row r="22" spans="1:21" s="1535" customFormat="1" x14ac:dyDescent="0.25">
      <c r="A22" s="1565"/>
      <c r="B22" s="1572"/>
      <c r="C22" s="1572"/>
      <c r="D22" s="1566"/>
      <c r="E22" s="1566"/>
      <c r="F22" s="1566"/>
      <c r="G22" s="1566"/>
      <c r="H22" s="1566"/>
      <c r="I22" s="1566"/>
      <c r="J22" s="1572"/>
      <c r="K22" s="1572"/>
      <c r="L22" s="1572"/>
      <c r="M22" s="1572"/>
      <c r="N22" s="1572"/>
      <c r="O22" s="1571"/>
      <c r="U22" s="1573"/>
    </row>
    <row r="23" spans="1:21" s="1535" customFormat="1" x14ac:dyDescent="0.25">
      <c r="A23" s="1565"/>
      <c r="B23" s="1572"/>
      <c r="C23" s="1572"/>
      <c r="D23" s="1566"/>
      <c r="E23" s="1566"/>
      <c r="F23" s="1566"/>
      <c r="G23" s="1566"/>
      <c r="H23" s="1566"/>
      <c r="I23" s="1566"/>
      <c r="J23" s="1572"/>
      <c r="K23" s="1572"/>
      <c r="L23" s="1572"/>
      <c r="M23" s="1572"/>
      <c r="N23" s="1572"/>
      <c r="O23" s="1571"/>
      <c r="U23" s="1573"/>
    </row>
    <row r="24" spans="1:21" s="1535" customFormat="1" x14ac:dyDescent="0.25">
      <c r="A24" s="1565"/>
      <c r="B24" s="1572"/>
      <c r="C24" s="1572"/>
      <c r="D24" s="1566"/>
      <c r="E24" s="1566"/>
      <c r="F24" s="1566"/>
      <c r="G24" s="1566"/>
      <c r="H24" s="1566"/>
      <c r="I24" s="1566"/>
      <c r="J24" s="1572"/>
      <c r="K24" s="1572"/>
      <c r="L24" s="1572"/>
      <c r="M24" s="1572"/>
      <c r="N24" s="1572"/>
      <c r="O24" s="1571"/>
      <c r="U24" s="1573"/>
    </row>
    <row r="25" spans="1:21" s="1535" customFormat="1" x14ac:dyDescent="0.25">
      <c r="A25" s="1565"/>
      <c r="B25" s="1572"/>
      <c r="C25" s="1572"/>
      <c r="D25" s="1566"/>
      <c r="E25" s="1566"/>
      <c r="F25" s="1566"/>
      <c r="G25" s="1566"/>
      <c r="H25" s="1566"/>
      <c r="I25" s="1566"/>
      <c r="J25" s="1572"/>
      <c r="K25" s="1572"/>
      <c r="L25" s="1572"/>
      <c r="M25" s="1572"/>
      <c r="N25" s="1572"/>
      <c r="O25" s="1571"/>
      <c r="U25" s="1573"/>
    </row>
    <row r="26" spans="1:21" s="1535" customFormat="1" x14ac:dyDescent="0.25">
      <c r="A26" s="1565"/>
      <c r="B26" s="1572"/>
      <c r="C26" s="1572"/>
      <c r="D26" s="1566"/>
      <c r="E26" s="1566"/>
      <c r="F26" s="1566"/>
      <c r="G26" s="1566"/>
      <c r="H26" s="1566"/>
      <c r="I26" s="1566"/>
      <c r="J26" s="1572"/>
      <c r="K26" s="1572"/>
      <c r="L26" s="1572"/>
      <c r="M26" s="1572"/>
      <c r="N26" s="1572"/>
      <c r="O26" s="1571"/>
      <c r="U26" s="1573"/>
    </row>
    <row r="27" spans="1:21" s="1535" customFormat="1" x14ac:dyDescent="0.25">
      <c r="A27" s="1565"/>
      <c r="B27" s="1572"/>
      <c r="C27" s="1572"/>
      <c r="D27" s="1566"/>
      <c r="E27" s="1566"/>
      <c r="F27" s="1566"/>
      <c r="G27" s="1566"/>
      <c r="H27" s="1566"/>
      <c r="I27" s="1566"/>
      <c r="J27" s="1572"/>
      <c r="K27" s="1572"/>
      <c r="L27" s="1572"/>
      <c r="M27" s="1572"/>
      <c r="N27" s="1572"/>
      <c r="O27" s="1571"/>
      <c r="U27" s="1573"/>
    </row>
    <row r="28" spans="1:21" s="1535" customFormat="1" x14ac:dyDescent="0.25">
      <c r="A28" s="1565"/>
      <c r="B28" s="1572"/>
      <c r="C28" s="1572"/>
      <c r="D28" s="1566"/>
      <c r="E28" s="1566"/>
      <c r="F28" s="1566"/>
      <c r="G28" s="1566"/>
      <c r="H28" s="1566"/>
      <c r="I28" s="1566"/>
      <c r="J28" s="1572"/>
      <c r="K28" s="1572"/>
      <c r="L28" s="1572"/>
      <c r="M28" s="1572"/>
      <c r="N28" s="1572"/>
      <c r="O28" s="1571"/>
      <c r="U28" s="1573"/>
    </row>
    <row r="29" spans="1:21" s="1576" customFormat="1" x14ac:dyDescent="0.25">
      <c r="A29" s="1574"/>
      <c r="B29" s="364"/>
      <c r="C29" s="364"/>
      <c r="D29" s="1566"/>
      <c r="E29" s="1566"/>
      <c r="F29" s="1566"/>
      <c r="G29" s="1566"/>
      <c r="H29" s="1566"/>
      <c r="I29" s="1566"/>
      <c r="J29" s="364"/>
      <c r="K29" s="364"/>
      <c r="L29" s="364"/>
      <c r="M29" s="364"/>
      <c r="N29" s="364"/>
      <c r="O29" s="1571"/>
      <c r="P29" s="1575"/>
      <c r="U29" s="1577"/>
    </row>
    <row r="30" spans="1:21" s="1576" customFormat="1" x14ac:dyDescent="0.25">
      <c r="A30" s="1574"/>
      <c r="B30" s="364"/>
      <c r="C30" s="364"/>
      <c r="D30" s="1566"/>
      <c r="E30" s="1566"/>
      <c r="F30" s="1566"/>
      <c r="G30" s="1566"/>
      <c r="H30" s="1566"/>
      <c r="I30" s="1566"/>
      <c r="J30" s="364"/>
      <c r="K30" s="364"/>
      <c r="L30" s="364"/>
      <c r="M30" s="364"/>
      <c r="N30" s="364"/>
      <c r="O30" s="1571"/>
      <c r="P30" s="1575"/>
      <c r="U30" s="1577"/>
    </row>
    <row r="31" spans="1:21" s="1576" customFormat="1" x14ac:dyDescent="0.25">
      <c r="A31" s="1578"/>
      <c r="B31" s="1579"/>
      <c r="C31" s="1579"/>
      <c r="D31" s="1580"/>
      <c r="E31" s="1580"/>
      <c r="F31" s="1580"/>
      <c r="G31" s="1580"/>
      <c r="H31" s="1580"/>
      <c r="I31" s="1580"/>
      <c r="J31" s="364"/>
      <c r="K31" s="364"/>
      <c r="L31" s="364"/>
      <c r="M31" s="364"/>
      <c r="N31" s="364"/>
      <c r="O31" s="1531"/>
      <c r="P31" s="1575"/>
      <c r="U31" s="1577"/>
    </row>
    <row r="37" spans="1:21" s="1576" customFormat="1" x14ac:dyDescent="0.25">
      <c r="A37" s="1581">
        <v>1</v>
      </c>
      <c r="B37" s="1582" t="s">
        <v>7313</v>
      </c>
      <c r="C37" s="1583"/>
      <c r="D37" s="1580"/>
      <c r="E37" s="1580"/>
      <c r="F37" s="1580"/>
      <c r="G37" s="1580"/>
      <c r="H37" s="1580"/>
      <c r="I37" s="1580"/>
      <c r="J37" s="364"/>
      <c r="K37" s="364"/>
      <c r="L37" s="364"/>
      <c r="M37" s="364"/>
      <c r="N37" s="364"/>
      <c r="O37" s="1531"/>
      <c r="P37" s="1575"/>
      <c r="U37" s="1577"/>
    </row>
    <row r="38" spans="1:21" s="1576" customFormat="1" x14ac:dyDescent="0.25">
      <c r="A38" s="1581">
        <v>2</v>
      </c>
      <c r="B38" s="1582" t="s">
        <v>7314</v>
      </c>
      <c r="C38" s="1583"/>
      <c r="D38" s="1580"/>
      <c r="E38" s="1580"/>
      <c r="F38" s="1580"/>
      <c r="G38" s="1580"/>
      <c r="H38" s="1580"/>
      <c r="I38" s="1580"/>
      <c r="J38" s="364"/>
      <c r="K38" s="364"/>
      <c r="L38" s="364"/>
      <c r="M38" s="364"/>
      <c r="N38" s="364"/>
      <c r="O38" s="1531"/>
      <c r="P38" s="1575"/>
      <c r="U38" s="1577"/>
    </row>
    <row r="39" spans="1:21" s="1576" customFormat="1" x14ac:dyDescent="0.25">
      <c r="A39" s="1581">
        <v>3</v>
      </c>
      <c r="B39" s="1582" t="s">
        <v>7315</v>
      </c>
      <c r="C39" s="1583"/>
      <c r="D39" s="1580"/>
      <c r="E39" s="1580"/>
      <c r="F39" s="1580"/>
      <c r="G39" s="1580"/>
      <c r="H39" s="1580"/>
      <c r="I39" s="1580"/>
      <c r="J39" s="364"/>
      <c r="K39" s="364"/>
      <c r="L39" s="364"/>
      <c r="M39" s="364"/>
      <c r="N39" s="364"/>
      <c r="O39" s="1531"/>
      <c r="P39" s="1575"/>
      <c r="U39" s="1577"/>
    </row>
    <row r="40" spans="1:21" s="1576" customFormat="1" x14ac:dyDescent="0.25">
      <c r="A40" s="1581">
        <v>4</v>
      </c>
      <c r="B40" s="1582" t="s">
        <v>7316</v>
      </c>
      <c r="C40" s="1583"/>
      <c r="D40" s="1580"/>
      <c r="E40" s="1580"/>
      <c r="F40" s="1580"/>
      <c r="G40" s="1580"/>
      <c r="H40" s="1580"/>
      <c r="I40" s="1580"/>
      <c r="J40" s="364"/>
      <c r="K40" s="364"/>
      <c r="L40" s="364"/>
      <c r="M40" s="364"/>
      <c r="N40" s="364"/>
      <c r="O40" s="1531"/>
      <c r="P40" s="1575"/>
      <c r="U40" s="1577"/>
    </row>
    <row r="41" spans="1:21" s="1576" customFormat="1" x14ac:dyDescent="0.25">
      <c r="A41" s="1581">
        <v>5</v>
      </c>
      <c r="B41" s="1582" t="s">
        <v>7312</v>
      </c>
      <c r="C41" s="1583"/>
      <c r="D41" s="1580"/>
      <c r="E41" s="1580"/>
      <c r="F41" s="1580"/>
      <c r="G41" s="1580"/>
      <c r="H41" s="1580"/>
      <c r="I41" s="1580"/>
      <c r="J41" s="364"/>
      <c r="K41" s="364"/>
      <c r="L41" s="364"/>
      <c r="M41" s="364"/>
      <c r="N41" s="364"/>
      <c r="O41" s="1531"/>
      <c r="P41" s="1575"/>
      <c r="U41" s="1577"/>
    </row>
    <row r="42" spans="1:21" s="1576" customFormat="1" x14ac:dyDescent="0.25">
      <c r="A42" s="1581">
        <v>6</v>
      </c>
      <c r="B42" s="1582" t="s">
        <v>7317</v>
      </c>
      <c r="C42" s="1583"/>
      <c r="D42" s="1580"/>
      <c r="E42" s="1580"/>
      <c r="F42" s="1580"/>
      <c r="G42" s="1580"/>
      <c r="H42" s="1580"/>
      <c r="I42" s="1580"/>
      <c r="J42" s="364"/>
      <c r="K42" s="364"/>
      <c r="L42" s="364"/>
      <c r="M42" s="364"/>
      <c r="N42" s="364"/>
      <c r="O42" s="1531"/>
      <c r="P42" s="1575"/>
      <c r="U42" s="1577"/>
    </row>
    <row r="43" spans="1:21" s="1576" customFormat="1" x14ac:dyDescent="0.25">
      <c r="A43" s="1581">
        <v>7</v>
      </c>
      <c r="B43" s="1582" t="s">
        <v>7318</v>
      </c>
      <c r="C43" s="1583"/>
      <c r="D43" s="1580"/>
      <c r="E43" s="1580"/>
      <c r="F43" s="1580"/>
      <c r="G43" s="1580"/>
      <c r="H43" s="1580"/>
      <c r="I43" s="1580"/>
      <c r="J43" s="364"/>
      <c r="K43" s="364"/>
      <c r="L43" s="364"/>
      <c r="M43" s="364"/>
      <c r="N43" s="364"/>
      <c r="O43" s="1531"/>
      <c r="P43" s="1575"/>
      <c r="U43" s="1577"/>
    </row>
    <row r="44" spans="1:21" s="1576" customFormat="1" x14ac:dyDescent="0.25">
      <c r="A44" s="1581">
        <v>8</v>
      </c>
      <c r="B44" s="1582" t="s">
        <v>7319</v>
      </c>
      <c r="C44" s="1583"/>
      <c r="D44" s="1580"/>
      <c r="E44" s="1580"/>
      <c r="F44" s="1580"/>
      <c r="G44" s="1580"/>
      <c r="H44" s="1580"/>
      <c r="I44" s="1580"/>
      <c r="J44" s="364"/>
      <c r="K44" s="364"/>
      <c r="L44" s="364"/>
      <c r="M44" s="364"/>
      <c r="N44" s="364"/>
      <c r="O44" s="1531"/>
      <c r="P44" s="1575"/>
      <c r="U44" s="1577"/>
    </row>
    <row r="45" spans="1:21" s="1576" customFormat="1" x14ac:dyDescent="0.25">
      <c r="A45" s="1581">
        <v>9</v>
      </c>
      <c r="B45" s="1582" t="s">
        <v>7320</v>
      </c>
      <c r="C45" s="1583"/>
      <c r="D45" s="1580"/>
      <c r="E45" s="1580"/>
      <c r="F45" s="1580"/>
      <c r="G45" s="1580"/>
      <c r="H45" s="1580"/>
      <c r="I45" s="1580"/>
      <c r="J45" s="364"/>
      <c r="K45" s="364"/>
      <c r="L45" s="364"/>
      <c r="M45" s="364"/>
      <c r="N45" s="364"/>
      <c r="O45" s="1531"/>
      <c r="P45" s="1575"/>
      <c r="U45" s="1577"/>
    </row>
    <row r="46" spans="1:21" s="1576" customFormat="1" x14ac:dyDescent="0.25">
      <c r="A46" s="1581">
        <v>10</v>
      </c>
      <c r="B46" s="1582" t="s">
        <v>7321</v>
      </c>
      <c r="C46" s="1583"/>
      <c r="D46" s="1580"/>
      <c r="E46" s="1580"/>
      <c r="F46" s="1580"/>
      <c r="G46" s="1580"/>
      <c r="H46" s="1580"/>
      <c r="I46" s="1580"/>
      <c r="J46" s="364"/>
      <c r="K46" s="364"/>
      <c r="L46" s="364"/>
      <c r="M46" s="364"/>
      <c r="N46" s="364"/>
      <c r="O46" s="1531"/>
      <c r="P46" s="1575"/>
      <c r="U46" s="1577"/>
    </row>
    <row r="47" spans="1:21" s="1576" customFormat="1" x14ac:dyDescent="0.25">
      <c r="A47" s="1581">
        <v>11</v>
      </c>
      <c r="B47" s="1582" t="s">
        <v>7322</v>
      </c>
      <c r="C47" s="1583"/>
      <c r="D47" s="1580"/>
      <c r="E47" s="1580"/>
      <c r="F47" s="1580"/>
      <c r="G47" s="1580"/>
      <c r="H47" s="1580"/>
      <c r="I47" s="1580"/>
      <c r="J47" s="364"/>
      <c r="K47" s="364"/>
      <c r="L47" s="364"/>
      <c r="M47" s="364"/>
      <c r="N47" s="364"/>
      <c r="O47" s="1531"/>
      <c r="P47" s="1575"/>
      <c r="U47" s="1577"/>
    </row>
  </sheetData>
  <mergeCells count="5">
    <mergeCell ref="B3:G3"/>
    <mergeCell ref="H3:V3"/>
    <mergeCell ref="B4:D4"/>
    <mergeCell ref="H4:M4"/>
    <mergeCell ref="Q4:R4"/>
  </mergeCells>
  <pageMargins left="0.39370078740157483" right="0.39370078740157483" top="0.39370078740157483" bottom="0.39370078740157483" header="0.31496062992125984" footer="0.31496062992125984"/>
  <pageSetup scale="28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FF0000"/>
  </sheetPr>
  <dimension ref="A1:AA444"/>
  <sheetViews>
    <sheetView view="pageBreakPreview" topLeftCell="B11" zoomScale="80" zoomScaleNormal="60" zoomScaleSheetLayoutView="80" workbookViewId="0">
      <pane ySplit="1500" activePane="bottomLeft"/>
      <selection activeCell="Y11" sqref="Y1:Y1048576"/>
      <selection pane="bottomLeft" activeCell="R18" sqref="R18"/>
    </sheetView>
  </sheetViews>
  <sheetFormatPr baseColWidth="10" defaultRowHeight="15" x14ac:dyDescent="0.2"/>
  <cols>
    <col min="1" max="1" width="16.5703125" style="594" hidden="1" customWidth="1"/>
    <col min="2" max="2" width="6" style="263" customWidth="1"/>
    <col min="3" max="3" width="12.5703125" style="265" customWidth="1"/>
    <col min="4" max="4" width="43.85546875" style="728" customWidth="1"/>
    <col min="5" max="5" width="13.42578125" style="265" hidden="1" customWidth="1"/>
    <col min="6" max="6" width="17" style="728" hidden="1" customWidth="1"/>
    <col min="7" max="7" width="8.7109375" style="594" hidden="1" customWidth="1"/>
    <col min="8" max="8" width="12.28515625" style="729" customWidth="1"/>
    <col min="9" max="9" width="9" style="594" hidden="1" customWidth="1"/>
    <col min="10" max="10" width="11.5703125" style="594" hidden="1" customWidth="1"/>
    <col min="11" max="11" width="10.140625" style="594" hidden="1" customWidth="1"/>
    <col min="12" max="12" width="21.42578125" style="594" hidden="1" customWidth="1"/>
    <col min="13" max="13" width="14.140625" style="594" hidden="1" customWidth="1"/>
    <col min="14" max="14" width="39.7109375" style="265" customWidth="1"/>
    <col min="15" max="15" width="13.7109375" style="263" customWidth="1"/>
    <col min="16" max="16" width="14.28515625" style="730" customWidth="1"/>
    <col min="17" max="17" width="16" style="730" customWidth="1"/>
    <col min="18" max="18" width="11.28515625" style="730" customWidth="1"/>
    <col min="19" max="19" width="14" style="730" customWidth="1"/>
    <col min="20" max="20" width="13" style="730" hidden="1" customWidth="1"/>
    <col min="21" max="22" width="10.5703125" style="263" customWidth="1"/>
    <col min="23" max="23" width="11" style="263" customWidth="1"/>
    <col min="24" max="24" width="13.85546875" style="263" hidden="1" customWidth="1"/>
    <col min="25" max="25" width="13.28515625" style="263" hidden="1" customWidth="1"/>
    <col min="26" max="26" width="12.85546875" style="731" customWidth="1"/>
    <col min="27" max="16384" width="11.42578125" style="265"/>
  </cols>
  <sheetData>
    <row r="1" spans="1:27" s="620" customFormat="1" ht="22.5" customHeight="1" x14ac:dyDescent="0.25">
      <c r="A1" s="1697"/>
      <c r="B1" s="619"/>
      <c r="D1" s="621" t="str">
        <f>F9</f>
        <v>MARZO</v>
      </c>
      <c r="F1" s="622"/>
      <c r="G1" s="1697"/>
      <c r="H1" s="623"/>
      <c r="I1" s="1697"/>
      <c r="J1" s="1697"/>
      <c r="K1" s="1697"/>
      <c r="L1" s="1697"/>
      <c r="M1" s="1697"/>
      <c r="O1" s="619"/>
      <c r="P1" s="624"/>
      <c r="Q1" s="624"/>
      <c r="R1" s="624"/>
      <c r="S1" s="624"/>
      <c r="T1" s="624"/>
      <c r="U1" s="619"/>
      <c r="V1" s="619"/>
      <c r="W1" s="619"/>
      <c r="X1" s="619"/>
      <c r="Y1" s="619"/>
      <c r="Z1" s="625"/>
    </row>
    <row r="2" spans="1:27" s="620" customFormat="1" hidden="1" x14ac:dyDescent="0.2">
      <c r="A2" s="1697"/>
      <c r="B2" s="619"/>
      <c r="D2" s="622"/>
      <c r="F2" s="622"/>
      <c r="G2" s="1697"/>
      <c r="H2" s="623"/>
      <c r="I2" s="1697"/>
      <c r="J2" s="1697"/>
      <c r="K2" s="1697"/>
      <c r="L2" s="1697"/>
      <c r="M2" s="1697"/>
      <c r="O2" s="619"/>
      <c r="P2" s="624"/>
      <c r="Q2" s="624"/>
      <c r="R2" s="624"/>
      <c r="S2" s="624"/>
      <c r="T2" s="624"/>
      <c r="U2" s="619"/>
      <c r="V2" s="619"/>
      <c r="W2" s="619"/>
      <c r="X2" s="619"/>
      <c r="Y2" s="619"/>
      <c r="Z2" s="625"/>
    </row>
    <row r="3" spans="1:27" s="620" customFormat="1" hidden="1" x14ac:dyDescent="0.2">
      <c r="A3" s="1697"/>
      <c r="B3" s="619"/>
      <c r="D3" s="622"/>
      <c r="F3" s="622"/>
      <c r="G3" s="1697"/>
      <c r="H3" s="623"/>
      <c r="I3" s="1697"/>
      <c r="J3" s="1697"/>
      <c r="K3" s="1697"/>
      <c r="L3" s="1697"/>
      <c r="M3" s="1697"/>
      <c r="O3" s="619"/>
      <c r="P3" s="624"/>
      <c r="Q3" s="624"/>
      <c r="R3" s="624"/>
      <c r="S3" s="624"/>
      <c r="T3" s="624"/>
      <c r="U3" s="619"/>
      <c r="V3" s="619"/>
      <c r="W3" s="619"/>
      <c r="X3" s="619"/>
      <c r="Y3" s="619"/>
      <c r="Z3" s="625"/>
    </row>
    <row r="4" spans="1:27" s="620" customFormat="1" hidden="1" x14ac:dyDescent="0.2">
      <c r="A4" s="1697"/>
      <c r="B4" s="619"/>
      <c r="D4" s="622"/>
      <c r="F4" s="622"/>
      <c r="G4" s="1697"/>
      <c r="H4" s="623"/>
      <c r="I4" s="1697"/>
      <c r="J4" s="1697"/>
      <c r="K4" s="1697"/>
      <c r="L4" s="1697"/>
      <c r="M4" s="1697"/>
      <c r="O4" s="619"/>
      <c r="P4" s="624"/>
      <c r="Q4" s="624"/>
      <c r="R4" s="624"/>
      <c r="S4" s="624"/>
      <c r="T4" s="624"/>
      <c r="U4" s="619"/>
      <c r="V4" s="619"/>
      <c r="W4" s="619"/>
      <c r="X4" s="619"/>
      <c r="Y4" s="619"/>
      <c r="Z4" s="625"/>
    </row>
    <row r="5" spans="1:27" s="620" customFormat="1" x14ac:dyDescent="0.2">
      <c r="A5" s="1697"/>
      <c r="B5" s="619"/>
      <c r="D5" s="622"/>
      <c r="F5" s="622"/>
      <c r="G5" s="1697"/>
      <c r="H5" s="623"/>
      <c r="I5" s="1697"/>
      <c r="J5" s="1697"/>
      <c r="K5" s="1697"/>
      <c r="L5" s="1697"/>
      <c r="M5" s="1697"/>
      <c r="O5" s="619"/>
      <c r="P5" s="624"/>
      <c r="Q5" s="624"/>
      <c r="R5" s="624"/>
      <c r="S5" s="624"/>
      <c r="T5" s="624"/>
      <c r="U5" s="619"/>
      <c r="V5" s="619"/>
      <c r="W5" s="619"/>
      <c r="X5" s="619"/>
      <c r="Y5" s="619"/>
      <c r="Z5" s="625"/>
    </row>
    <row r="6" spans="1:27" s="620" customFormat="1" x14ac:dyDescent="0.2">
      <c r="A6" s="1697"/>
      <c r="B6" s="619"/>
      <c r="D6" s="622"/>
      <c r="F6" s="622"/>
      <c r="G6" s="1697"/>
      <c r="H6" s="623"/>
      <c r="I6" s="1697"/>
      <c r="J6" s="1697"/>
      <c r="K6" s="1697"/>
      <c r="L6" s="1697"/>
      <c r="M6" s="1697"/>
      <c r="O6" s="619"/>
      <c r="P6" s="624"/>
      <c r="Q6" s="624"/>
      <c r="R6" s="624"/>
      <c r="S6" s="624"/>
      <c r="T6" s="624"/>
      <c r="U6" s="619"/>
      <c r="V6" s="619"/>
      <c r="W6" s="619"/>
      <c r="X6" s="619"/>
      <c r="Y6" s="619"/>
      <c r="Z6" s="625"/>
    </row>
    <row r="7" spans="1:27" s="620" customFormat="1" ht="37.5" customHeight="1" x14ac:dyDescent="0.2">
      <c r="A7" s="1697"/>
      <c r="B7" s="619"/>
      <c r="D7" s="622"/>
      <c r="F7" s="622"/>
      <c r="G7" s="1697"/>
      <c r="H7" s="623"/>
      <c r="I7" s="1697"/>
      <c r="J7" s="1697"/>
      <c r="K7" s="1697"/>
      <c r="L7" s="1697"/>
      <c r="M7" s="1697"/>
      <c r="O7" s="619"/>
      <c r="P7" s="624"/>
      <c r="Q7" s="624"/>
      <c r="R7" s="624"/>
      <c r="S7" s="624"/>
      <c r="T7" s="624"/>
      <c r="U7" s="619"/>
      <c r="V7" s="619"/>
      <c r="W7" s="619"/>
      <c r="X7" s="619"/>
      <c r="Y7" s="619"/>
      <c r="Z7" s="625"/>
    </row>
    <row r="8" spans="1:27" s="620" customFormat="1" ht="21" customHeight="1" x14ac:dyDescent="0.2">
      <c r="A8" s="1697"/>
      <c r="B8" s="619"/>
      <c r="D8" s="622"/>
      <c r="F8" s="622"/>
      <c r="G8" s="1697"/>
      <c r="H8" s="623"/>
      <c r="I8" s="1697"/>
      <c r="J8" s="1697"/>
      <c r="K8" s="1697"/>
      <c r="L8" s="1697"/>
      <c r="M8" s="1697"/>
      <c r="O8" s="619"/>
      <c r="P8" s="624"/>
      <c r="Q8" s="624"/>
      <c r="R8" s="624"/>
      <c r="S8" s="624"/>
      <c r="T8" s="624"/>
      <c r="U8" s="619"/>
      <c r="V8" s="619"/>
      <c r="W8" s="619"/>
      <c r="X8" s="619"/>
      <c r="Y8" s="619"/>
      <c r="Z8" s="625"/>
    </row>
    <row r="9" spans="1:27" s="620" customFormat="1" ht="29.25" customHeight="1" thickBot="1" x14ac:dyDescent="0.35">
      <c r="A9" s="1697"/>
      <c r="B9" s="619"/>
      <c r="C9" s="1702" t="str">
        <f>+"PRIMERA QUINCENA MES DE "&amp;NOMINA!F9&amp;" "&amp;NOMINA!H9</f>
        <v>PRIMERA QUINCENA MES DE SEPTIEMBRE 2025</v>
      </c>
      <c r="D9" s="949"/>
      <c r="E9" s="627" t="s">
        <v>4632</v>
      </c>
      <c r="F9" s="1703" t="s">
        <v>2867</v>
      </c>
      <c r="G9" s="628" t="s">
        <v>4633</v>
      </c>
      <c r="H9" s="629"/>
      <c r="I9" s="630"/>
      <c r="J9" s="630"/>
      <c r="K9" s="630"/>
      <c r="L9" s="630"/>
      <c r="M9" s="1697"/>
      <c r="O9" s="619"/>
      <c r="P9" s="624"/>
      <c r="Q9" s="624"/>
      <c r="R9" s="624"/>
      <c r="S9" s="624"/>
      <c r="T9" s="624"/>
      <c r="U9" s="619"/>
      <c r="V9" s="619"/>
      <c r="W9" s="619"/>
      <c r="X9" s="619"/>
      <c r="Y9" s="619"/>
      <c r="Z9" s="625"/>
    </row>
    <row r="10" spans="1:27" s="633" customFormat="1" ht="12.75" customHeight="1" thickBot="1" x14ac:dyDescent="0.25">
      <c r="A10" s="632"/>
      <c r="B10" s="632"/>
      <c r="D10" s="634"/>
      <c r="F10" s="634"/>
      <c r="G10" s="632"/>
      <c r="H10" s="635"/>
      <c r="I10" s="632"/>
      <c r="J10" s="632"/>
      <c r="K10" s="632"/>
      <c r="L10" s="1796" t="s">
        <v>4627</v>
      </c>
      <c r="M10" s="1797"/>
      <c r="N10" s="620"/>
      <c r="O10" s="632"/>
      <c r="P10" s="1798"/>
      <c r="Q10" s="1798"/>
      <c r="R10" s="1798"/>
      <c r="S10" s="1698"/>
      <c r="T10" s="837" t="s">
        <v>4628</v>
      </c>
      <c r="U10" s="1783" t="s">
        <v>4575</v>
      </c>
      <c r="V10" s="1784"/>
      <c r="W10" s="1785"/>
      <c r="X10" s="619"/>
      <c r="Y10" s="619"/>
      <c r="Z10" s="636">
        <v>3</v>
      </c>
    </row>
    <row r="11" spans="1:27" s="620" customFormat="1" ht="78.75" customHeight="1" thickBot="1" x14ac:dyDescent="0.25">
      <c r="A11" s="838" t="s">
        <v>2840</v>
      </c>
      <c r="B11" s="643" t="s">
        <v>0</v>
      </c>
      <c r="C11" s="839" t="s">
        <v>2</v>
      </c>
      <c r="D11" s="840" t="s">
        <v>3</v>
      </c>
      <c r="E11" s="839" t="s">
        <v>4619</v>
      </c>
      <c r="F11" s="841" t="s">
        <v>4580</v>
      </c>
      <c r="G11" s="839" t="s">
        <v>4623</v>
      </c>
      <c r="H11" s="839" t="s">
        <v>4</v>
      </c>
      <c r="I11" s="839" t="s">
        <v>4625</v>
      </c>
      <c r="J11" s="839" t="s">
        <v>5969</v>
      </c>
      <c r="K11" s="839" t="s">
        <v>4574</v>
      </c>
      <c r="L11" s="842" t="s">
        <v>4636</v>
      </c>
      <c r="M11" s="842" t="s">
        <v>4573</v>
      </c>
      <c r="N11" s="839" t="s">
        <v>5</v>
      </c>
      <c r="O11" s="843" t="s">
        <v>5842</v>
      </c>
      <c r="P11" s="843" t="s">
        <v>5843</v>
      </c>
      <c r="Q11" s="843" t="s">
        <v>5844</v>
      </c>
      <c r="R11" s="843" t="s">
        <v>4491</v>
      </c>
      <c r="S11" s="843" t="s">
        <v>5848</v>
      </c>
      <c r="T11" s="843" t="s">
        <v>4629</v>
      </c>
      <c r="U11" s="844" t="s">
        <v>4577</v>
      </c>
      <c r="V11" s="844" t="s">
        <v>4578</v>
      </c>
      <c r="W11" s="844" t="s">
        <v>4579</v>
      </c>
      <c r="X11" s="839" t="s">
        <v>4576</v>
      </c>
      <c r="Y11" s="844" t="s">
        <v>7634</v>
      </c>
      <c r="Z11" s="885" t="s">
        <v>4568</v>
      </c>
    </row>
    <row r="12" spans="1:27" s="620" customFormat="1" ht="36" customHeight="1" thickBot="1" x14ac:dyDescent="0.3">
      <c r="A12" s="745"/>
      <c r="B12" s="746" t="str">
        <f>+"PERSONAL EN COMISION DE SERVICIO_NOMINA_1RA QUINCENA_"&amp;NOMINA!F9&amp;"_"&amp;NOMINA!H9</f>
        <v>PERSONAL EN COMISION DE SERVICIO_NOMINA_1RA QUINCENA_SEPTIEMBRE_2025</v>
      </c>
      <c r="C12" s="845"/>
      <c r="D12" s="846"/>
      <c r="E12" s="845"/>
      <c r="F12" s="846"/>
      <c r="G12" s="847"/>
      <c r="H12" s="848"/>
      <c r="I12" s="849"/>
      <c r="J12" s="849"/>
      <c r="K12" s="849"/>
      <c r="L12" s="849"/>
      <c r="M12" s="849"/>
      <c r="N12" s="850"/>
      <c r="O12" s="756"/>
      <c r="P12" s="757"/>
      <c r="Q12" s="757"/>
      <c r="R12" s="757"/>
      <c r="S12" s="757"/>
      <c r="T12" s="757"/>
      <c r="U12" s="756"/>
      <c r="V12" s="756"/>
      <c r="W12" s="756"/>
      <c r="X12" s="756"/>
      <c r="Y12" s="851"/>
      <c r="Z12" s="852"/>
    </row>
    <row r="13" spans="1:27" s="620" customFormat="1" ht="30" customHeight="1" x14ac:dyDescent="0.2">
      <c r="A13" s="758" t="s">
        <v>2846</v>
      </c>
      <c r="B13" s="508">
        <v>1</v>
      </c>
      <c r="C13" s="1137">
        <f>+NOMINA!C13</f>
        <v>19591141</v>
      </c>
      <c r="D13" s="1138" t="str">
        <f>+NOMINA!D13</f>
        <v>Almazan Barragan Maria de los Angeles</v>
      </c>
      <c r="E13" s="1135" t="s">
        <v>4622</v>
      </c>
      <c r="F13" s="1139">
        <v>32351</v>
      </c>
      <c r="G13" s="1135" t="s">
        <v>4620</v>
      </c>
      <c r="H13" s="1118">
        <f>+NOMINA!H13</f>
        <v>44537</v>
      </c>
      <c r="I13" s="1140">
        <f>+NOMINA!I13</f>
        <v>3</v>
      </c>
      <c r="J13" s="1132">
        <f>+NOMINA!J13</f>
        <v>0</v>
      </c>
      <c r="K13" s="1140">
        <f>I13+J13</f>
        <v>3</v>
      </c>
      <c r="L13" s="1132" t="s">
        <v>4932</v>
      </c>
      <c r="M13" s="1132"/>
      <c r="N13" s="1002" t="str">
        <f>+NOMINA!O13</f>
        <v>DIRECTOR GENERAL</v>
      </c>
      <c r="O13" s="1107">
        <f>ROUND(NOMINA!W13,2)</f>
        <v>0</v>
      </c>
      <c r="P13" s="1107">
        <f>NOMINA!AF13</f>
        <v>0</v>
      </c>
      <c r="Q13" s="1107">
        <f>NOMINA!AH13</f>
        <v>0</v>
      </c>
      <c r="R13" s="1107">
        <f>NOMINA!AC13</f>
        <v>0</v>
      </c>
      <c r="S13" s="1107">
        <f>NOMINA!AJ13</f>
        <v>0</v>
      </c>
      <c r="T13" s="1108">
        <f>+P13+Q13+R13+S13</f>
        <v>0</v>
      </c>
      <c r="U13" s="1107">
        <f>ROUND(NOMINA!BL13,2)</f>
        <v>0</v>
      </c>
      <c r="V13" s="1107">
        <f>ROUND(NOMINA!BM13,2)</f>
        <v>0</v>
      </c>
      <c r="W13" s="1107">
        <f>ROUND(+NOMINA!BN13,2)</f>
        <v>0</v>
      </c>
      <c r="X13" s="1108">
        <f>ROUND(SUM(U13:W13),2)</f>
        <v>0</v>
      </c>
      <c r="Y13" s="1107">
        <f>ROUND(NOMINA!BJ13,2)</f>
        <v>0</v>
      </c>
      <c r="Z13" s="1109">
        <f>+O13+P13+Q13+R13+S13-(U13+V13+W13)</f>
        <v>0</v>
      </c>
    </row>
    <row r="14" spans="1:27" s="620" customFormat="1" ht="30" customHeight="1" thickBot="1" x14ac:dyDescent="0.25">
      <c r="A14" s="1136"/>
      <c r="B14" s="508">
        <v>2</v>
      </c>
      <c r="C14" s="1137">
        <f>+NOMINA!C14</f>
        <v>15827671</v>
      </c>
      <c r="D14" s="1138" t="str">
        <f>+NOMINA!D14</f>
        <v>Montilla Macias Lucy Margarita</v>
      </c>
      <c r="E14" s="1135" t="s">
        <v>4622</v>
      </c>
      <c r="F14" s="1139">
        <v>32351</v>
      </c>
      <c r="G14" s="1135" t="s">
        <v>4620</v>
      </c>
      <c r="H14" s="1118">
        <f>+NOMINA!H14</f>
        <v>44545</v>
      </c>
      <c r="I14" s="1140">
        <f>+NOMINA!I14</f>
        <v>3</v>
      </c>
      <c r="J14" s="1132">
        <f>+NOMINA!J14</f>
        <v>1</v>
      </c>
      <c r="K14" s="1140">
        <f t="shared" ref="K14" si="0">I14+J14</f>
        <v>4</v>
      </c>
      <c r="L14" s="1132" t="s">
        <v>4932</v>
      </c>
      <c r="M14" s="1132"/>
      <c r="N14" s="1002" t="str">
        <f>+NOMINA!O14</f>
        <v>JEFE DE DEPARTAMENTO</v>
      </c>
      <c r="O14" s="1107">
        <f>ROUND(NOMINA!W14,2)</f>
        <v>26.5</v>
      </c>
      <c r="P14" s="1107">
        <f>NOMINA!AF14</f>
        <v>1.06</v>
      </c>
      <c r="Q14" s="1107">
        <f>NOMINA!AH14</f>
        <v>0</v>
      </c>
      <c r="R14" s="1107">
        <f>NOMINA!AC14</f>
        <v>0</v>
      </c>
      <c r="S14" s="1107">
        <f>NOMINA!AJ14</f>
        <v>6.89</v>
      </c>
      <c r="T14" s="1108">
        <f t="shared" ref="T14" si="1">+P14+Q14+R14+S14</f>
        <v>7.9499999999999993</v>
      </c>
      <c r="U14" s="1107">
        <f>ROUND(NOMINA!BL14,2)</f>
        <v>0</v>
      </c>
      <c r="V14" s="1107">
        <f>ROUND(NOMINA!BM14,2)</f>
        <v>0</v>
      </c>
      <c r="W14" s="1107">
        <f>ROUND(+NOMINA!BN14,2)</f>
        <v>0</v>
      </c>
      <c r="X14" s="1108">
        <f>ROUND(SUM(U14:W14),2)</f>
        <v>0</v>
      </c>
      <c r="Y14" s="1107">
        <f>ROUND(NOMINA!BJ14,2)</f>
        <v>12.5</v>
      </c>
      <c r="Z14" s="1109">
        <f>+O14+P14+Q14+R14+S14-(U14+V14+W14)</f>
        <v>34.449999999999996</v>
      </c>
    </row>
    <row r="15" spans="1:27" s="620" customFormat="1" ht="39.950000000000003" customHeight="1" thickBot="1" x14ac:dyDescent="0.25">
      <c r="A15" s="1117"/>
      <c r="B15" s="667"/>
      <c r="C15" s="1050" t="s">
        <v>5983</v>
      </c>
      <c r="D15" s="1051"/>
      <c r="E15" s="1052"/>
      <c r="F15" s="1053"/>
      <c r="G15" s="1052"/>
      <c r="H15" s="1054"/>
      <c r="I15" s="1055"/>
      <c r="J15" s="1056"/>
      <c r="K15" s="1057" t="s">
        <v>5846</v>
      </c>
      <c r="L15" s="1058"/>
      <c r="M15" s="1059"/>
      <c r="N15" s="1060"/>
      <c r="O15" s="685">
        <f>SUM(O13:O14)</f>
        <v>26.5</v>
      </c>
      <c r="P15" s="685">
        <f t="shared" ref="P15:Z15" si="2">SUM(P13:P14)</f>
        <v>1.06</v>
      </c>
      <c r="Q15" s="685">
        <f t="shared" si="2"/>
        <v>0</v>
      </c>
      <c r="R15" s="685">
        <f t="shared" si="2"/>
        <v>0</v>
      </c>
      <c r="S15" s="685">
        <f t="shared" si="2"/>
        <v>6.89</v>
      </c>
      <c r="T15" s="685">
        <f t="shared" si="2"/>
        <v>7.9499999999999993</v>
      </c>
      <c r="U15" s="685">
        <f t="shared" si="2"/>
        <v>0</v>
      </c>
      <c r="V15" s="685">
        <f t="shared" si="2"/>
        <v>0</v>
      </c>
      <c r="W15" s="685">
        <f t="shared" si="2"/>
        <v>0</v>
      </c>
      <c r="X15" s="685">
        <f t="shared" si="2"/>
        <v>0</v>
      </c>
      <c r="Y15" s="685">
        <f t="shared" si="2"/>
        <v>12.5</v>
      </c>
      <c r="Z15" s="685">
        <f t="shared" si="2"/>
        <v>34.449999999999996</v>
      </c>
      <c r="AA15" s="625">
        <f>+NOMINA!CB15-'Imprimir 1a'!Z15</f>
        <v>0</v>
      </c>
    </row>
    <row r="16" spans="1:27" s="620" customFormat="1" ht="20.100000000000001" customHeight="1" x14ac:dyDescent="0.2">
      <c r="A16" s="1117"/>
      <c r="B16" s="766"/>
      <c r="C16" s="767"/>
      <c r="D16" s="768"/>
      <c r="E16" s="769"/>
      <c r="F16" s="770"/>
      <c r="G16" s="769"/>
      <c r="H16" s="771"/>
      <c r="I16" s="772"/>
      <c r="J16" s="773"/>
      <c r="K16" s="774"/>
      <c r="L16" s="775"/>
      <c r="M16" s="773"/>
      <c r="N16" s="776"/>
      <c r="O16" s="777"/>
      <c r="P16" s="777"/>
      <c r="Q16" s="777"/>
      <c r="R16" s="777"/>
      <c r="S16" s="777"/>
      <c r="T16" s="777"/>
      <c r="U16" s="777"/>
      <c r="V16" s="777"/>
      <c r="W16" s="777"/>
      <c r="X16" s="777"/>
      <c r="Y16" s="777"/>
      <c r="Z16" s="777"/>
    </row>
    <row r="17" spans="1:26" s="620" customFormat="1" ht="20.100000000000001" customHeight="1" x14ac:dyDescent="0.2">
      <c r="A17" s="1117"/>
      <c r="B17" s="778"/>
      <c r="C17" s="779"/>
      <c r="D17" s="780"/>
      <c r="E17" s="699"/>
      <c r="F17" s="781"/>
      <c r="G17" s="699"/>
      <c r="H17" s="782"/>
      <c r="I17" s="783"/>
      <c r="J17" s="784"/>
      <c r="K17" s="602"/>
      <c r="L17" s="785"/>
      <c r="M17" s="784"/>
      <c r="N17" s="786"/>
      <c r="O17" s="787"/>
      <c r="P17" s="787"/>
      <c r="Q17" s="787"/>
      <c r="R17" s="787"/>
      <c r="S17" s="787"/>
      <c r="T17" s="787"/>
      <c r="U17" s="787"/>
      <c r="V17" s="787"/>
      <c r="W17" s="787"/>
      <c r="X17" s="787"/>
      <c r="Y17" s="787"/>
      <c r="Z17" s="787"/>
    </row>
    <row r="18" spans="1:26" s="620" customFormat="1" ht="20.100000000000001" customHeight="1" x14ac:dyDescent="0.2">
      <c r="A18" s="1117"/>
      <c r="B18" s="778"/>
      <c r="C18" s="779"/>
      <c r="D18" s="780"/>
      <c r="E18" s="699"/>
      <c r="F18" s="781"/>
      <c r="G18" s="699"/>
      <c r="H18" s="782"/>
      <c r="I18" s="783"/>
      <c r="J18" s="784"/>
      <c r="K18" s="602"/>
      <c r="L18" s="785"/>
      <c r="M18" s="784"/>
      <c r="N18" s="786"/>
      <c r="O18" s="787"/>
      <c r="P18" s="787"/>
      <c r="Q18" s="787"/>
      <c r="R18" s="787"/>
      <c r="S18" s="787"/>
      <c r="T18" s="787"/>
      <c r="U18" s="787"/>
      <c r="V18" s="787"/>
      <c r="W18" s="787"/>
      <c r="X18" s="787"/>
      <c r="Y18" s="787"/>
      <c r="Z18" s="787"/>
    </row>
    <row r="19" spans="1:26" s="620" customFormat="1" ht="20.100000000000001" customHeight="1" x14ac:dyDescent="0.2">
      <c r="A19" s="1117"/>
      <c r="B19" s="778"/>
      <c r="C19" s="779"/>
      <c r="D19" s="780"/>
      <c r="E19" s="699"/>
      <c r="F19" s="781"/>
      <c r="G19" s="699"/>
      <c r="H19" s="782"/>
      <c r="I19" s="783"/>
      <c r="J19" s="784"/>
      <c r="K19" s="602"/>
      <c r="L19" s="785"/>
      <c r="M19" s="784"/>
      <c r="N19" s="786"/>
      <c r="O19" s="787"/>
      <c r="P19" s="787"/>
      <c r="Q19" s="787"/>
      <c r="R19" s="787"/>
      <c r="S19" s="787"/>
      <c r="T19" s="787"/>
      <c r="U19" s="787"/>
      <c r="V19" s="787"/>
      <c r="W19" s="787"/>
      <c r="X19" s="787"/>
      <c r="Y19" s="787"/>
      <c r="Z19" s="787"/>
    </row>
    <row r="20" spans="1:26" s="620" customFormat="1" ht="20.100000000000001" customHeight="1" x14ac:dyDescent="0.2">
      <c r="A20" s="1117"/>
      <c r="B20" s="778"/>
      <c r="C20" s="779"/>
      <c r="D20" s="780"/>
      <c r="E20" s="699"/>
      <c r="F20" s="781"/>
      <c r="G20" s="699"/>
      <c r="H20" s="782"/>
      <c r="I20" s="783"/>
      <c r="J20" s="784"/>
      <c r="K20" s="602"/>
      <c r="L20" s="785"/>
      <c r="M20" s="784"/>
      <c r="N20" s="786"/>
      <c r="O20" s="787"/>
      <c r="P20" s="787"/>
      <c r="Q20" s="787"/>
      <c r="R20" s="787"/>
      <c r="S20" s="787"/>
      <c r="T20" s="787"/>
      <c r="U20" s="787"/>
      <c r="V20" s="787"/>
      <c r="W20" s="787"/>
      <c r="X20" s="787"/>
      <c r="Y20" s="787"/>
      <c r="Z20" s="787"/>
    </row>
    <row r="21" spans="1:26" s="620" customFormat="1" ht="20.100000000000001" customHeight="1" x14ac:dyDescent="0.2">
      <c r="A21" s="1117"/>
      <c r="B21" s="778"/>
      <c r="C21" s="779"/>
      <c r="D21" s="780"/>
      <c r="E21" s="699"/>
      <c r="F21" s="781"/>
      <c r="G21" s="699"/>
      <c r="H21" s="782"/>
      <c r="I21" s="783"/>
      <c r="J21" s="784"/>
      <c r="K21" s="602"/>
      <c r="L21" s="785"/>
      <c r="M21" s="784"/>
      <c r="N21" s="786"/>
      <c r="O21" s="787"/>
      <c r="P21" s="787"/>
      <c r="Q21" s="787"/>
      <c r="R21" s="787"/>
      <c r="S21" s="787"/>
      <c r="T21" s="787"/>
      <c r="U21" s="787"/>
      <c r="V21" s="787"/>
      <c r="W21" s="787"/>
      <c r="X21" s="787"/>
      <c r="Y21" s="787"/>
      <c r="Z21" s="787"/>
    </row>
    <row r="22" spans="1:26" s="620" customFormat="1" ht="20.100000000000001" customHeight="1" x14ac:dyDescent="0.2">
      <c r="A22" s="1117"/>
      <c r="B22" s="778"/>
      <c r="C22" s="779"/>
      <c r="D22" s="780"/>
      <c r="E22" s="699"/>
      <c r="F22" s="781"/>
      <c r="G22" s="699"/>
      <c r="H22" s="782"/>
      <c r="I22" s="783"/>
      <c r="J22" s="784"/>
      <c r="K22" s="602"/>
      <c r="L22" s="785"/>
      <c r="M22" s="784"/>
      <c r="N22" s="786"/>
      <c r="O22" s="787"/>
      <c r="P22" s="787"/>
      <c r="Q22" s="787"/>
      <c r="R22" s="787"/>
      <c r="S22" s="787"/>
      <c r="T22" s="787"/>
      <c r="U22" s="787"/>
      <c r="V22" s="787"/>
      <c r="W22" s="787"/>
      <c r="X22" s="787"/>
      <c r="Y22" s="787"/>
      <c r="Z22" s="787"/>
    </row>
    <row r="23" spans="1:26" s="620" customFormat="1" ht="20.100000000000001" customHeight="1" x14ac:dyDescent="0.2">
      <c r="A23" s="1117"/>
      <c r="C23" s="714"/>
      <c r="D23" s="726" t="s">
        <v>5833</v>
      </c>
      <c r="E23" s="716"/>
      <c r="F23" s="716"/>
      <c r="G23" s="716"/>
      <c r="I23" s="715"/>
      <c r="L23" s="716"/>
      <c r="M23" s="716"/>
      <c r="N23" s="716"/>
      <c r="P23" s="717" t="s">
        <v>5834</v>
      </c>
      <c r="Q23" s="716"/>
      <c r="R23" s="716"/>
      <c r="S23" s="814"/>
      <c r="T23" s="814"/>
      <c r="U23" s="619"/>
      <c r="V23" s="715" t="s">
        <v>5835</v>
      </c>
      <c r="X23" s="619"/>
      <c r="Y23" s="619"/>
      <c r="Z23" s="625"/>
    </row>
    <row r="24" spans="1:26" s="620" customFormat="1" ht="20.100000000000001" customHeight="1" x14ac:dyDescent="0.2">
      <c r="A24" s="1117"/>
      <c r="B24" s="714"/>
      <c r="C24" s="714"/>
      <c r="D24" s="718"/>
      <c r="E24" s="716"/>
      <c r="F24" s="716"/>
      <c r="G24" s="716"/>
      <c r="I24" s="714"/>
      <c r="L24" s="716"/>
      <c r="M24" s="716"/>
      <c r="N24" s="719"/>
      <c r="P24" s="719"/>
      <c r="Q24" s="716"/>
      <c r="R24" s="716"/>
      <c r="S24" s="719"/>
      <c r="T24" s="719"/>
      <c r="U24" s="619"/>
      <c r="V24" s="720"/>
      <c r="X24" s="619"/>
      <c r="Y24" s="619"/>
      <c r="Z24" s="625"/>
    </row>
    <row r="25" spans="1:26" s="620" customFormat="1" ht="20.100000000000001" customHeight="1" x14ac:dyDescent="0.2">
      <c r="A25" s="1117"/>
      <c r="B25" s="725" t="s">
        <v>6752</v>
      </c>
      <c r="C25" s="726"/>
      <c r="D25" s="724"/>
      <c r="E25" s="724"/>
      <c r="F25" s="724"/>
      <c r="G25" s="724"/>
      <c r="H25" s="725" t="s">
        <v>6116</v>
      </c>
      <c r="I25" s="725"/>
      <c r="L25" s="724"/>
      <c r="M25" s="724"/>
      <c r="N25" s="724"/>
      <c r="P25" s="727" t="s">
        <v>5836</v>
      </c>
      <c r="Q25" s="724"/>
      <c r="R25" s="724"/>
      <c r="S25" s="724"/>
      <c r="T25" s="724"/>
      <c r="U25" s="619"/>
      <c r="V25" s="715" t="s">
        <v>5847</v>
      </c>
      <c r="X25" s="619"/>
      <c r="Y25" s="619"/>
      <c r="Z25" s="625"/>
    </row>
    <row r="26" spans="1:26" s="620" customFormat="1" ht="20.100000000000001" customHeight="1" x14ac:dyDescent="0.2">
      <c r="A26" s="1117"/>
      <c r="B26" s="725" t="s">
        <v>6753</v>
      </c>
      <c r="C26" s="726"/>
      <c r="D26" s="724"/>
      <c r="E26" s="724"/>
      <c r="F26" s="724"/>
      <c r="G26" s="724"/>
      <c r="H26" s="725" t="s">
        <v>6117</v>
      </c>
      <c r="I26" s="725"/>
      <c r="L26" s="724"/>
      <c r="M26" s="724"/>
      <c r="N26" s="724"/>
      <c r="P26" s="727" t="s">
        <v>5838</v>
      </c>
      <c r="Q26" s="724"/>
      <c r="R26" s="724"/>
      <c r="S26" s="724"/>
      <c r="T26" s="724"/>
      <c r="U26" s="619"/>
      <c r="V26" s="725" t="s">
        <v>5839</v>
      </c>
      <c r="X26" s="619"/>
      <c r="Y26" s="619"/>
      <c r="Z26" s="625"/>
    </row>
    <row r="27" spans="1:26" s="620" customFormat="1" ht="20.100000000000001" customHeight="1" x14ac:dyDescent="0.2">
      <c r="A27" s="1117"/>
      <c r="B27" s="725" t="s">
        <v>5240</v>
      </c>
      <c r="C27" s="726"/>
      <c r="D27" s="724"/>
      <c r="E27" s="724"/>
      <c r="F27" s="724"/>
      <c r="G27" s="724"/>
      <c r="H27" s="725" t="s">
        <v>5261</v>
      </c>
      <c r="I27" s="725"/>
      <c r="L27" s="724"/>
      <c r="M27" s="724"/>
      <c r="N27" s="724"/>
      <c r="P27" s="727" t="s">
        <v>5840</v>
      </c>
      <c r="Q27" s="724"/>
      <c r="R27" s="724"/>
      <c r="S27" s="724"/>
      <c r="T27" s="724"/>
      <c r="U27" s="619"/>
      <c r="V27" s="715" t="s">
        <v>5841</v>
      </c>
      <c r="X27" s="619"/>
      <c r="Y27" s="619"/>
      <c r="Z27" s="625"/>
    </row>
    <row r="28" spans="1:26" s="620" customFormat="1" ht="20.100000000000001" customHeight="1" thickBot="1" x14ac:dyDescent="0.25">
      <c r="A28" s="1117"/>
      <c r="B28" s="778"/>
      <c r="C28" s="779"/>
      <c r="D28" s="780"/>
      <c r="E28" s="699"/>
      <c r="F28" s="781"/>
      <c r="G28" s="699"/>
      <c r="H28" s="782"/>
      <c r="I28" s="783"/>
      <c r="J28" s="784"/>
      <c r="K28" s="602"/>
      <c r="L28" s="785"/>
      <c r="M28" s="784"/>
      <c r="N28" s="786"/>
      <c r="O28" s="787"/>
      <c r="P28" s="787"/>
      <c r="Q28" s="787"/>
      <c r="R28" s="787"/>
      <c r="S28" s="787"/>
      <c r="T28" s="787"/>
      <c r="U28" s="787"/>
      <c r="V28" s="787"/>
      <c r="W28" s="787"/>
      <c r="X28" s="787"/>
      <c r="Y28" s="787"/>
      <c r="Z28" s="787"/>
    </row>
    <row r="29" spans="1:26" s="620" customFormat="1" ht="20.100000000000001" customHeight="1" x14ac:dyDescent="0.2">
      <c r="A29" s="1117"/>
      <c r="B29" s="656" t="str">
        <f>+"ALTO NIVEL Y DIRECCION_NOMINA_1RA_QUINCENA_"&amp;NOMINA!F9&amp;"_"&amp;NOMINA!H9</f>
        <v>ALTO NIVEL Y DIRECCION_NOMINA_1RA_QUINCENA_SEPTIEMBRE_2025</v>
      </c>
      <c r="C29" s="657"/>
      <c r="D29" s="658"/>
      <c r="E29" s="659"/>
      <c r="F29" s="660"/>
      <c r="G29" s="659"/>
      <c r="H29" s="661"/>
      <c r="I29" s="662"/>
      <c r="J29" s="663"/>
      <c r="K29" s="662"/>
      <c r="L29" s="853"/>
      <c r="M29" s="663"/>
      <c r="N29" s="854"/>
      <c r="O29" s="831"/>
      <c r="P29" s="831"/>
      <c r="Q29" s="831"/>
      <c r="R29" s="831"/>
      <c r="S29" s="831"/>
      <c r="T29" s="343"/>
      <c r="U29" s="831"/>
      <c r="V29" s="831"/>
      <c r="W29" s="831"/>
      <c r="X29" s="343"/>
      <c r="Y29" s="855"/>
      <c r="Z29" s="665"/>
    </row>
    <row r="30" spans="1:26" s="620" customFormat="1" ht="20.100000000000001" customHeight="1" x14ac:dyDescent="0.2">
      <c r="A30" s="1117" t="s">
        <v>2846</v>
      </c>
      <c r="B30" s="508">
        <v>1</v>
      </c>
      <c r="C30" s="1102">
        <f>+NOMINA!C17</f>
        <v>11894534</v>
      </c>
      <c r="D30" s="1103" t="str">
        <f>+NOMINA!D17</f>
        <v>Olmos Rodriguez Eberto de Jesus</v>
      </c>
      <c r="E30" s="1468" t="s">
        <v>4622</v>
      </c>
      <c r="F30" s="1110">
        <v>27853</v>
      </c>
      <c r="G30" s="1468" t="s">
        <v>4620</v>
      </c>
      <c r="H30" s="1442">
        <f>+NOMINA!H17</f>
        <v>40909</v>
      </c>
      <c r="I30" s="1105">
        <f>+NOMINA!I17</f>
        <v>13</v>
      </c>
      <c r="J30" s="1106">
        <f>+NOMINA!J17</f>
        <v>13</v>
      </c>
      <c r="K30" s="1105">
        <f t="shared" ref="K30" si="3">I30+J30</f>
        <v>26</v>
      </c>
      <c r="L30" s="1106" t="s">
        <v>4932</v>
      </c>
      <c r="M30" s="1106"/>
      <c r="N30" s="1443" t="str">
        <f>+NOMINA!O17</f>
        <v>JEFE DE DEPARTAMENTO</v>
      </c>
      <c r="O30" s="1107">
        <f>ROUND(NOMINA!W17,2)</f>
        <v>181.5</v>
      </c>
      <c r="P30" s="1107">
        <f>NOMINA!AF17</f>
        <v>54.45</v>
      </c>
      <c r="Q30" s="1107">
        <f>NOMINA!AH17</f>
        <v>65</v>
      </c>
      <c r="R30" s="1107">
        <f>NOMINA!AC17</f>
        <v>0</v>
      </c>
      <c r="S30" s="1107">
        <f>NOMINA!AJ17</f>
        <v>75.239999999999995</v>
      </c>
      <c r="T30" s="1108">
        <f t="shared" ref="T30" si="4">+P17+Q17+R17+S17</f>
        <v>0</v>
      </c>
      <c r="U30" s="1107">
        <f>ROUND(NOMINA!BL17,2)</f>
        <v>34.729999999999997</v>
      </c>
      <c r="V30" s="1107">
        <f>ROUND(NOMINA!BM17,2)</f>
        <v>4.34</v>
      </c>
      <c r="W30" s="1107">
        <f>ROUND(+NOMINA!BN17,2)</f>
        <v>7.52</v>
      </c>
      <c r="X30" s="1108">
        <f>ROUND(SUM(U17:W17),2)</f>
        <v>0</v>
      </c>
      <c r="Y30" s="1107">
        <f>ROUND(NOMINA!BJ17,2)</f>
        <v>12.5</v>
      </c>
      <c r="Z30" s="1109">
        <f t="shared" ref="Z30:Z54" si="5">+O30+P30+Q30+R30+S30-(U30+V30+W30)</f>
        <v>329.6</v>
      </c>
    </row>
    <row r="31" spans="1:26" s="620" customFormat="1" ht="20.100000000000001" customHeight="1" x14ac:dyDescent="0.2">
      <c r="A31" s="1117" t="s">
        <v>2846</v>
      </c>
      <c r="B31" s="508">
        <f t="shared" ref="B31:B54" ca="1" si="6">OFFSET(B31,-1,0)+1</f>
        <v>2</v>
      </c>
      <c r="C31" s="1102">
        <f>+NOMINA!C18</f>
        <v>12458942</v>
      </c>
      <c r="D31" s="1103" t="str">
        <f>+NOMINA!D18</f>
        <v>Mendoza Mendoza Mirian del Milagro</v>
      </c>
      <c r="E31" s="1468" t="s">
        <v>4622</v>
      </c>
      <c r="F31" s="1110">
        <v>27853</v>
      </c>
      <c r="G31" s="1468" t="s">
        <v>4620</v>
      </c>
      <c r="H31" s="1442">
        <f>+NOMINA!H18</f>
        <v>44424</v>
      </c>
      <c r="I31" s="1105">
        <f>+NOMINA!I18</f>
        <v>4</v>
      </c>
      <c r="J31" s="1106">
        <f>+NOMINA!J18</f>
        <v>19</v>
      </c>
      <c r="K31" s="1105">
        <f t="shared" ref="K31:K54" si="7">I31+J31</f>
        <v>23</v>
      </c>
      <c r="L31" s="1106" t="s">
        <v>4932</v>
      </c>
      <c r="M31" s="1106"/>
      <c r="N31" s="1443" t="str">
        <f>+NOMINA!O18</f>
        <v>JEFE DE DEPARTAMENTO</v>
      </c>
      <c r="O31" s="1107">
        <f>ROUND(NOMINA!W18,2)</f>
        <v>181.5</v>
      </c>
      <c r="P31" s="1107">
        <f>NOMINA!AF18</f>
        <v>54.45</v>
      </c>
      <c r="Q31" s="1107">
        <f>NOMINA!AH18</f>
        <v>65</v>
      </c>
      <c r="R31" s="1107">
        <f>NOMINA!AC18</f>
        <v>0</v>
      </c>
      <c r="S31" s="1107">
        <f>NOMINA!AJ18</f>
        <v>90.29</v>
      </c>
      <c r="T31" s="1108">
        <f t="shared" ref="T31:T54" si="8">+P18+Q18+R18+S18</f>
        <v>0</v>
      </c>
      <c r="U31" s="1107">
        <f>ROUND(NOMINA!BL18,2)</f>
        <v>36.11</v>
      </c>
      <c r="V31" s="1107">
        <f>ROUND(NOMINA!BM18,2)</f>
        <v>4.51</v>
      </c>
      <c r="W31" s="1107">
        <f>ROUND(+NOMINA!BN18,2)</f>
        <v>7.82</v>
      </c>
      <c r="X31" s="1108">
        <f t="shared" ref="X31:X54" si="9">ROUND(SUM(U18:W18),2)</f>
        <v>0</v>
      </c>
      <c r="Y31" s="1107">
        <f>ROUND(NOMINA!BJ18,2)</f>
        <v>12.5</v>
      </c>
      <c r="Z31" s="1109">
        <f t="shared" si="5"/>
        <v>342.8</v>
      </c>
    </row>
    <row r="32" spans="1:26" s="620" customFormat="1" ht="20.100000000000001" customHeight="1" x14ac:dyDescent="0.2">
      <c r="A32" s="1117" t="s">
        <v>2846</v>
      </c>
      <c r="B32" s="508">
        <f t="shared" ca="1" si="6"/>
        <v>3</v>
      </c>
      <c r="C32" s="1102">
        <f>+NOMINA!C19</f>
        <v>8719807</v>
      </c>
      <c r="D32" s="1103" t="str">
        <f>+NOMINA!D19</f>
        <v>Perez Saavedra Isabel Teresa</v>
      </c>
      <c r="E32" s="1468" t="s">
        <v>4622</v>
      </c>
      <c r="F32" s="1110">
        <v>27853</v>
      </c>
      <c r="G32" s="1468" t="s">
        <v>4620</v>
      </c>
      <c r="H32" s="1442">
        <f>+NOMINA!H19</f>
        <v>39874</v>
      </c>
      <c r="I32" s="1105">
        <f>+NOMINA!I19</f>
        <v>16</v>
      </c>
      <c r="J32" s="1106">
        <f>+NOMINA!J19</f>
        <v>4</v>
      </c>
      <c r="K32" s="1105">
        <f t="shared" si="7"/>
        <v>20</v>
      </c>
      <c r="L32" s="1106" t="s">
        <v>4932</v>
      </c>
      <c r="M32" s="1106"/>
      <c r="N32" s="1443" t="str">
        <f>+NOMINA!O19</f>
        <v>JEFE DE DEPARTAMENTO</v>
      </c>
      <c r="O32" s="1107">
        <f>ROUND(NOMINA!W19,2)</f>
        <v>181.5</v>
      </c>
      <c r="P32" s="1107">
        <f>NOMINA!AF19</f>
        <v>47.19</v>
      </c>
      <c r="Q32" s="1107">
        <f>NOMINA!AH19</f>
        <v>65</v>
      </c>
      <c r="R32" s="1107">
        <f>NOMINA!AC19</f>
        <v>0</v>
      </c>
      <c r="S32" s="1107">
        <f>NOMINA!AJ19</f>
        <v>73.430000000000007</v>
      </c>
      <c r="T32" s="1108">
        <f t="shared" si="8"/>
        <v>0</v>
      </c>
      <c r="U32" s="1107">
        <f>ROUND(NOMINA!BL19,2)</f>
        <v>33.89</v>
      </c>
      <c r="V32" s="1107">
        <f>ROUND(NOMINA!BM19,2)</f>
        <v>4.24</v>
      </c>
      <c r="W32" s="1107">
        <f>ROUND(+NOMINA!BN19,2)</f>
        <v>7.34</v>
      </c>
      <c r="X32" s="1108">
        <f t="shared" si="9"/>
        <v>0</v>
      </c>
      <c r="Y32" s="1107">
        <f>ROUND(NOMINA!BJ19,2)</f>
        <v>12.5</v>
      </c>
      <c r="Z32" s="1109">
        <f t="shared" si="5"/>
        <v>321.64999999999998</v>
      </c>
    </row>
    <row r="33" spans="1:26" s="620" customFormat="1" ht="20.100000000000001" customHeight="1" x14ac:dyDescent="0.2">
      <c r="A33" s="1117" t="s">
        <v>2846</v>
      </c>
      <c r="B33" s="508">
        <f t="shared" ca="1" si="6"/>
        <v>4</v>
      </c>
      <c r="C33" s="1102">
        <f>+NOMINA!C20</f>
        <v>10404528</v>
      </c>
      <c r="D33" s="1103" t="str">
        <f>+NOMINA!D20</f>
        <v>Perez Castellano Javier Horacio</v>
      </c>
      <c r="E33" s="1468" t="s">
        <v>4622</v>
      </c>
      <c r="F33" s="1110">
        <v>27853</v>
      </c>
      <c r="G33" s="1468" t="s">
        <v>4620</v>
      </c>
      <c r="H33" s="1442">
        <f>+NOMINA!H20</f>
        <v>37622</v>
      </c>
      <c r="I33" s="1105">
        <f>+NOMINA!I20</f>
        <v>22</v>
      </c>
      <c r="J33" s="1106">
        <f>+NOMINA!J20</f>
        <v>0</v>
      </c>
      <c r="K33" s="1105">
        <f t="shared" si="7"/>
        <v>22</v>
      </c>
      <c r="L33" s="1106" t="s">
        <v>4932</v>
      </c>
      <c r="M33" s="1106"/>
      <c r="N33" s="1443" t="str">
        <f>+NOMINA!O20</f>
        <v>JEFE DE DEPARTAMENTO</v>
      </c>
      <c r="O33" s="1107">
        <f>ROUND(NOMINA!W20,2)</f>
        <v>181.5</v>
      </c>
      <c r="P33" s="1107">
        <f>NOMINA!AF20</f>
        <v>53.73</v>
      </c>
      <c r="Q33" s="1107">
        <f>NOMINA!AH20</f>
        <v>65</v>
      </c>
      <c r="R33" s="1107">
        <f>NOMINA!AC20</f>
        <v>12.5</v>
      </c>
      <c r="S33" s="1107">
        <f>NOMINA!AJ20</f>
        <v>76.62</v>
      </c>
      <c r="T33" s="1108">
        <f t="shared" si="8"/>
        <v>0</v>
      </c>
      <c r="U33" s="1107">
        <f>ROUND(NOMINA!BL20,2)</f>
        <v>35.36</v>
      </c>
      <c r="V33" s="1107">
        <f>ROUND(NOMINA!BM20,2)</f>
        <v>4.42</v>
      </c>
      <c r="W33" s="1107">
        <f>ROUND(+NOMINA!BN20,2)</f>
        <v>7.66</v>
      </c>
      <c r="X33" s="1108">
        <f t="shared" si="9"/>
        <v>0</v>
      </c>
      <c r="Y33" s="1107">
        <f>ROUND(NOMINA!BJ20,2)</f>
        <v>12.5</v>
      </c>
      <c r="Z33" s="1109">
        <f t="shared" si="5"/>
        <v>341.91</v>
      </c>
    </row>
    <row r="34" spans="1:26" s="620" customFormat="1" ht="20.100000000000001" customHeight="1" x14ac:dyDescent="0.2">
      <c r="A34" s="1117" t="s">
        <v>2846</v>
      </c>
      <c r="B34" s="508">
        <f t="shared" ca="1" si="6"/>
        <v>5</v>
      </c>
      <c r="C34" s="1102">
        <f>+NOMINA!C21</f>
        <v>9311822</v>
      </c>
      <c r="D34" s="1103" t="str">
        <f>+NOMINA!D21</f>
        <v>Rojo Sanchez Alexis Omar</v>
      </c>
      <c r="E34" s="1468" t="s">
        <v>4622</v>
      </c>
      <c r="F34" s="1110">
        <v>27853</v>
      </c>
      <c r="G34" s="1468" t="s">
        <v>4620</v>
      </c>
      <c r="H34" s="1442">
        <f>+NOMINA!H21</f>
        <v>37662</v>
      </c>
      <c r="I34" s="1105">
        <f>+NOMINA!I21</f>
        <v>22</v>
      </c>
      <c r="J34" s="1106">
        <f>+NOMINA!J21</f>
        <v>0</v>
      </c>
      <c r="K34" s="1105">
        <f t="shared" si="7"/>
        <v>22</v>
      </c>
      <c r="L34" s="1106" t="s">
        <v>4932</v>
      </c>
      <c r="M34" s="1106"/>
      <c r="N34" s="1443" t="str">
        <f>+NOMINA!O21</f>
        <v>JEFE DE DEPARTAMENTO</v>
      </c>
      <c r="O34" s="1107">
        <f>ROUND(NOMINA!W21,2)</f>
        <v>181.5</v>
      </c>
      <c r="P34" s="1107">
        <f>NOMINA!AF21</f>
        <v>53.73</v>
      </c>
      <c r="Q34" s="1107">
        <f>NOMINA!AH21</f>
        <v>65</v>
      </c>
      <c r="R34" s="1107">
        <f>NOMINA!AC21</f>
        <v>0</v>
      </c>
      <c r="S34" s="1107">
        <f>NOMINA!AJ21</f>
        <v>0</v>
      </c>
      <c r="T34" s="1108">
        <f t="shared" si="8"/>
        <v>0</v>
      </c>
      <c r="U34" s="1107">
        <f>ROUND(NOMINA!BL21,2)</f>
        <v>27.71</v>
      </c>
      <c r="V34" s="1107">
        <f>ROUND(NOMINA!BM21,2)</f>
        <v>3.46</v>
      </c>
      <c r="W34" s="1107">
        <f>ROUND(+NOMINA!BN21,2)</f>
        <v>6</v>
      </c>
      <c r="X34" s="1108">
        <f t="shared" si="9"/>
        <v>0</v>
      </c>
      <c r="Y34" s="1107">
        <f>ROUND(NOMINA!BJ21,2)</f>
        <v>12.5</v>
      </c>
      <c r="Z34" s="1109">
        <f t="shared" si="5"/>
        <v>263.06</v>
      </c>
    </row>
    <row r="35" spans="1:26" s="620" customFormat="1" ht="20.100000000000001" customHeight="1" x14ac:dyDescent="0.2">
      <c r="A35" s="1117" t="s">
        <v>2846</v>
      </c>
      <c r="B35" s="508">
        <f t="shared" ca="1" si="6"/>
        <v>6</v>
      </c>
      <c r="C35" s="1102">
        <f>+NOMINA!C22</f>
        <v>21592108</v>
      </c>
      <c r="D35" s="1103" t="str">
        <f>+NOMINA!D22</f>
        <v>Coy Andara Darlin Gabriela</v>
      </c>
      <c r="E35" s="1468" t="s">
        <v>4622</v>
      </c>
      <c r="F35" s="1110">
        <v>27853</v>
      </c>
      <c r="G35" s="1468" t="s">
        <v>4620</v>
      </c>
      <c r="H35" s="1442">
        <f>+NOMINA!H22</f>
        <v>43024</v>
      </c>
      <c r="I35" s="1105">
        <f>+NOMINA!I22</f>
        <v>7</v>
      </c>
      <c r="J35" s="1106">
        <f>+NOMINA!J22</f>
        <v>0</v>
      </c>
      <c r="K35" s="1105">
        <f t="shared" si="7"/>
        <v>7</v>
      </c>
      <c r="L35" s="1106" t="s">
        <v>4932</v>
      </c>
      <c r="M35" s="1106"/>
      <c r="N35" s="1443" t="str">
        <f>+NOMINA!O22</f>
        <v>JEFE DE DEPARTAMENTO</v>
      </c>
      <c r="O35" s="1107">
        <f>ROUND(NOMINA!W22,2)</f>
        <v>181.5</v>
      </c>
      <c r="P35" s="1107">
        <f>NOMINA!AF22</f>
        <v>13.43</v>
      </c>
      <c r="Q35" s="1107">
        <f>NOMINA!AH22</f>
        <v>65</v>
      </c>
      <c r="R35" s="1107">
        <f>NOMINA!AC22</f>
        <v>12.5</v>
      </c>
      <c r="S35" s="1107">
        <f>NOMINA!AJ22</f>
        <v>53.24</v>
      </c>
      <c r="T35" s="1108">
        <f t="shared" si="8"/>
        <v>0</v>
      </c>
      <c r="U35" s="1107">
        <f>ROUND(NOMINA!BL22,2)</f>
        <v>29.48</v>
      </c>
      <c r="V35" s="1107">
        <f>ROUND(NOMINA!BM22,2)</f>
        <v>3.69</v>
      </c>
      <c r="W35" s="1107">
        <f>ROUND(+NOMINA!BN22,2)</f>
        <v>6.39</v>
      </c>
      <c r="X35" s="1108">
        <f t="shared" si="9"/>
        <v>0</v>
      </c>
      <c r="Y35" s="1107">
        <f>ROUND(NOMINA!BJ22,2)</f>
        <v>12.5</v>
      </c>
      <c r="Z35" s="1109">
        <f t="shared" si="5"/>
        <v>286.11</v>
      </c>
    </row>
    <row r="36" spans="1:26" s="620" customFormat="1" ht="20.100000000000001" customHeight="1" x14ac:dyDescent="0.2">
      <c r="A36" s="1117" t="s">
        <v>2846</v>
      </c>
      <c r="B36" s="508">
        <f t="shared" ca="1" si="6"/>
        <v>7</v>
      </c>
      <c r="C36" s="1102">
        <f>+NOMINA!C23</f>
        <v>13206767</v>
      </c>
      <c r="D36" s="1103" t="str">
        <f>+NOMINA!D23</f>
        <v>Bastidas Guerra Soralis del Valle</v>
      </c>
      <c r="E36" s="1468" t="s">
        <v>4622</v>
      </c>
      <c r="F36" s="1110">
        <v>27853</v>
      </c>
      <c r="G36" s="1468" t="s">
        <v>4620</v>
      </c>
      <c r="H36" s="1442">
        <f>+NOMINA!H23</f>
        <v>44713</v>
      </c>
      <c r="I36" s="1105">
        <f>+NOMINA!I23</f>
        <v>3</v>
      </c>
      <c r="J36" s="1106">
        <f>+NOMINA!J23</f>
        <v>0</v>
      </c>
      <c r="K36" s="1105">
        <f t="shared" si="7"/>
        <v>3</v>
      </c>
      <c r="L36" s="1106" t="s">
        <v>4932</v>
      </c>
      <c r="M36" s="1106"/>
      <c r="N36" s="1443" t="str">
        <f>+NOMINA!O23</f>
        <v>COORDINADOR DE PROGRAMA (SAPNNAET)</v>
      </c>
      <c r="O36" s="1107">
        <f>ROUND(NOMINA!W23,2)</f>
        <v>174</v>
      </c>
      <c r="P36" s="1107">
        <f>NOMINA!AF23</f>
        <v>5.22</v>
      </c>
      <c r="Q36" s="1107">
        <f>NOMINA!AH23</f>
        <v>65</v>
      </c>
      <c r="R36" s="1107">
        <f>NOMINA!AC23</f>
        <v>0</v>
      </c>
      <c r="S36" s="1107">
        <f>NOMINA!AJ23</f>
        <v>61.06</v>
      </c>
      <c r="T36" s="1108" t="e">
        <f t="shared" si="8"/>
        <v>#VALUE!</v>
      </c>
      <c r="U36" s="1107">
        <f>ROUND(NOMINA!BL23,2)</f>
        <v>28.18</v>
      </c>
      <c r="V36" s="1107">
        <f>ROUND(NOMINA!BM23,2)</f>
        <v>3.52</v>
      </c>
      <c r="W36" s="1107">
        <f>ROUND(+NOMINA!BN23,2)</f>
        <v>6.11</v>
      </c>
      <c r="X36" s="1108">
        <f>ROUND(SUM(U23:V23),2)</f>
        <v>0</v>
      </c>
      <c r="Y36" s="1107">
        <f>ROUND(NOMINA!BJ23,2)</f>
        <v>12.5</v>
      </c>
      <c r="Z36" s="1109">
        <f t="shared" si="5"/>
        <v>267.46999999999997</v>
      </c>
    </row>
    <row r="37" spans="1:26" s="620" customFormat="1" ht="20.100000000000001" customHeight="1" x14ac:dyDescent="0.2">
      <c r="A37" s="1117" t="s">
        <v>2846</v>
      </c>
      <c r="B37" s="508">
        <f t="shared" ca="1" si="6"/>
        <v>8</v>
      </c>
      <c r="C37" s="1102">
        <f>+NOMINA!C24</f>
        <v>13462933</v>
      </c>
      <c r="D37" s="1103" t="str">
        <f>+NOMINA!D24</f>
        <v>Frias Aldana Maria Yaritza</v>
      </c>
      <c r="E37" s="1468" t="s">
        <v>4622</v>
      </c>
      <c r="F37" s="1110">
        <v>27853</v>
      </c>
      <c r="G37" s="1468" t="s">
        <v>4620</v>
      </c>
      <c r="H37" s="1442">
        <f>+NOMINA!H24</f>
        <v>39454</v>
      </c>
      <c r="I37" s="1105">
        <f>+NOMINA!I24</f>
        <v>17</v>
      </c>
      <c r="J37" s="1106">
        <f>+NOMINA!J24</f>
        <v>6</v>
      </c>
      <c r="K37" s="1105">
        <f t="shared" si="7"/>
        <v>23</v>
      </c>
      <c r="L37" s="1106" t="s">
        <v>4932</v>
      </c>
      <c r="M37" s="1106"/>
      <c r="N37" s="1443" t="str">
        <f>+NOMINA!O24</f>
        <v>COORDINADOR DE PROGRAMA (SAPNNAET)</v>
      </c>
      <c r="O37" s="1107">
        <f>ROUND(NOMINA!W24,2)</f>
        <v>174</v>
      </c>
      <c r="P37" s="1107">
        <f>NOMINA!AF24</f>
        <v>52.2</v>
      </c>
      <c r="Q37" s="1107">
        <f>NOMINA!AH24</f>
        <v>65</v>
      </c>
      <c r="R37" s="1107">
        <f>NOMINA!AC24</f>
        <v>12.5</v>
      </c>
      <c r="S37" s="1107">
        <f>NOMINA!AJ24</f>
        <v>59.49</v>
      </c>
      <c r="T37" s="1108">
        <f t="shared" si="8"/>
        <v>0</v>
      </c>
      <c r="U37" s="1107">
        <f>ROUND(NOMINA!BL24,2)</f>
        <v>32.950000000000003</v>
      </c>
      <c r="V37" s="1107">
        <f>ROUND(NOMINA!BM24,2)</f>
        <v>4.12</v>
      </c>
      <c r="W37" s="1107">
        <f>ROUND(+NOMINA!BN24,2)</f>
        <v>7.14</v>
      </c>
      <c r="X37" s="1108">
        <f>ROUND(SUM(U24:V24),2)</f>
        <v>0</v>
      </c>
      <c r="Y37" s="1107">
        <f>ROUND(NOMINA!BJ24,2)</f>
        <v>12.5</v>
      </c>
      <c r="Z37" s="1109">
        <f t="shared" si="5"/>
        <v>318.98</v>
      </c>
    </row>
    <row r="38" spans="1:26" s="620" customFormat="1" ht="20.100000000000001" customHeight="1" x14ac:dyDescent="0.2">
      <c r="A38" s="1117" t="s">
        <v>2846</v>
      </c>
      <c r="B38" s="508">
        <f t="shared" ca="1" si="6"/>
        <v>9</v>
      </c>
      <c r="C38" s="1102">
        <f>+NOMINA!C25</f>
        <v>12542413</v>
      </c>
      <c r="D38" s="1103" t="str">
        <f>+NOMINA!D25</f>
        <v>Aponte Matheus Richard Alexander</v>
      </c>
      <c r="E38" s="1468" t="s">
        <v>4622</v>
      </c>
      <c r="F38" s="1110">
        <v>27853</v>
      </c>
      <c r="G38" s="1468" t="s">
        <v>4620</v>
      </c>
      <c r="H38" s="1442">
        <f>+NOMINA!H25</f>
        <v>36434</v>
      </c>
      <c r="I38" s="1105">
        <f>+NOMINA!I25</f>
        <v>25</v>
      </c>
      <c r="J38" s="1106">
        <f>+NOMINA!J25</f>
        <v>0</v>
      </c>
      <c r="K38" s="1105">
        <f t="shared" si="7"/>
        <v>25</v>
      </c>
      <c r="L38" s="1106" t="s">
        <v>4932</v>
      </c>
      <c r="M38" s="1106"/>
      <c r="N38" s="1443" t="str">
        <f>+NOMINA!O25</f>
        <v>COORDINADOR DE PROGRAMA (SAPNNAET)</v>
      </c>
      <c r="O38" s="1107">
        <f>ROUND(NOMINA!W25,2)</f>
        <v>174</v>
      </c>
      <c r="P38" s="1107">
        <f>NOMINA!AF25</f>
        <v>52.2</v>
      </c>
      <c r="Q38" s="1107">
        <f>NOMINA!AH25</f>
        <v>65</v>
      </c>
      <c r="R38" s="1107">
        <f>NOMINA!AC25</f>
        <v>0</v>
      </c>
      <c r="S38" s="1107">
        <f>NOMINA!AJ25</f>
        <v>0</v>
      </c>
      <c r="T38" s="1108" t="e">
        <f t="shared" si="8"/>
        <v>#VALUE!</v>
      </c>
      <c r="U38" s="1107">
        <f>ROUND(NOMINA!BL25,2)</f>
        <v>26.88</v>
      </c>
      <c r="V38" s="1107">
        <f>ROUND(NOMINA!BM25,2)</f>
        <v>3.36</v>
      </c>
      <c r="W38" s="1107">
        <f>ROUND(+NOMINA!BN25,2)</f>
        <v>5.82</v>
      </c>
      <c r="X38" s="1108">
        <f>ROUND(SUM(U25:V25),2)</f>
        <v>0</v>
      </c>
      <c r="Y38" s="1107">
        <f>ROUND(NOMINA!BJ25,2)</f>
        <v>12.5</v>
      </c>
      <c r="Z38" s="1109">
        <f t="shared" si="5"/>
        <v>255.14</v>
      </c>
    </row>
    <row r="39" spans="1:26" s="620" customFormat="1" ht="20.100000000000001" customHeight="1" x14ac:dyDescent="0.2">
      <c r="A39" s="1117" t="s">
        <v>2846</v>
      </c>
      <c r="B39" s="508">
        <f t="shared" ca="1" si="6"/>
        <v>10</v>
      </c>
      <c r="C39" s="1102">
        <f>+NOMINA!C26</f>
        <v>18457406</v>
      </c>
      <c r="D39" s="1103" t="str">
        <f>+NOMINA!D26</f>
        <v>Rivero Zambrano Herluis Jose</v>
      </c>
      <c r="E39" s="1468" t="s">
        <v>4622</v>
      </c>
      <c r="F39" s="1110">
        <v>27853</v>
      </c>
      <c r="G39" s="1468" t="s">
        <v>4620</v>
      </c>
      <c r="H39" s="1442">
        <f>+NOMINA!H26</f>
        <v>41548</v>
      </c>
      <c r="I39" s="1105">
        <f>+NOMINA!I26</f>
        <v>11</v>
      </c>
      <c r="J39" s="1106">
        <f>+NOMINA!J26</f>
        <v>0</v>
      </c>
      <c r="K39" s="1105">
        <f t="shared" si="7"/>
        <v>11</v>
      </c>
      <c r="L39" s="1106" t="s">
        <v>4932</v>
      </c>
      <c r="M39" s="1106"/>
      <c r="N39" s="1443" t="str">
        <f>+NOMINA!O26</f>
        <v>COORDINADOR DE PROGRAMA (SAPNNAET)</v>
      </c>
      <c r="O39" s="1107">
        <f>ROUND(NOMINA!W26,2)</f>
        <v>174</v>
      </c>
      <c r="P39" s="1107">
        <f>NOMINA!AF26</f>
        <v>21.58</v>
      </c>
      <c r="Q39" s="1107">
        <f>NOMINA!AH26</f>
        <v>65</v>
      </c>
      <c r="R39" s="1107">
        <f>NOMINA!AC26</f>
        <v>25</v>
      </c>
      <c r="S39" s="1107">
        <f>NOMINA!AJ26</f>
        <v>68.27</v>
      </c>
      <c r="T39" s="1108" t="e">
        <f t="shared" si="8"/>
        <v>#VALUE!</v>
      </c>
      <c r="U39" s="1107">
        <f>ROUND(NOMINA!BL26,2)</f>
        <v>31.51</v>
      </c>
      <c r="V39" s="1107">
        <f>ROUND(NOMINA!BM26,2)</f>
        <v>3.94</v>
      </c>
      <c r="W39" s="1107">
        <f>ROUND(+NOMINA!BN26,2)</f>
        <v>6.83</v>
      </c>
      <c r="X39" s="1108">
        <f>ROUND(SUM(U26:V26),2)</f>
        <v>0</v>
      </c>
      <c r="Y39" s="1107">
        <f>ROUND(NOMINA!BJ26,2)</f>
        <v>12.5</v>
      </c>
      <c r="Z39" s="1109">
        <f t="shared" si="5"/>
        <v>311.56999999999994</v>
      </c>
    </row>
    <row r="40" spans="1:26" s="620" customFormat="1" ht="20.100000000000001" customHeight="1" x14ac:dyDescent="0.2">
      <c r="A40" s="1117" t="s">
        <v>2846</v>
      </c>
      <c r="B40" s="508">
        <f t="shared" ca="1" si="6"/>
        <v>11</v>
      </c>
      <c r="C40" s="1102">
        <f>+NOMINA!C27</f>
        <v>11895772</v>
      </c>
      <c r="D40" s="1103" t="str">
        <f>+NOMINA!D27</f>
        <v>Rangel Rivas Ildemaro</v>
      </c>
      <c r="E40" s="1468" t="s">
        <v>4622</v>
      </c>
      <c r="F40" s="1110">
        <v>27853</v>
      </c>
      <c r="G40" s="1468" t="s">
        <v>4620</v>
      </c>
      <c r="H40" s="1442">
        <f>+NOMINA!H27</f>
        <v>44743</v>
      </c>
      <c r="I40" s="1105">
        <f>+NOMINA!I27</f>
        <v>3</v>
      </c>
      <c r="J40" s="1106">
        <f>+NOMINA!J27</f>
        <v>0</v>
      </c>
      <c r="K40" s="1105">
        <f t="shared" si="7"/>
        <v>3</v>
      </c>
      <c r="L40" s="1106" t="s">
        <v>4932</v>
      </c>
      <c r="M40" s="1106"/>
      <c r="N40" s="1443" t="str">
        <f>+NOMINA!O27</f>
        <v>COORDINADOR DE PROGRAMA (SAPNNAET)</v>
      </c>
      <c r="O40" s="1107">
        <f>ROUND(NOMINA!W27,2)</f>
        <v>174</v>
      </c>
      <c r="P40" s="1107">
        <f>NOMINA!AF27</f>
        <v>5.22</v>
      </c>
      <c r="Q40" s="1107">
        <f>NOMINA!AH27</f>
        <v>65</v>
      </c>
      <c r="R40" s="1107">
        <f>NOMINA!AC27</f>
        <v>12.5</v>
      </c>
      <c r="S40" s="1107">
        <f>NOMINA!AJ27</f>
        <v>50.1</v>
      </c>
      <c r="T40" s="1108" t="e">
        <f t="shared" si="8"/>
        <v>#VALUE!</v>
      </c>
      <c r="U40" s="1107">
        <f>ROUND(NOMINA!BL27,2)</f>
        <v>27.74</v>
      </c>
      <c r="V40" s="1107">
        <f>ROUND(NOMINA!BM27,2)</f>
        <v>3.47</v>
      </c>
      <c r="W40" s="1107">
        <f>ROUND(+NOMINA!BN27,2)</f>
        <v>6.01</v>
      </c>
      <c r="X40" s="1108">
        <f>ROUND(SUM(U27:V27),2)</f>
        <v>0</v>
      </c>
      <c r="Y40" s="1107">
        <f>ROUND(NOMINA!BJ27,2)</f>
        <v>12.5</v>
      </c>
      <c r="Z40" s="1109">
        <f t="shared" si="5"/>
        <v>269.60000000000002</v>
      </c>
    </row>
    <row r="41" spans="1:26" s="620" customFormat="1" ht="20.100000000000001" customHeight="1" x14ac:dyDescent="0.2">
      <c r="A41" s="1117" t="s">
        <v>2846</v>
      </c>
      <c r="B41" s="508">
        <f t="shared" ca="1" si="6"/>
        <v>12</v>
      </c>
      <c r="C41" s="1102">
        <f>+NOMINA!C28</f>
        <v>9495661</v>
      </c>
      <c r="D41" s="1103" t="str">
        <f>+NOMINA!D28</f>
        <v>Aguial Carrillo Gregoria Coromoto</v>
      </c>
      <c r="E41" s="1468" t="s">
        <v>4622</v>
      </c>
      <c r="F41" s="1110">
        <v>27853</v>
      </c>
      <c r="G41" s="1468" t="s">
        <v>4620</v>
      </c>
      <c r="H41" s="1442">
        <f>+NOMINA!H28</f>
        <v>39692</v>
      </c>
      <c r="I41" s="1105">
        <f>+NOMINA!I28</f>
        <v>17</v>
      </c>
      <c r="J41" s="1106">
        <f>+NOMINA!J28</f>
        <v>0</v>
      </c>
      <c r="K41" s="1105">
        <f t="shared" si="7"/>
        <v>17</v>
      </c>
      <c r="L41" s="1106" t="s">
        <v>4932</v>
      </c>
      <c r="M41" s="1106"/>
      <c r="N41" s="1443" t="str">
        <f>+NOMINA!O28</f>
        <v>COORDINADOR DE PROGRAMA (SAPNNAET)</v>
      </c>
      <c r="O41" s="1107">
        <f>ROUND(NOMINA!W28,2)</f>
        <v>174</v>
      </c>
      <c r="P41" s="1107">
        <f>NOMINA!AF28</f>
        <v>36.89</v>
      </c>
      <c r="Q41" s="1107">
        <f>NOMINA!AH28</f>
        <v>65</v>
      </c>
      <c r="R41" s="1107">
        <f>NOMINA!AC28</f>
        <v>0</v>
      </c>
      <c r="S41" s="1107">
        <f>NOMINA!AJ28</f>
        <v>0</v>
      </c>
      <c r="T41" s="1108">
        <f t="shared" si="8"/>
        <v>0</v>
      </c>
      <c r="U41" s="1107">
        <f>ROUND(NOMINA!BL28,2)</f>
        <v>25.47</v>
      </c>
      <c r="V41" s="1107">
        <f>ROUND(NOMINA!BM28,2)</f>
        <v>3.18</v>
      </c>
      <c r="W41" s="1107">
        <f>ROUND(+NOMINA!BN28,2)</f>
        <v>5.52</v>
      </c>
      <c r="X41" s="1108">
        <f t="shared" si="9"/>
        <v>0</v>
      </c>
      <c r="Y41" s="1107">
        <f>ROUND(NOMINA!BJ28,2)</f>
        <v>12.5</v>
      </c>
      <c r="Z41" s="1109">
        <f t="shared" si="5"/>
        <v>241.71999999999997</v>
      </c>
    </row>
    <row r="42" spans="1:26" s="620" customFormat="1" ht="20.100000000000001" customHeight="1" x14ac:dyDescent="0.2">
      <c r="A42" s="1117" t="s">
        <v>2846</v>
      </c>
      <c r="B42" s="508">
        <f t="shared" ca="1" si="6"/>
        <v>13</v>
      </c>
      <c r="C42" s="1102">
        <f>+NOMINA!C29</f>
        <v>5348397</v>
      </c>
      <c r="D42" s="1103" t="str">
        <f>+NOMINA!D29</f>
        <v>Araujo Manzanilla Carlos Antonio</v>
      </c>
      <c r="E42" s="1468" t="s">
        <v>4622</v>
      </c>
      <c r="F42" s="1110">
        <v>27853</v>
      </c>
      <c r="G42" s="1468" t="s">
        <v>4620</v>
      </c>
      <c r="H42" s="1442">
        <f>+NOMINA!H29</f>
        <v>43359</v>
      </c>
      <c r="I42" s="1105">
        <f>+NOMINA!I29</f>
        <v>7</v>
      </c>
      <c r="J42" s="1106">
        <f>+NOMINA!J29</f>
        <v>0</v>
      </c>
      <c r="K42" s="1105">
        <f t="shared" si="7"/>
        <v>7</v>
      </c>
      <c r="L42" s="1106" t="s">
        <v>4932</v>
      </c>
      <c r="M42" s="1106"/>
      <c r="N42" s="1443" t="str">
        <f>+NOMINA!O29</f>
        <v>COORDINADOR DE PROGRAMA (SAPNNAET)</v>
      </c>
      <c r="O42" s="1107">
        <f>ROUND(NOMINA!W29,2)</f>
        <v>174</v>
      </c>
      <c r="P42" s="1107">
        <f>NOMINA!AF29</f>
        <v>12.88</v>
      </c>
      <c r="Q42" s="1107">
        <f>NOMINA!AH29</f>
        <v>65</v>
      </c>
      <c r="R42" s="1107">
        <f>NOMINA!AC29</f>
        <v>12.5</v>
      </c>
      <c r="S42" s="1107">
        <f>NOMINA!AJ29</f>
        <v>90.35</v>
      </c>
      <c r="T42" s="1108">
        <f t="shared" si="8"/>
        <v>0</v>
      </c>
      <c r="U42" s="1107">
        <f>ROUND(NOMINA!BL29,2)</f>
        <v>32.17</v>
      </c>
      <c r="V42" s="1107">
        <f>ROUND(NOMINA!BM29,2)</f>
        <v>4.0199999999999996</v>
      </c>
      <c r="W42" s="1107">
        <f>ROUND(+NOMINA!BN29,2)</f>
        <v>6.97</v>
      </c>
      <c r="X42" s="1108">
        <f t="shared" si="9"/>
        <v>0</v>
      </c>
      <c r="Y42" s="1107">
        <f>ROUND(NOMINA!BJ29,2)</f>
        <v>12.5</v>
      </c>
      <c r="Z42" s="1109">
        <f t="shared" si="5"/>
        <v>311.57000000000005</v>
      </c>
    </row>
    <row r="43" spans="1:26" s="620" customFormat="1" ht="20.100000000000001" customHeight="1" x14ac:dyDescent="0.2">
      <c r="A43" s="1117" t="s">
        <v>2846</v>
      </c>
      <c r="B43" s="508">
        <f t="shared" ca="1" si="6"/>
        <v>14</v>
      </c>
      <c r="C43" s="1102">
        <f>+NOMINA!C30</f>
        <v>9314132</v>
      </c>
      <c r="D43" s="1103" t="str">
        <f>+NOMINA!D30</f>
        <v>Viloria Montilla Gerardo</v>
      </c>
      <c r="E43" s="1468" t="s">
        <v>4622</v>
      </c>
      <c r="F43" s="1110">
        <v>27853</v>
      </c>
      <c r="G43" s="1468" t="s">
        <v>4620</v>
      </c>
      <c r="H43" s="1442">
        <f>+NOMINA!H30</f>
        <v>44348</v>
      </c>
      <c r="I43" s="1105">
        <f>+NOMINA!I30</f>
        <v>4</v>
      </c>
      <c r="J43" s="1106">
        <f>+NOMINA!J30</f>
        <v>0</v>
      </c>
      <c r="K43" s="1105">
        <f t="shared" si="7"/>
        <v>4</v>
      </c>
      <c r="L43" s="1106" t="s">
        <v>4932</v>
      </c>
      <c r="M43" s="1106"/>
      <c r="N43" s="1443" t="str">
        <f>+NOMINA!O30</f>
        <v>COORDINADOR DE PROGRAMA (SAPNNAET)</v>
      </c>
      <c r="O43" s="1107">
        <f>ROUND(NOMINA!W30,2)</f>
        <v>174</v>
      </c>
      <c r="P43" s="1107">
        <f>NOMINA!AF30</f>
        <v>6.96</v>
      </c>
      <c r="Q43" s="1107">
        <f>NOMINA!AH30</f>
        <v>65</v>
      </c>
      <c r="R43" s="1107">
        <f>NOMINA!AC30</f>
        <v>0</v>
      </c>
      <c r="S43" s="1107">
        <f>NOMINA!AJ30</f>
        <v>86.09</v>
      </c>
      <c r="T43" s="1108">
        <f t="shared" si="8"/>
        <v>194.69</v>
      </c>
      <c r="U43" s="1107">
        <f>ROUND(NOMINA!BL30,2)</f>
        <v>30.65</v>
      </c>
      <c r="V43" s="1107">
        <f>ROUND(NOMINA!BM30,2)</f>
        <v>3.83</v>
      </c>
      <c r="W43" s="1107">
        <f>ROUND(+NOMINA!BN30,2)</f>
        <v>6.64</v>
      </c>
      <c r="X43" s="1108">
        <f t="shared" si="9"/>
        <v>46.59</v>
      </c>
      <c r="Y43" s="1107">
        <f>ROUND(NOMINA!BJ30,2)</f>
        <v>12.5</v>
      </c>
      <c r="Z43" s="1109">
        <f t="shared" si="5"/>
        <v>290.93</v>
      </c>
    </row>
    <row r="44" spans="1:26" s="620" customFormat="1" ht="20.100000000000001" customHeight="1" x14ac:dyDescent="0.2">
      <c r="A44" s="1117" t="s">
        <v>2846</v>
      </c>
      <c r="B44" s="508">
        <f t="shared" ca="1" si="6"/>
        <v>15</v>
      </c>
      <c r="C44" s="1102">
        <f>+NOMINA!C31</f>
        <v>11320533</v>
      </c>
      <c r="D44" s="1103" t="str">
        <f>+NOMINA!D31</f>
        <v>Suarez Chiquin Yaritza Josefina</v>
      </c>
      <c r="E44" s="1468" t="s">
        <v>4622</v>
      </c>
      <c r="F44" s="1110">
        <v>27853</v>
      </c>
      <c r="G44" s="1468" t="s">
        <v>4620</v>
      </c>
      <c r="H44" s="1442">
        <f>+NOMINA!H31</f>
        <v>37629</v>
      </c>
      <c r="I44" s="1105">
        <f>+NOMINA!I31</f>
        <v>22</v>
      </c>
      <c r="J44" s="1106">
        <f>+NOMINA!J31</f>
        <v>0</v>
      </c>
      <c r="K44" s="1105">
        <f t="shared" si="7"/>
        <v>22</v>
      </c>
      <c r="L44" s="1106" t="s">
        <v>4932</v>
      </c>
      <c r="M44" s="1106"/>
      <c r="N44" s="1443" t="str">
        <f>+NOMINA!O31</f>
        <v>COORDINADOR DE PROGRAMA (SAPNNAET)</v>
      </c>
      <c r="O44" s="1107">
        <f>ROUND(NOMINA!W31,2)</f>
        <v>174</v>
      </c>
      <c r="P44" s="1107">
        <f>NOMINA!AF31</f>
        <v>51.51</v>
      </c>
      <c r="Q44" s="1107">
        <f>NOMINA!AH31</f>
        <v>65</v>
      </c>
      <c r="R44" s="1107">
        <f>NOMINA!AC31</f>
        <v>12.5</v>
      </c>
      <c r="S44" s="1107">
        <f>NOMINA!AJ31</f>
        <v>74.19</v>
      </c>
      <c r="T44" s="1108">
        <f t="shared" si="8"/>
        <v>209.74</v>
      </c>
      <c r="U44" s="1107">
        <f>ROUND(NOMINA!BL31,2)</f>
        <v>34.24</v>
      </c>
      <c r="V44" s="1107">
        <f>ROUND(NOMINA!BM31,2)</f>
        <v>4.28</v>
      </c>
      <c r="W44" s="1107">
        <f>ROUND(+NOMINA!BN31,2)</f>
        <v>7.42</v>
      </c>
      <c r="X44" s="1108">
        <f t="shared" si="9"/>
        <v>48.44</v>
      </c>
      <c r="Y44" s="1107">
        <f>ROUND(NOMINA!BJ31,2)</f>
        <v>12.5</v>
      </c>
      <c r="Z44" s="1109">
        <f t="shared" si="5"/>
        <v>331.26</v>
      </c>
    </row>
    <row r="45" spans="1:26" s="620" customFormat="1" ht="20.100000000000001" customHeight="1" x14ac:dyDescent="0.2">
      <c r="A45" s="1117" t="s">
        <v>2846</v>
      </c>
      <c r="B45" s="508">
        <f t="shared" ca="1" si="6"/>
        <v>16</v>
      </c>
      <c r="C45" s="1102">
        <f>+NOMINA!C32</f>
        <v>10912595</v>
      </c>
      <c r="D45" s="1103" t="str">
        <f>+NOMINA!D32</f>
        <v>Delfin Bustos Jose Hercilio</v>
      </c>
      <c r="E45" s="1468" t="s">
        <v>4622</v>
      </c>
      <c r="F45" s="1110">
        <v>27853</v>
      </c>
      <c r="G45" s="1468" t="s">
        <v>4620</v>
      </c>
      <c r="H45" s="1442">
        <f>+NOMINA!H32</f>
        <v>36039</v>
      </c>
      <c r="I45" s="1105">
        <f>+NOMINA!I32</f>
        <v>27</v>
      </c>
      <c r="J45" s="1106">
        <f>+NOMINA!J32</f>
        <v>0</v>
      </c>
      <c r="K45" s="1105">
        <f t="shared" si="7"/>
        <v>27</v>
      </c>
      <c r="L45" s="1106" t="s">
        <v>4932</v>
      </c>
      <c r="M45" s="1106"/>
      <c r="N45" s="1443" t="str">
        <f>+NOMINA!O32</f>
        <v>COORDINADOR DE PROGRAMA (SAPNNAET)</v>
      </c>
      <c r="O45" s="1107">
        <f>ROUND(NOMINA!W32,2)</f>
        <v>174</v>
      </c>
      <c r="P45" s="1107">
        <f>NOMINA!AF32</f>
        <v>52.2</v>
      </c>
      <c r="Q45" s="1107">
        <f>NOMINA!AH32</f>
        <v>65</v>
      </c>
      <c r="R45" s="1107">
        <f>NOMINA!AC32</f>
        <v>0</v>
      </c>
      <c r="S45" s="1107">
        <f>NOMINA!AJ32</f>
        <v>0</v>
      </c>
      <c r="T45" s="1108">
        <f t="shared" si="8"/>
        <v>185.62</v>
      </c>
      <c r="U45" s="1107">
        <f>ROUND(NOMINA!BL32,2)</f>
        <v>26.88</v>
      </c>
      <c r="V45" s="1107">
        <f>ROUND(NOMINA!BM32,2)</f>
        <v>3.36</v>
      </c>
      <c r="W45" s="1107">
        <f>ROUND(+NOMINA!BN32,2)</f>
        <v>5.82</v>
      </c>
      <c r="X45" s="1108">
        <f t="shared" si="9"/>
        <v>45.47</v>
      </c>
      <c r="Y45" s="1107">
        <f>ROUND(NOMINA!BJ32,2)</f>
        <v>12.5</v>
      </c>
      <c r="Z45" s="1109">
        <f t="shared" si="5"/>
        <v>255.14</v>
      </c>
    </row>
    <row r="46" spans="1:26" s="620" customFormat="1" ht="20.100000000000001" customHeight="1" x14ac:dyDescent="0.2">
      <c r="A46" s="1117" t="s">
        <v>2846</v>
      </c>
      <c r="B46" s="508">
        <f t="shared" ca="1" si="6"/>
        <v>17</v>
      </c>
      <c r="C46" s="1102">
        <f>+NOMINA!C33</f>
        <v>4306476</v>
      </c>
      <c r="D46" s="1103" t="str">
        <f>+NOMINA!D33</f>
        <v>Triviño de Bastidas Dioni de la Coromoto</v>
      </c>
      <c r="E46" s="1468" t="s">
        <v>4622</v>
      </c>
      <c r="F46" s="1110">
        <v>27853</v>
      </c>
      <c r="G46" s="1468" t="s">
        <v>4620</v>
      </c>
      <c r="H46" s="1442">
        <f>+NOMINA!H33</f>
        <v>44409</v>
      </c>
      <c r="I46" s="1105">
        <f>+NOMINA!I33</f>
        <v>4</v>
      </c>
      <c r="J46" s="1106">
        <f>+NOMINA!J33</f>
        <v>25</v>
      </c>
      <c r="K46" s="1105">
        <f t="shared" si="7"/>
        <v>29</v>
      </c>
      <c r="L46" s="1106" t="s">
        <v>4932</v>
      </c>
      <c r="M46" s="1106"/>
      <c r="N46" s="1443" t="str">
        <f>+NOMINA!O33</f>
        <v>COORDINADOR DE PROGRAMA (SAPNNAET)</v>
      </c>
      <c r="O46" s="1107">
        <f>ROUND(NOMINA!W33,2)</f>
        <v>174</v>
      </c>
      <c r="P46" s="1107">
        <f>NOMINA!AF33</f>
        <v>52.2</v>
      </c>
      <c r="Q46" s="1107">
        <f>NOMINA!AH33</f>
        <v>65</v>
      </c>
      <c r="R46" s="1107">
        <f>NOMINA!AC33</f>
        <v>0</v>
      </c>
      <c r="S46" s="1107">
        <f>NOMINA!AJ33</f>
        <v>101.92</v>
      </c>
      <c r="T46" s="1108">
        <f t="shared" si="8"/>
        <v>207.85</v>
      </c>
      <c r="U46" s="1107">
        <f>ROUND(NOMINA!BL33,2)</f>
        <v>36.29</v>
      </c>
      <c r="V46" s="1107">
        <f>ROUND(NOMINA!BM33,2)</f>
        <v>4.54</v>
      </c>
      <c r="W46" s="1107">
        <f>ROUND(+NOMINA!BN33,2)</f>
        <v>7.86</v>
      </c>
      <c r="X46" s="1108">
        <f t="shared" si="9"/>
        <v>47.44</v>
      </c>
      <c r="Y46" s="1107">
        <f>ROUND(NOMINA!BJ33,2)</f>
        <v>12.5</v>
      </c>
      <c r="Z46" s="1109">
        <f t="shared" si="5"/>
        <v>344.43</v>
      </c>
    </row>
    <row r="47" spans="1:26" s="620" customFormat="1" ht="20.100000000000001" customHeight="1" x14ac:dyDescent="0.2">
      <c r="A47" s="1117" t="s">
        <v>2846</v>
      </c>
      <c r="B47" s="508">
        <f t="shared" ca="1" si="6"/>
        <v>18</v>
      </c>
      <c r="C47" s="1102">
        <f>+NOMINA!C34</f>
        <v>13568733</v>
      </c>
      <c r="D47" s="1103" t="str">
        <f>+NOMINA!D34</f>
        <v>Campos de Velazquez Nilda Carolina</v>
      </c>
      <c r="E47" s="1468" t="s">
        <v>4622</v>
      </c>
      <c r="F47" s="1110">
        <v>27853</v>
      </c>
      <c r="G47" s="1468" t="s">
        <v>4620</v>
      </c>
      <c r="H47" s="1442">
        <f>+NOMINA!H34</f>
        <v>44805</v>
      </c>
      <c r="I47" s="1105">
        <f>+NOMINA!I34</f>
        <v>3</v>
      </c>
      <c r="J47" s="1106">
        <f>+NOMINA!J34</f>
        <v>0</v>
      </c>
      <c r="K47" s="1105">
        <f t="shared" si="7"/>
        <v>3</v>
      </c>
      <c r="L47" s="1106" t="s">
        <v>4932</v>
      </c>
      <c r="M47" s="1106"/>
      <c r="N47" s="1443" t="str">
        <f>+NOMINA!O34</f>
        <v>COORDINADOR DE PROGRAMA (SAPNNAET)</v>
      </c>
      <c r="O47" s="1107">
        <f>ROUND(NOMINA!W34,2)</f>
        <v>174</v>
      </c>
      <c r="P47" s="1107">
        <f>NOMINA!AF34</f>
        <v>5.22</v>
      </c>
      <c r="Q47" s="1107">
        <f>NOMINA!AH34</f>
        <v>65</v>
      </c>
      <c r="R47" s="1107">
        <f>NOMINA!AC34</f>
        <v>12.5</v>
      </c>
      <c r="S47" s="1107">
        <f>NOMINA!AJ34</f>
        <v>62.62</v>
      </c>
      <c r="T47" s="1108">
        <f t="shared" si="8"/>
        <v>118.72999999999999</v>
      </c>
      <c r="U47" s="1107">
        <f>ROUND(NOMINA!BL34,2)</f>
        <v>28.9</v>
      </c>
      <c r="V47" s="1107">
        <f>ROUND(NOMINA!BM34,2)</f>
        <v>3.61</v>
      </c>
      <c r="W47" s="1107">
        <f>ROUND(+NOMINA!BN34,2)</f>
        <v>6.26</v>
      </c>
      <c r="X47" s="1108">
        <f t="shared" si="9"/>
        <v>37.17</v>
      </c>
      <c r="Y47" s="1107">
        <f>ROUND(NOMINA!BJ34,2)</f>
        <v>12.5</v>
      </c>
      <c r="Z47" s="1109">
        <f t="shared" si="5"/>
        <v>280.57000000000005</v>
      </c>
    </row>
    <row r="48" spans="1:26" s="620" customFormat="1" ht="20.100000000000001" customHeight="1" x14ac:dyDescent="0.2">
      <c r="A48" s="1117" t="s">
        <v>2846</v>
      </c>
      <c r="B48" s="508">
        <f t="shared" ca="1" si="6"/>
        <v>19</v>
      </c>
      <c r="C48" s="1102">
        <f>+NOMINA!C35</f>
        <v>20790947</v>
      </c>
      <c r="D48" s="1103" t="str">
        <f>+NOMINA!D35</f>
        <v>Urbina Cuellar Tannessy Lenery</v>
      </c>
      <c r="E48" s="1468" t="s">
        <v>4622</v>
      </c>
      <c r="F48" s="1110">
        <v>27853</v>
      </c>
      <c r="G48" s="1468" t="s">
        <v>4620</v>
      </c>
      <c r="H48" s="1442">
        <f>+NOMINA!H35</f>
        <v>43967</v>
      </c>
      <c r="I48" s="1105">
        <f>+NOMINA!I35</f>
        <v>5</v>
      </c>
      <c r="J48" s="1106">
        <f>+NOMINA!J35</f>
        <v>0</v>
      </c>
      <c r="K48" s="1105">
        <f t="shared" si="7"/>
        <v>5</v>
      </c>
      <c r="L48" s="1106" t="s">
        <v>4932</v>
      </c>
      <c r="M48" s="1106"/>
      <c r="N48" s="1443" t="str">
        <f>+NOMINA!O35</f>
        <v>COORDINADOR DE PROGRAMA (SAPNNAET)</v>
      </c>
      <c r="O48" s="1107">
        <f>ROUND(NOMINA!W35,2)</f>
        <v>174</v>
      </c>
      <c r="P48" s="1107">
        <f>NOMINA!AF35</f>
        <v>8.6999999999999993</v>
      </c>
      <c r="Q48" s="1107">
        <f>NOMINA!AH35</f>
        <v>65</v>
      </c>
      <c r="R48" s="1107">
        <f>NOMINA!AC35</f>
        <v>12.5</v>
      </c>
      <c r="S48" s="1107">
        <f>NOMINA!AJ35</f>
        <v>63.49</v>
      </c>
      <c r="T48" s="1108">
        <f t="shared" si="8"/>
        <v>144.17000000000002</v>
      </c>
      <c r="U48" s="1107">
        <f>ROUND(NOMINA!BL35,2)</f>
        <v>29.3</v>
      </c>
      <c r="V48" s="1107">
        <f>ROUND(NOMINA!BM35,2)</f>
        <v>3.66</v>
      </c>
      <c r="W48" s="1107">
        <f>ROUND(+NOMINA!BN35,2)</f>
        <v>6.35</v>
      </c>
      <c r="X48" s="1108">
        <f t="shared" si="9"/>
        <v>39.56</v>
      </c>
      <c r="Y48" s="1107">
        <f>ROUND(NOMINA!BJ35,2)</f>
        <v>12.5</v>
      </c>
      <c r="Z48" s="1109">
        <f t="shared" si="5"/>
        <v>284.38</v>
      </c>
    </row>
    <row r="49" spans="1:27" s="620" customFormat="1" ht="20.100000000000001" customHeight="1" x14ac:dyDescent="0.2">
      <c r="A49" s="1117" t="s">
        <v>2846</v>
      </c>
      <c r="B49" s="508">
        <f t="shared" ca="1" si="6"/>
        <v>20</v>
      </c>
      <c r="C49" s="1102">
        <f>+NOMINA!C36</f>
        <v>15752183</v>
      </c>
      <c r="D49" s="1103" t="str">
        <f>+NOMINA!D36</f>
        <v>Delduca Adriana del Valle</v>
      </c>
      <c r="E49" s="1468" t="s">
        <v>4622</v>
      </c>
      <c r="F49" s="1110">
        <v>27853</v>
      </c>
      <c r="G49" s="1468" t="s">
        <v>4620</v>
      </c>
      <c r="H49" s="1442">
        <f>+NOMINA!H36</f>
        <v>38930</v>
      </c>
      <c r="I49" s="1105">
        <f>+NOMINA!I36</f>
        <v>19</v>
      </c>
      <c r="J49" s="1106">
        <f>+NOMINA!J36</f>
        <v>0</v>
      </c>
      <c r="K49" s="1105">
        <f t="shared" si="7"/>
        <v>19</v>
      </c>
      <c r="L49" s="1106" t="s">
        <v>4932</v>
      </c>
      <c r="M49" s="1106"/>
      <c r="N49" s="1443" t="str">
        <f>+NOMINA!O36</f>
        <v>COORDINADOR DE PROGRAMA (SAPNNAET)</v>
      </c>
      <c r="O49" s="1107">
        <f>ROUND(NOMINA!W36,2)</f>
        <v>174</v>
      </c>
      <c r="P49" s="1107">
        <f>NOMINA!AF36</f>
        <v>42.46</v>
      </c>
      <c r="Q49" s="1107">
        <f>NOMINA!AH36</f>
        <v>65</v>
      </c>
      <c r="R49" s="1107">
        <f>NOMINA!AC36</f>
        <v>25</v>
      </c>
      <c r="S49" s="1107">
        <f>NOMINA!AJ36</f>
        <v>0</v>
      </c>
      <c r="T49" s="1108">
        <f t="shared" si="8"/>
        <v>131.28</v>
      </c>
      <c r="U49" s="1107">
        <f>ROUND(NOMINA!BL36,2)</f>
        <v>27.13</v>
      </c>
      <c r="V49" s="1107">
        <f>ROUND(NOMINA!BM36,2)</f>
        <v>3.39</v>
      </c>
      <c r="W49" s="1107">
        <f>ROUND(+NOMINA!BN36,2)</f>
        <v>5.88</v>
      </c>
      <c r="X49" s="1108">
        <f t="shared" si="9"/>
        <v>37.81</v>
      </c>
      <c r="Y49" s="1107">
        <f>ROUND(NOMINA!BJ36,2)</f>
        <v>12.5</v>
      </c>
      <c r="Z49" s="1109">
        <f t="shared" si="5"/>
        <v>270.06000000000006</v>
      </c>
    </row>
    <row r="50" spans="1:27" s="620" customFormat="1" ht="20.100000000000001" customHeight="1" x14ac:dyDescent="0.2">
      <c r="A50" s="1117" t="s">
        <v>2846</v>
      </c>
      <c r="B50" s="508">
        <f t="shared" ca="1" si="6"/>
        <v>21</v>
      </c>
      <c r="C50" s="1102">
        <f>+NOMINA!C37</f>
        <v>16739081</v>
      </c>
      <c r="D50" s="1103" t="str">
        <f>+NOMINA!D37</f>
        <v>Albarran Araujo Yely Coromoto</v>
      </c>
      <c r="E50" s="1468" t="s">
        <v>4622</v>
      </c>
      <c r="F50" s="1110">
        <v>27853</v>
      </c>
      <c r="G50" s="1468" t="s">
        <v>4620</v>
      </c>
      <c r="H50" s="1442">
        <f>+NOMINA!H37</f>
        <v>42948</v>
      </c>
      <c r="I50" s="1105">
        <f>+NOMINA!I37</f>
        <v>8</v>
      </c>
      <c r="J50" s="1106">
        <f>+NOMINA!J37</f>
        <v>0</v>
      </c>
      <c r="K50" s="1105">
        <f t="shared" si="7"/>
        <v>8</v>
      </c>
      <c r="L50" s="1106" t="s">
        <v>4932</v>
      </c>
      <c r="M50" s="1106"/>
      <c r="N50" s="1443" t="str">
        <f>+NOMINA!O37</f>
        <v>COORDINADOR DE PROGRAMA (SAPNNAET)</v>
      </c>
      <c r="O50" s="1107">
        <f>ROUND(NOMINA!W37,2)</f>
        <v>174</v>
      </c>
      <c r="P50" s="1107">
        <f>NOMINA!AF37</f>
        <v>14.97</v>
      </c>
      <c r="Q50" s="1107">
        <f>NOMINA!AH37</f>
        <v>65</v>
      </c>
      <c r="R50" s="1107">
        <f>NOMINA!AC37</f>
        <v>25</v>
      </c>
      <c r="S50" s="1107">
        <f>NOMINA!AJ37</f>
        <v>53.3</v>
      </c>
      <c r="T50" s="1108">
        <f t="shared" si="8"/>
        <v>189.19</v>
      </c>
      <c r="U50" s="1107">
        <f>ROUND(NOMINA!BL37,2)</f>
        <v>29.52</v>
      </c>
      <c r="V50" s="1107">
        <f>ROUND(NOMINA!BM37,2)</f>
        <v>3.69</v>
      </c>
      <c r="W50" s="1107">
        <f>ROUND(+NOMINA!BN37,2)</f>
        <v>6.4</v>
      </c>
      <c r="X50" s="1108">
        <f t="shared" si="9"/>
        <v>44.21</v>
      </c>
      <c r="Y50" s="1107">
        <f>ROUND(NOMINA!BJ37,2)</f>
        <v>12.5</v>
      </c>
      <c r="Z50" s="1109">
        <f t="shared" si="5"/>
        <v>292.66000000000003</v>
      </c>
    </row>
    <row r="51" spans="1:27" s="620" customFormat="1" ht="20.100000000000001" customHeight="1" x14ac:dyDescent="0.2">
      <c r="A51" s="1117" t="s">
        <v>2846</v>
      </c>
      <c r="B51" s="508">
        <f t="shared" ca="1" si="6"/>
        <v>22</v>
      </c>
      <c r="C51" s="1102">
        <f>+NOMINA!C38</f>
        <v>18349553</v>
      </c>
      <c r="D51" s="1103" t="str">
        <f>+NOMINA!D38</f>
        <v>Quiroga Valdes Nayla Carolina</v>
      </c>
      <c r="E51" s="1468" t="s">
        <v>4622</v>
      </c>
      <c r="F51" s="1110">
        <v>27853</v>
      </c>
      <c r="G51" s="1468" t="s">
        <v>4620</v>
      </c>
      <c r="H51" s="1442">
        <f>+NOMINA!H38</f>
        <v>45566</v>
      </c>
      <c r="I51" s="1105">
        <f>+NOMINA!I38</f>
        <v>0</v>
      </c>
      <c r="J51" s="1106">
        <f>+NOMINA!J38</f>
        <v>0</v>
      </c>
      <c r="K51" s="1105">
        <f t="shared" si="7"/>
        <v>0</v>
      </c>
      <c r="L51" s="1106" t="s">
        <v>4932</v>
      </c>
      <c r="M51" s="1106"/>
      <c r="N51" s="1443" t="str">
        <f>+NOMINA!O38</f>
        <v>COORDINADOR DE PROGRAMA (SAPNNAET)</v>
      </c>
      <c r="O51" s="1107">
        <f>ROUND(NOMINA!W38,2)</f>
        <v>174</v>
      </c>
      <c r="P51" s="1107">
        <f>NOMINA!AF38</f>
        <v>0</v>
      </c>
      <c r="Q51" s="1107">
        <f>NOMINA!AH38</f>
        <v>65</v>
      </c>
      <c r="R51" s="1107">
        <f>NOMINA!AC38</f>
        <v>0</v>
      </c>
      <c r="S51" s="1107">
        <f>NOMINA!AJ38</f>
        <v>59.75</v>
      </c>
      <c r="T51" s="1108">
        <f t="shared" si="8"/>
        <v>117.2</v>
      </c>
      <c r="U51" s="1107">
        <f>ROUND(NOMINA!BL38,2)</f>
        <v>27.58</v>
      </c>
      <c r="V51" s="1107">
        <f>ROUND(NOMINA!BM38,2)</f>
        <v>3.45</v>
      </c>
      <c r="W51" s="1107">
        <f>ROUND(+NOMINA!BN38,2)</f>
        <v>5.98</v>
      </c>
      <c r="X51" s="1108">
        <f t="shared" si="9"/>
        <v>36.06</v>
      </c>
      <c r="Y51" s="1107">
        <f>ROUND(NOMINA!BJ38,2)</f>
        <v>12.5</v>
      </c>
      <c r="Z51" s="1109">
        <f t="shared" si="5"/>
        <v>261.74</v>
      </c>
    </row>
    <row r="52" spans="1:27" s="620" customFormat="1" ht="20.100000000000001" customHeight="1" x14ac:dyDescent="0.2">
      <c r="A52" s="1117"/>
      <c r="B52" s="508">
        <f t="shared" ca="1" si="6"/>
        <v>23</v>
      </c>
      <c r="C52" s="1102">
        <f>+NOMINA!C39</f>
        <v>16066524</v>
      </c>
      <c r="D52" s="1103" t="str">
        <f>+NOMINA!D39</f>
        <v>Carmona Peñaloza Yaneth Coromoto</v>
      </c>
      <c r="E52" s="1468" t="s">
        <v>4622</v>
      </c>
      <c r="F52" s="1110">
        <v>27853</v>
      </c>
      <c r="G52" s="1468" t="s">
        <v>4620</v>
      </c>
      <c r="H52" s="1442">
        <f>+NOMINA!H39</f>
        <v>41456</v>
      </c>
      <c r="I52" s="1105">
        <f>+NOMINA!I39</f>
        <v>12</v>
      </c>
      <c r="J52" s="1106">
        <f>+NOMINA!J39</f>
        <v>0</v>
      </c>
      <c r="K52" s="1105">
        <f t="shared" si="7"/>
        <v>12</v>
      </c>
      <c r="L52" s="1106" t="s">
        <v>4932</v>
      </c>
      <c r="M52" s="1106"/>
      <c r="N52" s="1443" t="str">
        <f>+NOMINA!O39</f>
        <v>COORDINADOR DE PROGRAMA (SAPNNAET)</v>
      </c>
      <c r="O52" s="1107">
        <f>ROUND(NOMINA!W39,2)</f>
        <v>174</v>
      </c>
      <c r="P52" s="1107">
        <f>NOMINA!AF39</f>
        <v>24.01</v>
      </c>
      <c r="Q52" s="1107">
        <f>NOMINA!AH39</f>
        <v>65</v>
      </c>
      <c r="R52" s="1107">
        <f>NOMINA!AC39</f>
        <v>25</v>
      </c>
      <c r="S52" s="1107">
        <f>NOMINA!AJ39</f>
        <v>55.1</v>
      </c>
      <c r="T52" s="1108">
        <f t="shared" si="8"/>
        <v>179.85</v>
      </c>
      <c r="U52" s="1107">
        <f>ROUND(NOMINA!BL39,2)</f>
        <v>30.52</v>
      </c>
      <c r="V52" s="1107">
        <f>ROUND(NOMINA!BM39,2)</f>
        <v>3.81</v>
      </c>
      <c r="W52" s="1107">
        <f>ROUND(+NOMINA!BN39,2)</f>
        <v>6.61</v>
      </c>
      <c r="X52" s="1108">
        <f t="shared" si="9"/>
        <v>42.28</v>
      </c>
      <c r="Y52" s="1107">
        <f>ROUND(NOMINA!BJ39,2)</f>
        <v>12.5</v>
      </c>
      <c r="Z52" s="1109">
        <f t="shared" si="5"/>
        <v>302.17</v>
      </c>
    </row>
    <row r="53" spans="1:27" s="620" customFormat="1" ht="20.100000000000001" customHeight="1" x14ac:dyDescent="0.2">
      <c r="A53" s="1117"/>
      <c r="B53" s="508">
        <f t="shared" ca="1" si="6"/>
        <v>24</v>
      </c>
      <c r="C53" s="1102">
        <f>+NOMINA!C40</f>
        <v>27889180</v>
      </c>
      <c r="D53" s="1103" t="str">
        <f>+NOMINA!D40</f>
        <v>Moreno Andreina del Valle</v>
      </c>
      <c r="E53" s="1468" t="s">
        <v>4622</v>
      </c>
      <c r="F53" s="1110">
        <v>27853</v>
      </c>
      <c r="G53" s="1468" t="s">
        <v>4620</v>
      </c>
      <c r="H53" s="1442">
        <f>+NOMINA!H40</f>
        <v>44393</v>
      </c>
      <c r="I53" s="1105">
        <f>+NOMINA!I40</f>
        <v>4</v>
      </c>
      <c r="J53" s="1106">
        <f>+NOMINA!J40</f>
        <v>0</v>
      </c>
      <c r="K53" s="1105">
        <f t="shared" si="7"/>
        <v>4</v>
      </c>
      <c r="L53" s="1106" t="s">
        <v>4932</v>
      </c>
      <c r="M53" s="1106"/>
      <c r="N53" s="1443" t="str">
        <f>+NOMINA!O40</f>
        <v>COORDINADOR DE PROGRAMA (SAPNNAET)</v>
      </c>
      <c r="O53" s="1107">
        <f>ROUND(NOMINA!W40,2)</f>
        <v>174</v>
      </c>
      <c r="P53" s="1107">
        <f>NOMINA!AF40</f>
        <v>6.96</v>
      </c>
      <c r="Q53" s="1107">
        <f>NOMINA!AH40</f>
        <v>65</v>
      </c>
      <c r="R53" s="1107">
        <f>NOMINA!AC40</f>
        <v>12.5</v>
      </c>
      <c r="S53" s="1107">
        <f>NOMINA!AJ40</f>
        <v>0</v>
      </c>
      <c r="T53" s="1108">
        <f t="shared" si="8"/>
        <v>132.82</v>
      </c>
      <c r="U53" s="1107">
        <f>ROUND(NOMINA!BL40,2)</f>
        <v>23.28</v>
      </c>
      <c r="V53" s="1107">
        <f>ROUND(NOMINA!BM40,2)</f>
        <v>2.91</v>
      </c>
      <c r="W53" s="1107">
        <f>ROUND(+NOMINA!BN40,2)</f>
        <v>5.04</v>
      </c>
      <c r="X53" s="1108">
        <f t="shared" si="9"/>
        <v>37.22</v>
      </c>
      <c r="Y53" s="1107">
        <f>ROUND(NOMINA!BJ40,2)</f>
        <v>12.5</v>
      </c>
      <c r="Z53" s="1109">
        <f t="shared" si="5"/>
        <v>227.23000000000005</v>
      </c>
    </row>
    <row r="54" spans="1:27" s="620" customFormat="1" ht="20.100000000000001" customHeight="1" thickBot="1" x14ac:dyDescent="0.25">
      <c r="A54" s="1117"/>
      <c r="B54" s="508">
        <f t="shared" ca="1" si="6"/>
        <v>25</v>
      </c>
      <c r="C54" s="1102">
        <f>+NOMINA!C41</f>
        <v>12781930</v>
      </c>
      <c r="D54" s="1103" t="str">
        <f>+NOMINA!D41</f>
        <v>Berrios Gomez Neida Marina</v>
      </c>
      <c r="E54" s="1468" t="s">
        <v>4622</v>
      </c>
      <c r="F54" s="1110">
        <v>27853</v>
      </c>
      <c r="G54" s="1468" t="s">
        <v>4620</v>
      </c>
      <c r="H54" s="1442">
        <f>+NOMINA!H41</f>
        <v>44652</v>
      </c>
      <c r="I54" s="1105">
        <f>+NOMINA!I41</f>
        <v>3</v>
      </c>
      <c r="J54" s="1106">
        <f>+NOMINA!J41</f>
        <v>0</v>
      </c>
      <c r="K54" s="1105">
        <f t="shared" si="7"/>
        <v>3</v>
      </c>
      <c r="L54" s="1106" t="s">
        <v>4932</v>
      </c>
      <c r="M54" s="1106"/>
      <c r="N54" s="1443" t="str">
        <f>+NOMINA!O41</f>
        <v>COORDINADOR DE PROGRAMA (SAPNNAET)</v>
      </c>
      <c r="O54" s="1107">
        <f>ROUND(NOMINA!W41,2)</f>
        <v>174</v>
      </c>
      <c r="P54" s="1107">
        <f>NOMINA!AF41</f>
        <v>5.22</v>
      </c>
      <c r="Q54" s="1107">
        <f>NOMINA!AH41</f>
        <v>65</v>
      </c>
      <c r="R54" s="1107">
        <f>NOMINA!AC41</f>
        <v>0</v>
      </c>
      <c r="S54" s="1107">
        <f>NOMINA!AJ41</f>
        <v>61.06</v>
      </c>
      <c r="T54" s="1108">
        <f t="shared" si="8"/>
        <v>101.89</v>
      </c>
      <c r="U54" s="1107">
        <f>ROUND(NOMINA!BL41,2)</f>
        <v>28.18</v>
      </c>
      <c r="V54" s="1107">
        <f>ROUND(NOMINA!BM41,2)</f>
        <v>3.52</v>
      </c>
      <c r="W54" s="1107">
        <f>ROUND(+NOMINA!BN41,2)</f>
        <v>6.11</v>
      </c>
      <c r="X54" s="1108">
        <f t="shared" si="9"/>
        <v>34.17</v>
      </c>
      <c r="Y54" s="1107">
        <f>ROUND(NOMINA!BJ41,2)</f>
        <v>12.5</v>
      </c>
      <c r="Z54" s="1109">
        <f t="shared" si="5"/>
        <v>267.46999999999997</v>
      </c>
    </row>
    <row r="55" spans="1:27" s="620" customFormat="1" ht="39.950000000000003" customHeight="1" thickBot="1" x14ac:dyDescent="0.3">
      <c r="A55" s="666"/>
      <c r="B55" s="667"/>
      <c r="C55" s="1050" t="s">
        <v>5968</v>
      </c>
      <c r="D55" s="1065"/>
      <c r="E55" s="1065"/>
      <c r="F55" s="1065"/>
      <c r="G55" s="1065"/>
      <c r="H55" s="1066"/>
      <c r="I55" s="1065"/>
      <c r="J55" s="1065"/>
      <c r="K55" s="1067" t="s">
        <v>5814</v>
      </c>
      <c r="L55" s="1065"/>
      <c r="M55" s="1065"/>
      <c r="N55" s="1068"/>
      <c r="O55" s="670">
        <f t="shared" ref="O55:Z55" si="10">SUM(O30:O54)</f>
        <v>4395</v>
      </c>
      <c r="P55" s="670">
        <f t="shared" si="10"/>
        <v>733.58000000000027</v>
      </c>
      <c r="Q55" s="670">
        <f t="shared" si="10"/>
        <v>1625</v>
      </c>
      <c r="R55" s="670">
        <f t="shared" si="10"/>
        <v>212.5</v>
      </c>
      <c r="S55" s="670">
        <f t="shared" si="10"/>
        <v>1315.61</v>
      </c>
      <c r="T55" s="670" t="e">
        <f t="shared" si="10"/>
        <v>#VALUE!</v>
      </c>
      <c r="U55" s="670">
        <f t="shared" si="10"/>
        <v>754.64999999999986</v>
      </c>
      <c r="V55" s="670">
        <f t="shared" si="10"/>
        <v>94.32</v>
      </c>
      <c r="W55" s="670">
        <f t="shared" si="10"/>
        <v>163.50000000000003</v>
      </c>
      <c r="X55" s="670">
        <f t="shared" si="10"/>
        <v>496.42</v>
      </c>
      <c r="Y55" s="670">
        <f t="shared" si="10"/>
        <v>312.5</v>
      </c>
      <c r="Z55" s="670">
        <f t="shared" si="10"/>
        <v>7269.2200000000012</v>
      </c>
      <c r="AA55" s="625">
        <f>+NOMINA!CB42-'Imprimir 1a'!Z55</f>
        <v>0</v>
      </c>
    </row>
    <row r="56" spans="1:27" s="620" customFormat="1" ht="19.5" customHeight="1" x14ac:dyDescent="0.25">
      <c r="A56" s="666"/>
      <c r="B56" s="778"/>
      <c r="C56" s="691"/>
      <c r="D56" s="691"/>
      <c r="E56" s="691"/>
      <c r="F56" s="691"/>
      <c r="G56" s="691"/>
      <c r="H56" s="808"/>
      <c r="I56" s="691"/>
      <c r="J56" s="691"/>
      <c r="K56" s="602"/>
      <c r="L56" s="691"/>
      <c r="M56" s="691"/>
      <c r="N56" s="691"/>
      <c r="O56" s="805"/>
      <c r="P56" s="805"/>
      <c r="Q56" s="805"/>
      <c r="R56" s="805"/>
      <c r="S56" s="805"/>
      <c r="T56" s="805"/>
      <c r="U56" s="805"/>
      <c r="V56" s="805"/>
      <c r="W56" s="805"/>
      <c r="X56" s="805"/>
      <c r="Y56" s="805"/>
      <c r="Z56" s="805"/>
      <c r="AA56" s="625"/>
    </row>
    <row r="57" spans="1:27" s="620" customFormat="1" ht="19.5" customHeight="1" x14ac:dyDescent="0.25">
      <c r="A57" s="666"/>
      <c r="C57" s="714"/>
      <c r="D57" s="726" t="s">
        <v>5833</v>
      </c>
      <c r="E57" s="716"/>
      <c r="F57" s="716"/>
      <c r="G57" s="716"/>
      <c r="I57" s="715"/>
      <c r="L57" s="716"/>
      <c r="M57" s="716"/>
      <c r="N57" s="716"/>
      <c r="P57" s="717" t="s">
        <v>5834</v>
      </c>
      <c r="Q57" s="716"/>
      <c r="R57" s="716"/>
      <c r="T57" s="814"/>
      <c r="V57" s="715" t="s">
        <v>5835</v>
      </c>
      <c r="X57" s="619"/>
      <c r="Y57" s="619"/>
      <c r="Z57" s="625"/>
      <c r="AA57" s="625"/>
    </row>
    <row r="58" spans="1:27" s="620" customFormat="1" ht="19.5" customHeight="1" x14ac:dyDescent="0.25">
      <c r="A58" s="666"/>
      <c r="C58" s="714"/>
      <c r="D58" s="726"/>
      <c r="E58" s="716"/>
      <c r="F58" s="716"/>
      <c r="G58" s="716"/>
      <c r="I58" s="715"/>
      <c r="L58" s="716"/>
      <c r="M58" s="716"/>
      <c r="N58" s="716"/>
      <c r="P58" s="717"/>
      <c r="Q58" s="716"/>
      <c r="R58" s="716"/>
      <c r="T58" s="814"/>
      <c r="V58" s="715"/>
      <c r="X58" s="619"/>
      <c r="Y58" s="619"/>
      <c r="Z58" s="625"/>
    </row>
    <row r="59" spans="1:27" s="620" customFormat="1" ht="19.5" customHeight="1" x14ac:dyDescent="0.25">
      <c r="A59" s="666"/>
      <c r="C59" s="714"/>
      <c r="D59" s="726"/>
      <c r="E59" s="716"/>
      <c r="F59" s="716"/>
      <c r="G59" s="716"/>
      <c r="I59" s="715"/>
      <c r="L59" s="716"/>
      <c r="M59" s="716"/>
      <c r="N59" s="716"/>
      <c r="P59" s="717"/>
      <c r="Q59" s="716"/>
      <c r="R59" s="716"/>
      <c r="T59" s="814"/>
      <c r="V59" s="715"/>
      <c r="X59" s="619"/>
      <c r="Y59" s="619"/>
      <c r="Z59" s="625"/>
      <c r="AA59" s="625"/>
    </row>
    <row r="60" spans="1:27" s="620" customFormat="1" ht="19.5" customHeight="1" x14ac:dyDescent="0.25">
      <c r="A60" s="666"/>
      <c r="B60" s="714"/>
      <c r="C60" s="714"/>
      <c r="D60" s="718"/>
      <c r="E60" s="716"/>
      <c r="F60" s="716"/>
      <c r="G60" s="716"/>
      <c r="I60" s="714"/>
      <c r="L60" s="716"/>
      <c r="M60" s="716"/>
      <c r="N60" s="719"/>
      <c r="P60" s="719"/>
      <c r="Q60" s="716"/>
      <c r="R60" s="716"/>
      <c r="T60" s="719"/>
      <c r="V60" s="720"/>
      <c r="X60" s="619"/>
      <c r="Y60" s="619"/>
      <c r="Z60" s="625"/>
    </row>
    <row r="61" spans="1:27" s="620" customFormat="1" ht="19.5" customHeight="1" x14ac:dyDescent="0.25">
      <c r="A61" s="666"/>
      <c r="B61" s="725" t="s">
        <v>6752</v>
      </c>
      <c r="C61" s="726"/>
      <c r="D61" s="724"/>
      <c r="E61" s="724"/>
      <c r="F61" s="724"/>
      <c r="G61" s="724"/>
      <c r="H61" s="725" t="s">
        <v>6116</v>
      </c>
      <c r="I61" s="725"/>
      <c r="L61" s="724"/>
      <c r="M61" s="724"/>
      <c r="N61" s="724"/>
      <c r="P61" s="727" t="s">
        <v>5836</v>
      </c>
      <c r="Q61" s="724"/>
      <c r="R61" s="724"/>
      <c r="T61" s="724"/>
      <c r="V61" s="715" t="s">
        <v>5847</v>
      </c>
      <c r="X61" s="619"/>
      <c r="Y61" s="619"/>
      <c r="Z61" s="625"/>
    </row>
    <row r="62" spans="1:27" s="620" customFormat="1" ht="19.5" customHeight="1" x14ac:dyDescent="0.25">
      <c r="A62" s="666"/>
      <c r="B62" s="725" t="s">
        <v>6753</v>
      </c>
      <c r="C62" s="726"/>
      <c r="D62" s="724"/>
      <c r="E62" s="724"/>
      <c r="F62" s="724"/>
      <c r="G62" s="724"/>
      <c r="H62" s="725" t="s">
        <v>6117</v>
      </c>
      <c r="I62" s="725"/>
      <c r="L62" s="724"/>
      <c r="M62" s="724"/>
      <c r="N62" s="724"/>
      <c r="P62" s="727" t="s">
        <v>5838</v>
      </c>
      <c r="Q62" s="724"/>
      <c r="R62" s="724"/>
      <c r="T62" s="724"/>
      <c r="V62" s="725" t="s">
        <v>5839</v>
      </c>
      <c r="X62" s="619"/>
      <c r="Y62" s="619"/>
      <c r="Z62" s="625"/>
    </row>
    <row r="63" spans="1:27" s="620" customFormat="1" ht="19.5" customHeight="1" thickBot="1" x14ac:dyDescent="0.3">
      <c r="A63" s="666"/>
      <c r="B63" s="725" t="s">
        <v>5240</v>
      </c>
      <c r="C63" s="726"/>
      <c r="D63" s="724"/>
      <c r="E63" s="724"/>
      <c r="F63" s="724"/>
      <c r="G63" s="724"/>
      <c r="H63" s="725" t="s">
        <v>5261</v>
      </c>
      <c r="I63" s="725"/>
      <c r="L63" s="724"/>
      <c r="M63" s="724"/>
      <c r="N63" s="724"/>
      <c r="P63" s="727" t="s">
        <v>5840</v>
      </c>
      <c r="Q63" s="724"/>
      <c r="R63" s="724"/>
      <c r="T63" s="724"/>
      <c r="V63" s="715" t="s">
        <v>5841</v>
      </c>
      <c r="X63" s="619"/>
      <c r="Y63" s="619"/>
      <c r="Z63" s="625"/>
    </row>
    <row r="64" spans="1:27" s="683" customFormat="1" ht="25.5" customHeight="1" thickBot="1" x14ac:dyDescent="0.3">
      <c r="A64" s="674" t="s">
        <v>4561</v>
      </c>
      <c r="B64" s="746" t="str">
        <f>+"EMPLEADOS FIJOS_NOMINA_1RA QNA_"&amp;NOMINA!F9&amp;"_"&amp;NOMINA!H9</f>
        <v>EMPLEADOS FIJOS_NOMINA_1RA QNA_SEPTIEMBRE_2025</v>
      </c>
      <c r="C64" s="856"/>
      <c r="D64" s="857"/>
      <c r="E64" s="856"/>
      <c r="F64" s="857"/>
      <c r="G64" s="858"/>
      <c r="H64" s="859"/>
      <c r="I64" s="860"/>
      <c r="J64" s="860"/>
      <c r="K64" s="860"/>
      <c r="L64" s="860"/>
      <c r="M64" s="860"/>
      <c r="N64" s="861"/>
      <c r="O64" s="860"/>
      <c r="P64" s="862"/>
      <c r="Q64" s="862"/>
      <c r="R64" s="862"/>
      <c r="S64" s="862"/>
      <c r="T64" s="862"/>
      <c r="U64" s="860"/>
      <c r="V64" s="860"/>
      <c r="W64" s="860"/>
      <c r="X64" s="860"/>
      <c r="Y64" s="863"/>
      <c r="Z64" s="864"/>
    </row>
    <row r="65" spans="1:26" s="620" customFormat="1" ht="20.100000000000001" customHeight="1" thickBot="1" x14ac:dyDescent="0.25">
      <c r="A65" s="758" t="s">
        <v>2846</v>
      </c>
      <c r="B65" s="508">
        <v>1</v>
      </c>
      <c r="C65" s="1102">
        <f>+NOMINA!C44</f>
        <v>4324055</v>
      </c>
      <c r="D65" s="1103" t="str">
        <f>+NOMINA!D44</f>
        <v>Mejia Linares Alexis de Jesus</v>
      </c>
      <c r="E65" s="1468" t="s">
        <v>4622</v>
      </c>
      <c r="F65" s="1704">
        <v>27853</v>
      </c>
      <c r="G65" s="1468" t="s">
        <v>4620</v>
      </c>
      <c r="H65" s="1705">
        <f>+NOMINA!H44</f>
        <v>44470</v>
      </c>
      <c r="I65" s="1105">
        <f>+NOMINA!I44</f>
        <v>3</v>
      </c>
      <c r="J65" s="1106">
        <f>+NOMINA!J44</f>
        <v>0</v>
      </c>
      <c r="K65" s="1105">
        <f>I65+J65</f>
        <v>3</v>
      </c>
      <c r="L65" s="1106" t="s">
        <v>4932</v>
      </c>
      <c r="M65" s="1106"/>
      <c r="N65" s="1443" t="str">
        <f>+NOMINA!O44</f>
        <v>Abogado II</v>
      </c>
      <c r="O65" s="1107">
        <f>ROUND(NOMINA!W44,2)</f>
        <v>138.5</v>
      </c>
      <c r="P65" s="1107">
        <f>NOMINA!AF44</f>
        <v>4.16</v>
      </c>
      <c r="Q65" s="1107">
        <f>NOMINA!AH44</f>
        <v>65</v>
      </c>
      <c r="R65" s="1107">
        <f>NOMINA!AC44</f>
        <v>0</v>
      </c>
      <c r="S65" s="1107">
        <f>NOMINA!AJ44</f>
        <v>51.92</v>
      </c>
      <c r="T65" s="1108">
        <f t="shared" ref="T65" si="11">+P42+Q42+R42+S42</f>
        <v>180.73</v>
      </c>
      <c r="U65" s="1107">
        <f>ROUND(NOMINA!BL44,2)</f>
        <v>23.96</v>
      </c>
      <c r="V65" s="1107">
        <f>ROUND(NOMINA!BM44,2)</f>
        <v>3</v>
      </c>
      <c r="W65" s="1107">
        <f>ROUND(+NOMINA!BN44,2)</f>
        <v>5.19</v>
      </c>
      <c r="X65" s="1108">
        <f>ROUND(SUM(U49:W49),2)</f>
        <v>36.4</v>
      </c>
      <c r="Y65" s="1107">
        <f>ROUND(NOMINA!BJ44,2)</f>
        <v>12.5</v>
      </c>
      <c r="Z65" s="1109">
        <f t="shared" ref="Z65:Z128" si="12">+O65+P65+Q65+R65+S65-(U65+V65+W65)</f>
        <v>227.42999999999998</v>
      </c>
    </row>
    <row r="66" spans="1:26" s="620" customFormat="1" ht="20.100000000000001" customHeight="1" thickBot="1" x14ac:dyDescent="0.25">
      <c r="A66" s="758"/>
      <c r="B66" s="508">
        <f>+B65+1</f>
        <v>2</v>
      </c>
      <c r="C66" s="1102">
        <f>+NOMINA!C45</f>
        <v>4657974</v>
      </c>
      <c r="D66" s="1103" t="str">
        <f>+NOMINA!D45</f>
        <v>Balestrini Nuñez Ulises Ramon</v>
      </c>
      <c r="E66" s="1468" t="s">
        <v>4622</v>
      </c>
      <c r="F66" s="1704">
        <v>27853</v>
      </c>
      <c r="G66" s="1468" t="s">
        <v>4620</v>
      </c>
      <c r="H66" s="1705">
        <f>+NOMINA!H45</f>
        <v>39463</v>
      </c>
      <c r="I66" s="1105">
        <f>+NOMINA!I45</f>
        <v>17</v>
      </c>
      <c r="J66" s="1106">
        <f>+NOMINA!J45</f>
        <v>0</v>
      </c>
      <c r="K66" s="1105">
        <f t="shared" ref="K66:K129" si="13">I66+J66</f>
        <v>17</v>
      </c>
      <c r="L66" s="1106" t="s">
        <v>4932</v>
      </c>
      <c r="M66" s="1106"/>
      <c r="N66" s="1443" t="str">
        <f>+NOMINA!O45</f>
        <v>Promotor Cultural I</v>
      </c>
      <c r="O66" s="1107">
        <f>ROUND(NOMINA!W45,2)</f>
        <v>88</v>
      </c>
      <c r="P66" s="1107">
        <f>NOMINA!AF45</f>
        <v>18.66</v>
      </c>
      <c r="Q66" s="1107">
        <f>NOMINA!AH45</f>
        <v>65</v>
      </c>
      <c r="R66" s="1107">
        <f>NOMINA!AC45</f>
        <v>0</v>
      </c>
      <c r="S66" s="1107">
        <f>NOMINA!AJ45</f>
        <v>0</v>
      </c>
      <c r="T66" s="1108">
        <f t="shared" ref="T66:T129" si="14">+P43+Q43+R43+S43</f>
        <v>158.05000000000001</v>
      </c>
      <c r="U66" s="1107">
        <f>ROUND(NOMINA!BL45,2)</f>
        <v>15.85</v>
      </c>
      <c r="V66" s="1107">
        <f>ROUND(NOMINA!BM45,2)</f>
        <v>1.98</v>
      </c>
      <c r="W66" s="1107">
        <f>ROUND(+NOMINA!BN45,2)</f>
        <v>3.43</v>
      </c>
      <c r="X66" s="1108">
        <f t="shared" ref="X66:X129" si="15">ROUND(SUM(U50:W50),2)</f>
        <v>39.61</v>
      </c>
      <c r="Y66" s="1107">
        <f>ROUND(NOMINA!BJ45,2)</f>
        <v>12.5</v>
      </c>
      <c r="Z66" s="1109">
        <f t="shared" si="12"/>
        <v>150.4</v>
      </c>
    </row>
    <row r="67" spans="1:26" s="620" customFormat="1" ht="20.100000000000001" customHeight="1" thickBot="1" x14ac:dyDescent="0.25">
      <c r="A67" s="758" t="s">
        <v>2846</v>
      </c>
      <c r="B67" s="508">
        <f>+B66+1</f>
        <v>3</v>
      </c>
      <c r="C67" s="1102">
        <f>+NOMINA!C46</f>
        <v>5762861</v>
      </c>
      <c r="D67" s="1103" t="str">
        <f>+NOMINA!D46</f>
        <v>Aldana Duran Delia Mercedes</v>
      </c>
      <c r="E67" s="1468" t="s">
        <v>4622</v>
      </c>
      <c r="F67" s="1704">
        <v>27853</v>
      </c>
      <c r="G67" s="1468" t="s">
        <v>4620</v>
      </c>
      <c r="H67" s="1705">
        <f>+NOMINA!H46</f>
        <v>37851</v>
      </c>
      <c r="I67" s="1105">
        <f>+NOMINA!I46</f>
        <v>22</v>
      </c>
      <c r="J67" s="1106">
        <f>+NOMINA!J46</f>
        <v>4</v>
      </c>
      <c r="K67" s="1105">
        <f t="shared" si="13"/>
        <v>26</v>
      </c>
      <c r="L67" s="1106" t="s">
        <v>4932</v>
      </c>
      <c r="M67" s="1106"/>
      <c r="N67" s="1443" t="str">
        <f>+NOMINA!O46</f>
        <v>Jefe de Centro</v>
      </c>
      <c r="O67" s="1107">
        <f>ROUND(NOMINA!W46,2)</f>
        <v>143.5</v>
      </c>
      <c r="P67" s="1107">
        <f>NOMINA!AF46</f>
        <v>43.05</v>
      </c>
      <c r="Q67" s="1107">
        <f>NOMINA!AH46</f>
        <v>65</v>
      </c>
      <c r="R67" s="1107">
        <f>NOMINA!AC46</f>
        <v>0</v>
      </c>
      <c r="S67" s="1107">
        <f>NOMINA!AJ46</f>
        <v>62.89</v>
      </c>
      <c r="T67" s="1108">
        <f t="shared" si="14"/>
        <v>203.2</v>
      </c>
      <c r="U67" s="1107">
        <f>ROUND(NOMINA!BL46,2)</f>
        <v>0</v>
      </c>
      <c r="V67" s="1107">
        <f>ROUND(NOMINA!BM46,2)</f>
        <v>0</v>
      </c>
      <c r="W67" s="1107">
        <f>ROUND(+NOMINA!BN46,2)</f>
        <v>6.29</v>
      </c>
      <c r="X67" s="1108">
        <f t="shared" si="15"/>
        <v>37.01</v>
      </c>
      <c r="Y67" s="1107">
        <f>ROUND(NOMINA!BJ46,2)</f>
        <v>12.5</v>
      </c>
      <c r="Z67" s="1109">
        <f t="shared" si="12"/>
        <v>308.14999999999998</v>
      </c>
    </row>
    <row r="68" spans="1:26" s="620" customFormat="1" ht="20.100000000000001" customHeight="1" thickBot="1" x14ac:dyDescent="0.25">
      <c r="A68" s="758" t="s">
        <v>2846</v>
      </c>
      <c r="B68" s="508">
        <f t="shared" ref="B68:B151" ca="1" si="16">OFFSET(B68,-1,0)+1</f>
        <v>4</v>
      </c>
      <c r="C68" s="1102">
        <f>+NOMINA!C47</f>
        <v>5782060</v>
      </c>
      <c r="D68" s="1103" t="str">
        <f>+NOMINA!D47</f>
        <v>Linares Araujo Adolfo Jose</v>
      </c>
      <c r="E68" s="1468" t="s">
        <v>4622</v>
      </c>
      <c r="F68" s="1704">
        <v>27853</v>
      </c>
      <c r="G68" s="1468" t="s">
        <v>4620</v>
      </c>
      <c r="H68" s="1705">
        <f>+NOMINA!H47</f>
        <v>39539</v>
      </c>
      <c r="I68" s="1105">
        <f>+NOMINA!I47</f>
        <v>17</v>
      </c>
      <c r="J68" s="1106">
        <f>+NOMINA!J47</f>
        <v>0</v>
      </c>
      <c r="K68" s="1105">
        <f t="shared" si="13"/>
        <v>17</v>
      </c>
      <c r="L68" s="1106" t="s">
        <v>4932</v>
      </c>
      <c r="M68" s="1106"/>
      <c r="N68" s="1443" t="str">
        <f>+NOMINA!O47</f>
        <v>Asistente Administrativo III</v>
      </c>
      <c r="O68" s="1107">
        <f>ROUND(NOMINA!W47,2)</f>
        <v>113</v>
      </c>
      <c r="P68" s="1107">
        <f>NOMINA!AF47</f>
        <v>23.96</v>
      </c>
      <c r="Q68" s="1107">
        <f>NOMINA!AH47</f>
        <v>65</v>
      </c>
      <c r="R68" s="1107">
        <f>NOMINA!AC47</f>
        <v>0</v>
      </c>
      <c r="S68" s="1107">
        <f>NOMINA!AJ47</f>
        <v>40.39</v>
      </c>
      <c r="T68" s="1108">
        <f t="shared" si="14"/>
        <v>117.2</v>
      </c>
      <c r="U68" s="1107">
        <f>ROUND(NOMINA!BL47,2)</f>
        <v>22.37</v>
      </c>
      <c r="V68" s="1107">
        <f>ROUND(NOMINA!BM47,2)</f>
        <v>2.8</v>
      </c>
      <c r="W68" s="1107">
        <f>ROUND(+NOMINA!BN47,2)</f>
        <v>4.8499999999999996</v>
      </c>
      <c r="X68" s="1108">
        <f t="shared" si="15"/>
        <v>40.94</v>
      </c>
      <c r="Y68" s="1107">
        <f>ROUND(NOMINA!BJ47,2)</f>
        <v>12.5</v>
      </c>
      <c r="Z68" s="1109">
        <f t="shared" si="12"/>
        <v>212.33</v>
      </c>
    </row>
    <row r="69" spans="1:26" s="620" customFormat="1" ht="20.100000000000001" customHeight="1" thickBot="1" x14ac:dyDescent="0.25">
      <c r="A69" s="758" t="s">
        <v>2846</v>
      </c>
      <c r="B69" s="508">
        <f t="shared" ca="1" si="16"/>
        <v>5</v>
      </c>
      <c r="C69" s="1102">
        <f>+NOMINA!C48</f>
        <v>5790501</v>
      </c>
      <c r="D69" s="1103" t="str">
        <f>+NOMINA!D48</f>
        <v>Castellanos de Araujo Maria Eustoquia</v>
      </c>
      <c r="E69" s="1468" t="s">
        <v>4622</v>
      </c>
      <c r="F69" s="1704">
        <v>27853</v>
      </c>
      <c r="G69" s="1468" t="s">
        <v>4620</v>
      </c>
      <c r="H69" s="1705">
        <f>+NOMINA!H48</f>
        <v>39707</v>
      </c>
      <c r="I69" s="1105">
        <f>+NOMINA!I48</f>
        <v>17</v>
      </c>
      <c r="J69" s="1106">
        <f>+NOMINA!J48</f>
        <v>3</v>
      </c>
      <c r="K69" s="1105">
        <f t="shared" si="13"/>
        <v>20</v>
      </c>
      <c r="L69" s="1106" t="s">
        <v>4932</v>
      </c>
      <c r="M69" s="1106"/>
      <c r="N69" s="1443" t="str">
        <f>+NOMINA!O48</f>
        <v>Asistente de Analista III</v>
      </c>
      <c r="O69" s="1107">
        <f>ROUND(NOMINA!W48,2)</f>
        <v>114</v>
      </c>
      <c r="P69" s="1107">
        <f>NOMINA!AF48</f>
        <v>29.64</v>
      </c>
      <c r="Q69" s="1107">
        <f>NOMINA!AH48</f>
        <v>65</v>
      </c>
      <c r="R69" s="1107">
        <f>NOMINA!AC48</f>
        <v>0</v>
      </c>
      <c r="S69" s="1107">
        <f>NOMINA!AJ48</f>
        <v>52.16</v>
      </c>
      <c r="T69" s="1108">
        <f t="shared" si="14"/>
        <v>219.12</v>
      </c>
      <c r="U69" s="1107">
        <f>ROUND(NOMINA!BL48,2)</f>
        <v>24.07</v>
      </c>
      <c r="V69" s="1107">
        <f>ROUND(NOMINA!BM48,2)</f>
        <v>3.01</v>
      </c>
      <c r="W69" s="1107">
        <f>ROUND(+NOMINA!BN48,2)</f>
        <v>5.22</v>
      </c>
      <c r="X69" s="1108">
        <f t="shared" si="15"/>
        <v>31.23</v>
      </c>
      <c r="Y69" s="1107">
        <f>ROUND(NOMINA!BJ48,2)</f>
        <v>12.5</v>
      </c>
      <c r="Z69" s="1109">
        <f t="shared" si="12"/>
        <v>228.49999999999994</v>
      </c>
    </row>
    <row r="70" spans="1:26" s="620" customFormat="1" ht="20.100000000000001" customHeight="1" thickBot="1" x14ac:dyDescent="0.25">
      <c r="A70" s="758" t="s">
        <v>2846</v>
      </c>
      <c r="B70" s="508">
        <f t="shared" ca="1" si="16"/>
        <v>6</v>
      </c>
      <c r="C70" s="1102">
        <f>+NOMINA!C49</f>
        <v>7744688</v>
      </c>
      <c r="D70" s="1103" t="str">
        <f>+NOMINA!D49</f>
        <v>Aguilera Carroz Gerardo Raul</v>
      </c>
      <c r="E70" s="1468" t="s">
        <v>4622</v>
      </c>
      <c r="F70" s="1704">
        <v>27853</v>
      </c>
      <c r="G70" s="1468" t="s">
        <v>4620</v>
      </c>
      <c r="H70" s="1705">
        <f>+NOMINA!H49</f>
        <v>44713</v>
      </c>
      <c r="I70" s="1105">
        <f>+NOMINA!I49</f>
        <v>3</v>
      </c>
      <c r="J70" s="1106">
        <f>+NOMINA!J49</f>
        <v>0</v>
      </c>
      <c r="K70" s="1105">
        <f t="shared" si="13"/>
        <v>3</v>
      </c>
      <c r="L70" s="1106" t="s">
        <v>4932</v>
      </c>
      <c r="M70" s="1106"/>
      <c r="N70" s="1443" t="str">
        <f>+NOMINA!O49</f>
        <v>Asistente Administrativo III</v>
      </c>
      <c r="O70" s="1107">
        <f>ROUND(NOMINA!W49,2)</f>
        <v>109.5</v>
      </c>
      <c r="P70" s="1107">
        <f>NOMINA!AF49</f>
        <v>3.29</v>
      </c>
      <c r="Q70" s="1107">
        <f>NOMINA!AH49</f>
        <v>65</v>
      </c>
      <c r="R70" s="1107">
        <f>NOMINA!AC49</f>
        <v>0</v>
      </c>
      <c r="S70" s="1107">
        <f>NOMINA!AJ49</f>
        <v>35.56</v>
      </c>
      <c r="T70" s="1108">
        <f t="shared" si="14"/>
        <v>145.34</v>
      </c>
      <c r="U70" s="1107">
        <f>ROUND(NOMINA!BL49,2)</f>
        <v>19.690000000000001</v>
      </c>
      <c r="V70" s="1107">
        <f>ROUND(NOMINA!BM49,2)</f>
        <v>2.46</v>
      </c>
      <c r="W70" s="1107">
        <f>ROUND(+NOMINA!BN49,2)</f>
        <v>4.2699999999999996</v>
      </c>
      <c r="X70" s="1108">
        <f t="shared" si="15"/>
        <v>37.81</v>
      </c>
      <c r="Y70" s="1107">
        <f>ROUND(NOMINA!BJ49,2)</f>
        <v>12.5</v>
      </c>
      <c r="Z70" s="1109">
        <f t="shared" si="12"/>
        <v>186.93</v>
      </c>
    </row>
    <row r="71" spans="1:26" s="620" customFormat="1" ht="20.100000000000001" customHeight="1" thickBot="1" x14ac:dyDescent="0.25">
      <c r="A71" s="758" t="s">
        <v>2846</v>
      </c>
      <c r="B71" s="508">
        <f t="shared" ca="1" si="16"/>
        <v>7</v>
      </c>
      <c r="C71" s="1102">
        <f>+NOMINA!C50</f>
        <v>7890070</v>
      </c>
      <c r="D71" s="1103" t="str">
        <f>+NOMINA!D50</f>
        <v>Pacheco Bermudez Bebsabeth Coromoto</v>
      </c>
      <c r="E71" s="1468" t="s">
        <v>4622</v>
      </c>
      <c r="F71" s="1704">
        <v>27853</v>
      </c>
      <c r="G71" s="1468" t="s">
        <v>4620</v>
      </c>
      <c r="H71" s="1705">
        <f>+NOMINA!H50</f>
        <v>38930</v>
      </c>
      <c r="I71" s="1105">
        <f>+NOMINA!I50</f>
        <v>19</v>
      </c>
      <c r="J71" s="1106">
        <f>+NOMINA!J50</f>
        <v>5</v>
      </c>
      <c r="K71" s="1105">
        <f t="shared" si="13"/>
        <v>24</v>
      </c>
      <c r="L71" s="1106" t="s">
        <v>4932</v>
      </c>
      <c r="M71" s="1106"/>
      <c r="N71" s="1443" t="str">
        <f>+NOMINA!O50</f>
        <v>Guia de Centro II</v>
      </c>
      <c r="O71" s="1107">
        <f>ROUND(NOMINA!W50,2)</f>
        <v>88.5</v>
      </c>
      <c r="P71" s="1107">
        <f>NOMINA!AF50</f>
        <v>26.55</v>
      </c>
      <c r="Q71" s="1107">
        <f>NOMINA!AH50</f>
        <v>65</v>
      </c>
      <c r="R71" s="1107">
        <f>NOMINA!AC50</f>
        <v>0</v>
      </c>
      <c r="S71" s="1107">
        <f>NOMINA!AJ50</f>
        <v>0</v>
      </c>
      <c r="T71" s="1108">
        <f t="shared" si="14"/>
        <v>149.69</v>
      </c>
      <c r="U71" s="1107">
        <f>ROUND(NOMINA!BL50,2)</f>
        <v>16.62</v>
      </c>
      <c r="V71" s="1107">
        <f>ROUND(NOMINA!BM50,2)</f>
        <v>2.08</v>
      </c>
      <c r="W71" s="1107">
        <f>ROUND(+NOMINA!BN50,2)</f>
        <v>3.6</v>
      </c>
      <c r="X71" s="1108">
        <f t="shared" si="15"/>
        <v>1012.47</v>
      </c>
      <c r="Y71" s="1107">
        <f>ROUND(NOMINA!BJ50,2)</f>
        <v>12.5</v>
      </c>
      <c r="Z71" s="1109">
        <f t="shared" si="12"/>
        <v>157.75</v>
      </c>
    </row>
    <row r="72" spans="1:26" s="620" customFormat="1" ht="20.100000000000001" customHeight="1" thickBot="1" x14ac:dyDescent="0.25">
      <c r="A72" s="758" t="s">
        <v>2846</v>
      </c>
      <c r="B72" s="508">
        <f t="shared" ca="1" si="16"/>
        <v>8</v>
      </c>
      <c r="C72" s="1102">
        <f>+NOMINA!C51</f>
        <v>8719807</v>
      </c>
      <c r="D72" s="1103" t="str">
        <f>+NOMINA!D51</f>
        <v>Perez Saavedra Isabel Teresa</v>
      </c>
      <c r="E72" s="1468" t="s">
        <v>4622</v>
      </c>
      <c r="F72" s="1704">
        <v>27853</v>
      </c>
      <c r="G72" s="1468" t="s">
        <v>4620</v>
      </c>
      <c r="H72" s="1705">
        <f>+NOMINA!H51</f>
        <v>39874</v>
      </c>
      <c r="I72" s="1105">
        <f>+NOMINA!I51</f>
        <v>16</v>
      </c>
      <c r="J72" s="1106">
        <f>+NOMINA!J51</f>
        <v>4</v>
      </c>
      <c r="K72" s="1105">
        <f t="shared" si="13"/>
        <v>20</v>
      </c>
      <c r="L72" s="1106" t="s">
        <v>4932</v>
      </c>
      <c r="M72" s="1106"/>
      <c r="N72" s="1443" t="str">
        <f>+NOMINA!O51</f>
        <v>Abogado Jefe</v>
      </c>
      <c r="O72" s="1107">
        <f>ROUND(NOMINA!W51,2)</f>
        <v>0</v>
      </c>
      <c r="P72" s="1107">
        <f>NOMINA!AF51</f>
        <v>0</v>
      </c>
      <c r="Q72" s="1107">
        <f>NOMINA!AH51</f>
        <v>0</v>
      </c>
      <c r="R72" s="1107">
        <f>NOMINA!AC51</f>
        <v>0</v>
      </c>
      <c r="S72" s="1107">
        <f>NOMINA!AJ51</f>
        <v>0</v>
      </c>
      <c r="T72" s="1108">
        <f t="shared" si="14"/>
        <v>132.46</v>
      </c>
      <c r="U72" s="1107">
        <f>ROUND(NOMINA!BL51,2)</f>
        <v>0</v>
      </c>
      <c r="V72" s="1107">
        <f>ROUND(NOMINA!BM51,2)</f>
        <v>0</v>
      </c>
      <c r="W72" s="1107">
        <f>ROUND(+NOMINA!BN51,2)</f>
        <v>0</v>
      </c>
      <c r="X72" s="1108">
        <f t="shared" si="15"/>
        <v>0</v>
      </c>
      <c r="Y72" s="1107">
        <f>ROUND(NOMINA!BJ51,2)</f>
        <v>0</v>
      </c>
      <c r="Z72" s="1109">
        <f t="shared" si="12"/>
        <v>0</v>
      </c>
    </row>
    <row r="73" spans="1:26" s="620" customFormat="1" ht="20.100000000000001" customHeight="1" thickBot="1" x14ac:dyDescent="0.25">
      <c r="A73" s="758" t="s">
        <v>2846</v>
      </c>
      <c r="B73" s="508">
        <f t="shared" ca="1" si="16"/>
        <v>9</v>
      </c>
      <c r="C73" s="1102">
        <f>+NOMINA!C52</f>
        <v>8266170</v>
      </c>
      <c r="D73" s="1103" t="str">
        <f>+NOMINA!D52</f>
        <v>Aguana Sanchez Yraida Josefina</v>
      </c>
      <c r="E73" s="1468" t="s">
        <v>4622</v>
      </c>
      <c r="F73" s="1704">
        <v>27853</v>
      </c>
      <c r="G73" s="1468" t="s">
        <v>4620</v>
      </c>
      <c r="H73" s="1705">
        <f>+NOMINA!H52</f>
        <v>45323</v>
      </c>
      <c r="I73" s="1105">
        <f>+NOMINA!I52</f>
        <v>1</v>
      </c>
      <c r="J73" s="1106">
        <f>+NOMINA!J52</f>
        <v>5</v>
      </c>
      <c r="K73" s="1105">
        <f t="shared" si="13"/>
        <v>6</v>
      </c>
      <c r="L73" s="1106" t="s">
        <v>4932</v>
      </c>
      <c r="M73" s="1106"/>
      <c r="N73" s="1443" t="str">
        <f>+NOMINA!O52</f>
        <v>Guia de Centro I</v>
      </c>
      <c r="O73" s="1107">
        <f>ROUND(NOMINA!W52,2)</f>
        <v>110.5</v>
      </c>
      <c r="P73" s="1107">
        <f>NOMINA!AF52</f>
        <v>6.85</v>
      </c>
      <c r="Q73" s="1107">
        <f>NOMINA!AH52</f>
        <v>65</v>
      </c>
      <c r="R73" s="1107">
        <f>NOMINA!AC52</f>
        <v>12.5</v>
      </c>
      <c r="S73" s="1107">
        <f>NOMINA!AJ52</f>
        <v>47.15</v>
      </c>
      <c r="T73" s="1108">
        <f t="shared" si="14"/>
        <v>158.26999999999998</v>
      </c>
      <c r="U73" s="1107">
        <f>ROUND(NOMINA!BL52,2)</f>
        <v>28.29</v>
      </c>
      <c r="V73" s="1107">
        <f>ROUND(NOMINA!BM52,2)</f>
        <v>3.54</v>
      </c>
      <c r="W73" s="1107">
        <f>ROUND(+NOMINA!BN52,2)</f>
        <v>6.13</v>
      </c>
      <c r="X73" s="1108">
        <f>ROUND(SUM(U57:V57),2)</f>
        <v>0</v>
      </c>
      <c r="Y73" s="1107">
        <f>ROUND(NOMINA!BJ52,2)</f>
        <v>12.5</v>
      </c>
      <c r="Z73" s="1109">
        <f t="shared" si="12"/>
        <v>204.04</v>
      </c>
    </row>
    <row r="74" spans="1:26" s="620" customFormat="1" ht="20.100000000000001" customHeight="1" thickBot="1" x14ac:dyDescent="0.25">
      <c r="A74" s="758" t="s">
        <v>2846</v>
      </c>
      <c r="B74" s="508">
        <f t="shared" ca="1" si="16"/>
        <v>10</v>
      </c>
      <c r="C74" s="1102">
        <f>+NOMINA!C53</f>
        <v>9162178</v>
      </c>
      <c r="D74" s="1103" t="str">
        <f>+NOMINA!D53</f>
        <v>Duarte de Bastidas Gladys Margarita</v>
      </c>
      <c r="E74" s="1468" t="s">
        <v>4622</v>
      </c>
      <c r="F74" s="1704">
        <v>27853</v>
      </c>
      <c r="G74" s="1468" t="s">
        <v>4620</v>
      </c>
      <c r="H74" s="1705">
        <f>+NOMINA!H53</f>
        <v>39566</v>
      </c>
      <c r="I74" s="1105">
        <f>+NOMINA!I53</f>
        <v>17</v>
      </c>
      <c r="J74" s="1106">
        <f>+NOMINA!J53</f>
        <v>4</v>
      </c>
      <c r="K74" s="1105">
        <f t="shared" si="13"/>
        <v>21</v>
      </c>
      <c r="L74" s="1106" t="s">
        <v>4932</v>
      </c>
      <c r="M74" s="1106"/>
      <c r="N74" s="1443" t="str">
        <f>+NOMINA!O53</f>
        <v>Guia de Centro II</v>
      </c>
      <c r="O74" s="1107">
        <f>ROUND(NOMINA!W53,2)</f>
        <v>88.5</v>
      </c>
      <c r="P74" s="1107">
        <f>NOMINA!AF53</f>
        <v>24.61</v>
      </c>
      <c r="Q74" s="1107">
        <f>NOMINA!AH53</f>
        <v>65</v>
      </c>
      <c r="R74" s="1107">
        <f>NOMINA!AC53</f>
        <v>0</v>
      </c>
      <c r="S74" s="1107">
        <f>NOMINA!AJ53</f>
        <v>0</v>
      </c>
      <c r="T74" s="1108">
        <f t="shared" si="14"/>
        <v>124.75</v>
      </c>
      <c r="U74" s="1107">
        <f>ROUND(NOMINA!BL53,2)</f>
        <v>21.37</v>
      </c>
      <c r="V74" s="1107">
        <f>ROUND(NOMINA!BM53,2)</f>
        <v>2.67</v>
      </c>
      <c r="W74" s="1107">
        <f>ROUND(+NOMINA!BN53,2)</f>
        <v>4.63</v>
      </c>
      <c r="X74" s="1108">
        <f>ROUND(SUM(U58:V58),2)</f>
        <v>0</v>
      </c>
      <c r="Y74" s="1107">
        <f>ROUND(NOMINA!BJ53,2)</f>
        <v>12.5</v>
      </c>
      <c r="Z74" s="1109">
        <f t="shared" si="12"/>
        <v>149.44000000000003</v>
      </c>
    </row>
    <row r="75" spans="1:26" s="620" customFormat="1" ht="20.100000000000001" customHeight="1" thickBot="1" x14ac:dyDescent="0.25">
      <c r="A75" s="758" t="s">
        <v>2846</v>
      </c>
      <c r="B75" s="508">
        <f t="shared" ca="1" si="16"/>
        <v>11</v>
      </c>
      <c r="C75" s="1102">
        <f>+NOMINA!C54</f>
        <v>9162243</v>
      </c>
      <c r="D75" s="1103" t="str">
        <f>+NOMINA!D54</f>
        <v>Valera Borrero Marcos Tulio</v>
      </c>
      <c r="E75" s="1468" t="s">
        <v>4622</v>
      </c>
      <c r="F75" s="1704">
        <v>27853</v>
      </c>
      <c r="G75" s="1468" t="s">
        <v>4620</v>
      </c>
      <c r="H75" s="1705">
        <f>+NOMINA!H54</f>
        <v>35535</v>
      </c>
      <c r="I75" s="1105">
        <f>+NOMINA!I54</f>
        <v>28</v>
      </c>
      <c r="J75" s="1106">
        <f>+NOMINA!J54</f>
        <v>0</v>
      </c>
      <c r="K75" s="1105">
        <f t="shared" si="13"/>
        <v>28</v>
      </c>
      <c r="L75" s="1106" t="s">
        <v>4932</v>
      </c>
      <c r="M75" s="1106"/>
      <c r="N75" s="1443" t="str">
        <f>+NOMINA!O54</f>
        <v>Guia de Centro II</v>
      </c>
      <c r="O75" s="1107">
        <f>ROUND(NOMINA!W54,2)</f>
        <v>88.5</v>
      </c>
      <c r="P75" s="1107">
        <f>NOMINA!AF54</f>
        <v>26.55</v>
      </c>
      <c r="Q75" s="1107">
        <f>NOMINA!AH54</f>
        <v>65</v>
      </c>
      <c r="R75" s="1107">
        <f>NOMINA!AC54</f>
        <v>0</v>
      </c>
      <c r="S75" s="1107">
        <f>NOMINA!AJ54</f>
        <v>0</v>
      </c>
      <c r="T75" s="1108">
        <f t="shared" si="14"/>
        <v>169.11</v>
      </c>
      <c r="U75" s="1107">
        <f>ROUND(NOMINA!BL54,2)</f>
        <v>16.62</v>
      </c>
      <c r="V75" s="1107">
        <f>ROUND(NOMINA!BM54,2)</f>
        <v>2.08</v>
      </c>
      <c r="W75" s="1107">
        <f>ROUND(+NOMINA!BN54,2)</f>
        <v>3.6</v>
      </c>
      <c r="X75" s="1108">
        <f>ROUND(SUM(U59:V59),2)</f>
        <v>0</v>
      </c>
      <c r="Y75" s="1107">
        <f>ROUND(NOMINA!BJ54,2)</f>
        <v>12.5</v>
      </c>
      <c r="Z75" s="1109">
        <f t="shared" si="12"/>
        <v>157.75</v>
      </c>
    </row>
    <row r="76" spans="1:26" s="620" customFormat="1" ht="20.100000000000001" customHeight="1" thickBot="1" x14ac:dyDescent="0.25">
      <c r="A76" s="758" t="s">
        <v>2846</v>
      </c>
      <c r="B76" s="508">
        <f t="shared" ca="1" si="16"/>
        <v>12</v>
      </c>
      <c r="C76" s="1102">
        <f>+NOMINA!C55</f>
        <v>9170647</v>
      </c>
      <c r="D76" s="1103" t="str">
        <f>+NOMINA!D55</f>
        <v>Torres Gonzalez Meris del Carmen</v>
      </c>
      <c r="E76" s="1468" t="s">
        <v>4622</v>
      </c>
      <c r="F76" s="1704">
        <v>27853</v>
      </c>
      <c r="G76" s="1468" t="s">
        <v>4620</v>
      </c>
      <c r="H76" s="1705">
        <f>+NOMINA!H55</f>
        <v>39238</v>
      </c>
      <c r="I76" s="1105">
        <f>+NOMINA!I55</f>
        <v>18</v>
      </c>
      <c r="J76" s="1106">
        <f>+NOMINA!J55</f>
        <v>0</v>
      </c>
      <c r="K76" s="1105">
        <f t="shared" si="13"/>
        <v>18</v>
      </c>
      <c r="L76" s="1106" t="s">
        <v>4932</v>
      </c>
      <c r="M76" s="1106"/>
      <c r="N76" s="1443" t="str">
        <f>+NOMINA!O55</f>
        <v>Guia de Centro II</v>
      </c>
      <c r="O76" s="1107">
        <f>ROUND(NOMINA!W55,2)</f>
        <v>114</v>
      </c>
      <c r="P76" s="1107">
        <f>NOMINA!AF55</f>
        <v>25.99</v>
      </c>
      <c r="Q76" s="1107">
        <f>NOMINA!AH55</f>
        <v>65</v>
      </c>
      <c r="R76" s="1107">
        <f>NOMINA!AC55</f>
        <v>0</v>
      </c>
      <c r="S76" s="1107">
        <f>NOMINA!AJ55</f>
        <v>41</v>
      </c>
      <c r="T76" s="1108">
        <f t="shared" si="14"/>
        <v>84.46</v>
      </c>
      <c r="U76" s="1107">
        <f>ROUND(NOMINA!BL55,2)</f>
        <v>29.52</v>
      </c>
      <c r="V76" s="1107">
        <f>ROUND(NOMINA!BM55,2)</f>
        <v>3.69</v>
      </c>
      <c r="W76" s="1107">
        <f>ROUND(+NOMINA!BN55,2)</f>
        <v>6.4</v>
      </c>
      <c r="X76" s="1108">
        <f>ROUND(SUM(U60:V60),2)</f>
        <v>0</v>
      </c>
      <c r="Y76" s="1107">
        <f>ROUND(NOMINA!BJ55,2)</f>
        <v>12.5</v>
      </c>
      <c r="Z76" s="1109">
        <f t="shared" si="12"/>
        <v>206.38</v>
      </c>
    </row>
    <row r="77" spans="1:26" s="620" customFormat="1" ht="20.100000000000001" customHeight="1" thickBot="1" x14ac:dyDescent="0.25">
      <c r="A77" s="758" t="s">
        <v>2846</v>
      </c>
      <c r="B77" s="508">
        <f t="shared" ca="1" si="16"/>
        <v>13</v>
      </c>
      <c r="C77" s="1102">
        <f>+NOMINA!C56</f>
        <v>9177323</v>
      </c>
      <c r="D77" s="1103" t="str">
        <f>+NOMINA!D56</f>
        <v>Simancas de Mendoza Alix Josefina</v>
      </c>
      <c r="E77" s="1468" t="s">
        <v>4622</v>
      </c>
      <c r="F77" s="1704">
        <v>27853</v>
      </c>
      <c r="G77" s="1468" t="s">
        <v>4620</v>
      </c>
      <c r="H77" s="1705">
        <f>+NOMINA!H56</f>
        <v>37879</v>
      </c>
      <c r="I77" s="1105">
        <f>+NOMINA!I56</f>
        <v>22</v>
      </c>
      <c r="J77" s="1106">
        <f>+NOMINA!J56</f>
        <v>0</v>
      </c>
      <c r="K77" s="1105">
        <f t="shared" si="13"/>
        <v>22</v>
      </c>
      <c r="L77" s="1106" t="s">
        <v>4932</v>
      </c>
      <c r="M77" s="1106"/>
      <c r="N77" s="1443" t="str">
        <f>+NOMINA!O56</f>
        <v>Asistente Administrativo III</v>
      </c>
      <c r="O77" s="1107">
        <f>ROUND(NOMINA!W56,2)</f>
        <v>88.5</v>
      </c>
      <c r="P77" s="1107">
        <f>NOMINA!AF56</f>
        <v>26.2</v>
      </c>
      <c r="Q77" s="1107">
        <f>NOMINA!AH56</f>
        <v>65</v>
      </c>
      <c r="R77" s="1107">
        <f>NOMINA!AC56</f>
        <v>0</v>
      </c>
      <c r="S77" s="1107">
        <f>NOMINA!AJ56</f>
        <v>0</v>
      </c>
      <c r="T77" s="1108">
        <f t="shared" si="14"/>
        <v>131.28</v>
      </c>
      <c r="U77" s="1107">
        <f>ROUND(NOMINA!BL56,2)</f>
        <v>0</v>
      </c>
      <c r="V77" s="1107">
        <f>ROUND(NOMINA!BM56,2)</f>
        <v>0</v>
      </c>
      <c r="W77" s="1107">
        <f>ROUND(+NOMINA!BN56,2)</f>
        <v>3.59</v>
      </c>
      <c r="X77" s="1108">
        <f>ROUND(SUM(U61:V61),2)</f>
        <v>0</v>
      </c>
      <c r="Y77" s="1107">
        <f>ROUND(NOMINA!BJ56,2)</f>
        <v>12.5</v>
      </c>
      <c r="Z77" s="1109">
        <f t="shared" si="12"/>
        <v>176.10999999999999</v>
      </c>
    </row>
    <row r="78" spans="1:26" s="620" customFormat="1" ht="20.100000000000001" customHeight="1" thickBot="1" x14ac:dyDescent="0.25">
      <c r="A78" s="758" t="s">
        <v>2846</v>
      </c>
      <c r="B78" s="508">
        <f t="shared" ca="1" si="16"/>
        <v>14</v>
      </c>
      <c r="C78" s="1102">
        <f>+NOMINA!C57</f>
        <v>9178087</v>
      </c>
      <c r="D78" s="1103" t="str">
        <f>+NOMINA!D57</f>
        <v>Saavedra Juan Jose</v>
      </c>
      <c r="E78" s="1468" t="s">
        <v>4622</v>
      </c>
      <c r="F78" s="1704">
        <v>27853</v>
      </c>
      <c r="G78" s="1468" t="s">
        <v>4620</v>
      </c>
      <c r="H78" s="1705">
        <f>+NOMINA!H57</f>
        <v>37622</v>
      </c>
      <c r="I78" s="1105">
        <f>+NOMINA!I57</f>
        <v>22</v>
      </c>
      <c r="J78" s="1106">
        <f>+NOMINA!J57</f>
        <v>0</v>
      </c>
      <c r="K78" s="1105">
        <f t="shared" si="13"/>
        <v>22</v>
      </c>
      <c r="L78" s="1106" t="s">
        <v>4932</v>
      </c>
      <c r="M78" s="1106"/>
      <c r="N78" s="1443" t="str">
        <f>+NOMINA!O57</f>
        <v>Asistente Administrativo III</v>
      </c>
      <c r="O78" s="1107">
        <f>ROUND(NOMINA!W57,2)</f>
        <v>88.5</v>
      </c>
      <c r="P78" s="1107">
        <f>NOMINA!AF57</f>
        <v>26.2</v>
      </c>
      <c r="Q78" s="1107">
        <f>NOMINA!AH57</f>
        <v>65</v>
      </c>
      <c r="R78" s="1107">
        <f>NOMINA!AC57</f>
        <v>0</v>
      </c>
      <c r="S78" s="1107">
        <f>NOMINA!AJ57</f>
        <v>0</v>
      </c>
      <c r="T78" s="1108">
        <f t="shared" si="14"/>
        <v>3886.6900000000005</v>
      </c>
      <c r="U78" s="1107">
        <f>ROUND(NOMINA!BL57,2)</f>
        <v>16.59</v>
      </c>
      <c r="V78" s="1107">
        <f>ROUND(NOMINA!BM57,2)</f>
        <v>2.0699999999999998</v>
      </c>
      <c r="W78" s="1107">
        <f>ROUND(+NOMINA!BN57,2)</f>
        <v>3.59</v>
      </c>
      <c r="X78" s="1108">
        <f>ROUND(SUM(U62:V62),2)</f>
        <v>0</v>
      </c>
      <c r="Y78" s="1107">
        <f>ROUND(NOMINA!BJ57,2)</f>
        <v>12.5</v>
      </c>
      <c r="Z78" s="1109">
        <f t="shared" si="12"/>
        <v>157.44999999999999</v>
      </c>
    </row>
    <row r="79" spans="1:26" s="620" customFormat="1" ht="20.100000000000001" customHeight="1" thickBot="1" x14ac:dyDescent="0.25">
      <c r="A79" s="758" t="s">
        <v>2846</v>
      </c>
      <c r="B79" s="508">
        <f t="shared" ca="1" si="16"/>
        <v>15</v>
      </c>
      <c r="C79" s="1102">
        <f>+NOMINA!C58</f>
        <v>9179981</v>
      </c>
      <c r="D79" s="1103" t="str">
        <f>+NOMINA!D58</f>
        <v>Manzanilla Molina Alfredo Jose</v>
      </c>
      <c r="E79" s="1468" t="s">
        <v>4622</v>
      </c>
      <c r="F79" s="1704">
        <v>27853</v>
      </c>
      <c r="G79" s="1468" t="s">
        <v>4620</v>
      </c>
      <c r="H79" s="1705">
        <f>+NOMINA!H58</f>
        <v>45597</v>
      </c>
      <c r="I79" s="1105">
        <f>+NOMINA!I58</f>
        <v>0</v>
      </c>
      <c r="J79" s="1106">
        <f>+NOMINA!J58</f>
        <v>18</v>
      </c>
      <c r="K79" s="1105">
        <f t="shared" si="13"/>
        <v>18</v>
      </c>
      <c r="L79" s="1106" t="s">
        <v>4932</v>
      </c>
      <c r="M79" s="1106"/>
      <c r="N79" s="1443" t="str">
        <f>+NOMINA!O58</f>
        <v>Instructor Agropecuario III</v>
      </c>
      <c r="O79" s="1107">
        <f>ROUND(NOMINA!W58,2)</f>
        <v>88.5</v>
      </c>
      <c r="P79" s="1107">
        <f>NOMINA!AF58</f>
        <v>20.18</v>
      </c>
      <c r="Q79" s="1107">
        <f>NOMINA!AH58</f>
        <v>65</v>
      </c>
      <c r="R79" s="1107">
        <f>NOMINA!AC58</f>
        <v>0</v>
      </c>
      <c r="S79" s="1107">
        <f>NOMINA!AJ58</f>
        <v>43.42</v>
      </c>
      <c r="T79" s="1108">
        <f t="shared" si="14"/>
        <v>0</v>
      </c>
      <c r="U79" s="1107">
        <f>ROUND(NOMINA!BL58,2)</f>
        <v>20.04</v>
      </c>
      <c r="V79" s="1107">
        <f>ROUND(NOMINA!BM58,2)</f>
        <v>2.5099999999999998</v>
      </c>
      <c r="W79" s="1107">
        <f>ROUND(+NOMINA!BN58,2)</f>
        <v>4.34</v>
      </c>
      <c r="X79" s="1108">
        <f>ROUND(SUM(U63:V63),2)</f>
        <v>0</v>
      </c>
      <c r="Y79" s="1107">
        <f>ROUND(NOMINA!BJ58,2)</f>
        <v>12.5</v>
      </c>
      <c r="Z79" s="1109">
        <f t="shared" si="12"/>
        <v>190.21000000000004</v>
      </c>
    </row>
    <row r="80" spans="1:26" s="620" customFormat="1" ht="20.100000000000001" customHeight="1" thickBot="1" x14ac:dyDescent="0.25">
      <c r="A80" s="758" t="s">
        <v>2846</v>
      </c>
      <c r="B80" s="508">
        <f t="shared" ca="1" si="16"/>
        <v>16</v>
      </c>
      <c r="C80" s="1102">
        <f>+NOMINA!C59</f>
        <v>9311822</v>
      </c>
      <c r="D80" s="1103" t="str">
        <f>+NOMINA!D59</f>
        <v>Rojo Sanchez Alexis Omar</v>
      </c>
      <c r="E80" s="1468" t="s">
        <v>4622</v>
      </c>
      <c r="F80" s="1704">
        <v>27853</v>
      </c>
      <c r="G80" s="1468" t="s">
        <v>4620</v>
      </c>
      <c r="H80" s="1705">
        <f>+NOMINA!H59</f>
        <v>37662</v>
      </c>
      <c r="I80" s="1105">
        <f>+NOMINA!I59</f>
        <v>22</v>
      </c>
      <c r="J80" s="1106">
        <f>+NOMINA!J59</f>
        <v>0</v>
      </c>
      <c r="K80" s="1105">
        <f t="shared" si="13"/>
        <v>22</v>
      </c>
      <c r="L80" s="1106" t="s">
        <v>4932</v>
      </c>
      <c r="M80" s="1106"/>
      <c r="N80" s="1443" t="str">
        <f>+NOMINA!O59</f>
        <v>Asistente Administrativo III</v>
      </c>
      <c r="O80" s="1107">
        <f>ROUND(NOMINA!W59,2)</f>
        <v>0</v>
      </c>
      <c r="P80" s="1107">
        <f>NOMINA!AF59</f>
        <v>0</v>
      </c>
      <c r="Q80" s="1107">
        <f>NOMINA!AH59</f>
        <v>0</v>
      </c>
      <c r="R80" s="1107">
        <f>NOMINA!AC59</f>
        <v>0</v>
      </c>
      <c r="S80" s="1107">
        <f>NOMINA!AJ59</f>
        <v>0</v>
      </c>
      <c r="T80" s="1108" t="e">
        <f t="shared" si="14"/>
        <v>#VALUE!</v>
      </c>
      <c r="U80" s="1107">
        <f>ROUND(NOMINA!BL59,2)</f>
        <v>0</v>
      </c>
      <c r="V80" s="1107">
        <f>ROUND(NOMINA!BM59,2)</f>
        <v>0</v>
      </c>
      <c r="W80" s="1107">
        <f>ROUND(+NOMINA!BN59,2)</f>
        <v>0</v>
      </c>
      <c r="X80" s="1108">
        <f t="shared" si="15"/>
        <v>0</v>
      </c>
      <c r="Y80" s="1107">
        <f>ROUND(NOMINA!BJ59,2)</f>
        <v>0</v>
      </c>
      <c r="Z80" s="1109">
        <f t="shared" si="12"/>
        <v>0</v>
      </c>
    </row>
    <row r="81" spans="1:26" s="620" customFormat="1" ht="20.100000000000001" customHeight="1" thickBot="1" x14ac:dyDescent="0.25">
      <c r="A81" s="758" t="s">
        <v>2846</v>
      </c>
      <c r="B81" s="508">
        <f t="shared" ca="1" si="16"/>
        <v>17</v>
      </c>
      <c r="C81" s="1102">
        <f>+NOMINA!C60</f>
        <v>9315117</v>
      </c>
      <c r="D81" s="1103" t="str">
        <f>+NOMINA!D60</f>
        <v>Palma de Briceño Sonia Josefina</v>
      </c>
      <c r="E81" s="1468" t="s">
        <v>4622</v>
      </c>
      <c r="F81" s="1704">
        <v>27853</v>
      </c>
      <c r="G81" s="1468" t="s">
        <v>4620</v>
      </c>
      <c r="H81" s="1705">
        <f>+NOMINA!H60</f>
        <v>38412</v>
      </c>
      <c r="I81" s="1105">
        <f>+NOMINA!I60</f>
        <v>20</v>
      </c>
      <c r="J81" s="1106">
        <f>+NOMINA!J60</f>
        <v>0</v>
      </c>
      <c r="K81" s="1105">
        <f t="shared" si="13"/>
        <v>20</v>
      </c>
      <c r="L81" s="1106" t="s">
        <v>4932</v>
      </c>
      <c r="M81" s="1106"/>
      <c r="N81" s="1443" t="str">
        <f>+NOMINA!O60</f>
        <v>Analista de Personal V</v>
      </c>
      <c r="O81" s="1107">
        <f>ROUND(NOMINA!W60,2)</f>
        <v>143.5</v>
      </c>
      <c r="P81" s="1107">
        <f>NOMINA!AF60</f>
        <v>37.31</v>
      </c>
      <c r="Q81" s="1107">
        <f>NOMINA!AH60</f>
        <v>65</v>
      </c>
      <c r="R81" s="1107">
        <f>NOMINA!AC60</f>
        <v>0</v>
      </c>
      <c r="S81" s="1107">
        <f>NOMINA!AJ60</f>
        <v>61.46</v>
      </c>
      <c r="T81" s="1108">
        <f t="shared" si="14"/>
        <v>0</v>
      </c>
      <c r="U81" s="1107">
        <f>ROUND(NOMINA!BL60,2)</f>
        <v>28.36</v>
      </c>
      <c r="V81" s="1107">
        <f>ROUND(NOMINA!BM60,2)</f>
        <v>3.55</v>
      </c>
      <c r="W81" s="1107">
        <f>ROUND(+NOMINA!BN60,2)</f>
        <v>6.15</v>
      </c>
      <c r="X81" s="1108">
        <f t="shared" si="15"/>
        <v>32.15</v>
      </c>
      <c r="Y81" s="1107">
        <f>ROUND(NOMINA!BJ60,2)</f>
        <v>12.5</v>
      </c>
      <c r="Z81" s="1109">
        <f t="shared" si="12"/>
        <v>269.20999999999998</v>
      </c>
    </row>
    <row r="82" spans="1:26" s="620" customFormat="1" ht="20.100000000000001" customHeight="1" thickBot="1" x14ac:dyDescent="0.25">
      <c r="A82" s="758" t="s">
        <v>2846</v>
      </c>
      <c r="B82" s="508">
        <f t="shared" ca="1" si="16"/>
        <v>18</v>
      </c>
      <c r="C82" s="1102">
        <f>+NOMINA!C61</f>
        <v>9315325</v>
      </c>
      <c r="D82" s="1103" t="str">
        <f>+NOMINA!D61</f>
        <v>Gonzalez Hernandez Marianela</v>
      </c>
      <c r="E82" s="1468" t="s">
        <v>4622</v>
      </c>
      <c r="F82" s="1704">
        <v>27853</v>
      </c>
      <c r="G82" s="1468" t="s">
        <v>4620</v>
      </c>
      <c r="H82" s="1705">
        <f>+NOMINA!H61</f>
        <v>39678</v>
      </c>
      <c r="I82" s="1105">
        <f>+NOMINA!I61</f>
        <v>17</v>
      </c>
      <c r="J82" s="1106">
        <f>+NOMINA!J61</f>
        <v>2</v>
      </c>
      <c r="K82" s="1105">
        <f t="shared" si="13"/>
        <v>19</v>
      </c>
      <c r="L82" s="1106" t="s">
        <v>4932</v>
      </c>
      <c r="M82" s="1106"/>
      <c r="N82" s="1443" t="str">
        <f>+NOMINA!O61</f>
        <v>Asistente Administrativo IV</v>
      </c>
      <c r="O82" s="1107">
        <f>ROUND(NOMINA!W61,2)</f>
        <v>114</v>
      </c>
      <c r="P82" s="1107">
        <f>NOMINA!AF61</f>
        <v>27.82</v>
      </c>
      <c r="Q82" s="1107">
        <f>NOMINA!AH61</f>
        <v>65</v>
      </c>
      <c r="R82" s="1107">
        <f>NOMINA!AC61</f>
        <v>0</v>
      </c>
      <c r="S82" s="1107">
        <f>NOMINA!AJ61</f>
        <v>41.37</v>
      </c>
      <c r="T82" s="1108">
        <f t="shared" si="14"/>
        <v>0</v>
      </c>
      <c r="U82" s="1107">
        <f>ROUND(NOMINA!BL61,2)</f>
        <v>22.91</v>
      </c>
      <c r="V82" s="1107">
        <f>ROUND(NOMINA!BM61,2)</f>
        <v>2.86</v>
      </c>
      <c r="W82" s="1107">
        <f>ROUND(+NOMINA!BN61,2)</f>
        <v>4.96</v>
      </c>
      <c r="X82" s="1108">
        <f t="shared" si="15"/>
        <v>21.26</v>
      </c>
      <c r="Y82" s="1107">
        <f>ROUND(NOMINA!BJ61,2)</f>
        <v>12.5</v>
      </c>
      <c r="Z82" s="1109">
        <f t="shared" si="12"/>
        <v>217.46</v>
      </c>
    </row>
    <row r="83" spans="1:26" s="620" customFormat="1" ht="20.100000000000001" customHeight="1" thickBot="1" x14ac:dyDescent="0.25">
      <c r="A83" s="758" t="s">
        <v>2846</v>
      </c>
      <c r="B83" s="508">
        <f t="shared" ca="1" si="16"/>
        <v>19</v>
      </c>
      <c r="C83" s="1102">
        <f>+NOMINA!C62</f>
        <v>9316224</v>
      </c>
      <c r="D83" s="1103" t="str">
        <f>+NOMINA!D62</f>
        <v>Sanchez Barrios Magalis del Carmen</v>
      </c>
      <c r="E83" s="1468" t="s">
        <v>4622</v>
      </c>
      <c r="F83" s="1704">
        <v>27853</v>
      </c>
      <c r="G83" s="1468" t="s">
        <v>4620</v>
      </c>
      <c r="H83" s="1705">
        <f>+NOMINA!H62</f>
        <v>44317</v>
      </c>
      <c r="I83" s="1105">
        <f>+NOMINA!I62</f>
        <v>4</v>
      </c>
      <c r="J83" s="1106">
        <f>+NOMINA!J62</f>
        <v>0</v>
      </c>
      <c r="K83" s="1105">
        <f t="shared" si="13"/>
        <v>4</v>
      </c>
      <c r="L83" s="1106" t="s">
        <v>4932</v>
      </c>
      <c r="M83" s="1106"/>
      <c r="N83" s="1443" t="str">
        <f>+NOMINA!O62</f>
        <v>Tecnico Superior en Trabajo Social II</v>
      </c>
      <c r="O83" s="1107">
        <f>ROUND(NOMINA!W62,2)</f>
        <v>109.5</v>
      </c>
      <c r="P83" s="1107">
        <f>NOMINA!AF62</f>
        <v>4.38</v>
      </c>
      <c r="Q83" s="1107">
        <f>NOMINA!AH62</f>
        <v>65</v>
      </c>
      <c r="R83" s="1107">
        <f>NOMINA!AC62</f>
        <v>0</v>
      </c>
      <c r="S83" s="1107">
        <f>NOMINA!AJ62</f>
        <v>35.78</v>
      </c>
      <c r="T83" s="1108">
        <f t="shared" si="14"/>
        <v>0</v>
      </c>
      <c r="U83" s="1107">
        <f>ROUND(NOMINA!BL62,2)</f>
        <v>19.809999999999999</v>
      </c>
      <c r="V83" s="1107">
        <f>ROUND(NOMINA!BM62,2)</f>
        <v>2.48</v>
      </c>
      <c r="W83" s="1107">
        <f>ROUND(+NOMINA!BN62,2)</f>
        <v>4.29</v>
      </c>
      <c r="X83" s="1108">
        <f t="shared" si="15"/>
        <v>6.29</v>
      </c>
      <c r="Y83" s="1107">
        <f>ROUND(NOMINA!BJ62,2)</f>
        <v>12.5</v>
      </c>
      <c r="Z83" s="1109">
        <f t="shared" si="12"/>
        <v>188.07999999999998</v>
      </c>
    </row>
    <row r="84" spans="1:26" s="620" customFormat="1" ht="20.100000000000001" customHeight="1" thickBot="1" x14ac:dyDescent="0.25">
      <c r="A84" s="758" t="s">
        <v>2846</v>
      </c>
      <c r="B84" s="508">
        <f t="shared" ca="1" si="16"/>
        <v>20</v>
      </c>
      <c r="C84" s="1102">
        <f>+NOMINA!C63</f>
        <v>9323927</v>
      </c>
      <c r="D84" s="1103" t="str">
        <f>+NOMINA!D63</f>
        <v>Cardozo Garcia Jorge Antonio</v>
      </c>
      <c r="E84" s="1468" t="s">
        <v>4622</v>
      </c>
      <c r="F84" s="1704">
        <v>27853</v>
      </c>
      <c r="G84" s="1468" t="s">
        <v>4620</v>
      </c>
      <c r="H84" s="1705">
        <f>+NOMINA!H63</f>
        <v>35704</v>
      </c>
      <c r="I84" s="1105">
        <f>+NOMINA!I63</f>
        <v>27</v>
      </c>
      <c r="J84" s="1106">
        <f>+NOMINA!J63</f>
        <v>0</v>
      </c>
      <c r="K84" s="1105">
        <f t="shared" si="13"/>
        <v>27</v>
      </c>
      <c r="L84" s="1106" t="s">
        <v>4932</v>
      </c>
      <c r="M84" s="1106"/>
      <c r="N84" s="1443" t="str">
        <f>+NOMINA!O63</f>
        <v>Guia de Centro II</v>
      </c>
      <c r="O84" s="1107">
        <f>ROUND(NOMINA!W63,2)</f>
        <v>88.5</v>
      </c>
      <c r="P84" s="1107">
        <f>NOMINA!AF63</f>
        <v>26.55</v>
      </c>
      <c r="Q84" s="1107">
        <f>NOMINA!AH63</f>
        <v>65</v>
      </c>
      <c r="R84" s="1107">
        <f>NOMINA!AC63</f>
        <v>0</v>
      </c>
      <c r="S84" s="1107">
        <f>NOMINA!AJ63</f>
        <v>0</v>
      </c>
      <c r="T84" s="1108" t="e">
        <f t="shared" si="14"/>
        <v>#VALUE!</v>
      </c>
      <c r="U84" s="1107">
        <f>ROUND(NOMINA!BL63,2)</f>
        <v>16.62</v>
      </c>
      <c r="V84" s="1107">
        <f>ROUND(NOMINA!BM63,2)</f>
        <v>2.08</v>
      </c>
      <c r="W84" s="1107">
        <f>ROUND(+NOMINA!BN63,2)</f>
        <v>3.6</v>
      </c>
      <c r="X84" s="1108">
        <f t="shared" si="15"/>
        <v>30.02</v>
      </c>
      <c r="Y84" s="1107">
        <f>ROUND(NOMINA!BJ63,2)</f>
        <v>12.5</v>
      </c>
      <c r="Z84" s="1109">
        <f t="shared" si="12"/>
        <v>157.75</v>
      </c>
    </row>
    <row r="85" spans="1:26" s="620" customFormat="1" ht="20.100000000000001" customHeight="1" thickBot="1" x14ac:dyDescent="0.25">
      <c r="A85" s="758" t="s">
        <v>2846</v>
      </c>
      <c r="B85" s="508">
        <f t="shared" ca="1" si="16"/>
        <v>21</v>
      </c>
      <c r="C85" s="1102">
        <f>+NOMINA!C64</f>
        <v>9327253</v>
      </c>
      <c r="D85" s="1103" t="str">
        <f>+NOMINA!D64</f>
        <v>Garcia Araujo Jose Domingo</v>
      </c>
      <c r="E85" s="1468" t="s">
        <v>4622</v>
      </c>
      <c r="F85" s="1704">
        <v>27853</v>
      </c>
      <c r="G85" s="1468" t="s">
        <v>4620</v>
      </c>
      <c r="H85" s="1705">
        <f>+NOMINA!H64</f>
        <v>38930</v>
      </c>
      <c r="I85" s="1105">
        <f>+NOMINA!I64</f>
        <v>19</v>
      </c>
      <c r="J85" s="1106">
        <f>+NOMINA!J64</f>
        <v>0</v>
      </c>
      <c r="K85" s="1105">
        <f t="shared" si="13"/>
        <v>19</v>
      </c>
      <c r="L85" s="1106" t="s">
        <v>4932</v>
      </c>
      <c r="M85" s="1106"/>
      <c r="N85" s="1443" t="str">
        <f>+NOMINA!O64</f>
        <v>Analista de Presupuesto III</v>
      </c>
      <c r="O85" s="1107">
        <f>ROUND(NOMINA!W64,2)</f>
        <v>143.5</v>
      </c>
      <c r="P85" s="1107">
        <f>NOMINA!AF64</f>
        <v>35.020000000000003</v>
      </c>
      <c r="Q85" s="1107">
        <f>NOMINA!AH64</f>
        <v>65</v>
      </c>
      <c r="R85" s="1107">
        <f>NOMINA!AC64</f>
        <v>0</v>
      </c>
      <c r="S85" s="1107">
        <f>NOMINA!AJ64</f>
        <v>0</v>
      </c>
      <c r="T85" s="1108" t="e">
        <f t="shared" si="14"/>
        <v>#VALUE!</v>
      </c>
      <c r="U85" s="1107">
        <f>ROUND(NOMINA!BL64,2)</f>
        <v>22.48</v>
      </c>
      <c r="V85" s="1107">
        <f>ROUND(NOMINA!BM64,2)</f>
        <v>2.81</v>
      </c>
      <c r="W85" s="1107">
        <f>ROUND(+NOMINA!BN64,2)</f>
        <v>4.87</v>
      </c>
      <c r="X85" s="1108">
        <f t="shared" si="15"/>
        <v>32.299999999999997</v>
      </c>
      <c r="Y85" s="1107">
        <f>ROUND(NOMINA!BJ64,2)</f>
        <v>12.5</v>
      </c>
      <c r="Z85" s="1109">
        <f t="shared" si="12"/>
        <v>213.36</v>
      </c>
    </row>
    <row r="86" spans="1:26" s="620" customFormat="1" ht="20.100000000000001" customHeight="1" thickBot="1" x14ac:dyDescent="0.25">
      <c r="A86" s="758" t="s">
        <v>2846</v>
      </c>
      <c r="B86" s="508">
        <f t="shared" ca="1" si="16"/>
        <v>22</v>
      </c>
      <c r="C86" s="1102">
        <f>+NOMINA!C65</f>
        <v>9328157</v>
      </c>
      <c r="D86" s="1103" t="str">
        <f>+NOMINA!D65</f>
        <v>Perez Salas Olga Margarita</v>
      </c>
      <c r="E86" s="1468" t="s">
        <v>4622</v>
      </c>
      <c r="F86" s="1704">
        <v>27853</v>
      </c>
      <c r="G86" s="1468" t="s">
        <v>4620</v>
      </c>
      <c r="H86" s="1705">
        <f>+NOMINA!H65</f>
        <v>41153</v>
      </c>
      <c r="I86" s="1105">
        <f>+NOMINA!I65</f>
        <v>13</v>
      </c>
      <c r="J86" s="1106">
        <f>+NOMINA!J65</f>
        <v>0</v>
      </c>
      <c r="K86" s="1105">
        <f t="shared" si="13"/>
        <v>13</v>
      </c>
      <c r="L86" s="1106" t="s">
        <v>4932</v>
      </c>
      <c r="M86" s="1106"/>
      <c r="N86" s="1443" t="str">
        <f>+NOMINA!O65</f>
        <v>Guia de Centro II</v>
      </c>
      <c r="O86" s="1107">
        <f>ROUND(NOMINA!W65,2)</f>
        <v>87</v>
      </c>
      <c r="P86" s="1107">
        <f>NOMINA!AF65</f>
        <v>13.23</v>
      </c>
      <c r="Q86" s="1107">
        <f>NOMINA!AH65</f>
        <v>65</v>
      </c>
      <c r="R86" s="1107">
        <f>NOMINA!AC65</f>
        <v>0</v>
      </c>
      <c r="S86" s="1107">
        <f>NOMINA!AJ65</f>
        <v>0</v>
      </c>
      <c r="T86" s="1108" t="e">
        <f t="shared" si="14"/>
        <v>#VALUE!</v>
      </c>
      <c r="U86" s="1107">
        <f>ROUND(NOMINA!BL65,2)</f>
        <v>15.25</v>
      </c>
      <c r="V86" s="1107">
        <f>ROUND(NOMINA!BM65,2)</f>
        <v>1.91</v>
      </c>
      <c r="W86" s="1107">
        <f>ROUND(+NOMINA!BN65,2)</f>
        <v>3.3</v>
      </c>
      <c r="X86" s="1108">
        <f t="shared" si="15"/>
        <v>26.42</v>
      </c>
      <c r="Y86" s="1107">
        <f>ROUND(NOMINA!BJ65,2)</f>
        <v>12.5</v>
      </c>
      <c r="Z86" s="1109">
        <f t="shared" si="12"/>
        <v>144.77000000000001</v>
      </c>
    </row>
    <row r="87" spans="1:26" s="620" customFormat="1" ht="20.100000000000001" customHeight="1" thickBot="1" x14ac:dyDescent="0.25">
      <c r="A87" s="758" t="s">
        <v>2846</v>
      </c>
      <c r="B87" s="508">
        <f t="shared" ca="1" si="16"/>
        <v>23</v>
      </c>
      <c r="C87" s="1102">
        <f>+NOMINA!C66</f>
        <v>9328224</v>
      </c>
      <c r="D87" s="1103" t="str">
        <f>+NOMINA!D66</f>
        <v>Abreu Araujo Omar Antonio</v>
      </c>
      <c r="E87" s="1468" t="s">
        <v>4622</v>
      </c>
      <c r="F87" s="1704">
        <v>27853</v>
      </c>
      <c r="G87" s="1468" t="s">
        <v>4620</v>
      </c>
      <c r="H87" s="1705">
        <f>+NOMINA!H66</f>
        <v>39356</v>
      </c>
      <c r="I87" s="1105">
        <f>+NOMINA!I66</f>
        <v>17</v>
      </c>
      <c r="J87" s="1106">
        <f>+NOMINA!J66</f>
        <v>2</v>
      </c>
      <c r="K87" s="1105">
        <f t="shared" si="13"/>
        <v>19</v>
      </c>
      <c r="L87" s="1106" t="s">
        <v>4932</v>
      </c>
      <c r="M87" s="1106"/>
      <c r="N87" s="1443" t="str">
        <f>+NOMINA!O66</f>
        <v>Tecnico Agropecuario III</v>
      </c>
      <c r="O87" s="1107">
        <f>ROUND(NOMINA!W66,2)</f>
        <v>114</v>
      </c>
      <c r="P87" s="1107">
        <f>NOMINA!AF66</f>
        <v>27.82</v>
      </c>
      <c r="Q87" s="1107">
        <f>NOMINA!AH66</f>
        <v>65</v>
      </c>
      <c r="R87" s="1107">
        <f>NOMINA!AC66</f>
        <v>0</v>
      </c>
      <c r="S87" s="1107">
        <f>NOMINA!AJ66</f>
        <v>0</v>
      </c>
      <c r="T87" s="1108">
        <f t="shared" si="14"/>
        <v>0</v>
      </c>
      <c r="U87" s="1107">
        <f>ROUND(NOMINA!BL66,2)</f>
        <v>19.09</v>
      </c>
      <c r="V87" s="1107">
        <f>ROUND(NOMINA!BM66,2)</f>
        <v>2.39</v>
      </c>
      <c r="W87" s="1107">
        <f>ROUND(+NOMINA!BN66,2)</f>
        <v>4.1399999999999997</v>
      </c>
      <c r="X87" s="1108">
        <f t="shared" si="15"/>
        <v>22.3</v>
      </c>
      <c r="Y87" s="1107">
        <f>ROUND(NOMINA!BJ66,2)</f>
        <v>12.5</v>
      </c>
      <c r="Z87" s="1109">
        <f t="shared" si="12"/>
        <v>181.2</v>
      </c>
    </row>
    <row r="88" spans="1:26" s="620" customFormat="1" ht="20.100000000000001" customHeight="1" thickBot="1" x14ac:dyDescent="0.25">
      <c r="A88" s="758" t="s">
        <v>2846</v>
      </c>
      <c r="B88" s="508">
        <f t="shared" ca="1" si="16"/>
        <v>24</v>
      </c>
      <c r="C88" s="1102">
        <f>+NOMINA!C67</f>
        <v>9495661</v>
      </c>
      <c r="D88" s="1103" t="str">
        <f>+NOMINA!D67</f>
        <v>Aguial Carrillo Gregoria Coromoto</v>
      </c>
      <c r="E88" s="1468" t="s">
        <v>4622</v>
      </c>
      <c r="F88" s="1704">
        <v>27853</v>
      </c>
      <c r="G88" s="1468" t="s">
        <v>4620</v>
      </c>
      <c r="H88" s="1705">
        <f>+NOMINA!H67</f>
        <v>39692</v>
      </c>
      <c r="I88" s="1105">
        <f>+NOMINA!I67</f>
        <v>17</v>
      </c>
      <c r="J88" s="1106">
        <f>+NOMINA!J67</f>
        <v>0</v>
      </c>
      <c r="K88" s="1105">
        <f t="shared" si="13"/>
        <v>17</v>
      </c>
      <c r="L88" s="1106" t="s">
        <v>4932</v>
      </c>
      <c r="M88" s="1106"/>
      <c r="N88" s="1443" t="str">
        <f>+NOMINA!O67</f>
        <v>Jefe de Centro</v>
      </c>
      <c r="O88" s="1107">
        <f>ROUND(NOMINA!W67,2)</f>
        <v>0</v>
      </c>
      <c r="P88" s="1107">
        <f>NOMINA!AF67</f>
        <v>0</v>
      </c>
      <c r="Q88" s="1107">
        <f>NOMINA!AH67</f>
        <v>0</v>
      </c>
      <c r="R88" s="1107">
        <f>NOMINA!AC67</f>
        <v>0</v>
      </c>
      <c r="S88" s="1107">
        <f>NOMINA!AJ67</f>
        <v>0</v>
      </c>
      <c r="T88" s="1108">
        <f t="shared" si="14"/>
        <v>121.08</v>
      </c>
      <c r="U88" s="1107">
        <f>ROUND(NOMINA!BL67,2)</f>
        <v>0</v>
      </c>
      <c r="V88" s="1107">
        <f>ROUND(NOMINA!BM67,2)</f>
        <v>0</v>
      </c>
      <c r="W88" s="1107">
        <f>ROUND(+NOMINA!BN67,2)</f>
        <v>0</v>
      </c>
      <c r="X88" s="1108">
        <f t="shared" si="15"/>
        <v>0</v>
      </c>
      <c r="Y88" s="1107">
        <f>ROUND(NOMINA!BJ67,2)</f>
        <v>0</v>
      </c>
      <c r="Z88" s="1109">
        <f t="shared" si="12"/>
        <v>0</v>
      </c>
    </row>
    <row r="89" spans="1:26" s="620" customFormat="1" ht="20.100000000000001" customHeight="1" thickBot="1" x14ac:dyDescent="0.25">
      <c r="A89" s="758" t="s">
        <v>2846</v>
      </c>
      <c r="B89" s="508">
        <f t="shared" ca="1" si="16"/>
        <v>25</v>
      </c>
      <c r="C89" s="1102">
        <f>+NOMINA!C68</f>
        <v>9496860</v>
      </c>
      <c r="D89" s="1103" t="str">
        <f>+NOMINA!D68</f>
        <v>Hernandez Valero Jose Alfredo</v>
      </c>
      <c r="E89" s="1468" t="s">
        <v>4622</v>
      </c>
      <c r="F89" s="1704">
        <v>27853</v>
      </c>
      <c r="G89" s="1468" t="s">
        <v>4620</v>
      </c>
      <c r="H89" s="1705">
        <f>+NOMINA!H68</f>
        <v>43877</v>
      </c>
      <c r="I89" s="1105">
        <f>+NOMINA!I68</f>
        <v>5</v>
      </c>
      <c r="J89" s="1106">
        <f>+NOMINA!J68</f>
        <v>12</v>
      </c>
      <c r="K89" s="1105">
        <f t="shared" si="13"/>
        <v>17</v>
      </c>
      <c r="L89" s="1106" t="s">
        <v>4932</v>
      </c>
      <c r="M89" s="1106"/>
      <c r="N89" s="1443" t="str">
        <f>+NOMINA!O68</f>
        <v>AUDITOR III</v>
      </c>
      <c r="O89" s="1107">
        <f>ROUND(NOMINA!W68,2)</f>
        <v>142.5</v>
      </c>
      <c r="P89" s="1107">
        <f>NOMINA!AF68</f>
        <v>30.21</v>
      </c>
      <c r="Q89" s="1107">
        <f>NOMINA!AH68</f>
        <v>65</v>
      </c>
      <c r="R89" s="1107">
        <f>NOMINA!AC68</f>
        <v>0</v>
      </c>
      <c r="S89" s="1107">
        <f>NOMINA!AJ68</f>
        <v>59.43</v>
      </c>
      <c r="T89" s="1108">
        <f t="shared" si="14"/>
        <v>83.66</v>
      </c>
      <c r="U89" s="1107">
        <f>ROUND(NOMINA!BL68,2)</f>
        <v>27.43</v>
      </c>
      <c r="V89" s="1107">
        <f>ROUND(NOMINA!BM68,2)</f>
        <v>3.43</v>
      </c>
      <c r="W89" s="1107">
        <f>ROUND(+NOMINA!BN68,2)</f>
        <v>5.94</v>
      </c>
      <c r="X89" s="1108">
        <f t="shared" si="15"/>
        <v>37.96</v>
      </c>
      <c r="Y89" s="1107">
        <f>ROUND(NOMINA!BJ68,2)</f>
        <v>12.5</v>
      </c>
      <c r="Z89" s="1109">
        <f t="shared" si="12"/>
        <v>260.33999999999997</v>
      </c>
    </row>
    <row r="90" spans="1:26" s="620" customFormat="1" ht="20.100000000000001" customHeight="1" thickBot="1" x14ac:dyDescent="0.25">
      <c r="A90" s="758" t="s">
        <v>2846</v>
      </c>
      <c r="B90" s="508">
        <f t="shared" ca="1" si="16"/>
        <v>26</v>
      </c>
      <c r="C90" s="1102">
        <f>+NOMINA!C69</f>
        <v>9497151</v>
      </c>
      <c r="D90" s="1103" t="str">
        <f>+NOMINA!D69</f>
        <v>Mendoza Vieras Pedro Luis</v>
      </c>
      <c r="E90" s="1468" t="s">
        <v>4622</v>
      </c>
      <c r="F90" s="1704">
        <v>27853</v>
      </c>
      <c r="G90" s="1468" t="s">
        <v>4620</v>
      </c>
      <c r="H90" s="1705">
        <f>+NOMINA!H69</f>
        <v>36770</v>
      </c>
      <c r="I90" s="1105">
        <f>+NOMINA!I69</f>
        <v>25</v>
      </c>
      <c r="J90" s="1106">
        <f>+NOMINA!J69</f>
        <v>0</v>
      </c>
      <c r="K90" s="1105">
        <f t="shared" si="13"/>
        <v>25</v>
      </c>
      <c r="L90" s="1106" t="s">
        <v>4932</v>
      </c>
      <c r="M90" s="1106"/>
      <c r="N90" s="1443" t="str">
        <f>+NOMINA!O69</f>
        <v>Ingeniero Industrial II</v>
      </c>
      <c r="O90" s="1107">
        <f>ROUND(NOMINA!W69,2)</f>
        <v>143.5</v>
      </c>
      <c r="P90" s="1107">
        <f>NOMINA!AF69</f>
        <v>43.05</v>
      </c>
      <c r="Q90" s="1107">
        <f>NOMINA!AH69</f>
        <v>65</v>
      </c>
      <c r="R90" s="1107">
        <f>NOMINA!AC69</f>
        <v>0</v>
      </c>
      <c r="S90" s="1107">
        <f>NOMINA!AJ69</f>
        <v>62.89</v>
      </c>
      <c r="T90" s="1108">
        <f t="shared" si="14"/>
        <v>170.94</v>
      </c>
      <c r="U90" s="1107">
        <f>ROUND(NOMINA!BL69,2)</f>
        <v>29.03</v>
      </c>
      <c r="V90" s="1107">
        <f>ROUND(NOMINA!BM69,2)</f>
        <v>3.63</v>
      </c>
      <c r="W90" s="1107">
        <f>ROUND(+NOMINA!BN69,2)</f>
        <v>6.29</v>
      </c>
      <c r="X90" s="1108">
        <f t="shared" si="15"/>
        <v>28.67</v>
      </c>
      <c r="Y90" s="1107">
        <f>ROUND(NOMINA!BJ69,2)</f>
        <v>12.5</v>
      </c>
      <c r="Z90" s="1109">
        <f t="shared" si="12"/>
        <v>275.49</v>
      </c>
    </row>
    <row r="91" spans="1:26" s="620" customFormat="1" ht="20.100000000000001" customHeight="1" thickBot="1" x14ac:dyDescent="0.25">
      <c r="A91" s="758" t="s">
        <v>2846</v>
      </c>
      <c r="B91" s="508">
        <f t="shared" ca="1" si="16"/>
        <v>27</v>
      </c>
      <c r="C91" s="1102">
        <f>+NOMINA!C70</f>
        <v>9497349</v>
      </c>
      <c r="D91" s="1103" t="str">
        <f>+NOMINA!D70</f>
        <v>Cano Blanco Juan Carlos</v>
      </c>
      <c r="E91" s="1468" t="s">
        <v>4622</v>
      </c>
      <c r="F91" s="1704">
        <v>27853</v>
      </c>
      <c r="G91" s="1468" t="s">
        <v>4620</v>
      </c>
      <c r="H91" s="1705">
        <f>+NOMINA!H70</f>
        <v>45809</v>
      </c>
      <c r="I91" s="1105">
        <f>+NOMINA!I70</f>
        <v>0</v>
      </c>
      <c r="J91" s="1106">
        <f>+NOMINA!J70</f>
        <v>0</v>
      </c>
      <c r="K91" s="1105">
        <f t="shared" si="13"/>
        <v>0</v>
      </c>
      <c r="L91" s="1106" t="s">
        <v>4932</v>
      </c>
      <c r="M91" s="1106"/>
      <c r="N91" s="1443" t="str">
        <f>+NOMINA!O70</f>
        <v>Guia de Centro I</v>
      </c>
      <c r="O91" s="1107">
        <f>ROUND(NOMINA!W70,2)</f>
        <v>65</v>
      </c>
      <c r="P91" s="1107">
        <f>NOMINA!AF70</f>
        <v>0</v>
      </c>
      <c r="Q91" s="1107">
        <f>NOMINA!AH70</f>
        <v>65</v>
      </c>
      <c r="R91" s="1107">
        <f>NOMINA!AC70</f>
        <v>0</v>
      </c>
      <c r="S91" s="1107">
        <f>NOMINA!AJ70</f>
        <v>0</v>
      </c>
      <c r="T91" s="1108">
        <f t="shared" si="14"/>
        <v>129.35000000000002</v>
      </c>
      <c r="U91" s="1107">
        <f>ROUND(NOMINA!BL70,2)</f>
        <v>15.6</v>
      </c>
      <c r="V91" s="1107">
        <f>ROUND(NOMINA!BM70,2)</f>
        <v>1.95</v>
      </c>
      <c r="W91" s="1107">
        <f>ROUND(+NOMINA!BN70,2)</f>
        <v>3.38</v>
      </c>
      <c r="X91" s="1108">
        <f t="shared" si="15"/>
        <v>22.3</v>
      </c>
      <c r="Y91" s="1107">
        <f>ROUND(NOMINA!BJ70,2)</f>
        <v>12.5</v>
      </c>
      <c r="Z91" s="1109">
        <f t="shared" si="12"/>
        <v>109.07</v>
      </c>
    </row>
    <row r="92" spans="1:26" s="620" customFormat="1" ht="20.100000000000001" customHeight="1" thickBot="1" x14ac:dyDescent="0.25">
      <c r="A92" s="758" t="s">
        <v>2846</v>
      </c>
      <c r="B92" s="508">
        <f t="shared" ca="1" si="16"/>
        <v>28</v>
      </c>
      <c r="C92" s="1102">
        <f>+NOMINA!C71</f>
        <v>10033119</v>
      </c>
      <c r="D92" s="1103" t="str">
        <f>+NOMINA!D71</f>
        <v>Artigas de Hernandez Ana Maria</v>
      </c>
      <c r="E92" s="1468" t="s">
        <v>4622</v>
      </c>
      <c r="F92" s="1704">
        <v>27853</v>
      </c>
      <c r="G92" s="1468" t="s">
        <v>4620</v>
      </c>
      <c r="H92" s="1705">
        <f>+NOMINA!H71</f>
        <v>43359</v>
      </c>
      <c r="I92" s="1105">
        <f>+NOMINA!I71</f>
        <v>7</v>
      </c>
      <c r="J92" s="1106">
        <f>+NOMINA!J71</f>
        <v>0</v>
      </c>
      <c r="K92" s="1105">
        <f t="shared" si="13"/>
        <v>7</v>
      </c>
      <c r="L92" s="1106" t="s">
        <v>4932</v>
      </c>
      <c r="M92" s="1106"/>
      <c r="N92" s="1443" t="str">
        <f>+NOMINA!O71</f>
        <v>Tutor Facilitador III</v>
      </c>
      <c r="O92" s="1107">
        <f>ROUND(NOMINA!W71,2)</f>
        <v>139.5</v>
      </c>
      <c r="P92" s="1107">
        <f>NOMINA!AF71</f>
        <v>10.33</v>
      </c>
      <c r="Q92" s="1107">
        <f>NOMINA!AH71</f>
        <v>65</v>
      </c>
      <c r="R92" s="1107">
        <f>NOMINA!AC71</f>
        <v>0</v>
      </c>
      <c r="S92" s="1107">
        <f>NOMINA!AJ71</f>
        <v>53.71</v>
      </c>
      <c r="T92" s="1108">
        <f t="shared" si="14"/>
        <v>146.80000000000001</v>
      </c>
      <c r="U92" s="1107">
        <f>ROUND(NOMINA!BL71,2)</f>
        <v>24.79</v>
      </c>
      <c r="V92" s="1107">
        <f>ROUND(NOMINA!BM71,2)</f>
        <v>3.1</v>
      </c>
      <c r="W92" s="1107">
        <f>ROUND(+NOMINA!BN71,2)</f>
        <v>5.37</v>
      </c>
      <c r="X92" s="1108">
        <f t="shared" si="15"/>
        <v>39.61</v>
      </c>
      <c r="Y92" s="1107">
        <f>ROUND(NOMINA!BJ71,2)</f>
        <v>12.5</v>
      </c>
      <c r="Z92" s="1109">
        <f t="shared" si="12"/>
        <v>235.28000000000003</v>
      </c>
    </row>
    <row r="93" spans="1:26" s="620" customFormat="1" ht="20.100000000000001" customHeight="1" thickBot="1" x14ac:dyDescent="0.25">
      <c r="A93" s="758" t="s">
        <v>2846</v>
      </c>
      <c r="B93" s="508">
        <f t="shared" ca="1" si="16"/>
        <v>29</v>
      </c>
      <c r="C93" s="1102">
        <f>+NOMINA!C72</f>
        <v>10035540</v>
      </c>
      <c r="D93" s="1103" t="str">
        <f>+NOMINA!D72</f>
        <v>Linares Linares Emma Teresa</v>
      </c>
      <c r="E93" s="1468" t="s">
        <v>4622</v>
      </c>
      <c r="F93" s="1704">
        <v>27853</v>
      </c>
      <c r="G93" s="1468" t="s">
        <v>4620</v>
      </c>
      <c r="H93" s="1705">
        <f>+NOMINA!H72</f>
        <v>43236</v>
      </c>
      <c r="I93" s="1105">
        <f>+NOMINA!I72</f>
        <v>7</v>
      </c>
      <c r="J93" s="1106">
        <f>+NOMINA!J72</f>
        <v>0</v>
      </c>
      <c r="K93" s="1105">
        <f t="shared" si="13"/>
        <v>7</v>
      </c>
      <c r="L93" s="1106" t="s">
        <v>4932</v>
      </c>
      <c r="M93" s="1106"/>
      <c r="N93" s="1443" t="str">
        <f>+NOMINA!O72</f>
        <v>Tecnico Superior en Trabajo Social II</v>
      </c>
      <c r="O93" s="1107">
        <f>ROUND(NOMINA!W72,2)</f>
        <v>110.5</v>
      </c>
      <c r="P93" s="1107">
        <f>NOMINA!AF72</f>
        <v>8.18</v>
      </c>
      <c r="Q93" s="1107">
        <f>NOMINA!AH72</f>
        <v>65</v>
      </c>
      <c r="R93" s="1107">
        <f>NOMINA!AC72</f>
        <v>0</v>
      </c>
      <c r="S93" s="1107">
        <f>NOMINA!AJ72</f>
        <v>45.92</v>
      </c>
      <c r="T93" s="1108">
        <f t="shared" si="14"/>
        <v>103.85000000000001</v>
      </c>
      <c r="U93" s="1107">
        <f>ROUND(NOMINA!BL72,2)</f>
        <v>21.19</v>
      </c>
      <c r="V93" s="1107">
        <f>ROUND(NOMINA!BM72,2)</f>
        <v>2.65</v>
      </c>
      <c r="W93" s="1107">
        <f>ROUND(+NOMINA!BN72,2)</f>
        <v>4.59</v>
      </c>
      <c r="X93" s="1108">
        <f t="shared" si="15"/>
        <v>3.59</v>
      </c>
      <c r="Y93" s="1107">
        <f>ROUND(NOMINA!BJ72,2)</f>
        <v>12.5</v>
      </c>
      <c r="Z93" s="1109">
        <f t="shared" si="12"/>
        <v>201.17000000000002</v>
      </c>
    </row>
    <row r="94" spans="1:26" s="620" customFormat="1" ht="20.100000000000001" customHeight="1" thickBot="1" x14ac:dyDescent="0.25">
      <c r="A94" s="758" t="s">
        <v>2846</v>
      </c>
      <c r="B94" s="508">
        <f t="shared" ca="1" si="16"/>
        <v>30</v>
      </c>
      <c r="C94" s="1102">
        <f>+NOMINA!C73</f>
        <v>10037054</v>
      </c>
      <c r="D94" s="1103" t="str">
        <f>+NOMINA!D73</f>
        <v>Aguial Carrillo Deris Margarita</v>
      </c>
      <c r="E94" s="1468" t="s">
        <v>4622</v>
      </c>
      <c r="F94" s="1704">
        <v>27853</v>
      </c>
      <c r="G94" s="1468" t="s">
        <v>4620</v>
      </c>
      <c r="H94" s="1705">
        <f>+NOMINA!H73</f>
        <v>39820</v>
      </c>
      <c r="I94" s="1105">
        <f>+NOMINA!I73</f>
        <v>16</v>
      </c>
      <c r="J94" s="1106">
        <f>+NOMINA!J73</f>
        <v>0</v>
      </c>
      <c r="K94" s="1105">
        <f t="shared" si="13"/>
        <v>16</v>
      </c>
      <c r="L94" s="1106" t="s">
        <v>4932</v>
      </c>
      <c r="M94" s="1106"/>
      <c r="N94" s="1443" t="str">
        <f>+NOMINA!O73</f>
        <v>Guia de Centro II</v>
      </c>
      <c r="O94" s="1107">
        <f>ROUND(NOMINA!W73,2)</f>
        <v>88</v>
      </c>
      <c r="P94" s="1107">
        <f>NOMINA!AF73</f>
        <v>17.25</v>
      </c>
      <c r="Q94" s="1107">
        <f>NOMINA!AH73</f>
        <v>65</v>
      </c>
      <c r="R94" s="1107">
        <f>NOMINA!AC73</f>
        <v>0</v>
      </c>
      <c r="S94" s="1107">
        <f>NOMINA!AJ73</f>
        <v>0</v>
      </c>
      <c r="T94" s="1108">
        <f t="shared" si="14"/>
        <v>91.55</v>
      </c>
      <c r="U94" s="1107">
        <f>ROUND(NOMINA!BL73,2)</f>
        <v>20.43</v>
      </c>
      <c r="V94" s="1107">
        <f>ROUND(NOMINA!BM73,2)</f>
        <v>2.5499999999999998</v>
      </c>
      <c r="W94" s="1107">
        <f>ROUND(+NOMINA!BN73,2)</f>
        <v>4.43</v>
      </c>
      <c r="X94" s="1108">
        <f t="shared" si="15"/>
        <v>22.25</v>
      </c>
      <c r="Y94" s="1107">
        <f>ROUND(NOMINA!BJ73,2)</f>
        <v>12.5</v>
      </c>
      <c r="Z94" s="1109">
        <f t="shared" si="12"/>
        <v>142.84</v>
      </c>
    </row>
    <row r="95" spans="1:26" s="620" customFormat="1" ht="20.100000000000001" customHeight="1" thickBot="1" x14ac:dyDescent="0.25">
      <c r="A95" s="758" t="s">
        <v>2846</v>
      </c>
      <c r="B95" s="508">
        <f t="shared" ca="1" si="16"/>
        <v>31</v>
      </c>
      <c r="C95" s="1102">
        <f>+NOMINA!C74</f>
        <v>10175616</v>
      </c>
      <c r="D95" s="1103" t="str">
        <f>+NOMINA!D74</f>
        <v>Carrillo Prato Blanca Isabel</v>
      </c>
      <c r="E95" s="1468" t="s">
        <v>4622</v>
      </c>
      <c r="F95" s="1704">
        <v>27853</v>
      </c>
      <c r="G95" s="1468" t="s">
        <v>4620</v>
      </c>
      <c r="H95" s="1705">
        <f>+NOMINA!H74</f>
        <v>44228</v>
      </c>
      <c r="I95" s="1105">
        <f>+NOMINA!I74</f>
        <v>4</v>
      </c>
      <c r="J95" s="1106">
        <f>+NOMINA!J74</f>
        <v>0</v>
      </c>
      <c r="K95" s="1105">
        <f t="shared" si="13"/>
        <v>4</v>
      </c>
      <c r="L95" s="1106" t="s">
        <v>4932</v>
      </c>
      <c r="M95" s="1106"/>
      <c r="N95" s="1443" t="str">
        <f>+NOMINA!O74</f>
        <v>Medico jefe I</v>
      </c>
      <c r="O95" s="1107">
        <f>ROUND(NOMINA!W74,2)</f>
        <v>153.5</v>
      </c>
      <c r="P95" s="1107">
        <f>NOMINA!AF74</f>
        <v>6.14</v>
      </c>
      <c r="Q95" s="1107">
        <f>NOMINA!AH74</f>
        <v>65</v>
      </c>
      <c r="R95" s="1107">
        <f>NOMINA!AC74</f>
        <v>0</v>
      </c>
      <c r="S95" s="1107">
        <f>NOMINA!AJ74</f>
        <v>67.39</v>
      </c>
      <c r="T95" s="1108">
        <f t="shared" si="14"/>
        <v>0</v>
      </c>
      <c r="U95" s="1107">
        <f>ROUND(NOMINA!BL74,2)</f>
        <v>26.96</v>
      </c>
      <c r="V95" s="1107">
        <f>ROUND(NOMINA!BM74,2)</f>
        <v>3.37</v>
      </c>
      <c r="W95" s="1107">
        <f>ROUND(+NOMINA!BN74,2)</f>
        <v>5.84</v>
      </c>
      <c r="X95" s="1108">
        <f t="shared" si="15"/>
        <v>26.89</v>
      </c>
      <c r="Y95" s="1107">
        <f>ROUND(NOMINA!BJ74,2)</f>
        <v>12.5</v>
      </c>
      <c r="Z95" s="1109">
        <f t="shared" si="12"/>
        <v>255.85999999999996</v>
      </c>
    </row>
    <row r="96" spans="1:26" s="620" customFormat="1" ht="20.100000000000001" customHeight="1" thickBot="1" x14ac:dyDescent="0.25">
      <c r="A96" s="758" t="s">
        <v>2846</v>
      </c>
      <c r="B96" s="508">
        <f t="shared" ca="1" si="16"/>
        <v>32</v>
      </c>
      <c r="C96" s="1102">
        <f>+NOMINA!C75</f>
        <v>10257016</v>
      </c>
      <c r="D96" s="1103" t="str">
        <f>+NOMINA!D75</f>
        <v>Torres Dulma Ramona</v>
      </c>
      <c r="E96" s="1468" t="s">
        <v>4622</v>
      </c>
      <c r="F96" s="1704">
        <v>27853</v>
      </c>
      <c r="G96" s="1468" t="s">
        <v>4620</v>
      </c>
      <c r="H96" s="1705">
        <f>+NOMINA!H75</f>
        <v>35947</v>
      </c>
      <c r="I96" s="1105">
        <f>+NOMINA!I75</f>
        <v>27</v>
      </c>
      <c r="J96" s="1106">
        <f>+NOMINA!J75</f>
        <v>0</v>
      </c>
      <c r="K96" s="1105">
        <f t="shared" si="13"/>
        <v>27</v>
      </c>
      <c r="L96" s="1106" t="s">
        <v>4932</v>
      </c>
      <c r="M96" s="1106"/>
      <c r="N96" s="1443" t="str">
        <f>+NOMINA!O75</f>
        <v>Tutor Facilitador III</v>
      </c>
      <c r="O96" s="1107">
        <f>ROUND(NOMINA!W75,2)</f>
        <v>143.5</v>
      </c>
      <c r="P96" s="1107">
        <f>NOMINA!AF75</f>
        <v>43.05</v>
      </c>
      <c r="Q96" s="1107">
        <f>NOMINA!AH75</f>
        <v>65</v>
      </c>
      <c r="R96" s="1107">
        <f>NOMINA!AC75</f>
        <v>0</v>
      </c>
      <c r="S96" s="1107">
        <f>NOMINA!AJ75</f>
        <v>62.89</v>
      </c>
      <c r="T96" s="1108">
        <f t="shared" si="14"/>
        <v>131.5</v>
      </c>
      <c r="U96" s="1107">
        <f>ROUND(NOMINA!BL75,2)</f>
        <v>29.03</v>
      </c>
      <c r="V96" s="1107">
        <f>ROUND(NOMINA!BM75,2)</f>
        <v>3.63</v>
      </c>
      <c r="W96" s="1107">
        <f>ROUND(+NOMINA!BN75,2)</f>
        <v>6.29</v>
      </c>
      <c r="X96" s="1108">
        <f t="shared" si="15"/>
        <v>0</v>
      </c>
      <c r="Y96" s="1107">
        <f>ROUND(NOMINA!BJ75,2)</f>
        <v>12.5</v>
      </c>
      <c r="Z96" s="1109">
        <f t="shared" si="12"/>
        <v>275.49</v>
      </c>
    </row>
    <row r="97" spans="1:26" s="620" customFormat="1" ht="20.100000000000001" customHeight="1" thickBot="1" x14ac:dyDescent="0.25">
      <c r="A97" s="758" t="s">
        <v>2846</v>
      </c>
      <c r="B97" s="508">
        <f t="shared" ca="1" si="16"/>
        <v>33</v>
      </c>
      <c r="C97" s="1102">
        <f>+NOMINA!C76</f>
        <v>10315803</v>
      </c>
      <c r="D97" s="1103" t="str">
        <f>+NOMINA!D76</f>
        <v>Frias Jacson Daniel</v>
      </c>
      <c r="E97" s="1468" t="s">
        <v>4622</v>
      </c>
      <c r="F97" s="1704">
        <v>27853</v>
      </c>
      <c r="G97" s="1468" t="s">
        <v>4620</v>
      </c>
      <c r="H97" s="1705">
        <f>+NOMINA!H76</f>
        <v>35415</v>
      </c>
      <c r="I97" s="1105">
        <f>+NOMINA!I76</f>
        <v>28</v>
      </c>
      <c r="J97" s="1106">
        <f>+NOMINA!J76</f>
        <v>0</v>
      </c>
      <c r="K97" s="1105">
        <f t="shared" si="13"/>
        <v>28</v>
      </c>
      <c r="L97" s="1106" t="s">
        <v>4932</v>
      </c>
      <c r="M97" s="1106"/>
      <c r="N97" s="1443" t="str">
        <f>+NOMINA!O76</f>
        <v>Guia de Centro II</v>
      </c>
      <c r="O97" s="1107">
        <f>ROUND(NOMINA!W76,2)</f>
        <v>88.5</v>
      </c>
      <c r="P97" s="1107">
        <f>NOMINA!AF76</f>
        <v>26.55</v>
      </c>
      <c r="Q97" s="1107">
        <f>NOMINA!AH76</f>
        <v>65</v>
      </c>
      <c r="R97" s="1107">
        <f>NOMINA!AC76</f>
        <v>0</v>
      </c>
      <c r="S97" s="1107">
        <f>NOMINA!AJ76</f>
        <v>0</v>
      </c>
      <c r="T97" s="1108">
        <f t="shared" si="14"/>
        <v>89.61</v>
      </c>
      <c r="U97" s="1107">
        <f>ROUND(NOMINA!BL76,2)</f>
        <v>21.61</v>
      </c>
      <c r="V97" s="1107">
        <f>ROUND(NOMINA!BM76,2)</f>
        <v>2.7</v>
      </c>
      <c r="W97" s="1107">
        <f>ROUND(+NOMINA!BN76,2)</f>
        <v>4.68</v>
      </c>
      <c r="X97" s="1108">
        <f t="shared" si="15"/>
        <v>38.06</v>
      </c>
      <c r="Y97" s="1107">
        <f>ROUND(NOMINA!BJ76,2)</f>
        <v>12.5</v>
      </c>
      <c r="Z97" s="1109">
        <f t="shared" si="12"/>
        <v>151.06</v>
      </c>
    </row>
    <row r="98" spans="1:26" s="620" customFormat="1" ht="20.100000000000001" customHeight="1" thickBot="1" x14ac:dyDescent="0.25">
      <c r="A98" s="758" t="s">
        <v>2846</v>
      </c>
      <c r="B98" s="508">
        <f t="shared" ca="1" si="16"/>
        <v>34</v>
      </c>
      <c r="C98" s="1102">
        <f>+NOMINA!C77</f>
        <v>10319457</v>
      </c>
      <c r="D98" s="1103" t="str">
        <f>+NOMINA!D77</f>
        <v>Marquez Marquez Maribel del Valle</v>
      </c>
      <c r="E98" s="1468" t="s">
        <v>4622</v>
      </c>
      <c r="F98" s="1704">
        <v>27853</v>
      </c>
      <c r="G98" s="1468" t="s">
        <v>4620</v>
      </c>
      <c r="H98" s="1705">
        <f>+NOMINA!H77</f>
        <v>38831</v>
      </c>
      <c r="I98" s="1105">
        <f>+NOMINA!I77</f>
        <v>19</v>
      </c>
      <c r="J98" s="1106">
        <f>+NOMINA!J77</f>
        <v>0</v>
      </c>
      <c r="K98" s="1105">
        <f t="shared" si="13"/>
        <v>19</v>
      </c>
      <c r="L98" s="1106" t="s">
        <v>4932</v>
      </c>
      <c r="M98" s="1106"/>
      <c r="N98" s="1443" t="str">
        <f>+NOMINA!O77</f>
        <v>Secretario Ejecutivo III</v>
      </c>
      <c r="O98" s="1107">
        <f>ROUND(NOMINA!W77,2)</f>
        <v>88.5</v>
      </c>
      <c r="P98" s="1107">
        <f>NOMINA!AF77</f>
        <v>21.6</v>
      </c>
      <c r="Q98" s="1107">
        <f>NOMINA!AH77</f>
        <v>65</v>
      </c>
      <c r="R98" s="1107">
        <f>NOMINA!AC77</f>
        <v>12.5</v>
      </c>
      <c r="S98" s="1107">
        <f>NOMINA!AJ77</f>
        <v>0</v>
      </c>
      <c r="T98" s="1108">
        <f t="shared" si="14"/>
        <v>91.55</v>
      </c>
      <c r="U98" s="1107">
        <f>ROUND(NOMINA!BL77,2)</f>
        <v>16.739999999999998</v>
      </c>
      <c r="V98" s="1107">
        <f>ROUND(NOMINA!BM77,2)</f>
        <v>2.09</v>
      </c>
      <c r="W98" s="1107">
        <f>ROUND(+NOMINA!BN77,2)</f>
        <v>3.63</v>
      </c>
      <c r="X98" s="1108">
        <f t="shared" si="15"/>
        <v>30.73</v>
      </c>
      <c r="Y98" s="1107">
        <f>ROUND(NOMINA!BJ77,2)</f>
        <v>12.5</v>
      </c>
      <c r="Z98" s="1109">
        <f t="shared" si="12"/>
        <v>165.14</v>
      </c>
    </row>
    <row r="99" spans="1:26" s="620" customFormat="1" ht="20.100000000000001" customHeight="1" thickBot="1" x14ac:dyDescent="0.25">
      <c r="A99" s="758" t="s">
        <v>2846</v>
      </c>
      <c r="B99" s="508">
        <f t="shared" ca="1" si="16"/>
        <v>35</v>
      </c>
      <c r="C99" s="1102">
        <f>+NOMINA!C78</f>
        <v>10396379</v>
      </c>
      <c r="D99" s="1103" t="str">
        <f>+NOMINA!D78</f>
        <v>Ruiz Luis Alfonzo</v>
      </c>
      <c r="E99" s="1468" t="s">
        <v>4622</v>
      </c>
      <c r="F99" s="1704">
        <v>27853</v>
      </c>
      <c r="G99" s="1468" t="s">
        <v>4620</v>
      </c>
      <c r="H99" s="1705">
        <f>+NOMINA!H78</f>
        <v>44743</v>
      </c>
      <c r="I99" s="1105">
        <f>+NOMINA!I78</f>
        <v>3</v>
      </c>
      <c r="J99" s="1106">
        <f>+NOMINA!J78</f>
        <v>0</v>
      </c>
      <c r="K99" s="1105">
        <f t="shared" si="13"/>
        <v>3</v>
      </c>
      <c r="L99" s="1106" t="s">
        <v>4932</v>
      </c>
      <c r="M99" s="1106"/>
      <c r="N99" s="1443" t="str">
        <f>+NOMINA!O78</f>
        <v>ENTRENADOR DEPORTIVO II</v>
      </c>
      <c r="O99" s="1107">
        <f>ROUND(NOMINA!W78,2)</f>
        <v>75</v>
      </c>
      <c r="P99" s="1107">
        <f>NOMINA!AF78</f>
        <v>2.25</v>
      </c>
      <c r="Q99" s="1107">
        <f>NOMINA!AH78</f>
        <v>65</v>
      </c>
      <c r="R99" s="1107">
        <f>NOMINA!AC78</f>
        <v>0</v>
      </c>
      <c r="S99" s="1107">
        <f>NOMINA!AJ78</f>
        <v>0</v>
      </c>
      <c r="T99" s="1108">
        <f t="shared" si="14"/>
        <v>131.99</v>
      </c>
      <c r="U99" s="1107">
        <f>ROUND(NOMINA!BL78,2)</f>
        <v>13.13</v>
      </c>
      <c r="V99" s="1107">
        <f>ROUND(NOMINA!BM78,2)</f>
        <v>1.64</v>
      </c>
      <c r="W99" s="1107">
        <f>ROUND(+NOMINA!BN78,2)</f>
        <v>2.85</v>
      </c>
      <c r="X99" s="1108">
        <f t="shared" si="15"/>
        <v>26.58</v>
      </c>
      <c r="Y99" s="1107">
        <f>ROUND(NOMINA!BJ78,2)</f>
        <v>12.5</v>
      </c>
      <c r="Z99" s="1109">
        <f t="shared" si="12"/>
        <v>124.63</v>
      </c>
    </row>
    <row r="100" spans="1:26" s="620" customFormat="1" ht="20.100000000000001" customHeight="1" thickBot="1" x14ac:dyDescent="0.25">
      <c r="A100" s="758" t="s">
        <v>2846</v>
      </c>
      <c r="B100" s="508">
        <f t="shared" ca="1" si="16"/>
        <v>36</v>
      </c>
      <c r="C100" s="1102">
        <f>+NOMINA!C79</f>
        <v>10398694</v>
      </c>
      <c r="D100" s="1103" t="str">
        <f>+NOMINA!D79</f>
        <v>Santana Briceño Jose Gregorio</v>
      </c>
      <c r="E100" s="1468" t="s">
        <v>4622</v>
      </c>
      <c r="F100" s="1704">
        <v>27853</v>
      </c>
      <c r="G100" s="1468" t="s">
        <v>4620</v>
      </c>
      <c r="H100" s="1705">
        <f>+NOMINA!H79</f>
        <v>44743</v>
      </c>
      <c r="I100" s="1105">
        <f>+NOMINA!I79</f>
        <v>3</v>
      </c>
      <c r="J100" s="1106">
        <f>+NOMINA!J79</f>
        <v>23</v>
      </c>
      <c r="K100" s="1105">
        <f t="shared" si="13"/>
        <v>26</v>
      </c>
      <c r="L100" s="1106" t="s">
        <v>4932</v>
      </c>
      <c r="M100" s="1106"/>
      <c r="N100" s="1443" t="str">
        <f>+NOMINA!O79</f>
        <v>Guia de Centro I</v>
      </c>
      <c r="O100" s="1107">
        <f>ROUND(NOMINA!W79,2)</f>
        <v>114</v>
      </c>
      <c r="P100" s="1107">
        <f>NOMINA!AF79</f>
        <v>34.200000000000003</v>
      </c>
      <c r="Q100" s="1107">
        <f>NOMINA!AH79</f>
        <v>65</v>
      </c>
      <c r="R100" s="1107">
        <f>NOMINA!AC79</f>
        <v>0</v>
      </c>
      <c r="S100" s="1107">
        <f>NOMINA!AJ79</f>
        <v>42.64</v>
      </c>
      <c r="T100" s="1108">
        <f t="shared" si="14"/>
        <v>91.2</v>
      </c>
      <c r="U100" s="1107">
        <f>ROUND(NOMINA!BL79,2)</f>
        <v>30.7</v>
      </c>
      <c r="V100" s="1107">
        <f>ROUND(NOMINA!BM79,2)</f>
        <v>3.84</v>
      </c>
      <c r="W100" s="1107">
        <f>ROUND(+NOMINA!BN79,2)</f>
        <v>6.65</v>
      </c>
      <c r="X100" s="1108">
        <f t="shared" si="15"/>
        <v>22.3</v>
      </c>
      <c r="Y100" s="1107">
        <f>ROUND(NOMINA!BJ79,2)</f>
        <v>12.5</v>
      </c>
      <c r="Z100" s="1109">
        <f t="shared" si="12"/>
        <v>214.64999999999998</v>
      </c>
    </row>
    <row r="101" spans="1:26" s="620" customFormat="1" ht="20.100000000000001" customHeight="1" thickBot="1" x14ac:dyDescent="0.25">
      <c r="A101" s="758" t="s">
        <v>2846</v>
      </c>
      <c r="B101" s="508">
        <f t="shared" ca="1" si="16"/>
        <v>37</v>
      </c>
      <c r="C101" s="1102">
        <f>+NOMINA!C80</f>
        <v>10399064</v>
      </c>
      <c r="D101" s="1103" t="str">
        <f>+NOMINA!D80</f>
        <v>Perdomo Perdomo Angela Aurora</v>
      </c>
      <c r="E101" s="1468" t="s">
        <v>4622</v>
      </c>
      <c r="F101" s="1704">
        <v>27853</v>
      </c>
      <c r="G101" s="1468" t="s">
        <v>4620</v>
      </c>
      <c r="H101" s="1705">
        <f>+NOMINA!H80</f>
        <v>39328</v>
      </c>
      <c r="I101" s="1105">
        <f>+NOMINA!I80</f>
        <v>18</v>
      </c>
      <c r="J101" s="1106">
        <f>+NOMINA!J80</f>
        <v>0</v>
      </c>
      <c r="K101" s="1105">
        <f t="shared" si="13"/>
        <v>18</v>
      </c>
      <c r="L101" s="1106" t="s">
        <v>4932</v>
      </c>
      <c r="M101" s="1106"/>
      <c r="N101" s="1443" t="str">
        <f>+NOMINA!O80</f>
        <v>Guia de Centro II</v>
      </c>
      <c r="O101" s="1107">
        <f>ROUND(NOMINA!W80,2)</f>
        <v>114</v>
      </c>
      <c r="P101" s="1107">
        <f>NOMINA!AF80</f>
        <v>25.99</v>
      </c>
      <c r="Q101" s="1107">
        <f>NOMINA!AH80</f>
        <v>65</v>
      </c>
      <c r="R101" s="1107">
        <f>NOMINA!AC80</f>
        <v>0</v>
      </c>
      <c r="S101" s="1107">
        <f>NOMINA!AJ80</f>
        <v>41</v>
      </c>
      <c r="T101" s="1108">
        <f t="shared" si="14"/>
        <v>91.2</v>
      </c>
      <c r="U101" s="1107">
        <f>ROUND(NOMINA!BL80,2)</f>
        <v>29.52</v>
      </c>
      <c r="V101" s="1107">
        <f>ROUND(NOMINA!BM80,2)</f>
        <v>3.69</v>
      </c>
      <c r="W101" s="1107">
        <f>ROUND(+NOMINA!BN80,2)</f>
        <v>6.4</v>
      </c>
      <c r="X101" s="1108">
        <f t="shared" si="15"/>
        <v>30.16</v>
      </c>
      <c r="Y101" s="1107">
        <f>ROUND(NOMINA!BJ80,2)</f>
        <v>12.5</v>
      </c>
      <c r="Z101" s="1109">
        <f t="shared" si="12"/>
        <v>206.38</v>
      </c>
    </row>
    <row r="102" spans="1:26" s="620" customFormat="1" ht="20.100000000000001" customHeight="1" thickBot="1" x14ac:dyDescent="0.25">
      <c r="A102" s="758" t="s">
        <v>2846</v>
      </c>
      <c r="B102" s="508">
        <f t="shared" ca="1" si="16"/>
        <v>38</v>
      </c>
      <c r="C102" s="1102">
        <f>+NOMINA!C81</f>
        <v>10400214</v>
      </c>
      <c r="D102" s="1103" t="str">
        <f>+NOMINA!D81</f>
        <v>Bastidas Yanitza del Valle</v>
      </c>
      <c r="E102" s="1468" t="s">
        <v>4622</v>
      </c>
      <c r="F102" s="1704">
        <v>27853</v>
      </c>
      <c r="G102" s="1468" t="s">
        <v>4620</v>
      </c>
      <c r="H102" s="1705">
        <f>+NOMINA!H81</f>
        <v>41153</v>
      </c>
      <c r="I102" s="1105">
        <f>+NOMINA!I81</f>
        <v>13</v>
      </c>
      <c r="J102" s="1106">
        <f>+NOMINA!J81</f>
        <v>0</v>
      </c>
      <c r="K102" s="1105">
        <f t="shared" si="13"/>
        <v>13</v>
      </c>
      <c r="L102" s="1106" t="s">
        <v>4932</v>
      </c>
      <c r="M102" s="1106"/>
      <c r="N102" s="1443" t="str">
        <f>+NOMINA!O81</f>
        <v>Guia de Centro II</v>
      </c>
      <c r="O102" s="1107">
        <f>ROUND(NOMINA!W81,2)</f>
        <v>112.5</v>
      </c>
      <c r="P102" s="1107">
        <f>NOMINA!AF81</f>
        <v>17.100000000000001</v>
      </c>
      <c r="Q102" s="1107">
        <f>NOMINA!AH81</f>
        <v>65</v>
      </c>
      <c r="R102" s="1107">
        <f>NOMINA!AC81</f>
        <v>0</v>
      </c>
      <c r="S102" s="1107">
        <f>NOMINA!AJ81</f>
        <v>38.92</v>
      </c>
      <c r="T102" s="1108">
        <f t="shared" si="14"/>
        <v>128.60000000000002</v>
      </c>
      <c r="U102" s="1107">
        <f>ROUND(NOMINA!BL81,2)</f>
        <v>28.02</v>
      </c>
      <c r="V102" s="1107">
        <f>ROUND(NOMINA!BM81,2)</f>
        <v>3.5</v>
      </c>
      <c r="W102" s="1107">
        <f>ROUND(+NOMINA!BN81,2)</f>
        <v>6.07</v>
      </c>
      <c r="X102" s="1108">
        <f t="shared" si="15"/>
        <v>20.46</v>
      </c>
      <c r="Y102" s="1107">
        <f>ROUND(NOMINA!BJ81,2)</f>
        <v>12.5</v>
      </c>
      <c r="Z102" s="1109">
        <f t="shared" si="12"/>
        <v>195.92999999999998</v>
      </c>
    </row>
    <row r="103" spans="1:26" s="620" customFormat="1" ht="20.100000000000001" customHeight="1" thickBot="1" x14ac:dyDescent="0.25">
      <c r="A103" s="758" t="s">
        <v>2846</v>
      </c>
      <c r="B103" s="508">
        <f t="shared" ca="1" si="16"/>
        <v>39</v>
      </c>
      <c r="C103" s="1102">
        <f>+NOMINA!C82</f>
        <v>10400365</v>
      </c>
      <c r="D103" s="1103" t="str">
        <f>+NOMINA!D82</f>
        <v>Briceño Ruiz Sara Josefina</v>
      </c>
      <c r="E103" s="1468" t="s">
        <v>4622</v>
      </c>
      <c r="F103" s="1704">
        <v>27853</v>
      </c>
      <c r="G103" s="1468" t="s">
        <v>4620</v>
      </c>
      <c r="H103" s="1705">
        <f>+NOMINA!H82</f>
        <v>39328</v>
      </c>
      <c r="I103" s="1105">
        <f>+NOMINA!I82</f>
        <v>18</v>
      </c>
      <c r="J103" s="1106">
        <f>+NOMINA!J82</f>
        <v>0</v>
      </c>
      <c r="K103" s="1105">
        <f t="shared" si="13"/>
        <v>18</v>
      </c>
      <c r="L103" s="1106" t="s">
        <v>4932</v>
      </c>
      <c r="M103" s="1106"/>
      <c r="N103" s="1443" t="str">
        <f>+NOMINA!O82</f>
        <v>Supervisor de Servicios Generales IV</v>
      </c>
      <c r="O103" s="1107">
        <f>ROUND(NOMINA!W82,2)</f>
        <v>114</v>
      </c>
      <c r="P103" s="1107">
        <f>NOMINA!AF82</f>
        <v>25.99</v>
      </c>
      <c r="Q103" s="1107">
        <f>NOMINA!AH82</f>
        <v>65</v>
      </c>
      <c r="R103" s="1107">
        <f>NOMINA!AC82</f>
        <v>0</v>
      </c>
      <c r="S103" s="1107">
        <f>NOMINA!AJ82</f>
        <v>41</v>
      </c>
      <c r="T103" s="1108">
        <f t="shared" si="14"/>
        <v>0</v>
      </c>
      <c r="U103" s="1107">
        <f>ROUND(NOMINA!BL82,2)</f>
        <v>22.71</v>
      </c>
      <c r="V103" s="1107">
        <f>ROUND(NOMINA!BM82,2)</f>
        <v>2.84</v>
      </c>
      <c r="W103" s="1107">
        <f>ROUND(+NOMINA!BN82,2)</f>
        <v>4.92</v>
      </c>
      <c r="X103" s="1108">
        <f t="shared" si="15"/>
        <v>25.62</v>
      </c>
      <c r="Y103" s="1107">
        <f>ROUND(NOMINA!BJ82,2)</f>
        <v>12.5</v>
      </c>
      <c r="Z103" s="1109">
        <f t="shared" si="12"/>
        <v>215.52</v>
      </c>
    </row>
    <row r="104" spans="1:26" s="620" customFormat="1" ht="20.100000000000001" customHeight="1" thickBot="1" x14ac:dyDescent="0.25">
      <c r="A104" s="758" t="s">
        <v>2846</v>
      </c>
      <c r="B104" s="508">
        <f t="shared" ca="1" si="16"/>
        <v>40</v>
      </c>
      <c r="C104" s="1102">
        <f>+NOMINA!C83</f>
        <v>10400876</v>
      </c>
      <c r="D104" s="1103" t="str">
        <f>+NOMINA!D83</f>
        <v>Ramirez Vergara Graciela de Jesus</v>
      </c>
      <c r="E104" s="1468" t="s">
        <v>4622</v>
      </c>
      <c r="F104" s="1704">
        <v>27853</v>
      </c>
      <c r="G104" s="1468" t="s">
        <v>4620</v>
      </c>
      <c r="H104" s="1705">
        <f>+NOMINA!H83</f>
        <v>43556</v>
      </c>
      <c r="I104" s="1105">
        <f>+NOMINA!I83</f>
        <v>6</v>
      </c>
      <c r="J104" s="1106">
        <f>+NOMINA!J83</f>
        <v>10</v>
      </c>
      <c r="K104" s="1105">
        <f t="shared" si="13"/>
        <v>16</v>
      </c>
      <c r="L104" s="1106" t="s">
        <v>4932</v>
      </c>
      <c r="M104" s="1106"/>
      <c r="N104" s="1443" t="str">
        <f>+NOMINA!O83</f>
        <v>Analista de Procesamiento de Datos I</v>
      </c>
      <c r="O104" s="1107">
        <f>ROUND(NOMINA!W83,2)</f>
        <v>113</v>
      </c>
      <c r="P104" s="1107">
        <f>NOMINA!AF83</f>
        <v>22.15</v>
      </c>
      <c r="Q104" s="1107">
        <f>NOMINA!AH83</f>
        <v>65</v>
      </c>
      <c r="R104" s="1107">
        <f>NOMINA!AC83</f>
        <v>0</v>
      </c>
      <c r="S104" s="1107">
        <f>NOMINA!AJ83</f>
        <v>40.03</v>
      </c>
      <c r="T104" s="1108">
        <f t="shared" si="14"/>
        <v>163.77000000000001</v>
      </c>
      <c r="U104" s="1107">
        <f>ROUND(NOMINA!BL83,2)</f>
        <v>22.17</v>
      </c>
      <c r="V104" s="1107">
        <f>ROUND(NOMINA!BM83,2)</f>
        <v>2.77</v>
      </c>
      <c r="W104" s="1107">
        <f>ROUND(+NOMINA!BN83,2)</f>
        <v>4.8</v>
      </c>
      <c r="X104" s="1108">
        <f t="shared" si="15"/>
        <v>0</v>
      </c>
      <c r="Y104" s="1107">
        <f>ROUND(NOMINA!BJ83,2)</f>
        <v>12.5</v>
      </c>
      <c r="Z104" s="1109">
        <f t="shared" si="12"/>
        <v>210.44</v>
      </c>
    </row>
    <row r="105" spans="1:26" s="620" customFormat="1" ht="20.100000000000001" customHeight="1" thickBot="1" x14ac:dyDescent="0.25">
      <c r="A105" s="758" t="s">
        <v>2846</v>
      </c>
      <c r="B105" s="508">
        <f t="shared" ca="1" si="16"/>
        <v>41</v>
      </c>
      <c r="C105" s="1102">
        <f>+NOMINA!C84</f>
        <v>10404528</v>
      </c>
      <c r="D105" s="1103" t="str">
        <f>+NOMINA!D84</f>
        <v>Perez Castellano Javier Horacio</v>
      </c>
      <c r="E105" s="1468" t="s">
        <v>4622</v>
      </c>
      <c r="F105" s="1704">
        <v>27853</v>
      </c>
      <c r="G105" s="1468" t="s">
        <v>4620</v>
      </c>
      <c r="H105" s="1705">
        <f>+NOMINA!H84</f>
        <v>37622</v>
      </c>
      <c r="I105" s="1105">
        <f>+NOMINA!I84</f>
        <v>22</v>
      </c>
      <c r="J105" s="1106">
        <f>+NOMINA!J84</f>
        <v>0</v>
      </c>
      <c r="K105" s="1105">
        <f t="shared" si="13"/>
        <v>22</v>
      </c>
      <c r="L105" s="1106" t="s">
        <v>4932</v>
      </c>
      <c r="M105" s="1106"/>
      <c r="N105" s="1443" t="str">
        <f>+NOMINA!O84</f>
        <v>Administrador IV</v>
      </c>
      <c r="O105" s="1107">
        <f>ROUND(NOMINA!W84,2)</f>
        <v>0</v>
      </c>
      <c r="P105" s="1107">
        <f>NOMINA!AF84</f>
        <v>0</v>
      </c>
      <c r="Q105" s="1107">
        <f>NOMINA!AH84</f>
        <v>0</v>
      </c>
      <c r="R105" s="1107">
        <f>NOMINA!AC84</f>
        <v>0</v>
      </c>
      <c r="S105" s="1107">
        <f>NOMINA!AJ84</f>
        <v>0</v>
      </c>
      <c r="T105" s="1108">
        <f t="shared" si="14"/>
        <v>134.19</v>
      </c>
      <c r="U105" s="1107">
        <f>ROUND(NOMINA!BL84,2)</f>
        <v>0</v>
      </c>
      <c r="V105" s="1107">
        <f>ROUND(NOMINA!BM84,2)</f>
        <v>0</v>
      </c>
      <c r="W105" s="1107">
        <f>ROUND(+NOMINA!BN84,2)</f>
        <v>0</v>
      </c>
      <c r="X105" s="1108">
        <f t="shared" si="15"/>
        <v>36.799999999999997</v>
      </c>
      <c r="Y105" s="1107">
        <f>ROUND(NOMINA!BJ84,2)</f>
        <v>0</v>
      </c>
      <c r="Z105" s="1109">
        <f t="shared" si="12"/>
        <v>0</v>
      </c>
    </row>
    <row r="106" spans="1:26" s="620" customFormat="1" ht="20.100000000000001" customHeight="1" thickBot="1" x14ac:dyDescent="0.25">
      <c r="A106" s="758" t="s">
        <v>2846</v>
      </c>
      <c r="B106" s="508">
        <f t="shared" ca="1" si="16"/>
        <v>42</v>
      </c>
      <c r="C106" s="1102">
        <f>+NOMINA!C85</f>
        <v>10906110</v>
      </c>
      <c r="D106" s="1103" t="str">
        <f>+NOMINA!D85</f>
        <v>Linares Prato Yraima Gregoria</v>
      </c>
      <c r="E106" s="1468" t="s">
        <v>4622</v>
      </c>
      <c r="F106" s="1704">
        <v>27853</v>
      </c>
      <c r="G106" s="1468" t="s">
        <v>4620</v>
      </c>
      <c r="H106" s="1705">
        <f>+NOMINA!H85</f>
        <v>45292</v>
      </c>
      <c r="I106" s="1105">
        <f>+NOMINA!I85</f>
        <v>1</v>
      </c>
      <c r="J106" s="1106">
        <f>+NOMINA!J85</f>
        <v>0</v>
      </c>
      <c r="K106" s="1105">
        <f t="shared" si="13"/>
        <v>1</v>
      </c>
      <c r="L106" s="1106" t="s">
        <v>4932</v>
      </c>
      <c r="M106" s="1106"/>
      <c r="N106" s="1443" t="str">
        <f>+NOMINA!O85</f>
        <v>Guia de Centro I</v>
      </c>
      <c r="O106" s="1107">
        <f>ROUND(NOMINA!W85,2)</f>
        <v>65</v>
      </c>
      <c r="P106" s="1107">
        <f>NOMINA!AF85</f>
        <v>0.65</v>
      </c>
      <c r="Q106" s="1107">
        <f>NOMINA!AH85</f>
        <v>65</v>
      </c>
      <c r="R106" s="1107">
        <f>NOMINA!AC85</f>
        <v>0</v>
      </c>
      <c r="S106" s="1107">
        <f>NOMINA!AJ85</f>
        <v>0</v>
      </c>
      <c r="T106" s="1108">
        <f t="shared" si="14"/>
        <v>105.16</v>
      </c>
      <c r="U106" s="1107">
        <f>ROUND(NOMINA!BL85,2)</f>
        <v>15.68</v>
      </c>
      <c r="V106" s="1107">
        <f>ROUND(NOMINA!BM85,2)</f>
        <v>1.96</v>
      </c>
      <c r="W106" s="1107">
        <f>ROUND(+NOMINA!BN85,2)</f>
        <v>3.4</v>
      </c>
      <c r="X106" s="1108">
        <f t="shared" si="15"/>
        <v>38.950000000000003</v>
      </c>
      <c r="Y106" s="1107">
        <f>ROUND(NOMINA!BJ85,2)</f>
        <v>12.5</v>
      </c>
      <c r="Z106" s="1109">
        <f t="shared" si="12"/>
        <v>109.61000000000001</v>
      </c>
    </row>
    <row r="107" spans="1:26" s="620" customFormat="1" ht="20.100000000000001" customHeight="1" thickBot="1" x14ac:dyDescent="0.25">
      <c r="A107" s="758" t="s">
        <v>2846</v>
      </c>
      <c r="B107" s="508">
        <f t="shared" ca="1" si="16"/>
        <v>43</v>
      </c>
      <c r="C107" s="1102">
        <f>+NOMINA!C86</f>
        <v>10906923</v>
      </c>
      <c r="D107" s="1103" t="str">
        <f>+NOMINA!D86</f>
        <v>Cruz de Rodriguez Yanet Coromoto</v>
      </c>
      <c r="E107" s="1468" t="s">
        <v>4622</v>
      </c>
      <c r="F107" s="1704">
        <v>27853</v>
      </c>
      <c r="G107" s="1468" t="s">
        <v>4620</v>
      </c>
      <c r="H107" s="1705">
        <f>+NOMINA!H86</f>
        <v>44636</v>
      </c>
      <c r="I107" s="1105">
        <f>+NOMINA!I86</f>
        <v>3</v>
      </c>
      <c r="J107" s="1106">
        <f>+NOMINA!J86</f>
        <v>0</v>
      </c>
      <c r="K107" s="1105">
        <f t="shared" si="13"/>
        <v>3</v>
      </c>
      <c r="L107" s="1106" t="s">
        <v>4932</v>
      </c>
      <c r="M107" s="1106"/>
      <c r="N107" s="1443" t="str">
        <f>+NOMINA!O86</f>
        <v>Guia de Centro I</v>
      </c>
      <c r="O107" s="1107">
        <f>ROUND(NOMINA!W86,2)</f>
        <v>109.5</v>
      </c>
      <c r="P107" s="1107">
        <f>NOMINA!AF86</f>
        <v>3.29</v>
      </c>
      <c r="Q107" s="1107">
        <f>NOMINA!AH86</f>
        <v>65</v>
      </c>
      <c r="R107" s="1107">
        <f>NOMINA!AC86</f>
        <v>12.5</v>
      </c>
      <c r="S107" s="1107">
        <f>NOMINA!AJ86</f>
        <v>36.81</v>
      </c>
      <c r="T107" s="1108">
        <f t="shared" si="14"/>
        <v>91.55</v>
      </c>
      <c r="U107" s="1107">
        <f>ROUND(NOMINA!BL86,2)</f>
        <v>20.39</v>
      </c>
      <c r="V107" s="1107">
        <f>ROUND(NOMINA!BM86,2)</f>
        <v>2.5499999999999998</v>
      </c>
      <c r="W107" s="1107">
        <f>ROUND(+NOMINA!BN86,2)</f>
        <v>4.42</v>
      </c>
      <c r="X107" s="1108">
        <f t="shared" si="15"/>
        <v>20.93</v>
      </c>
      <c r="Y107" s="1107">
        <f>ROUND(NOMINA!BJ86,2)</f>
        <v>12.5</v>
      </c>
      <c r="Z107" s="1109">
        <f t="shared" si="12"/>
        <v>199.74</v>
      </c>
    </row>
    <row r="108" spans="1:26" s="620" customFormat="1" ht="20.100000000000001" customHeight="1" thickBot="1" x14ac:dyDescent="0.25">
      <c r="A108" s="758" t="s">
        <v>2846</v>
      </c>
      <c r="B108" s="508">
        <f t="shared" ca="1" si="16"/>
        <v>44</v>
      </c>
      <c r="C108" s="1102">
        <f>+NOMINA!C87</f>
        <v>10908510</v>
      </c>
      <c r="D108" s="1103" t="str">
        <f>+NOMINA!D87</f>
        <v>Castro de Vielma Yanira Rosa</v>
      </c>
      <c r="E108" s="1468" t="s">
        <v>4622</v>
      </c>
      <c r="F108" s="1704">
        <v>27853</v>
      </c>
      <c r="G108" s="1468" t="s">
        <v>4620</v>
      </c>
      <c r="H108" s="1705">
        <f>+NOMINA!H87</f>
        <v>39874</v>
      </c>
      <c r="I108" s="1105">
        <f>+NOMINA!I87</f>
        <v>16</v>
      </c>
      <c r="J108" s="1106">
        <f>+NOMINA!J87</f>
        <v>6</v>
      </c>
      <c r="K108" s="1105">
        <f t="shared" si="13"/>
        <v>22</v>
      </c>
      <c r="L108" s="1106" t="s">
        <v>4932</v>
      </c>
      <c r="M108" s="1106"/>
      <c r="N108" s="1443" t="str">
        <f>+NOMINA!O87</f>
        <v>Jefe de Centro</v>
      </c>
      <c r="O108" s="1107">
        <f>ROUND(NOMINA!W87,2)</f>
        <v>143.5</v>
      </c>
      <c r="P108" s="1107">
        <f>NOMINA!AF87</f>
        <v>42.48</v>
      </c>
      <c r="Q108" s="1107">
        <f>NOMINA!AH87</f>
        <v>65</v>
      </c>
      <c r="R108" s="1107">
        <f>NOMINA!AC87</f>
        <v>0</v>
      </c>
      <c r="S108" s="1107">
        <f>NOMINA!AJ87</f>
        <v>62.75</v>
      </c>
      <c r="T108" s="1108">
        <f t="shared" si="14"/>
        <v>100.02000000000001</v>
      </c>
      <c r="U108" s="1107">
        <f>ROUND(NOMINA!BL87,2)</f>
        <v>28.96</v>
      </c>
      <c r="V108" s="1107">
        <f>ROUND(NOMINA!BM87,2)</f>
        <v>3.62</v>
      </c>
      <c r="W108" s="1107">
        <f>ROUND(+NOMINA!BN87,2)</f>
        <v>6.27</v>
      </c>
      <c r="X108" s="1108">
        <f t="shared" si="15"/>
        <v>33.26</v>
      </c>
      <c r="Y108" s="1107">
        <f>ROUND(NOMINA!BJ87,2)</f>
        <v>12.5</v>
      </c>
      <c r="Z108" s="1109">
        <f t="shared" si="12"/>
        <v>274.88</v>
      </c>
    </row>
    <row r="109" spans="1:26" s="620" customFormat="1" ht="20.100000000000001" customHeight="1" thickBot="1" x14ac:dyDescent="0.25">
      <c r="A109" s="758" t="s">
        <v>2846</v>
      </c>
      <c r="B109" s="508">
        <f t="shared" ca="1" si="16"/>
        <v>45</v>
      </c>
      <c r="C109" s="1102">
        <f>+NOMINA!C88</f>
        <v>10909245</v>
      </c>
      <c r="D109" s="1103" t="str">
        <f>+NOMINA!D88</f>
        <v>Delduca Moreno Luisa</v>
      </c>
      <c r="E109" s="1468" t="s">
        <v>4622</v>
      </c>
      <c r="F109" s="1704">
        <v>27853</v>
      </c>
      <c r="G109" s="1468" t="s">
        <v>4620</v>
      </c>
      <c r="H109" s="1705">
        <f>+NOMINA!H88</f>
        <v>36054</v>
      </c>
      <c r="I109" s="1105">
        <f>+NOMINA!I88</f>
        <v>27</v>
      </c>
      <c r="J109" s="1106">
        <f>+NOMINA!J88</f>
        <v>0</v>
      </c>
      <c r="K109" s="1105">
        <f t="shared" si="13"/>
        <v>27</v>
      </c>
      <c r="L109" s="1106" t="s">
        <v>4932</v>
      </c>
      <c r="M109" s="1106"/>
      <c r="N109" s="1443" t="str">
        <f>+NOMINA!O88</f>
        <v>Guia de Centro II</v>
      </c>
      <c r="O109" s="1107">
        <f>ROUND(NOMINA!W88,2)</f>
        <v>114</v>
      </c>
      <c r="P109" s="1107">
        <f>NOMINA!AF88</f>
        <v>34.200000000000003</v>
      </c>
      <c r="Q109" s="1107">
        <f>NOMINA!AH88</f>
        <v>65</v>
      </c>
      <c r="R109" s="1107">
        <f>NOMINA!AC88</f>
        <v>0</v>
      </c>
      <c r="S109" s="1107">
        <f>NOMINA!AJ88</f>
        <v>42.64</v>
      </c>
      <c r="T109" s="1108">
        <f t="shared" si="14"/>
        <v>78.23</v>
      </c>
      <c r="U109" s="1107">
        <f>ROUND(NOMINA!BL88,2)</f>
        <v>30.7</v>
      </c>
      <c r="V109" s="1107">
        <f>ROUND(NOMINA!BM88,2)</f>
        <v>3.84</v>
      </c>
      <c r="W109" s="1107">
        <f>ROUND(+NOMINA!BN88,2)</f>
        <v>6.65</v>
      </c>
      <c r="X109" s="1108">
        <f t="shared" si="15"/>
        <v>28.43</v>
      </c>
      <c r="Y109" s="1107">
        <f>ROUND(NOMINA!BJ88,2)</f>
        <v>12.5</v>
      </c>
      <c r="Z109" s="1109">
        <f t="shared" si="12"/>
        <v>214.64999999999998</v>
      </c>
    </row>
    <row r="110" spans="1:26" s="620" customFormat="1" ht="20.100000000000001" customHeight="1" thickBot="1" x14ac:dyDescent="0.25">
      <c r="A110" s="758" t="s">
        <v>2846</v>
      </c>
      <c r="B110" s="508">
        <f t="shared" ca="1" si="16"/>
        <v>46</v>
      </c>
      <c r="C110" s="1102">
        <f>+NOMINA!C89</f>
        <v>10910698</v>
      </c>
      <c r="D110" s="1103" t="str">
        <f>+NOMINA!D89</f>
        <v>Rangel Briceño Marcial Segundo</v>
      </c>
      <c r="E110" s="1468" t="s">
        <v>4622</v>
      </c>
      <c r="F110" s="1704">
        <v>27853</v>
      </c>
      <c r="G110" s="1468" t="s">
        <v>4620</v>
      </c>
      <c r="H110" s="1705">
        <f>+NOMINA!H89</f>
        <v>43891</v>
      </c>
      <c r="I110" s="1105">
        <f>+NOMINA!I89</f>
        <v>5</v>
      </c>
      <c r="J110" s="1106">
        <f>+NOMINA!J89</f>
        <v>0</v>
      </c>
      <c r="K110" s="1105">
        <f t="shared" si="13"/>
        <v>5</v>
      </c>
      <c r="L110" s="1106" t="s">
        <v>4932</v>
      </c>
      <c r="M110" s="1106"/>
      <c r="N110" s="1443" t="str">
        <f>+NOMINA!O89</f>
        <v>Asistente Administrativo II</v>
      </c>
      <c r="O110" s="1107">
        <f>ROUND(NOMINA!W89,2)</f>
        <v>75</v>
      </c>
      <c r="P110" s="1107">
        <f>NOMINA!AF89</f>
        <v>3.75</v>
      </c>
      <c r="Q110" s="1107">
        <f>NOMINA!AH89</f>
        <v>65</v>
      </c>
      <c r="R110" s="1107">
        <f>NOMINA!AC89</f>
        <v>0</v>
      </c>
      <c r="S110" s="1107">
        <f>NOMINA!AJ89</f>
        <v>0</v>
      </c>
      <c r="T110" s="1108">
        <f t="shared" si="14"/>
        <v>92.82</v>
      </c>
      <c r="U110" s="1107">
        <f>ROUND(NOMINA!BL89,2)</f>
        <v>13.27</v>
      </c>
      <c r="V110" s="1107">
        <f>ROUND(NOMINA!BM89,2)</f>
        <v>1.66</v>
      </c>
      <c r="W110" s="1107">
        <f>ROUND(+NOMINA!BN89,2)</f>
        <v>2.88</v>
      </c>
      <c r="X110" s="1108">
        <f t="shared" si="15"/>
        <v>27.41</v>
      </c>
      <c r="Y110" s="1107">
        <f>ROUND(NOMINA!BJ89,2)</f>
        <v>12.5</v>
      </c>
      <c r="Z110" s="1109">
        <f t="shared" si="12"/>
        <v>125.94</v>
      </c>
    </row>
    <row r="111" spans="1:26" s="620" customFormat="1" ht="20.100000000000001" customHeight="1" thickBot="1" x14ac:dyDescent="0.25">
      <c r="A111" s="758" t="s">
        <v>2846</v>
      </c>
      <c r="B111" s="508">
        <f t="shared" ca="1" si="16"/>
        <v>47</v>
      </c>
      <c r="C111" s="1102">
        <f>+NOMINA!C90</f>
        <v>10912595</v>
      </c>
      <c r="D111" s="1103" t="str">
        <f>+NOMINA!D90</f>
        <v>Delfin Bustos Jose Hercilio</v>
      </c>
      <c r="E111" s="1468" t="s">
        <v>4622</v>
      </c>
      <c r="F111" s="1704">
        <v>27853</v>
      </c>
      <c r="G111" s="1468" t="s">
        <v>4620</v>
      </c>
      <c r="H111" s="1705">
        <f>+NOMINA!H90</f>
        <v>36039</v>
      </c>
      <c r="I111" s="1105">
        <f>+NOMINA!I90</f>
        <v>27</v>
      </c>
      <c r="J111" s="1106">
        <f>+NOMINA!J90</f>
        <v>0</v>
      </c>
      <c r="K111" s="1105">
        <f t="shared" si="13"/>
        <v>27</v>
      </c>
      <c r="L111" s="1106" t="s">
        <v>4932</v>
      </c>
      <c r="M111" s="1106"/>
      <c r="N111" s="1443" t="str">
        <f>+NOMINA!O90</f>
        <v>Guia de Centro II</v>
      </c>
      <c r="O111" s="1107">
        <f>ROUND(NOMINA!W90,2)</f>
        <v>0</v>
      </c>
      <c r="P111" s="1107">
        <f>NOMINA!AF90</f>
        <v>0</v>
      </c>
      <c r="Q111" s="1107">
        <f>NOMINA!AH90</f>
        <v>0</v>
      </c>
      <c r="R111" s="1107">
        <f>NOMINA!AC90</f>
        <v>0</v>
      </c>
      <c r="S111" s="1107">
        <f>NOMINA!AJ90</f>
        <v>0</v>
      </c>
      <c r="T111" s="1108">
        <f t="shared" si="14"/>
        <v>0</v>
      </c>
      <c r="U111" s="1107">
        <f>ROUND(NOMINA!BL90,2)</f>
        <v>0</v>
      </c>
      <c r="V111" s="1107">
        <f>ROUND(NOMINA!BM90,2)</f>
        <v>0</v>
      </c>
      <c r="W111" s="1107">
        <f>ROUND(+NOMINA!BN90,2)</f>
        <v>0</v>
      </c>
      <c r="X111" s="1108">
        <f t="shared" si="15"/>
        <v>36.17</v>
      </c>
      <c r="Y111" s="1107">
        <f>ROUND(NOMINA!BJ90,2)</f>
        <v>0</v>
      </c>
      <c r="Z111" s="1109">
        <f t="shared" si="12"/>
        <v>0</v>
      </c>
    </row>
    <row r="112" spans="1:26" s="620" customFormat="1" ht="20.100000000000001" customHeight="1" thickBot="1" x14ac:dyDescent="0.25">
      <c r="A112" s="758" t="s">
        <v>2846</v>
      </c>
      <c r="B112" s="508">
        <f t="shared" ca="1" si="16"/>
        <v>48</v>
      </c>
      <c r="C112" s="1102">
        <f>+NOMINA!C91</f>
        <v>10913178</v>
      </c>
      <c r="D112" s="1103" t="str">
        <f>+NOMINA!D91</f>
        <v>Garcia Moreno Iris Josefina</v>
      </c>
      <c r="E112" s="1468" t="s">
        <v>4622</v>
      </c>
      <c r="F112" s="1704">
        <v>27853</v>
      </c>
      <c r="G112" s="1468" t="s">
        <v>4620</v>
      </c>
      <c r="H112" s="1705">
        <f>+NOMINA!H91</f>
        <v>44805</v>
      </c>
      <c r="I112" s="1105">
        <f>+NOMINA!I91</f>
        <v>3</v>
      </c>
      <c r="J112" s="1106">
        <f>+NOMINA!J91</f>
        <v>9</v>
      </c>
      <c r="K112" s="1105">
        <f t="shared" si="13"/>
        <v>12</v>
      </c>
      <c r="L112" s="1106" t="s">
        <v>4932</v>
      </c>
      <c r="M112" s="1106"/>
      <c r="N112" s="1443" t="str">
        <f>+NOMINA!O91</f>
        <v>Asistente de Servicio Social</v>
      </c>
      <c r="O112" s="1107">
        <f>ROUND(NOMINA!W91,2)</f>
        <v>87</v>
      </c>
      <c r="P112" s="1107">
        <f>NOMINA!AF91</f>
        <v>12.01</v>
      </c>
      <c r="Q112" s="1107">
        <f>NOMINA!AH91</f>
        <v>65</v>
      </c>
      <c r="R112" s="1107">
        <f>NOMINA!AC91</f>
        <v>0</v>
      </c>
      <c r="S112" s="1107">
        <f>NOMINA!AJ91</f>
        <v>0</v>
      </c>
      <c r="T112" s="1108">
        <f t="shared" si="14"/>
        <v>154.64000000000001</v>
      </c>
      <c r="U112" s="1107">
        <f>ROUND(NOMINA!BL91,2)</f>
        <v>15.14</v>
      </c>
      <c r="V112" s="1107">
        <f>ROUND(NOMINA!BM91,2)</f>
        <v>1.89</v>
      </c>
      <c r="W112" s="1107">
        <f>ROUND(+NOMINA!BN91,2)</f>
        <v>3.28</v>
      </c>
      <c r="X112" s="1108">
        <f t="shared" si="15"/>
        <v>38.950000000000003</v>
      </c>
      <c r="Y112" s="1107">
        <f>ROUND(NOMINA!BJ91,2)</f>
        <v>12.5</v>
      </c>
      <c r="Z112" s="1109">
        <f t="shared" si="12"/>
        <v>143.69999999999999</v>
      </c>
    </row>
    <row r="113" spans="1:26" s="620" customFormat="1" ht="20.100000000000001" customHeight="1" thickBot="1" x14ac:dyDescent="0.25">
      <c r="A113" s="758" t="s">
        <v>2846</v>
      </c>
      <c r="B113" s="508">
        <f t="shared" ca="1" si="16"/>
        <v>49</v>
      </c>
      <c r="C113" s="1102">
        <f>+NOMINA!C92</f>
        <v>10913637</v>
      </c>
      <c r="D113" s="1103" t="str">
        <f>+NOMINA!D92</f>
        <v>Angarita Hernandez Ana del Carmen</v>
      </c>
      <c r="E113" s="1468" t="s">
        <v>4622</v>
      </c>
      <c r="F113" s="1704">
        <v>27853</v>
      </c>
      <c r="G113" s="1468" t="s">
        <v>4620</v>
      </c>
      <c r="H113" s="1705">
        <f>+NOMINA!H92</f>
        <v>40664</v>
      </c>
      <c r="I113" s="1105">
        <f>+NOMINA!I92</f>
        <v>14</v>
      </c>
      <c r="J113" s="1106">
        <f>+NOMINA!J92</f>
        <v>0</v>
      </c>
      <c r="K113" s="1105">
        <f t="shared" si="13"/>
        <v>14</v>
      </c>
      <c r="L113" s="1106" t="s">
        <v>4932</v>
      </c>
      <c r="M113" s="1106"/>
      <c r="N113" s="1443" t="str">
        <f>+NOMINA!O92</f>
        <v>Guia de Centro II</v>
      </c>
      <c r="O113" s="1107">
        <f>ROUND(NOMINA!W92,2)</f>
        <v>141.5</v>
      </c>
      <c r="P113" s="1107">
        <f>NOMINA!AF92</f>
        <v>23.49</v>
      </c>
      <c r="Q113" s="1107">
        <f>NOMINA!AH92</f>
        <v>65</v>
      </c>
      <c r="R113" s="1107">
        <f>NOMINA!AC92</f>
        <v>0</v>
      </c>
      <c r="S113" s="1107">
        <f>NOMINA!AJ92</f>
        <v>57.5</v>
      </c>
      <c r="T113" s="1108">
        <f t="shared" si="14"/>
        <v>170.94</v>
      </c>
      <c r="U113" s="1107">
        <f>ROUND(NOMINA!BL92,2)</f>
        <v>34.5</v>
      </c>
      <c r="V113" s="1107">
        <f>ROUND(NOMINA!BM92,2)</f>
        <v>4.3099999999999996</v>
      </c>
      <c r="W113" s="1107">
        <f>ROUND(+NOMINA!BN92,2)</f>
        <v>7.47</v>
      </c>
      <c r="X113" s="1108">
        <f t="shared" si="15"/>
        <v>28.99</v>
      </c>
      <c r="Y113" s="1107">
        <f>ROUND(NOMINA!BJ92,2)</f>
        <v>12.5</v>
      </c>
      <c r="Z113" s="1109">
        <f t="shared" si="12"/>
        <v>241.21</v>
      </c>
    </row>
    <row r="114" spans="1:26" s="620" customFormat="1" ht="20.100000000000001" customHeight="1" thickBot="1" x14ac:dyDescent="0.25">
      <c r="A114" s="758" t="s">
        <v>2846</v>
      </c>
      <c r="B114" s="508">
        <f t="shared" ca="1" si="16"/>
        <v>50</v>
      </c>
      <c r="C114" s="1102">
        <f>+NOMINA!C93</f>
        <v>10915223</v>
      </c>
      <c r="D114" s="1103" t="str">
        <f>+NOMINA!D93</f>
        <v>Contreras Rojo Gerardo Alexander</v>
      </c>
      <c r="E114" s="1468" t="s">
        <v>4622</v>
      </c>
      <c r="F114" s="1704">
        <v>27853</v>
      </c>
      <c r="G114" s="1468" t="s">
        <v>4620</v>
      </c>
      <c r="H114" s="1705">
        <f>+NOMINA!H93</f>
        <v>35339</v>
      </c>
      <c r="I114" s="1105">
        <f>+NOMINA!I93</f>
        <v>28</v>
      </c>
      <c r="J114" s="1106">
        <f>+NOMINA!J93</f>
        <v>0</v>
      </c>
      <c r="K114" s="1105">
        <f t="shared" si="13"/>
        <v>28</v>
      </c>
      <c r="L114" s="1106" t="s">
        <v>4932</v>
      </c>
      <c r="M114" s="1106"/>
      <c r="N114" s="1443" t="str">
        <f>+NOMINA!O93</f>
        <v>Tutor Facilitador III</v>
      </c>
      <c r="O114" s="1107">
        <f>ROUND(NOMINA!W93,2)</f>
        <v>158</v>
      </c>
      <c r="P114" s="1107">
        <f>NOMINA!AF93</f>
        <v>47.4</v>
      </c>
      <c r="Q114" s="1107">
        <f>NOMINA!AH93</f>
        <v>65</v>
      </c>
      <c r="R114" s="1107">
        <f>NOMINA!AC93</f>
        <v>0</v>
      </c>
      <c r="S114" s="1107">
        <f>NOMINA!AJ93</f>
        <v>94.64</v>
      </c>
      <c r="T114" s="1108">
        <f t="shared" si="14"/>
        <v>65</v>
      </c>
      <c r="U114" s="1107">
        <f>ROUND(NOMINA!BL93,2)</f>
        <v>33.700000000000003</v>
      </c>
      <c r="V114" s="1107">
        <f>ROUND(NOMINA!BM93,2)</f>
        <v>4.21</v>
      </c>
      <c r="W114" s="1107">
        <f>ROUND(+NOMINA!BN93,2)</f>
        <v>7.3</v>
      </c>
      <c r="X114" s="1108">
        <f t="shared" si="15"/>
        <v>22.46</v>
      </c>
      <c r="Y114" s="1107">
        <f>ROUND(NOMINA!BJ93,2)</f>
        <v>12.5</v>
      </c>
      <c r="Z114" s="1109">
        <f t="shared" si="12"/>
        <v>319.83</v>
      </c>
    </row>
    <row r="115" spans="1:26" s="620" customFormat="1" ht="20.100000000000001" customHeight="1" thickBot="1" x14ac:dyDescent="0.25">
      <c r="A115" s="758" t="s">
        <v>2846</v>
      </c>
      <c r="B115" s="508">
        <f t="shared" ca="1" si="16"/>
        <v>51</v>
      </c>
      <c r="C115" s="1102">
        <f>+NOMINA!C94</f>
        <v>10915384</v>
      </c>
      <c r="D115" s="1103" t="str">
        <f>+NOMINA!D94</f>
        <v>Rojas Hernandez Morela del Carmen</v>
      </c>
      <c r="E115" s="1468" t="s">
        <v>4622</v>
      </c>
      <c r="F115" s="1704">
        <v>27853</v>
      </c>
      <c r="G115" s="1468" t="s">
        <v>4620</v>
      </c>
      <c r="H115" s="1705">
        <f>+NOMINA!H94</f>
        <v>43147</v>
      </c>
      <c r="I115" s="1105">
        <f>+NOMINA!I94</f>
        <v>7</v>
      </c>
      <c r="J115" s="1106">
        <f>+NOMINA!J94</f>
        <v>0</v>
      </c>
      <c r="K115" s="1105">
        <f t="shared" si="13"/>
        <v>7</v>
      </c>
      <c r="L115" s="1106" t="s">
        <v>4932</v>
      </c>
      <c r="M115" s="1106"/>
      <c r="N115" s="1443" t="str">
        <f>+NOMINA!O94</f>
        <v>Guia de Centro II</v>
      </c>
      <c r="O115" s="1107">
        <f>ROUND(NOMINA!W94,2)</f>
        <v>110.5</v>
      </c>
      <c r="P115" s="1107">
        <f>NOMINA!AF94</f>
        <v>8.18</v>
      </c>
      <c r="Q115" s="1107">
        <f>NOMINA!AH94</f>
        <v>65</v>
      </c>
      <c r="R115" s="1107">
        <f>NOMINA!AC94</f>
        <v>0</v>
      </c>
      <c r="S115" s="1107">
        <f>NOMINA!AJ94</f>
        <v>36.74</v>
      </c>
      <c r="T115" s="1108">
        <f t="shared" si="14"/>
        <v>129.04</v>
      </c>
      <c r="U115" s="1107">
        <f>ROUND(NOMINA!BL94,2)</f>
        <v>26.45</v>
      </c>
      <c r="V115" s="1107">
        <f>ROUND(NOMINA!BM94,2)</f>
        <v>3.31</v>
      </c>
      <c r="W115" s="1107">
        <f>ROUND(+NOMINA!BN94,2)</f>
        <v>5.73</v>
      </c>
      <c r="X115" s="1108">
        <f t="shared" si="15"/>
        <v>17.62</v>
      </c>
      <c r="Y115" s="1107">
        <f>ROUND(NOMINA!BJ94,2)</f>
        <v>12.5</v>
      </c>
      <c r="Z115" s="1109">
        <f t="shared" si="12"/>
        <v>184.93</v>
      </c>
    </row>
    <row r="116" spans="1:26" s="620" customFormat="1" ht="20.100000000000001" customHeight="1" thickBot="1" x14ac:dyDescent="0.25">
      <c r="A116" s="758" t="s">
        <v>2846</v>
      </c>
      <c r="B116" s="508">
        <f t="shared" ca="1" si="16"/>
        <v>52</v>
      </c>
      <c r="C116" s="1102">
        <f>+NOMINA!C95</f>
        <v>10915597</v>
      </c>
      <c r="D116" s="1103" t="str">
        <f>+NOMINA!D95</f>
        <v>Carrillo Altuve Maria Mercedes</v>
      </c>
      <c r="E116" s="1468" t="s">
        <v>4622</v>
      </c>
      <c r="F116" s="1704">
        <v>27853</v>
      </c>
      <c r="G116" s="1468" t="s">
        <v>4620</v>
      </c>
      <c r="H116" s="1705">
        <f>+NOMINA!H95</f>
        <v>44501</v>
      </c>
      <c r="I116" s="1105">
        <f>+NOMINA!I95</f>
        <v>3</v>
      </c>
      <c r="J116" s="1106">
        <f>+NOMINA!J95</f>
        <v>0</v>
      </c>
      <c r="K116" s="1105">
        <f t="shared" si="13"/>
        <v>3</v>
      </c>
      <c r="L116" s="1106" t="s">
        <v>4932</v>
      </c>
      <c r="M116" s="1106"/>
      <c r="N116" s="1443" t="str">
        <f>+NOMINA!O95</f>
        <v>Guia de Centro I</v>
      </c>
      <c r="O116" s="1107">
        <f>ROUND(NOMINA!W95,2)</f>
        <v>109.5</v>
      </c>
      <c r="P116" s="1107">
        <f>NOMINA!AF95</f>
        <v>3.29</v>
      </c>
      <c r="Q116" s="1107">
        <f>NOMINA!AH95</f>
        <v>65</v>
      </c>
      <c r="R116" s="1107">
        <f>NOMINA!AC95</f>
        <v>0</v>
      </c>
      <c r="S116" s="1107">
        <f>NOMINA!AJ95</f>
        <v>71.12</v>
      </c>
      <c r="T116" s="1108">
        <f t="shared" si="14"/>
        <v>119.10000000000001</v>
      </c>
      <c r="U116" s="1107">
        <f>ROUND(NOMINA!BL95,2)</f>
        <v>29.87</v>
      </c>
      <c r="V116" s="1107">
        <f>ROUND(NOMINA!BM95,2)</f>
        <v>3.73</v>
      </c>
      <c r="W116" s="1107">
        <f>ROUND(+NOMINA!BN95,2)</f>
        <v>6.47</v>
      </c>
      <c r="X116" s="1108">
        <f t="shared" si="15"/>
        <v>41.19</v>
      </c>
      <c r="Y116" s="1107">
        <f>ROUND(NOMINA!BJ95,2)</f>
        <v>12.5</v>
      </c>
      <c r="Z116" s="1109">
        <f t="shared" si="12"/>
        <v>208.84000000000003</v>
      </c>
    </row>
    <row r="117" spans="1:26" s="620" customFormat="1" ht="20.100000000000001" customHeight="1" thickBot="1" x14ac:dyDescent="0.25">
      <c r="A117" s="758" t="s">
        <v>2846</v>
      </c>
      <c r="B117" s="508">
        <f t="shared" ca="1" si="16"/>
        <v>53</v>
      </c>
      <c r="C117" s="1102">
        <f>+NOMINA!C96</f>
        <v>11128954</v>
      </c>
      <c r="D117" s="1103" t="str">
        <f>+NOMINA!D96</f>
        <v>Soto Lopez Rafael Maria</v>
      </c>
      <c r="E117" s="1468" t="s">
        <v>4622</v>
      </c>
      <c r="F117" s="1704">
        <v>27853</v>
      </c>
      <c r="G117" s="1468" t="s">
        <v>4620</v>
      </c>
      <c r="H117" s="1705">
        <f>+NOMINA!H96</f>
        <v>45170</v>
      </c>
      <c r="I117" s="1105">
        <f>+NOMINA!I96</f>
        <v>2</v>
      </c>
      <c r="J117" s="1106">
        <f>+NOMINA!J96</f>
        <v>23</v>
      </c>
      <c r="K117" s="1105">
        <f t="shared" si="13"/>
        <v>25</v>
      </c>
      <c r="L117" s="1106" t="s">
        <v>4932</v>
      </c>
      <c r="M117" s="1106"/>
      <c r="N117" s="1443" t="str">
        <f>+NOMINA!O96</f>
        <v>Guia de Centro I</v>
      </c>
      <c r="O117" s="1107">
        <f>ROUND(NOMINA!W96,2)</f>
        <v>114</v>
      </c>
      <c r="P117" s="1107">
        <f>NOMINA!AF96</f>
        <v>34.200000000000003</v>
      </c>
      <c r="Q117" s="1107">
        <f>NOMINA!AH96</f>
        <v>65</v>
      </c>
      <c r="R117" s="1107">
        <f>NOMINA!AC96</f>
        <v>12.5</v>
      </c>
      <c r="S117" s="1107">
        <f>NOMINA!AJ96</f>
        <v>43.89</v>
      </c>
      <c r="T117" s="1108">
        <f t="shared" si="14"/>
        <v>82.25</v>
      </c>
      <c r="U117" s="1107">
        <f>ROUND(NOMINA!BL96,2)</f>
        <v>31.6</v>
      </c>
      <c r="V117" s="1107">
        <f>ROUND(NOMINA!BM96,2)</f>
        <v>3.95</v>
      </c>
      <c r="W117" s="1107">
        <f>ROUND(+NOMINA!BN96,2)</f>
        <v>6.85</v>
      </c>
      <c r="X117" s="1108">
        <f t="shared" si="15"/>
        <v>39.61</v>
      </c>
      <c r="Y117" s="1107">
        <f>ROUND(NOMINA!BJ96,2)</f>
        <v>12.5</v>
      </c>
      <c r="Z117" s="1109">
        <f t="shared" si="12"/>
        <v>227.18999999999997</v>
      </c>
    </row>
    <row r="118" spans="1:26" s="620" customFormat="1" ht="20.100000000000001" customHeight="1" thickBot="1" x14ac:dyDescent="0.25">
      <c r="A118" s="758" t="s">
        <v>2846</v>
      </c>
      <c r="B118" s="508">
        <f t="shared" ca="1" si="16"/>
        <v>54</v>
      </c>
      <c r="C118" s="1102">
        <f>+NOMINA!C97</f>
        <v>11132900</v>
      </c>
      <c r="D118" s="1103" t="str">
        <f>+NOMINA!D97</f>
        <v>Morillo Valero Ender Ramon</v>
      </c>
      <c r="E118" s="1468" t="s">
        <v>4622</v>
      </c>
      <c r="F118" s="1704">
        <v>27853</v>
      </c>
      <c r="G118" s="1468" t="s">
        <v>4620</v>
      </c>
      <c r="H118" s="1705">
        <f>+NOMINA!H97</f>
        <v>44866</v>
      </c>
      <c r="I118" s="1105">
        <f>+NOMINA!I97</f>
        <v>2</v>
      </c>
      <c r="J118" s="1106">
        <f>+NOMINA!J97</f>
        <v>0</v>
      </c>
      <c r="K118" s="1105">
        <f t="shared" si="13"/>
        <v>2</v>
      </c>
      <c r="L118" s="1106" t="s">
        <v>4932</v>
      </c>
      <c r="M118" s="1106"/>
      <c r="N118" s="1443" t="str">
        <f>+NOMINA!O97</f>
        <v>Guia de Centro I</v>
      </c>
      <c r="O118" s="1107">
        <f>ROUND(NOMINA!W97,2)</f>
        <v>96</v>
      </c>
      <c r="P118" s="1107">
        <f>NOMINA!AF97</f>
        <v>1.92</v>
      </c>
      <c r="Q118" s="1107">
        <f>NOMINA!AH97</f>
        <v>65</v>
      </c>
      <c r="R118" s="1107">
        <f>NOMINA!AC97</f>
        <v>0</v>
      </c>
      <c r="S118" s="1107">
        <f>NOMINA!AJ97</f>
        <v>32.590000000000003</v>
      </c>
      <c r="T118" s="1108">
        <f t="shared" si="14"/>
        <v>138.53</v>
      </c>
      <c r="U118" s="1107">
        <f>ROUND(NOMINA!BL97,2)</f>
        <v>23.46</v>
      </c>
      <c r="V118" s="1107">
        <f>ROUND(NOMINA!BM97,2)</f>
        <v>2.93</v>
      </c>
      <c r="W118" s="1107">
        <f>ROUND(+NOMINA!BN97,2)</f>
        <v>5.08</v>
      </c>
      <c r="X118" s="1108">
        <f t="shared" si="15"/>
        <v>37.590000000000003</v>
      </c>
      <c r="Y118" s="1107">
        <f>ROUND(NOMINA!BJ97,2)</f>
        <v>12.5</v>
      </c>
      <c r="Z118" s="1109">
        <f t="shared" si="12"/>
        <v>164.04000000000002</v>
      </c>
    </row>
    <row r="119" spans="1:26" s="620" customFormat="1" ht="20.100000000000001" customHeight="1" thickBot="1" x14ac:dyDescent="0.25">
      <c r="A119" s="758" t="s">
        <v>2846</v>
      </c>
      <c r="B119" s="508">
        <f t="shared" ca="1" si="16"/>
        <v>55</v>
      </c>
      <c r="C119" s="1102">
        <f>+NOMINA!C98</f>
        <v>11132943</v>
      </c>
      <c r="D119" s="1103" t="str">
        <f>+NOMINA!D98</f>
        <v>Materano Delgado Yoleida Josefina</v>
      </c>
      <c r="E119" s="1468" t="s">
        <v>4622</v>
      </c>
      <c r="F119" s="1704">
        <v>27853</v>
      </c>
      <c r="G119" s="1468" t="s">
        <v>4620</v>
      </c>
      <c r="H119" s="1705">
        <f>+NOMINA!H98</f>
        <v>39738</v>
      </c>
      <c r="I119" s="1105">
        <f>+NOMINA!I98</f>
        <v>16</v>
      </c>
      <c r="J119" s="1106">
        <f>+NOMINA!J98</f>
        <v>0</v>
      </c>
      <c r="K119" s="1105">
        <f t="shared" si="13"/>
        <v>16</v>
      </c>
      <c r="L119" s="1106" t="s">
        <v>4932</v>
      </c>
      <c r="M119" s="1106"/>
      <c r="N119" s="1443" t="str">
        <f>+NOMINA!O98</f>
        <v>Guia de Centro II</v>
      </c>
      <c r="O119" s="1107">
        <f>ROUND(NOMINA!W98,2)</f>
        <v>88</v>
      </c>
      <c r="P119" s="1107">
        <f>NOMINA!AF98</f>
        <v>17.25</v>
      </c>
      <c r="Q119" s="1107">
        <f>NOMINA!AH98</f>
        <v>65</v>
      </c>
      <c r="R119" s="1107">
        <f>NOMINA!AC98</f>
        <v>0</v>
      </c>
      <c r="S119" s="1107">
        <f>NOMINA!AJ98</f>
        <v>0</v>
      </c>
      <c r="T119" s="1108">
        <f t="shared" si="14"/>
        <v>170.94</v>
      </c>
      <c r="U119" s="1107">
        <f>ROUND(NOMINA!BL98,2)</f>
        <v>15.72</v>
      </c>
      <c r="V119" s="1107">
        <f>ROUND(NOMINA!BM98,2)</f>
        <v>1.96</v>
      </c>
      <c r="W119" s="1107">
        <f>ROUND(+NOMINA!BN98,2)</f>
        <v>3.41</v>
      </c>
      <c r="X119" s="1108">
        <f t="shared" si="15"/>
        <v>30.47</v>
      </c>
      <c r="Y119" s="1107">
        <f>ROUND(NOMINA!BJ98,2)</f>
        <v>12.5</v>
      </c>
      <c r="Z119" s="1109">
        <f t="shared" si="12"/>
        <v>149.16</v>
      </c>
    </row>
    <row r="120" spans="1:26" s="620" customFormat="1" ht="20.100000000000001" customHeight="1" thickBot="1" x14ac:dyDescent="0.25">
      <c r="A120" s="758" t="s">
        <v>2846</v>
      </c>
      <c r="B120" s="508">
        <f t="shared" ca="1" si="16"/>
        <v>56</v>
      </c>
      <c r="C120" s="1102">
        <f>+NOMINA!C99</f>
        <v>11132979</v>
      </c>
      <c r="D120" s="1103" t="str">
        <f>+NOMINA!D99</f>
        <v>Olivar Santana Maria Valbina</v>
      </c>
      <c r="E120" s="1468" t="s">
        <v>4622</v>
      </c>
      <c r="F120" s="1704">
        <v>27853</v>
      </c>
      <c r="G120" s="1468" t="s">
        <v>4620</v>
      </c>
      <c r="H120" s="1705">
        <f>+NOMINA!H99</f>
        <v>44348</v>
      </c>
      <c r="I120" s="1105">
        <f>+NOMINA!I99</f>
        <v>4</v>
      </c>
      <c r="J120" s="1106">
        <f>+NOMINA!J99</f>
        <v>12</v>
      </c>
      <c r="K120" s="1105">
        <f t="shared" si="13"/>
        <v>16</v>
      </c>
      <c r="L120" s="1106" t="s">
        <v>4932</v>
      </c>
      <c r="M120" s="1106"/>
      <c r="N120" s="1443" t="str">
        <f>+NOMINA!O99</f>
        <v>Guia de Centro II</v>
      </c>
      <c r="O120" s="1107">
        <f>ROUND(NOMINA!W99,2)</f>
        <v>142.5</v>
      </c>
      <c r="P120" s="1107">
        <f>NOMINA!AF99</f>
        <v>27.93</v>
      </c>
      <c r="Q120" s="1107">
        <f>NOMINA!AH99</f>
        <v>65</v>
      </c>
      <c r="R120" s="1107">
        <f>NOMINA!AC99</f>
        <v>12.5</v>
      </c>
      <c r="S120" s="1107">
        <f>NOMINA!AJ99</f>
        <v>60.42</v>
      </c>
      <c r="T120" s="1108">
        <f t="shared" si="14"/>
        <v>91.55</v>
      </c>
      <c r="U120" s="1107">
        <f>ROUND(NOMINA!BL99,2)</f>
        <v>36.25</v>
      </c>
      <c r="V120" s="1107">
        <f>ROUND(NOMINA!BM99,2)</f>
        <v>4.53</v>
      </c>
      <c r="W120" s="1107">
        <f>ROUND(+NOMINA!BN99,2)</f>
        <v>7.85</v>
      </c>
      <c r="X120" s="1108">
        <f t="shared" si="15"/>
        <v>29.74</v>
      </c>
      <c r="Y120" s="1107">
        <f>ROUND(NOMINA!BJ99,2)</f>
        <v>12.5</v>
      </c>
      <c r="Z120" s="1109">
        <f t="shared" si="12"/>
        <v>259.72000000000003</v>
      </c>
    </row>
    <row r="121" spans="1:26" s="620" customFormat="1" ht="20.100000000000001" customHeight="1" thickBot="1" x14ac:dyDescent="0.25">
      <c r="A121" s="758" t="s">
        <v>2846</v>
      </c>
      <c r="B121" s="508">
        <f t="shared" ca="1" si="16"/>
        <v>57</v>
      </c>
      <c r="C121" s="1102">
        <f>+NOMINA!C100</f>
        <v>11257247</v>
      </c>
      <c r="D121" s="1103" t="str">
        <f>+NOMINA!D100</f>
        <v>Chacin Sanchez Eduard Fabian</v>
      </c>
      <c r="E121" s="1468" t="s">
        <v>4622</v>
      </c>
      <c r="F121" s="1704">
        <v>27853</v>
      </c>
      <c r="G121" s="1468" t="s">
        <v>4620</v>
      </c>
      <c r="H121" s="1705">
        <f>+NOMINA!H100</f>
        <v>42492</v>
      </c>
      <c r="I121" s="1105">
        <f>+NOMINA!I100</f>
        <v>9</v>
      </c>
      <c r="J121" s="1106">
        <f>+NOMINA!J100</f>
        <v>0</v>
      </c>
      <c r="K121" s="1105">
        <f t="shared" si="13"/>
        <v>9</v>
      </c>
      <c r="L121" s="1106" t="s">
        <v>4932</v>
      </c>
      <c r="M121" s="1106"/>
      <c r="N121" s="1443" t="str">
        <f>+NOMINA!O100</f>
        <v>DELEGADO PRUEBA III</v>
      </c>
      <c r="O121" s="1107">
        <f>ROUND(NOMINA!W100,2)</f>
        <v>140.5</v>
      </c>
      <c r="P121" s="1107">
        <f>NOMINA!AF100</f>
        <v>13.77</v>
      </c>
      <c r="Q121" s="1107">
        <f>NOMINA!AH100</f>
        <v>65</v>
      </c>
      <c r="R121" s="1107">
        <f>NOMINA!AC100</f>
        <v>12.5</v>
      </c>
      <c r="S121" s="1107">
        <f>NOMINA!AJ100</f>
        <v>56.38</v>
      </c>
      <c r="T121" s="1108">
        <f t="shared" si="14"/>
        <v>99.1</v>
      </c>
      <c r="U121" s="1107">
        <f>ROUND(NOMINA!BL100,2)</f>
        <v>26.02</v>
      </c>
      <c r="V121" s="1107">
        <f>ROUND(NOMINA!BM100,2)</f>
        <v>3.25</v>
      </c>
      <c r="W121" s="1107">
        <f>ROUND(+NOMINA!BN100,2)</f>
        <v>5.64</v>
      </c>
      <c r="X121" s="1108">
        <f t="shared" si="15"/>
        <v>0</v>
      </c>
      <c r="Y121" s="1107">
        <f>ROUND(NOMINA!BJ100,2)</f>
        <v>12.5</v>
      </c>
      <c r="Z121" s="1109">
        <f t="shared" si="12"/>
        <v>253.24000000000004</v>
      </c>
    </row>
    <row r="122" spans="1:26" s="620" customFormat="1" ht="20.100000000000001" customHeight="1" thickBot="1" x14ac:dyDescent="0.25">
      <c r="A122" s="758" t="s">
        <v>2846</v>
      </c>
      <c r="B122" s="508">
        <f t="shared" ca="1" si="16"/>
        <v>58</v>
      </c>
      <c r="C122" s="1102">
        <f>+NOMINA!C101</f>
        <v>11318142</v>
      </c>
      <c r="D122" s="1103" t="str">
        <f>+NOMINA!D101</f>
        <v>Perdomo Rosales Modesto Ramon</v>
      </c>
      <c r="E122" s="1468" t="s">
        <v>4622</v>
      </c>
      <c r="F122" s="1704">
        <v>27853</v>
      </c>
      <c r="G122" s="1468" t="s">
        <v>4620</v>
      </c>
      <c r="H122" s="1705">
        <f>+NOMINA!H101</f>
        <v>43983</v>
      </c>
      <c r="I122" s="1105">
        <f>+NOMINA!I101</f>
        <v>5</v>
      </c>
      <c r="J122" s="1106">
        <f>+NOMINA!J101</f>
        <v>0</v>
      </c>
      <c r="K122" s="1105">
        <f t="shared" si="13"/>
        <v>5</v>
      </c>
      <c r="L122" s="1106" t="s">
        <v>4932</v>
      </c>
      <c r="M122" s="1106"/>
      <c r="N122" s="1443" t="str">
        <f>+NOMINA!O101</f>
        <v>Almacenista II</v>
      </c>
      <c r="O122" s="1107">
        <f>ROUND(NOMINA!W101,2)</f>
        <v>75</v>
      </c>
      <c r="P122" s="1107">
        <f>NOMINA!AF101</f>
        <v>3.75</v>
      </c>
      <c r="Q122" s="1107">
        <f>NOMINA!AH101</f>
        <v>65</v>
      </c>
      <c r="R122" s="1107">
        <f>NOMINA!AC101</f>
        <v>0</v>
      </c>
      <c r="S122" s="1107">
        <f>NOMINA!AJ101</f>
        <v>0</v>
      </c>
      <c r="T122" s="1108">
        <f t="shared" si="14"/>
        <v>67.25</v>
      </c>
      <c r="U122" s="1107">
        <f>ROUND(NOMINA!BL101,2)</f>
        <v>13.27</v>
      </c>
      <c r="V122" s="1107">
        <f>ROUND(NOMINA!BM101,2)</f>
        <v>1.66</v>
      </c>
      <c r="W122" s="1107">
        <f>ROUND(+NOMINA!BN101,2)</f>
        <v>2.88</v>
      </c>
      <c r="X122" s="1108">
        <f t="shared" si="15"/>
        <v>21.04</v>
      </c>
      <c r="Y122" s="1107">
        <f>ROUND(NOMINA!BJ101,2)</f>
        <v>12.5</v>
      </c>
      <c r="Z122" s="1109">
        <f t="shared" si="12"/>
        <v>125.94</v>
      </c>
    </row>
    <row r="123" spans="1:26" s="620" customFormat="1" ht="20.100000000000001" customHeight="1" thickBot="1" x14ac:dyDescent="0.25">
      <c r="A123" s="758" t="s">
        <v>2846</v>
      </c>
      <c r="B123" s="508">
        <f t="shared" ca="1" si="16"/>
        <v>59</v>
      </c>
      <c r="C123" s="1102">
        <f>+NOMINA!C102</f>
        <v>11318697</v>
      </c>
      <c r="D123" s="1103" t="str">
        <f>+NOMINA!D102</f>
        <v>Sardi Hernandez Gladis Josefina</v>
      </c>
      <c r="E123" s="1468" t="s">
        <v>4622</v>
      </c>
      <c r="F123" s="1704">
        <v>27853</v>
      </c>
      <c r="G123" s="1468" t="s">
        <v>4620</v>
      </c>
      <c r="H123" s="1705">
        <f>+NOMINA!H102</f>
        <v>39539</v>
      </c>
      <c r="I123" s="1105">
        <f>+NOMINA!I102</f>
        <v>17</v>
      </c>
      <c r="J123" s="1106">
        <f>+NOMINA!J102</f>
        <v>0</v>
      </c>
      <c r="K123" s="1105">
        <f t="shared" si="13"/>
        <v>17</v>
      </c>
      <c r="L123" s="1106" t="s">
        <v>4932</v>
      </c>
      <c r="M123" s="1106"/>
      <c r="N123" s="1443" t="str">
        <f>+NOMINA!O102</f>
        <v>Asistente Administrativo III</v>
      </c>
      <c r="O123" s="1107">
        <f>ROUND(NOMINA!W102,2)</f>
        <v>88</v>
      </c>
      <c r="P123" s="1107">
        <f>NOMINA!AF102</f>
        <v>18.66</v>
      </c>
      <c r="Q123" s="1107">
        <f>NOMINA!AH102</f>
        <v>65</v>
      </c>
      <c r="R123" s="1107">
        <f>NOMINA!AC102</f>
        <v>0</v>
      </c>
      <c r="S123" s="1107">
        <f>NOMINA!AJ102</f>
        <v>0</v>
      </c>
      <c r="T123" s="1108">
        <f t="shared" si="14"/>
        <v>141.84</v>
      </c>
      <c r="U123" s="1107">
        <f>ROUND(NOMINA!BL102,2)</f>
        <v>15.85</v>
      </c>
      <c r="V123" s="1107">
        <f>ROUND(NOMINA!BM102,2)</f>
        <v>1.98</v>
      </c>
      <c r="W123" s="1107">
        <f>ROUND(+NOMINA!BN102,2)</f>
        <v>3.43</v>
      </c>
      <c r="X123" s="1108">
        <f t="shared" si="15"/>
        <v>27.36</v>
      </c>
      <c r="Y123" s="1107">
        <f>ROUND(NOMINA!BJ102,2)</f>
        <v>12.5</v>
      </c>
      <c r="Z123" s="1109">
        <f t="shared" si="12"/>
        <v>150.4</v>
      </c>
    </row>
    <row r="124" spans="1:26" s="620" customFormat="1" ht="20.100000000000001" customHeight="1" thickBot="1" x14ac:dyDescent="0.25">
      <c r="A124" s="758" t="s">
        <v>2846</v>
      </c>
      <c r="B124" s="508">
        <f t="shared" ca="1" si="16"/>
        <v>60</v>
      </c>
      <c r="C124" s="1102">
        <f>+NOMINA!C103</f>
        <v>11319154</v>
      </c>
      <c r="D124" s="1103" t="str">
        <f>+NOMINA!D103</f>
        <v>Peña Villegas Lisette Carolina</v>
      </c>
      <c r="E124" s="1468" t="s">
        <v>4622</v>
      </c>
      <c r="F124" s="1704">
        <v>27853</v>
      </c>
      <c r="G124" s="1468" t="s">
        <v>4620</v>
      </c>
      <c r="H124" s="1705">
        <f>+NOMINA!H103</f>
        <v>34428</v>
      </c>
      <c r="I124" s="1105">
        <f>+NOMINA!I103</f>
        <v>31</v>
      </c>
      <c r="J124" s="1106">
        <f>+NOMINA!J103</f>
        <v>0</v>
      </c>
      <c r="K124" s="1105">
        <f t="shared" si="13"/>
        <v>31</v>
      </c>
      <c r="L124" s="1106" t="s">
        <v>4932</v>
      </c>
      <c r="M124" s="1106"/>
      <c r="N124" s="1443" t="str">
        <f>+NOMINA!O103</f>
        <v>Guia de Centro II</v>
      </c>
      <c r="O124" s="1107">
        <f>ROUND(NOMINA!W103,2)</f>
        <v>158</v>
      </c>
      <c r="P124" s="1107">
        <f>NOMINA!AF103</f>
        <v>47.4</v>
      </c>
      <c r="Q124" s="1107">
        <f>NOMINA!AH103</f>
        <v>65</v>
      </c>
      <c r="R124" s="1107">
        <f>NOMINA!AC103</f>
        <v>0</v>
      </c>
      <c r="S124" s="1107">
        <f>NOMINA!AJ103</f>
        <v>94.64</v>
      </c>
      <c r="T124" s="1108">
        <f t="shared" si="14"/>
        <v>131.99</v>
      </c>
      <c r="U124" s="1107">
        <f>ROUND(NOMINA!BL103,2)</f>
        <v>33.700000000000003</v>
      </c>
      <c r="V124" s="1107">
        <f>ROUND(NOMINA!BM103,2)</f>
        <v>4.21</v>
      </c>
      <c r="W124" s="1107">
        <f>ROUND(+NOMINA!BN103,2)</f>
        <v>7.3</v>
      </c>
      <c r="X124" s="1108">
        <f t="shared" si="15"/>
        <v>38.85</v>
      </c>
      <c r="Y124" s="1107">
        <f>ROUND(NOMINA!BJ103,2)</f>
        <v>12.5</v>
      </c>
      <c r="Z124" s="1109">
        <f t="shared" si="12"/>
        <v>319.83</v>
      </c>
    </row>
    <row r="125" spans="1:26" s="620" customFormat="1" ht="20.100000000000001" customHeight="1" thickBot="1" x14ac:dyDescent="0.25">
      <c r="A125" s="758" t="s">
        <v>2846</v>
      </c>
      <c r="B125" s="508">
        <f t="shared" ca="1" si="16"/>
        <v>61</v>
      </c>
      <c r="C125" s="1102">
        <f>+NOMINA!C104</f>
        <v>11320533</v>
      </c>
      <c r="D125" s="1103" t="str">
        <f>+NOMINA!D104</f>
        <v>Suarez Chiquin Yaritza Josefina</v>
      </c>
      <c r="E125" s="1468" t="s">
        <v>4622</v>
      </c>
      <c r="F125" s="1704">
        <v>27853</v>
      </c>
      <c r="G125" s="1468" t="s">
        <v>4620</v>
      </c>
      <c r="H125" s="1705">
        <f>+NOMINA!H104</f>
        <v>37629</v>
      </c>
      <c r="I125" s="1105">
        <f>+NOMINA!I104</f>
        <v>22</v>
      </c>
      <c r="J125" s="1106">
        <f>+NOMINA!J104</f>
        <v>0</v>
      </c>
      <c r="K125" s="1105">
        <f t="shared" si="13"/>
        <v>22</v>
      </c>
      <c r="L125" s="1106" t="s">
        <v>4932</v>
      </c>
      <c r="M125" s="1106"/>
      <c r="N125" s="1443" t="str">
        <f>+NOMINA!O104</f>
        <v>Administrador IV</v>
      </c>
      <c r="O125" s="1107">
        <f>ROUND(NOMINA!W104,2)</f>
        <v>0</v>
      </c>
      <c r="P125" s="1107">
        <f>NOMINA!AF104</f>
        <v>0</v>
      </c>
      <c r="Q125" s="1107">
        <f>NOMINA!AH104</f>
        <v>0</v>
      </c>
      <c r="R125" s="1107">
        <f>NOMINA!AC104</f>
        <v>0</v>
      </c>
      <c r="S125" s="1107">
        <f>NOMINA!AJ104</f>
        <v>0</v>
      </c>
      <c r="T125" s="1108">
        <f t="shared" si="14"/>
        <v>121.02</v>
      </c>
      <c r="U125" s="1107">
        <f>ROUND(NOMINA!BL104,2)</f>
        <v>0</v>
      </c>
      <c r="V125" s="1107">
        <f>ROUND(NOMINA!BM104,2)</f>
        <v>0</v>
      </c>
      <c r="W125" s="1107">
        <f>ROUND(+NOMINA!BN104,2)</f>
        <v>0</v>
      </c>
      <c r="X125" s="1108">
        <f t="shared" si="15"/>
        <v>41.19</v>
      </c>
      <c r="Y125" s="1107">
        <f>ROUND(NOMINA!BJ104,2)</f>
        <v>0</v>
      </c>
      <c r="Z125" s="1109">
        <f t="shared" si="12"/>
        <v>0</v>
      </c>
    </row>
    <row r="126" spans="1:26" s="620" customFormat="1" ht="20.100000000000001" customHeight="1" thickBot="1" x14ac:dyDescent="0.25">
      <c r="A126" s="758" t="s">
        <v>2846</v>
      </c>
      <c r="B126" s="508">
        <f t="shared" ca="1" si="16"/>
        <v>62</v>
      </c>
      <c r="C126" s="1102">
        <f>+NOMINA!C105</f>
        <v>11322871</v>
      </c>
      <c r="D126" s="1103" t="str">
        <f>+NOMINA!D105</f>
        <v>Rivas Albarran Martin Antonio</v>
      </c>
      <c r="E126" s="1468" t="s">
        <v>4622</v>
      </c>
      <c r="F126" s="1704">
        <v>27853</v>
      </c>
      <c r="G126" s="1468" t="s">
        <v>4620</v>
      </c>
      <c r="H126" s="1705">
        <f>+NOMINA!H105</f>
        <v>38718</v>
      </c>
      <c r="I126" s="1105">
        <f>+NOMINA!I105</f>
        <v>19</v>
      </c>
      <c r="J126" s="1106">
        <f>+NOMINA!J105</f>
        <v>0</v>
      </c>
      <c r="K126" s="1105">
        <f t="shared" si="13"/>
        <v>19</v>
      </c>
      <c r="L126" s="1106" t="s">
        <v>4932</v>
      </c>
      <c r="M126" s="1106"/>
      <c r="N126" s="1443" t="str">
        <f>+NOMINA!O105</f>
        <v>Tutor Facilitador III</v>
      </c>
      <c r="O126" s="1107">
        <f>ROUND(NOMINA!W105,2)</f>
        <v>143.5</v>
      </c>
      <c r="P126" s="1107">
        <f>NOMINA!AF105</f>
        <v>35.020000000000003</v>
      </c>
      <c r="Q126" s="1107">
        <f>NOMINA!AH105</f>
        <v>65</v>
      </c>
      <c r="R126" s="1107">
        <f>NOMINA!AC105</f>
        <v>0</v>
      </c>
      <c r="S126" s="1107">
        <f>NOMINA!AJ105</f>
        <v>60.88</v>
      </c>
      <c r="T126" s="1108">
        <f t="shared" si="14"/>
        <v>131.99</v>
      </c>
      <c r="U126" s="1107">
        <f>ROUND(NOMINA!BL105,2)</f>
        <v>28.1</v>
      </c>
      <c r="V126" s="1107">
        <f>ROUND(NOMINA!BM105,2)</f>
        <v>3.51</v>
      </c>
      <c r="W126" s="1107">
        <f>ROUND(+NOMINA!BN105,2)</f>
        <v>6.09</v>
      </c>
      <c r="X126" s="1108">
        <f t="shared" si="15"/>
        <v>17.809999999999999</v>
      </c>
      <c r="Y126" s="1107">
        <f>ROUND(NOMINA!BJ105,2)</f>
        <v>12.5</v>
      </c>
      <c r="Z126" s="1109">
        <f t="shared" si="12"/>
        <v>266.70000000000005</v>
      </c>
    </row>
    <row r="127" spans="1:26" s="620" customFormat="1" ht="20.100000000000001" customHeight="1" thickBot="1" x14ac:dyDescent="0.25">
      <c r="A127" s="758" t="s">
        <v>2846</v>
      </c>
      <c r="B127" s="508">
        <f t="shared" ca="1" si="16"/>
        <v>63</v>
      </c>
      <c r="C127" s="1102">
        <f>+NOMINA!C106</f>
        <v>11616673</v>
      </c>
      <c r="D127" s="1103" t="str">
        <f>+NOMINA!D106</f>
        <v>Perdomo Orlando Jose</v>
      </c>
      <c r="E127" s="1468" t="s">
        <v>4622</v>
      </c>
      <c r="F127" s="1704">
        <v>27853</v>
      </c>
      <c r="G127" s="1468" t="s">
        <v>4620</v>
      </c>
      <c r="H127" s="1705">
        <f>+NOMINA!H106</f>
        <v>35066</v>
      </c>
      <c r="I127" s="1105">
        <f>+NOMINA!I106</f>
        <v>29</v>
      </c>
      <c r="J127" s="1106">
        <f>+NOMINA!J106</f>
        <v>0</v>
      </c>
      <c r="K127" s="1105">
        <f t="shared" si="13"/>
        <v>29</v>
      </c>
      <c r="L127" s="1106" t="s">
        <v>4932</v>
      </c>
      <c r="M127" s="1106"/>
      <c r="N127" s="1443" t="str">
        <f>+NOMINA!O106</f>
        <v>Tutor Facilitador III</v>
      </c>
      <c r="O127" s="1107">
        <f>ROUND(NOMINA!W106,2)</f>
        <v>143.5</v>
      </c>
      <c r="P127" s="1107">
        <f>NOMINA!AF106</f>
        <v>43.05</v>
      </c>
      <c r="Q127" s="1107">
        <f>NOMINA!AH106</f>
        <v>65</v>
      </c>
      <c r="R127" s="1107">
        <f>NOMINA!AC106</f>
        <v>0</v>
      </c>
      <c r="S127" s="1107">
        <f>NOMINA!AJ106</f>
        <v>62.89</v>
      </c>
      <c r="T127" s="1108">
        <f t="shared" si="14"/>
        <v>127.18</v>
      </c>
      <c r="U127" s="1107">
        <f>ROUND(NOMINA!BL106,2)</f>
        <v>29.03</v>
      </c>
      <c r="V127" s="1107">
        <f>ROUND(NOMINA!BM106,2)</f>
        <v>3.63</v>
      </c>
      <c r="W127" s="1107">
        <f>ROUND(+NOMINA!BN106,2)</f>
        <v>6.29</v>
      </c>
      <c r="X127" s="1108">
        <f t="shared" si="15"/>
        <v>0</v>
      </c>
      <c r="Y127" s="1107">
        <f>ROUND(NOMINA!BJ106,2)</f>
        <v>12.5</v>
      </c>
      <c r="Z127" s="1109">
        <f t="shared" si="12"/>
        <v>275.49</v>
      </c>
    </row>
    <row r="128" spans="1:26" s="620" customFormat="1" ht="20.100000000000001" customHeight="1" thickBot="1" x14ac:dyDescent="0.25">
      <c r="A128" s="758" t="s">
        <v>2846</v>
      </c>
      <c r="B128" s="508">
        <f t="shared" ca="1" si="16"/>
        <v>64</v>
      </c>
      <c r="C128" s="1102">
        <f>+NOMINA!C107</f>
        <v>11734553</v>
      </c>
      <c r="D128" s="1103" t="str">
        <f>+NOMINA!D107</f>
        <v>Teran Torres Olga del Carmen</v>
      </c>
      <c r="E128" s="1468" t="s">
        <v>4622</v>
      </c>
      <c r="F128" s="1704">
        <v>27853</v>
      </c>
      <c r="G128" s="1468" t="s">
        <v>4620</v>
      </c>
      <c r="H128" s="1705">
        <f>+NOMINA!H107</f>
        <v>43206</v>
      </c>
      <c r="I128" s="1105">
        <f>+NOMINA!I107</f>
        <v>7</v>
      </c>
      <c r="J128" s="1106">
        <f>+NOMINA!J107</f>
        <v>0</v>
      </c>
      <c r="K128" s="1105">
        <f t="shared" si="13"/>
        <v>7</v>
      </c>
      <c r="L128" s="1106" t="s">
        <v>4932</v>
      </c>
      <c r="M128" s="1106"/>
      <c r="N128" s="1443" t="str">
        <f>+NOMINA!O107</f>
        <v>Tutor Facilitador III</v>
      </c>
      <c r="O128" s="1107">
        <f>ROUND(NOMINA!W107,2)</f>
        <v>154</v>
      </c>
      <c r="P128" s="1107">
        <f>NOMINA!AF107</f>
        <v>11.4</v>
      </c>
      <c r="Q128" s="1107">
        <f>NOMINA!AH107</f>
        <v>65</v>
      </c>
      <c r="R128" s="1107">
        <f>NOMINA!AC107</f>
        <v>0</v>
      </c>
      <c r="S128" s="1107">
        <f>NOMINA!AJ107</f>
        <v>80.64</v>
      </c>
      <c r="T128" s="1108">
        <f t="shared" si="14"/>
        <v>0</v>
      </c>
      <c r="U128" s="1107">
        <f>ROUND(NOMINA!BL107,2)</f>
        <v>28.71</v>
      </c>
      <c r="V128" s="1107">
        <f>ROUND(NOMINA!BM107,2)</f>
        <v>3.59</v>
      </c>
      <c r="W128" s="1107">
        <f>ROUND(+NOMINA!BN107,2)</f>
        <v>6.22</v>
      </c>
      <c r="X128" s="1108">
        <f t="shared" si="15"/>
        <v>20.309999999999999</v>
      </c>
      <c r="Y128" s="1107">
        <f>ROUND(NOMINA!BJ107,2)</f>
        <v>12.5</v>
      </c>
      <c r="Z128" s="1109">
        <f t="shared" si="12"/>
        <v>272.52000000000004</v>
      </c>
    </row>
    <row r="129" spans="1:26" s="620" customFormat="1" ht="20.100000000000001" customHeight="1" thickBot="1" x14ac:dyDescent="0.25">
      <c r="A129" s="758" t="s">
        <v>2846</v>
      </c>
      <c r="B129" s="508">
        <f t="shared" ca="1" si="16"/>
        <v>65</v>
      </c>
      <c r="C129" s="1102">
        <f>+NOMINA!C108</f>
        <v>11894534</v>
      </c>
      <c r="D129" s="1103" t="str">
        <f>+NOMINA!D108</f>
        <v>Olmos Rodriguez Eberto de Jesus</v>
      </c>
      <c r="E129" s="1468" t="s">
        <v>4622</v>
      </c>
      <c r="F129" s="1704">
        <v>27853</v>
      </c>
      <c r="G129" s="1468" t="s">
        <v>4620</v>
      </c>
      <c r="H129" s="1705">
        <f>+NOMINA!H108</f>
        <v>40909</v>
      </c>
      <c r="I129" s="1105">
        <f>+NOMINA!I108</f>
        <v>13</v>
      </c>
      <c r="J129" s="1106">
        <f>+NOMINA!J108</f>
        <v>13</v>
      </c>
      <c r="K129" s="1105">
        <f t="shared" si="13"/>
        <v>26</v>
      </c>
      <c r="L129" s="1106" t="s">
        <v>4932</v>
      </c>
      <c r="M129" s="1106"/>
      <c r="N129" s="1443" t="str">
        <f>+NOMINA!O108</f>
        <v>Administrador Jefe</v>
      </c>
      <c r="O129" s="1107">
        <f>ROUND(NOMINA!W108,2)</f>
        <v>0</v>
      </c>
      <c r="P129" s="1107">
        <f>NOMINA!AF108</f>
        <v>0</v>
      </c>
      <c r="Q129" s="1107">
        <f>NOMINA!AH108</f>
        <v>0</v>
      </c>
      <c r="R129" s="1107">
        <f>NOMINA!AC108</f>
        <v>0</v>
      </c>
      <c r="S129" s="1107">
        <f>NOMINA!AJ108</f>
        <v>0</v>
      </c>
      <c r="T129" s="1108">
        <f t="shared" si="14"/>
        <v>65.650000000000006</v>
      </c>
      <c r="U129" s="1107">
        <f>ROUND(NOMINA!BL108,2)</f>
        <v>0</v>
      </c>
      <c r="V129" s="1107">
        <f>ROUND(NOMINA!BM108,2)</f>
        <v>0</v>
      </c>
      <c r="W129" s="1107">
        <f>ROUND(+NOMINA!BN108,2)</f>
        <v>0</v>
      </c>
      <c r="X129" s="1108">
        <f t="shared" si="15"/>
        <v>46.28</v>
      </c>
      <c r="Y129" s="1107">
        <f>ROUND(NOMINA!BJ108,2)</f>
        <v>0</v>
      </c>
      <c r="Z129" s="1109">
        <f t="shared" ref="Z129:Z192" si="17">+O129+P129+Q129+R129+S129-(U129+V129+W129)</f>
        <v>0</v>
      </c>
    </row>
    <row r="130" spans="1:26" s="620" customFormat="1" ht="20.100000000000001" customHeight="1" thickBot="1" x14ac:dyDescent="0.25">
      <c r="A130" s="758" t="s">
        <v>2846</v>
      </c>
      <c r="B130" s="508">
        <f t="shared" ca="1" si="16"/>
        <v>66</v>
      </c>
      <c r="C130" s="1102">
        <f>+NOMINA!C109</f>
        <v>11895772</v>
      </c>
      <c r="D130" s="1103" t="str">
        <f>+NOMINA!D109</f>
        <v>Rangel Rivas Ildemaro</v>
      </c>
      <c r="E130" s="1468" t="s">
        <v>4622</v>
      </c>
      <c r="F130" s="1704">
        <v>27853</v>
      </c>
      <c r="G130" s="1468" t="s">
        <v>4620</v>
      </c>
      <c r="H130" s="1705">
        <f>+NOMINA!H109</f>
        <v>44743</v>
      </c>
      <c r="I130" s="1105">
        <f>+NOMINA!I109</f>
        <v>3</v>
      </c>
      <c r="J130" s="1106">
        <f>+NOMINA!J109</f>
        <v>0</v>
      </c>
      <c r="K130" s="1105">
        <f t="shared" ref="K130:K193" si="18">I130+J130</f>
        <v>3</v>
      </c>
      <c r="L130" s="1106" t="s">
        <v>4932</v>
      </c>
      <c r="M130" s="1106"/>
      <c r="N130" s="1443" t="str">
        <f>+NOMINA!O109</f>
        <v>Entrenador Deportivo II</v>
      </c>
      <c r="O130" s="1107">
        <f>ROUND(NOMINA!W109,2)</f>
        <v>0</v>
      </c>
      <c r="P130" s="1107">
        <f>NOMINA!AF109</f>
        <v>0</v>
      </c>
      <c r="Q130" s="1107">
        <f>NOMINA!AH109</f>
        <v>0</v>
      </c>
      <c r="R130" s="1107">
        <f>NOMINA!AC109</f>
        <v>0</v>
      </c>
      <c r="S130" s="1107">
        <f>NOMINA!AJ109</f>
        <v>0</v>
      </c>
      <c r="T130" s="1108">
        <f t="shared" ref="T130:T193" si="19">+P107+Q107+R107+S107</f>
        <v>117.60000000000001</v>
      </c>
      <c r="U130" s="1107">
        <f>ROUND(NOMINA!BL109,2)</f>
        <v>0</v>
      </c>
      <c r="V130" s="1107">
        <f>ROUND(NOMINA!BM109,2)</f>
        <v>0</v>
      </c>
      <c r="W130" s="1107">
        <f>ROUND(+NOMINA!BN109,2)</f>
        <v>0</v>
      </c>
      <c r="X130" s="1108">
        <f t="shared" ref="X130:X193" si="20">ROUND(SUM(U114:W114),2)</f>
        <v>45.21</v>
      </c>
      <c r="Y130" s="1107">
        <f>ROUND(NOMINA!BJ109,2)</f>
        <v>0</v>
      </c>
      <c r="Z130" s="1109">
        <f t="shared" si="17"/>
        <v>0</v>
      </c>
    </row>
    <row r="131" spans="1:26" s="620" customFormat="1" ht="20.100000000000001" customHeight="1" thickBot="1" x14ac:dyDescent="0.25">
      <c r="A131" s="758" t="s">
        <v>2846</v>
      </c>
      <c r="B131" s="508">
        <f t="shared" ca="1" si="16"/>
        <v>67</v>
      </c>
      <c r="C131" s="1102">
        <f>+NOMINA!C110</f>
        <v>11898486</v>
      </c>
      <c r="D131" s="1103" t="str">
        <f>+NOMINA!D110</f>
        <v>Linares Hernandez Thaiz Yoconda</v>
      </c>
      <c r="E131" s="1468" t="s">
        <v>4622</v>
      </c>
      <c r="F131" s="1704">
        <v>27853</v>
      </c>
      <c r="G131" s="1468" t="s">
        <v>4620</v>
      </c>
      <c r="H131" s="1705">
        <f>+NOMINA!H110</f>
        <v>40065</v>
      </c>
      <c r="I131" s="1105">
        <f>+NOMINA!I110</f>
        <v>16</v>
      </c>
      <c r="J131" s="1106">
        <f>+NOMINA!J110</f>
        <v>0</v>
      </c>
      <c r="K131" s="1105">
        <f t="shared" si="18"/>
        <v>16</v>
      </c>
      <c r="L131" s="1106" t="s">
        <v>4932</v>
      </c>
      <c r="M131" s="1106"/>
      <c r="N131" s="1443" t="str">
        <f>+NOMINA!O110</f>
        <v>Asistente Administrativo III</v>
      </c>
      <c r="O131" s="1107">
        <f>ROUND(NOMINA!W110,2)</f>
        <v>113</v>
      </c>
      <c r="P131" s="1107">
        <f>NOMINA!AF110</f>
        <v>22.15</v>
      </c>
      <c r="Q131" s="1107">
        <f>NOMINA!AH110</f>
        <v>65</v>
      </c>
      <c r="R131" s="1107">
        <f>NOMINA!AC110</f>
        <v>0</v>
      </c>
      <c r="S131" s="1107">
        <f>NOMINA!AJ110</f>
        <v>40.03</v>
      </c>
      <c r="T131" s="1108">
        <f t="shared" si="19"/>
        <v>170.23</v>
      </c>
      <c r="U131" s="1107">
        <f>ROUND(NOMINA!BL110,2)</f>
        <v>22.17</v>
      </c>
      <c r="V131" s="1107">
        <f>ROUND(NOMINA!BM110,2)</f>
        <v>2.77</v>
      </c>
      <c r="W131" s="1107">
        <f>ROUND(+NOMINA!BN110,2)</f>
        <v>4.8</v>
      </c>
      <c r="X131" s="1108">
        <f t="shared" si="20"/>
        <v>35.49</v>
      </c>
      <c r="Y131" s="1107">
        <f>ROUND(NOMINA!BJ110,2)</f>
        <v>12.5</v>
      </c>
      <c r="Z131" s="1109">
        <f t="shared" si="17"/>
        <v>210.44</v>
      </c>
    </row>
    <row r="132" spans="1:26" s="620" customFormat="1" ht="20.100000000000001" customHeight="1" thickBot="1" x14ac:dyDescent="0.25">
      <c r="A132" s="758" t="s">
        <v>2846</v>
      </c>
      <c r="B132" s="508">
        <f t="shared" ca="1" si="16"/>
        <v>68</v>
      </c>
      <c r="C132" s="1102">
        <f>+NOMINA!C111</f>
        <v>12040792</v>
      </c>
      <c r="D132" s="1103" t="str">
        <f>+NOMINA!D111</f>
        <v>Sulbaran Campos Jesus Alberto</v>
      </c>
      <c r="E132" s="1468" t="s">
        <v>4622</v>
      </c>
      <c r="F132" s="1704">
        <v>27853</v>
      </c>
      <c r="G132" s="1468" t="s">
        <v>4620</v>
      </c>
      <c r="H132" s="1705">
        <f>+NOMINA!H111</f>
        <v>43236</v>
      </c>
      <c r="I132" s="1105">
        <f>+NOMINA!I111</f>
        <v>7</v>
      </c>
      <c r="J132" s="1106">
        <f>+NOMINA!J111</f>
        <v>0</v>
      </c>
      <c r="K132" s="1105">
        <f t="shared" si="18"/>
        <v>7</v>
      </c>
      <c r="L132" s="1106" t="s">
        <v>4932</v>
      </c>
      <c r="M132" s="1106"/>
      <c r="N132" s="1443" t="str">
        <f>+NOMINA!O111</f>
        <v>Supervisor de Servicios Generales III</v>
      </c>
      <c r="O132" s="1107">
        <f>ROUND(NOMINA!W111,2)</f>
        <v>110.5</v>
      </c>
      <c r="P132" s="1107">
        <f>NOMINA!AF111</f>
        <v>8.18</v>
      </c>
      <c r="Q132" s="1107">
        <f>NOMINA!AH111</f>
        <v>65</v>
      </c>
      <c r="R132" s="1107">
        <f>NOMINA!AC111</f>
        <v>12.5</v>
      </c>
      <c r="S132" s="1107">
        <f>NOMINA!AJ111</f>
        <v>0</v>
      </c>
      <c r="T132" s="1108">
        <f t="shared" si="19"/>
        <v>141.84</v>
      </c>
      <c r="U132" s="1107">
        <f>ROUND(NOMINA!BL111,2)</f>
        <v>17.53</v>
      </c>
      <c r="V132" s="1107">
        <f>ROUND(NOMINA!BM111,2)</f>
        <v>2.19</v>
      </c>
      <c r="W132" s="1107">
        <f>ROUND(+NOMINA!BN111,2)</f>
        <v>3.8</v>
      </c>
      <c r="X132" s="1108">
        <f t="shared" si="20"/>
        <v>40.07</v>
      </c>
      <c r="Y132" s="1107">
        <f>ROUND(NOMINA!BJ111,2)</f>
        <v>12.5</v>
      </c>
      <c r="Z132" s="1109">
        <f t="shared" si="17"/>
        <v>172.66</v>
      </c>
    </row>
    <row r="133" spans="1:26" s="620" customFormat="1" ht="20.100000000000001" customHeight="1" thickBot="1" x14ac:dyDescent="0.25">
      <c r="A133" s="758" t="s">
        <v>2846</v>
      </c>
      <c r="B133" s="508">
        <f t="shared" ca="1" si="16"/>
        <v>69</v>
      </c>
      <c r="C133" s="1102">
        <f>+NOMINA!C112</f>
        <v>12042855</v>
      </c>
      <c r="D133" s="1103" t="str">
        <f>+NOMINA!D112</f>
        <v>Alburguez  Manzanilla Neira Josefina</v>
      </c>
      <c r="E133" s="1468" t="s">
        <v>4622</v>
      </c>
      <c r="F133" s="1704">
        <v>27853</v>
      </c>
      <c r="G133" s="1468" t="s">
        <v>4620</v>
      </c>
      <c r="H133" s="1705">
        <f>+NOMINA!H112</f>
        <v>44028</v>
      </c>
      <c r="I133" s="1105">
        <f>+NOMINA!I112</f>
        <v>5</v>
      </c>
      <c r="J133" s="1106">
        <f>+NOMINA!J112</f>
        <v>0</v>
      </c>
      <c r="K133" s="1105">
        <f t="shared" si="18"/>
        <v>5</v>
      </c>
      <c r="L133" s="1106" t="s">
        <v>4932</v>
      </c>
      <c r="M133" s="1106"/>
      <c r="N133" s="1443" t="str">
        <f>+NOMINA!O112</f>
        <v>Enfermera Jefe I</v>
      </c>
      <c r="O133" s="1107">
        <f>ROUND(NOMINA!W112,2)</f>
        <v>109.5</v>
      </c>
      <c r="P133" s="1107">
        <f>NOMINA!AF112</f>
        <v>5.48</v>
      </c>
      <c r="Q133" s="1107">
        <f>NOMINA!AH112</f>
        <v>65</v>
      </c>
      <c r="R133" s="1107">
        <f>NOMINA!AC112</f>
        <v>0</v>
      </c>
      <c r="S133" s="1107">
        <f>NOMINA!AJ112</f>
        <v>45</v>
      </c>
      <c r="T133" s="1108">
        <f t="shared" si="19"/>
        <v>68.75</v>
      </c>
      <c r="U133" s="1107">
        <f>ROUND(NOMINA!BL112,2)</f>
        <v>20.77</v>
      </c>
      <c r="V133" s="1107">
        <f>ROUND(NOMINA!BM112,2)</f>
        <v>2.6</v>
      </c>
      <c r="W133" s="1107">
        <f>ROUND(+NOMINA!BN112,2)</f>
        <v>4.5</v>
      </c>
      <c r="X133" s="1108">
        <f t="shared" si="20"/>
        <v>42.4</v>
      </c>
      <c r="Y133" s="1107">
        <f>ROUND(NOMINA!BJ112,2)</f>
        <v>12.5</v>
      </c>
      <c r="Z133" s="1109">
        <f t="shared" si="17"/>
        <v>197.11</v>
      </c>
    </row>
    <row r="134" spans="1:26" s="620" customFormat="1" ht="20.100000000000001" customHeight="1" thickBot="1" x14ac:dyDescent="0.25">
      <c r="A134" s="758" t="s">
        <v>2846</v>
      </c>
      <c r="B134" s="508">
        <f t="shared" ca="1" si="16"/>
        <v>70</v>
      </c>
      <c r="C134" s="1102">
        <f>+NOMINA!C113</f>
        <v>12045335</v>
      </c>
      <c r="D134" s="1103" t="str">
        <f>+NOMINA!D113</f>
        <v>Gonzalez De Briceño Yasmin Coromoto</v>
      </c>
      <c r="E134" s="1468" t="s">
        <v>4622</v>
      </c>
      <c r="F134" s="1704">
        <v>27853</v>
      </c>
      <c r="G134" s="1468" t="s">
        <v>4620</v>
      </c>
      <c r="H134" s="1705">
        <f>+NOMINA!H113</f>
        <v>45505</v>
      </c>
      <c r="I134" s="1105">
        <f>+NOMINA!I113</f>
        <v>1</v>
      </c>
      <c r="J134" s="1106">
        <f>+NOMINA!J113</f>
        <v>0</v>
      </c>
      <c r="K134" s="1105">
        <f t="shared" si="18"/>
        <v>1</v>
      </c>
      <c r="L134" s="1106" t="s">
        <v>4932</v>
      </c>
      <c r="M134" s="1106"/>
      <c r="N134" s="1443" t="str">
        <f>+NOMINA!O113</f>
        <v>Guia de Centro I</v>
      </c>
      <c r="O134" s="1107">
        <f>ROUND(NOMINA!W113,2)</f>
        <v>123</v>
      </c>
      <c r="P134" s="1107">
        <f>NOMINA!AF113</f>
        <v>1.23</v>
      </c>
      <c r="Q134" s="1107">
        <f>NOMINA!AH113</f>
        <v>65</v>
      </c>
      <c r="R134" s="1107">
        <f>NOMINA!AC113</f>
        <v>0</v>
      </c>
      <c r="S134" s="1107">
        <f>NOMINA!AJ113</f>
        <v>47.31</v>
      </c>
      <c r="T134" s="1108">
        <f t="shared" si="19"/>
        <v>0</v>
      </c>
      <c r="U134" s="1107">
        <f>ROUND(NOMINA!BL113,2)</f>
        <v>28.38</v>
      </c>
      <c r="V134" s="1107">
        <f>ROUND(NOMINA!BM113,2)</f>
        <v>3.55</v>
      </c>
      <c r="W134" s="1107">
        <f>ROUND(+NOMINA!BN113,2)</f>
        <v>6.15</v>
      </c>
      <c r="X134" s="1108">
        <f t="shared" si="20"/>
        <v>31.47</v>
      </c>
      <c r="Y134" s="1107">
        <f>ROUND(NOMINA!BJ113,2)</f>
        <v>12.5</v>
      </c>
      <c r="Z134" s="1109">
        <f t="shared" si="17"/>
        <v>198.46000000000004</v>
      </c>
    </row>
    <row r="135" spans="1:26" s="620" customFormat="1" ht="20.100000000000001" customHeight="1" thickBot="1" x14ac:dyDescent="0.25">
      <c r="A135" s="758" t="s">
        <v>2846</v>
      </c>
      <c r="B135" s="508">
        <f t="shared" ca="1" si="16"/>
        <v>71</v>
      </c>
      <c r="C135" s="1102">
        <f>+NOMINA!C114</f>
        <v>12045360</v>
      </c>
      <c r="D135" s="1103" t="str">
        <f>+NOMINA!D114</f>
        <v>Montilla Lamus Ana Cristina</v>
      </c>
      <c r="E135" s="1468" t="s">
        <v>4622</v>
      </c>
      <c r="F135" s="1704">
        <v>27853</v>
      </c>
      <c r="G135" s="1468" t="s">
        <v>4620</v>
      </c>
      <c r="H135" s="1705">
        <f>+NOMINA!H114</f>
        <v>39238</v>
      </c>
      <c r="I135" s="1105">
        <f>+NOMINA!I114</f>
        <v>18</v>
      </c>
      <c r="J135" s="1106">
        <f>+NOMINA!J114</f>
        <v>0</v>
      </c>
      <c r="K135" s="1105">
        <f t="shared" si="18"/>
        <v>18</v>
      </c>
      <c r="L135" s="1106" t="s">
        <v>4932</v>
      </c>
      <c r="M135" s="1106"/>
      <c r="N135" s="1443" t="str">
        <f>+NOMINA!O114</f>
        <v>Guia de Centro I</v>
      </c>
      <c r="O135" s="1107">
        <f>ROUND(NOMINA!W114,2)</f>
        <v>88.5</v>
      </c>
      <c r="P135" s="1107">
        <f>NOMINA!AF114</f>
        <v>20.18</v>
      </c>
      <c r="Q135" s="1107">
        <f>NOMINA!AH114</f>
        <v>65</v>
      </c>
      <c r="R135" s="1107">
        <f>NOMINA!AC114</f>
        <v>12.5</v>
      </c>
      <c r="S135" s="1107">
        <f>NOMINA!AJ114</f>
        <v>0</v>
      </c>
      <c r="T135" s="1108">
        <f t="shared" si="19"/>
        <v>77.010000000000005</v>
      </c>
      <c r="U135" s="1107">
        <f>ROUND(NOMINA!BL114,2)</f>
        <v>16.61</v>
      </c>
      <c r="V135" s="1107">
        <f>ROUND(NOMINA!BM114,2)</f>
        <v>2.08</v>
      </c>
      <c r="W135" s="1107">
        <f>ROUND(+NOMINA!BN114,2)</f>
        <v>3.6</v>
      </c>
      <c r="X135" s="1108">
        <f t="shared" si="20"/>
        <v>21.09</v>
      </c>
      <c r="Y135" s="1107">
        <f>ROUND(NOMINA!BJ114,2)</f>
        <v>12.5</v>
      </c>
      <c r="Z135" s="1109">
        <f t="shared" si="17"/>
        <v>163.89000000000001</v>
      </c>
    </row>
    <row r="136" spans="1:26" s="620" customFormat="1" ht="20.100000000000001" customHeight="1" thickBot="1" x14ac:dyDescent="0.25">
      <c r="A136" s="758" t="s">
        <v>2846</v>
      </c>
      <c r="B136" s="508">
        <f t="shared" ca="1" si="16"/>
        <v>72</v>
      </c>
      <c r="C136" s="1102">
        <f>+NOMINA!C115</f>
        <v>12045504</v>
      </c>
      <c r="D136" s="1103" t="str">
        <f>+NOMINA!D115</f>
        <v>Sanchez Olivar Denis Josefina</v>
      </c>
      <c r="E136" s="1468" t="s">
        <v>4622</v>
      </c>
      <c r="F136" s="1704">
        <v>27853</v>
      </c>
      <c r="G136" s="1468" t="s">
        <v>4620</v>
      </c>
      <c r="H136" s="1705">
        <f>+NOMINA!H115</f>
        <v>43862</v>
      </c>
      <c r="I136" s="1105">
        <f>+NOMINA!I115</f>
        <v>5</v>
      </c>
      <c r="J136" s="1106">
        <f>+NOMINA!J115</f>
        <v>0</v>
      </c>
      <c r="K136" s="1105">
        <f t="shared" si="18"/>
        <v>5</v>
      </c>
      <c r="L136" s="1106" t="s">
        <v>4932</v>
      </c>
      <c r="M136" s="1106"/>
      <c r="N136" s="1443" t="str">
        <f>+NOMINA!O115</f>
        <v>Asistente Administrativo II</v>
      </c>
      <c r="O136" s="1107">
        <f>ROUND(NOMINA!W115,2)</f>
        <v>75</v>
      </c>
      <c r="P136" s="1107">
        <f>NOMINA!AF115</f>
        <v>3.75</v>
      </c>
      <c r="Q136" s="1107">
        <f>NOMINA!AH115</f>
        <v>65</v>
      </c>
      <c r="R136" s="1107">
        <f>NOMINA!AC115</f>
        <v>25</v>
      </c>
      <c r="S136" s="1107">
        <f>NOMINA!AJ115</f>
        <v>0</v>
      </c>
      <c r="T136" s="1108">
        <f t="shared" si="19"/>
        <v>145.99</v>
      </c>
      <c r="U136" s="1107">
        <f>ROUND(NOMINA!BL115,2)</f>
        <v>14.42</v>
      </c>
      <c r="V136" s="1107">
        <f>ROUND(NOMINA!BM115,2)</f>
        <v>1.8</v>
      </c>
      <c r="W136" s="1107">
        <f>ROUND(+NOMINA!BN115,2)</f>
        <v>3.13</v>
      </c>
      <c r="X136" s="1108">
        <f t="shared" si="20"/>
        <v>48.63</v>
      </c>
      <c r="Y136" s="1107">
        <f>ROUND(NOMINA!BJ115,2)</f>
        <v>12.5</v>
      </c>
      <c r="Z136" s="1109">
        <f t="shared" si="17"/>
        <v>149.4</v>
      </c>
    </row>
    <row r="137" spans="1:26" s="620" customFormat="1" ht="20.100000000000001" customHeight="1" thickBot="1" x14ac:dyDescent="0.25">
      <c r="A137" s="758" t="s">
        <v>2846</v>
      </c>
      <c r="B137" s="508">
        <f t="shared" ca="1" si="16"/>
        <v>73</v>
      </c>
      <c r="C137" s="1102">
        <f>+NOMINA!C116</f>
        <v>12045934</v>
      </c>
      <c r="D137" s="1103" t="str">
        <f>+NOMINA!D116</f>
        <v>Mendez Olmos Tulio Enrique</v>
      </c>
      <c r="E137" s="1468" t="s">
        <v>4622</v>
      </c>
      <c r="F137" s="1704">
        <v>27853</v>
      </c>
      <c r="G137" s="1468" t="s">
        <v>4620</v>
      </c>
      <c r="H137" s="1705">
        <f>+NOMINA!H116</f>
        <v>36342</v>
      </c>
      <c r="I137" s="1105">
        <f>+NOMINA!I116</f>
        <v>26</v>
      </c>
      <c r="J137" s="1106">
        <f>+NOMINA!J116</f>
        <v>1</v>
      </c>
      <c r="K137" s="1105">
        <f t="shared" si="18"/>
        <v>27</v>
      </c>
      <c r="L137" s="1106" t="s">
        <v>4932</v>
      </c>
      <c r="M137" s="1106"/>
      <c r="N137" s="1443" t="str">
        <f>+NOMINA!O116</f>
        <v>Especialista en Informatica I</v>
      </c>
      <c r="O137" s="1107">
        <f>ROUND(NOMINA!W116,2)</f>
        <v>143.5</v>
      </c>
      <c r="P137" s="1107">
        <f>NOMINA!AF116</f>
        <v>43.05</v>
      </c>
      <c r="Q137" s="1107">
        <f>NOMINA!AH116</f>
        <v>65</v>
      </c>
      <c r="R137" s="1107">
        <f>NOMINA!AC116</f>
        <v>0</v>
      </c>
      <c r="S137" s="1107">
        <f>NOMINA!AJ116</f>
        <v>62.89</v>
      </c>
      <c r="T137" s="1108">
        <f t="shared" si="19"/>
        <v>207.04000000000002</v>
      </c>
      <c r="U137" s="1107">
        <f>ROUND(NOMINA!BL116,2)</f>
        <v>29.03</v>
      </c>
      <c r="V137" s="1107">
        <f>ROUND(NOMINA!BM116,2)</f>
        <v>3.63</v>
      </c>
      <c r="W137" s="1107">
        <f>ROUND(+NOMINA!BN116,2)</f>
        <v>6.29</v>
      </c>
      <c r="X137" s="1108">
        <f t="shared" si="20"/>
        <v>34.909999999999997</v>
      </c>
      <c r="Y137" s="1107">
        <f>ROUND(NOMINA!BJ116,2)</f>
        <v>12.5</v>
      </c>
      <c r="Z137" s="1109">
        <f t="shared" si="17"/>
        <v>275.49</v>
      </c>
    </row>
    <row r="138" spans="1:26" s="620" customFormat="1" ht="20.100000000000001" customHeight="1" thickBot="1" x14ac:dyDescent="0.25">
      <c r="A138" s="758" t="s">
        <v>2846</v>
      </c>
      <c r="B138" s="508">
        <f t="shared" ca="1" si="16"/>
        <v>74</v>
      </c>
      <c r="C138" s="1102">
        <f>+NOMINA!C117</f>
        <v>12457981</v>
      </c>
      <c r="D138" s="1103" t="str">
        <f>+NOMINA!D117</f>
        <v>Escalona Ruiz Luis Alberto</v>
      </c>
      <c r="E138" s="1468" t="s">
        <v>4622</v>
      </c>
      <c r="F138" s="1704">
        <v>27853</v>
      </c>
      <c r="G138" s="1468" t="s">
        <v>4620</v>
      </c>
      <c r="H138" s="1705">
        <f>+NOMINA!H117</f>
        <v>44348</v>
      </c>
      <c r="I138" s="1105">
        <f>+NOMINA!I117</f>
        <v>4</v>
      </c>
      <c r="J138" s="1106">
        <f>+NOMINA!J117</f>
        <v>4</v>
      </c>
      <c r="K138" s="1105">
        <f t="shared" si="18"/>
        <v>8</v>
      </c>
      <c r="L138" s="1106" t="s">
        <v>4932</v>
      </c>
      <c r="M138" s="1106"/>
      <c r="N138" s="1443" t="str">
        <f>+NOMINA!O117</f>
        <v>Medico Especialista II</v>
      </c>
      <c r="O138" s="1107">
        <f>ROUND(NOMINA!W117,2)</f>
        <v>139.5</v>
      </c>
      <c r="P138" s="1107">
        <f>NOMINA!AF117</f>
        <v>12</v>
      </c>
      <c r="Q138" s="1107">
        <f>NOMINA!AH117</f>
        <v>65</v>
      </c>
      <c r="R138" s="1107">
        <f>NOMINA!AC117</f>
        <v>12.5</v>
      </c>
      <c r="S138" s="1107">
        <f>NOMINA!AJ117</f>
        <v>0</v>
      </c>
      <c r="T138" s="1108">
        <f t="shared" si="19"/>
        <v>109.92000000000002</v>
      </c>
      <c r="U138" s="1107">
        <f>ROUND(NOMINA!BL117,2)</f>
        <v>20.56</v>
      </c>
      <c r="V138" s="1107">
        <f>ROUND(NOMINA!BM117,2)</f>
        <v>2.57</v>
      </c>
      <c r="W138" s="1107">
        <f>ROUND(+NOMINA!BN117,2)</f>
        <v>4.45</v>
      </c>
      <c r="X138" s="1108">
        <f t="shared" si="20"/>
        <v>17.809999999999999</v>
      </c>
      <c r="Y138" s="1107">
        <f>ROUND(NOMINA!BJ117,2)</f>
        <v>12.5</v>
      </c>
      <c r="Z138" s="1109">
        <f t="shared" si="17"/>
        <v>201.42000000000002</v>
      </c>
    </row>
    <row r="139" spans="1:26" s="620" customFormat="1" ht="20.100000000000001" customHeight="1" thickBot="1" x14ac:dyDescent="0.25">
      <c r="A139" s="758" t="s">
        <v>2846</v>
      </c>
      <c r="B139" s="508">
        <f t="shared" ca="1" si="16"/>
        <v>75</v>
      </c>
      <c r="C139" s="1102">
        <f>+NOMINA!C118</f>
        <v>12458811</v>
      </c>
      <c r="D139" s="1103" t="str">
        <f>+NOMINA!D118</f>
        <v>Segovia Rondon Milagros del Valle</v>
      </c>
      <c r="E139" s="1468" t="s">
        <v>4622</v>
      </c>
      <c r="F139" s="1704">
        <v>27853</v>
      </c>
      <c r="G139" s="1468" t="s">
        <v>4620</v>
      </c>
      <c r="H139" s="1705">
        <f>+NOMINA!H118</f>
        <v>39514</v>
      </c>
      <c r="I139" s="1105">
        <f>+NOMINA!I118</f>
        <v>17</v>
      </c>
      <c r="J139" s="1106">
        <f>+NOMINA!J118</f>
        <v>7</v>
      </c>
      <c r="K139" s="1105">
        <f t="shared" si="18"/>
        <v>24</v>
      </c>
      <c r="L139" s="1106" t="s">
        <v>4932</v>
      </c>
      <c r="M139" s="1106"/>
      <c r="N139" s="1443" t="str">
        <f>+NOMINA!O118</f>
        <v>Analista de Presupuesto Jefe</v>
      </c>
      <c r="O139" s="1107">
        <f>ROUND(NOMINA!W118,2)</f>
        <v>158</v>
      </c>
      <c r="P139" s="1107">
        <f>NOMINA!AF118</f>
        <v>47.4</v>
      </c>
      <c r="Q139" s="1107">
        <f>NOMINA!AH118</f>
        <v>65</v>
      </c>
      <c r="R139" s="1107">
        <f>NOMINA!AC118</f>
        <v>12.5</v>
      </c>
      <c r="S139" s="1107">
        <f>NOMINA!AJ118</f>
        <v>83</v>
      </c>
      <c r="T139" s="1108">
        <f t="shared" si="19"/>
        <v>139.41000000000003</v>
      </c>
      <c r="U139" s="1107">
        <f>ROUND(NOMINA!BL118,2)</f>
        <v>33.200000000000003</v>
      </c>
      <c r="V139" s="1107">
        <f>ROUND(NOMINA!BM118,2)</f>
        <v>4.1500000000000004</v>
      </c>
      <c r="W139" s="1107">
        <f>ROUND(+NOMINA!BN118,2)</f>
        <v>7.19</v>
      </c>
      <c r="X139" s="1108">
        <f t="shared" si="20"/>
        <v>21.26</v>
      </c>
      <c r="Y139" s="1107">
        <f>ROUND(NOMINA!BJ118,2)</f>
        <v>12.5</v>
      </c>
      <c r="Z139" s="1109">
        <f t="shared" si="17"/>
        <v>321.35999999999996</v>
      </c>
    </row>
    <row r="140" spans="1:26" s="620" customFormat="1" ht="20.100000000000001" customHeight="1" thickBot="1" x14ac:dyDescent="0.25">
      <c r="A140" s="758" t="s">
        <v>2846</v>
      </c>
      <c r="B140" s="508">
        <f t="shared" ca="1" si="16"/>
        <v>76</v>
      </c>
      <c r="C140" s="1102">
        <f>+NOMINA!C119</f>
        <v>12458942</v>
      </c>
      <c r="D140" s="1103" t="str">
        <f>+NOMINA!D119</f>
        <v>Mendoza Mendoza Mirian Del Milagro</v>
      </c>
      <c r="E140" s="1468" t="s">
        <v>4622</v>
      </c>
      <c r="F140" s="1704">
        <v>27853</v>
      </c>
      <c r="G140" s="1468" t="s">
        <v>4620</v>
      </c>
      <c r="H140" s="1705">
        <f>+NOMINA!H119</f>
        <v>44424</v>
      </c>
      <c r="I140" s="1105">
        <f>+NOMINA!I119</f>
        <v>4</v>
      </c>
      <c r="J140" s="1106">
        <f>+NOMINA!J119</f>
        <v>19</v>
      </c>
      <c r="K140" s="1105">
        <f t="shared" si="18"/>
        <v>23</v>
      </c>
      <c r="L140" s="1106" t="s">
        <v>4932</v>
      </c>
      <c r="M140" s="1106"/>
      <c r="N140" s="1443" t="str">
        <f>+NOMINA!O119</f>
        <v>Administrador Jefe</v>
      </c>
      <c r="O140" s="1107">
        <f>ROUND(NOMINA!W119,2)</f>
        <v>0</v>
      </c>
      <c r="P140" s="1107">
        <f>NOMINA!AF119</f>
        <v>0</v>
      </c>
      <c r="Q140" s="1107">
        <f>NOMINA!AH119</f>
        <v>0</v>
      </c>
      <c r="R140" s="1107">
        <f>NOMINA!AC119</f>
        <v>0</v>
      </c>
      <c r="S140" s="1107">
        <f>NOMINA!AJ119</f>
        <v>0</v>
      </c>
      <c r="T140" s="1108">
        <f t="shared" si="19"/>
        <v>155.59</v>
      </c>
      <c r="U140" s="1107">
        <f>ROUND(NOMINA!BL119,2)</f>
        <v>0</v>
      </c>
      <c r="V140" s="1107">
        <f>ROUND(NOMINA!BM119,2)</f>
        <v>0</v>
      </c>
      <c r="W140" s="1107">
        <f>ROUND(+NOMINA!BN119,2)</f>
        <v>0</v>
      </c>
      <c r="X140" s="1108">
        <f t="shared" si="20"/>
        <v>45.21</v>
      </c>
      <c r="Y140" s="1107">
        <f>ROUND(NOMINA!BJ119,2)</f>
        <v>0</v>
      </c>
      <c r="Z140" s="1109">
        <f t="shared" si="17"/>
        <v>0</v>
      </c>
    </row>
    <row r="141" spans="1:26" s="620" customFormat="1" ht="20.100000000000001" customHeight="1" thickBot="1" x14ac:dyDescent="0.25">
      <c r="A141" s="758" t="s">
        <v>2846</v>
      </c>
      <c r="B141" s="508">
        <f t="shared" ca="1" si="16"/>
        <v>77</v>
      </c>
      <c r="C141" s="1102">
        <f>+NOMINA!C120</f>
        <v>12541044</v>
      </c>
      <c r="D141" s="1103" t="str">
        <f>+NOMINA!D120</f>
        <v>Rojas Telles Lisbeth Josefina</v>
      </c>
      <c r="E141" s="1468" t="s">
        <v>4622</v>
      </c>
      <c r="F141" s="1704">
        <v>27853</v>
      </c>
      <c r="G141" s="1468" t="s">
        <v>4620</v>
      </c>
      <c r="H141" s="1705">
        <f>+NOMINA!H120</f>
        <v>45597</v>
      </c>
      <c r="I141" s="1105">
        <f>+NOMINA!I120</f>
        <v>0</v>
      </c>
      <c r="J141" s="1106">
        <f>+NOMINA!J120</f>
        <v>0</v>
      </c>
      <c r="K141" s="1105">
        <f t="shared" si="18"/>
        <v>0</v>
      </c>
      <c r="L141" s="1106" t="s">
        <v>4932</v>
      </c>
      <c r="M141" s="1106"/>
      <c r="N141" s="1443" t="str">
        <f>+NOMINA!O120</f>
        <v>Tutor Facilitador I</v>
      </c>
      <c r="O141" s="1107">
        <f>ROUND(NOMINA!W120,2)</f>
        <v>123</v>
      </c>
      <c r="P141" s="1107">
        <f>NOMINA!AF120</f>
        <v>0</v>
      </c>
      <c r="Q141" s="1107">
        <f>NOMINA!AH120</f>
        <v>65</v>
      </c>
      <c r="R141" s="1107">
        <f>NOMINA!AC120</f>
        <v>12.5</v>
      </c>
      <c r="S141" s="1107">
        <f>NOMINA!AJ120</f>
        <v>48.57</v>
      </c>
      <c r="T141" s="1108">
        <f t="shared" si="19"/>
        <v>99.51</v>
      </c>
      <c r="U141" s="1107">
        <f>ROUND(NOMINA!BL120,2)</f>
        <v>22.41</v>
      </c>
      <c r="V141" s="1107">
        <f>ROUND(NOMINA!BM120,2)</f>
        <v>2.8</v>
      </c>
      <c r="W141" s="1107">
        <f>ROUND(+NOMINA!BN120,2)</f>
        <v>4.8600000000000003</v>
      </c>
      <c r="X141" s="1108">
        <f t="shared" si="20"/>
        <v>0</v>
      </c>
      <c r="Y141" s="1107">
        <f>ROUND(NOMINA!BJ120,2)</f>
        <v>12.5</v>
      </c>
      <c r="Z141" s="1109">
        <f t="shared" si="17"/>
        <v>219</v>
      </c>
    </row>
    <row r="142" spans="1:26" s="620" customFormat="1" ht="20.100000000000001" customHeight="1" thickBot="1" x14ac:dyDescent="0.25">
      <c r="A142" s="758" t="s">
        <v>2846</v>
      </c>
      <c r="B142" s="508">
        <f t="shared" ca="1" si="16"/>
        <v>78</v>
      </c>
      <c r="C142" s="1102">
        <f>+NOMINA!C121</f>
        <v>12542413</v>
      </c>
      <c r="D142" s="1103" t="str">
        <f>+NOMINA!D121</f>
        <v>Aponte Matheus Richard Alexander</v>
      </c>
      <c r="E142" s="1468" t="s">
        <v>4622</v>
      </c>
      <c r="F142" s="1704">
        <v>27853</v>
      </c>
      <c r="G142" s="1468" t="s">
        <v>4620</v>
      </c>
      <c r="H142" s="1705">
        <f>+NOMINA!H121</f>
        <v>36434</v>
      </c>
      <c r="I142" s="1105">
        <f>+NOMINA!I121</f>
        <v>25</v>
      </c>
      <c r="J142" s="1106">
        <f>+NOMINA!J121</f>
        <v>0</v>
      </c>
      <c r="K142" s="1105">
        <f t="shared" si="18"/>
        <v>25</v>
      </c>
      <c r="L142" s="1106" t="s">
        <v>4932</v>
      </c>
      <c r="M142" s="1106"/>
      <c r="N142" s="1443" t="str">
        <f>+NOMINA!O121</f>
        <v>Guia de Centro II</v>
      </c>
      <c r="O142" s="1107">
        <f>ROUND(NOMINA!W121,2)</f>
        <v>0</v>
      </c>
      <c r="P142" s="1107">
        <f>NOMINA!AF121</f>
        <v>0</v>
      </c>
      <c r="Q142" s="1107">
        <f>NOMINA!AH121</f>
        <v>0</v>
      </c>
      <c r="R142" s="1107">
        <f>NOMINA!AC121</f>
        <v>0</v>
      </c>
      <c r="S142" s="1107">
        <f>NOMINA!AJ121</f>
        <v>0</v>
      </c>
      <c r="T142" s="1108">
        <f t="shared" si="19"/>
        <v>82.25</v>
      </c>
      <c r="U142" s="1107">
        <f>ROUND(NOMINA!BL121,2)</f>
        <v>0</v>
      </c>
      <c r="V142" s="1107">
        <f>ROUND(NOMINA!BM121,2)</f>
        <v>0</v>
      </c>
      <c r="W142" s="1107">
        <f>ROUND(+NOMINA!BN121,2)</f>
        <v>0</v>
      </c>
      <c r="X142" s="1108">
        <f t="shared" si="20"/>
        <v>37.700000000000003</v>
      </c>
      <c r="Y142" s="1107">
        <f>ROUND(NOMINA!BJ121,2)</f>
        <v>0</v>
      </c>
      <c r="Z142" s="1109">
        <f t="shared" si="17"/>
        <v>0</v>
      </c>
    </row>
    <row r="143" spans="1:26" s="620" customFormat="1" ht="20.100000000000001" customHeight="1" thickBot="1" x14ac:dyDescent="0.25">
      <c r="A143" s="758" t="s">
        <v>2846</v>
      </c>
      <c r="B143" s="508">
        <f t="shared" ca="1" si="16"/>
        <v>79</v>
      </c>
      <c r="C143" s="1102">
        <f>+NOMINA!C122</f>
        <v>12798604</v>
      </c>
      <c r="D143" s="1103" t="str">
        <f>+NOMINA!D122</f>
        <v>Camacho Gomez Trina Margarita</v>
      </c>
      <c r="E143" s="1468" t="s">
        <v>4622</v>
      </c>
      <c r="F143" s="1704">
        <v>27853</v>
      </c>
      <c r="G143" s="1468" t="s">
        <v>4620</v>
      </c>
      <c r="H143" s="1705">
        <f>+NOMINA!H122</f>
        <v>35384</v>
      </c>
      <c r="I143" s="1105">
        <f>+NOMINA!I122</f>
        <v>28</v>
      </c>
      <c r="J143" s="1106">
        <f>+NOMINA!J122</f>
        <v>0</v>
      </c>
      <c r="K143" s="1105">
        <f t="shared" si="18"/>
        <v>28</v>
      </c>
      <c r="L143" s="1106" t="s">
        <v>4932</v>
      </c>
      <c r="M143" s="1106"/>
      <c r="N143" s="1443" t="str">
        <f>+NOMINA!O122</f>
        <v>Guia de Centro II</v>
      </c>
      <c r="O143" s="1107">
        <f>ROUND(NOMINA!W122,2)</f>
        <v>88.5</v>
      </c>
      <c r="P143" s="1107">
        <f>NOMINA!AF122</f>
        <v>26.55</v>
      </c>
      <c r="Q143" s="1107">
        <f>NOMINA!AH122</f>
        <v>65</v>
      </c>
      <c r="R143" s="1107">
        <f>NOMINA!AC122</f>
        <v>12.5</v>
      </c>
      <c r="S143" s="1107">
        <f>NOMINA!AJ122</f>
        <v>0</v>
      </c>
      <c r="T143" s="1108">
        <f t="shared" si="19"/>
        <v>165.85000000000002</v>
      </c>
      <c r="U143" s="1107">
        <f>ROUND(NOMINA!BL122,2)</f>
        <v>17.2</v>
      </c>
      <c r="V143" s="1107">
        <f>ROUND(NOMINA!BM122,2)</f>
        <v>2.15</v>
      </c>
      <c r="W143" s="1107">
        <f>ROUND(+NOMINA!BN122,2)</f>
        <v>3.73</v>
      </c>
      <c r="X143" s="1108">
        <f t="shared" si="20"/>
        <v>38.950000000000003</v>
      </c>
      <c r="Y143" s="1107">
        <f>ROUND(NOMINA!BJ122,2)</f>
        <v>12.5</v>
      </c>
      <c r="Z143" s="1109">
        <f t="shared" si="17"/>
        <v>169.47000000000003</v>
      </c>
    </row>
    <row r="144" spans="1:26" s="620" customFormat="1" ht="20.100000000000001" customHeight="1" thickBot="1" x14ac:dyDescent="0.25">
      <c r="A144" s="758" t="s">
        <v>2846</v>
      </c>
      <c r="B144" s="508">
        <f t="shared" ca="1" si="16"/>
        <v>80</v>
      </c>
      <c r="C144" s="1102">
        <f>+NOMINA!C123</f>
        <v>12798736</v>
      </c>
      <c r="D144" s="1103" t="str">
        <f>+NOMINA!D123</f>
        <v>Gonzalez Pabon Marianela</v>
      </c>
      <c r="E144" s="1468" t="s">
        <v>4622</v>
      </c>
      <c r="F144" s="1704">
        <v>27853</v>
      </c>
      <c r="G144" s="1468" t="s">
        <v>4620</v>
      </c>
      <c r="H144" s="1705">
        <f>+NOMINA!H123</f>
        <v>39479</v>
      </c>
      <c r="I144" s="1105">
        <f>+NOMINA!I123</f>
        <v>17</v>
      </c>
      <c r="J144" s="1106">
        <f>+NOMINA!J123</f>
        <v>7</v>
      </c>
      <c r="K144" s="1105">
        <f t="shared" si="18"/>
        <v>24</v>
      </c>
      <c r="L144" s="1106" t="s">
        <v>4932</v>
      </c>
      <c r="M144" s="1106"/>
      <c r="N144" s="1443" t="str">
        <f>+NOMINA!O123</f>
        <v>Analista de Personal VI</v>
      </c>
      <c r="O144" s="1107">
        <f>ROUND(NOMINA!W123,2)</f>
        <v>158</v>
      </c>
      <c r="P144" s="1107">
        <f>NOMINA!AF123</f>
        <v>47.4</v>
      </c>
      <c r="Q144" s="1107">
        <f>NOMINA!AH123</f>
        <v>65</v>
      </c>
      <c r="R144" s="1107">
        <f>NOMINA!AC123</f>
        <v>12.5</v>
      </c>
      <c r="S144" s="1107">
        <f>NOMINA!AJ123</f>
        <v>69.17</v>
      </c>
      <c r="T144" s="1108">
        <f t="shared" si="19"/>
        <v>147.65</v>
      </c>
      <c r="U144" s="1107">
        <f>ROUND(NOMINA!BL123,2)</f>
        <v>31.92</v>
      </c>
      <c r="V144" s="1107">
        <f>ROUND(NOMINA!BM123,2)</f>
        <v>3.99</v>
      </c>
      <c r="W144" s="1107">
        <f>ROUND(+NOMINA!BN123,2)</f>
        <v>6.92</v>
      </c>
      <c r="X144" s="1108">
        <f t="shared" si="20"/>
        <v>38.520000000000003</v>
      </c>
      <c r="Y144" s="1107">
        <f>ROUND(NOMINA!BJ123,2)</f>
        <v>12.5</v>
      </c>
      <c r="Z144" s="1109">
        <f t="shared" si="17"/>
        <v>309.24</v>
      </c>
    </row>
    <row r="145" spans="1:26" s="620" customFormat="1" ht="20.100000000000001" customHeight="1" thickBot="1" x14ac:dyDescent="0.25">
      <c r="A145" s="758" t="s">
        <v>2846</v>
      </c>
      <c r="B145" s="508">
        <f t="shared" ca="1" si="16"/>
        <v>81</v>
      </c>
      <c r="C145" s="1102">
        <f>+NOMINA!C124</f>
        <v>12939010</v>
      </c>
      <c r="D145" s="1103" t="str">
        <f>+NOMINA!D124</f>
        <v>Mendez de Viloria Yelitza del Valle</v>
      </c>
      <c r="E145" s="1468" t="s">
        <v>4622</v>
      </c>
      <c r="F145" s="1704">
        <v>27853</v>
      </c>
      <c r="G145" s="1468" t="s">
        <v>4620</v>
      </c>
      <c r="H145" s="1705">
        <f>+NOMINA!H124</f>
        <v>42948</v>
      </c>
      <c r="I145" s="1105">
        <f>+NOMINA!I124</f>
        <v>8</v>
      </c>
      <c r="J145" s="1106">
        <f>+NOMINA!J124</f>
        <v>0</v>
      </c>
      <c r="K145" s="1105">
        <f t="shared" si="18"/>
        <v>8</v>
      </c>
      <c r="L145" s="1106" t="s">
        <v>4932</v>
      </c>
      <c r="M145" s="1106"/>
      <c r="N145" s="1443" t="str">
        <f>+NOMINA!O124</f>
        <v>Asistente Administrativo III</v>
      </c>
      <c r="O145" s="1107">
        <f>ROUND(NOMINA!W124,2)</f>
        <v>110.5</v>
      </c>
      <c r="P145" s="1107">
        <f>NOMINA!AF124</f>
        <v>9.51</v>
      </c>
      <c r="Q145" s="1107">
        <f>NOMINA!AH124</f>
        <v>65</v>
      </c>
      <c r="R145" s="1107">
        <f>NOMINA!AC124</f>
        <v>0</v>
      </c>
      <c r="S145" s="1107">
        <f>NOMINA!AJ124</f>
        <v>46.25</v>
      </c>
      <c r="T145" s="1108">
        <f t="shared" si="19"/>
        <v>68.75</v>
      </c>
      <c r="U145" s="1107">
        <f>ROUND(NOMINA!BL124,2)</f>
        <v>21.35</v>
      </c>
      <c r="V145" s="1107">
        <f>ROUND(NOMINA!BM124,2)</f>
        <v>2.67</v>
      </c>
      <c r="W145" s="1107">
        <f>ROUND(+NOMINA!BN124,2)</f>
        <v>4.63</v>
      </c>
      <c r="X145" s="1108">
        <f t="shared" si="20"/>
        <v>0</v>
      </c>
      <c r="Y145" s="1107">
        <f>ROUND(NOMINA!BJ124,2)</f>
        <v>12.5</v>
      </c>
      <c r="Z145" s="1109">
        <f t="shared" si="17"/>
        <v>202.60999999999999</v>
      </c>
    </row>
    <row r="146" spans="1:26" s="620" customFormat="1" ht="20.100000000000001" customHeight="1" thickBot="1" x14ac:dyDescent="0.25">
      <c r="A146" s="758" t="s">
        <v>2846</v>
      </c>
      <c r="B146" s="508">
        <f t="shared" ca="1" si="16"/>
        <v>82</v>
      </c>
      <c r="C146" s="1102">
        <f>+NOMINA!C125</f>
        <v>12941385</v>
      </c>
      <c r="D146" s="1103" t="str">
        <f>+NOMINA!D125</f>
        <v>Torres de Gonzalez Milangela Maria</v>
      </c>
      <c r="E146" s="1468" t="s">
        <v>4622</v>
      </c>
      <c r="F146" s="1704">
        <v>27853</v>
      </c>
      <c r="G146" s="1468" t="s">
        <v>4620</v>
      </c>
      <c r="H146" s="1705">
        <f>+NOMINA!H125</f>
        <v>42948</v>
      </c>
      <c r="I146" s="1105">
        <f>+NOMINA!I125</f>
        <v>8</v>
      </c>
      <c r="J146" s="1106">
        <f>+NOMINA!J125</f>
        <v>0</v>
      </c>
      <c r="K146" s="1105">
        <f t="shared" si="18"/>
        <v>8</v>
      </c>
      <c r="L146" s="1106" t="s">
        <v>4932</v>
      </c>
      <c r="M146" s="1106"/>
      <c r="N146" s="1443" t="str">
        <f>+NOMINA!O125</f>
        <v>Tutor Facilitador III</v>
      </c>
      <c r="O146" s="1107">
        <f>ROUND(NOMINA!W125,2)</f>
        <v>139.5</v>
      </c>
      <c r="P146" s="1107">
        <f>NOMINA!AF125</f>
        <v>12</v>
      </c>
      <c r="Q146" s="1107">
        <f>NOMINA!AH125</f>
        <v>65</v>
      </c>
      <c r="R146" s="1107">
        <f>NOMINA!AC125</f>
        <v>0</v>
      </c>
      <c r="S146" s="1107">
        <f>NOMINA!AJ125</f>
        <v>54.13</v>
      </c>
      <c r="T146" s="1108">
        <f t="shared" si="19"/>
        <v>83.66</v>
      </c>
      <c r="U146" s="1107">
        <f>ROUND(NOMINA!BL125,2)</f>
        <v>24.98</v>
      </c>
      <c r="V146" s="1107">
        <f>ROUND(NOMINA!BM125,2)</f>
        <v>3.12</v>
      </c>
      <c r="W146" s="1107">
        <f>ROUND(+NOMINA!BN125,2)</f>
        <v>5.41</v>
      </c>
      <c r="X146" s="1108">
        <f t="shared" si="20"/>
        <v>0</v>
      </c>
      <c r="Y146" s="1107">
        <f>ROUND(NOMINA!BJ125,2)</f>
        <v>12.5</v>
      </c>
      <c r="Z146" s="1109">
        <f t="shared" si="17"/>
        <v>237.12</v>
      </c>
    </row>
    <row r="147" spans="1:26" s="620" customFormat="1" ht="20.100000000000001" customHeight="1" thickBot="1" x14ac:dyDescent="0.25">
      <c r="A147" s="758" t="s">
        <v>2846</v>
      </c>
      <c r="B147" s="508">
        <f t="shared" ca="1" si="16"/>
        <v>83</v>
      </c>
      <c r="C147" s="1102">
        <f>+NOMINA!C126</f>
        <v>13117904</v>
      </c>
      <c r="D147" s="1103" t="str">
        <f>+NOMINA!D126</f>
        <v>Villegas Jaime Antonio</v>
      </c>
      <c r="E147" s="1468" t="s">
        <v>4622</v>
      </c>
      <c r="F147" s="1704">
        <v>27853</v>
      </c>
      <c r="G147" s="1468" t="s">
        <v>4620</v>
      </c>
      <c r="H147" s="1705">
        <f>+NOMINA!H126</f>
        <v>43693</v>
      </c>
      <c r="I147" s="1105">
        <f>+NOMINA!I126</f>
        <v>6</v>
      </c>
      <c r="J147" s="1106">
        <f>+NOMINA!J126</f>
        <v>0</v>
      </c>
      <c r="K147" s="1105">
        <f t="shared" si="18"/>
        <v>6</v>
      </c>
      <c r="L147" s="1106" t="s">
        <v>4932</v>
      </c>
      <c r="M147" s="1106"/>
      <c r="N147" s="1443" t="str">
        <f>+NOMINA!O126</f>
        <v>Guia de Centro I</v>
      </c>
      <c r="O147" s="1107">
        <f>ROUND(NOMINA!W126,2)</f>
        <v>85</v>
      </c>
      <c r="P147" s="1107">
        <f>NOMINA!AF126</f>
        <v>5.27</v>
      </c>
      <c r="Q147" s="1107">
        <f>NOMINA!AH126</f>
        <v>65</v>
      </c>
      <c r="R147" s="1107">
        <f>NOMINA!AC126</f>
        <v>12.5</v>
      </c>
      <c r="S147" s="1107">
        <f>NOMINA!AJ126</f>
        <v>0</v>
      </c>
      <c r="T147" s="1108">
        <f t="shared" si="19"/>
        <v>207.04000000000002</v>
      </c>
      <c r="U147" s="1107">
        <f>ROUND(NOMINA!BL126,2)</f>
        <v>19.38</v>
      </c>
      <c r="V147" s="1107">
        <f>ROUND(NOMINA!BM126,2)</f>
        <v>2.42</v>
      </c>
      <c r="W147" s="1107">
        <f>ROUND(+NOMINA!BN126,2)</f>
        <v>4.2</v>
      </c>
      <c r="X147" s="1108">
        <f t="shared" si="20"/>
        <v>29.74</v>
      </c>
      <c r="Y147" s="1107">
        <f>ROUND(NOMINA!BJ126,2)</f>
        <v>12.5</v>
      </c>
      <c r="Z147" s="1109">
        <f t="shared" si="17"/>
        <v>141.76999999999998</v>
      </c>
    </row>
    <row r="148" spans="1:26" s="620" customFormat="1" ht="20.100000000000001" customHeight="1" thickBot="1" x14ac:dyDescent="0.25">
      <c r="A148" s="758" t="s">
        <v>2846</v>
      </c>
      <c r="B148" s="508">
        <f t="shared" ca="1" si="16"/>
        <v>84</v>
      </c>
      <c r="C148" s="1102">
        <f>+NOMINA!C127</f>
        <v>13206767</v>
      </c>
      <c r="D148" s="1103" t="str">
        <f>+NOMINA!D127</f>
        <v>Bastidas Guerra Soralis del Valle</v>
      </c>
      <c r="E148" s="1468" t="s">
        <v>4622</v>
      </c>
      <c r="F148" s="1704">
        <v>27853</v>
      </c>
      <c r="G148" s="1468" t="s">
        <v>4620</v>
      </c>
      <c r="H148" s="1705">
        <f>+NOMINA!H127</f>
        <v>44713</v>
      </c>
      <c r="I148" s="1105">
        <f>+NOMINA!I127</f>
        <v>3</v>
      </c>
      <c r="J148" s="1106">
        <f>+NOMINA!J127</f>
        <v>0</v>
      </c>
      <c r="K148" s="1105">
        <f t="shared" si="18"/>
        <v>3</v>
      </c>
      <c r="L148" s="1106" t="s">
        <v>4932</v>
      </c>
      <c r="M148" s="1106"/>
      <c r="N148" s="1443" t="str">
        <f>+NOMINA!O127</f>
        <v>Abogado I</v>
      </c>
      <c r="O148" s="1107">
        <f>ROUND(NOMINA!W127,2)</f>
        <v>0</v>
      </c>
      <c r="P148" s="1107">
        <f>NOMINA!AF127</f>
        <v>0</v>
      </c>
      <c r="Q148" s="1107">
        <f>NOMINA!AH127</f>
        <v>0</v>
      </c>
      <c r="R148" s="1107">
        <f>NOMINA!AC127</f>
        <v>0</v>
      </c>
      <c r="S148" s="1107">
        <f>NOMINA!AJ127</f>
        <v>0</v>
      </c>
      <c r="T148" s="1108">
        <f t="shared" si="19"/>
        <v>0</v>
      </c>
      <c r="U148" s="1107">
        <f>ROUND(NOMINA!BL127,2)</f>
        <v>0</v>
      </c>
      <c r="V148" s="1107">
        <f>ROUND(NOMINA!BM127,2)</f>
        <v>0</v>
      </c>
      <c r="W148" s="1107">
        <f>ROUND(+NOMINA!BN127,2)</f>
        <v>0</v>
      </c>
      <c r="X148" s="1108">
        <f t="shared" si="20"/>
        <v>23.52</v>
      </c>
      <c r="Y148" s="1107">
        <f>ROUND(NOMINA!BJ127,2)</f>
        <v>0</v>
      </c>
      <c r="Z148" s="1109">
        <f t="shared" si="17"/>
        <v>0</v>
      </c>
    </row>
    <row r="149" spans="1:26" s="620" customFormat="1" ht="20.100000000000001" customHeight="1" thickBot="1" x14ac:dyDescent="0.25">
      <c r="A149" s="758" t="s">
        <v>2846</v>
      </c>
      <c r="B149" s="508">
        <f t="shared" ca="1" si="16"/>
        <v>85</v>
      </c>
      <c r="C149" s="1102">
        <f>+NOMINA!C128</f>
        <v>13207692</v>
      </c>
      <c r="D149" s="1103" t="str">
        <f>+NOMINA!D128</f>
        <v>Macias Briceño Alejandra Coromoto</v>
      </c>
      <c r="E149" s="1468" t="s">
        <v>4622</v>
      </c>
      <c r="F149" s="1704">
        <v>27853</v>
      </c>
      <c r="G149" s="1468" t="s">
        <v>4620</v>
      </c>
      <c r="H149" s="1705">
        <f>+NOMINA!H128</f>
        <v>38504</v>
      </c>
      <c r="I149" s="1105">
        <f>+NOMINA!I128</f>
        <v>20</v>
      </c>
      <c r="J149" s="1106">
        <f>+NOMINA!J128</f>
        <v>0</v>
      </c>
      <c r="K149" s="1105">
        <f t="shared" si="18"/>
        <v>20</v>
      </c>
      <c r="L149" s="1106" t="s">
        <v>4932</v>
      </c>
      <c r="M149" s="1106"/>
      <c r="N149" s="1443" t="str">
        <f>+NOMINA!O128</f>
        <v>Administrador III</v>
      </c>
      <c r="O149" s="1107">
        <f>ROUND(NOMINA!W128,2)</f>
        <v>143.5</v>
      </c>
      <c r="P149" s="1107">
        <f>NOMINA!AF128</f>
        <v>37.31</v>
      </c>
      <c r="Q149" s="1107">
        <f>NOMINA!AH128</f>
        <v>65</v>
      </c>
      <c r="R149" s="1107">
        <f>NOMINA!AC128</f>
        <v>25</v>
      </c>
      <c r="S149" s="1107">
        <f>NOMINA!AJ128</f>
        <v>64.58</v>
      </c>
      <c r="T149" s="1108">
        <f t="shared" si="19"/>
        <v>160.9</v>
      </c>
      <c r="U149" s="1107">
        <f>ROUND(NOMINA!BL128,2)</f>
        <v>29.81</v>
      </c>
      <c r="V149" s="1107">
        <f>ROUND(NOMINA!BM128,2)</f>
        <v>3.73</v>
      </c>
      <c r="W149" s="1107">
        <f>ROUND(+NOMINA!BN128,2)</f>
        <v>6.46</v>
      </c>
      <c r="X149" s="1108">
        <f t="shared" si="20"/>
        <v>27.87</v>
      </c>
      <c r="Y149" s="1107">
        <f>ROUND(NOMINA!BJ128,2)</f>
        <v>12.5</v>
      </c>
      <c r="Z149" s="1109">
        <f t="shared" si="17"/>
        <v>295.39</v>
      </c>
    </row>
    <row r="150" spans="1:26" s="620" customFormat="1" ht="20.100000000000001" customHeight="1" thickBot="1" x14ac:dyDescent="0.25">
      <c r="A150" s="758" t="s">
        <v>2846</v>
      </c>
      <c r="B150" s="508">
        <f t="shared" ca="1" si="16"/>
        <v>86</v>
      </c>
      <c r="C150" s="1102">
        <f>+NOMINA!C129</f>
        <v>13260050</v>
      </c>
      <c r="D150" s="1103" t="str">
        <f>+NOMINA!D129</f>
        <v>Mendoza Vieras Maria Elena</v>
      </c>
      <c r="E150" s="1468" t="s">
        <v>4622</v>
      </c>
      <c r="F150" s="1704">
        <v>27853</v>
      </c>
      <c r="G150" s="1468" t="s">
        <v>4620</v>
      </c>
      <c r="H150" s="1705">
        <f>+NOMINA!H129</f>
        <v>45444</v>
      </c>
      <c r="I150" s="1105">
        <f>+NOMINA!I129</f>
        <v>1</v>
      </c>
      <c r="J150" s="1106">
        <f>+NOMINA!J129</f>
        <v>12</v>
      </c>
      <c r="K150" s="1105">
        <f t="shared" si="18"/>
        <v>13</v>
      </c>
      <c r="L150" s="1106" t="s">
        <v>4932</v>
      </c>
      <c r="M150" s="1106"/>
      <c r="N150" s="1443" t="str">
        <f>+NOMINA!O129</f>
        <v>ADMINISTRADOR III</v>
      </c>
      <c r="O150" s="1107">
        <f>ROUND(NOMINA!W129,2)</f>
        <v>141.5</v>
      </c>
      <c r="P150" s="1107">
        <f>NOMINA!AF129</f>
        <v>21.51</v>
      </c>
      <c r="Q150" s="1107">
        <f>NOMINA!AH129</f>
        <v>65</v>
      </c>
      <c r="R150" s="1107">
        <f>NOMINA!AC129</f>
        <v>0</v>
      </c>
      <c r="S150" s="1107">
        <f>NOMINA!AJ129</f>
        <v>57.01</v>
      </c>
      <c r="T150" s="1108">
        <f t="shared" si="19"/>
        <v>170.94</v>
      </c>
      <c r="U150" s="1107">
        <f>ROUND(NOMINA!BL129,2)</f>
        <v>26.31</v>
      </c>
      <c r="V150" s="1107">
        <f>ROUND(NOMINA!BM129,2)</f>
        <v>3.29</v>
      </c>
      <c r="W150" s="1107">
        <f>ROUND(+NOMINA!BN129,2)</f>
        <v>5.7</v>
      </c>
      <c r="X150" s="1108">
        <f t="shared" si="20"/>
        <v>38.08</v>
      </c>
      <c r="Y150" s="1107">
        <f>ROUND(NOMINA!BJ129,2)</f>
        <v>12.5</v>
      </c>
      <c r="Z150" s="1109">
        <f t="shared" si="17"/>
        <v>249.71999999999997</v>
      </c>
    </row>
    <row r="151" spans="1:26" s="620" customFormat="1" ht="20.100000000000001" customHeight="1" thickBot="1" x14ac:dyDescent="0.25">
      <c r="A151" s="758" t="s">
        <v>2846</v>
      </c>
      <c r="B151" s="508">
        <f t="shared" ca="1" si="16"/>
        <v>87</v>
      </c>
      <c r="C151" s="1102">
        <f>+NOMINA!C130</f>
        <v>13261035</v>
      </c>
      <c r="D151" s="1103" t="str">
        <f>+NOMINA!D130</f>
        <v>Henry Peña Yokary Nakary</v>
      </c>
      <c r="E151" s="1468" t="s">
        <v>4622</v>
      </c>
      <c r="F151" s="1704">
        <v>27853</v>
      </c>
      <c r="G151" s="1468" t="s">
        <v>4620</v>
      </c>
      <c r="H151" s="1705">
        <f>+NOMINA!H130</f>
        <v>43770</v>
      </c>
      <c r="I151" s="1105">
        <f>+NOMINA!I130</f>
        <v>5</v>
      </c>
      <c r="J151" s="1106">
        <f>+NOMINA!J130</f>
        <v>0</v>
      </c>
      <c r="K151" s="1105">
        <f t="shared" si="18"/>
        <v>5</v>
      </c>
      <c r="L151" s="1106" t="s">
        <v>4932</v>
      </c>
      <c r="M151" s="1106"/>
      <c r="N151" s="1443" t="str">
        <f>+NOMINA!O130</f>
        <v>Entrenador Deportivo V</v>
      </c>
      <c r="O151" s="1107">
        <f>ROUND(NOMINA!W130,2)</f>
        <v>138.5</v>
      </c>
      <c r="P151" s="1107">
        <f>NOMINA!AF130</f>
        <v>6.93</v>
      </c>
      <c r="Q151" s="1107">
        <f>NOMINA!AH130</f>
        <v>65</v>
      </c>
      <c r="R151" s="1107">
        <f>NOMINA!AC130</f>
        <v>0</v>
      </c>
      <c r="S151" s="1107">
        <f>NOMINA!AJ130</f>
        <v>52.61</v>
      </c>
      <c r="T151" s="1108">
        <f t="shared" si="19"/>
        <v>157.04000000000002</v>
      </c>
      <c r="U151" s="1107">
        <f>ROUND(NOMINA!BL130,2)</f>
        <v>24.28</v>
      </c>
      <c r="V151" s="1107">
        <f>ROUND(NOMINA!BM130,2)</f>
        <v>3.03</v>
      </c>
      <c r="W151" s="1107">
        <f>ROUND(+NOMINA!BN130,2)</f>
        <v>5.26</v>
      </c>
      <c r="X151" s="1108">
        <f t="shared" si="20"/>
        <v>22.29</v>
      </c>
      <c r="Y151" s="1107">
        <f>ROUND(NOMINA!BJ130,2)</f>
        <v>12.5</v>
      </c>
      <c r="Z151" s="1109">
        <f t="shared" si="17"/>
        <v>230.47000000000003</v>
      </c>
    </row>
    <row r="152" spans="1:26" s="620" customFormat="1" ht="20.100000000000001" customHeight="1" thickBot="1" x14ac:dyDescent="0.25">
      <c r="A152" s="758" t="s">
        <v>2846</v>
      </c>
      <c r="B152" s="508">
        <f t="shared" ref="B152:B215" ca="1" si="21">OFFSET(B152,-1,0)+1</f>
        <v>88</v>
      </c>
      <c r="C152" s="1102">
        <f>+NOMINA!C131</f>
        <v>13261229</v>
      </c>
      <c r="D152" s="1103" t="str">
        <f>+NOMINA!D131</f>
        <v>Abreu Rodriguez Eva del Carmen</v>
      </c>
      <c r="E152" s="1468" t="s">
        <v>4622</v>
      </c>
      <c r="F152" s="1704">
        <v>27853</v>
      </c>
      <c r="G152" s="1468" t="s">
        <v>4620</v>
      </c>
      <c r="H152" s="1705">
        <f>+NOMINA!H131</f>
        <v>42644</v>
      </c>
      <c r="I152" s="1105">
        <f>+NOMINA!I131</f>
        <v>8</v>
      </c>
      <c r="J152" s="1106">
        <f>+NOMINA!J131</f>
        <v>0</v>
      </c>
      <c r="K152" s="1105">
        <f t="shared" si="18"/>
        <v>8</v>
      </c>
      <c r="L152" s="1106" t="s">
        <v>4932</v>
      </c>
      <c r="M152" s="1106"/>
      <c r="N152" s="1443" t="str">
        <f>+NOMINA!O131</f>
        <v>Asistente Administrativo III</v>
      </c>
      <c r="O152" s="1107">
        <f>ROUND(NOMINA!W131,2)</f>
        <v>110.5</v>
      </c>
      <c r="P152" s="1107">
        <f>NOMINA!AF131</f>
        <v>9.51</v>
      </c>
      <c r="Q152" s="1107">
        <f>NOMINA!AH131</f>
        <v>65</v>
      </c>
      <c r="R152" s="1107">
        <f>NOMINA!AC131</f>
        <v>12.5</v>
      </c>
      <c r="S152" s="1107">
        <f>NOMINA!AJ131</f>
        <v>38.25</v>
      </c>
      <c r="T152" s="1108">
        <f t="shared" si="19"/>
        <v>0</v>
      </c>
      <c r="U152" s="1107">
        <f>ROUND(NOMINA!BL131,2)</f>
        <v>21.19</v>
      </c>
      <c r="V152" s="1107">
        <f>ROUND(NOMINA!BM131,2)</f>
        <v>2.65</v>
      </c>
      <c r="W152" s="1107">
        <f>ROUND(+NOMINA!BN131,2)</f>
        <v>4.59</v>
      </c>
      <c r="X152" s="1108">
        <f t="shared" si="20"/>
        <v>19.350000000000001</v>
      </c>
      <c r="Y152" s="1107">
        <f>ROUND(NOMINA!BJ131,2)</f>
        <v>12.5</v>
      </c>
      <c r="Z152" s="1109">
        <f t="shared" si="17"/>
        <v>207.32999999999998</v>
      </c>
    </row>
    <row r="153" spans="1:26" s="620" customFormat="1" ht="20.100000000000001" customHeight="1" thickBot="1" x14ac:dyDescent="0.25">
      <c r="A153" s="758" t="s">
        <v>2846</v>
      </c>
      <c r="B153" s="508">
        <f t="shared" ca="1" si="21"/>
        <v>89</v>
      </c>
      <c r="C153" s="1102">
        <f>+NOMINA!C132</f>
        <v>13461934</v>
      </c>
      <c r="D153" s="1103" t="str">
        <f>+NOMINA!D132</f>
        <v>Ramirez Ayala Jenny Marisela</v>
      </c>
      <c r="E153" s="1468" t="s">
        <v>4622</v>
      </c>
      <c r="F153" s="1704">
        <v>27853</v>
      </c>
      <c r="G153" s="1468" t="s">
        <v>4620</v>
      </c>
      <c r="H153" s="1705">
        <f>+NOMINA!H132</f>
        <v>43252</v>
      </c>
      <c r="I153" s="1105">
        <f>+NOMINA!I132</f>
        <v>7</v>
      </c>
      <c r="J153" s="1106">
        <f>+NOMINA!J132</f>
        <v>0</v>
      </c>
      <c r="K153" s="1105">
        <f t="shared" si="18"/>
        <v>7</v>
      </c>
      <c r="L153" s="1106" t="s">
        <v>4932</v>
      </c>
      <c r="M153" s="1106"/>
      <c r="N153" s="1443" t="str">
        <f>+NOMINA!O132</f>
        <v>Guia de Centro II</v>
      </c>
      <c r="O153" s="1107">
        <f>ROUND(NOMINA!W132,2)</f>
        <v>85</v>
      </c>
      <c r="P153" s="1107">
        <f>NOMINA!AF132</f>
        <v>6.29</v>
      </c>
      <c r="Q153" s="1107">
        <f>NOMINA!AH132</f>
        <v>65</v>
      </c>
      <c r="R153" s="1107">
        <f>NOMINA!AC132</f>
        <v>0</v>
      </c>
      <c r="S153" s="1107">
        <f>NOMINA!AJ132</f>
        <v>0</v>
      </c>
      <c r="T153" s="1108">
        <f t="shared" si="19"/>
        <v>0</v>
      </c>
      <c r="U153" s="1107">
        <f>ROUND(NOMINA!BL132,2)</f>
        <v>18.75</v>
      </c>
      <c r="V153" s="1107">
        <f>ROUND(NOMINA!BM132,2)</f>
        <v>2.34</v>
      </c>
      <c r="W153" s="1107">
        <f>ROUND(+NOMINA!BN132,2)</f>
        <v>4.0599999999999996</v>
      </c>
      <c r="X153" s="1108">
        <f t="shared" si="20"/>
        <v>38.950000000000003</v>
      </c>
      <c r="Y153" s="1107">
        <f>ROUND(NOMINA!BJ132,2)</f>
        <v>12.5</v>
      </c>
      <c r="Z153" s="1109">
        <f t="shared" si="17"/>
        <v>131.14000000000001</v>
      </c>
    </row>
    <row r="154" spans="1:26" s="620" customFormat="1" ht="20.100000000000001" customHeight="1" thickBot="1" x14ac:dyDescent="0.25">
      <c r="A154" s="758" t="s">
        <v>2846</v>
      </c>
      <c r="B154" s="508">
        <f t="shared" ca="1" si="21"/>
        <v>90</v>
      </c>
      <c r="C154" s="1102">
        <f>+NOMINA!C133</f>
        <v>13462933</v>
      </c>
      <c r="D154" s="1103" t="str">
        <f>+NOMINA!D133</f>
        <v>Frias Aldana Maria Yaritza</v>
      </c>
      <c r="E154" s="1468" t="s">
        <v>4622</v>
      </c>
      <c r="F154" s="1704">
        <v>27853</v>
      </c>
      <c r="G154" s="1468" t="s">
        <v>4620</v>
      </c>
      <c r="H154" s="1705">
        <f>+NOMINA!H133</f>
        <v>39454</v>
      </c>
      <c r="I154" s="1105">
        <f>+NOMINA!I133</f>
        <v>17</v>
      </c>
      <c r="J154" s="1106">
        <f>+NOMINA!J133</f>
        <v>6</v>
      </c>
      <c r="K154" s="1105">
        <f t="shared" si="18"/>
        <v>23</v>
      </c>
      <c r="L154" s="1106" t="s">
        <v>4932</v>
      </c>
      <c r="M154" s="1106"/>
      <c r="N154" s="1443" t="str">
        <f>+NOMINA!O133</f>
        <v>Administrador Jefe</v>
      </c>
      <c r="O154" s="1107">
        <f>ROUND(NOMINA!W133,2)</f>
        <v>0</v>
      </c>
      <c r="P154" s="1107">
        <f>NOMINA!AF133</f>
        <v>0</v>
      </c>
      <c r="Q154" s="1107">
        <f>NOMINA!AH133</f>
        <v>0</v>
      </c>
      <c r="R154" s="1107">
        <f>NOMINA!AC133</f>
        <v>0</v>
      </c>
      <c r="S154" s="1107">
        <f>NOMINA!AJ133</f>
        <v>0</v>
      </c>
      <c r="T154" s="1108">
        <f t="shared" si="19"/>
        <v>127.18</v>
      </c>
      <c r="U154" s="1107">
        <f>ROUND(NOMINA!BL133,2)</f>
        <v>0</v>
      </c>
      <c r="V154" s="1107">
        <f>ROUND(NOMINA!BM133,2)</f>
        <v>0</v>
      </c>
      <c r="W154" s="1107">
        <f>ROUND(+NOMINA!BN133,2)</f>
        <v>0</v>
      </c>
      <c r="X154" s="1108">
        <f t="shared" si="20"/>
        <v>27.58</v>
      </c>
      <c r="Y154" s="1107">
        <f>ROUND(NOMINA!BJ133,2)</f>
        <v>0</v>
      </c>
      <c r="Z154" s="1109">
        <f t="shared" si="17"/>
        <v>0</v>
      </c>
    </row>
    <row r="155" spans="1:26" s="620" customFormat="1" ht="20.100000000000001" customHeight="1" thickBot="1" x14ac:dyDescent="0.25">
      <c r="A155" s="758" t="s">
        <v>2846</v>
      </c>
      <c r="B155" s="508">
        <f t="shared" ca="1" si="21"/>
        <v>91</v>
      </c>
      <c r="C155" s="1102">
        <f>+NOMINA!C134</f>
        <v>13462511</v>
      </c>
      <c r="D155" s="1103" t="str">
        <f>+NOMINA!D134</f>
        <v>Vielma Jenifer</v>
      </c>
      <c r="E155" s="1468" t="s">
        <v>4622</v>
      </c>
      <c r="F155" s="1704">
        <v>27853</v>
      </c>
      <c r="G155" s="1468" t="s">
        <v>4620</v>
      </c>
      <c r="H155" s="1705">
        <f>+NOMINA!H134</f>
        <v>43738</v>
      </c>
      <c r="I155" s="1105">
        <f>+NOMINA!I134</f>
        <v>6</v>
      </c>
      <c r="J155" s="1106">
        <f>+NOMINA!J134</f>
        <v>8</v>
      </c>
      <c r="K155" s="1105">
        <f t="shared" si="18"/>
        <v>14</v>
      </c>
      <c r="L155" s="1106" t="s">
        <v>4932</v>
      </c>
      <c r="M155" s="1106"/>
      <c r="N155" s="1443" t="str">
        <f>+NOMINA!O134</f>
        <v>Criminologo</v>
      </c>
      <c r="O155" s="1107">
        <f>ROUND(NOMINA!W134,2)</f>
        <v>156</v>
      </c>
      <c r="P155" s="1107">
        <f>NOMINA!AF134</f>
        <v>25.9</v>
      </c>
      <c r="Q155" s="1107">
        <f>NOMINA!AH134</f>
        <v>65</v>
      </c>
      <c r="R155" s="1107">
        <f>NOMINA!AC134</f>
        <v>12.5</v>
      </c>
      <c r="S155" s="1107">
        <f>NOMINA!AJ134</f>
        <v>88.6</v>
      </c>
      <c r="T155" s="1108">
        <f t="shared" si="19"/>
        <v>85.68</v>
      </c>
      <c r="U155" s="1107">
        <f>ROUND(NOMINA!BL134,2)</f>
        <v>31.55</v>
      </c>
      <c r="V155" s="1107">
        <f>ROUND(NOMINA!BM134,2)</f>
        <v>3.94</v>
      </c>
      <c r="W155" s="1107">
        <f>ROUND(+NOMINA!BN134,2)</f>
        <v>6.83</v>
      </c>
      <c r="X155" s="1108">
        <f t="shared" si="20"/>
        <v>44.54</v>
      </c>
      <c r="Y155" s="1107">
        <f>ROUND(NOMINA!BJ134,2)</f>
        <v>12.5</v>
      </c>
      <c r="Z155" s="1109">
        <f t="shared" si="17"/>
        <v>305.68</v>
      </c>
    </row>
    <row r="156" spans="1:26" s="620" customFormat="1" ht="20.100000000000001" customHeight="1" thickBot="1" x14ac:dyDescent="0.25">
      <c r="A156" s="758" t="s">
        <v>2846</v>
      </c>
      <c r="B156" s="508">
        <f t="shared" ca="1" si="21"/>
        <v>92</v>
      </c>
      <c r="C156" s="1102">
        <f>+NOMINA!C135</f>
        <v>13522518</v>
      </c>
      <c r="D156" s="1103" t="str">
        <f>+NOMINA!D135</f>
        <v>Altuve Diaz Jose Antonio</v>
      </c>
      <c r="E156" s="1468" t="s">
        <v>4622</v>
      </c>
      <c r="F156" s="1704">
        <v>27853</v>
      </c>
      <c r="G156" s="1468" t="s">
        <v>4620</v>
      </c>
      <c r="H156" s="1705">
        <f>+NOMINA!H135</f>
        <v>43739</v>
      </c>
      <c r="I156" s="1105">
        <f>+NOMINA!I135</f>
        <v>5</v>
      </c>
      <c r="J156" s="1106">
        <f>+NOMINA!J135</f>
        <v>0</v>
      </c>
      <c r="K156" s="1105">
        <f t="shared" si="18"/>
        <v>5</v>
      </c>
      <c r="L156" s="1106" t="s">
        <v>4932</v>
      </c>
      <c r="M156" s="1106"/>
      <c r="N156" s="1443" t="str">
        <f>+NOMINA!O135</f>
        <v>Almacenista II</v>
      </c>
      <c r="O156" s="1107">
        <f>ROUND(NOMINA!W135,2)</f>
        <v>75</v>
      </c>
      <c r="P156" s="1107">
        <f>NOMINA!AF135</f>
        <v>3.75</v>
      </c>
      <c r="Q156" s="1107">
        <f>NOMINA!AH135</f>
        <v>65</v>
      </c>
      <c r="R156" s="1107">
        <f>NOMINA!AC135</f>
        <v>12.5</v>
      </c>
      <c r="S156" s="1107">
        <f>NOMINA!AJ135</f>
        <v>0</v>
      </c>
      <c r="T156" s="1108">
        <f t="shared" si="19"/>
        <v>115.48</v>
      </c>
      <c r="U156" s="1107">
        <f>ROUND(NOMINA!BL135,2)</f>
        <v>13.85</v>
      </c>
      <c r="V156" s="1107">
        <f>ROUND(NOMINA!BM135,2)</f>
        <v>1.73</v>
      </c>
      <c r="W156" s="1107">
        <f>ROUND(+NOMINA!BN135,2)</f>
        <v>3</v>
      </c>
      <c r="X156" s="1108">
        <f t="shared" si="20"/>
        <v>0</v>
      </c>
      <c r="Y156" s="1107">
        <f>ROUND(NOMINA!BJ135,2)</f>
        <v>12.5</v>
      </c>
      <c r="Z156" s="1109">
        <f t="shared" si="17"/>
        <v>137.67000000000002</v>
      </c>
    </row>
    <row r="157" spans="1:26" s="620" customFormat="1" ht="20.100000000000001" customHeight="1" thickBot="1" x14ac:dyDescent="0.25">
      <c r="A157" s="758" t="s">
        <v>2846</v>
      </c>
      <c r="B157" s="508">
        <f t="shared" ca="1" si="21"/>
        <v>93</v>
      </c>
      <c r="C157" s="1102">
        <f>+NOMINA!C136</f>
        <v>13523075</v>
      </c>
      <c r="D157" s="1103" t="str">
        <f>+NOMINA!D136</f>
        <v>Zambrano Castellanos Maria Alejandra</v>
      </c>
      <c r="E157" s="1468" t="s">
        <v>4622</v>
      </c>
      <c r="F157" s="1704">
        <v>27853</v>
      </c>
      <c r="G157" s="1468" t="s">
        <v>4620</v>
      </c>
      <c r="H157" s="1705">
        <f>+NOMINA!H136</f>
        <v>37718</v>
      </c>
      <c r="I157" s="1105">
        <f>+NOMINA!I136</f>
        <v>22</v>
      </c>
      <c r="J157" s="1106">
        <f>+NOMINA!J136</f>
        <v>0</v>
      </c>
      <c r="K157" s="1105">
        <f t="shared" si="18"/>
        <v>22</v>
      </c>
      <c r="L157" s="1106" t="s">
        <v>4932</v>
      </c>
      <c r="M157" s="1106"/>
      <c r="N157" s="1443" t="str">
        <f>+NOMINA!O136</f>
        <v>Planificador V</v>
      </c>
      <c r="O157" s="1107">
        <f>ROUND(NOMINA!W136,2)</f>
        <v>114</v>
      </c>
      <c r="P157" s="1107">
        <f>NOMINA!AF136</f>
        <v>33.75</v>
      </c>
      <c r="Q157" s="1107">
        <f>NOMINA!AH136</f>
        <v>65</v>
      </c>
      <c r="R157" s="1107">
        <f>NOMINA!AC136</f>
        <v>25</v>
      </c>
      <c r="S157" s="1107">
        <f>NOMINA!AJ136</f>
        <v>45.05</v>
      </c>
      <c r="T157" s="1108">
        <f t="shared" si="19"/>
        <v>113.54</v>
      </c>
      <c r="U157" s="1107">
        <f>ROUND(NOMINA!BL136,2)</f>
        <v>24.95</v>
      </c>
      <c r="V157" s="1107">
        <f>ROUND(NOMINA!BM136,2)</f>
        <v>3.12</v>
      </c>
      <c r="W157" s="1107">
        <f>ROUND(+NOMINA!BN136,2)</f>
        <v>5.41</v>
      </c>
      <c r="X157" s="1108">
        <f t="shared" si="20"/>
        <v>30.07</v>
      </c>
      <c r="Y157" s="1107">
        <f>ROUND(NOMINA!BJ136,2)</f>
        <v>12.5</v>
      </c>
      <c r="Z157" s="1109">
        <f t="shared" si="17"/>
        <v>249.32</v>
      </c>
    </row>
    <row r="158" spans="1:26" s="620" customFormat="1" ht="20.100000000000001" customHeight="1" thickBot="1" x14ac:dyDescent="0.25">
      <c r="A158" s="758" t="s">
        <v>2846</v>
      </c>
      <c r="B158" s="508">
        <f t="shared" ca="1" si="21"/>
        <v>94</v>
      </c>
      <c r="C158" s="1102">
        <f>+NOMINA!C137</f>
        <v>13765028</v>
      </c>
      <c r="D158" s="1103" t="str">
        <f>+NOMINA!D137</f>
        <v>Diaz Ramirez Mileyda del Valle</v>
      </c>
      <c r="E158" s="1468" t="s">
        <v>4622</v>
      </c>
      <c r="F158" s="1704">
        <v>27853</v>
      </c>
      <c r="G158" s="1468" t="s">
        <v>4620</v>
      </c>
      <c r="H158" s="1705">
        <f>+NOMINA!H137</f>
        <v>44348</v>
      </c>
      <c r="I158" s="1105">
        <f>+NOMINA!I137</f>
        <v>4</v>
      </c>
      <c r="J158" s="1106">
        <f>+NOMINA!J137</f>
        <v>7</v>
      </c>
      <c r="K158" s="1105">
        <f t="shared" si="18"/>
        <v>11</v>
      </c>
      <c r="L158" s="1106" t="s">
        <v>4932</v>
      </c>
      <c r="M158" s="1106"/>
      <c r="N158" s="1443" t="str">
        <f>+NOMINA!O137</f>
        <v>Guia de Centro II</v>
      </c>
      <c r="O158" s="1107">
        <f>ROUND(NOMINA!W137,2)</f>
        <v>111.5</v>
      </c>
      <c r="P158" s="1107">
        <f>NOMINA!AF137</f>
        <v>13.83</v>
      </c>
      <c r="Q158" s="1107">
        <f>NOMINA!AH137</f>
        <v>65</v>
      </c>
      <c r="R158" s="1107">
        <f>NOMINA!AC137</f>
        <v>0</v>
      </c>
      <c r="S158" s="1107">
        <f>NOMINA!AJ137</f>
        <v>38.07</v>
      </c>
      <c r="T158" s="1108">
        <f t="shared" si="19"/>
        <v>97.68</v>
      </c>
      <c r="U158" s="1107">
        <f>ROUND(NOMINA!BL137,2)</f>
        <v>27.41</v>
      </c>
      <c r="V158" s="1107">
        <f>ROUND(NOMINA!BM137,2)</f>
        <v>3.43</v>
      </c>
      <c r="W158" s="1107">
        <f>ROUND(+NOMINA!BN137,2)</f>
        <v>5.94</v>
      </c>
      <c r="X158" s="1108">
        <f t="shared" si="20"/>
        <v>0</v>
      </c>
      <c r="Y158" s="1107">
        <f>ROUND(NOMINA!BJ137,2)</f>
        <v>12.5</v>
      </c>
      <c r="Z158" s="1109">
        <f t="shared" si="17"/>
        <v>191.61999999999998</v>
      </c>
    </row>
    <row r="159" spans="1:26" s="620" customFormat="1" ht="20.100000000000001" customHeight="1" thickBot="1" x14ac:dyDescent="0.25">
      <c r="A159" s="758" t="s">
        <v>2846</v>
      </c>
      <c r="B159" s="508">
        <f t="shared" ca="1" si="21"/>
        <v>95</v>
      </c>
      <c r="C159" s="1102">
        <f>+NOMINA!C138</f>
        <v>13896147</v>
      </c>
      <c r="D159" s="1103" t="str">
        <f>+NOMINA!D138</f>
        <v>Carrizo Blanco Belquis Cecilia</v>
      </c>
      <c r="E159" s="1468" t="s">
        <v>4622</v>
      </c>
      <c r="F159" s="1704">
        <v>27853</v>
      </c>
      <c r="G159" s="1468" t="s">
        <v>4620</v>
      </c>
      <c r="H159" s="1705">
        <f>+NOMINA!H138</f>
        <v>41334</v>
      </c>
      <c r="I159" s="1105">
        <f>+NOMINA!I138</f>
        <v>12</v>
      </c>
      <c r="J159" s="1106">
        <f>+NOMINA!J138</f>
        <v>0</v>
      </c>
      <c r="K159" s="1105">
        <f t="shared" si="18"/>
        <v>12</v>
      </c>
      <c r="L159" s="1106" t="s">
        <v>4932</v>
      </c>
      <c r="M159" s="1106"/>
      <c r="N159" s="1443" t="str">
        <f>+NOMINA!O138</f>
        <v>Administrador III</v>
      </c>
      <c r="O159" s="1107">
        <f>ROUND(NOMINA!W138,2)</f>
        <v>141.5</v>
      </c>
      <c r="P159" s="1107">
        <f>NOMINA!AF138</f>
        <v>19.53</v>
      </c>
      <c r="Q159" s="1107">
        <f>NOMINA!AH138</f>
        <v>65</v>
      </c>
      <c r="R159" s="1107">
        <f>NOMINA!AC138</f>
        <v>0</v>
      </c>
      <c r="S159" s="1107">
        <f>NOMINA!AJ138</f>
        <v>56.51</v>
      </c>
      <c r="T159" s="1108">
        <f t="shared" si="19"/>
        <v>93.75</v>
      </c>
      <c r="U159" s="1107">
        <f>ROUND(NOMINA!BL138,2)</f>
        <v>26.08</v>
      </c>
      <c r="V159" s="1107">
        <f>ROUND(NOMINA!BM138,2)</f>
        <v>3.26</v>
      </c>
      <c r="W159" s="1107">
        <f>ROUND(+NOMINA!BN138,2)</f>
        <v>5.65</v>
      </c>
      <c r="X159" s="1108">
        <f t="shared" si="20"/>
        <v>23.08</v>
      </c>
      <c r="Y159" s="1107">
        <f>ROUND(NOMINA!BJ138,2)</f>
        <v>12.5</v>
      </c>
      <c r="Z159" s="1109">
        <f t="shared" si="17"/>
        <v>247.55</v>
      </c>
    </row>
    <row r="160" spans="1:26" s="620" customFormat="1" ht="20.100000000000001" customHeight="1" thickBot="1" x14ac:dyDescent="0.25">
      <c r="A160" s="758" t="s">
        <v>2846</v>
      </c>
      <c r="B160" s="508">
        <f t="shared" ca="1" si="21"/>
        <v>96</v>
      </c>
      <c r="C160" s="1102">
        <f>+NOMINA!C139</f>
        <v>13896239</v>
      </c>
      <c r="D160" s="1103" t="str">
        <f>+NOMINA!D139</f>
        <v>Sulbaran Campos Yusneida Ayarith</v>
      </c>
      <c r="E160" s="1468" t="s">
        <v>4622</v>
      </c>
      <c r="F160" s="1704">
        <v>27853</v>
      </c>
      <c r="G160" s="1468" t="s">
        <v>4620</v>
      </c>
      <c r="H160" s="1705">
        <f>+NOMINA!H139</f>
        <v>42416</v>
      </c>
      <c r="I160" s="1105">
        <f>+NOMINA!I139</f>
        <v>9</v>
      </c>
      <c r="J160" s="1106">
        <f>+NOMINA!J139</f>
        <v>0</v>
      </c>
      <c r="K160" s="1105">
        <f t="shared" si="18"/>
        <v>9</v>
      </c>
      <c r="L160" s="1106" t="s">
        <v>4932</v>
      </c>
      <c r="M160" s="1106"/>
      <c r="N160" s="1443" t="str">
        <f>+NOMINA!O139</f>
        <v>Analista de Presupuesto IV</v>
      </c>
      <c r="O160" s="1107">
        <f>ROUND(NOMINA!W139,2)</f>
        <v>86</v>
      </c>
      <c r="P160" s="1107">
        <f>NOMINA!AF139</f>
        <v>8.43</v>
      </c>
      <c r="Q160" s="1107">
        <f>NOMINA!AH139</f>
        <v>65</v>
      </c>
      <c r="R160" s="1107">
        <f>NOMINA!AC139</f>
        <v>12.5</v>
      </c>
      <c r="S160" s="1107">
        <f>NOMINA!AJ139</f>
        <v>0</v>
      </c>
      <c r="T160" s="1108">
        <f t="shared" si="19"/>
        <v>170.94</v>
      </c>
      <c r="U160" s="1107">
        <f>ROUND(NOMINA!BL139,2)</f>
        <v>15.29</v>
      </c>
      <c r="V160" s="1107">
        <f>ROUND(NOMINA!BM139,2)</f>
        <v>1.91</v>
      </c>
      <c r="W160" s="1107">
        <f>ROUND(+NOMINA!BN139,2)</f>
        <v>3.31</v>
      </c>
      <c r="X160" s="1108">
        <f t="shared" si="20"/>
        <v>42.83</v>
      </c>
      <c r="Y160" s="1107">
        <f>ROUND(NOMINA!BJ139,2)</f>
        <v>12.5</v>
      </c>
      <c r="Z160" s="1109">
        <f t="shared" si="17"/>
        <v>151.42000000000002</v>
      </c>
    </row>
    <row r="161" spans="1:26" s="620" customFormat="1" ht="20.100000000000001" customHeight="1" thickBot="1" x14ac:dyDescent="0.25">
      <c r="A161" s="758" t="s">
        <v>2846</v>
      </c>
      <c r="B161" s="508">
        <f t="shared" ca="1" si="21"/>
        <v>97</v>
      </c>
      <c r="C161" s="1102">
        <f>+NOMINA!C140</f>
        <v>13897046</v>
      </c>
      <c r="D161" s="1103" t="str">
        <f>+NOMINA!D140</f>
        <v>Artigas Sanchez Mireya Carolina</v>
      </c>
      <c r="E161" s="1468" t="s">
        <v>4622</v>
      </c>
      <c r="F161" s="1704">
        <v>27853</v>
      </c>
      <c r="G161" s="1468" t="s">
        <v>4620</v>
      </c>
      <c r="H161" s="1705">
        <f>+NOMINA!H140</f>
        <v>42384</v>
      </c>
      <c r="I161" s="1105">
        <f>+NOMINA!I140</f>
        <v>9</v>
      </c>
      <c r="J161" s="1106">
        <f>+NOMINA!J140</f>
        <v>0</v>
      </c>
      <c r="K161" s="1105">
        <f t="shared" si="18"/>
        <v>9</v>
      </c>
      <c r="L161" s="1106" t="s">
        <v>4932</v>
      </c>
      <c r="M161" s="1106"/>
      <c r="N161" s="1443" t="str">
        <f>+NOMINA!O140</f>
        <v>Tecnico Superior en Trabajo Social II</v>
      </c>
      <c r="O161" s="1107">
        <f>ROUND(NOMINA!W140,2)</f>
        <v>111.5</v>
      </c>
      <c r="P161" s="1107">
        <f>NOMINA!AF140</f>
        <v>10.93</v>
      </c>
      <c r="Q161" s="1107">
        <f>NOMINA!AH140</f>
        <v>65</v>
      </c>
      <c r="R161" s="1107">
        <f>NOMINA!AC140</f>
        <v>25</v>
      </c>
      <c r="S161" s="1107">
        <f>NOMINA!AJ140</f>
        <v>39.99</v>
      </c>
      <c r="T161" s="1108">
        <f t="shared" si="19"/>
        <v>89.5</v>
      </c>
      <c r="U161" s="1107">
        <f>ROUND(NOMINA!BL140,2)</f>
        <v>22.15</v>
      </c>
      <c r="V161" s="1107">
        <f>ROUND(NOMINA!BM140,2)</f>
        <v>2.77</v>
      </c>
      <c r="W161" s="1107">
        <f>ROUND(+NOMINA!BN140,2)</f>
        <v>4.8</v>
      </c>
      <c r="X161" s="1108">
        <f t="shared" si="20"/>
        <v>28.65</v>
      </c>
      <c r="Y161" s="1107">
        <f>ROUND(NOMINA!BJ140,2)</f>
        <v>12.5</v>
      </c>
      <c r="Z161" s="1109">
        <f t="shared" si="17"/>
        <v>222.70000000000002</v>
      </c>
    </row>
    <row r="162" spans="1:26" s="620" customFormat="1" ht="20.100000000000001" customHeight="1" thickBot="1" x14ac:dyDescent="0.25">
      <c r="A162" s="758" t="s">
        <v>2846</v>
      </c>
      <c r="B162" s="508">
        <f t="shared" ca="1" si="21"/>
        <v>98</v>
      </c>
      <c r="C162" s="1102">
        <f>+NOMINA!C141</f>
        <v>13897695</v>
      </c>
      <c r="D162" s="1103" t="str">
        <f>+NOMINA!D141</f>
        <v>Araujo Matheus Alba Mariela</v>
      </c>
      <c r="E162" s="1468" t="s">
        <v>4622</v>
      </c>
      <c r="F162" s="1704">
        <v>27853</v>
      </c>
      <c r="G162" s="1468" t="s">
        <v>4620</v>
      </c>
      <c r="H162" s="1705">
        <f>+NOMINA!H141</f>
        <v>39496</v>
      </c>
      <c r="I162" s="1105">
        <f>+NOMINA!I141</f>
        <v>17</v>
      </c>
      <c r="J162" s="1106">
        <f>+NOMINA!J141</f>
        <v>3</v>
      </c>
      <c r="K162" s="1105">
        <f t="shared" si="18"/>
        <v>20</v>
      </c>
      <c r="L162" s="1106" t="s">
        <v>4932</v>
      </c>
      <c r="M162" s="1106"/>
      <c r="N162" s="1443" t="str">
        <f>+NOMINA!O141</f>
        <v>Analista de Presupuesto Jefe</v>
      </c>
      <c r="O162" s="1107">
        <f>ROUND(NOMINA!W141,2)</f>
        <v>143.5</v>
      </c>
      <c r="P162" s="1107">
        <f>NOMINA!AF141</f>
        <v>37.31</v>
      </c>
      <c r="Q162" s="1107">
        <f>NOMINA!AH141</f>
        <v>65</v>
      </c>
      <c r="R162" s="1107">
        <f>NOMINA!AC141</f>
        <v>25</v>
      </c>
      <c r="S162" s="1107">
        <f>NOMINA!AJ141</f>
        <v>64.58</v>
      </c>
      <c r="T162" s="1108">
        <f t="shared" si="19"/>
        <v>207.9</v>
      </c>
      <c r="U162" s="1107">
        <f>ROUND(NOMINA!BL141,2)</f>
        <v>29.81</v>
      </c>
      <c r="V162" s="1107">
        <f>ROUND(NOMINA!BM141,2)</f>
        <v>3.73</v>
      </c>
      <c r="W162" s="1107">
        <f>ROUND(+NOMINA!BN141,2)</f>
        <v>6.46</v>
      </c>
      <c r="X162" s="1108">
        <f t="shared" si="20"/>
        <v>33.51</v>
      </c>
      <c r="Y162" s="1107">
        <f>ROUND(NOMINA!BJ141,2)</f>
        <v>12.5</v>
      </c>
      <c r="Z162" s="1109">
        <f t="shared" si="17"/>
        <v>295.39</v>
      </c>
    </row>
    <row r="163" spans="1:26" s="620" customFormat="1" ht="20.100000000000001" customHeight="1" thickBot="1" x14ac:dyDescent="0.25">
      <c r="A163" s="758" t="s">
        <v>2846</v>
      </c>
      <c r="B163" s="508">
        <f t="shared" ca="1" si="21"/>
        <v>99</v>
      </c>
      <c r="C163" s="1102">
        <f>+NOMINA!C142</f>
        <v>13996024</v>
      </c>
      <c r="D163" s="1103" t="str">
        <f>+NOMINA!D142</f>
        <v>Perez Barrios Helenmar</v>
      </c>
      <c r="E163" s="1468" t="s">
        <v>4622</v>
      </c>
      <c r="F163" s="1704">
        <v>27853</v>
      </c>
      <c r="G163" s="1468" t="s">
        <v>4620</v>
      </c>
      <c r="H163" s="1705">
        <f>+NOMINA!H142</f>
        <v>40028</v>
      </c>
      <c r="I163" s="1105">
        <f>+NOMINA!I142</f>
        <v>16</v>
      </c>
      <c r="J163" s="1106">
        <f>+NOMINA!J142</f>
        <v>0</v>
      </c>
      <c r="K163" s="1105">
        <f t="shared" si="18"/>
        <v>16</v>
      </c>
      <c r="L163" s="1106" t="s">
        <v>4932</v>
      </c>
      <c r="M163" s="1106"/>
      <c r="N163" s="1443" t="str">
        <f>+NOMINA!O142</f>
        <v>Contador III</v>
      </c>
      <c r="O163" s="1107">
        <f>ROUND(NOMINA!W142,2)</f>
        <v>142.5</v>
      </c>
      <c r="P163" s="1107">
        <f>NOMINA!AF142</f>
        <v>27.93</v>
      </c>
      <c r="Q163" s="1107">
        <f>NOMINA!AH142</f>
        <v>65</v>
      </c>
      <c r="R163" s="1107">
        <f>NOMINA!AC142</f>
        <v>12.5</v>
      </c>
      <c r="S163" s="1107">
        <f>NOMINA!AJ142</f>
        <v>60.42</v>
      </c>
      <c r="T163" s="1108">
        <f t="shared" si="19"/>
        <v>0</v>
      </c>
      <c r="U163" s="1107">
        <f>ROUND(NOMINA!BL142,2)</f>
        <v>27.89</v>
      </c>
      <c r="V163" s="1107">
        <f>ROUND(NOMINA!BM142,2)</f>
        <v>3.49</v>
      </c>
      <c r="W163" s="1107">
        <f>ROUND(+NOMINA!BN142,2)</f>
        <v>6.04</v>
      </c>
      <c r="X163" s="1108">
        <f t="shared" si="20"/>
        <v>26</v>
      </c>
      <c r="Y163" s="1107">
        <f>ROUND(NOMINA!BJ142,2)</f>
        <v>12.5</v>
      </c>
      <c r="Z163" s="1109">
        <f t="shared" si="17"/>
        <v>270.93</v>
      </c>
    </row>
    <row r="164" spans="1:26" s="620" customFormat="1" ht="20.100000000000001" customHeight="1" thickBot="1" x14ac:dyDescent="0.25">
      <c r="A164" s="758" t="s">
        <v>2846</v>
      </c>
      <c r="B164" s="508">
        <f t="shared" ca="1" si="21"/>
        <v>100</v>
      </c>
      <c r="C164" s="1102">
        <f>+NOMINA!C143</f>
        <v>13997965</v>
      </c>
      <c r="D164" s="1103" t="str">
        <f>+NOMINA!D143</f>
        <v>Sulbaran Baptista Yenny del Carmen</v>
      </c>
      <c r="E164" s="1468" t="s">
        <v>4622</v>
      </c>
      <c r="F164" s="1704">
        <v>27853</v>
      </c>
      <c r="G164" s="1468" t="s">
        <v>4620</v>
      </c>
      <c r="H164" s="1705">
        <f>+NOMINA!H143</f>
        <v>45839</v>
      </c>
      <c r="I164" s="1105">
        <f>+NOMINA!I143</f>
        <v>0</v>
      </c>
      <c r="J164" s="1106">
        <f>+NOMINA!J143</f>
        <v>0</v>
      </c>
      <c r="K164" s="1105">
        <f t="shared" si="18"/>
        <v>0</v>
      </c>
      <c r="L164" s="1106" t="s">
        <v>4932</v>
      </c>
      <c r="M164" s="1106"/>
      <c r="N164" s="1443" t="str">
        <f>+NOMINA!O143</f>
        <v>Asistente Administrativo I</v>
      </c>
      <c r="O164" s="1107">
        <f>ROUND(NOMINA!W143,2)</f>
        <v>65</v>
      </c>
      <c r="P164" s="1107">
        <f>NOMINA!AF143</f>
        <v>0</v>
      </c>
      <c r="Q164" s="1107">
        <f>NOMINA!AH143</f>
        <v>65</v>
      </c>
      <c r="R164" s="1107">
        <f>NOMINA!AC143</f>
        <v>25</v>
      </c>
      <c r="S164" s="1107">
        <f>NOMINA!AJ143</f>
        <v>0</v>
      </c>
      <c r="T164" s="1108">
        <f t="shared" si="19"/>
        <v>126.07</v>
      </c>
      <c r="U164" s="1107">
        <f>ROUND(NOMINA!BL143,2)</f>
        <v>13.15</v>
      </c>
      <c r="V164" s="1107">
        <f>ROUND(NOMINA!BM143,2)</f>
        <v>1.64</v>
      </c>
      <c r="W164" s="1107">
        <f>ROUND(+NOMINA!BN143,2)</f>
        <v>2.85</v>
      </c>
      <c r="X164" s="1108">
        <f t="shared" si="20"/>
        <v>0</v>
      </c>
      <c r="Y164" s="1107">
        <f>ROUND(NOMINA!BJ143,2)</f>
        <v>12.5</v>
      </c>
      <c r="Z164" s="1109">
        <f t="shared" si="17"/>
        <v>137.36000000000001</v>
      </c>
    </row>
    <row r="165" spans="1:26" s="620" customFormat="1" ht="20.100000000000001" customHeight="1" thickBot="1" x14ac:dyDescent="0.25">
      <c r="A165" s="758" t="s">
        <v>2846</v>
      </c>
      <c r="B165" s="508">
        <f t="shared" ca="1" si="21"/>
        <v>101</v>
      </c>
      <c r="C165" s="1102">
        <f>+NOMINA!C144</f>
        <v>14106648</v>
      </c>
      <c r="D165" s="1103" t="str">
        <f>+NOMINA!D144</f>
        <v>Aguilar Flores Heidy Coromoto</v>
      </c>
      <c r="E165" s="1468" t="s">
        <v>4622</v>
      </c>
      <c r="F165" s="1704">
        <v>27853</v>
      </c>
      <c r="G165" s="1468" t="s">
        <v>4620</v>
      </c>
      <c r="H165" s="1705">
        <f>+NOMINA!H144</f>
        <v>40787</v>
      </c>
      <c r="I165" s="1105">
        <f>+NOMINA!I144</f>
        <v>14</v>
      </c>
      <c r="J165" s="1106">
        <f>+NOMINA!J144</f>
        <v>6</v>
      </c>
      <c r="K165" s="1105">
        <f t="shared" si="18"/>
        <v>20</v>
      </c>
      <c r="L165" s="1106" t="s">
        <v>4932</v>
      </c>
      <c r="M165" s="1106"/>
      <c r="N165" s="1443" t="str">
        <f>+NOMINA!O144</f>
        <v>Asistente Administrativo IV</v>
      </c>
      <c r="O165" s="1107">
        <f>ROUND(NOMINA!W144,2)</f>
        <v>114</v>
      </c>
      <c r="P165" s="1107">
        <f>NOMINA!AF144</f>
        <v>29.64</v>
      </c>
      <c r="Q165" s="1107">
        <f>NOMINA!AH144</f>
        <v>65</v>
      </c>
      <c r="R165" s="1107">
        <f>NOMINA!AC144</f>
        <v>12.5</v>
      </c>
      <c r="S165" s="1107">
        <f>NOMINA!AJ144</f>
        <v>42.98</v>
      </c>
      <c r="T165" s="1108">
        <f t="shared" si="19"/>
        <v>0</v>
      </c>
      <c r="U165" s="1107">
        <f>ROUND(NOMINA!BL144,2)</f>
        <v>23.8</v>
      </c>
      <c r="V165" s="1107">
        <f>ROUND(NOMINA!BM144,2)</f>
        <v>2.98</v>
      </c>
      <c r="W165" s="1107">
        <f>ROUND(+NOMINA!BN144,2)</f>
        <v>5.16</v>
      </c>
      <c r="X165" s="1108">
        <f t="shared" si="20"/>
        <v>40</v>
      </c>
      <c r="Y165" s="1107">
        <f>ROUND(NOMINA!BJ144,2)</f>
        <v>12.5</v>
      </c>
      <c r="Z165" s="1109">
        <f t="shared" si="17"/>
        <v>232.18</v>
      </c>
    </row>
    <row r="166" spans="1:26" s="620" customFormat="1" ht="20.100000000000001" customHeight="1" thickBot="1" x14ac:dyDescent="0.25">
      <c r="A166" s="758" t="s">
        <v>2846</v>
      </c>
      <c r="B166" s="508">
        <f t="shared" ca="1" si="21"/>
        <v>102</v>
      </c>
      <c r="C166" s="1102">
        <f>+NOMINA!C145</f>
        <v>14329448</v>
      </c>
      <c r="D166" s="1103" t="str">
        <f>+NOMINA!D145</f>
        <v>Leal Mejia Jociany Trinny</v>
      </c>
      <c r="E166" s="1468" t="s">
        <v>4622</v>
      </c>
      <c r="F166" s="1704">
        <v>27853</v>
      </c>
      <c r="G166" s="1468" t="s">
        <v>4620</v>
      </c>
      <c r="H166" s="1705">
        <f>+NOMINA!H145</f>
        <v>44743</v>
      </c>
      <c r="I166" s="1105">
        <f>+NOMINA!I145</f>
        <v>3</v>
      </c>
      <c r="J166" s="1106">
        <f>+NOMINA!J145</f>
        <v>0</v>
      </c>
      <c r="K166" s="1105">
        <f t="shared" si="18"/>
        <v>3</v>
      </c>
      <c r="L166" s="1106" t="s">
        <v>4932</v>
      </c>
      <c r="M166" s="1106"/>
      <c r="N166" s="1443" t="str">
        <f>+NOMINA!O145</f>
        <v>Tutor Facilitador I</v>
      </c>
      <c r="O166" s="1107">
        <f>ROUND(NOMINA!W145,2)</f>
        <v>138.5</v>
      </c>
      <c r="P166" s="1107">
        <f>NOMINA!AF145</f>
        <v>4.16</v>
      </c>
      <c r="Q166" s="1107">
        <f>NOMINA!AH145</f>
        <v>65</v>
      </c>
      <c r="R166" s="1107">
        <f>NOMINA!AC145</f>
        <v>12.5</v>
      </c>
      <c r="S166" s="1107">
        <f>NOMINA!AJ145</f>
        <v>53.48</v>
      </c>
      <c r="T166" s="1108">
        <f t="shared" si="19"/>
        <v>104.05</v>
      </c>
      <c r="U166" s="1107">
        <f>ROUND(NOMINA!BL145,2)</f>
        <v>24.68</v>
      </c>
      <c r="V166" s="1107">
        <f>ROUND(NOMINA!BM145,2)</f>
        <v>3.09</v>
      </c>
      <c r="W166" s="1107">
        <f>ROUND(+NOMINA!BN145,2)</f>
        <v>5.35</v>
      </c>
      <c r="X166" s="1108">
        <f t="shared" si="20"/>
        <v>35.299999999999997</v>
      </c>
      <c r="Y166" s="1107">
        <f>ROUND(NOMINA!BJ145,2)</f>
        <v>12.5</v>
      </c>
      <c r="Z166" s="1109">
        <f t="shared" si="17"/>
        <v>240.51999999999998</v>
      </c>
    </row>
    <row r="167" spans="1:26" s="620" customFormat="1" ht="20.100000000000001" customHeight="1" thickBot="1" x14ac:dyDescent="0.25">
      <c r="A167" s="758" t="s">
        <v>2846</v>
      </c>
      <c r="B167" s="508">
        <f t="shared" ca="1" si="21"/>
        <v>103</v>
      </c>
      <c r="C167" s="1102">
        <f>+NOMINA!C146</f>
        <v>14406240</v>
      </c>
      <c r="D167" s="1103" t="str">
        <f>+NOMINA!D146</f>
        <v>Sarmiento Suarez Karem Yanira</v>
      </c>
      <c r="E167" s="1468" t="s">
        <v>4622</v>
      </c>
      <c r="F167" s="1704">
        <v>27853</v>
      </c>
      <c r="G167" s="1468" t="s">
        <v>4620</v>
      </c>
      <c r="H167" s="1705">
        <f>+NOMINA!H146</f>
        <v>43785</v>
      </c>
      <c r="I167" s="1105">
        <f>+NOMINA!I146</f>
        <v>5</v>
      </c>
      <c r="J167" s="1106">
        <f>+NOMINA!J146</f>
        <v>11</v>
      </c>
      <c r="K167" s="1105">
        <f t="shared" si="18"/>
        <v>16</v>
      </c>
      <c r="L167" s="1106" t="s">
        <v>4932</v>
      </c>
      <c r="M167" s="1106"/>
      <c r="N167" s="1443" t="str">
        <f>+NOMINA!O146</f>
        <v>Tecnico Superior en Trabajo Social II</v>
      </c>
      <c r="O167" s="1107">
        <f>ROUND(NOMINA!W146,2)</f>
        <v>113</v>
      </c>
      <c r="P167" s="1107">
        <f>NOMINA!AF146</f>
        <v>22.15</v>
      </c>
      <c r="Q167" s="1107">
        <f>NOMINA!AH146</f>
        <v>65</v>
      </c>
      <c r="R167" s="1107">
        <f>NOMINA!AC146</f>
        <v>0</v>
      </c>
      <c r="S167" s="1107">
        <f>NOMINA!AJ146</f>
        <v>50.04</v>
      </c>
      <c r="T167" s="1108">
        <f t="shared" si="19"/>
        <v>194.07</v>
      </c>
      <c r="U167" s="1107">
        <f>ROUND(NOMINA!BL146,2)</f>
        <v>23.09</v>
      </c>
      <c r="V167" s="1107">
        <f>ROUND(NOMINA!BM146,2)</f>
        <v>2.89</v>
      </c>
      <c r="W167" s="1107">
        <f>ROUND(+NOMINA!BN146,2)</f>
        <v>5</v>
      </c>
      <c r="X167" s="1108">
        <f t="shared" si="20"/>
        <v>32.57</v>
      </c>
      <c r="Y167" s="1107">
        <f>ROUND(NOMINA!BJ146,2)</f>
        <v>12.5</v>
      </c>
      <c r="Z167" s="1109">
        <f t="shared" si="17"/>
        <v>219.21</v>
      </c>
    </row>
    <row r="168" spans="1:26" s="620" customFormat="1" ht="20.100000000000001" customHeight="1" thickBot="1" x14ac:dyDescent="0.25">
      <c r="A168" s="758" t="s">
        <v>2846</v>
      </c>
      <c r="B168" s="508">
        <f t="shared" ca="1" si="21"/>
        <v>104</v>
      </c>
      <c r="C168" s="1102">
        <f>+NOMINA!C147</f>
        <v>14459607</v>
      </c>
      <c r="D168" s="1103" t="str">
        <f>+NOMINA!D147</f>
        <v>Martinez Leal Deyanira Yusissan</v>
      </c>
      <c r="E168" s="1468" t="s">
        <v>4622</v>
      </c>
      <c r="F168" s="1704">
        <v>27853</v>
      </c>
      <c r="G168" s="1468" t="s">
        <v>4620</v>
      </c>
      <c r="H168" s="1705">
        <f>+NOMINA!H147</f>
        <v>43116</v>
      </c>
      <c r="I168" s="1105">
        <f>+NOMINA!I147</f>
        <v>7</v>
      </c>
      <c r="J168" s="1106">
        <f>+NOMINA!J147</f>
        <v>0</v>
      </c>
      <c r="K168" s="1105">
        <f t="shared" si="18"/>
        <v>7</v>
      </c>
      <c r="L168" s="1106" t="s">
        <v>4932</v>
      </c>
      <c r="M168" s="1106"/>
      <c r="N168" s="1443" t="str">
        <f>+NOMINA!O147</f>
        <v>Tecnico Superior en Trabajo Social II</v>
      </c>
      <c r="O168" s="1107">
        <f>ROUND(NOMINA!W147,2)</f>
        <v>110.5</v>
      </c>
      <c r="P168" s="1107">
        <f>NOMINA!AF147</f>
        <v>8.18</v>
      </c>
      <c r="Q168" s="1107">
        <f>NOMINA!AH147</f>
        <v>65</v>
      </c>
      <c r="R168" s="1107">
        <f>NOMINA!AC147</f>
        <v>25</v>
      </c>
      <c r="S168" s="1107">
        <f>NOMINA!AJ147</f>
        <v>39.24</v>
      </c>
      <c r="T168" s="1108">
        <f t="shared" si="19"/>
        <v>120.76</v>
      </c>
      <c r="U168" s="1107">
        <f>ROUND(NOMINA!BL147,2)</f>
        <v>21.73</v>
      </c>
      <c r="V168" s="1107">
        <f>ROUND(NOMINA!BM147,2)</f>
        <v>2.72</v>
      </c>
      <c r="W168" s="1107">
        <f>ROUND(+NOMINA!BN147,2)</f>
        <v>4.71</v>
      </c>
      <c r="X168" s="1108">
        <f t="shared" si="20"/>
        <v>28.43</v>
      </c>
      <c r="Y168" s="1107">
        <f>ROUND(NOMINA!BJ147,2)</f>
        <v>12.5</v>
      </c>
      <c r="Z168" s="1109">
        <f t="shared" si="17"/>
        <v>218.76000000000002</v>
      </c>
    </row>
    <row r="169" spans="1:26" s="620" customFormat="1" ht="20.100000000000001" customHeight="1" thickBot="1" x14ac:dyDescent="0.25">
      <c r="A169" s="758" t="s">
        <v>2846</v>
      </c>
      <c r="B169" s="508">
        <f t="shared" ca="1" si="21"/>
        <v>105</v>
      </c>
      <c r="C169" s="1102">
        <f>+NOMINA!C148</f>
        <v>14598170</v>
      </c>
      <c r="D169" s="1103" t="str">
        <f>+NOMINA!D148</f>
        <v>Rendon Utrilla Gerson Paul</v>
      </c>
      <c r="E169" s="1468" t="s">
        <v>4622</v>
      </c>
      <c r="F169" s="1704">
        <v>27853</v>
      </c>
      <c r="G169" s="1468" t="s">
        <v>4620</v>
      </c>
      <c r="H169" s="1705">
        <f>+NOMINA!H148</f>
        <v>43435</v>
      </c>
      <c r="I169" s="1105">
        <f>+NOMINA!I148</f>
        <v>6</v>
      </c>
      <c r="J169" s="1106">
        <f>+NOMINA!J148</f>
        <v>0</v>
      </c>
      <c r="K169" s="1105">
        <f t="shared" si="18"/>
        <v>6</v>
      </c>
      <c r="L169" s="1106" t="s">
        <v>4932</v>
      </c>
      <c r="M169" s="1106"/>
      <c r="N169" s="1443" t="str">
        <f>+NOMINA!O148</f>
        <v>Tutor Facilitador III</v>
      </c>
      <c r="O169" s="1107">
        <f>ROUND(NOMINA!W148,2)</f>
        <v>139.5</v>
      </c>
      <c r="P169" s="1107">
        <f>NOMINA!AF148</f>
        <v>8.65</v>
      </c>
      <c r="Q169" s="1107">
        <f>NOMINA!AH148</f>
        <v>65</v>
      </c>
      <c r="R169" s="1107">
        <f>NOMINA!AC148</f>
        <v>12.5</v>
      </c>
      <c r="S169" s="1107">
        <f>NOMINA!AJ148</f>
        <v>54.85</v>
      </c>
      <c r="T169" s="1108">
        <f t="shared" si="19"/>
        <v>131.13</v>
      </c>
      <c r="U169" s="1107">
        <f>ROUND(NOMINA!BL148,2)</f>
        <v>25.32</v>
      </c>
      <c r="V169" s="1107">
        <f>ROUND(NOMINA!BM148,2)</f>
        <v>3.16</v>
      </c>
      <c r="W169" s="1107">
        <f>ROUND(+NOMINA!BN148,2)</f>
        <v>5.49</v>
      </c>
      <c r="X169" s="1108">
        <f t="shared" si="20"/>
        <v>25.15</v>
      </c>
      <c r="Y169" s="1107">
        <f>ROUND(NOMINA!BJ148,2)</f>
        <v>12.5</v>
      </c>
      <c r="Z169" s="1109">
        <f t="shared" si="17"/>
        <v>246.53</v>
      </c>
    </row>
    <row r="170" spans="1:26" s="620" customFormat="1" ht="20.100000000000001" customHeight="1" thickBot="1" x14ac:dyDescent="0.25">
      <c r="A170" s="758" t="s">
        <v>2846</v>
      </c>
      <c r="B170" s="508">
        <f t="shared" ca="1" si="21"/>
        <v>106</v>
      </c>
      <c r="C170" s="1102">
        <f>+NOMINA!C149</f>
        <v>14598687</v>
      </c>
      <c r="D170" s="1103" t="str">
        <f>+NOMINA!D149</f>
        <v>Godoy Bracamonte Juan Carlos</v>
      </c>
      <c r="E170" s="1468" t="s">
        <v>4622</v>
      </c>
      <c r="F170" s="1704">
        <v>27853</v>
      </c>
      <c r="G170" s="1468" t="s">
        <v>4620</v>
      </c>
      <c r="H170" s="1705">
        <f>+NOMINA!H149</f>
        <v>44332</v>
      </c>
      <c r="I170" s="1105">
        <f>+NOMINA!I149</f>
        <v>4</v>
      </c>
      <c r="J170" s="1106">
        <f>+NOMINA!J149</f>
        <v>0</v>
      </c>
      <c r="K170" s="1105">
        <f t="shared" si="18"/>
        <v>4</v>
      </c>
      <c r="L170" s="1106" t="s">
        <v>4932</v>
      </c>
      <c r="M170" s="1106"/>
      <c r="N170" s="1443" t="str">
        <f>+NOMINA!O149</f>
        <v>Entrenador Deportivo IV</v>
      </c>
      <c r="O170" s="1107">
        <f>ROUND(NOMINA!W149,2)</f>
        <v>153.5</v>
      </c>
      <c r="P170" s="1107">
        <f>NOMINA!AF149</f>
        <v>6.14</v>
      </c>
      <c r="Q170" s="1107">
        <f>NOMINA!AH149</f>
        <v>65</v>
      </c>
      <c r="R170" s="1107">
        <f>NOMINA!AC149</f>
        <v>12.5</v>
      </c>
      <c r="S170" s="1107">
        <f>NOMINA!AJ149</f>
        <v>80.81</v>
      </c>
      <c r="T170" s="1108">
        <f t="shared" si="19"/>
        <v>82.77</v>
      </c>
      <c r="U170" s="1107">
        <f>ROUND(NOMINA!BL149,2)</f>
        <v>28.77</v>
      </c>
      <c r="V170" s="1107">
        <f>ROUND(NOMINA!BM149,2)</f>
        <v>3.6</v>
      </c>
      <c r="W170" s="1107">
        <f>ROUND(+NOMINA!BN149,2)</f>
        <v>6.23</v>
      </c>
      <c r="X170" s="1108">
        <f t="shared" si="20"/>
        <v>0</v>
      </c>
      <c r="Y170" s="1107">
        <f>ROUND(NOMINA!BJ149,2)</f>
        <v>12.5</v>
      </c>
      <c r="Z170" s="1109">
        <f t="shared" si="17"/>
        <v>279.35000000000002</v>
      </c>
    </row>
    <row r="171" spans="1:26" s="620" customFormat="1" ht="20.100000000000001" customHeight="1" thickBot="1" x14ac:dyDescent="0.25">
      <c r="A171" s="758" t="s">
        <v>2846</v>
      </c>
      <c r="B171" s="508">
        <f t="shared" ca="1" si="21"/>
        <v>107</v>
      </c>
      <c r="C171" s="1102">
        <f>+NOMINA!C150</f>
        <v>14719639</v>
      </c>
      <c r="D171" s="1103" t="str">
        <f>+NOMINA!D150</f>
        <v>Coy de Dorante Sandra Liliana</v>
      </c>
      <c r="E171" s="1468" t="s">
        <v>4622</v>
      </c>
      <c r="F171" s="1704">
        <v>27853</v>
      </c>
      <c r="G171" s="1468" t="s">
        <v>4620</v>
      </c>
      <c r="H171" s="1705">
        <f>+NOMINA!H150</f>
        <v>44896</v>
      </c>
      <c r="I171" s="1105">
        <f>+NOMINA!I150</f>
        <v>2</v>
      </c>
      <c r="J171" s="1106">
        <f>+NOMINA!J150</f>
        <v>0</v>
      </c>
      <c r="K171" s="1105">
        <f t="shared" si="18"/>
        <v>2</v>
      </c>
      <c r="L171" s="1106" t="s">
        <v>4932</v>
      </c>
      <c r="M171" s="1106"/>
      <c r="N171" s="1443" t="str">
        <f>+NOMINA!O150</f>
        <v>Guia de Centro I</v>
      </c>
      <c r="O171" s="1107">
        <f>ROUND(NOMINA!W150,2)</f>
        <v>65</v>
      </c>
      <c r="P171" s="1107">
        <f>NOMINA!AF150</f>
        <v>1.3</v>
      </c>
      <c r="Q171" s="1107">
        <f>NOMINA!AH150</f>
        <v>65</v>
      </c>
      <c r="R171" s="1107">
        <f>NOMINA!AC150</f>
        <v>25</v>
      </c>
      <c r="S171" s="1107">
        <f>NOMINA!AJ150</f>
        <v>0</v>
      </c>
      <c r="T171" s="1108">
        <f t="shared" si="19"/>
        <v>0</v>
      </c>
      <c r="U171" s="1107">
        <f>ROUND(NOMINA!BL150,2)</f>
        <v>17.260000000000002</v>
      </c>
      <c r="V171" s="1107">
        <f>ROUND(NOMINA!BM150,2)</f>
        <v>2.16</v>
      </c>
      <c r="W171" s="1107">
        <f>ROUND(+NOMINA!BN150,2)</f>
        <v>3.74</v>
      </c>
      <c r="X171" s="1108">
        <f t="shared" si="20"/>
        <v>42.32</v>
      </c>
      <c r="Y171" s="1107">
        <f>ROUND(NOMINA!BJ150,2)</f>
        <v>12.5</v>
      </c>
      <c r="Z171" s="1109">
        <f t="shared" si="17"/>
        <v>133.14000000000001</v>
      </c>
    </row>
    <row r="172" spans="1:26" s="620" customFormat="1" ht="20.100000000000001" customHeight="1" thickBot="1" x14ac:dyDescent="0.25">
      <c r="A172" s="758" t="s">
        <v>2846</v>
      </c>
      <c r="B172" s="508">
        <f t="shared" ca="1" si="21"/>
        <v>108</v>
      </c>
      <c r="C172" s="1102">
        <f>+NOMINA!C151</f>
        <v>14739168</v>
      </c>
      <c r="D172" s="1103" t="str">
        <f>+NOMINA!D151</f>
        <v>Briceño Hernandez Yeny del Carmen</v>
      </c>
      <c r="E172" s="1468" t="s">
        <v>4622</v>
      </c>
      <c r="F172" s="1704">
        <v>27853</v>
      </c>
      <c r="G172" s="1468" t="s">
        <v>4620</v>
      </c>
      <c r="H172" s="1705">
        <f>+NOMINA!H151</f>
        <v>38841</v>
      </c>
      <c r="I172" s="1105">
        <f>+NOMINA!I151</f>
        <v>19</v>
      </c>
      <c r="J172" s="1106">
        <f>+NOMINA!J151</f>
        <v>0</v>
      </c>
      <c r="K172" s="1105">
        <f t="shared" si="18"/>
        <v>19</v>
      </c>
      <c r="L172" s="1106" t="s">
        <v>4932</v>
      </c>
      <c r="M172" s="1106"/>
      <c r="N172" s="1443" t="str">
        <f>+NOMINA!O151</f>
        <v>Trabajador Social III</v>
      </c>
      <c r="O172" s="1107">
        <f>ROUND(NOMINA!W151,2)</f>
        <v>114</v>
      </c>
      <c r="P172" s="1107">
        <f>NOMINA!AF151</f>
        <v>27.82</v>
      </c>
      <c r="Q172" s="1107">
        <f>NOMINA!AH151</f>
        <v>65</v>
      </c>
      <c r="R172" s="1107">
        <f>NOMINA!AC151</f>
        <v>12.5</v>
      </c>
      <c r="S172" s="1107">
        <f>NOMINA!AJ151</f>
        <v>42.62</v>
      </c>
      <c r="T172" s="1108">
        <f t="shared" si="19"/>
        <v>191.89</v>
      </c>
      <c r="U172" s="1107">
        <f>ROUND(NOMINA!BL151,2)</f>
        <v>23.6</v>
      </c>
      <c r="V172" s="1107">
        <f>ROUND(NOMINA!BM151,2)</f>
        <v>2.95</v>
      </c>
      <c r="W172" s="1107">
        <f>ROUND(+NOMINA!BN151,2)</f>
        <v>5.1100000000000003</v>
      </c>
      <c r="X172" s="1108">
        <f t="shared" si="20"/>
        <v>18.579999999999998</v>
      </c>
      <c r="Y172" s="1107">
        <f>ROUND(NOMINA!BJ151,2)</f>
        <v>12.5</v>
      </c>
      <c r="Z172" s="1109">
        <f t="shared" si="17"/>
        <v>230.28</v>
      </c>
    </row>
    <row r="173" spans="1:26" s="620" customFormat="1" ht="20.100000000000001" customHeight="1" thickBot="1" x14ac:dyDescent="0.25">
      <c r="A173" s="758" t="s">
        <v>2846</v>
      </c>
      <c r="B173" s="508">
        <f t="shared" ca="1" si="21"/>
        <v>109</v>
      </c>
      <c r="C173" s="1102">
        <f>+NOMINA!C152</f>
        <v>14928034</v>
      </c>
      <c r="D173" s="1103" t="str">
        <f>+NOMINA!D152</f>
        <v>Ramirez Palomares Mariana Teresa</v>
      </c>
      <c r="E173" s="1468" t="s">
        <v>4622</v>
      </c>
      <c r="F173" s="1704">
        <v>27853</v>
      </c>
      <c r="G173" s="1468" t="s">
        <v>4620</v>
      </c>
      <c r="H173" s="1705">
        <f>+NOMINA!H152</f>
        <v>44302</v>
      </c>
      <c r="I173" s="1105">
        <f>+NOMINA!I152</f>
        <v>4</v>
      </c>
      <c r="J173" s="1106">
        <f>+NOMINA!J152</f>
        <v>11</v>
      </c>
      <c r="K173" s="1105">
        <f t="shared" si="18"/>
        <v>15</v>
      </c>
      <c r="L173" s="1106" t="s">
        <v>4932</v>
      </c>
      <c r="M173" s="1106"/>
      <c r="N173" s="1443" t="str">
        <f>+NOMINA!O152</f>
        <v>Promotor Cultural I</v>
      </c>
      <c r="O173" s="1107">
        <f>ROUND(NOMINA!W152,2)</f>
        <v>88</v>
      </c>
      <c r="P173" s="1107">
        <f>NOMINA!AF152</f>
        <v>15.84</v>
      </c>
      <c r="Q173" s="1107">
        <f>NOMINA!AH152</f>
        <v>65</v>
      </c>
      <c r="R173" s="1107">
        <f>NOMINA!AC152</f>
        <v>0</v>
      </c>
      <c r="S173" s="1107">
        <f>NOMINA!AJ152</f>
        <v>0</v>
      </c>
      <c r="T173" s="1108">
        <f t="shared" si="19"/>
        <v>143.52000000000001</v>
      </c>
      <c r="U173" s="1107">
        <f>ROUND(NOMINA!BL152,2)</f>
        <v>15.59</v>
      </c>
      <c r="V173" s="1107">
        <f>ROUND(NOMINA!BM152,2)</f>
        <v>1.95</v>
      </c>
      <c r="W173" s="1107">
        <f>ROUND(+NOMINA!BN152,2)</f>
        <v>3.38</v>
      </c>
      <c r="X173" s="1108">
        <f t="shared" si="20"/>
        <v>33.479999999999997</v>
      </c>
      <c r="Y173" s="1107">
        <f>ROUND(NOMINA!BJ152,2)</f>
        <v>12.5</v>
      </c>
      <c r="Z173" s="1109">
        <f t="shared" si="17"/>
        <v>147.92000000000002</v>
      </c>
    </row>
    <row r="174" spans="1:26" s="620" customFormat="1" ht="20.100000000000001" customHeight="1" thickBot="1" x14ac:dyDescent="0.25">
      <c r="A174" s="758" t="s">
        <v>2846</v>
      </c>
      <c r="B174" s="508">
        <f t="shared" ca="1" si="21"/>
        <v>110</v>
      </c>
      <c r="C174" s="1102">
        <f>+NOMINA!C153</f>
        <v>14928260</v>
      </c>
      <c r="D174" s="1103" t="str">
        <f>+NOMINA!D153</f>
        <v>Rivas Ana Lucila</v>
      </c>
      <c r="E174" s="1468" t="s">
        <v>4622</v>
      </c>
      <c r="F174" s="1704">
        <v>27853</v>
      </c>
      <c r="G174" s="1468" t="s">
        <v>4620</v>
      </c>
      <c r="H174" s="1705">
        <f>+NOMINA!H153</f>
        <v>39104</v>
      </c>
      <c r="I174" s="1105">
        <f>+NOMINA!I153</f>
        <v>18</v>
      </c>
      <c r="J174" s="1106">
        <f>+NOMINA!J153</f>
        <v>0</v>
      </c>
      <c r="K174" s="1105">
        <f t="shared" si="18"/>
        <v>18</v>
      </c>
      <c r="L174" s="1106" t="s">
        <v>4932</v>
      </c>
      <c r="M174" s="1106"/>
      <c r="N174" s="1443" t="str">
        <f>+NOMINA!O153</f>
        <v>Tutor Facilitador I</v>
      </c>
      <c r="O174" s="1107">
        <f>ROUND(NOMINA!W153,2)</f>
        <v>114</v>
      </c>
      <c r="P174" s="1107">
        <f>NOMINA!AF153</f>
        <v>25.99</v>
      </c>
      <c r="Q174" s="1107">
        <f>NOMINA!AH153</f>
        <v>65</v>
      </c>
      <c r="R174" s="1107">
        <f>NOMINA!AC153</f>
        <v>12.5</v>
      </c>
      <c r="S174" s="1107">
        <f>NOMINA!AJ153</f>
        <v>42.25</v>
      </c>
      <c r="T174" s="1108">
        <f t="shared" si="19"/>
        <v>124.54</v>
      </c>
      <c r="U174" s="1107">
        <f>ROUND(NOMINA!BL153,2)</f>
        <v>23.4</v>
      </c>
      <c r="V174" s="1107">
        <f>ROUND(NOMINA!BM153,2)</f>
        <v>2.92</v>
      </c>
      <c r="W174" s="1107">
        <f>ROUND(+NOMINA!BN153,2)</f>
        <v>5.07</v>
      </c>
      <c r="X174" s="1108">
        <f t="shared" si="20"/>
        <v>36.78</v>
      </c>
      <c r="Y174" s="1107">
        <f>ROUND(NOMINA!BJ153,2)</f>
        <v>12.5</v>
      </c>
      <c r="Z174" s="1109">
        <f t="shared" si="17"/>
        <v>228.35000000000002</v>
      </c>
    </row>
    <row r="175" spans="1:26" s="620" customFormat="1" ht="20.100000000000001" customHeight="1" thickBot="1" x14ac:dyDescent="0.25">
      <c r="A175" s="758" t="s">
        <v>2846</v>
      </c>
      <c r="B175" s="508">
        <f t="shared" ca="1" si="21"/>
        <v>111</v>
      </c>
      <c r="C175" s="1102">
        <f>+NOMINA!C154</f>
        <v>14929642</v>
      </c>
      <c r="D175" s="1103" t="str">
        <f>+NOMINA!D154</f>
        <v>Alvarran Arjona Ismenia del Carmen</v>
      </c>
      <c r="E175" s="1468" t="s">
        <v>4622</v>
      </c>
      <c r="F175" s="1704">
        <v>27853</v>
      </c>
      <c r="G175" s="1468" t="s">
        <v>4620</v>
      </c>
      <c r="H175" s="1705">
        <f>+NOMINA!H154</f>
        <v>43419</v>
      </c>
      <c r="I175" s="1105">
        <f>+NOMINA!I154</f>
        <v>6</v>
      </c>
      <c r="J175" s="1106">
        <f>+NOMINA!J154</f>
        <v>0</v>
      </c>
      <c r="K175" s="1105">
        <f t="shared" si="18"/>
        <v>6</v>
      </c>
      <c r="L175" s="1106" t="s">
        <v>4932</v>
      </c>
      <c r="M175" s="1106"/>
      <c r="N175" s="1443" t="str">
        <f>+NOMINA!O154</f>
        <v>GUIA DE CENTRO II</v>
      </c>
      <c r="O175" s="1107">
        <f>ROUND(NOMINA!W154,2)</f>
        <v>110.5</v>
      </c>
      <c r="P175" s="1107">
        <f>NOMINA!AF154</f>
        <v>6.85</v>
      </c>
      <c r="Q175" s="1107">
        <f>NOMINA!AH154</f>
        <v>65</v>
      </c>
      <c r="R175" s="1107">
        <f>NOMINA!AC154</f>
        <v>12.5</v>
      </c>
      <c r="S175" s="1107">
        <f>NOMINA!AJ154</f>
        <v>37.72</v>
      </c>
      <c r="T175" s="1108">
        <f t="shared" si="19"/>
        <v>125.26</v>
      </c>
      <c r="U175" s="1107">
        <f>ROUND(NOMINA!BL154,2)</f>
        <v>27.16</v>
      </c>
      <c r="V175" s="1107">
        <f>ROUND(NOMINA!BM154,2)</f>
        <v>3.39</v>
      </c>
      <c r="W175" s="1107">
        <f>ROUND(+NOMINA!BN154,2)</f>
        <v>5.88</v>
      </c>
      <c r="X175" s="1108">
        <f t="shared" si="20"/>
        <v>34.99</v>
      </c>
      <c r="Y175" s="1107">
        <f>ROUND(NOMINA!BJ154,2)</f>
        <v>12.5</v>
      </c>
      <c r="Z175" s="1109">
        <f t="shared" si="17"/>
        <v>196.14</v>
      </c>
    </row>
    <row r="176" spans="1:26" s="620" customFormat="1" ht="20.100000000000001" customHeight="1" thickBot="1" x14ac:dyDescent="0.25">
      <c r="A176" s="758" t="s">
        <v>2846</v>
      </c>
      <c r="B176" s="508">
        <f t="shared" ca="1" si="21"/>
        <v>112</v>
      </c>
      <c r="C176" s="1102">
        <f>+NOMINA!C155</f>
        <v>14986675</v>
      </c>
      <c r="D176" s="1103" t="str">
        <f>+NOMINA!D155</f>
        <v>Mecias Nuñez Shirly Ygnacia</v>
      </c>
      <c r="E176" s="1468" t="s">
        <v>4622</v>
      </c>
      <c r="F176" s="1704">
        <v>27853</v>
      </c>
      <c r="G176" s="1468" t="s">
        <v>4620</v>
      </c>
      <c r="H176" s="1705">
        <f>+NOMINA!H155</f>
        <v>44805</v>
      </c>
      <c r="I176" s="1105">
        <f>+NOMINA!I155</f>
        <v>3</v>
      </c>
      <c r="J176" s="1106">
        <f>+NOMINA!J155</f>
        <v>0</v>
      </c>
      <c r="K176" s="1105">
        <f t="shared" si="18"/>
        <v>3</v>
      </c>
      <c r="L176" s="1106" t="s">
        <v>4932</v>
      </c>
      <c r="M176" s="1106"/>
      <c r="N176" s="1443" t="str">
        <f>+NOMINA!O155</f>
        <v>Tutor Facilitador I</v>
      </c>
      <c r="O176" s="1107">
        <f>ROUND(NOMINA!W155,2)</f>
        <v>138.5</v>
      </c>
      <c r="P176" s="1107">
        <f>NOMINA!AF155</f>
        <v>4.16</v>
      </c>
      <c r="Q176" s="1107">
        <f>NOMINA!AH155</f>
        <v>65</v>
      </c>
      <c r="R176" s="1107">
        <f>NOMINA!AC155</f>
        <v>12.5</v>
      </c>
      <c r="S176" s="1107">
        <f>NOMINA!AJ155</f>
        <v>53.48</v>
      </c>
      <c r="T176" s="1108">
        <f t="shared" si="19"/>
        <v>71.290000000000006</v>
      </c>
      <c r="U176" s="1107">
        <f>ROUND(NOMINA!BL155,2)</f>
        <v>24.68</v>
      </c>
      <c r="V176" s="1107">
        <f>ROUND(NOMINA!BM155,2)</f>
        <v>3.09</v>
      </c>
      <c r="W176" s="1107">
        <f>ROUND(+NOMINA!BN155,2)</f>
        <v>5.35</v>
      </c>
      <c r="X176" s="1108">
        <f t="shared" si="20"/>
        <v>20.51</v>
      </c>
      <c r="Y176" s="1107">
        <f>ROUND(NOMINA!BJ155,2)</f>
        <v>12.5</v>
      </c>
      <c r="Z176" s="1109">
        <f t="shared" si="17"/>
        <v>240.51999999999998</v>
      </c>
    </row>
    <row r="177" spans="1:26" s="620" customFormat="1" ht="20.100000000000001" customHeight="1" thickBot="1" x14ac:dyDescent="0.25">
      <c r="A177" s="758" t="s">
        <v>2846</v>
      </c>
      <c r="B177" s="508">
        <f t="shared" ca="1" si="21"/>
        <v>113</v>
      </c>
      <c r="C177" s="1102">
        <f>+NOMINA!C156</f>
        <v>15188927</v>
      </c>
      <c r="D177" s="1103" t="str">
        <f>+NOMINA!D156</f>
        <v>Linares Villarreal Rosmely del Carmen</v>
      </c>
      <c r="E177" s="1468" t="s">
        <v>4622</v>
      </c>
      <c r="F177" s="1704">
        <v>27853</v>
      </c>
      <c r="G177" s="1468" t="s">
        <v>4620</v>
      </c>
      <c r="H177" s="1705">
        <f>+NOMINA!H156</f>
        <v>44409</v>
      </c>
      <c r="I177" s="1105">
        <f>+NOMINA!I156</f>
        <v>4</v>
      </c>
      <c r="J177" s="1106">
        <f>+NOMINA!J156</f>
        <v>0</v>
      </c>
      <c r="K177" s="1105">
        <f t="shared" si="18"/>
        <v>4</v>
      </c>
      <c r="L177" s="1106" t="s">
        <v>4932</v>
      </c>
      <c r="M177" s="1106"/>
      <c r="N177" s="1443" t="str">
        <f>+NOMINA!O156</f>
        <v>Guia de Centro II</v>
      </c>
      <c r="O177" s="1107">
        <f>ROUND(NOMINA!W156,2)</f>
        <v>75</v>
      </c>
      <c r="P177" s="1107">
        <f>NOMINA!AF156</f>
        <v>3</v>
      </c>
      <c r="Q177" s="1107">
        <f>NOMINA!AH156</f>
        <v>65</v>
      </c>
      <c r="R177" s="1107">
        <f>NOMINA!AC156</f>
        <v>25</v>
      </c>
      <c r="S177" s="1107">
        <f>NOMINA!AJ156</f>
        <v>0</v>
      </c>
      <c r="T177" s="1108">
        <f t="shared" si="19"/>
        <v>0</v>
      </c>
      <c r="U177" s="1107">
        <f>ROUND(NOMINA!BL156,2)</f>
        <v>18.66</v>
      </c>
      <c r="V177" s="1107">
        <f>ROUND(NOMINA!BM156,2)</f>
        <v>2.33</v>
      </c>
      <c r="W177" s="1107">
        <f>ROUND(+NOMINA!BN156,2)</f>
        <v>4.04</v>
      </c>
      <c r="X177" s="1108">
        <f t="shared" si="20"/>
        <v>29.72</v>
      </c>
      <c r="Y177" s="1107">
        <f>ROUND(NOMINA!BJ156,2)</f>
        <v>12.5</v>
      </c>
      <c r="Z177" s="1109">
        <f t="shared" si="17"/>
        <v>142.97</v>
      </c>
    </row>
    <row r="178" spans="1:26" s="620" customFormat="1" ht="20.100000000000001" customHeight="1" thickBot="1" x14ac:dyDescent="0.25">
      <c r="A178" s="758" t="s">
        <v>2846</v>
      </c>
      <c r="B178" s="508">
        <f t="shared" ca="1" si="21"/>
        <v>114</v>
      </c>
      <c r="C178" s="1102">
        <f>+NOMINA!C157</f>
        <v>15560762</v>
      </c>
      <c r="D178" s="1103" t="str">
        <f>+NOMINA!D157</f>
        <v>Villalobos Javier Jose</v>
      </c>
      <c r="E178" s="1468" t="s">
        <v>4622</v>
      </c>
      <c r="F178" s="1704">
        <v>27853</v>
      </c>
      <c r="G178" s="1468" t="s">
        <v>4620</v>
      </c>
      <c r="H178" s="1705">
        <f>+NOMINA!H157</f>
        <v>45474</v>
      </c>
      <c r="I178" s="1105">
        <f>+NOMINA!I157</f>
        <v>1</v>
      </c>
      <c r="J178" s="1106">
        <f>+NOMINA!J157</f>
        <v>0</v>
      </c>
      <c r="K178" s="1105">
        <f t="shared" si="18"/>
        <v>1</v>
      </c>
      <c r="L178" s="1106" t="s">
        <v>4932</v>
      </c>
      <c r="M178" s="1106"/>
      <c r="N178" s="1443" t="str">
        <f>+NOMINA!O157</f>
        <v>Entrenador Deportivo IV</v>
      </c>
      <c r="O178" s="1107">
        <f>ROUND(NOMINA!W157,2)</f>
        <v>123</v>
      </c>
      <c r="P178" s="1107">
        <f>NOMINA!AF157</f>
        <v>1.23</v>
      </c>
      <c r="Q178" s="1107">
        <f>NOMINA!AH157</f>
        <v>65</v>
      </c>
      <c r="R178" s="1107">
        <f>NOMINA!AC157</f>
        <v>12.5</v>
      </c>
      <c r="S178" s="1107">
        <f>NOMINA!AJ157</f>
        <v>48.87</v>
      </c>
      <c r="T178" s="1108">
        <f t="shared" si="19"/>
        <v>192</v>
      </c>
      <c r="U178" s="1107">
        <f>ROUND(NOMINA!BL157,2)</f>
        <v>22.56</v>
      </c>
      <c r="V178" s="1107">
        <f>ROUND(NOMINA!BM157,2)</f>
        <v>2.82</v>
      </c>
      <c r="W178" s="1107">
        <f>ROUND(+NOMINA!BN157,2)</f>
        <v>4.8899999999999997</v>
      </c>
      <c r="X178" s="1108">
        <f t="shared" si="20"/>
        <v>40</v>
      </c>
      <c r="Y178" s="1107">
        <f>ROUND(NOMINA!BJ157,2)</f>
        <v>12.5</v>
      </c>
      <c r="Z178" s="1109">
        <f t="shared" si="17"/>
        <v>220.33</v>
      </c>
    </row>
    <row r="179" spans="1:26" s="620" customFormat="1" ht="20.100000000000001" customHeight="1" thickBot="1" x14ac:dyDescent="0.25">
      <c r="A179" s="758" t="s">
        <v>2846</v>
      </c>
      <c r="B179" s="508">
        <f t="shared" ca="1" si="21"/>
        <v>115</v>
      </c>
      <c r="C179" s="1102">
        <f>+NOMINA!C158</f>
        <v>15583745</v>
      </c>
      <c r="D179" s="1103" t="str">
        <f>+NOMINA!D158</f>
        <v>Briceño Araujo Alexander Javier</v>
      </c>
      <c r="E179" s="1468" t="s">
        <v>4622</v>
      </c>
      <c r="F179" s="1704">
        <v>27853</v>
      </c>
      <c r="G179" s="1468" t="s">
        <v>4620</v>
      </c>
      <c r="H179" s="1705">
        <f>+NOMINA!H158</f>
        <v>43481</v>
      </c>
      <c r="I179" s="1105">
        <f>+NOMINA!I158</f>
        <v>6</v>
      </c>
      <c r="J179" s="1106">
        <f>+NOMINA!J158</f>
        <v>0</v>
      </c>
      <c r="K179" s="1105">
        <f t="shared" si="18"/>
        <v>6</v>
      </c>
      <c r="L179" s="1106" t="s">
        <v>4932</v>
      </c>
      <c r="M179" s="1106"/>
      <c r="N179" s="1443" t="str">
        <f>+NOMINA!O158</f>
        <v>Administrador II</v>
      </c>
      <c r="O179" s="1107">
        <f>ROUND(NOMINA!W158,2)</f>
        <v>139.5</v>
      </c>
      <c r="P179" s="1107">
        <f>NOMINA!AF158</f>
        <v>8.65</v>
      </c>
      <c r="Q179" s="1107">
        <f>NOMINA!AH158</f>
        <v>65</v>
      </c>
      <c r="R179" s="1107">
        <f>NOMINA!AC158</f>
        <v>0</v>
      </c>
      <c r="S179" s="1107">
        <f>NOMINA!AJ158</f>
        <v>53.29</v>
      </c>
      <c r="T179" s="1108">
        <f t="shared" si="19"/>
        <v>81.25</v>
      </c>
      <c r="U179" s="1107">
        <f>ROUND(NOMINA!BL158,2)</f>
        <v>24.59</v>
      </c>
      <c r="V179" s="1107">
        <f>ROUND(NOMINA!BM158,2)</f>
        <v>3.07</v>
      </c>
      <c r="W179" s="1107">
        <f>ROUND(+NOMINA!BN158,2)</f>
        <v>5.33</v>
      </c>
      <c r="X179" s="1108">
        <f t="shared" si="20"/>
        <v>37.42</v>
      </c>
      <c r="Y179" s="1107">
        <f>ROUND(NOMINA!BJ158,2)</f>
        <v>12.5</v>
      </c>
      <c r="Z179" s="1109">
        <f t="shared" si="17"/>
        <v>233.45</v>
      </c>
    </row>
    <row r="180" spans="1:26" s="620" customFormat="1" ht="20.100000000000001" customHeight="1" thickBot="1" x14ac:dyDescent="0.25">
      <c r="A180" s="758" t="s">
        <v>2846</v>
      </c>
      <c r="B180" s="508">
        <f t="shared" ca="1" si="21"/>
        <v>116</v>
      </c>
      <c r="C180" s="1102">
        <f>+NOMINA!C159</f>
        <v>15588470</v>
      </c>
      <c r="D180" s="1103" t="str">
        <f>+NOMINA!D159</f>
        <v>Briceño Lozada Maraiby Coromoto</v>
      </c>
      <c r="E180" s="1468" t="s">
        <v>4622</v>
      </c>
      <c r="F180" s="1704">
        <v>27853</v>
      </c>
      <c r="G180" s="1468" t="s">
        <v>4620</v>
      </c>
      <c r="H180" s="1705">
        <f>+NOMINA!H159</f>
        <v>39098</v>
      </c>
      <c r="I180" s="1105">
        <f>+NOMINA!I159</f>
        <v>18</v>
      </c>
      <c r="J180" s="1106">
        <f>+NOMINA!J159</f>
        <v>0</v>
      </c>
      <c r="K180" s="1105">
        <f t="shared" si="18"/>
        <v>18</v>
      </c>
      <c r="L180" s="1106" t="s">
        <v>4932</v>
      </c>
      <c r="M180" s="1106"/>
      <c r="N180" s="1443" t="str">
        <f>+NOMINA!O159</f>
        <v>Trabajador Social II</v>
      </c>
      <c r="O180" s="1107">
        <f>ROUND(NOMINA!W159,2)</f>
        <v>114</v>
      </c>
      <c r="P180" s="1107">
        <f>NOMINA!AF159</f>
        <v>25.99</v>
      </c>
      <c r="Q180" s="1107">
        <f>NOMINA!AH159</f>
        <v>65</v>
      </c>
      <c r="R180" s="1107">
        <f>NOMINA!AC159</f>
        <v>12.5</v>
      </c>
      <c r="S180" s="1107">
        <f>NOMINA!AJ159</f>
        <v>42.25</v>
      </c>
      <c r="T180" s="1108">
        <f t="shared" si="19"/>
        <v>168.8</v>
      </c>
      <c r="U180" s="1107">
        <f>ROUND(NOMINA!BL159,2)</f>
        <v>23.4</v>
      </c>
      <c r="V180" s="1107">
        <f>ROUND(NOMINA!BM159,2)</f>
        <v>2.92</v>
      </c>
      <c r="W180" s="1107">
        <f>ROUND(+NOMINA!BN159,2)</f>
        <v>5.07</v>
      </c>
      <c r="X180" s="1108">
        <f t="shared" si="20"/>
        <v>17.64</v>
      </c>
      <c r="Y180" s="1107">
        <f>ROUND(NOMINA!BJ159,2)</f>
        <v>12.5</v>
      </c>
      <c r="Z180" s="1109">
        <f t="shared" si="17"/>
        <v>228.35000000000002</v>
      </c>
    </row>
    <row r="181" spans="1:26" s="620" customFormat="1" ht="20.100000000000001" customHeight="1" thickBot="1" x14ac:dyDescent="0.25">
      <c r="A181" s="758" t="s">
        <v>2846</v>
      </c>
      <c r="B181" s="508">
        <f t="shared" ca="1" si="21"/>
        <v>117</v>
      </c>
      <c r="C181" s="1102">
        <f>+NOMINA!C160</f>
        <v>15752048</v>
      </c>
      <c r="D181" s="1103" t="str">
        <f>+NOMINA!D160</f>
        <v>Briceño Rangel Sudney Dayan</v>
      </c>
      <c r="E181" s="1468" t="s">
        <v>4622</v>
      </c>
      <c r="F181" s="1704">
        <v>27853</v>
      </c>
      <c r="G181" s="1468" t="s">
        <v>4620</v>
      </c>
      <c r="H181" s="1705">
        <f>+NOMINA!H160</f>
        <v>39679</v>
      </c>
      <c r="I181" s="1105">
        <f>+NOMINA!I160</f>
        <v>17</v>
      </c>
      <c r="J181" s="1106">
        <f>+NOMINA!J160</f>
        <v>0</v>
      </c>
      <c r="K181" s="1105">
        <f t="shared" si="18"/>
        <v>17</v>
      </c>
      <c r="L181" s="1106" t="s">
        <v>4932</v>
      </c>
      <c r="M181" s="1106"/>
      <c r="N181" s="1443" t="str">
        <f>+NOMINA!O160</f>
        <v>Guia de Centro II</v>
      </c>
      <c r="O181" s="1107">
        <f>ROUND(NOMINA!W160,2)</f>
        <v>157</v>
      </c>
      <c r="P181" s="1107">
        <f>NOMINA!AF160</f>
        <v>33.29</v>
      </c>
      <c r="Q181" s="1107">
        <f>NOMINA!AH160</f>
        <v>65</v>
      </c>
      <c r="R181" s="1107">
        <f>NOMINA!AC160</f>
        <v>0</v>
      </c>
      <c r="S181" s="1107">
        <f>NOMINA!AJ160</f>
        <v>89.35</v>
      </c>
      <c r="T181" s="1108">
        <f t="shared" si="19"/>
        <v>116.9</v>
      </c>
      <c r="U181" s="1107">
        <f>ROUND(NOMINA!BL160,2)</f>
        <v>31.81</v>
      </c>
      <c r="V181" s="1107">
        <f>ROUND(NOMINA!BM160,2)</f>
        <v>3.98</v>
      </c>
      <c r="W181" s="1107">
        <f>ROUND(+NOMINA!BN160,2)</f>
        <v>6.89</v>
      </c>
      <c r="X181" s="1108">
        <f t="shared" si="20"/>
        <v>31.94</v>
      </c>
      <c r="Y181" s="1107">
        <f>ROUND(NOMINA!BJ160,2)</f>
        <v>12.5</v>
      </c>
      <c r="Z181" s="1109">
        <f t="shared" si="17"/>
        <v>301.95999999999998</v>
      </c>
    </row>
    <row r="182" spans="1:26" s="620" customFormat="1" ht="20.100000000000001" customHeight="1" thickBot="1" x14ac:dyDescent="0.25">
      <c r="A182" s="758" t="s">
        <v>2846</v>
      </c>
      <c r="B182" s="508">
        <f t="shared" ca="1" si="21"/>
        <v>118</v>
      </c>
      <c r="C182" s="1102">
        <f>+NOMINA!C161</f>
        <v>15752183</v>
      </c>
      <c r="D182" s="1103" t="str">
        <f>+NOMINA!D161</f>
        <v>Delduca Adriana del Valle</v>
      </c>
      <c r="E182" s="1468" t="s">
        <v>4622</v>
      </c>
      <c r="F182" s="1704">
        <v>27853</v>
      </c>
      <c r="G182" s="1468" t="s">
        <v>4620</v>
      </c>
      <c r="H182" s="1705">
        <f>+NOMINA!H161</f>
        <v>38930</v>
      </c>
      <c r="I182" s="1105">
        <f>+NOMINA!I161</f>
        <v>19</v>
      </c>
      <c r="J182" s="1106">
        <f>+NOMINA!J161</f>
        <v>0</v>
      </c>
      <c r="K182" s="1105">
        <f t="shared" si="18"/>
        <v>19</v>
      </c>
      <c r="L182" s="1106" t="s">
        <v>4932</v>
      </c>
      <c r="M182" s="1106"/>
      <c r="N182" s="1443" t="str">
        <f>+NOMINA!O161</f>
        <v>Analista de Presupuesto IV</v>
      </c>
      <c r="O182" s="1107">
        <f>ROUND(NOMINA!W161,2)</f>
        <v>0</v>
      </c>
      <c r="P182" s="1107">
        <f>NOMINA!AF161</f>
        <v>0</v>
      </c>
      <c r="Q182" s="1107">
        <f>NOMINA!AH161</f>
        <v>0</v>
      </c>
      <c r="R182" s="1107">
        <f>NOMINA!AC161</f>
        <v>0</v>
      </c>
      <c r="S182" s="1107">
        <f>NOMINA!AJ161</f>
        <v>0</v>
      </c>
      <c r="T182" s="1108">
        <f t="shared" si="19"/>
        <v>141.04</v>
      </c>
      <c r="U182" s="1107">
        <f>ROUND(NOMINA!BL161,2)</f>
        <v>0</v>
      </c>
      <c r="V182" s="1107">
        <f>ROUND(NOMINA!BM161,2)</f>
        <v>0</v>
      </c>
      <c r="W182" s="1107">
        <f>ROUND(+NOMINA!BN161,2)</f>
        <v>0</v>
      </c>
      <c r="X182" s="1108">
        <f t="shared" si="20"/>
        <v>33.119999999999997</v>
      </c>
      <c r="Y182" s="1107">
        <f>ROUND(NOMINA!BJ161,2)</f>
        <v>0</v>
      </c>
      <c r="Z182" s="1109">
        <f t="shared" si="17"/>
        <v>0</v>
      </c>
    </row>
    <row r="183" spans="1:26" s="620" customFormat="1" ht="20.100000000000001" customHeight="1" thickBot="1" x14ac:dyDescent="0.25">
      <c r="A183" s="758" t="s">
        <v>2846</v>
      </c>
      <c r="B183" s="508">
        <f t="shared" ca="1" si="21"/>
        <v>119</v>
      </c>
      <c r="C183" s="1102">
        <f>+NOMINA!C162</f>
        <v>15752386</v>
      </c>
      <c r="D183" s="1103" t="str">
        <f>+NOMINA!D162</f>
        <v>Villegas Gonzalez Mileide Karine</v>
      </c>
      <c r="E183" s="1468" t="s">
        <v>4622</v>
      </c>
      <c r="F183" s="1704">
        <v>27853</v>
      </c>
      <c r="G183" s="1468" t="s">
        <v>4620</v>
      </c>
      <c r="H183" s="1705">
        <f>+NOMINA!H162</f>
        <v>38930</v>
      </c>
      <c r="I183" s="1105">
        <f>+NOMINA!I162</f>
        <v>19</v>
      </c>
      <c r="J183" s="1106">
        <f>+NOMINA!J162</f>
        <v>0</v>
      </c>
      <c r="K183" s="1105">
        <f t="shared" si="18"/>
        <v>19</v>
      </c>
      <c r="L183" s="1106" t="s">
        <v>4932</v>
      </c>
      <c r="M183" s="1106"/>
      <c r="N183" s="1443" t="str">
        <f>+NOMINA!O162</f>
        <v>Guia de Centro II</v>
      </c>
      <c r="O183" s="1107">
        <f>ROUND(NOMINA!W162,2)</f>
        <v>114</v>
      </c>
      <c r="P183" s="1107">
        <f>NOMINA!AF162</f>
        <v>27.82</v>
      </c>
      <c r="Q183" s="1107">
        <f>NOMINA!AH162</f>
        <v>65</v>
      </c>
      <c r="R183" s="1107">
        <f>NOMINA!AC162</f>
        <v>25</v>
      </c>
      <c r="S183" s="1107">
        <f>NOMINA!AJ162</f>
        <v>43.87</v>
      </c>
      <c r="T183" s="1108">
        <f t="shared" si="19"/>
        <v>85.93</v>
      </c>
      <c r="U183" s="1107">
        <f>ROUND(NOMINA!BL162,2)</f>
        <v>31.58</v>
      </c>
      <c r="V183" s="1107">
        <f>ROUND(NOMINA!BM162,2)</f>
        <v>3.95</v>
      </c>
      <c r="W183" s="1107">
        <f>ROUND(+NOMINA!BN162,2)</f>
        <v>6.84</v>
      </c>
      <c r="X183" s="1108">
        <f t="shared" si="20"/>
        <v>30.98</v>
      </c>
      <c r="Y183" s="1107">
        <f>ROUND(NOMINA!BJ162,2)</f>
        <v>12.5</v>
      </c>
      <c r="Z183" s="1109">
        <f t="shared" si="17"/>
        <v>233.32</v>
      </c>
    </row>
    <row r="184" spans="1:26" s="620" customFormat="1" ht="20.100000000000001" customHeight="1" thickBot="1" x14ac:dyDescent="0.25">
      <c r="A184" s="758" t="s">
        <v>2846</v>
      </c>
      <c r="B184" s="508">
        <f t="shared" ca="1" si="21"/>
        <v>120</v>
      </c>
      <c r="C184" s="1102">
        <f>+NOMINA!C163</f>
        <v>15752435</v>
      </c>
      <c r="D184" s="1103" t="str">
        <f>+NOMINA!D163</f>
        <v>Gonzalez de Sayago Damarys Coromoto</v>
      </c>
      <c r="E184" s="1468" t="s">
        <v>4622</v>
      </c>
      <c r="F184" s="1704">
        <v>27853</v>
      </c>
      <c r="G184" s="1468" t="s">
        <v>4620</v>
      </c>
      <c r="H184" s="1705">
        <f>+NOMINA!H163</f>
        <v>38930</v>
      </c>
      <c r="I184" s="1105">
        <f>+NOMINA!I163</f>
        <v>19</v>
      </c>
      <c r="J184" s="1106">
        <f>+NOMINA!J163</f>
        <v>0</v>
      </c>
      <c r="K184" s="1105">
        <f t="shared" si="18"/>
        <v>19</v>
      </c>
      <c r="L184" s="1106" t="s">
        <v>4932</v>
      </c>
      <c r="M184" s="1106"/>
      <c r="N184" s="1443" t="str">
        <f>+NOMINA!O163</f>
        <v>Trabajador Social II</v>
      </c>
      <c r="O184" s="1107">
        <f>ROUND(NOMINA!W163,2)</f>
        <v>114</v>
      </c>
      <c r="P184" s="1107">
        <f>NOMINA!AF163</f>
        <v>27.82</v>
      </c>
      <c r="Q184" s="1107">
        <f>NOMINA!AH163</f>
        <v>65</v>
      </c>
      <c r="R184" s="1107">
        <f>NOMINA!AC163</f>
        <v>25</v>
      </c>
      <c r="S184" s="1107">
        <f>NOMINA!AJ163</f>
        <v>43.87</v>
      </c>
      <c r="T184" s="1108">
        <f t="shared" si="19"/>
        <v>140.92000000000002</v>
      </c>
      <c r="U184" s="1107">
        <f>ROUND(NOMINA!BL163,2)</f>
        <v>24.29</v>
      </c>
      <c r="V184" s="1107">
        <f>ROUND(NOMINA!BM163,2)</f>
        <v>3.04</v>
      </c>
      <c r="W184" s="1107">
        <f>ROUND(+NOMINA!BN163,2)</f>
        <v>5.26</v>
      </c>
      <c r="X184" s="1108">
        <f t="shared" si="20"/>
        <v>29.16</v>
      </c>
      <c r="Y184" s="1107">
        <f>ROUND(NOMINA!BJ163,2)</f>
        <v>12.5</v>
      </c>
      <c r="Z184" s="1109">
        <f t="shared" si="17"/>
        <v>243.1</v>
      </c>
    </row>
    <row r="185" spans="1:26" s="620" customFormat="1" ht="20.100000000000001" customHeight="1" thickBot="1" x14ac:dyDescent="0.25">
      <c r="A185" s="758" t="s">
        <v>2846</v>
      </c>
      <c r="B185" s="508">
        <f t="shared" ca="1" si="21"/>
        <v>121</v>
      </c>
      <c r="C185" s="1102">
        <f>+NOMINA!C164</f>
        <v>15780354</v>
      </c>
      <c r="D185" s="1103" t="str">
        <f>+NOMINA!D164</f>
        <v>Yndriago Blanco Lismiley Andreina</v>
      </c>
      <c r="E185" s="1468" t="s">
        <v>4622</v>
      </c>
      <c r="F185" s="1704">
        <v>27853</v>
      </c>
      <c r="G185" s="1468" t="s">
        <v>4620</v>
      </c>
      <c r="H185" s="1705">
        <f>+NOMINA!H164</f>
        <v>44409</v>
      </c>
      <c r="I185" s="1105">
        <f>+NOMINA!I164</f>
        <v>4</v>
      </c>
      <c r="J185" s="1106">
        <f>+NOMINA!J164</f>
        <v>0</v>
      </c>
      <c r="K185" s="1105">
        <f t="shared" si="18"/>
        <v>4</v>
      </c>
      <c r="L185" s="1106" t="s">
        <v>4932</v>
      </c>
      <c r="M185" s="1106"/>
      <c r="N185" s="1443" t="str">
        <f>+NOMINA!O164</f>
        <v>Guia de Centro I</v>
      </c>
      <c r="O185" s="1107">
        <f>ROUND(NOMINA!W164,2)</f>
        <v>109.5</v>
      </c>
      <c r="P185" s="1107">
        <f>NOMINA!AF164</f>
        <v>4.38</v>
      </c>
      <c r="Q185" s="1107">
        <f>NOMINA!AH164</f>
        <v>65</v>
      </c>
      <c r="R185" s="1107">
        <f>NOMINA!AC164</f>
        <v>0</v>
      </c>
      <c r="S185" s="1107">
        <f>NOMINA!AJ164</f>
        <v>44.72</v>
      </c>
      <c r="T185" s="1108">
        <f t="shared" si="19"/>
        <v>191.89</v>
      </c>
      <c r="U185" s="1107">
        <f>ROUND(NOMINA!BL164,2)</f>
        <v>26.83</v>
      </c>
      <c r="V185" s="1107">
        <f>ROUND(NOMINA!BM164,2)</f>
        <v>3.35</v>
      </c>
      <c r="W185" s="1107">
        <f>ROUND(+NOMINA!BN164,2)</f>
        <v>5.81</v>
      </c>
      <c r="X185" s="1108">
        <f t="shared" si="20"/>
        <v>33.97</v>
      </c>
      <c r="Y185" s="1107">
        <f>ROUND(NOMINA!BJ164,2)</f>
        <v>12.5</v>
      </c>
      <c r="Z185" s="1109">
        <f t="shared" si="17"/>
        <v>187.60999999999999</v>
      </c>
    </row>
    <row r="186" spans="1:26" s="620" customFormat="1" ht="20.100000000000001" customHeight="1" thickBot="1" x14ac:dyDescent="0.25">
      <c r="A186" s="758" t="s">
        <v>2846</v>
      </c>
      <c r="B186" s="508">
        <f t="shared" ca="1" si="21"/>
        <v>122</v>
      </c>
      <c r="C186" s="1102">
        <f>+NOMINA!C165</f>
        <v>15824548</v>
      </c>
      <c r="D186" s="1103" t="str">
        <f>+NOMINA!D165</f>
        <v>Moreno Maria Angelica</v>
      </c>
      <c r="E186" s="1468" t="s">
        <v>4622</v>
      </c>
      <c r="F186" s="1704">
        <v>27853</v>
      </c>
      <c r="G186" s="1468" t="s">
        <v>4620</v>
      </c>
      <c r="H186" s="1705">
        <f>+NOMINA!H165</f>
        <v>44317</v>
      </c>
      <c r="I186" s="1105">
        <f>+NOMINA!I165</f>
        <v>4</v>
      </c>
      <c r="J186" s="1106">
        <f>+NOMINA!J165</f>
        <v>0</v>
      </c>
      <c r="K186" s="1105">
        <f t="shared" si="18"/>
        <v>4</v>
      </c>
      <c r="L186" s="1106" t="s">
        <v>4932</v>
      </c>
      <c r="M186" s="1106"/>
      <c r="N186" s="1443" t="str">
        <f>+NOMINA!O165</f>
        <v>Tecnico Superior en Trabajo Social II</v>
      </c>
      <c r="O186" s="1107">
        <f>ROUND(NOMINA!W165,2)</f>
        <v>109.5</v>
      </c>
      <c r="P186" s="1107">
        <f>NOMINA!AF165</f>
        <v>4.38</v>
      </c>
      <c r="Q186" s="1107">
        <f>NOMINA!AH165</f>
        <v>65</v>
      </c>
      <c r="R186" s="1107">
        <f>NOMINA!AC165</f>
        <v>12.5</v>
      </c>
      <c r="S186" s="1107">
        <f>NOMINA!AJ165</f>
        <v>37.03</v>
      </c>
      <c r="T186" s="1108">
        <f t="shared" si="19"/>
        <v>165.85000000000002</v>
      </c>
      <c r="U186" s="1107">
        <f>ROUND(NOMINA!BL165,2)</f>
        <v>20.51</v>
      </c>
      <c r="V186" s="1107">
        <f>ROUND(NOMINA!BM165,2)</f>
        <v>2.56</v>
      </c>
      <c r="W186" s="1107">
        <f>ROUND(+NOMINA!BN165,2)</f>
        <v>4.4400000000000004</v>
      </c>
      <c r="X186" s="1108">
        <f t="shared" si="20"/>
        <v>38.6</v>
      </c>
      <c r="Y186" s="1107">
        <f>ROUND(NOMINA!BJ165,2)</f>
        <v>12.5</v>
      </c>
      <c r="Z186" s="1109">
        <f t="shared" si="17"/>
        <v>200.9</v>
      </c>
    </row>
    <row r="187" spans="1:26" s="620" customFormat="1" ht="20.100000000000001" customHeight="1" thickBot="1" x14ac:dyDescent="0.25">
      <c r="A187" s="758" t="s">
        <v>2846</v>
      </c>
      <c r="B187" s="508">
        <f t="shared" ca="1" si="21"/>
        <v>123</v>
      </c>
      <c r="C187" s="1102">
        <f>+NOMINA!C166</f>
        <v>15904692</v>
      </c>
      <c r="D187" s="1103" t="str">
        <f>+NOMINA!D166</f>
        <v>Sifontes Sosa Mayulis Dayana</v>
      </c>
      <c r="E187" s="1468" t="s">
        <v>4622</v>
      </c>
      <c r="F187" s="1704">
        <v>27853</v>
      </c>
      <c r="G187" s="1468" t="s">
        <v>4620</v>
      </c>
      <c r="H187" s="1705">
        <f>+NOMINA!H166</f>
        <v>39756</v>
      </c>
      <c r="I187" s="1105">
        <f>+NOMINA!I166</f>
        <v>16</v>
      </c>
      <c r="J187" s="1106">
        <f>+NOMINA!J166</f>
        <v>0</v>
      </c>
      <c r="K187" s="1105">
        <f t="shared" si="18"/>
        <v>16</v>
      </c>
      <c r="L187" s="1106" t="s">
        <v>4932</v>
      </c>
      <c r="M187" s="1106"/>
      <c r="N187" s="1443" t="str">
        <f>+NOMINA!O166</f>
        <v>Guia de Centro II</v>
      </c>
      <c r="O187" s="1107">
        <f>ROUND(NOMINA!W166,2)</f>
        <v>113</v>
      </c>
      <c r="P187" s="1107">
        <f>NOMINA!AF166</f>
        <v>22.15</v>
      </c>
      <c r="Q187" s="1107">
        <f>NOMINA!AH166</f>
        <v>65</v>
      </c>
      <c r="R187" s="1107">
        <f>NOMINA!AC166</f>
        <v>25</v>
      </c>
      <c r="S187" s="1107">
        <f>NOMINA!AJ166</f>
        <v>42.53</v>
      </c>
      <c r="T187" s="1108">
        <f t="shared" si="19"/>
        <v>90</v>
      </c>
      <c r="U187" s="1107">
        <f>ROUND(NOMINA!BL166,2)</f>
        <v>30.62</v>
      </c>
      <c r="V187" s="1107">
        <f>ROUND(NOMINA!BM166,2)</f>
        <v>3.83</v>
      </c>
      <c r="W187" s="1107">
        <f>ROUND(+NOMINA!BN166,2)</f>
        <v>6.63</v>
      </c>
      <c r="X187" s="1108">
        <f t="shared" si="20"/>
        <v>23.16</v>
      </c>
      <c r="Y187" s="1107">
        <f>ROUND(NOMINA!BJ166,2)</f>
        <v>12.5</v>
      </c>
      <c r="Z187" s="1109">
        <f t="shared" si="17"/>
        <v>226.6</v>
      </c>
    </row>
    <row r="188" spans="1:26" s="620" customFormat="1" ht="20.100000000000001" customHeight="1" thickBot="1" x14ac:dyDescent="0.25">
      <c r="A188" s="758" t="s">
        <v>2846</v>
      </c>
      <c r="B188" s="508">
        <f t="shared" ca="1" si="21"/>
        <v>124</v>
      </c>
      <c r="C188" s="1102">
        <f>+NOMINA!C167</f>
        <v>16015833</v>
      </c>
      <c r="D188" s="1103" t="str">
        <f>+NOMINA!D167</f>
        <v>Briceño Doris Elena</v>
      </c>
      <c r="E188" s="1468" t="s">
        <v>4622</v>
      </c>
      <c r="F188" s="1704">
        <v>27853</v>
      </c>
      <c r="G188" s="1468" t="s">
        <v>4620</v>
      </c>
      <c r="H188" s="1705">
        <f>+NOMINA!H167</f>
        <v>42948</v>
      </c>
      <c r="I188" s="1105">
        <f>+NOMINA!I167</f>
        <v>8</v>
      </c>
      <c r="J188" s="1106">
        <f>+NOMINA!J167</f>
        <v>0</v>
      </c>
      <c r="K188" s="1105">
        <f t="shared" si="18"/>
        <v>8</v>
      </c>
      <c r="L188" s="1106" t="s">
        <v>4932</v>
      </c>
      <c r="M188" s="1106"/>
      <c r="N188" s="1443" t="str">
        <f>+NOMINA!O167</f>
        <v>Guia de Centro II</v>
      </c>
      <c r="O188" s="1107">
        <f>ROUND(NOMINA!W167,2)</f>
        <v>139.5</v>
      </c>
      <c r="P188" s="1107">
        <f>NOMINA!AF167</f>
        <v>12</v>
      </c>
      <c r="Q188" s="1107">
        <f>NOMINA!AH167</f>
        <v>65</v>
      </c>
      <c r="R188" s="1107">
        <f>NOMINA!AC167</f>
        <v>12.5</v>
      </c>
      <c r="S188" s="1107">
        <f>NOMINA!AJ167</f>
        <v>55.69</v>
      </c>
      <c r="T188" s="1108">
        <f t="shared" si="19"/>
        <v>150.12</v>
      </c>
      <c r="U188" s="1107">
        <f>ROUND(NOMINA!BL167,2)</f>
        <v>33.409999999999997</v>
      </c>
      <c r="V188" s="1107">
        <f>ROUND(NOMINA!BM167,2)</f>
        <v>4.18</v>
      </c>
      <c r="W188" s="1107">
        <f>ROUND(+NOMINA!BN167,2)</f>
        <v>7.24</v>
      </c>
      <c r="X188" s="1108">
        <f t="shared" si="20"/>
        <v>31.66</v>
      </c>
      <c r="Y188" s="1107">
        <f>ROUND(NOMINA!BJ167,2)</f>
        <v>12.5</v>
      </c>
      <c r="Z188" s="1109">
        <f t="shared" si="17"/>
        <v>239.86</v>
      </c>
    </row>
    <row r="189" spans="1:26" s="620" customFormat="1" ht="20.100000000000001" customHeight="1" thickBot="1" x14ac:dyDescent="0.25">
      <c r="A189" s="758" t="s">
        <v>2846</v>
      </c>
      <c r="B189" s="508">
        <f t="shared" ca="1" si="21"/>
        <v>125</v>
      </c>
      <c r="C189" s="1102">
        <f>+NOMINA!C168</f>
        <v>16065580</v>
      </c>
      <c r="D189" s="1103" t="str">
        <f>+NOMINA!D168</f>
        <v>Paredes de Rendon Zuly Josefina</v>
      </c>
      <c r="E189" s="1468" t="s">
        <v>4622</v>
      </c>
      <c r="F189" s="1704">
        <v>27853</v>
      </c>
      <c r="G189" s="1468" t="s">
        <v>4620</v>
      </c>
      <c r="H189" s="1705">
        <f>+NOMINA!H168</f>
        <v>44363</v>
      </c>
      <c r="I189" s="1105">
        <f>+NOMINA!I168</f>
        <v>4</v>
      </c>
      <c r="J189" s="1106">
        <f>+NOMINA!J168</f>
        <v>0</v>
      </c>
      <c r="K189" s="1105">
        <f t="shared" si="18"/>
        <v>4</v>
      </c>
      <c r="L189" s="1106" t="s">
        <v>4932</v>
      </c>
      <c r="M189" s="1106"/>
      <c r="N189" s="1443" t="str">
        <f>+NOMINA!O168</f>
        <v>Tutor Facilitador II</v>
      </c>
      <c r="O189" s="1107">
        <f>ROUND(NOMINA!W168,2)</f>
        <v>138.5</v>
      </c>
      <c r="P189" s="1107">
        <f>NOMINA!AF168</f>
        <v>5.54</v>
      </c>
      <c r="Q189" s="1107">
        <f>NOMINA!AH168</f>
        <v>65</v>
      </c>
      <c r="R189" s="1107">
        <f>NOMINA!AC168</f>
        <v>12.5</v>
      </c>
      <c r="S189" s="1107">
        <f>NOMINA!AJ168</f>
        <v>53.83</v>
      </c>
      <c r="T189" s="1108">
        <f t="shared" si="19"/>
        <v>135.13999999999999</v>
      </c>
      <c r="U189" s="1107">
        <f>ROUND(NOMINA!BL168,2)</f>
        <v>24.84</v>
      </c>
      <c r="V189" s="1107">
        <f>ROUND(NOMINA!BM168,2)</f>
        <v>3.11</v>
      </c>
      <c r="W189" s="1107">
        <f>ROUND(+NOMINA!BN168,2)</f>
        <v>5.38</v>
      </c>
      <c r="X189" s="1108">
        <f t="shared" si="20"/>
        <v>20.92</v>
      </c>
      <c r="Y189" s="1107">
        <f>ROUND(NOMINA!BJ168,2)</f>
        <v>12.5</v>
      </c>
      <c r="Z189" s="1109">
        <f t="shared" si="17"/>
        <v>242.04000000000002</v>
      </c>
    </row>
    <row r="190" spans="1:26" s="620" customFormat="1" ht="20.100000000000001" customHeight="1" thickBot="1" x14ac:dyDescent="0.25">
      <c r="A190" s="758" t="s">
        <v>2846</v>
      </c>
      <c r="B190" s="508">
        <f t="shared" ca="1" si="21"/>
        <v>126</v>
      </c>
      <c r="C190" s="1102">
        <f>+NOMINA!C169</f>
        <v>16065861</v>
      </c>
      <c r="D190" s="1103" t="str">
        <f>+NOMINA!D169</f>
        <v>Gonzalez Pineda Eduardo Manuel</v>
      </c>
      <c r="E190" s="1468" t="s">
        <v>4622</v>
      </c>
      <c r="F190" s="1704">
        <v>27853</v>
      </c>
      <c r="G190" s="1468" t="s">
        <v>4620</v>
      </c>
      <c r="H190" s="1705">
        <f>+NOMINA!H169</f>
        <v>43906</v>
      </c>
      <c r="I190" s="1105">
        <f>+NOMINA!I169</f>
        <v>5</v>
      </c>
      <c r="J190" s="1106">
        <f>+NOMINA!J169</f>
        <v>13</v>
      </c>
      <c r="K190" s="1105">
        <f t="shared" si="18"/>
        <v>18</v>
      </c>
      <c r="L190" s="1106" t="s">
        <v>4932</v>
      </c>
      <c r="M190" s="1106"/>
      <c r="N190" s="1443" t="str">
        <f>+NOMINA!O169</f>
        <v>Entrenador Deportivo VI</v>
      </c>
      <c r="O190" s="1107">
        <f>ROUND(NOMINA!W169,2)</f>
        <v>143.5</v>
      </c>
      <c r="P190" s="1107">
        <f>NOMINA!AF169</f>
        <v>32.72</v>
      </c>
      <c r="Q190" s="1107">
        <f>NOMINA!AH169</f>
        <v>65</v>
      </c>
      <c r="R190" s="1107">
        <f>NOMINA!AC169</f>
        <v>0</v>
      </c>
      <c r="S190" s="1107">
        <f>NOMINA!AJ169</f>
        <v>60.31</v>
      </c>
      <c r="T190" s="1108">
        <f t="shared" si="19"/>
        <v>137.19</v>
      </c>
      <c r="U190" s="1107">
        <f>ROUND(NOMINA!BL169,2)</f>
        <v>27.83</v>
      </c>
      <c r="V190" s="1107">
        <f>ROUND(NOMINA!BM169,2)</f>
        <v>3.48</v>
      </c>
      <c r="W190" s="1107">
        <f>ROUND(+NOMINA!BN169,2)</f>
        <v>6.03</v>
      </c>
      <c r="X190" s="1108">
        <f t="shared" si="20"/>
        <v>31.39</v>
      </c>
      <c r="Y190" s="1107">
        <f>ROUND(NOMINA!BJ169,2)</f>
        <v>12.5</v>
      </c>
      <c r="Z190" s="1109">
        <f t="shared" si="17"/>
        <v>264.19</v>
      </c>
    </row>
    <row r="191" spans="1:26" s="620" customFormat="1" ht="20.100000000000001" customHeight="1" thickBot="1" x14ac:dyDescent="0.25">
      <c r="A191" s="758" t="s">
        <v>2846</v>
      </c>
      <c r="B191" s="508">
        <f t="shared" ca="1" si="21"/>
        <v>127</v>
      </c>
      <c r="C191" s="1102">
        <f>+NOMINA!C170</f>
        <v>16066524</v>
      </c>
      <c r="D191" s="1103" t="str">
        <f>+NOMINA!D170</f>
        <v>Carmona Peñaloza Yaneth Coromoto</v>
      </c>
      <c r="E191" s="1468" t="s">
        <v>4622</v>
      </c>
      <c r="F191" s="1704">
        <v>27853</v>
      </c>
      <c r="G191" s="1468" t="s">
        <v>4620</v>
      </c>
      <c r="H191" s="1705">
        <f>+NOMINA!H170</f>
        <v>41456</v>
      </c>
      <c r="I191" s="1105">
        <f>+NOMINA!I170</f>
        <v>12</v>
      </c>
      <c r="J191" s="1106">
        <f>+NOMINA!J170</f>
        <v>0</v>
      </c>
      <c r="K191" s="1105">
        <f t="shared" si="18"/>
        <v>12</v>
      </c>
      <c r="L191" s="1106" t="s">
        <v>4932</v>
      </c>
      <c r="M191" s="1106"/>
      <c r="N191" s="1443" t="str">
        <f>+NOMINA!O170</f>
        <v>Asistente Administrativo III</v>
      </c>
      <c r="O191" s="1107">
        <f>ROUND(NOMINA!W170,2)</f>
        <v>0</v>
      </c>
      <c r="P191" s="1107">
        <f>NOMINA!AF170</f>
        <v>0</v>
      </c>
      <c r="Q191" s="1107">
        <f>NOMINA!AH170</f>
        <v>0</v>
      </c>
      <c r="R191" s="1107">
        <f>NOMINA!AC170</f>
        <v>0</v>
      </c>
      <c r="S191" s="1107">
        <f>NOMINA!AJ170</f>
        <v>0</v>
      </c>
      <c r="T191" s="1108">
        <f t="shared" si="19"/>
        <v>137.42000000000002</v>
      </c>
      <c r="U191" s="1107">
        <f>ROUND(NOMINA!BL170,2)</f>
        <v>0</v>
      </c>
      <c r="V191" s="1107">
        <f>ROUND(NOMINA!BM170,2)</f>
        <v>0</v>
      </c>
      <c r="W191" s="1107">
        <f>ROUND(+NOMINA!BN170,2)</f>
        <v>0</v>
      </c>
      <c r="X191" s="1108">
        <f t="shared" si="20"/>
        <v>36.43</v>
      </c>
      <c r="Y191" s="1107">
        <f>ROUND(NOMINA!BJ170,2)</f>
        <v>0</v>
      </c>
      <c r="Z191" s="1109">
        <f t="shared" si="17"/>
        <v>0</v>
      </c>
    </row>
    <row r="192" spans="1:26" s="620" customFormat="1" ht="20.100000000000001" customHeight="1" thickBot="1" x14ac:dyDescent="0.25">
      <c r="A192" s="758" t="s">
        <v>2846</v>
      </c>
      <c r="B192" s="508">
        <f t="shared" ca="1" si="21"/>
        <v>128</v>
      </c>
      <c r="C192" s="1102">
        <f>+NOMINA!C171</f>
        <v>16066554</v>
      </c>
      <c r="D192" s="1103" t="str">
        <f>+NOMINA!D171</f>
        <v>Gonzalez Huerta Maria Josefina</v>
      </c>
      <c r="E192" s="1468" t="s">
        <v>4622</v>
      </c>
      <c r="F192" s="1704">
        <v>27853</v>
      </c>
      <c r="G192" s="1468" t="s">
        <v>4620</v>
      </c>
      <c r="H192" s="1705">
        <f>+NOMINA!H171</f>
        <v>38797</v>
      </c>
      <c r="I192" s="1105">
        <f>+NOMINA!I171</f>
        <v>19</v>
      </c>
      <c r="J192" s="1106">
        <f>+NOMINA!J171</f>
        <v>0</v>
      </c>
      <c r="K192" s="1105">
        <f t="shared" si="18"/>
        <v>19</v>
      </c>
      <c r="L192" s="1106" t="s">
        <v>4932</v>
      </c>
      <c r="M192" s="1106"/>
      <c r="N192" s="1443" t="str">
        <f>+NOMINA!O171</f>
        <v>Auditor IV</v>
      </c>
      <c r="O192" s="1107">
        <f>ROUND(NOMINA!W171,2)</f>
        <v>143.5</v>
      </c>
      <c r="P192" s="1107">
        <f>NOMINA!AF171</f>
        <v>35.020000000000003</v>
      </c>
      <c r="Q192" s="1107">
        <f>NOMINA!AH171</f>
        <v>65</v>
      </c>
      <c r="R192" s="1107">
        <f>NOMINA!AC171</f>
        <v>25</v>
      </c>
      <c r="S192" s="1107">
        <f>NOMINA!AJ171</f>
        <v>64.010000000000005</v>
      </c>
      <c r="T192" s="1108">
        <f t="shared" si="19"/>
        <v>141</v>
      </c>
      <c r="U192" s="1107">
        <f>ROUND(NOMINA!BL171,2)</f>
        <v>29.54</v>
      </c>
      <c r="V192" s="1107">
        <f>ROUND(NOMINA!BM171,2)</f>
        <v>3.69</v>
      </c>
      <c r="W192" s="1107">
        <f>ROUND(+NOMINA!BN171,2)</f>
        <v>6.4</v>
      </c>
      <c r="X192" s="1108">
        <f t="shared" si="20"/>
        <v>33.119999999999997</v>
      </c>
      <c r="Y192" s="1107">
        <f>ROUND(NOMINA!BJ171,2)</f>
        <v>12.5</v>
      </c>
      <c r="Z192" s="1109">
        <f t="shared" si="17"/>
        <v>292.89999999999998</v>
      </c>
    </row>
    <row r="193" spans="1:26" s="620" customFormat="1" ht="20.100000000000001" customHeight="1" thickBot="1" x14ac:dyDescent="0.25">
      <c r="A193" s="758" t="s">
        <v>2846</v>
      </c>
      <c r="B193" s="508">
        <f t="shared" ca="1" si="21"/>
        <v>129</v>
      </c>
      <c r="C193" s="1102">
        <f>+NOMINA!C172</f>
        <v>16266033</v>
      </c>
      <c r="D193" s="1103" t="str">
        <f>+NOMINA!D172</f>
        <v>Montilla de Davila Nileidy del Valle</v>
      </c>
      <c r="E193" s="1468" t="s">
        <v>4622</v>
      </c>
      <c r="F193" s="1704">
        <v>27853</v>
      </c>
      <c r="G193" s="1468" t="s">
        <v>4620</v>
      </c>
      <c r="H193" s="1705">
        <f>+NOMINA!H172</f>
        <v>44713</v>
      </c>
      <c r="I193" s="1105">
        <f>+NOMINA!I172</f>
        <v>3</v>
      </c>
      <c r="J193" s="1106">
        <f>+NOMINA!J172</f>
        <v>0</v>
      </c>
      <c r="K193" s="1105">
        <f t="shared" si="18"/>
        <v>3</v>
      </c>
      <c r="L193" s="1106" t="s">
        <v>4932</v>
      </c>
      <c r="M193" s="1106"/>
      <c r="N193" s="1443" t="str">
        <f>+NOMINA!O172</f>
        <v>Guia de Centro I</v>
      </c>
      <c r="O193" s="1107">
        <f>ROUND(NOMINA!W172,2)</f>
        <v>109.5</v>
      </c>
      <c r="P193" s="1107">
        <f>NOMINA!AF172</f>
        <v>3.29</v>
      </c>
      <c r="Q193" s="1107">
        <f>NOMINA!AH172</f>
        <v>65</v>
      </c>
      <c r="R193" s="1107">
        <f>NOMINA!AC172</f>
        <v>25</v>
      </c>
      <c r="S193" s="1107">
        <f>NOMINA!AJ172</f>
        <v>47.57</v>
      </c>
      <c r="T193" s="1108">
        <f t="shared" si="19"/>
        <v>164.45</v>
      </c>
      <c r="U193" s="1107">
        <f>ROUND(NOMINA!BL172,2)</f>
        <v>28.54</v>
      </c>
      <c r="V193" s="1107">
        <f>ROUND(NOMINA!BM172,2)</f>
        <v>3.57</v>
      </c>
      <c r="W193" s="1107">
        <f>ROUND(+NOMINA!BN172,2)</f>
        <v>6.18</v>
      </c>
      <c r="X193" s="1108">
        <f t="shared" si="20"/>
        <v>25.03</v>
      </c>
      <c r="Y193" s="1107">
        <f>ROUND(NOMINA!BJ172,2)</f>
        <v>12.5</v>
      </c>
      <c r="Z193" s="1109">
        <f t="shared" ref="Z193:Z256" si="22">+O193+P193+Q193+R193+S193-(U193+V193+W193)</f>
        <v>212.07000000000002</v>
      </c>
    </row>
    <row r="194" spans="1:26" s="620" customFormat="1" ht="20.100000000000001" customHeight="1" thickBot="1" x14ac:dyDescent="0.25">
      <c r="A194" s="758" t="s">
        <v>2846</v>
      </c>
      <c r="B194" s="508">
        <f t="shared" ca="1" si="21"/>
        <v>130</v>
      </c>
      <c r="C194" s="1102">
        <f>+NOMINA!C173</f>
        <v>16266989</v>
      </c>
      <c r="D194" s="1103" t="str">
        <f>+NOMINA!D173</f>
        <v>Rincon Quevedo Angela Adriana</v>
      </c>
      <c r="E194" s="1468" t="s">
        <v>4622</v>
      </c>
      <c r="F194" s="1704">
        <v>27853</v>
      </c>
      <c r="G194" s="1468" t="s">
        <v>4620</v>
      </c>
      <c r="H194" s="1705">
        <f>+NOMINA!H173</f>
        <v>43040</v>
      </c>
      <c r="I194" s="1105">
        <f>+NOMINA!I173</f>
        <v>7</v>
      </c>
      <c r="J194" s="1106">
        <f>+NOMINA!J173</f>
        <v>0</v>
      </c>
      <c r="K194" s="1105">
        <f t="shared" ref="K194:K257" si="23">I194+J194</f>
        <v>7</v>
      </c>
      <c r="L194" s="1106" t="s">
        <v>4932</v>
      </c>
      <c r="M194" s="1106"/>
      <c r="N194" s="1443" t="str">
        <f>+NOMINA!O173</f>
        <v>Guia de Centro II</v>
      </c>
      <c r="O194" s="1107">
        <f>ROUND(NOMINA!W173,2)</f>
        <v>139.5</v>
      </c>
      <c r="P194" s="1107">
        <f>NOMINA!AF173</f>
        <v>10.33</v>
      </c>
      <c r="Q194" s="1107">
        <f>NOMINA!AH173</f>
        <v>65</v>
      </c>
      <c r="R194" s="1107">
        <f>NOMINA!AC173</f>
        <v>25</v>
      </c>
      <c r="S194" s="1107">
        <f>NOMINA!AJ173</f>
        <v>56.83</v>
      </c>
      <c r="T194" s="1108">
        <f t="shared" ref="T194:T257" si="24">+P171+Q171+R171+S171</f>
        <v>91.3</v>
      </c>
      <c r="U194" s="1107">
        <f>ROUND(NOMINA!BL173,2)</f>
        <v>34.1</v>
      </c>
      <c r="V194" s="1107">
        <f>ROUND(NOMINA!BM173,2)</f>
        <v>4.26</v>
      </c>
      <c r="W194" s="1107">
        <f>ROUND(+NOMINA!BN173,2)</f>
        <v>7.39</v>
      </c>
      <c r="X194" s="1108">
        <f t="shared" ref="X194:X257" si="25">ROUND(SUM(U178:W178),2)</f>
        <v>30.27</v>
      </c>
      <c r="Y194" s="1107">
        <f>ROUND(NOMINA!BJ173,2)</f>
        <v>12.5</v>
      </c>
      <c r="Z194" s="1109">
        <f t="shared" si="22"/>
        <v>250.91000000000003</v>
      </c>
    </row>
    <row r="195" spans="1:26" s="620" customFormat="1" ht="20.100000000000001" customHeight="1" thickBot="1" x14ac:dyDescent="0.25">
      <c r="A195" s="758" t="s">
        <v>2846</v>
      </c>
      <c r="B195" s="508">
        <f t="shared" ca="1" si="21"/>
        <v>131</v>
      </c>
      <c r="C195" s="1102">
        <f>+NOMINA!C174</f>
        <v>16267940</v>
      </c>
      <c r="D195" s="1103" t="str">
        <f>+NOMINA!D174</f>
        <v>Araujo Moreno Elisaelith</v>
      </c>
      <c r="E195" s="1468" t="s">
        <v>4622</v>
      </c>
      <c r="F195" s="1704">
        <v>27853</v>
      </c>
      <c r="G195" s="1468" t="s">
        <v>4620</v>
      </c>
      <c r="H195" s="1705">
        <f>+NOMINA!H174</f>
        <v>44600</v>
      </c>
      <c r="I195" s="1105">
        <f>+NOMINA!I174</f>
        <v>3</v>
      </c>
      <c r="J195" s="1106">
        <f>+NOMINA!J174</f>
        <v>0</v>
      </c>
      <c r="K195" s="1105">
        <f t="shared" si="23"/>
        <v>3</v>
      </c>
      <c r="L195" s="1106" t="s">
        <v>4932</v>
      </c>
      <c r="M195" s="1106"/>
      <c r="N195" s="1443" t="str">
        <f>+NOMINA!O174</f>
        <v>Tecnico Superior en Trabajo Social II</v>
      </c>
      <c r="O195" s="1107">
        <f>ROUND(NOMINA!W174,2)</f>
        <v>109.5</v>
      </c>
      <c r="P195" s="1107">
        <f>NOMINA!AF174</f>
        <v>3.29</v>
      </c>
      <c r="Q195" s="1107">
        <f>NOMINA!AH174</f>
        <v>65</v>
      </c>
      <c r="R195" s="1107">
        <f>NOMINA!AC174</f>
        <v>12.5</v>
      </c>
      <c r="S195" s="1107">
        <f>NOMINA!AJ174</f>
        <v>36.81</v>
      </c>
      <c r="T195" s="1108">
        <f t="shared" si="24"/>
        <v>147.94</v>
      </c>
      <c r="U195" s="1107">
        <f>ROUND(NOMINA!BL174,2)</f>
        <v>20.39</v>
      </c>
      <c r="V195" s="1107">
        <f>ROUND(NOMINA!BM174,2)</f>
        <v>2.5499999999999998</v>
      </c>
      <c r="W195" s="1107">
        <f>ROUND(+NOMINA!BN174,2)</f>
        <v>4.42</v>
      </c>
      <c r="X195" s="1108">
        <f t="shared" si="25"/>
        <v>32.99</v>
      </c>
      <c r="Y195" s="1107">
        <f>ROUND(NOMINA!BJ174,2)</f>
        <v>12.5</v>
      </c>
      <c r="Z195" s="1109">
        <f t="shared" si="22"/>
        <v>199.74</v>
      </c>
    </row>
    <row r="196" spans="1:26" s="620" customFormat="1" ht="20.100000000000001" customHeight="1" thickBot="1" x14ac:dyDescent="0.25">
      <c r="A196" s="758" t="s">
        <v>2846</v>
      </c>
      <c r="B196" s="508">
        <f t="shared" ca="1" si="21"/>
        <v>132</v>
      </c>
      <c r="C196" s="1102">
        <f>+NOMINA!C175</f>
        <v>16376534</v>
      </c>
      <c r="D196" s="1103" t="str">
        <f>+NOMINA!D175</f>
        <v>Lugo Moreno Yenny Katiuska</v>
      </c>
      <c r="E196" s="1468" t="s">
        <v>4622</v>
      </c>
      <c r="F196" s="1704">
        <v>27853</v>
      </c>
      <c r="G196" s="1468" t="s">
        <v>4620</v>
      </c>
      <c r="H196" s="1705">
        <f>+NOMINA!H175</f>
        <v>43754</v>
      </c>
      <c r="I196" s="1105">
        <f>+NOMINA!I175</f>
        <v>5</v>
      </c>
      <c r="J196" s="1106">
        <f>+NOMINA!J175</f>
        <v>0</v>
      </c>
      <c r="K196" s="1105">
        <f t="shared" si="23"/>
        <v>5</v>
      </c>
      <c r="L196" s="1106" t="s">
        <v>4932</v>
      </c>
      <c r="M196" s="1106"/>
      <c r="N196" s="1443" t="str">
        <f>+NOMINA!O175</f>
        <v>Guia de Centro II</v>
      </c>
      <c r="O196" s="1107">
        <f>ROUND(NOMINA!W175,2)</f>
        <v>138.5</v>
      </c>
      <c r="P196" s="1107">
        <f>NOMINA!AF175</f>
        <v>6.93</v>
      </c>
      <c r="Q196" s="1107">
        <f>NOMINA!AH175</f>
        <v>65</v>
      </c>
      <c r="R196" s="1107">
        <f>NOMINA!AC175</f>
        <v>12.5</v>
      </c>
      <c r="S196" s="1107">
        <f>NOMINA!AJ175</f>
        <v>54.17</v>
      </c>
      <c r="T196" s="1108">
        <f t="shared" si="24"/>
        <v>80.84</v>
      </c>
      <c r="U196" s="1107">
        <f>ROUND(NOMINA!BL175,2)</f>
        <v>32.5</v>
      </c>
      <c r="V196" s="1107">
        <f>ROUND(NOMINA!BM175,2)</f>
        <v>4.0599999999999996</v>
      </c>
      <c r="W196" s="1107">
        <f>ROUND(+NOMINA!BN175,2)</f>
        <v>7.04</v>
      </c>
      <c r="X196" s="1108">
        <f t="shared" si="25"/>
        <v>31.39</v>
      </c>
      <c r="Y196" s="1107">
        <f>ROUND(NOMINA!BJ175,2)</f>
        <v>12.5</v>
      </c>
      <c r="Z196" s="1109">
        <f t="shared" si="22"/>
        <v>233.50000000000003</v>
      </c>
    </row>
    <row r="197" spans="1:26" s="620" customFormat="1" ht="20.100000000000001" customHeight="1" thickBot="1" x14ac:dyDescent="0.25">
      <c r="A197" s="758" t="s">
        <v>2846</v>
      </c>
      <c r="B197" s="508">
        <f t="shared" ca="1" si="21"/>
        <v>133</v>
      </c>
      <c r="C197" s="1102">
        <f>+NOMINA!C176</f>
        <v>16376698</v>
      </c>
      <c r="D197" s="1103" t="str">
        <f>+NOMINA!D176</f>
        <v>Barreto Maldonado Jose Luis</v>
      </c>
      <c r="E197" s="1468" t="s">
        <v>4622</v>
      </c>
      <c r="F197" s="1704">
        <v>27853</v>
      </c>
      <c r="G197" s="1468" t="s">
        <v>4620</v>
      </c>
      <c r="H197" s="1705">
        <f>+NOMINA!H176</f>
        <v>40909</v>
      </c>
      <c r="I197" s="1105">
        <f>+NOMINA!I176</f>
        <v>13</v>
      </c>
      <c r="J197" s="1106">
        <f>+NOMINA!J176</f>
        <v>0</v>
      </c>
      <c r="K197" s="1105">
        <f t="shared" si="23"/>
        <v>13</v>
      </c>
      <c r="L197" s="1106" t="s">
        <v>4932</v>
      </c>
      <c r="M197" s="1106"/>
      <c r="N197" s="1443" t="str">
        <f>+NOMINA!O176</f>
        <v>Supervisor de Servicios Generales IV</v>
      </c>
      <c r="O197" s="1107">
        <f>ROUND(NOMINA!W176,2)</f>
        <v>87</v>
      </c>
      <c r="P197" s="1107">
        <f>NOMINA!AF176</f>
        <v>13.23</v>
      </c>
      <c r="Q197" s="1107">
        <f>NOMINA!AH176</f>
        <v>65</v>
      </c>
      <c r="R197" s="1107">
        <f>NOMINA!AC176</f>
        <v>25</v>
      </c>
      <c r="S197" s="1107">
        <f>NOMINA!AJ176</f>
        <v>0</v>
      </c>
      <c r="T197" s="1108">
        <f t="shared" si="24"/>
        <v>145.74</v>
      </c>
      <c r="U197" s="1107">
        <f>ROUND(NOMINA!BL176,2)</f>
        <v>16.41</v>
      </c>
      <c r="V197" s="1107">
        <f>ROUND(NOMINA!BM176,2)</f>
        <v>2.0499999999999998</v>
      </c>
      <c r="W197" s="1107">
        <f>ROUND(+NOMINA!BN176,2)</f>
        <v>3.55</v>
      </c>
      <c r="X197" s="1108">
        <f t="shared" si="25"/>
        <v>42.68</v>
      </c>
      <c r="Y197" s="1107">
        <f>ROUND(NOMINA!BJ176,2)</f>
        <v>12.5</v>
      </c>
      <c r="Z197" s="1109">
        <f t="shared" si="22"/>
        <v>168.22000000000003</v>
      </c>
    </row>
    <row r="198" spans="1:26" s="620" customFormat="1" ht="20.100000000000001" customHeight="1" thickBot="1" x14ac:dyDescent="0.25">
      <c r="A198" s="758" t="s">
        <v>2846</v>
      </c>
      <c r="B198" s="508">
        <f t="shared" ca="1" si="21"/>
        <v>134</v>
      </c>
      <c r="C198" s="1102">
        <f>+NOMINA!C177</f>
        <v>16377159</v>
      </c>
      <c r="D198" s="1103" t="str">
        <f>+NOMINA!D177</f>
        <v>Carrillo Uzcategui Tahiyuani Carolina</v>
      </c>
      <c r="E198" s="1468" t="s">
        <v>4622</v>
      </c>
      <c r="F198" s="1704">
        <v>27853</v>
      </c>
      <c r="G198" s="1468" t="s">
        <v>4620</v>
      </c>
      <c r="H198" s="1705">
        <f>+NOMINA!H177</f>
        <v>44743</v>
      </c>
      <c r="I198" s="1105">
        <f>+NOMINA!I177</f>
        <v>3</v>
      </c>
      <c r="J198" s="1106">
        <f>+NOMINA!J177</f>
        <v>0</v>
      </c>
      <c r="K198" s="1105">
        <f t="shared" si="23"/>
        <v>3</v>
      </c>
      <c r="L198" s="1106" t="s">
        <v>4932</v>
      </c>
      <c r="M198" s="1106"/>
      <c r="N198" s="1443" t="str">
        <f>+NOMINA!O177</f>
        <v>Guia de Centro I</v>
      </c>
      <c r="O198" s="1107">
        <f>ROUND(NOMINA!W177,2)</f>
        <v>109.5</v>
      </c>
      <c r="P198" s="1107">
        <f>NOMINA!AF177</f>
        <v>3.29</v>
      </c>
      <c r="Q198" s="1107">
        <f>NOMINA!AH177</f>
        <v>65</v>
      </c>
      <c r="R198" s="1107">
        <f>NOMINA!AC177</f>
        <v>25</v>
      </c>
      <c r="S198" s="1107">
        <f>NOMINA!AJ177</f>
        <v>38.06</v>
      </c>
      <c r="T198" s="1108">
        <f t="shared" si="24"/>
        <v>122.07</v>
      </c>
      <c r="U198" s="1107">
        <f>ROUND(NOMINA!BL177,2)</f>
        <v>27.4</v>
      </c>
      <c r="V198" s="1107">
        <f>ROUND(NOMINA!BM177,2)</f>
        <v>3.43</v>
      </c>
      <c r="W198" s="1107">
        <f>ROUND(+NOMINA!BN177,2)</f>
        <v>5.94</v>
      </c>
      <c r="X198" s="1108">
        <f t="shared" si="25"/>
        <v>0</v>
      </c>
      <c r="Y198" s="1107">
        <f>ROUND(NOMINA!BJ177,2)</f>
        <v>12.5</v>
      </c>
      <c r="Z198" s="1109">
        <f t="shared" si="22"/>
        <v>204.08000000000004</v>
      </c>
    </row>
    <row r="199" spans="1:26" s="620" customFormat="1" ht="20.100000000000001" customHeight="1" thickBot="1" x14ac:dyDescent="0.25">
      <c r="A199" s="758" t="s">
        <v>2846</v>
      </c>
      <c r="B199" s="508">
        <f t="shared" ca="1" si="21"/>
        <v>135</v>
      </c>
      <c r="C199" s="1102">
        <f>+NOMINA!C178</f>
        <v>16377588</v>
      </c>
      <c r="D199" s="1103" t="str">
        <f>+NOMINA!D178</f>
        <v>Perdomo Linares Alejandra Carolina</v>
      </c>
      <c r="E199" s="1468" t="s">
        <v>4622</v>
      </c>
      <c r="F199" s="1704">
        <v>27853</v>
      </c>
      <c r="G199" s="1468" t="s">
        <v>4620</v>
      </c>
      <c r="H199" s="1705">
        <f>+NOMINA!H178</f>
        <v>44059</v>
      </c>
      <c r="I199" s="1105">
        <f>+NOMINA!I178</f>
        <v>5</v>
      </c>
      <c r="J199" s="1106">
        <f>+NOMINA!J178</f>
        <v>0</v>
      </c>
      <c r="K199" s="1105">
        <f t="shared" si="23"/>
        <v>5</v>
      </c>
      <c r="L199" s="1106" t="s">
        <v>4932</v>
      </c>
      <c r="M199" s="1106"/>
      <c r="N199" s="1443" t="str">
        <f>+NOMINA!O178</f>
        <v>Tutor Facilitador II</v>
      </c>
      <c r="O199" s="1107">
        <f>ROUND(NOMINA!W178,2)</f>
        <v>138.5</v>
      </c>
      <c r="P199" s="1107">
        <f>NOMINA!AF178</f>
        <v>6.93</v>
      </c>
      <c r="Q199" s="1107">
        <f>NOMINA!AH178</f>
        <v>65</v>
      </c>
      <c r="R199" s="1107">
        <f>NOMINA!AC178</f>
        <v>12.5</v>
      </c>
      <c r="S199" s="1107">
        <f>NOMINA!AJ178</f>
        <v>54.17</v>
      </c>
      <c r="T199" s="1108">
        <f t="shared" si="24"/>
        <v>135.13999999999999</v>
      </c>
      <c r="U199" s="1107">
        <f>ROUND(NOMINA!BL178,2)</f>
        <v>25</v>
      </c>
      <c r="V199" s="1107">
        <f>ROUND(NOMINA!BM178,2)</f>
        <v>3.13</v>
      </c>
      <c r="W199" s="1107">
        <f>ROUND(+NOMINA!BN178,2)</f>
        <v>5.42</v>
      </c>
      <c r="X199" s="1108">
        <f t="shared" si="25"/>
        <v>42.37</v>
      </c>
      <c r="Y199" s="1107">
        <f>ROUND(NOMINA!BJ178,2)</f>
        <v>12.5</v>
      </c>
      <c r="Z199" s="1109">
        <f t="shared" si="22"/>
        <v>243.55</v>
      </c>
    </row>
    <row r="200" spans="1:26" s="620" customFormat="1" ht="20.100000000000001" customHeight="1" thickBot="1" x14ac:dyDescent="0.25">
      <c r="A200" s="758" t="s">
        <v>2846</v>
      </c>
      <c r="B200" s="508">
        <f t="shared" ca="1" si="21"/>
        <v>136</v>
      </c>
      <c r="C200" s="1102">
        <f>+NOMINA!C179</f>
        <v>16377628</v>
      </c>
      <c r="D200" s="1103" t="str">
        <f>+NOMINA!D179</f>
        <v>Peña Nava Maria Gabriela</v>
      </c>
      <c r="E200" s="1468" t="s">
        <v>4622</v>
      </c>
      <c r="F200" s="1704">
        <v>27853</v>
      </c>
      <c r="G200" s="1468" t="s">
        <v>4620</v>
      </c>
      <c r="H200" s="1705">
        <f>+NOMINA!H179</f>
        <v>44743</v>
      </c>
      <c r="I200" s="1105">
        <f>+NOMINA!I179</f>
        <v>3</v>
      </c>
      <c r="J200" s="1106">
        <f>+NOMINA!J179</f>
        <v>9</v>
      </c>
      <c r="K200" s="1105">
        <f t="shared" si="23"/>
        <v>12</v>
      </c>
      <c r="L200" s="1106" t="s">
        <v>4932</v>
      </c>
      <c r="M200" s="1106"/>
      <c r="N200" s="1443" t="str">
        <f>+NOMINA!O179</f>
        <v>Guia de Centro II</v>
      </c>
      <c r="O200" s="1107">
        <f>ROUND(NOMINA!W179,2)</f>
        <v>141.5</v>
      </c>
      <c r="P200" s="1107">
        <f>NOMINA!AF179</f>
        <v>19.53</v>
      </c>
      <c r="Q200" s="1107">
        <f>NOMINA!AH179</f>
        <v>65</v>
      </c>
      <c r="R200" s="1107">
        <f>NOMINA!AC179</f>
        <v>12.5</v>
      </c>
      <c r="S200" s="1107">
        <f>NOMINA!AJ179</f>
        <v>58.07</v>
      </c>
      <c r="T200" s="1108">
        <f t="shared" si="24"/>
        <v>93</v>
      </c>
      <c r="U200" s="1107">
        <f>ROUND(NOMINA!BL179,2)</f>
        <v>34.840000000000003</v>
      </c>
      <c r="V200" s="1107">
        <f>ROUND(NOMINA!BM179,2)</f>
        <v>4.3600000000000003</v>
      </c>
      <c r="W200" s="1107">
        <f>ROUND(+NOMINA!BN179,2)</f>
        <v>7.55</v>
      </c>
      <c r="X200" s="1108">
        <f t="shared" si="25"/>
        <v>32.590000000000003</v>
      </c>
      <c r="Y200" s="1107">
        <f>ROUND(NOMINA!BJ179,2)</f>
        <v>12.5</v>
      </c>
      <c r="Z200" s="1109">
        <f t="shared" si="22"/>
        <v>249.85000000000002</v>
      </c>
    </row>
    <row r="201" spans="1:26" s="620" customFormat="1" ht="20.100000000000001" customHeight="1" thickBot="1" x14ac:dyDescent="0.25">
      <c r="A201" s="758" t="s">
        <v>2846</v>
      </c>
      <c r="B201" s="508">
        <f t="shared" ca="1" si="21"/>
        <v>137</v>
      </c>
      <c r="C201" s="1102">
        <f>+NOMINA!C180</f>
        <v>16533566</v>
      </c>
      <c r="D201" s="1103" t="str">
        <f>+NOMINA!D180</f>
        <v>Materan Gallardo Vivian Katiana</v>
      </c>
      <c r="E201" s="1468" t="s">
        <v>4622</v>
      </c>
      <c r="F201" s="1704">
        <v>27853</v>
      </c>
      <c r="G201" s="1468" t="s">
        <v>4620</v>
      </c>
      <c r="H201" s="1705">
        <f>+NOMINA!H180</f>
        <v>44683</v>
      </c>
      <c r="I201" s="1105">
        <f>+NOMINA!I180</f>
        <v>3</v>
      </c>
      <c r="J201" s="1106">
        <f>+NOMINA!J180</f>
        <v>0</v>
      </c>
      <c r="K201" s="1105">
        <f t="shared" si="23"/>
        <v>3</v>
      </c>
      <c r="L201" s="1106" t="s">
        <v>4932</v>
      </c>
      <c r="M201" s="1106"/>
      <c r="N201" s="1443" t="str">
        <f>+NOMINA!O180</f>
        <v>Guia de Centro I</v>
      </c>
      <c r="O201" s="1107">
        <f>ROUND(NOMINA!W180,2)</f>
        <v>75</v>
      </c>
      <c r="P201" s="1107">
        <f>NOMINA!AF180</f>
        <v>2.25</v>
      </c>
      <c r="Q201" s="1107">
        <f>NOMINA!AH180</f>
        <v>65</v>
      </c>
      <c r="R201" s="1107">
        <f>NOMINA!AC180</f>
        <v>25</v>
      </c>
      <c r="S201" s="1107">
        <f>NOMINA!AJ180</f>
        <v>0</v>
      </c>
      <c r="T201" s="1108">
        <f t="shared" si="24"/>
        <v>127.6</v>
      </c>
      <c r="U201" s="1107">
        <f>ROUND(NOMINA!BL180,2)</f>
        <v>18.57</v>
      </c>
      <c r="V201" s="1107">
        <f>ROUND(NOMINA!BM180,2)</f>
        <v>2.3199999999999998</v>
      </c>
      <c r="W201" s="1107">
        <f>ROUND(+NOMINA!BN180,2)</f>
        <v>4.0199999999999996</v>
      </c>
      <c r="X201" s="1108">
        <f t="shared" si="25"/>
        <v>35.99</v>
      </c>
      <c r="Y201" s="1107">
        <f>ROUND(NOMINA!BJ180,2)</f>
        <v>12.5</v>
      </c>
      <c r="Z201" s="1109">
        <f t="shared" si="22"/>
        <v>142.34</v>
      </c>
    </row>
    <row r="202" spans="1:26" s="620" customFormat="1" ht="20.100000000000001" customHeight="1" thickBot="1" x14ac:dyDescent="0.25">
      <c r="A202" s="758" t="s">
        <v>2846</v>
      </c>
      <c r="B202" s="508">
        <f t="shared" ca="1" si="21"/>
        <v>138</v>
      </c>
      <c r="C202" s="1102">
        <f>+NOMINA!C181</f>
        <v>16533615</v>
      </c>
      <c r="D202" s="1103" t="str">
        <f>+NOMINA!D181</f>
        <v>Valero Sulbaran Urquia Del Mar</v>
      </c>
      <c r="E202" s="1468" t="s">
        <v>4622</v>
      </c>
      <c r="F202" s="1704">
        <v>27853</v>
      </c>
      <c r="G202" s="1468" t="s">
        <v>4620</v>
      </c>
      <c r="H202" s="1705">
        <f>+NOMINA!H181</f>
        <v>45474</v>
      </c>
      <c r="I202" s="1105">
        <f>+NOMINA!I181</f>
        <v>1</v>
      </c>
      <c r="J202" s="1106">
        <f>+NOMINA!J181</f>
        <v>0</v>
      </c>
      <c r="K202" s="1105">
        <f t="shared" si="23"/>
        <v>1</v>
      </c>
      <c r="L202" s="1106" t="s">
        <v>4932</v>
      </c>
      <c r="M202" s="1106"/>
      <c r="N202" s="1443" t="str">
        <f>+NOMINA!O181</f>
        <v>Guia de Centro I</v>
      </c>
      <c r="O202" s="1107">
        <f>ROUND(NOMINA!W181,2)</f>
        <v>123</v>
      </c>
      <c r="P202" s="1107">
        <f>NOMINA!AF181</f>
        <v>1.23</v>
      </c>
      <c r="Q202" s="1107">
        <f>NOMINA!AH181</f>
        <v>65</v>
      </c>
      <c r="R202" s="1107">
        <f>NOMINA!AC181</f>
        <v>12.5</v>
      </c>
      <c r="S202" s="1107">
        <f>NOMINA!AJ181</f>
        <v>48.87</v>
      </c>
      <c r="T202" s="1108">
        <f t="shared" si="24"/>
        <v>126.94</v>
      </c>
      <c r="U202" s="1107">
        <f>ROUND(NOMINA!BL181,2)</f>
        <v>29.32</v>
      </c>
      <c r="V202" s="1107">
        <f>ROUND(NOMINA!BM181,2)</f>
        <v>3.67</v>
      </c>
      <c r="W202" s="1107">
        <f>ROUND(+NOMINA!BN181,2)</f>
        <v>6.35</v>
      </c>
      <c r="X202" s="1108">
        <f t="shared" si="25"/>
        <v>27.51</v>
      </c>
      <c r="Y202" s="1107">
        <f>ROUND(NOMINA!BJ181,2)</f>
        <v>12.5</v>
      </c>
      <c r="Z202" s="1109">
        <f t="shared" si="22"/>
        <v>211.26000000000002</v>
      </c>
    </row>
    <row r="203" spans="1:26" s="620" customFormat="1" ht="20.100000000000001" customHeight="1" thickBot="1" x14ac:dyDescent="0.25">
      <c r="A203" s="758" t="s">
        <v>2846</v>
      </c>
      <c r="B203" s="508">
        <f t="shared" ca="1" si="21"/>
        <v>139</v>
      </c>
      <c r="C203" s="1102">
        <f>+NOMINA!C182</f>
        <v>16533986</v>
      </c>
      <c r="D203" s="1103" t="str">
        <f>+NOMINA!D182</f>
        <v>Serrada Bustos Gladys Magaly</v>
      </c>
      <c r="E203" s="1468" t="s">
        <v>4622</v>
      </c>
      <c r="F203" s="1704">
        <v>27853</v>
      </c>
      <c r="G203" s="1468" t="s">
        <v>4620</v>
      </c>
      <c r="H203" s="1705">
        <f>+NOMINA!H182</f>
        <v>42948</v>
      </c>
      <c r="I203" s="1105">
        <f>+NOMINA!I182</f>
        <v>8</v>
      </c>
      <c r="J203" s="1106">
        <f>+NOMINA!J182</f>
        <v>0</v>
      </c>
      <c r="K203" s="1105">
        <f t="shared" si="23"/>
        <v>8</v>
      </c>
      <c r="L203" s="1106" t="s">
        <v>4932</v>
      </c>
      <c r="M203" s="1106"/>
      <c r="N203" s="1443" t="str">
        <f>+NOMINA!O182</f>
        <v>INGENIERO ELECTRICISTA JEFE</v>
      </c>
      <c r="O203" s="1107">
        <f>ROUND(NOMINA!W182,2)</f>
        <v>139.5</v>
      </c>
      <c r="P203" s="1107">
        <f>NOMINA!AF182</f>
        <v>12</v>
      </c>
      <c r="Q203" s="1107">
        <f>NOMINA!AH182</f>
        <v>65</v>
      </c>
      <c r="R203" s="1107">
        <f>NOMINA!AC182</f>
        <v>12.5</v>
      </c>
      <c r="S203" s="1107">
        <f>NOMINA!AJ182</f>
        <v>55.69</v>
      </c>
      <c r="T203" s="1108">
        <f t="shared" si="24"/>
        <v>145.74</v>
      </c>
      <c r="U203" s="1107">
        <f>ROUND(NOMINA!BL182,2)</f>
        <v>25.7</v>
      </c>
      <c r="V203" s="1107">
        <f>ROUND(NOMINA!BM182,2)</f>
        <v>3.21</v>
      </c>
      <c r="W203" s="1107">
        <f>ROUND(+NOMINA!BN182,2)</f>
        <v>5.57</v>
      </c>
      <c r="X203" s="1108">
        <f t="shared" si="25"/>
        <v>41.08</v>
      </c>
      <c r="Y203" s="1107">
        <f>ROUND(NOMINA!BJ182,2)</f>
        <v>12.5</v>
      </c>
      <c r="Z203" s="1109">
        <f t="shared" si="22"/>
        <v>250.20999999999998</v>
      </c>
    </row>
    <row r="204" spans="1:26" s="620" customFormat="1" ht="20.100000000000001" customHeight="1" thickBot="1" x14ac:dyDescent="0.25">
      <c r="A204" s="758" t="s">
        <v>2846</v>
      </c>
      <c r="B204" s="508">
        <f t="shared" ca="1" si="21"/>
        <v>140</v>
      </c>
      <c r="C204" s="1102">
        <f>+NOMINA!C183</f>
        <v>16739081</v>
      </c>
      <c r="D204" s="1103" t="str">
        <f>+NOMINA!D183</f>
        <v>Albarran Araujo Yely Coromoto</v>
      </c>
      <c r="E204" s="1468" t="s">
        <v>4622</v>
      </c>
      <c r="F204" s="1704">
        <v>27853</v>
      </c>
      <c r="G204" s="1468" t="s">
        <v>4620</v>
      </c>
      <c r="H204" s="1705">
        <f>+NOMINA!H183</f>
        <v>42948</v>
      </c>
      <c r="I204" s="1105">
        <f>+NOMINA!I183</f>
        <v>8</v>
      </c>
      <c r="J204" s="1106">
        <f>+NOMINA!J183</f>
        <v>0</v>
      </c>
      <c r="K204" s="1105">
        <f t="shared" si="23"/>
        <v>8</v>
      </c>
      <c r="L204" s="1106" t="s">
        <v>4932</v>
      </c>
      <c r="M204" s="1106"/>
      <c r="N204" s="1443" t="str">
        <f>+NOMINA!O183</f>
        <v>Asistente Administrativo III</v>
      </c>
      <c r="O204" s="1107">
        <f>ROUND(NOMINA!W183,2)</f>
        <v>0</v>
      </c>
      <c r="P204" s="1107">
        <f>NOMINA!AF183</f>
        <v>0</v>
      </c>
      <c r="Q204" s="1107">
        <f>NOMINA!AH183</f>
        <v>0</v>
      </c>
      <c r="R204" s="1107">
        <f>NOMINA!AC183</f>
        <v>0</v>
      </c>
      <c r="S204" s="1107">
        <f>NOMINA!AJ183</f>
        <v>0</v>
      </c>
      <c r="T204" s="1108">
        <f t="shared" si="24"/>
        <v>187.64</v>
      </c>
      <c r="U204" s="1107">
        <f>ROUND(NOMINA!BL183,2)</f>
        <v>0</v>
      </c>
      <c r="V204" s="1107">
        <f>ROUND(NOMINA!BM183,2)</f>
        <v>0</v>
      </c>
      <c r="W204" s="1107">
        <f>ROUND(+NOMINA!BN183,2)</f>
        <v>0</v>
      </c>
      <c r="X204" s="1108">
        <f t="shared" si="25"/>
        <v>44.83</v>
      </c>
      <c r="Y204" s="1107">
        <f>ROUND(NOMINA!BJ183,2)</f>
        <v>0</v>
      </c>
      <c r="Z204" s="1109">
        <f t="shared" si="22"/>
        <v>0</v>
      </c>
    </row>
    <row r="205" spans="1:26" s="620" customFormat="1" ht="20.100000000000001" customHeight="1" thickBot="1" x14ac:dyDescent="0.25">
      <c r="A205" s="758" t="s">
        <v>2846</v>
      </c>
      <c r="B205" s="508">
        <f t="shared" ca="1" si="21"/>
        <v>141</v>
      </c>
      <c r="C205" s="1102">
        <f>+NOMINA!C184</f>
        <v>16740261</v>
      </c>
      <c r="D205" s="1103" t="str">
        <f>+NOMINA!D184</f>
        <v>Rivas Briceño Nathaly Del Carmen</v>
      </c>
      <c r="E205" s="1468" t="s">
        <v>4622</v>
      </c>
      <c r="F205" s="1704">
        <v>27853</v>
      </c>
      <c r="G205" s="1468" t="s">
        <v>4620</v>
      </c>
      <c r="H205" s="1705">
        <f>+NOMINA!H184</f>
        <v>45505</v>
      </c>
      <c r="I205" s="1105">
        <f>+NOMINA!I184</f>
        <v>1</v>
      </c>
      <c r="J205" s="1106">
        <f>+NOMINA!J184</f>
        <v>0</v>
      </c>
      <c r="K205" s="1105">
        <f t="shared" si="23"/>
        <v>1</v>
      </c>
      <c r="L205" s="1106" t="s">
        <v>4932</v>
      </c>
      <c r="M205" s="1106"/>
      <c r="N205" s="1443" t="str">
        <f>+NOMINA!O184</f>
        <v>Tecnico Superior en Trabajo Social I</v>
      </c>
      <c r="O205" s="1107">
        <f>ROUND(NOMINA!W184,2)</f>
        <v>96</v>
      </c>
      <c r="P205" s="1107">
        <f>NOMINA!AF184</f>
        <v>0.96</v>
      </c>
      <c r="Q205" s="1107">
        <f>NOMINA!AH184</f>
        <v>65</v>
      </c>
      <c r="R205" s="1107">
        <f>NOMINA!AC184</f>
        <v>12.5</v>
      </c>
      <c r="S205" s="1107">
        <f>NOMINA!AJ184</f>
        <v>33.64</v>
      </c>
      <c r="T205" s="1108">
        <f t="shared" si="24"/>
        <v>0</v>
      </c>
      <c r="U205" s="1107">
        <f>ROUND(NOMINA!BL184,2)</f>
        <v>18.63</v>
      </c>
      <c r="V205" s="1107">
        <f>ROUND(NOMINA!BM184,2)</f>
        <v>2.33</v>
      </c>
      <c r="W205" s="1107">
        <f>ROUND(+NOMINA!BN184,2)</f>
        <v>4.04</v>
      </c>
      <c r="X205" s="1108">
        <f t="shared" si="25"/>
        <v>33.33</v>
      </c>
      <c r="Y205" s="1107">
        <f>ROUND(NOMINA!BJ184,2)</f>
        <v>12.5</v>
      </c>
      <c r="Z205" s="1109">
        <f t="shared" si="22"/>
        <v>183.09999999999997</v>
      </c>
    </row>
    <row r="206" spans="1:26" s="620" customFormat="1" ht="20.100000000000001" customHeight="1" thickBot="1" x14ac:dyDescent="0.25">
      <c r="A206" s="758" t="s">
        <v>2846</v>
      </c>
      <c r="B206" s="508">
        <f t="shared" ca="1" si="21"/>
        <v>142</v>
      </c>
      <c r="C206" s="1102">
        <f>+NOMINA!C185</f>
        <v>16881384</v>
      </c>
      <c r="D206" s="1103" t="str">
        <f>+NOMINA!D185</f>
        <v>Perez Ramirez Yonathan Jesus</v>
      </c>
      <c r="E206" s="1468" t="s">
        <v>4622</v>
      </c>
      <c r="F206" s="1704">
        <v>27853</v>
      </c>
      <c r="G206" s="1468" t="s">
        <v>4620</v>
      </c>
      <c r="H206" s="1705">
        <f>+NOMINA!H185</f>
        <v>43906</v>
      </c>
      <c r="I206" s="1105">
        <f>+NOMINA!I185</f>
        <v>5</v>
      </c>
      <c r="J206" s="1106">
        <f>+NOMINA!J185</f>
        <v>9</v>
      </c>
      <c r="K206" s="1105">
        <f t="shared" si="23"/>
        <v>14</v>
      </c>
      <c r="L206" s="1106" t="s">
        <v>4932</v>
      </c>
      <c r="M206" s="1106"/>
      <c r="N206" s="1443" t="str">
        <f>+NOMINA!O185</f>
        <v>Guia de Centro II</v>
      </c>
      <c r="O206" s="1107">
        <f>ROUND(NOMINA!W185,2)</f>
        <v>112.5</v>
      </c>
      <c r="P206" s="1107">
        <f>NOMINA!AF185</f>
        <v>18.68</v>
      </c>
      <c r="Q206" s="1107">
        <f>NOMINA!AH185</f>
        <v>65</v>
      </c>
      <c r="R206" s="1107">
        <f>NOMINA!AC185</f>
        <v>0</v>
      </c>
      <c r="S206" s="1107">
        <f>NOMINA!AJ185</f>
        <v>39.24</v>
      </c>
      <c r="T206" s="1108">
        <f t="shared" si="24"/>
        <v>161.69</v>
      </c>
      <c r="U206" s="1107">
        <f>ROUND(NOMINA!BL185,2)</f>
        <v>28.25</v>
      </c>
      <c r="V206" s="1107">
        <f>ROUND(NOMINA!BM185,2)</f>
        <v>3.53</v>
      </c>
      <c r="W206" s="1107">
        <f>ROUND(+NOMINA!BN185,2)</f>
        <v>6.12</v>
      </c>
      <c r="X206" s="1108">
        <f t="shared" si="25"/>
        <v>37.340000000000003</v>
      </c>
      <c r="Y206" s="1107">
        <f>ROUND(NOMINA!BJ185,2)</f>
        <v>12.5</v>
      </c>
      <c r="Z206" s="1109">
        <f t="shared" si="22"/>
        <v>197.52</v>
      </c>
    </row>
    <row r="207" spans="1:26" s="620" customFormat="1" ht="20.100000000000001" customHeight="1" thickBot="1" x14ac:dyDescent="0.25">
      <c r="A207" s="758" t="s">
        <v>2846</v>
      </c>
      <c r="B207" s="508">
        <f t="shared" ca="1" si="21"/>
        <v>143</v>
      </c>
      <c r="C207" s="1102">
        <f>+NOMINA!C186</f>
        <v>16882467</v>
      </c>
      <c r="D207" s="1103" t="str">
        <f>+NOMINA!D186</f>
        <v>Mejia Araujo Sandra Coromoto</v>
      </c>
      <c r="E207" s="1468" t="s">
        <v>4622</v>
      </c>
      <c r="F207" s="1704">
        <v>27853</v>
      </c>
      <c r="G207" s="1468" t="s">
        <v>4620</v>
      </c>
      <c r="H207" s="1705">
        <f>+NOMINA!H186</f>
        <v>42948</v>
      </c>
      <c r="I207" s="1105">
        <f>+NOMINA!I186</f>
        <v>8</v>
      </c>
      <c r="J207" s="1106">
        <f>+NOMINA!J186</f>
        <v>7</v>
      </c>
      <c r="K207" s="1105">
        <f t="shared" si="23"/>
        <v>15</v>
      </c>
      <c r="L207" s="1106" t="s">
        <v>4932</v>
      </c>
      <c r="M207" s="1106"/>
      <c r="N207" s="1443" t="str">
        <f>+NOMINA!O186</f>
        <v>Analista de Personal IV</v>
      </c>
      <c r="O207" s="1107">
        <f>ROUND(NOMINA!W186,2)</f>
        <v>142.5</v>
      </c>
      <c r="P207" s="1107">
        <f>NOMINA!AF186</f>
        <v>25.65</v>
      </c>
      <c r="Q207" s="1107">
        <f>NOMINA!AH186</f>
        <v>65</v>
      </c>
      <c r="R207" s="1107">
        <f>NOMINA!AC186</f>
        <v>0</v>
      </c>
      <c r="S207" s="1107">
        <f>NOMINA!AJ186</f>
        <v>58.29</v>
      </c>
      <c r="T207" s="1108">
        <f t="shared" si="24"/>
        <v>161.69</v>
      </c>
      <c r="U207" s="1107">
        <f>ROUND(NOMINA!BL186,2)</f>
        <v>26.9</v>
      </c>
      <c r="V207" s="1107">
        <f>ROUND(NOMINA!BM186,2)</f>
        <v>3.36</v>
      </c>
      <c r="W207" s="1107">
        <f>ROUND(+NOMINA!BN186,2)</f>
        <v>5.83</v>
      </c>
      <c r="X207" s="1108">
        <f t="shared" si="25"/>
        <v>0</v>
      </c>
      <c r="Y207" s="1107">
        <f>ROUND(NOMINA!BJ186,2)</f>
        <v>12.5</v>
      </c>
      <c r="Z207" s="1109">
        <f t="shared" si="22"/>
        <v>255.35</v>
      </c>
    </row>
    <row r="208" spans="1:26" s="620" customFormat="1" ht="20.100000000000001" customHeight="1" thickBot="1" x14ac:dyDescent="0.25">
      <c r="A208" s="758" t="s">
        <v>2846</v>
      </c>
      <c r="B208" s="508">
        <f t="shared" ca="1" si="21"/>
        <v>144</v>
      </c>
      <c r="C208" s="1102">
        <f>+NOMINA!C187</f>
        <v>16883267</v>
      </c>
      <c r="D208" s="1103" t="str">
        <f>+NOMINA!D187</f>
        <v>Matheus Rondon Aida</v>
      </c>
      <c r="E208" s="1468" t="s">
        <v>4622</v>
      </c>
      <c r="F208" s="1704">
        <v>27853</v>
      </c>
      <c r="G208" s="1468" t="s">
        <v>4620</v>
      </c>
      <c r="H208" s="1705">
        <f>+NOMINA!H187</f>
        <v>38930</v>
      </c>
      <c r="I208" s="1105">
        <f>+NOMINA!I187</f>
        <v>19</v>
      </c>
      <c r="J208" s="1106">
        <f>+NOMINA!J187</f>
        <v>0</v>
      </c>
      <c r="K208" s="1105">
        <f t="shared" si="23"/>
        <v>19</v>
      </c>
      <c r="L208" s="1106" t="s">
        <v>4932</v>
      </c>
      <c r="M208" s="1106"/>
      <c r="N208" s="1443" t="str">
        <f>+NOMINA!O187</f>
        <v>Guia de Centro II</v>
      </c>
      <c r="O208" s="1107">
        <f>ROUND(NOMINA!W187,2)</f>
        <v>114</v>
      </c>
      <c r="P208" s="1107">
        <f>NOMINA!AF187</f>
        <v>27.82</v>
      </c>
      <c r="Q208" s="1107">
        <f>NOMINA!AH187</f>
        <v>65</v>
      </c>
      <c r="R208" s="1107">
        <f>NOMINA!AC187</f>
        <v>0</v>
      </c>
      <c r="S208" s="1107">
        <f>NOMINA!AJ187</f>
        <v>41.37</v>
      </c>
      <c r="T208" s="1108">
        <f t="shared" si="24"/>
        <v>114.1</v>
      </c>
      <c r="U208" s="1107">
        <f>ROUND(NOMINA!BL187,2)</f>
        <v>22.91</v>
      </c>
      <c r="V208" s="1107">
        <f>ROUND(NOMINA!BM187,2)</f>
        <v>2.86</v>
      </c>
      <c r="W208" s="1107">
        <f>ROUND(+NOMINA!BN187,2)</f>
        <v>4.96</v>
      </c>
      <c r="X208" s="1108">
        <f t="shared" si="25"/>
        <v>39.630000000000003</v>
      </c>
      <c r="Y208" s="1107">
        <f>ROUND(NOMINA!BJ187,2)</f>
        <v>12.5</v>
      </c>
      <c r="Z208" s="1109">
        <f t="shared" si="22"/>
        <v>217.46</v>
      </c>
    </row>
    <row r="209" spans="1:26" s="620" customFormat="1" ht="20.100000000000001" customHeight="1" thickBot="1" x14ac:dyDescent="0.25">
      <c r="A209" s="758" t="s">
        <v>2846</v>
      </c>
      <c r="B209" s="508">
        <f t="shared" ca="1" si="21"/>
        <v>145</v>
      </c>
      <c r="C209" s="1102">
        <f>+NOMINA!C188</f>
        <v>17037244</v>
      </c>
      <c r="D209" s="1103" t="str">
        <f>+NOMINA!D188</f>
        <v>Bastidas Yelitza del Carmen</v>
      </c>
      <c r="E209" s="1468" t="s">
        <v>4622</v>
      </c>
      <c r="F209" s="1704">
        <v>27853</v>
      </c>
      <c r="G209" s="1468" t="s">
        <v>4620</v>
      </c>
      <c r="H209" s="1705">
        <f>+NOMINA!H188</f>
        <v>40087</v>
      </c>
      <c r="I209" s="1105">
        <f>+NOMINA!I188</f>
        <v>15</v>
      </c>
      <c r="J209" s="1106">
        <f>+NOMINA!J188</f>
        <v>0</v>
      </c>
      <c r="K209" s="1105">
        <f t="shared" si="23"/>
        <v>15</v>
      </c>
      <c r="L209" s="1106" t="s">
        <v>4932</v>
      </c>
      <c r="M209" s="1106"/>
      <c r="N209" s="1443" t="str">
        <f>+NOMINA!O188</f>
        <v>Guia de Centro II</v>
      </c>
      <c r="O209" s="1107">
        <f>ROUND(NOMINA!W188,2)</f>
        <v>113</v>
      </c>
      <c r="P209" s="1107">
        <f>NOMINA!AF188</f>
        <v>20.34</v>
      </c>
      <c r="Q209" s="1107">
        <f>NOMINA!AH188</f>
        <v>65</v>
      </c>
      <c r="R209" s="1107">
        <f>NOMINA!AC188</f>
        <v>25</v>
      </c>
      <c r="S209" s="1107">
        <f>NOMINA!AJ188</f>
        <v>42.17</v>
      </c>
      <c r="T209" s="1108">
        <f t="shared" si="24"/>
        <v>118.91</v>
      </c>
      <c r="U209" s="1107">
        <f>ROUND(NOMINA!BL188,2)</f>
        <v>30.36</v>
      </c>
      <c r="V209" s="1107">
        <f>ROUND(NOMINA!BM188,2)</f>
        <v>3.8</v>
      </c>
      <c r="W209" s="1107">
        <f>ROUND(+NOMINA!BN188,2)</f>
        <v>6.58</v>
      </c>
      <c r="X209" s="1108">
        <f t="shared" si="25"/>
        <v>38.29</v>
      </c>
      <c r="Y209" s="1107">
        <f>ROUND(NOMINA!BJ188,2)</f>
        <v>12.5</v>
      </c>
      <c r="Z209" s="1109">
        <f t="shared" si="22"/>
        <v>224.76999999999998</v>
      </c>
    </row>
    <row r="210" spans="1:26" s="620" customFormat="1" ht="20.100000000000001" customHeight="1" thickBot="1" x14ac:dyDescent="0.25">
      <c r="A210" s="758" t="s">
        <v>2846</v>
      </c>
      <c r="B210" s="508">
        <f t="shared" ca="1" si="21"/>
        <v>146</v>
      </c>
      <c r="C210" s="1102">
        <f>+NOMINA!C189</f>
        <v>17038061</v>
      </c>
      <c r="D210" s="1103" t="str">
        <f>+NOMINA!D189</f>
        <v>Ruendez Araujo Omaira del Carmen</v>
      </c>
      <c r="E210" s="1468" t="s">
        <v>4622</v>
      </c>
      <c r="F210" s="1704">
        <v>27853</v>
      </c>
      <c r="G210" s="1468" t="s">
        <v>4620</v>
      </c>
      <c r="H210" s="1705">
        <f>+NOMINA!H189</f>
        <v>45809</v>
      </c>
      <c r="I210" s="1105">
        <f>+NOMINA!I189</f>
        <v>0</v>
      </c>
      <c r="J210" s="1106">
        <f>+NOMINA!J189</f>
        <v>1</v>
      </c>
      <c r="K210" s="1105">
        <f t="shared" si="23"/>
        <v>1</v>
      </c>
      <c r="L210" s="1106" t="s">
        <v>4932</v>
      </c>
      <c r="M210" s="1106"/>
      <c r="N210" s="1443" t="str">
        <f>+NOMINA!O189</f>
        <v>Guia de Centro I</v>
      </c>
      <c r="O210" s="1107">
        <f>ROUND(NOMINA!W189,2)</f>
        <v>65</v>
      </c>
      <c r="P210" s="1107">
        <f>NOMINA!AF189</f>
        <v>0.65</v>
      </c>
      <c r="Q210" s="1107">
        <f>NOMINA!AH189</f>
        <v>65</v>
      </c>
      <c r="R210" s="1107">
        <f>NOMINA!AC189</f>
        <v>25</v>
      </c>
      <c r="S210" s="1107">
        <f>NOMINA!AJ189</f>
        <v>0</v>
      </c>
      <c r="T210" s="1108">
        <f t="shared" si="24"/>
        <v>154.68</v>
      </c>
      <c r="U210" s="1107">
        <f>ROUND(NOMINA!BL189,2)</f>
        <v>17.18</v>
      </c>
      <c r="V210" s="1107">
        <f>ROUND(NOMINA!BM189,2)</f>
        <v>2.15</v>
      </c>
      <c r="W210" s="1107">
        <f>ROUND(+NOMINA!BN189,2)</f>
        <v>3.72</v>
      </c>
      <c r="X210" s="1108">
        <f t="shared" si="25"/>
        <v>45.75</v>
      </c>
      <c r="Y210" s="1107">
        <f>ROUND(NOMINA!BJ189,2)</f>
        <v>12.5</v>
      </c>
      <c r="Z210" s="1109">
        <f t="shared" si="22"/>
        <v>132.60000000000002</v>
      </c>
    </row>
    <row r="211" spans="1:26" s="620" customFormat="1" ht="20.100000000000001" customHeight="1" thickBot="1" x14ac:dyDescent="0.25">
      <c r="A211" s="758" t="s">
        <v>2846</v>
      </c>
      <c r="B211" s="508">
        <f t="shared" ca="1" si="21"/>
        <v>147</v>
      </c>
      <c r="C211" s="1102">
        <f>+NOMINA!C190</f>
        <v>17094419</v>
      </c>
      <c r="D211" s="1103" t="str">
        <f>+NOMINA!D190</f>
        <v>Aponte Rivera Lenismar del Valle</v>
      </c>
      <c r="E211" s="1468" t="s">
        <v>4622</v>
      </c>
      <c r="F211" s="1704">
        <v>27853</v>
      </c>
      <c r="G211" s="1468" t="s">
        <v>4620</v>
      </c>
      <c r="H211" s="1705">
        <f>+NOMINA!H190</f>
        <v>44409</v>
      </c>
      <c r="I211" s="1105">
        <f>+NOMINA!I190</f>
        <v>4</v>
      </c>
      <c r="J211" s="1106">
        <f>+NOMINA!J190</f>
        <v>0</v>
      </c>
      <c r="K211" s="1105">
        <f t="shared" si="23"/>
        <v>4</v>
      </c>
      <c r="L211" s="1106" t="s">
        <v>4932</v>
      </c>
      <c r="M211" s="1106"/>
      <c r="N211" s="1443" t="str">
        <f>+NOMINA!O190</f>
        <v>Guia de Centro I</v>
      </c>
      <c r="O211" s="1107">
        <f>ROUND(NOMINA!W190,2)</f>
        <v>75</v>
      </c>
      <c r="P211" s="1107">
        <f>NOMINA!AF190</f>
        <v>3</v>
      </c>
      <c r="Q211" s="1107">
        <f>NOMINA!AH190</f>
        <v>65</v>
      </c>
      <c r="R211" s="1107">
        <f>NOMINA!AC190</f>
        <v>12.5</v>
      </c>
      <c r="S211" s="1107">
        <f>NOMINA!AJ190</f>
        <v>0</v>
      </c>
      <c r="T211" s="1108">
        <f t="shared" si="24"/>
        <v>145.19</v>
      </c>
      <c r="U211" s="1107">
        <f>ROUND(NOMINA!BL190,2)</f>
        <v>17.91</v>
      </c>
      <c r="V211" s="1107">
        <f>ROUND(NOMINA!BM190,2)</f>
        <v>2.2400000000000002</v>
      </c>
      <c r="W211" s="1107">
        <f>ROUND(+NOMINA!BN190,2)</f>
        <v>3.88</v>
      </c>
      <c r="X211" s="1108">
        <f t="shared" si="25"/>
        <v>27.36</v>
      </c>
      <c r="Y211" s="1107">
        <f>ROUND(NOMINA!BJ190,2)</f>
        <v>12.5</v>
      </c>
      <c r="Z211" s="1109">
        <f t="shared" si="22"/>
        <v>131.47</v>
      </c>
    </row>
    <row r="212" spans="1:26" s="620" customFormat="1" ht="20.100000000000001" customHeight="1" thickBot="1" x14ac:dyDescent="0.25">
      <c r="A212" s="758" t="s">
        <v>2846</v>
      </c>
      <c r="B212" s="508">
        <f t="shared" ca="1" si="21"/>
        <v>148</v>
      </c>
      <c r="C212" s="1102">
        <f>+NOMINA!C191</f>
        <v>17094426</v>
      </c>
      <c r="D212" s="1103" t="str">
        <f>+NOMINA!D191</f>
        <v>Manzanilla Araujo Richard Jose</v>
      </c>
      <c r="E212" s="1468" t="s">
        <v>4622</v>
      </c>
      <c r="F212" s="1704">
        <v>27853</v>
      </c>
      <c r="G212" s="1468" t="s">
        <v>4620</v>
      </c>
      <c r="H212" s="1705">
        <f>+NOMINA!H191</f>
        <v>43344</v>
      </c>
      <c r="I212" s="1105">
        <f>+NOMINA!I191</f>
        <v>7</v>
      </c>
      <c r="J212" s="1106">
        <f>+NOMINA!J191</f>
        <v>0</v>
      </c>
      <c r="K212" s="1105">
        <f t="shared" si="23"/>
        <v>7</v>
      </c>
      <c r="L212" s="1106" t="s">
        <v>4932</v>
      </c>
      <c r="M212" s="1106"/>
      <c r="N212" s="1443" t="str">
        <f>+NOMINA!O191</f>
        <v>Guia de Centro II</v>
      </c>
      <c r="O212" s="1107">
        <f>ROUND(NOMINA!W191,2)</f>
        <v>139.5</v>
      </c>
      <c r="P212" s="1107">
        <f>NOMINA!AF191</f>
        <v>10.33</v>
      </c>
      <c r="Q212" s="1107">
        <f>NOMINA!AH191</f>
        <v>65</v>
      </c>
      <c r="R212" s="1107">
        <f>NOMINA!AC191</f>
        <v>12.5</v>
      </c>
      <c r="S212" s="1107">
        <f>NOMINA!AJ191</f>
        <v>55.27</v>
      </c>
      <c r="T212" s="1108">
        <f t="shared" si="24"/>
        <v>136.87</v>
      </c>
      <c r="U212" s="1107">
        <f>ROUND(NOMINA!BL191,2)</f>
        <v>33.159999999999997</v>
      </c>
      <c r="V212" s="1107">
        <f>ROUND(NOMINA!BM191,2)</f>
        <v>4.1500000000000004</v>
      </c>
      <c r="W212" s="1107">
        <f>ROUND(+NOMINA!BN191,2)</f>
        <v>7.19</v>
      </c>
      <c r="X212" s="1108">
        <f t="shared" si="25"/>
        <v>43.6</v>
      </c>
      <c r="Y212" s="1107">
        <f>ROUND(NOMINA!BJ191,2)</f>
        <v>12.5</v>
      </c>
      <c r="Z212" s="1109">
        <f t="shared" si="22"/>
        <v>238.10000000000002</v>
      </c>
    </row>
    <row r="213" spans="1:26" s="620" customFormat="1" ht="20.100000000000001" customHeight="1" thickBot="1" x14ac:dyDescent="0.25">
      <c r="A213" s="758" t="s">
        <v>2846</v>
      </c>
      <c r="B213" s="508">
        <f t="shared" ca="1" si="21"/>
        <v>149</v>
      </c>
      <c r="C213" s="1102">
        <f>+NOMINA!C192</f>
        <v>17130893</v>
      </c>
      <c r="D213" s="1103" t="str">
        <f>+NOMINA!D192</f>
        <v>Leon Valero Ceila Maria</v>
      </c>
      <c r="E213" s="1468" t="s">
        <v>4622</v>
      </c>
      <c r="F213" s="1704">
        <v>27853</v>
      </c>
      <c r="G213" s="1468" t="s">
        <v>4620</v>
      </c>
      <c r="H213" s="1705">
        <f>+NOMINA!H192</f>
        <v>39602</v>
      </c>
      <c r="I213" s="1105">
        <f>+NOMINA!I192</f>
        <v>17</v>
      </c>
      <c r="J213" s="1106">
        <f>+NOMINA!J192</f>
        <v>0</v>
      </c>
      <c r="K213" s="1105">
        <f t="shared" si="23"/>
        <v>17</v>
      </c>
      <c r="L213" s="1106" t="s">
        <v>4932</v>
      </c>
      <c r="M213" s="1106"/>
      <c r="N213" s="1443" t="str">
        <f>+NOMINA!O192</f>
        <v>Tutor Facilitador III</v>
      </c>
      <c r="O213" s="1107">
        <f>ROUND(NOMINA!W192,2)</f>
        <v>142.5</v>
      </c>
      <c r="P213" s="1107">
        <f>NOMINA!AF192</f>
        <v>30.21</v>
      </c>
      <c r="Q213" s="1107">
        <f>NOMINA!AH192</f>
        <v>65</v>
      </c>
      <c r="R213" s="1107">
        <f>NOMINA!AC192</f>
        <v>25</v>
      </c>
      <c r="S213" s="1107">
        <f>NOMINA!AJ192</f>
        <v>62.56</v>
      </c>
      <c r="T213" s="1108">
        <f t="shared" si="24"/>
        <v>158.03</v>
      </c>
      <c r="U213" s="1107">
        <f>ROUND(NOMINA!BL192,2)</f>
        <v>28.87</v>
      </c>
      <c r="V213" s="1107">
        <f>ROUND(NOMINA!BM192,2)</f>
        <v>3.61</v>
      </c>
      <c r="W213" s="1107">
        <f>ROUND(+NOMINA!BN192,2)</f>
        <v>6.26</v>
      </c>
      <c r="X213" s="1108">
        <f t="shared" si="25"/>
        <v>22.01</v>
      </c>
      <c r="Y213" s="1107">
        <f>ROUND(NOMINA!BJ192,2)</f>
        <v>12.5</v>
      </c>
      <c r="Z213" s="1109">
        <f t="shared" si="22"/>
        <v>286.53000000000003</v>
      </c>
    </row>
    <row r="214" spans="1:26" s="620" customFormat="1" ht="20.100000000000001" customHeight="1" thickBot="1" x14ac:dyDescent="0.25">
      <c r="A214" s="758" t="s">
        <v>2846</v>
      </c>
      <c r="B214" s="508">
        <f t="shared" ca="1" si="21"/>
        <v>150</v>
      </c>
      <c r="C214" s="1102">
        <f>+NOMINA!C193</f>
        <v>17265578</v>
      </c>
      <c r="D214" s="1103" t="str">
        <f>+NOMINA!D193</f>
        <v>Briceño Aguilar Rebeca Andreina</v>
      </c>
      <c r="E214" s="1468" t="s">
        <v>4622</v>
      </c>
      <c r="F214" s="1704">
        <v>27853</v>
      </c>
      <c r="G214" s="1468" t="s">
        <v>4620</v>
      </c>
      <c r="H214" s="1705">
        <f>+NOMINA!H193</f>
        <v>45047</v>
      </c>
      <c r="I214" s="1105">
        <f>+NOMINA!I193</f>
        <v>2</v>
      </c>
      <c r="J214" s="1106">
        <f>+NOMINA!J193</f>
        <v>2</v>
      </c>
      <c r="K214" s="1105">
        <f t="shared" si="23"/>
        <v>4</v>
      </c>
      <c r="L214" s="1106" t="s">
        <v>4932</v>
      </c>
      <c r="M214" s="1106"/>
      <c r="N214" s="1443" t="str">
        <f>+NOMINA!O193</f>
        <v>Tecnico Superior en Trabajo Social II</v>
      </c>
      <c r="O214" s="1107">
        <f>ROUND(NOMINA!W193,2)</f>
        <v>109.5</v>
      </c>
      <c r="P214" s="1107">
        <f>NOMINA!AF193</f>
        <v>4.38</v>
      </c>
      <c r="Q214" s="1107">
        <f>NOMINA!AH193</f>
        <v>65</v>
      </c>
      <c r="R214" s="1107">
        <f>NOMINA!AC193</f>
        <v>12.5</v>
      </c>
      <c r="S214" s="1107">
        <f>NOMINA!AJ193</f>
        <v>37.03</v>
      </c>
      <c r="T214" s="1108">
        <f t="shared" si="24"/>
        <v>0</v>
      </c>
      <c r="U214" s="1107">
        <f>ROUND(NOMINA!BL193,2)</f>
        <v>20.51</v>
      </c>
      <c r="V214" s="1107">
        <f>ROUND(NOMINA!BM193,2)</f>
        <v>2.56</v>
      </c>
      <c r="W214" s="1107">
        <f>ROUND(+NOMINA!BN193,2)</f>
        <v>4.4400000000000004</v>
      </c>
      <c r="X214" s="1108">
        <f t="shared" si="25"/>
        <v>36.770000000000003</v>
      </c>
      <c r="Y214" s="1107">
        <f>ROUND(NOMINA!BJ193,2)</f>
        <v>12.5</v>
      </c>
      <c r="Z214" s="1109">
        <f t="shared" si="22"/>
        <v>200.9</v>
      </c>
    </row>
    <row r="215" spans="1:26" s="620" customFormat="1" ht="20.100000000000001" customHeight="1" thickBot="1" x14ac:dyDescent="0.25">
      <c r="A215" s="758" t="s">
        <v>2846</v>
      </c>
      <c r="B215" s="508">
        <f t="shared" ca="1" si="21"/>
        <v>151</v>
      </c>
      <c r="C215" s="1102">
        <f>+NOMINA!C194</f>
        <v>17265648</v>
      </c>
      <c r="D215" s="1103" t="str">
        <f>+NOMINA!D194</f>
        <v>Carrizo Mary Alejandra</v>
      </c>
      <c r="E215" s="1468" t="s">
        <v>4622</v>
      </c>
      <c r="F215" s="1704">
        <v>27853</v>
      </c>
      <c r="G215" s="1468" t="s">
        <v>4620</v>
      </c>
      <c r="H215" s="1705">
        <f>+NOMINA!H194</f>
        <v>43709</v>
      </c>
      <c r="I215" s="1105">
        <f>+NOMINA!I194</f>
        <v>6</v>
      </c>
      <c r="J215" s="1106">
        <f>+NOMINA!J194</f>
        <v>0</v>
      </c>
      <c r="K215" s="1105">
        <f t="shared" si="23"/>
        <v>6</v>
      </c>
      <c r="L215" s="1106" t="s">
        <v>4932</v>
      </c>
      <c r="M215" s="1106"/>
      <c r="N215" s="1443" t="str">
        <f>+NOMINA!O194</f>
        <v>Guia de Centro II</v>
      </c>
      <c r="O215" s="1107">
        <f>ROUND(NOMINA!W194,2)</f>
        <v>85</v>
      </c>
      <c r="P215" s="1107">
        <f>NOMINA!AF194</f>
        <v>5.27</v>
      </c>
      <c r="Q215" s="1107">
        <f>NOMINA!AH194</f>
        <v>65</v>
      </c>
      <c r="R215" s="1107">
        <f>NOMINA!AC194</f>
        <v>25</v>
      </c>
      <c r="S215" s="1107">
        <f>NOMINA!AJ194</f>
        <v>0</v>
      </c>
      <c r="T215" s="1108">
        <f t="shared" si="24"/>
        <v>189.03000000000003</v>
      </c>
      <c r="U215" s="1107">
        <f>ROUND(NOMINA!BL194,2)</f>
        <v>20.13</v>
      </c>
      <c r="V215" s="1107">
        <f>ROUND(NOMINA!BM194,2)</f>
        <v>2.52</v>
      </c>
      <c r="W215" s="1107">
        <f>ROUND(+NOMINA!BN194,2)</f>
        <v>4.3600000000000003</v>
      </c>
      <c r="X215" s="1108">
        <f t="shared" si="25"/>
        <v>33.549999999999997</v>
      </c>
      <c r="Y215" s="1107">
        <f>ROUND(NOMINA!BJ194,2)</f>
        <v>12.5</v>
      </c>
      <c r="Z215" s="1109">
        <f t="shared" si="22"/>
        <v>153.26</v>
      </c>
    </row>
    <row r="216" spans="1:26" s="620" customFormat="1" ht="20.100000000000001" customHeight="1" thickBot="1" x14ac:dyDescent="0.25">
      <c r="A216" s="758" t="s">
        <v>2846</v>
      </c>
      <c r="B216" s="508">
        <f t="shared" ref="B216:B279" ca="1" si="26">OFFSET(B216,-1,0)+1</f>
        <v>152</v>
      </c>
      <c r="C216" s="1102">
        <f>+NOMINA!C195</f>
        <v>17267324</v>
      </c>
      <c r="D216" s="1103" t="str">
        <f>+NOMINA!D195</f>
        <v>Urdaneta Soto Katherine Esther</v>
      </c>
      <c r="E216" s="1468" t="s">
        <v>4622</v>
      </c>
      <c r="F216" s="1704">
        <v>27853</v>
      </c>
      <c r="G216" s="1468" t="s">
        <v>4620</v>
      </c>
      <c r="H216" s="1705">
        <f>+NOMINA!H195</f>
        <v>43785</v>
      </c>
      <c r="I216" s="1105">
        <f>+NOMINA!I195</f>
        <v>5</v>
      </c>
      <c r="J216" s="1106">
        <f>+NOMINA!J195</f>
        <v>0</v>
      </c>
      <c r="K216" s="1105">
        <f t="shared" si="23"/>
        <v>5</v>
      </c>
      <c r="L216" s="1106" t="s">
        <v>4932</v>
      </c>
      <c r="M216" s="1106"/>
      <c r="N216" s="1443" t="str">
        <f>+NOMINA!O195</f>
        <v>Guia de Centro II</v>
      </c>
      <c r="O216" s="1107">
        <f>ROUND(NOMINA!W195,2)</f>
        <v>75</v>
      </c>
      <c r="P216" s="1107">
        <f>NOMINA!AF195</f>
        <v>3.75</v>
      </c>
      <c r="Q216" s="1107">
        <f>NOMINA!AH195</f>
        <v>65</v>
      </c>
      <c r="R216" s="1107">
        <f>NOMINA!AC195</f>
        <v>12.5</v>
      </c>
      <c r="S216" s="1107">
        <f>NOMINA!AJ195</f>
        <v>0</v>
      </c>
      <c r="T216" s="1108">
        <f t="shared" si="24"/>
        <v>140.86000000000001</v>
      </c>
      <c r="U216" s="1107">
        <f>ROUND(NOMINA!BL195,2)</f>
        <v>18</v>
      </c>
      <c r="V216" s="1107">
        <f>ROUND(NOMINA!BM195,2)</f>
        <v>2.25</v>
      </c>
      <c r="W216" s="1107">
        <f>ROUND(+NOMINA!BN195,2)</f>
        <v>3.9</v>
      </c>
      <c r="X216" s="1108">
        <f t="shared" si="25"/>
        <v>46.75</v>
      </c>
      <c r="Y216" s="1107">
        <f>ROUND(NOMINA!BJ195,2)</f>
        <v>12.5</v>
      </c>
      <c r="Z216" s="1109">
        <f t="shared" si="22"/>
        <v>132.1</v>
      </c>
    </row>
    <row r="217" spans="1:26" s="620" customFormat="1" ht="20.100000000000001" customHeight="1" thickBot="1" x14ac:dyDescent="0.25">
      <c r="A217" s="758" t="s">
        <v>2846</v>
      </c>
      <c r="B217" s="508">
        <f t="shared" ca="1" si="26"/>
        <v>153</v>
      </c>
      <c r="C217" s="1102">
        <f>+NOMINA!C196</f>
        <v>17391316</v>
      </c>
      <c r="D217" s="1103" t="str">
        <f>+NOMINA!D196</f>
        <v>Torres Aranguren Lilibeth del Valle</v>
      </c>
      <c r="E217" s="1468" t="s">
        <v>4622</v>
      </c>
      <c r="F217" s="1704">
        <v>27853</v>
      </c>
      <c r="G217" s="1468" t="s">
        <v>4620</v>
      </c>
      <c r="H217" s="1705">
        <f>+NOMINA!H196</f>
        <v>44713</v>
      </c>
      <c r="I217" s="1105">
        <f>+NOMINA!I196</f>
        <v>3</v>
      </c>
      <c r="J217" s="1106">
        <f>+NOMINA!J196</f>
        <v>0</v>
      </c>
      <c r="K217" s="1105">
        <f t="shared" si="23"/>
        <v>3</v>
      </c>
      <c r="L217" s="1106" t="s">
        <v>4932</v>
      </c>
      <c r="M217" s="1106"/>
      <c r="N217" s="1443" t="str">
        <f>+NOMINA!O196</f>
        <v>Guia de Centro I</v>
      </c>
      <c r="O217" s="1107">
        <f>ROUND(NOMINA!W196,2)</f>
        <v>109.5</v>
      </c>
      <c r="P217" s="1107">
        <f>NOMINA!AF196</f>
        <v>3.29</v>
      </c>
      <c r="Q217" s="1107">
        <f>NOMINA!AH196</f>
        <v>65</v>
      </c>
      <c r="R217" s="1107">
        <f>NOMINA!AC196</f>
        <v>12.5</v>
      </c>
      <c r="S217" s="1107">
        <f>NOMINA!AJ196</f>
        <v>36.81</v>
      </c>
      <c r="T217" s="1108">
        <f t="shared" si="24"/>
        <v>157.16</v>
      </c>
      <c r="U217" s="1107">
        <f>ROUND(NOMINA!BL196,2)</f>
        <v>26.5</v>
      </c>
      <c r="V217" s="1107">
        <f>ROUND(NOMINA!BM196,2)</f>
        <v>3.31</v>
      </c>
      <c r="W217" s="1107">
        <f>ROUND(+NOMINA!BN196,2)</f>
        <v>5.74</v>
      </c>
      <c r="X217" s="1108">
        <f t="shared" si="25"/>
        <v>24.91</v>
      </c>
      <c r="Y217" s="1107">
        <f>ROUND(NOMINA!BJ196,2)</f>
        <v>12.5</v>
      </c>
      <c r="Z217" s="1109">
        <f t="shared" si="22"/>
        <v>191.55</v>
      </c>
    </row>
    <row r="218" spans="1:26" s="620" customFormat="1" ht="20.100000000000001" customHeight="1" thickBot="1" x14ac:dyDescent="0.25">
      <c r="A218" s="758" t="s">
        <v>2846</v>
      </c>
      <c r="B218" s="508">
        <f t="shared" ca="1" si="26"/>
        <v>154</v>
      </c>
      <c r="C218" s="1102">
        <f>+NOMINA!C197</f>
        <v>17391892</v>
      </c>
      <c r="D218" s="1103" t="str">
        <f>+NOMINA!D197</f>
        <v>Godoy Padilla Darcy Yaneth</v>
      </c>
      <c r="E218" s="1468" t="s">
        <v>4622</v>
      </c>
      <c r="F218" s="1704">
        <v>27853</v>
      </c>
      <c r="G218" s="1468" t="s">
        <v>4620</v>
      </c>
      <c r="H218" s="1705">
        <f>+NOMINA!H197</f>
        <v>45323</v>
      </c>
      <c r="I218" s="1105">
        <f>+NOMINA!I197</f>
        <v>1</v>
      </c>
      <c r="J218" s="1106">
        <f>+NOMINA!J197</f>
        <v>2</v>
      </c>
      <c r="K218" s="1105">
        <f t="shared" si="23"/>
        <v>3</v>
      </c>
      <c r="L218" s="1106" t="s">
        <v>4932</v>
      </c>
      <c r="M218" s="1106"/>
      <c r="N218" s="1443" t="str">
        <f>+NOMINA!O197</f>
        <v>Analista de Personal I</v>
      </c>
      <c r="O218" s="1107">
        <f>ROUND(NOMINA!W197,2)</f>
        <v>138.5</v>
      </c>
      <c r="P218" s="1107">
        <f>NOMINA!AF197</f>
        <v>4.16</v>
      </c>
      <c r="Q218" s="1107">
        <f>NOMINA!AH197</f>
        <v>65</v>
      </c>
      <c r="R218" s="1107">
        <f>NOMINA!AC197</f>
        <v>25</v>
      </c>
      <c r="S218" s="1107">
        <f>NOMINA!AJ197</f>
        <v>55.04</v>
      </c>
      <c r="T218" s="1108">
        <f t="shared" si="24"/>
        <v>117.60000000000001</v>
      </c>
      <c r="U218" s="1107">
        <f>ROUND(NOMINA!BL197,2)</f>
        <v>25.4</v>
      </c>
      <c r="V218" s="1107">
        <f>ROUND(NOMINA!BM197,2)</f>
        <v>3.18</v>
      </c>
      <c r="W218" s="1107">
        <f>ROUND(+NOMINA!BN197,2)</f>
        <v>5.5</v>
      </c>
      <c r="X218" s="1108">
        <f t="shared" si="25"/>
        <v>39.340000000000003</v>
      </c>
      <c r="Y218" s="1107">
        <f>ROUND(NOMINA!BJ197,2)</f>
        <v>12.5</v>
      </c>
      <c r="Z218" s="1109">
        <f t="shared" si="22"/>
        <v>253.62</v>
      </c>
    </row>
    <row r="219" spans="1:26" s="620" customFormat="1" ht="20.100000000000001" customHeight="1" thickBot="1" x14ac:dyDescent="0.25">
      <c r="A219" s="758" t="s">
        <v>2846</v>
      </c>
      <c r="B219" s="508">
        <f t="shared" ca="1" si="26"/>
        <v>155</v>
      </c>
      <c r="C219" s="1102">
        <f>+NOMINA!C198</f>
        <v>17392309</v>
      </c>
      <c r="D219" s="1103" t="str">
        <f>+NOMINA!D198</f>
        <v>Torres Briceño Yarelis del Carmen</v>
      </c>
      <c r="E219" s="1468" t="s">
        <v>4622</v>
      </c>
      <c r="F219" s="1704">
        <v>27853</v>
      </c>
      <c r="G219" s="1468" t="s">
        <v>4620</v>
      </c>
      <c r="H219" s="1705">
        <f>+NOMINA!H198</f>
        <v>43116</v>
      </c>
      <c r="I219" s="1105">
        <f>+NOMINA!I198</f>
        <v>7</v>
      </c>
      <c r="J219" s="1106">
        <f>+NOMINA!J198</f>
        <v>0</v>
      </c>
      <c r="K219" s="1105">
        <f t="shared" si="23"/>
        <v>7</v>
      </c>
      <c r="L219" s="1106" t="s">
        <v>4932</v>
      </c>
      <c r="M219" s="1106"/>
      <c r="N219" s="1443" t="str">
        <f>+NOMINA!O198</f>
        <v>Administrador II</v>
      </c>
      <c r="O219" s="1107">
        <f>ROUND(NOMINA!W198,2)</f>
        <v>139.5</v>
      </c>
      <c r="P219" s="1107">
        <f>NOMINA!AF198</f>
        <v>10.33</v>
      </c>
      <c r="Q219" s="1107">
        <f>NOMINA!AH198</f>
        <v>65</v>
      </c>
      <c r="R219" s="1107">
        <f>NOMINA!AC198</f>
        <v>12.5</v>
      </c>
      <c r="S219" s="1107">
        <f>NOMINA!AJ198</f>
        <v>55.27</v>
      </c>
      <c r="T219" s="1108">
        <f t="shared" si="24"/>
        <v>138.60000000000002</v>
      </c>
      <c r="U219" s="1107">
        <f>ROUND(NOMINA!BL198,2)</f>
        <v>25.51</v>
      </c>
      <c r="V219" s="1107">
        <f>ROUND(NOMINA!BM198,2)</f>
        <v>3.19</v>
      </c>
      <c r="W219" s="1107">
        <f>ROUND(+NOMINA!BN198,2)</f>
        <v>5.53</v>
      </c>
      <c r="X219" s="1108">
        <f t="shared" si="25"/>
        <v>34.479999999999997</v>
      </c>
      <c r="Y219" s="1107">
        <f>ROUND(NOMINA!BJ198,2)</f>
        <v>12.5</v>
      </c>
      <c r="Z219" s="1109">
        <f t="shared" si="22"/>
        <v>248.37</v>
      </c>
    </row>
    <row r="220" spans="1:26" s="620" customFormat="1" ht="20.100000000000001" customHeight="1" thickBot="1" x14ac:dyDescent="0.25">
      <c r="A220" s="758" t="s">
        <v>2846</v>
      </c>
      <c r="B220" s="508">
        <f t="shared" ca="1" si="26"/>
        <v>156</v>
      </c>
      <c r="C220" s="1102">
        <f>+NOMINA!C199</f>
        <v>17393693</v>
      </c>
      <c r="D220" s="1103" t="str">
        <f>+NOMINA!D199</f>
        <v>Nuñez Maria Gusmara</v>
      </c>
      <c r="E220" s="1468" t="s">
        <v>4622</v>
      </c>
      <c r="F220" s="1704">
        <v>27853</v>
      </c>
      <c r="G220" s="1468" t="s">
        <v>4620</v>
      </c>
      <c r="H220" s="1705">
        <f>+NOMINA!H199</f>
        <v>44516</v>
      </c>
      <c r="I220" s="1105">
        <f>+NOMINA!I199</f>
        <v>3</v>
      </c>
      <c r="J220" s="1106">
        <f>+NOMINA!J199</f>
        <v>0</v>
      </c>
      <c r="K220" s="1105">
        <f t="shared" si="23"/>
        <v>3</v>
      </c>
      <c r="L220" s="1106" t="s">
        <v>4932</v>
      </c>
      <c r="M220" s="1106"/>
      <c r="N220" s="1443" t="str">
        <f>+NOMINA!O199</f>
        <v>Asistente Administrativo II</v>
      </c>
      <c r="O220" s="1107">
        <f>ROUND(NOMINA!W199,2)</f>
        <v>75</v>
      </c>
      <c r="P220" s="1107">
        <f>NOMINA!AF199</f>
        <v>2.25</v>
      </c>
      <c r="Q220" s="1107">
        <f>NOMINA!AH199</f>
        <v>65</v>
      </c>
      <c r="R220" s="1107">
        <f>NOMINA!AC199</f>
        <v>25</v>
      </c>
      <c r="S220" s="1107">
        <f>NOMINA!AJ199</f>
        <v>0</v>
      </c>
      <c r="T220" s="1108">
        <f t="shared" si="24"/>
        <v>103.23</v>
      </c>
      <c r="U220" s="1107">
        <f>ROUND(NOMINA!BL199,2)</f>
        <v>14.28</v>
      </c>
      <c r="V220" s="1107">
        <f>ROUND(NOMINA!BM199,2)</f>
        <v>1.79</v>
      </c>
      <c r="W220" s="1107">
        <f>ROUND(+NOMINA!BN199,2)</f>
        <v>3.1</v>
      </c>
      <c r="X220" s="1108">
        <f t="shared" si="25"/>
        <v>0</v>
      </c>
      <c r="Y220" s="1107">
        <f>ROUND(NOMINA!BJ199,2)</f>
        <v>12.5</v>
      </c>
      <c r="Z220" s="1109">
        <f t="shared" si="22"/>
        <v>148.07999999999998</v>
      </c>
    </row>
    <row r="221" spans="1:26" s="620" customFormat="1" ht="20.100000000000001" customHeight="1" thickBot="1" x14ac:dyDescent="0.25">
      <c r="A221" s="758" t="s">
        <v>2846</v>
      </c>
      <c r="B221" s="508">
        <f t="shared" ca="1" si="26"/>
        <v>157</v>
      </c>
      <c r="C221" s="1102">
        <f>+NOMINA!C200</f>
        <v>17596844</v>
      </c>
      <c r="D221" s="1103" t="str">
        <f>+NOMINA!D200</f>
        <v>Colmenares Jorge Luis</v>
      </c>
      <c r="E221" s="1468" t="s">
        <v>4622</v>
      </c>
      <c r="F221" s="1704">
        <v>27853</v>
      </c>
      <c r="G221" s="1468" t="s">
        <v>4620</v>
      </c>
      <c r="H221" s="1705">
        <f>+NOMINA!H200</f>
        <v>45474</v>
      </c>
      <c r="I221" s="1105">
        <f>+NOMINA!I200</f>
        <v>1</v>
      </c>
      <c r="J221" s="1106">
        <f>+NOMINA!J200</f>
        <v>0</v>
      </c>
      <c r="K221" s="1105">
        <f t="shared" si="23"/>
        <v>1</v>
      </c>
      <c r="L221" s="1106" t="s">
        <v>4932</v>
      </c>
      <c r="M221" s="1106"/>
      <c r="N221" s="1443" t="str">
        <f>+NOMINA!O200</f>
        <v>Guia de Centro I</v>
      </c>
      <c r="O221" s="1107">
        <f>ROUND(NOMINA!W200,2)</f>
        <v>96</v>
      </c>
      <c r="P221" s="1107">
        <f>NOMINA!AF200</f>
        <v>0.96</v>
      </c>
      <c r="Q221" s="1107">
        <f>NOMINA!AH200</f>
        <v>65</v>
      </c>
      <c r="R221" s="1107">
        <f>NOMINA!AC200</f>
        <v>25</v>
      </c>
      <c r="S221" s="1107">
        <f>NOMINA!AJ200</f>
        <v>34.89</v>
      </c>
      <c r="T221" s="1108">
        <f t="shared" si="24"/>
        <v>131.35000000000002</v>
      </c>
      <c r="U221" s="1107">
        <f>ROUND(NOMINA!BL200,2)</f>
        <v>25.12</v>
      </c>
      <c r="V221" s="1107">
        <f>ROUND(NOMINA!BM200,2)</f>
        <v>3.14</v>
      </c>
      <c r="W221" s="1107">
        <f>ROUND(+NOMINA!BN200,2)</f>
        <v>5.44</v>
      </c>
      <c r="X221" s="1108">
        <f t="shared" si="25"/>
        <v>25</v>
      </c>
      <c r="Y221" s="1107">
        <f>ROUND(NOMINA!BJ200,2)</f>
        <v>12.5</v>
      </c>
      <c r="Z221" s="1109">
        <f t="shared" si="22"/>
        <v>188.14999999999998</v>
      </c>
    </row>
    <row r="222" spans="1:26" s="620" customFormat="1" ht="20.100000000000001" customHeight="1" thickBot="1" x14ac:dyDescent="0.25">
      <c r="A222" s="758" t="s">
        <v>2846</v>
      </c>
      <c r="B222" s="508">
        <f t="shared" ca="1" si="26"/>
        <v>158</v>
      </c>
      <c r="C222" s="1102">
        <f>+NOMINA!C201</f>
        <v>17597257</v>
      </c>
      <c r="D222" s="1103" t="str">
        <f>+NOMINA!D201</f>
        <v>Linares Barreto Jorge Luis</v>
      </c>
      <c r="E222" s="1468" t="s">
        <v>4622</v>
      </c>
      <c r="F222" s="1704">
        <v>27853</v>
      </c>
      <c r="G222" s="1468" t="s">
        <v>4620</v>
      </c>
      <c r="H222" s="1705">
        <f>+NOMINA!H201</f>
        <v>45536</v>
      </c>
      <c r="I222" s="1105">
        <f>+NOMINA!I201</f>
        <v>1</v>
      </c>
      <c r="J222" s="1106">
        <f>+NOMINA!J201</f>
        <v>0</v>
      </c>
      <c r="K222" s="1105">
        <f t="shared" si="23"/>
        <v>1</v>
      </c>
      <c r="L222" s="1106" t="s">
        <v>4932</v>
      </c>
      <c r="M222" s="1106"/>
      <c r="N222" s="1443" t="str">
        <f>+NOMINA!O201</f>
        <v>GUIA DE CENTRO I</v>
      </c>
      <c r="O222" s="1107">
        <f>ROUND(NOMINA!W201,2)</f>
        <v>96</v>
      </c>
      <c r="P222" s="1107">
        <f>NOMINA!AF201</f>
        <v>0.96</v>
      </c>
      <c r="Q222" s="1107">
        <f>NOMINA!AH201</f>
        <v>65</v>
      </c>
      <c r="R222" s="1107">
        <f>NOMINA!AC201</f>
        <v>12.5</v>
      </c>
      <c r="S222" s="1107">
        <f>NOMINA!AJ201</f>
        <v>33.64</v>
      </c>
      <c r="T222" s="1108">
        <f t="shared" si="24"/>
        <v>138.60000000000002</v>
      </c>
      <c r="U222" s="1107">
        <f>ROUND(NOMINA!BL201,2)</f>
        <v>24.22</v>
      </c>
      <c r="V222" s="1107">
        <f>ROUND(NOMINA!BM201,2)</f>
        <v>3.03</v>
      </c>
      <c r="W222" s="1107">
        <f>ROUND(+NOMINA!BN201,2)</f>
        <v>5.25</v>
      </c>
      <c r="X222" s="1108">
        <f t="shared" si="25"/>
        <v>37.9</v>
      </c>
      <c r="Y222" s="1107">
        <f>ROUND(NOMINA!BJ201,2)</f>
        <v>12.5</v>
      </c>
      <c r="Z222" s="1109">
        <f t="shared" si="22"/>
        <v>175.59999999999997</v>
      </c>
    </row>
    <row r="223" spans="1:26" s="620" customFormat="1" ht="20.100000000000001" customHeight="1" thickBot="1" x14ac:dyDescent="0.25">
      <c r="A223" s="758" t="s">
        <v>2846</v>
      </c>
      <c r="B223" s="508">
        <f t="shared" ca="1" si="26"/>
        <v>159</v>
      </c>
      <c r="C223" s="1102">
        <f>+NOMINA!C202</f>
        <v>17597285</v>
      </c>
      <c r="D223" s="1103" t="str">
        <f>+NOMINA!D202</f>
        <v>Duarte Portillo Dani Vicente</v>
      </c>
      <c r="E223" s="1468" t="s">
        <v>4622</v>
      </c>
      <c r="F223" s="1704">
        <v>27853</v>
      </c>
      <c r="G223" s="1468" t="s">
        <v>4620</v>
      </c>
      <c r="H223" s="1705">
        <f>+NOMINA!H202</f>
        <v>42782</v>
      </c>
      <c r="I223" s="1105">
        <f>+NOMINA!I202</f>
        <v>8</v>
      </c>
      <c r="J223" s="1106">
        <f>+NOMINA!J202</f>
        <v>0</v>
      </c>
      <c r="K223" s="1105">
        <f t="shared" si="23"/>
        <v>8</v>
      </c>
      <c r="L223" s="1106" t="s">
        <v>4932</v>
      </c>
      <c r="M223" s="1106"/>
      <c r="N223" s="1443" t="str">
        <f>+NOMINA!O202</f>
        <v>Tecnico Superior en Trabajo Social II</v>
      </c>
      <c r="O223" s="1107">
        <f>ROUND(NOMINA!W202,2)</f>
        <v>110.5</v>
      </c>
      <c r="P223" s="1107">
        <f>NOMINA!AF202</f>
        <v>9.51</v>
      </c>
      <c r="Q223" s="1107">
        <f>NOMINA!AH202</f>
        <v>65</v>
      </c>
      <c r="R223" s="1107">
        <f>NOMINA!AC202</f>
        <v>0</v>
      </c>
      <c r="S223" s="1107">
        <f>NOMINA!AJ202</f>
        <v>37</v>
      </c>
      <c r="T223" s="1108">
        <f t="shared" si="24"/>
        <v>155.1</v>
      </c>
      <c r="U223" s="1107">
        <f>ROUND(NOMINA!BL202,2)</f>
        <v>20.49</v>
      </c>
      <c r="V223" s="1107">
        <f>ROUND(NOMINA!BM202,2)</f>
        <v>2.56</v>
      </c>
      <c r="W223" s="1107">
        <f>ROUND(+NOMINA!BN202,2)</f>
        <v>4.4400000000000004</v>
      </c>
      <c r="X223" s="1108">
        <f t="shared" si="25"/>
        <v>36.090000000000003</v>
      </c>
      <c r="Y223" s="1107">
        <f>ROUND(NOMINA!BJ202,2)</f>
        <v>12.5</v>
      </c>
      <c r="Z223" s="1109">
        <f t="shared" si="22"/>
        <v>194.51999999999998</v>
      </c>
    </row>
    <row r="224" spans="1:26" s="620" customFormat="1" ht="20.100000000000001" customHeight="1" thickBot="1" x14ac:dyDescent="0.25">
      <c r="A224" s="758" t="s">
        <v>2846</v>
      </c>
      <c r="B224" s="508">
        <f t="shared" ca="1" si="26"/>
        <v>160</v>
      </c>
      <c r="C224" s="1102">
        <f>+NOMINA!C203</f>
        <v>17604568</v>
      </c>
      <c r="D224" s="1103" t="str">
        <f>+NOMINA!D203</f>
        <v>Rivera Gil Christian Rafael</v>
      </c>
      <c r="E224" s="1468" t="s">
        <v>4622</v>
      </c>
      <c r="F224" s="1704">
        <v>27853</v>
      </c>
      <c r="G224" s="1468" t="s">
        <v>4620</v>
      </c>
      <c r="H224" s="1705">
        <f>+NOMINA!H203</f>
        <v>43831</v>
      </c>
      <c r="I224" s="1105">
        <f>+NOMINA!I203</f>
        <v>5</v>
      </c>
      <c r="J224" s="1106">
        <f>+NOMINA!J203</f>
        <v>0</v>
      </c>
      <c r="K224" s="1105">
        <f t="shared" si="23"/>
        <v>5</v>
      </c>
      <c r="L224" s="1106" t="s">
        <v>4932</v>
      </c>
      <c r="M224" s="1106"/>
      <c r="N224" s="1443" t="str">
        <f>+NOMINA!O203</f>
        <v>Tecnico en Reparacion y Mantenimiento I</v>
      </c>
      <c r="O224" s="1107">
        <f>ROUND(NOMINA!W203,2)</f>
        <v>109.5</v>
      </c>
      <c r="P224" s="1107">
        <f>NOMINA!AF203</f>
        <v>5.48</v>
      </c>
      <c r="Q224" s="1107">
        <f>NOMINA!AH203</f>
        <v>65</v>
      </c>
      <c r="R224" s="1107">
        <f>NOMINA!AC203</f>
        <v>25</v>
      </c>
      <c r="S224" s="1107">
        <f>NOMINA!AJ203</f>
        <v>38.5</v>
      </c>
      <c r="T224" s="1108">
        <f t="shared" si="24"/>
        <v>92.25</v>
      </c>
      <c r="U224" s="1107">
        <f>ROUND(NOMINA!BL203,2)</f>
        <v>21.32</v>
      </c>
      <c r="V224" s="1107">
        <f>ROUND(NOMINA!BM203,2)</f>
        <v>2.67</v>
      </c>
      <c r="W224" s="1107">
        <f>ROUND(+NOMINA!BN203,2)</f>
        <v>4.62</v>
      </c>
      <c r="X224" s="1108">
        <f t="shared" si="25"/>
        <v>30.73</v>
      </c>
      <c r="Y224" s="1107">
        <f>ROUND(NOMINA!BJ203,2)</f>
        <v>12.5</v>
      </c>
      <c r="Z224" s="1109">
        <f t="shared" si="22"/>
        <v>214.87</v>
      </c>
    </row>
    <row r="225" spans="1:26" s="620" customFormat="1" ht="20.100000000000001" customHeight="1" thickBot="1" x14ac:dyDescent="0.25">
      <c r="A225" s="758" t="s">
        <v>2846</v>
      </c>
      <c r="B225" s="508">
        <f t="shared" ca="1" si="26"/>
        <v>161</v>
      </c>
      <c r="C225" s="1102">
        <f>+NOMINA!C204</f>
        <v>17605222</v>
      </c>
      <c r="D225" s="1103" t="str">
        <f>+NOMINA!D204</f>
        <v>Aguial Dayana Carolina</v>
      </c>
      <c r="E225" s="1468" t="s">
        <v>4622</v>
      </c>
      <c r="F225" s="1704">
        <v>27853</v>
      </c>
      <c r="G225" s="1468" t="s">
        <v>4620</v>
      </c>
      <c r="H225" s="1705">
        <f>+NOMINA!H204</f>
        <v>42737</v>
      </c>
      <c r="I225" s="1105">
        <f>+NOMINA!I204</f>
        <v>8</v>
      </c>
      <c r="J225" s="1106">
        <f>+NOMINA!J204</f>
        <v>0</v>
      </c>
      <c r="K225" s="1105">
        <f t="shared" si="23"/>
        <v>8</v>
      </c>
      <c r="L225" s="1106" t="s">
        <v>4932</v>
      </c>
      <c r="M225" s="1106"/>
      <c r="N225" s="1443" t="str">
        <f>+NOMINA!O204</f>
        <v>Guia de Centro II</v>
      </c>
      <c r="O225" s="1107">
        <f>ROUND(NOMINA!W204,2)</f>
        <v>110.5</v>
      </c>
      <c r="P225" s="1107">
        <f>NOMINA!AF204</f>
        <v>9.51</v>
      </c>
      <c r="Q225" s="1107">
        <f>NOMINA!AH204</f>
        <v>65</v>
      </c>
      <c r="R225" s="1107">
        <f>NOMINA!AC204</f>
        <v>0</v>
      </c>
      <c r="S225" s="1107">
        <f>NOMINA!AJ204</f>
        <v>46.25</v>
      </c>
      <c r="T225" s="1108">
        <f t="shared" si="24"/>
        <v>127.6</v>
      </c>
      <c r="U225" s="1107">
        <f>ROUND(NOMINA!BL204,2)</f>
        <v>27.75</v>
      </c>
      <c r="V225" s="1107">
        <f>ROUND(NOMINA!BM204,2)</f>
        <v>3.47</v>
      </c>
      <c r="W225" s="1107">
        <f>ROUND(+NOMINA!BN204,2)</f>
        <v>6.01</v>
      </c>
      <c r="X225" s="1108">
        <f t="shared" si="25"/>
        <v>40.74</v>
      </c>
      <c r="Y225" s="1107">
        <f>ROUND(NOMINA!BJ204,2)</f>
        <v>12.5</v>
      </c>
      <c r="Z225" s="1109">
        <f t="shared" si="22"/>
        <v>194.03</v>
      </c>
    </row>
    <row r="226" spans="1:26" s="620" customFormat="1" ht="20.100000000000001" customHeight="1" thickBot="1" x14ac:dyDescent="0.25">
      <c r="A226" s="758" t="s">
        <v>2846</v>
      </c>
      <c r="B226" s="508">
        <f t="shared" ca="1" si="26"/>
        <v>162</v>
      </c>
      <c r="C226" s="1102">
        <f>+NOMINA!C205</f>
        <v>17605492</v>
      </c>
      <c r="D226" s="1103" t="str">
        <f>+NOMINA!D205</f>
        <v>Briceño Briceño Naibely Carolina</v>
      </c>
      <c r="E226" s="1468" t="s">
        <v>4622</v>
      </c>
      <c r="F226" s="1704">
        <v>27853</v>
      </c>
      <c r="G226" s="1468" t="s">
        <v>4620</v>
      </c>
      <c r="H226" s="1705">
        <f>+NOMINA!H205</f>
        <v>43967</v>
      </c>
      <c r="I226" s="1105">
        <f>+NOMINA!I205</f>
        <v>5</v>
      </c>
      <c r="J226" s="1106">
        <f>+NOMINA!J205</f>
        <v>0</v>
      </c>
      <c r="K226" s="1105">
        <f t="shared" si="23"/>
        <v>5</v>
      </c>
      <c r="L226" s="1106" t="s">
        <v>4932</v>
      </c>
      <c r="M226" s="1106"/>
      <c r="N226" s="1443" t="str">
        <f>+NOMINA!O205</f>
        <v>Asistente Administrativo V</v>
      </c>
      <c r="O226" s="1107">
        <f>ROUND(NOMINA!W205,2)</f>
        <v>138.5</v>
      </c>
      <c r="P226" s="1107">
        <f>NOMINA!AF205</f>
        <v>6.93</v>
      </c>
      <c r="Q226" s="1107">
        <f>NOMINA!AH205</f>
        <v>65</v>
      </c>
      <c r="R226" s="1107">
        <f>NOMINA!AC205</f>
        <v>0</v>
      </c>
      <c r="S226" s="1107">
        <f>NOMINA!AJ205</f>
        <v>52.61</v>
      </c>
      <c r="T226" s="1108">
        <f t="shared" si="24"/>
        <v>145.19</v>
      </c>
      <c r="U226" s="1107">
        <f>ROUND(NOMINA!BL205,2)</f>
        <v>24.28</v>
      </c>
      <c r="V226" s="1107">
        <f>ROUND(NOMINA!BM205,2)</f>
        <v>3.03</v>
      </c>
      <c r="W226" s="1107">
        <f>ROUND(+NOMINA!BN205,2)</f>
        <v>5.26</v>
      </c>
      <c r="X226" s="1108">
        <f t="shared" si="25"/>
        <v>23.05</v>
      </c>
      <c r="Y226" s="1107">
        <f>ROUND(NOMINA!BJ205,2)</f>
        <v>12.5</v>
      </c>
      <c r="Z226" s="1109">
        <f t="shared" si="22"/>
        <v>230.47000000000003</v>
      </c>
    </row>
    <row r="227" spans="1:26" s="620" customFormat="1" ht="20.100000000000001" customHeight="1" thickBot="1" x14ac:dyDescent="0.25">
      <c r="A227" s="758" t="s">
        <v>2846</v>
      </c>
      <c r="B227" s="508">
        <f t="shared" ca="1" si="26"/>
        <v>163</v>
      </c>
      <c r="C227" s="1102">
        <f>+NOMINA!C206</f>
        <v>17606237</v>
      </c>
      <c r="D227" s="1103" t="str">
        <f>+NOMINA!D206</f>
        <v>Castellano Rivera Maria Antonina</v>
      </c>
      <c r="E227" s="1468" t="s">
        <v>4622</v>
      </c>
      <c r="F227" s="1704">
        <v>27853</v>
      </c>
      <c r="G227" s="1468" t="s">
        <v>4620</v>
      </c>
      <c r="H227" s="1705">
        <f>+NOMINA!H206</f>
        <v>40909</v>
      </c>
      <c r="I227" s="1105">
        <f>+NOMINA!I206</f>
        <v>13</v>
      </c>
      <c r="J227" s="1106">
        <f>+NOMINA!J206</f>
        <v>0</v>
      </c>
      <c r="K227" s="1105">
        <f t="shared" si="23"/>
        <v>13</v>
      </c>
      <c r="L227" s="1106" t="s">
        <v>4932</v>
      </c>
      <c r="M227" s="1106"/>
      <c r="N227" s="1443" t="str">
        <f>+NOMINA!O206</f>
        <v>Asistente Administrativo III</v>
      </c>
      <c r="O227" s="1107">
        <f>ROUND(NOMINA!W206,2)</f>
        <v>87</v>
      </c>
      <c r="P227" s="1107">
        <f>NOMINA!AF206</f>
        <v>13.23</v>
      </c>
      <c r="Q227" s="1107">
        <f>NOMINA!AH206</f>
        <v>65</v>
      </c>
      <c r="R227" s="1107">
        <f>NOMINA!AC206</f>
        <v>12.5</v>
      </c>
      <c r="S227" s="1107">
        <f>NOMINA!AJ206</f>
        <v>34.299999999999997</v>
      </c>
      <c r="T227" s="1108">
        <f t="shared" si="24"/>
        <v>0</v>
      </c>
      <c r="U227" s="1107">
        <f>ROUND(NOMINA!BL206,2)</f>
        <v>18.989999999999998</v>
      </c>
      <c r="V227" s="1107">
        <f>ROUND(NOMINA!BM206,2)</f>
        <v>2.37</v>
      </c>
      <c r="W227" s="1107">
        <f>ROUND(+NOMINA!BN206,2)</f>
        <v>4.12</v>
      </c>
      <c r="X227" s="1108">
        <f t="shared" si="25"/>
        <v>24.03</v>
      </c>
      <c r="Y227" s="1107">
        <f>ROUND(NOMINA!BJ206,2)</f>
        <v>12.5</v>
      </c>
      <c r="Z227" s="1109">
        <f t="shared" si="22"/>
        <v>186.55000000000004</v>
      </c>
    </row>
    <row r="228" spans="1:26" s="620" customFormat="1" ht="20.100000000000001" customHeight="1" thickBot="1" x14ac:dyDescent="0.25">
      <c r="A228" s="758" t="s">
        <v>2846</v>
      </c>
      <c r="B228" s="508">
        <f t="shared" ca="1" si="26"/>
        <v>164</v>
      </c>
      <c r="C228" s="1102">
        <f>+NOMINA!C207</f>
        <v>17830972</v>
      </c>
      <c r="D228" s="1103" t="str">
        <f>+NOMINA!D207</f>
        <v>Bastidas Franco Dianellys Sarain</v>
      </c>
      <c r="E228" s="1468" t="s">
        <v>4622</v>
      </c>
      <c r="F228" s="1704">
        <v>27853</v>
      </c>
      <c r="G228" s="1468" t="s">
        <v>4620</v>
      </c>
      <c r="H228" s="1705">
        <f>+NOMINA!H207</f>
        <v>44713</v>
      </c>
      <c r="I228" s="1105">
        <f>+NOMINA!I207</f>
        <v>3</v>
      </c>
      <c r="J228" s="1106">
        <f>+NOMINA!J207</f>
        <v>0</v>
      </c>
      <c r="K228" s="1105">
        <f t="shared" si="23"/>
        <v>3</v>
      </c>
      <c r="L228" s="1106" t="s">
        <v>4932</v>
      </c>
      <c r="M228" s="1106"/>
      <c r="N228" s="1443" t="str">
        <f>+NOMINA!O207</f>
        <v>Entrenador Deportivo IV</v>
      </c>
      <c r="O228" s="1107">
        <f>ROUND(NOMINA!W207,2)</f>
        <v>138.5</v>
      </c>
      <c r="P228" s="1107">
        <f>NOMINA!AF207</f>
        <v>4.16</v>
      </c>
      <c r="Q228" s="1107">
        <f>NOMINA!AH207</f>
        <v>65</v>
      </c>
      <c r="R228" s="1107">
        <f>NOMINA!AC207</f>
        <v>0</v>
      </c>
      <c r="S228" s="1107">
        <f>NOMINA!AJ207</f>
        <v>51.92</v>
      </c>
      <c r="T228" s="1108">
        <f t="shared" si="24"/>
        <v>112.1</v>
      </c>
      <c r="U228" s="1107">
        <f>ROUND(NOMINA!BL207,2)</f>
        <v>23.96</v>
      </c>
      <c r="V228" s="1107">
        <f>ROUND(NOMINA!BM207,2)</f>
        <v>3</v>
      </c>
      <c r="W228" s="1107">
        <f>ROUND(+NOMINA!BN207,2)</f>
        <v>5.19</v>
      </c>
      <c r="X228" s="1108">
        <f t="shared" si="25"/>
        <v>44.5</v>
      </c>
      <c r="Y228" s="1107">
        <f>ROUND(NOMINA!BJ207,2)</f>
        <v>12.5</v>
      </c>
      <c r="Z228" s="1109">
        <f t="shared" si="22"/>
        <v>227.42999999999998</v>
      </c>
    </row>
    <row r="229" spans="1:26" s="620" customFormat="1" ht="20.100000000000001" customHeight="1" thickBot="1" x14ac:dyDescent="0.25">
      <c r="A229" s="758" t="s">
        <v>2846</v>
      </c>
      <c r="B229" s="508">
        <f t="shared" ca="1" si="26"/>
        <v>165</v>
      </c>
      <c r="C229" s="1102">
        <f>+NOMINA!C208</f>
        <v>17831012</v>
      </c>
      <c r="D229" s="1103" t="str">
        <f>+NOMINA!D208</f>
        <v>Valera Briceño Jesus Enrique</v>
      </c>
      <c r="E229" s="1468" t="s">
        <v>4622</v>
      </c>
      <c r="F229" s="1704">
        <v>27853</v>
      </c>
      <c r="G229" s="1468" t="s">
        <v>4620</v>
      </c>
      <c r="H229" s="1705">
        <f>+NOMINA!H208</f>
        <v>45474</v>
      </c>
      <c r="I229" s="1105">
        <f>+NOMINA!I208</f>
        <v>1</v>
      </c>
      <c r="J229" s="1106">
        <f>+NOMINA!J208</f>
        <v>5</v>
      </c>
      <c r="K229" s="1105">
        <f t="shared" si="23"/>
        <v>6</v>
      </c>
      <c r="L229" s="1106" t="s">
        <v>4932</v>
      </c>
      <c r="M229" s="1106"/>
      <c r="N229" s="1443" t="str">
        <f>+NOMINA!O208</f>
        <v>Guia de Centro I</v>
      </c>
      <c r="O229" s="1107">
        <f>ROUND(NOMINA!W208,2)</f>
        <v>85</v>
      </c>
      <c r="P229" s="1107">
        <f>NOMINA!AF208</f>
        <v>5.27</v>
      </c>
      <c r="Q229" s="1107">
        <f>NOMINA!AH208</f>
        <v>65</v>
      </c>
      <c r="R229" s="1107">
        <f>NOMINA!AC208</f>
        <v>12.5</v>
      </c>
      <c r="S229" s="1107">
        <f>NOMINA!AJ208</f>
        <v>0</v>
      </c>
      <c r="T229" s="1108">
        <f t="shared" si="24"/>
        <v>122.92000000000002</v>
      </c>
      <c r="U229" s="1107">
        <f>ROUND(NOMINA!BL208,2)</f>
        <v>19.38</v>
      </c>
      <c r="V229" s="1107">
        <f>ROUND(NOMINA!BM208,2)</f>
        <v>2.42</v>
      </c>
      <c r="W229" s="1107">
        <f>ROUND(+NOMINA!BN208,2)</f>
        <v>4.2</v>
      </c>
      <c r="X229" s="1108">
        <f t="shared" si="25"/>
        <v>38.74</v>
      </c>
      <c r="Y229" s="1107">
        <f>ROUND(NOMINA!BJ208,2)</f>
        <v>12.5</v>
      </c>
      <c r="Z229" s="1109">
        <f t="shared" si="22"/>
        <v>141.76999999999998</v>
      </c>
    </row>
    <row r="230" spans="1:26" s="620" customFormat="1" ht="20.100000000000001" customHeight="1" thickBot="1" x14ac:dyDescent="0.25">
      <c r="A230" s="758" t="s">
        <v>2846</v>
      </c>
      <c r="B230" s="508">
        <f t="shared" ca="1" si="26"/>
        <v>166</v>
      </c>
      <c r="C230" s="1102">
        <f>+NOMINA!C209</f>
        <v>17832396</v>
      </c>
      <c r="D230" s="1103" t="str">
        <f>+NOMINA!D209</f>
        <v>Pulido Sanchez Joalina Vanessa</v>
      </c>
      <c r="E230" s="1468" t="s">
        <v>4622</v>
      </c>
      <c r="F230" s="1704">
        <v>27853</v>
      </c>
      <c r="G230" s="1468" t="s">
        <v>4620</v>
      </c>
      <c r="H230" s="1705">
        <f>+NOMINA!H209</f>
        <v>43191</v>
      </c>
      <c r="I230" s="1105">
        <f>+NOMINA!I209</f>
        <v>7</v>
      </c>
      <c r="J230" s="1106">
        <f>+NOMINA!J209</f>
        <v>0</v>
      </c>
      <c r="K230" s="1105">
        <f t="shared" si="23"/>
        <v>7</v>
      </c>
      <c r="L230" s="1106" t="s">
        <v>4932</v>
      </c>
      <c r="M230" s="1106"/>
      <c r="N230" s="1443" t="str">
        <f>+NOMINA!O209</f>
        <v>Enfermera Jefe I</v>
      </c>
      <c r="O230" s="1107">
        <f>ROUND(NOMINA!W209,2)</f>
        <v>110.5</v>
      </c>
      <c r="P230" s="1107">
        <f>NOMINA!AF209</f>
        <v>8.18</v>
      </c>
      <c r="Q230" s="1107">
        <f>NOMINA!AH209</f>
        <v>65</v>
      </c>
      <c r="R230" s="1107">
        <f>NOMINA!AC209</f>
        <v>25</v>
      </c>
      <c r="S230" s="1107">
        <f>NOMINA!AJ209</f>
        <v>39.24</v>
      </c>
      <c r="T230" s="1108">
        <f t="shared" si="24"/>
        <v>148.94</v>
      </c>
      <c r="U230" s="1107">
        <f>ROUND(NOMINA!BL209,2)</f>
        <v>21.73</v>
      </c>
      <c r="V230" s="1107">
        <f>ROUND(NOMINA!BM209,2)</f>
        <v>2.72</v>
      </c>
      <c r="W230" s="1107">
        <f>ROUND(+NOMINA!BN209,2)</f>
        <v>4.71</v>
      </c>
      <c r="X230" s="1108">
        <f t="shared" si="25"/>
        <v>27.51</v>
      </c>
      <c r="Y230" s="1107">
        <f>ROUND(NOMINA!BJ209,2)</f>
        <v>12.5</v>
      </c>
      <c r="Z230" s="1109">
        <f t="shared" si="22"/>
        <v>218.76000000000002</v>
      </c>
    </row>
    <row r="231" spans="1:26" s="620" customFormat="1" ht="20.100000000000001" customHeight="1" thickBot="1" x14ac:dyDescent="0.25">
      <c r="A231" s="758" t="s">
        <v>2846</v>
      </c>
      <c r="B231" s="508">
        <f t="shared" ca="1" si="26"/>
        <v>167</v>
      </c>
      <c r="C231" s="1102">
        <f>+NOMINA!C210</f>
        <v>17865154</v>
      </c>
      <c r="D231" s="1103" t="str">
        <f>+NOMINA!D210</f>
        <v>Serrano Ingrid Maria</v>
      </c>
      <c r="E231" s="1468" t="s">
        <v>4622</v>
      </c>
      <c r="F231" s="1704">
        <v>27853</v>
      </c>
      <c r="G231" s="1468" t="s">
        <v>4620</v>
      </c>
      <c r="H231" s="1705">
        <f>+NOMINA!H210</f>
        <v>43846</v>
      </c>
      <c r="I231" s="1105">
        <f>+NOMINA!I210</f>
        <v>5</v>
      </c>
      <c r="J231" s="1106">
        <f>+NOMINA!J210</f>
        <v>0</v>
      </c>
      <c r="K231" s="1105">
        <f t="shared" si="23"/>
        <v>5</v>
      </c>
      <c r="L231" s="1106" t="s">
        <v>4932</v>
      </c>
      <c r="M231" s="1106"/>
      <c r="N231" s="1443" t="str">
        <f>+NOMINA!O210</f>
        <v>Guia de Centro I</v>
      </c>
      <c r="O231" s="1107">
        <f>ROUND(NOMINA!W210,2)</f>
        <v>75</v>
      </c>
      <c r="P231" s="1107">
        <f>NOMINA!AF210</f>
        <v>3.75</v>
      </c>
      <c r="Q231" s="1107">
        <f>NOMINA!AH210</f>
        <v>65</v>
      </c>
      <c r="R231" s="1107">
        <f>NOMINA!AC210</f>
        <v>0</v>
      </c>
      <c r="S231" s="1107">
        <f>NOMINA!AJ210</f>
        <v>0</v>
      </c>
      <c r="T231" s="1108">
        <f t="shared" si="24"/>
        <v>134.19</v>
      </c>
      <c r="U231" s="1107">
        <f>ROUND(NOMINA!BL210,2)</f>
        <v>17.25</v>
      </c>
      <c r="V231" s="1107">
        <f>ROUND(NOMINA!BM210,2)</f>
        <v>2.16</v>
      </c>
      <c r="W231" s="1107">
        <f>ROUND(+NOMINA!BN210,2)</f>
        <v>3.74</v>
      </c>
      <c r="X231" s="1108">
        <f t="shared" si="25"/>
        <v>27.01</v>
      </c>
      <c r="Y231" s="1107">
        <f>ROUND(NOMINA!BJ210,2)</f>
        <v>12.5</v>
      </c>
      <c r="Z231" s="1109">
        <f t="shared" si="22"/>
        <v>120.6</v>
      </c>
    </row>
    <row r="232" spans="1:26" s="620" customFormat="1" ht="20.100000000000001" customHeight="1" thickBot="1" x14ac:dyDescent="0.25">
      <c r="A232" s="758" t="s">
        <v>2846</v>
      </c>
      <c r="B232" s="508">
        <f t="shared" ca="1" si="26"/>
        <v>168</v>
      </c>
      <c r="C232" s="1102">
        <f>+NOMINA!C211</f>
        <v>18036203</v>
      </c>
      <c r="D232" s="1103" t="str">
        <f>+NOMINA!D211</f>
        <v>Yepes Caceres Mervis Javier</v>
      </c>
      <c r="E232" s="1468" t="s">
        <v>4622</v>
      </c>
      <c r="F232" s="1704">
        <v>27853</v>
      </c>
      <c r="G232" s="1468" t="s">
        <v>4620</v>
      </c>
      <c r="H232" s="1705">
        <f>+NOMINA!H211</f>
        <v>45505</v>
      </c>
      <c r="I232" s="1105">
        <f>+NOMINA!I211</f>
        <v>1</v>
      </c>
      <c r="J232" s="1106">
        <f>+NOMINA!J211</f>
        <v>0</v>
      </c>
      <c r="K232" s="1105">
        <f t="shared" si="23"/>
        <v>1</v>
      </c>
      <c r="L232" s="1106" t="s">
        <v>4932</v>
      </c>
      <c r="M232" s="1106"/>
      <c r="N232" s="1443" t="str">
        <f>+NOMINA!O211</f>
        <v>Guia de Centro I</v>
      </c>
      <c r="O232" s="1107">
        <f>ROUND(NOMINA!W211,2)</f>
        <v>65</v>
      </c>
      <c r="P232" s="1107">
        <f>NOMINA!AF211</f>
        <v>0.65</v>
      </c>
      <c r="Q232" s="1107">
        <f>NOMINA!AH211</f>
        <v>65</v>
      </c>
      <c r="R232" s="1107">
        <f>NOMINA!AC211</f>
        <v>25</v>
      </c>
      <c r="S232" s="1107">
        <f>NOMINA!AJ211</f>
        <v>0</v>
      </c>
      <c r="T232" s="1108">
        <f t="shared" si="24"/>
        <v>152.51</v>
      </c>
      <c r="U232" s="1107">
        <f>ROUND(NOMINA!BL211,2)</f>
        <v>17.18</v>
      </c>
      <c r="V232" s="1107">
        <f>ROUND(NOMINA!BM211,2)</f>
        <v>2.15</v>
      </c>
      <c r="W232" s="1107">
        <f>ROUND(+NOMINA!BN211,2)</f>
        <v>3.72</v>
      </c>
      <c r="X232" s="1108">
        <f t="shared" si="25"/>
        <v>24.15</v>
      </c>
      <c r="Y232" s="1107">
        <f>ROUND(NOMINA!BJ211,2)</f>
        <v>12.5</v>
      </c>
      <c r="Z232" s="1109">
        <f t="shared" si="22"/>
        <v>132.60000000000002</v>
      </c>
    </row>
    <row r="233" spans="1:26" s="620" customFormat="1" ht="20.100000000000001" customHeight="1" thickBot="1" x14ac:dyDescent="0.25">
      <c r="A233" s="758" t="s">
        <v>2846</v>
      </c>
      <c r="B233" s="508">
        <f t="shared" ca="1" si="26"/>
        <v>169</v>
      </c>
      <c r="C233" s="1102">
        <f>+NOMINA!C212</f>
        <v>18036156</v>
      </c>
      <c r="D233" s="1103" t="str">
        <f>+NOMINA!D212</f>
        <v>Ruiz Vasquez Endri Ramon</v>
      </c>
      <c r="E233" s="1468" t="s">
        <v>4622</v>
      </c>
      <c r="F233" s="1704">
        <v>27853</v>
      </c>
      <c r="G233" s="1468" t="s">
        <v>4620</v>
      </c>
      <c r="H233" s="1705">
        <f>+NOMINA!H212</f>
        <v>45597</v>
      </c>
      <c r="I233" s="1105">
        <f>+NOMINA!I212</f>
        <v>0</v>
      </c>
      <c r="J233" s="1106">
        <f>+NOMINA!J212</f>
        <v>0</v>
      </c>
      <c r="K233" s="1105">
        <f t="shared" si="23"/>
        <v>0</v>
      </c>
      <c r="L233" s="1106" t="s">
        <v>4932</v>
      </c>
      <c r="M233" s="1106"/>
      <c r="N233" s="1443" t="str">
        <f>+NOMINA!O212</f>
        <v>Guia de Centro I</v>
      </c>
      <c r="O233" s="1107">
        <f>ROUND(NOMINA!W212,2)</f>
        <v>65</v>
      </c>
      <c r="P233" s="1107">
        <f>NOMINA!AF212</f>
        <v>0</v>
      </c>
      <c r="Q233" s="1107">
        <f>NOMINA!AH212</f>
        <v>65</v>
      </c>
      <c r="R233" s="1107">
        <f>NOMINA!AC212</f>
        <v>0</v>
      </c>
      <c r="S233" s="1107">
        <f>NOMINA!AJ212</f>
        <v>0</v>
      </c>
      <c r="T233" s="1108">
        <f t="shared" si="24"/>
        <v>90.65</v>
      </c>
      <c r="U233" s="1107">
        <f>ROUND(NOMINA!BL212,2)</f>
        <v>15.6</v>
      </c>
      <c r="V233" s="1107">
        <f>ROUND(NOMINA!BM212,2)</f>
        <v>1.95</v>
      </c>
      <c r="W233" s="1107">
        <f>ROUND(+NOMINA!BN212,2)</f>
        <v>3.38</v>
      </c>
      <c r="X233" s="1108">
        <f t="shared" si="25"/>
        <v>35.549999999999997</v>
      </c>
      <c r="Y233" s="1107">
        <f>ROUND(NOMINA!BJ212,2)</f>
        <v>12.5</v>
      </c>
      <c r="Z233" s="1109">
        <f t="shared" si="22"/>
        <v>109.07</v>
      </c>
    </row>
    <row r="234" spans="1:26" s="620" customFormat="1" ht="20.100000000000001" customHeight="1" thickBot="1" x14ac:dyDescent="0.25">
      <c r="A234" s="758" t="s">
        <v>2846</v>
      </c>
      <c r="B234" s="508">
        <f t="shared" ca="1" si="26"/>
        <v>170</v>
      </c>
      <c r="C234" s="1102">
        <f>+NOMINA!C213</f>
        <v>18095603</v>
      </c>
      <c r="D234" s="1103" t="str">
        <f>+NOMINA!D213</f>
        <v>Lozada Bencomo Daniela Carolina</v>
      </c>
      <c r="E234" s="1468" t="s">
        <v>4622</v>
      </c>
      <c r="F234" s="1704">
        <v>27853</v>
      </c>
      <c r="G234" s="1468" t="s">
        <v>4620</v>
      </c>
      <c r="H234" s="1705">
        <f>+NOMINA!H213</f>
        <v>42963</v>
      </c>
      <c r="I234" s="1105">
        <f>+NOMINA!I213</f>
        <v>8</v>
      </c>
      <c r="J234" s="1106">
        <f>+NOMINA!J213</f>
        <v>0</v>
      </c>
      <c r="K234" s="1105">
        <f t="shared" si="23"/>
        <v>8</v>
      </c>
      <c r="L234" s="1106" t="s">
        <v>4932</v>
      </c>
      <c r="M234" s="1106"/>
      <c r="N234" s="1443" t="str">
        <f>+NOMINA!O213</f>
        <v>Tecnico Superior en Trabajo Social II</v>
      </c>
      <c r="O234" s="1107">
        <f>ROUND(NOMINA!W213,2)</f>
        <v>110.5</v>
      </c>
      <c r="P234" s="1107">
        <f>NOMINA!AF213</f>
        <v>9.51</v>
      </c>
      <c r="Q234" s="1107">
        <f>NOMINA!AH213</f>
        <v>65</v>
      </c>
      <c r="R234" s="1107">
        <f>NOMINA!AC213</f>
        <v>12.5</v>
      </c>
      <c r="S234" s="1107">
        <f>NOMINA!AJ213</f>
        <v>47.82</v>
      </c>
      <c r="T234" s="1108">
        <f t="shared" si="24"/>
        <v>80.5</v>
      </c>
      <c r="U234" s="1107">
        <f>ROUND(NOMINA!BL213,2)</f>
        <v>22.07</v>
      </c>
      <c r="V234" s="1107">
        <f>ROUND(NOMINA!BM213,2)</f>
        <v>2.76</v>
      </c>
      <c r="W234" s="1107">
        <f>ROUND(+NOMINA!BN213,2)</f>
        <v>4.78</v>
      </c>
      <c r="X234" s="1108">
        <f t="shared" si="25"/>
        <v>34.08</v>
      </c>
      <c r="Y234" s="1107">
        <f>ROUND(NOMINA!BJ213,2)</f>
        <v>12.5</v>
      </c>
      <c r="Z234" s="1109">
        <f t="shared" si="22"/>
        <v>215.71999999999997</v>
      </c>
    </row>
    <row r="235" spans="1:26" s="620" customFormat="1" ht="20.100000000000001" customHeight="1" thickBot="1" x14ac:dyDescent="0.25">
      <c r="A235" s="758" t="s">
        <v>2846</v>
      </c>
      <c r="B235" s="508">
        <f t="shared" ca="1" si="26"/>
        <v>171</v>
      </c>
      <c r="C235" s="1102">
        <f>+NOMINA!C214</f>
        <v>18096996</v>
      </c>
      <c r="D235" s="1103" t="str">
        <f>+NOMINA!D214</f>
        <v>Diaz Maldonado Anny Jackeline</v>
      </c>
      <c r="E235" s="1468" t="s">
        <v>4622</v>
      </c>
      <c r="F235" s="1704">
        <v>27853</v>
      </c>
      <c r="G235" s="1468" t="s">
        <v>4620</v>
      </c>
      <c r="H235" s="1705">
        <f>+NOMINA!H214</f>
        <v>44743</v>
      </c>
      <c r="I235" s="1105">
        <f>+NOMINA!I214</f>
        <v>3</v>
      </c>
      <c r="J235" s="1106">
        <f>+NOMINA!J214</f>
        <v>0</v>
      </c>
      <c r="K235" s="1105">
        <f t="shared" si="23"/>
        <v>3</v>
      </c>
      <c r="L235" s="1106" t="s">
        <v>4932</v>
      </c>
      <c r="M235" s="1106"/>
      <c r="N235" s="1443" t="str">
        <f>+NOMINA!O214</f>
        <v>CONTABILISTA III</v>
      </c>
      <c r="O235" s="1107">
        <f>ROUND(NOMINA!W214,2)</f>
        <v>109.5</v>
      </c>
      <c r="P235" s="1107">
        <f>NOMINA!AF214</f>
        <v>3.29</v>
      </c>
      <c r="Q235" s="1107">
        <f>NOMINA!AH214</f>
        <v>65</v>
      </c>
      <c r="R235" s="1107">
        <f>NOMINA!AC214</f>
        <v>12.5</v>
      </c>
      <c r="S235" s="1107">
        <f>NOMINA!AJ214</f>
        <v>36.81</v>
      </c>
      <c r="T235" s="1108">
        <f t="shared" si="24"/>
        <v>143.1</v>
      </c>
      <c r="U235" s="1107">
        <f>ROUND(NOMINA!BL214,2)</f>
        <v>20.39</v>
      </c>
      <c r="V235" s="1107">
        <f>ROUND(NOMINA!BM214,2)</f>
        <v>2.5499999999999998</v>
      </c>
      <c r="W235" s="1107">
        <f>ROUND(+NOMINA!BN214,2)</f>
        <v>4.42</v>
      </c>
      <c r="X235" s="1108">
        <f t="shared" si="25"/>
        <v>34.229999999999997</v>
      </c>
      <c r="Y235" s="1107">
        <f>ROUND(NOMINA!BJ214,2)</f>
        <v>12.5</v>
      </c>
      <c r="Z235" s="1109">
        <f t="shared" si="22"/>
        <v>199.74</v>
      </c>
    </row>
    <row r="236" spans="1:26" s="620" customFormat="1" ht="20.100000000000001" customHeight="1" thickBot="1" x14ac:dyDescent="0.25">
      <c r="A236" s="758" t="s">
        <v>2846</v>
      </c>
      <c r="B236" s="508">
        <f t="shared" ca="1" si="26"/>
        <v>172</v>
      </c>
      <c r="C236" s="1102">
        <f>+NOMINA!C215</f>
        <v>18097528</v>
      </c>
      <c r="D236" s="1103" t="str">
        <f>+NOMINA!D215</f>
        <v>Godoy Suarez Nelson Jose</v>
      </c>
      <c r="E236" s="1468" t="s">
        <v>4622</v>
      </c>
      <c r="F236" s="1704">
        <v>27853</v>
      </c>
      <c r="G236" s="1468" t="s">
        <v>4620</v>
      </c>
      <c r="H236" s="1705">
        <f>+NOMINA!H215</f>
        <v>45536</v>
      </c>
      <c r="I236" s="1105">
        <f>+NOMINA!I215</f>
        <v>1</v>
      </c>
      <c r="J236" s="1106">
        <f>+NOMINA!J215</f>
        <v>0</v>
      </c>
      <c r="K236" s="1105">
        <f t="shared" si="23"/>
        <v>1</v>
      </c>
      <c r="L236" s="1106" t="s">
        <v>4932</v>
      </c>
      <c r="M236" s="1106"/>
      <c r="N236" s="1443" t="str">
        <f>+NOMINA!O215</f>
        <v>Guia de Centro I</v>
      </c>
      <c r="O236" s="1107">
        <f>ROUND(NOMINA!W215,2)</f>
        <v>65</v>
      </c>
      <c r="P236" s="1107">
        <f>NOMINA!AF215</f>
        <v>0.65</v>
      </c>
      <c r="Q236" s="1107">
        <f>NOMINA!AH215</f>
        <v>65</v>
      </c>
      <c r="R236" s="1107">
        <f>NOMINA!AC215</f>
        <v>25</v>
      </c>
      <c r="S236" s="1107">
        <f>NOMINA!AJ215</f>
        <v>0</v>
      </c>
      <c r="T236" s="1108">
        <f t="shared" si="24"/>
        <v>182.77</v>
      </c>
      <c r="U236" s="1107">
        <f>ROUND(NOMINA!BL215,2)</f>
        <v>17.18</v>
      </c>
      <c r="V236" s="1107">
        <f>ROUND(NOMINA!BM215,2)</f>
        <v>2.15</v>
      </c>
      <c r="W236" s="1107">
        <f>ROUND(+NOMINA!BN215,2)</f>
        <v>3.72</v>
      </c>
      <c r="X236" s="1108">
        <f t="shared" si="25"/>
        <v>19.170000000000002</v>
      </c>
      <c r="Y236" s="1107">
        <f>ROUND(NOMINA!BJ215,2)</f>
        <v>12.5</v>
      </c>
      <c r="Z236" s="1109">
        <f t="shared" si="22"/>
        <v>132.60000000000002</v>
      </c>
    </row>
    <row r="237" spans="1:26" s="620" customFormat="1" ht="20.100000000000001" customHeight="1" thickBot="1" x14ac:dyDescent="0.25">
      <c r="A237" s="758" t="s">
        <v>2846</v>
      </c>
      <c r="B237" s="508">
        <f t="shared" ca="1" si="26"/>
        <v>173</v>
      </c>
      <c r="C237" s="1102">
        <f>+NOMINA!C216</f>
        <v>18097873</v>
      </c>
      <c r="D237" s="1103" t="str">
        <f>+NOMINA!D216</f>
        <v>Villarreal Prada Yoriangela Nataly</v>
      </c>
      <c r="E237" s="1468" t="s">
        <v>4622</v>
      </c>
      <c r="F237" s="1704">
        <v>27853</v>
      </c>
      <c r="G237" s="1468" t="s">
        <v>4620</v>
      </c>
      <c r="H237" s="1705">
        <f>+NOMINA!H216</f>
        <v>44531</v>
      </c>
      <c r="I237" s="1105">
        <f>+NOMINA!I216</f>
        <v>3</v>
      </c>
      <c r="J237" s="1106">
        <f>+NOMINA!J216</f>
        <v>0</v>
      </c>
      <c r="K237" s="1105">
        <f t="shared" si="23"/>
        <v>3</v>
      </c>
      <c r="L237" s="1106" t="s">
        <v>4932</v>
      </c>
      <c r="M237" s="1106"/>
      <c r="N237" s="1443" t="str">
        <f>+NOMINA!O216</f>
        <v>Guia de Centro I</v>
      </c>
      <c r="O237" s="1107">
        <f>ROUND(NOMINA!W216,2)</f>
        <v>75</v>
      </c>
      <c r="P237" s="1107">
        <f>NOMINA!AF216</f>
        <v>2.25</v>
      </c>
      <c r="Q237" s="1107">
        <f>NOMINA!AH216</f>
        <v>65</v>
      </c>
      <c r="R237" s="1107">
        <f>NOMINA!AC216</f>
        <v>25</v>
      </c>
      <c r="S237" s="1107">
        <f>NOMINA!AJ216</f>
        <v>0</v>
      </c>
      <c r="T237" s="1108">
        <f t="shared" si="24"/>
        <v>118.91</v>
      </c>
      <c r="U237" s="1107">
        <f>ROUND(NOMINA!BL216,2)</f>
        <v>18.57</v>
      </c>
      <c r="V237" s="1107">
        <f>ROUND(NOMINA!BM216,2)</f>
        <v>2.3199999999999998</v>
      </c>
      <c r="W237" s="1107">
        <f>ROUND(+NOMINA!BN216,2)</f>
        <v>4.0199999999999996</v>
      </c>
      <c r="X237" s="1108">
        <f t="shared" si="25"/>
        <v>33.700000000000003</v>
      </c>
      <c r="Y237" s="1107">
        <f>ROUND(NOMINA!BJ216,2)</f>
        <v>12.5</v>
      </c>
      <c r="Z237" s="1109">
        <f t="shared" si="22"/>
        <v>142.34</v>
      </c>
    </row>
    <row r="238" spans="1:26" s="620" customFormat="1" ht="20.100000000000001" customHeight="1" thickBot="1" x14ac:dyDescent="0.25">
      <c r="A238" s="758" t="s">
        <v>2846</v>
      </c>
      <c r="B238" s="508">
        <f t="shared" ca="1" si="26"/>
        <v>174</v>
      </c>
      <c r="C238" s="1102">
        <f>+NOMINA!C217</f>
        <v>18348317</v>
      </c>
      <c r="D238" s="1103" t="str">
        <f>+NOMINA!D217</f>
        <v>Abreu Araujo Gilmer Francisco</v>
      </c>
      <c r="E238" s="1468" t="s">
        <v>4622</v>
      </c>
      <c r="F238" s="1704">
        <v>27853</v>
      </c>
      <c r="G238" s="1468" t="s">
        <v>4620</v>
      </c>
      <c r="H238" s="1705">
        <f>+NOMINA!H217</f>
        <v>43160</v>
      </c>
      <c r="I238" s="1105">
        <f>+NOMINA!I217</f>
        <v>7</v>
      </c>
      <c r="J238" s="1106">
        <f>+NOMINA!J217</f>
        <v>0</v>
      </c>
      <c r="K238" s="1105">
        <f t="shared" si="23"/>
        <v>7</v>
      </c>
      <c r="L238" s="1106" t="s">
        <v>4932</v>
      </c>
      <c r="M238" s="1106"/>
      <c r="N238" s="1443" t="str">
        <f>+NOMINA!O217</f>
        <v>Tutor Facilitador III</v>
      </c>
      <c r="O238" s="1107">
        <f>ROUND(NOMINA!W217,2)</f>
        <v>139.5</v>
      </c>
      <c r="P238" s="1107">
        <f>NOMINA!AF217</f>
        <v>10.33</v>
      </c>
      <c r="Q238" s="1107">
        <f>NOMINA!AH217</f>
        <v>65</v>
      </c>
      <c r="R238" s="1107">
        <f>NOMINA!AC217</f>
        <v>12.5</v>
      </c>
      <c r="S238" s="1107">
        <f>NOMINA!AJ217</f>
        <v>66.33</v>
      </c>
      <c r="T238" s="1108">
        <f t="shared" si="24"/>
        <v>95.27</v>
      </c>
      <c r="U238" s="1107">
        <f>ROUND(NOMINA!BL217,2)</f>
        <v>26.53</v>
      </c>
      <c r="V238" s="1107">
        <f>ROUND(NOMINA!BM217,2)</f>
        <v>3.32</v>
      </c>
      <c r="W238" s="1107">
        <f>ROUND(+NOMINA!BN217,2)</f>
        <v>5.75</v>
      </c>
      <c r="X238" s="1108">
        <f t="shared" si="25"/>
        <v>32.5</v>
      </c>
      <c r="Y238" s="1107">
        <f>ROUND(NOMINA!BJ217,2)</f>
        <v>12.5</v>
      </c>
      <c r="Z238" s="1109">
        <f t="shared" si="22"/>
        <v>258.06</v>
      </c>
    </row>
    <row r="239" spans="1:26" s="620" customFormat="1" ht="20.100000000000001" customHeight="1" thickBot="1" x14ac:dyDescent="0.25">
      <c r="A239" s="758" t="s">
        <v>2846</v>
      </c>
      <c r="B239" s="508">
        <f t="shared" ca="1" si="26"/>
        <v>175</v>
      </c>
      <c r="C239" s="1102">
        <f>+NOMINA!C218</f>
        <v>18348721</v>
      </c>
      <c r="D239" s="1103" t="str">
        <f>+NOMINA!D218</f>
        <v>Villarreal Lusana Carolina</v>
      </c>
      <c r="E239" s="1468" t="s">
        <v>4622</v>
      </c>
      <c r="F239" s="1704">
        <v>27853</v>
      </c>
      <c r="G239" s="1468" t="s">
        <v>4620</v>
      </c>
      <c r="H239" s="1705">
        <f>+NOMINA!H218</f>
        <v>42948</v>
      </c>
      <c r="I239" s="1105">
        <f>+NOMINA!I218</f>
        <v>8</v>
      </c>
      <c r="J239" s="1106">
        <f>+NOMINA!J218</f>
        <v>0</v>
      </c>
      <c r="K239" s="1105">
        <f t="shared" si="23"/>
        <v>8</v>
      </c>
      <c r="L239" s="1106" t="s">
        <v>4932</v>
      </c>
      <c r="M239" s="1106"/>
      <c r="N239" s="1443" t="str">
        <f>+NOMINA!O218</f>
        <v>Tecnico Superior en Trabajo Social II</v>
      </c>
      <c r="O239" s="1107">
        <f>ROUND(NOMINA!W218,2)</f>
        <v>110.5</v>
      </c>
      <c r="P239" s="1107">
        <f>NOMINA!AF218</f>
        <v>9.51</v>
      </c>
      <c r="Q239" s="1107">
        <f>NOMINA!AH218</f>
        <v>65</v>
      </c>
      <c r="R239" s="1107">
        <f>NOMINA!AC218</f>
        <v>25</v>
      </c>
      <c r="S239" s="1107">
        <f>NOMINA!AJ218</f>
        <v>39.5</v>
      </c>
      <c r="T239" s="1108">
        <f t="shared" si="24"/>
        <v>81.25</v>
      </c>
      <c r="U239" s="1107">
        <f>ROUND(NOMINA!BL218,2)</f>
        <v>21.88</v>
      </c>
      <c r="V239" s="1107">
        <f>ROUND(NOMINA!BM218,2)</f>
        <v>2.73</v>
      </c>
      <c r="W239" s="1107">
        <f>ROUND(+NOMINA!BN218,2)</f>
        <v>4.74</v>
      </c>
      <c r="X239" s="1108">
        <f t="shared" si="25"/>
        <v>27.49</v>
      </c>
      <c r="Y239" s="1107">
        <f>ROUND(NOMINA!BJ218,2)</f>
        <v>12.5</v>
      </c>
      <c r="Z239" s="1109">
        <f t="shared" si="22"/>
        <v>220.16</v>
      </c>
    </row>
    <row r="240" spans="1:26" s="620" customFormat="1" ht="20.100000000000001" customHeight="1" thickBot="1" x14ac:dyDescent="0.25">
      <c r="A240" s="758" t="s">
        <v>2846</v>
      </c>
      <c r="B240" s="508">
        <f t="shared" ca="1" si="26"/>
        <v>176</v>
      </c>
      <c r="C240" s="1102">
        <f>+NOMINA!C219</f>
        <v>18349021</v>
      </c>
      <c r="D240" s="1103" t="str">
        <f>+NOMINA!D219</f>
        <v>Godoy Linares Amenaida del Valle</v>
      </c>
      <c r="E240" s="1468" t="s">
        <v>4622</v>
      </c>
      <c r="F240" s="1704">
        <v>27853</v>
      </c>
      <c r="G240" s="1468" t="s">
        <v>4620</v>
      </c>
      <c r="H240" s="1705">
        <f>+NOMINA!H219</f>
        <v>44683</v>
      </c>
      <c r="I240" s="1105">
        <f>+NOMINA!I219</f>
        <v>3</v>
      </c>
      <c r="J240" s="1106">
        <f>+NOMINA!J219</f>
        <v>0</v>
      </c>
      <c r="K240" s="1105">
        <f t="shared" si="23"/>
        <v>3</v>
      </c>
      <c r="L240" s="1106" t="s">
        <v>4932</v>
      </c>
      <c r="M240" s="1106"/>
      <c r="N240" s="1443" t="str">
        <f>+NOMINA!O219</f>
        <v>Guia de Centro I</v>
      </c>
      <c r="O240" s="1107">
        <f>ROUND(NOMINA!W219,2)</f>
        <v>109.5</v>
      </c>
      <c r="P240" s="1107">
        <f>NOMINA!AF219</f>
        <v>3.29</v>
      </c>
      <c r="Q240" s="1107">
        <f>NOMINA!AH219</f>
        <v>65</v>
      </c>
      <c r="R240" s="1107">
        <f>NOMINA!AC219</f>
        <v>12.5</v>
      </c>
      <c r="S240" s="1107">
        <f>NOMINA!AJ219</f>
        <v>46.01</v>
      </c>
      <c r="T240" s="1108">
        <f t="shared" si="24"/>
        <v>117.60000000000001</v>
      </c>
      <c r="U240" s="1107">
        <f>ROUND(NOMINA!BL219,2)</f>
        <v>27.61</v>
      </c>
      <c r="V240" s="1107">
        <f>ROUND(NOMINA!BM219,2)</f>
        <v>3.45</v>
      </c>
      <c r="W240" s="1107">
        <f>ROUND(+NOMINA!BN219,2)</f>
        <v>5.98</v>
      </c>
      <c r="X240" s="1108">
        <f t="shared" si="25"/>
        <v>28.61</v>
      </c>
      <c r="Y240" s="1107">
        <f>ROUND(NOMINA!BJ219,2)</f>
        <v>12.5</v>
      </c>
      <c r="Z240" s="1109">
        <f t="shared" si="22"/>
        <v>199.26000000000002</v>
      </c>
    </row>
    <row r="241" spans="1:26" s="620" customFormat="1" ht="20.100000000000001" customHeight="1" thickBot="1" x14ac:dyDescent="0.25">
      <c r="A241" s="758" t="s">
        <v>2846</v>
      </c>
      <c r="B241" s="508">
        <f t="shared" ca="1" si="26"/>
        <v>177</v>
      </c>
      <c r="C241" s="1102">
        <f>+NOMINA!C220</f>
        <v>18349409</v>
      </c>
      <c r="D241" s="1103" t="str">
        <f>+NOMINA!D220</f>
        <v>Fernandez Mendoza Maria Alejandra</v>
      </c>
      <c r="E241" s="1468" t="s">
        <v>4622</v>
      </c>
      <c r="F241" s="1704">
        <v>27853</v>
      </c>
      <c r="G241" s="1468" t="s">
        <v>4620</v>
      </c>
      <c r="H241" s="1705">
        <f>+NOMINA!H220</f>
        <v>45839</v>
      </c>
      <c r="I241" s="1105">
        <f>+NOMINA!I220</f>
        <v>0</v>
      </c>
      <c r="J241" s="1106">
        <f>+NOMINA!J220</f>
        <v>0</v>
      </c>
      <c r="K241" s="1105">
        <f t="shared" si="23"/>
        <v>0</v>
      </c>
      <c r="L241" s="1106" t="s">
        <v>4932</v>
      </c>
      <c r="M241" s="1106"/>
      <c r="N241" s="1443" t="str">
        <f>+NOMINA!O220</f>
        <v>Guia de Centro I</v>
      </c>
      <c r="O241" s="1107">
        <f>ROUND(NOMINA!W220,2)</f>
        <v>65</v>
      </c>
      <c r="P241" s="1107">
        <f>NOMINA!AF220</f>
        <v>0</v>
      </c>
      <c r="Q241" s="1107">
        <f>NOMINA!AH220</f>
        <v>65</v>
      </c>
      <c r="R241" s="1107">
        <f>NOMINA!AC220</f>
        <v>12.5</v>
      </c>
      <c r="S241" s="1107">
        <f>NOMINA!AJ220</f>
        <v>0</v>
      </c>
      <c r="T241" s="1108">
        <f t="shared" si="24"/>
        <v>149.19999999999999</v>
      </c>
      <c r="U241" s="1107">
        <f>ROUND(NOMINA!BL220,2)</f>
        <v>16.350000000000001</v>
      </c>
      <c r="V241" s="1107">
        <f>ROUND(NOMINA!BM220,2)</f>
        <v>2.04</v>
      </c>
      <c r="W241" s="1107">
        <f>ROUND(+NOMINA!BN220,2)</f>
        <v>3.54</v>
      </c>
      <c r="X241" s="1108">
        <f t="shared" si="25"/>
        <v>37.229999999999997</v>
      </c>
      <c r="Y241" s="1107">
        <f>ROUND(NOMINA!BJ220,2)</f>
        <v>12.5</v>
      </c>
      <c r="Z241" s="1109">
        <f t="shared" si="22"/>
        <v>120.57</v>
      </c>
    </row>
    <row r="242" spans="1:26" s="620" customFormat="1" ht="20.100000000000001" customHeight="1" thickBot="1" x14ac:dyDescent="0.25">
      <c r="A242" s="758" t="s">
        <v>2846</v>
      </c>
      <c r="B242" s="508">
        <f t="shared" ca="1" si="26"/>
        <v>178</v>
      </c>
      <c r="C242" s="1102">
        <f>+NOMINA!C221</f>
        <v>18349653</v>
      </c>
      <c r="D242" s="1103" t="str">
        <f>+NOMINA!D221</f>
        <v>Baptista Finol Violexy del Valle</v>
      </c>
      <c r="E242" s="1468" t="s">
        <v>4622</v>
      </c>
      <c r="F242" s="1704">
        <v>27853</v>
      </c>
      <c r="G242" s="1468" t="s">
        <v>4620</v>
      </c>
      <c r="H242" s="1705">
        <f>+NOMINA!H221</f>
        <v>45627</v>
      </c>
      <c r="I242" s="1105">
        <f>+NOMINA!I221</f>
        <v>0</v>
      </c>
      <c r="J242" s="1106">
        <f>+NOMINA!J221</f>
        <v>0</v>
      </c>
      <c r="K242" s="1105">
        <f t="shared" si="23"/>
        <v>0</v>
      </c>
      <c r="L242" s="1106" t="s">
        <v>4932</v>
      </c>
      <c r="M242" s="1106"/>
      <c r="N242" s="1443" t="str">
        <f>+NOMINA!O221</f>
        <v>Guia de Centro I</v>
      </c>
      <c r="O242" s="1107">
        <f>ROUND(NOMINA!W221,2)</f>
        <v>96</v>
      </c>
      <c r="P242" s="1107">
        <f>NOMINA!AF221</f>
        <v>0</v>
      </c>
      <c r="Q242" s="1107">
        <f>NOMINA!AH221</f>
        <v>65</v>
      </c>
      <c r="R242" s="1107">
        <f>NOMINA!AC221</f>
        <v>25</v>
      </c>
      <c r="S242" s="1107">
        <f>NOMINA!AJ221</f>
        <v>43.38</v>
      </c>
      <c r="T242" s="1108">
        <f t="shared" si="24"/>
        <v>143.1</v>
      </c>
      <c r="U242" s="1107">
        <f>ROUND(NOMINA!BL221,2)</f>
        <v>26.03</v>
      </c>
      <c r="V242" s="1107">
        <f>ROUND(NOMINA!BM221,2)</f>
        <v>3.25</v>
      </c>
      <c r="W242" s="1107">
        <f>ROUND(+NOMINA!BN221,2)</f>
        <v>5.64</v>
      </c>
      <c r="X242" s="1108">
        <f t="shared" si="25"/>
        <v>32.57</v>
      </c>
      <c r="Y242" s="1107">
        <f>ROUND(NOMINA!BJ221,2)</f>
        <v>12.5</v>
      </c>
      <c r="Z242" s="1109">
        <f t="shared" si="22"/>
        <v>194.45999999999998</v>
      </c>
    </row>
    <row r="243" spans="1:26" s="620" customFormat="1" ht="20.100000000000001" customHeight="1" thickBot="1" x14ac:dyDescent="0.25">
      <c r="A243" s="758" t="s">
        <v>2846</v>
      </c>
      <c r="B243" s="508">
        <f t="shared" ca="1" si="26"/>
        <v>179</v>
      </c>
      <c r="C243" s="1102">
        <f>+NOMINA!C222</f>
        <v>18350884</v>
      </c>
      <c r="D243" s="1103" t="str">
        <f>+NOMINA!D222</f>
        <v>Araujo Mendoza Mirelis Carolina</v>
      </c>
      <c r="E243" s="1468" t="s">
        <v>4622</v>
      </c>
      <c r="F243" s="1704">
        <v>27853</v>
      </c>
      <c r="G243" s="1468" t="s">
        <v>4620</v>
      </c>
      <c r="H243" s="1705">
        <f>+NOMINA!H222</f>
        <v>45474</v>
      </c>
      <c r="I243" s="1105">
        <f>+NOMINA!I222</f>
        <v>1</v>
      </c>
      <c r="J243" s="1106">
        <f>+NOMINA!J222</f>
        <v>0</v>
      </c>
      <c r="K243" s="1105">
        <f t="shared" si="23"/>
        <v>1</v>
      </c>
      <c r="L243" s="1106" t="s">
        <v>4932</v>
      </c>
      <c r="M243" s="1106"/>
      <c r="N243" s="1443" t="str">
        <f>+NOMINA!O222</f>
        <v>Guia de Centro I</v>
      </c>
      <c r="O243" s="1107">
        <f>ROUND(NOMINA!W222,2)</f>
        <v>65</v>
      </c>
      <c r="P243" s="1107">
        <f>NOMINA!AF222</f>
        <v>0.65</v>
      </c>
      <c r="Q243" s="1107">
        <f>NOMINA!AH222</f>
        <v>65</v>
      </c>
      <c r="R243" s="1107">
        <f>NOMINA!AC222</f>
        <v>12.5</v>
      </c>
      <c r="S243" s="1107">
        <f>NOMINA!AJ222</f>
        <v>0</v>
      </c>
      <c r="T243" s="1108">
        <f t="shared" si="24"/>
        <v>92.25</v>
      </c>
      <c r="U243" s="1107">
        <f>ROUND(NOMINA!BL222,2)</f>
        <v>16.43</v>
      </c>
      <c r="V243" s="1107">
        <f>ROUND(NOMINA!BM222,2)</f>
        <v>2.0499999999999998</v>
      </c>
      <c r="W243" s="1107">
        <f>ROUND(+NOMINA!BN222,2)</f>
        <v>3.56</v>
      </c>
      <c r="X243" s="1108">
        <f t="shared" si="25"/>
        <v>25.48</v>
      </c>
      <c r="Y243" s="1107">
        <f>ROUND(NOMINA!BJ222,2)</f>
        <v>12.5</v>
      </c>
      <c r="Z243" s="1109">
        <f t="shared" si="22"/>
        <v>121.11000000000001</v>
      </c>
    </row>
    <row r="244" spans="1:26" s="620" customFormat="1" ht="20.100000000000001" customHeight="1" thickBot="1" x14ac:dyDescent="0.25">
      <c r="A244" s="758" t="s">
        <v>2846</v>
      </c>
      <c r="B244" s="508">
        <f t="shared" ca="1" si="26"/>
        <v>180</v>
      </c>
      <c r="C244" s="1102">
        <f>+NOMINA!C223</f>
        <v>18378985</v>
      </c>
      <c r="D244" s="1103" t="str">
        <f>+NOMINA!D223</f>
        <v>Quintero Paradas Ilse Maria</v>
      </c>
      <c r="E244" s="1468" t="s">
        <v>4622</v>
      </c>
      <c r="F244" s="1704">
        <v>27853</v>
      </c>
      <c r="G244" s="1468" t="s">
        <v>4620</v>
      </c>
      <c r="H244" s="1705">
        <f>+NOMINA!H223</f>
        <v>43147</v>
      </c>
      <c r="I244" s="1105">
        <f>+NOMINA!I223</f>
        <v>7</v>
      </c>
      <c r="J244" s="1106">
        <f>+NOMINA!J223</f>
        <v>0</v>
      </c>
      <c r="K244" s="1105">
        <f t="shared" si="23"/>
        <v>7</v>
      </c>
      <c r="L244" s="1106" t="s">
        <v>4932</v>
      </c>
      <c r="M244" s="1106"/>
      <c r="N244" s="1443" t="str">
        <f>+NOMINA!O223</f>
        <v>Analista de Procesamiento de Datos II</v>
      </c>
      <c r="O244" s="1107">
        <f>ROUND(NOMINA!W223,2)</f>
        <v>139.5</v>
      </c>
      <c r="P244" s="1107">
        <f>NOMINA!AF223</f>
        <v>10.33</v>
      </c>
      <c r="Q244" s="1107">
        <f>NOMINA!AH223</f>
        <v>65</v>
      </c>
      <c r="R244" s="1107">
        <f>NOMINA!AC223</f>
        <v>25</v>
      </c>
      <c r="S244" s="1107">
        <f>NOMINA!AJ223</f>
        <v>56.83</v>
      </c>
      <c r="T244" s="1108">
        <f t="shared" si="24"/>
        <v>125.85</v>
      </c>
      <c r="U244" s="1107">
        <f>ROUND(NOMINA!BL223,2)</f>
        <v>26.23</v>
      </c>
      <c r="V244" s="1107">
        <f>ROUND(NOMINA!BM223,2)</f>
        <v>3.28</v>
      </c>
      <c r="W244" s="1107">
        <f>ROUND(+NOMINA!BN223,2)</f>
        <v>5.68</v>
      </c>
      <c r="X244" s="1108">
        <f t="shared" si="25"/>
        <v>32.15</v>
      </c>
      <c r="Y244" s="1107">
        <f>ROUND(NOMINA!BJ223,2)</f>
        <v>12.5</v>
      </c>
      <c r="Z244" s="1109">
        <f t="shared" si="22"/>
        <v>261.47000000000003</v>
      </c>
    </row>
    <row r="245" spans="1:26" s="620" customFormat="1" ht="20.100000000000001" customHeight="1" thickBot="1" x14ac:dyDescent="0.25">
      <c r="A245" s="758" t="s">
        <v>2846</v>
      </c>
      <c r="B245" s="508">
        <f t="shared" ca="1" si="26"/>
        <v>181</v>
      </c>
      <c r="C245" s="1102">
        <f>+NOMINA!C224</f>
        <v>18456345</v>
      </c>
      <c r="D245" s="1103" t="str">
        <f>+NOMINA!D224</f>
        <v>Peñaloza Olmos Eduardo Jose</v>
      </c>
      <c r="E245" s="1468" t="s">
        <v>4622</v>
      </c>
      <c r="F245" s="1704">
        <v>27853</v>
      </c>
      <c r="G245" s="1468" t="s">
        <v>4620</v>
      </c>
      <c r="H245" s="1705">
        <f>+NOMINA!H224</f>
        <v>44774</v>
      </c>
      <c r="I245" s="1105">
        <f>+NOMINA!I224</f>
        <v>3</v>
      </c>
      <c r="J245" s="1106">
        <f>+NOMINA!J224</f>
        <v>0</v>
      </c>
      <c r="K245" s="1105">
        <f t="shared" si="23"/>
        <v>3</v>
      </c>
      <c r="L245" s="1106" t="s">
        <v>4932</v>
      </c>
      <c r="M245" s="1106"/>
      <c r="N245" s="1443" t="str">
        <f>+NOMINA!O224</f>
        <v>ESPECIALISTA EN INFORMATICA I</v>
      </c>
      <c r="O245" s="1107">
        <f>ROUND(NOMINA!W224,2)</f>
        <v>138.5</v>
      </c>
      <c r="P245" s="1107">
        <f>NOMINA!AF224</f>
        <v>4.16</v>
      </c>
      <c r="Q245" s="1107">
        <f>NOMINA!AH224</f>
        <v>65</v>
      </c>
      <c r="R245" s="1107">
        <f>NOMINA!AC224</f>
        <v>0</v>
      </c>
      <c r="S245" s="1107">
        <f>NOMINA!AJ224</f>
        <v>51.92</v>
      </c>
      <c r="T245" s="1108">
        <f t="shared" si="24"/>
        <v>112.1</v>
      </c>
      <c r="U245" s="1107">
        <f>ROUND(NOMINA!BL224,2)</f>
        <v>23.96</v>
      </c>
      <c r="V245" s="1107">
        <f>ROUND(NOMINA!BM224,2)</f>
        <v>3</v>
      </c>
      <c r="W245" s="1107">
        <f>ROUND(+NOMINA!BN224,2)</f>
        <v>5.19</v>
      </c>
      <c r="X245" s="1108">
        <f t="shared" si="25"/>
        <v>26</v>
      </c>
      <c r="Y245" s="1107">
        <f>ROUND(NOMINA!BJ224,2)</f>
        <v>12.5</v>
      </c>
      <c r="Z245" s="1109">
        <f t="shared" si="22"/>
        <v>227.42999999999998</v>
      </c>
    </row>
    <row r="246" spans="1:26" s="620" customFormat="1" ht="20.100000000000001" customHeight="1" thickBot="1" x14ac:dyDescent="0.25">
      <c r="A246" s="758" t="s">
        <v>2846</v>
      </c>
      <c r="B246" s="508">
        <f t="shared" ca="1" si="26"/>
        <v>182</v>
      </c>
      <c r="C246" s="1102">
        <f>+NOMINA!C225</f>
        <v>18457406</v>
      </c>
      <c r="D246" s="1103" t="str">
        <f>+NOMINA!D225</f>
        <v>Rivero Zambrano Herluis Jose</v>
      </c>
      <c r="E246" s="1468" t="s">
        <v>4622</v>
      </c>
      <c r="F246" s="1704">
        <v>27853</v>
      </c>
      <c r="G246" s="1468" t="s">
        <v>4620</v>
      </c>
      <c r="H246" s="1705">
        <f>+NOMINA!H225</f>
        <v>41548</v>
      </c>
      <c r="I246" s="1105">
        <f>+NOMINA!I225</f>
        <v>11</v>
      </c>
      <c r="J246" s="1106">
        <f>+NOMINA!J225</f>
        <v>0</v>
      </c>
      <c r="K246" s="1105">
        <f t="shared" si="23"/>
        <v>11</v>
      </c>
      <c r="L246" s="1106" t="s">
        <v>4932</v>
      </c>
      <c r="M246" s="1106"/>
      <c r="N246" s="1443" t="str">
        <f>+NOMINA!O225</f>
        <v>Ingeniero Agronomo IV</v>
      </c>
      <c r="O246" s="1107">
        <f>ROUND(NOMINA!W225,2)</f>
        <v>0</v>
      </c>
      <c r="P246" s="1107">
        <f>NOMINA!AF225</f>
        <v>0</v>
      </c>
      <c r="Q246" s="1107">
        <f>NOMINA!AH225</f>
        <v>0</v>
      </c>
      <c r="R246" s="1107">
        <f>NOMINA!AC225</f>
        <v>0</v>
      </c>
      <c r="S246" s="1107">
        <f>NOMINA!AJ225</f>
        <v>0</v>
      </c>
      <c r="T246" s="1108">
        <f t="shared" si="24"/>
        <v>111.51</v>
      </c>
      <c r="U246" s="1107">
        <f>ROUND(NOMINA!BL225,2)</f>
        <v>0</v>
      </c>
      <c r="V246" s="1107">
        <f>ROUND(NOMINA!BM225,2)</f>
        <v>0</v>
      </c>
      <c r="W246" s="1107">
        <f>ROUND(+NOMINA!BN225,2)</f>
        <v>0</v>
      </c>
      <c r="X246" s="1108">
        <f t="shared" si="25"/>
        <v>29.16</v>
      </c>
      <c r="Y246" s="1107">
        <f>ROUND(NOMINA!BJ225,2)</f>
        <v>0</v>
      </c>
      <c r="Z246" s="1109">
        <f t="shared" si="22"/>
        <v>0</v>
      </c>
    </row>
    <row r="247" spans="1:26" s="620" customFormat="1" ht="20.100000000000001" customHeight="1" thickBot="1" x14ac:dyDescent="0.25">
      <c r="A247" s="758" t="s">
        <v>2846</v>
      </c>
      <c r="B247" s="508">
        <f t="shared" ca="1" si="26"/>
        <v>183</v>
      </c>
      <c r="C247" s="1102">
        <f>+NOMINA!C226</f>
        <v>18458012</v>
      </c>
      <c r="D247" s="1103" t="str">
        <f>+NOMINA!D226</f>
        <v>Briceño Uzcategui Maria Esperanza</v>
      </c>
      <c r="E247" s="1468" t="s">
        <v>4622</v>
      </c>
      <c r="F247" s="1704">
        <v>27853</v>
      </c>
      <c r="G247" s="1468" t="s">
        <v>4620</v>
      </c>
      <c r="H247" s="1705">
        <f>+NOMINA!H226</f>
        <v>44636</v>
      </c>
      <c r="I247" s="1105">
        <f>+NOMINA!I226</f>
        <v>3</v>
      </c>
      <c r="J247" s="1106">
        <f>+NOMINA!J226</f>
        <v>0</v>
      </c>
      <c r="K247" s="1105">
        <f t="shared" si="23"/>
        <v>3</v>
      </c>
      <c r="L247" s="1106" t="s">
        <v>4932</v>
      </c>
      <c r="M247" s="1106"/>
      <c r="N247" s="1443" t="str">
        <f>+NOMINA!O226</f>
        <v>Asistente Administrativo III</v>
      </c>
      <c r="O247" s="1107">
        <f>ROUND(NOMINA!W226,2)</f>
        <v>109.5</v>
      </c>
      <c r="P247" s="1107">
        <f>NOMINA!AF226</f>
        <v>3.29</v>
      </c>
      <c r="Q247" s="1107">
        <f>NOMINA!AH226</f>
        <v>65</v>
      </c>
      <c r="R247" s="1107">
        <f>NOMINA!AC226</f>
        <v>25</v>
      </c>
      <c r="S247" s="1107">
        <f>NOMINA!AJ226</f>
        <v>38.06</v>
      </c>
      <c r="T247" s="1108">
        <f t="shared" si="24"/>
        <v>133.98000000000002</v>
      </c>
      <c r="U247" s="1107">
        <f>ROUND(NOMINA!BL226,2)</f>
        <v>21.08</v>
      </c>
      <c r="V247" s="1107">
        <f>ROUND(NOMINA!BM226,2)</f>
        <v>2.63</v>
      </c>
      <c r="W247" s="1107">
        <f>ROUND(+NOMINA!BN226,2)</f>
        <v>4.57</v>
      </c>
      <c r="X247" s="1108">
        <f t="shared" si="25"/>
        <v>23.15</v>
      </c>
      <c r="Y247" s="1107">
        <f>ROUND(NOMINA!BJ226,2)</f>
        <v>12.5</v>
      </c>
      <c r="Z247" s="1109">
        <f t="shared" si="22"/>
        <v>212.57000000000002</v>
      </c>
    </row>
    <row r="248" spans="1:26" s="620" customFormat="1" ht="20.100000000000001" customHeight="1" thickBot="1" x14ac:dyDescent="0.25">
      <c r="A248" s="758" t="s">
        <v>2846</v>
      </c>
      <c r="B248" s="508">
        <f t="shared" ca="1" si="26"/>
        <v>184</v>
      </c>
      <c r="C248" s="1102">
        <f>+NOMINA!C227</f>
        <v>18733682</v>
      </c>
      <c r="D248" s="1103" t="str">
        <f>+NOMINA!D227</f>
        <v>Ocanto Ramirez Maria Alejandra</v>
      </c>
      <c r="E248" s="1468" t="s">
        <v>4622</v>
      </c>
      <c r="F248" s="1704">
        <v>27853</v>
      </c>
      <c r="G248" s="1468" t="s">
        <v>4620</v>
      </c>
      <c r="H248" s="1705">
        <f>+NOMINA!H227</f>
        <v>45474</v>
      </c>
      <c r="I248" s="1105">
        <f>+NOMINA!I227</f>
        <v>1</v>
      </c>
      <c r="J248" s="1106">
        <f>+NOMINA!J227</f>
        <v>0</v>
      </c>
      <c r="K248" s="1105">
        <f t="shared" si="23"/>
        <v>1</v>
      </c>
      <c r="L248" s="1106" t="s">
        <v>4932</v>
      </c>
      <c r="M248" s="1106"/>
      <c r="N248" s="1443" t="str">
        <f>+NOMINA!O227</f>
        <v>Guia de Centro I</v>
      </c>
      <c r="O248" s="1107">
        <f>ROUND(NOMINA!W227,2)</f>
        <v>65</v>
      </c>
      <c r="P248" s="1107">
        <f>NOMINA!AF227</f>
        <v>0.65</v>
      </c>
      <c r="Q248" s="1107">
        <f>NOMINA!AH227</f>
        <v>65</v>
      </c>
      <c r="R248" s="1107">
        <f>NOMINA!AC227</f>
        <v>12.5</v>
      </c>
      <c r="S248" s="1107">
        <f>NOMINA!AJ227</f>
        <v>0</v>
      </c>
      <c r="T248" s="1108">
        <f t="shared" si="24"/>
        <v>120.76</v>
      </c>
      <c r="U248" s="1107">
        <f>ROUND(NOMINA!BL227,2)</f>
        <v>16.43</v>
      </c>
      <c r="V248" s="1107">
        <f>ROUND(NOMINA!BM227,2)</f>
        <v>2.0499999999999998</v>
      </c>
      <c r="W248" s="1107">
        <f>ROUND(+NOMINA!BN227,2)</f>
        <v>3.56</v>
      </c>
      <c r="X248" s="1108">
        <f t="shared" si="25"/>
        <v>23.05</v>
      </c>
      <c r="Y248" s="1107">
        <f>ROUND(NOMINA!BJ227,2)</f>
        <v>12.5</v>
      </c>
      <c r="Z248" s="1109">
        <f t="shared" si="22"/>
        <v>121.11000000000001</v>
      </c>
    </row>
    <row r="249" spans="1:26" s="620" customFormat="1" ht="20.100000000000001" customHeight="1" thickBot="1" x14ac:dyDescent="0.25">
      <c r="A249" s="758" t="s">
        <v>2846</v>
      </c>
      <c r="B249" s="508">
        <f t="shared" ca="1" si="26"/>
        <v>185</v>
      </c>
      <c r="C249" s="1102">
        <f>+NOMINA!C228</f>
        <v>18801597</v>
      </c>
      <c r="D249" s="1103" t="str">
        <f>+NOMINA!D228</f>
        <v>Rodriguez Salas Mary Carmen</v>
      </c>
      <c r="E249" s="1468" t="s">
        <v>4622</v>
      </c>
      <c r="F249" s="1704">
        <v>27853</v>
      </c>
      <c r="G249" s="1468" t="s">
        <v>4620</v>
      </c>
      <c r="H249" s="1705">
        <f>+NOMINA!H228</f>
        <v>43359</v>
      </c>
      <c r="I249" s="1105">
        <f>+NOMINA!I228</f>
        <v>7</v>
      </c>
      <c r="J249" s="1106">
        <f>+NOMINA!J228</f>
        <v>0</v>
      </c>
      <c r="K249" s="1105">
        <f t="shared" si="23"/>
        <v>7</v>
      </c>
      <c r="L249" s="1106" t="s">
        <v>4932</v>
      </c>
      <c r="M249" s="1106"/>
      <c r="N249" s="1443" t="str">
        <f>+NOMINA!O228</f>
        <v>Tutor Facilitador III</v>
      </c>
      <c r="O249" s="1107">
        <f>ROUND(NOMINA!W228,2)</f>
        <v>139.5</v>
      </c>
      <c r="P249" s="1107">
        <f>NOMINA!AF228</f>
        <v>10.33</v>
      </c>
      <c r="Q249" s="1107">
        <f>NOMINA!AH228</f>
        <v>65</v>
      </c>
      <c r="R249" s="1107">
        <f>NOMINA!AC228</f>
        <v>25</v>
      </c>
      <c r="S249" s="1107">
        <f>NOMINA!AJ228</f>
        <v>56.83</v>
      </c>
      <c r="T249" s="1108">
        <f t="shared" si="24"/>
        <v>124.54</v>
      </c>
      <c r="U249" s="1107">
        <f>ROUND(NOMINA!BL228,2)</f>
        <v>26.23</v>
      </c>
      <c r="V249" s="1107">
        <f>ROUND(NOMINA!BM228,2)</f>
        <v>3.28</v>
      </c>
      <c r="W249" s="1107">
        <f>ROUND(+NOMINA!BN228,2)</f>
        <v>5.68</v>
      </c>
      <c r="X249" s="1108">
        <f t="shared" si="25"/>
        <v>20.93</v>
      </c>
      <c r="Y249" s="1107">
        <f>ROUND(NOMINA!BJ228,2)</f>
        <v>12.5</v>
      </c>
      <c r="Z249" s="1109">
        <f t="shared" si="22"/>
        <v>261.47000000000003</v>
      </c>
    </row>
    <row r="250" spans="1:26" s="620" customFormat="1" ht="20.100000000000001" customHeight="1" thickBot="1" x14ac:dyDescent="0.25">
      <c r="A250" s="758" t="s">
        <v>2846</v>
      </c>
      <c r="B250" s="508">
        <f t="shared" ca="1" si="26"/>
        <v>186</v>
      </c>
      <c r="C250" s="1102">
        <f>+NOMINA!C229</f>
        <v>18802405</v>
      </c>
      <c r="D250" s="1103" t="str">
        <f>+NOMINA!D229</f>
        <v>Ramirez Rodriguez Rudys Arelys</v>
      </c>
      <c r="E250" s="1468" t="s">
        <v>4622</v>
      </c>
      <c r="F250" s="1704">
        <v>27853</v>
      </c>
      <c r="G250" s="1468" t="s">
        <v>4620</v>
      </c>
      <c r="H250" s="1705">
        <f>+NOMINA!H229</f>
        <v>44332</v>
      </c>
      <c r="I250" s="1105">
        <f>+NOMINA!I229</f>
        <v>4</v>
      </c>
      <c r="J250" s="1106">
        <f>+NOMINA!J229</f>
        <v>0</v>
      </c>
      <c r="K250" s="1105">
        <f t="shared" si="23"/>
        <v>4</v>
      </c>
      <c r="L250" s="1106" t="s">
        <v>4932</v>
      </c>
      <c r="M250" s="1106"/>
      <c r="N250" s="1443" t="str">
        <f>+NOMINA!O229</f>
        <v>Tutor Facilitador I</v>
      </c>
      <c r="O250" s="1107">
        <f>ROUND(NOMINA!W229,2)</f>
        <v>138.5</v>
      </c>
      <c r="P250" s="1107">
        <f>NOMINA!AF229</f>
        <v>5.54</v>
      </c>
      <c r="Q250" s="1107">
        <f>NOMINA!AH229</f>
        <v>65</v>
      </c>
      <c r="R250" s="1107">
        <f>NOMINA!AC229</f>
        <v>25</v>
      </c>
      <c r="S250" s="1107">
        <f>NOMINA!AJ229</f>
        <v>55.39</v>
      </c>
      <c r="T250" s="1108">
        <f t="shared" si="24"/>
        <v>125.03</v>
      </c>
      <c r="U250" s="1107">
        <f>ROUND(NOMINA!BL229,2)</f>
        <v>25.56</v>
      </c>
      <c r="V250" s="1107">
        <f>ROUND(NOMINA!BM229,2)</f>
        <v>3.2</v>
      </c>
      <c r="W250" s="1107">
        <f>ROUND(+NOMINA!BN229,2)</f>
        <v>5.54</v>
      </c>
      <c r="X250" s="1108">
        <f t="shared" si="25"/>
        <v>29.61</v>
      </c>
      <c r="Y250" s="1107">
        <f>ROUND(NOMINA!BJ229,2)</f>
        <v>12.5</v>
      </c>
      <c r="Z250" s="1109">
        <f t="shared" si="22"/>
        <v>255.13</v>
      </c>
    </row>
    <row r="251" spans="1:26" s="620" customFormat="1" ht="20.100000000000001" customHeight="1" thickBot="1" x14ac:dyDescent="0.25">
      <c r="A251" s="758" t="s">
        <v>2846</v>
      </c>
      <c r="B251" s="508">
        <f t="shared" ca="1" si="26"/>
        <v>187</v>
      </c>
      <c r="C251" s="1102">
        <f>+NOMINA!C230</f>
        <v>18984406</v>
      </c>
      <c r="D251" s="1103" t="str">
        <f>+NOMINA!D230</f>
        <v>Torres Santiago Eduardo David</v>
      </c>
      <c r="E251" s="1468" t="s">
        <v>4622</v>
      </c>
      <c r="F251" s="1704">
        <v>27853</v>
      </c>
      <c r="G251" s="1468" t="s">
        <v>4620</v>
      </c>
      <c r="H251" s="1705">
        <f>+NOMINA!H230</f>
        <v>45200</v>
      </c>
      <c r="I251" s="1105">
        <f>+NOMINA!I230</f>
        <v>1</v>
      </c>
      <c r="J251" s="1106">
        <f>+NOMINA!J230</f>
        <v>0</v>
      </c>
      <c r="K251" s="1105">
        <f t="shared" si="23"/>
        <v>1</v>
      </c>
      <c r="L251" s="1106" t="s">
        <v>4932</v>
      </c>
      <c r="M251" s="1106"/>
      <c r="N251" s="1443" t="str">
        <f>+NOMINA!O230</f>
        <v>Guia de Centro I</v>
      </c>
      <c r="O251" s="1107">
        <f>ROUND(NOMINA!W230,2)</f>
        <v>65</v>
      </c>
      <c r="P251" s="1107">
        <f>NOMINA!AF230</f>
        <v>0.65</v>
      </c>
      <c r="Q251" s="1107">
        <f>NOMINA!AH230</f>
        <v>65</v>
      </c>
      <c r="R251" s="1107">
        <f>NOMINA!AC230</f>
        <v>0</v>
      </c>
      <c r="S251" s="1107">
        <f>NOMINA!AJ230</f>
        <v>0</v>
      </c>
      <c r="T251" s="1108">
        <f t="shared" si="24"/>
        <v>121.08</v>
      </c>
      <c r="U251" s="1107">
        <f>ROUND(NOMINA!BL230,2)</f>
        <v>15.68</v>
      </c>
      <c r="V251" s="1107">
        <f>ROUND(NOMINA!BM230,2)</f>
        <v>1.96</v>
      </c>
      <c r="W251" s="1107">
        <f>ROUND(+NOMINA!BN230,2)</f>
        <v>3.4</v>
      </c>
      <c r="X251" s="1108">
        <f t="shared" si="25"/>
        <v>27.36</v>
      </c>
      <c r="Y251" s="1107">
        <f>ROUND(NOMINA!BJ230,2)</f>
        <v>12.5</v>
      </c>
      <c r="Z251" s="1109">
        <f t="shared" si="22"/>
        <v>109.61000000000001</v>
      </c>
    </row>
    <row r="252" spans="1:26" s="620" customFormat="1" ht="20.100000000000001" customHeight="1" thickBot="1" x14ac:dyDescent="0.25">
      <c r="A252" s="758" t="s">
        <v>2846</v>
      </c>
      <c r="B252" s="508">
        <f t="shared" ca="1" si="26"/>
        <v>188</v>
      </c>
      <c r="C252" s="1102">
        <f>+NOMINA!C231</f>
        <v>19101647</v>
      </c>
      <c r="D252" s="1103" t="str">
        <f>+NOMINA!D231</f>
        <v>Uzcategui Urbina Madeley Tatiana</v>
      </c>
      <c r="E252" s="1468" t="s">
        <v>4622</v>
      </c>
      <c r="F252" s="1704">
        <v>27853</v>
      </c>
      <c r="G252" s="1468" t="s">
        <v>4620</v>
      </c>
      <c r="H252" s="1705">
        <f>+NOMINA!H231</f>
        <v>43845</v>
      </c>
      <c r="I252" s="1105">
        <f>+NOMINA!I231</f>
        <v>5</v>
      </c>
      <c r="J252" s="1106">
        <f>+NOMINA!J231</f>
        <v>0</v>
      </c>
      <c r="K252" s="1105">
        <f t="shared" si="23"/>
        <v>5</v>
      </c>
      <c r="L252" s="1106" t="s">
        <v>4932</v>
      </c>
      <c r="M252" s="1106"/>
      <c r="N252" s="1443" t="str">
        <f>+NOMINA!O231</f>
        <v>Guia de Centro I</v>
      </c>
      <c r="O252" s="1107">
        <f>ROUND(NOMINA!W231,2)</f>
        <v>75</v>
      </c>
      <c r="P252" s="1107">
        <f>NOMINA!AF231</f>
        <v>3.75</v>
      </c>
      <c r="Q252" s="1107">
        <f>NOMINA!AH231</f>
        <v>65</v>
      </c>
      <c r="R252" s="1107">
        <f>NOMINA!AC231</f>
        <v>25</v>
      </c>
      <c r="S252" s="1107">
        <f>NOMINA!AJ231</f>
        <v>0</v>
      </c>
      <c r="T252" s="1108">
        <f t="shared" si="24"/>
        <v>82.77</v>
      </c>
      <c r="U252" s="1107">
        <f>ROUND(NOMINA!BL231,2)</f>
        <v>18.75</v>
      </c>
      <c r="V252" s="1107">
        <f>ROUND(NOMINA!BM231,2)</f>
        <v>2.34</v>
      </c>
      <c r="W252" s="1107">
        <f>ROUND(+NOMINA!BN231,2)</f>
        <v>4.0599999999999996</v>
      </c>
      <c r="X252" s="1108">
        <f t="shared" si="25"/>
        <v>23.05</v>
      </c>
      <c r="Y252" s="1107">
        <f>ROUND(NOMINA!BJ231,2)</f>
        <v>12.5</v>
      </c>
      <c r="Z252" s="1109">
        <f t="shared" si="22"/>
        <v>143.6</v>
      </c>
    </row>
    <row r="253" spans="1:26" s="620" customFormat="1" ht="20.100000000000001" customHeight="1" thickBot="1" x14ac:dyDescent="0.25">
      <c r="A253" s="758" t="s">
        <v>2846</v>
      </c>
      <c r="B253" s="508">
        <f t="shared" ca="1" si="26"/>
        <v>189</v>
      </c>
      <c r="C253" s="1102">
        <f>+NOMINA!C232</f>
        <v>19101773</v>
      </c>
      <c r="D253" s="1103" t="str">
        <f>+NOMINA!D232</f>
        <v>Gil Molina Maite Karina</v>
      </c>
      <c r="E253" s="1468" t="s">
        <v>4622</v>
      </c>
      <c r="F253" s="1704">
        <v>27853</v>
      </c>
      <c r="G253" s="1468" t="s">
        <v>4620</v>
      </c>
      <c r="H253" s="1705">
        <f>+NOMINA!H232</f>
        <v>45200</v>
      </c>
      <c r="I253" s="1105">
        <f>+NOMINA!I232</f>
        <v>1</v>
      </c>
      <c r="J253" s="1106">
        <f>+NOMINA!J232</f>
        <v>0</v>
      </c>
      <c r="K253" s="1105">
        <f t="shared" si="23"/>
        <v>1</v>
      </c>
      <c r="L253" s="1106" t="s">
        <v>4932</v>
      </c>
      <c r="M253" s="1106"/>
      <c r="N253" s="1443" t="str">
        <f>+NOMINA!O232</f>
        <v>Guia de Centro I</v>
      </c>
      <c r="O253" s="1107">
        <f>ROUND(NOMINA!W232,2)</f>
        <v>96</v>
      </c>
      <c r="P253" s="1107">
        <f>NOMINA!AF232</f>
        <v>0.96</v>
      </c>
      <c r="Q253" s="1107">
        <f>NOMINA!AH232</f>
        <v>65</v>
      </c>
      <c r="R253" s="1107">
        <f>NOMINA!AC232</f>
        <v>0</v>
      </c>
      <c r="S253" s="1107">
        <f>NOMINA!AJ232</f>
        <v>32.39</v>
      </c>
      <c r="T253" s="1108">
        <f t="shared" si="24"/>
        <v>137.42000000000002</v>
      </c>
      <c r="U253" s="1107">
        <f>ROUND(NOMINA!BL232,2)</f>
        <v>23.32</v>
      </c>
      <c r="V253" s="1107">
        <f>ROUND(NOMINA!BM232,2)</f>
        <v>2.92</v>
      </c>
      <c r="W253" s="1107">
        <f>ROUND(+NOMINA!BN232,2)</f>
        <v>5.05</v>
      </c>
      <c r="X253" s="1108">
        <f t="shared" si="25"/>
        <v>24.91</v>
      </c>
      <c r="Y253" s="1107">
        <f>ROUND(NOMINA!BJ232,2)</f>
        <v>12.5</v>
      </c>
      <c r="Z253" s="1109">
        <f t="shared" si="22"/>
        <v>163.05999999999997</v>
      </c>
    </row>
    <row r="254" spans="1:26" s="620" customFormat="1" ht="20.100000000000001" customHeight="1" thickBot="1" x14ac:dyDescent="0.25">
      <c r="A254" s="758" t="s">
        <v>2846</v>
      </c>
      <c r="B254" s="508">
        <f t="shared" ca="1" si="26"/>
        <v>190</v>
      </c>
      <c r="C254" s="1102">
        <f>+NOMINA!C233</f>
        <v>19103118</v>
      </c>
      <c r="D254" s="1103" t="str">
        <f>+NOMINA!D233</f>
        <v>Plaza Quintero Orelis Maria</v>
      </c>
      <c r="E254" s="1468" t="s">
        <v>4622</v>
      </c>
      <c r="F254" s="1704">
        <v>27853</v>
      </c>
      <c r="G254" s="1468" t="s">
        <v>4620</v>
      </c>
      <c r="H254" s="1705">
        <f>+NOMINA!H233</f>
        <v>43724</v>
      </c>
      <c r="I254" s="1105">
        <f>+NOMINA!I233</f>
        <v>6</v>
      </c>
      <c r="J254" s="1106">
        <f>+NOMINA!J233</f>
        <v>0</v>
      </c>
      <c r="K254" s="1105">
        <f t="shared" si="23"/>
        <v>6</v>
      </c>
      <c r="L254" s="1106" t="s">
        <v>4932</v>
      </c>
      <c r="M254" s="1106"/>
      <c r="N254" s="1443" t="str">
        <f>+NOMINA!O233</f>
        <v>Tecnico Superior en Trabajo Social II</v>
      </c>
      <c r="O254" s="1107">
        <f>ROUND(NOMINA!W233,2)</f>
        <v>110.5</v>
      </c>
      <c r="P254" s="1107">
        <f>NOMINA!AF233</f>
        <v>6.85</v>
      </c>
      <c r="Q254" s="1107">
        <f>NOMINA!AH233</f>
        <v>65</v>
      </c>
      <c r="R254" s="1107">
        <f>NOMINA!AC233</f>
        <v>12.5</v>
      </c>
      <c r="S254" s="1107">
        <f>NOMINA!AJ233</f>
        <v>37.72</v>
      </c>
      <c r="T254" s="1108">
        <f t="shared" si="24"/>
        <v>68.75</v>
      </c>
      <c r="U254" s="1107">
        <f>ROUND(NOMINA!BL233,2)</f>
        <v>20.89</v>
      </c>
      <c r="V254" s="1107">
        <f>ROUND(NOMINA!BM233,2)</f>
        <v>2.61</v>
      </c>
      <c r="W254" s="1107">
        <f>ROUND(+NOMINA!BN233,2)</f>
        <v>4.53</v>
      </c>
      <c r="X254" s="1108">
        <f t="shared" si="25"/>
        <v>35.6</v>
      </c>
      <c r="Y254" s="1107">
        <f>ROUND(NOMINA!BJ233,2)</f>
        <v>12.5</v>
      </c>
      <c r="Z254" s="1109">
        <f t="shared" si="22"/>
        <v>204.54</v>
      </c>
    </row>
    <row r="255" spans="1:26" s="620" customFormat="1" ht="20.100000000000001" customHeight="1" thickBot="1" x14ac:dyDescent="0.25">
      <c r="A255" s="758" t="s">
        <v>2846</v>
      </c>
      <c r="B255" s="508">
        <f t="shared" ca="1" si="26"/>
        <v>191</v>
      </c>
      <c r="C255" s="1102">
        <f>+NOMINA!C234</f>
        <v>19103604</v>
      </c>
      <c r="D255" s="1103" t="str">
        <f>+NOMINA!D234</f>
        <v>Hernandez Graterol Gleidys Coromoto</v>
      </c>
      <c r="E255" s="1468" t="s">
        <v>4622</v>
      </c>
      <c r="F255" s="1704">
        <v>27853</v>
      </c>
      <c r="G255" s="1468" t="s">
        <v>4620</v>
      </c>
      <c r="H255" s="1705">
        <f>+NOMINA!H234</f>
        <v>44600</v>
      </c>
      <c r="I255" s="1105">
        <f>+NOMINA!I234</f>
        <v>3</v>
      </c>
      <c r="J255" s="1106">
        <f>+NOMINA!J234</f>
        <v>0</v>
      </c>
      <c r="K255" s="1105">
        <f t="shared" si="23"/>
        <v>3</v>
      </c>
      <c r="L255" s="1106" t="s">
        <v>4932</v>
      </c>
      <c r="M255" s="1106"/>
      <c r="N255" s="1443" t="str">
        <f>+NOMINA!O234</f>
        <v>Asistente Administrativo III</v>
      </c>
      <c r="O255" s="1107">
        <f>ROUND(NOMINA!W234,2)</f>
        <v>109.5</v>
      </c>
      <c r="P255" s="1107">
        <f>NOMINA!AF234</f>
        <v>3.29</v>
      </c>
      <c r="Q255" s="1107">
        <f>NOMINA!AH234</f>
        <v>65</v>
      </c>
      <c r="R255" s="1107">
        <f>NOMINA!AC234</f>
        <v>25</v>
      </c>
      <c r="S255" s="1107">
        <f>NOMINA!AJ234</f>
        <v>38.06</v>
      </c>
      <c r="T255" s="1108">
        <f t="shared" si="24"/>
        <v>90.65</v>
      </c>
      <c r="U255" s="1107">
        <f>ROUND(NOMINA!BL234,2)</f>
        <v>21.08</v>
      </c>
      <c r="V255" s="1107">
        <f>ROUND(NOMINA!BM234,2)</f>
        <v>2.63</v>
      </c>
      <c r="W255" s="1107">
        <f>ROUND(+NOMINA!BN234,2)</f>
        <v>4.57</v>
      </c>
      <c r="X255" s="1108">
        <f t="shared" si="25"/>
        <v>29.35</v>
      </c>
      <c r="Y255" s="1107">
        <f>ROUND(NOMINA!BJ234,2)</f>
        <v>12.5</v>
      </c>
      <c r="Z255" s="1109">
        <f t="shared" si="22"/>
        <v>212.57000000000002</v>
      </c>
    </row>
    <row r="256" spans="1:26" s="620" customFormat="1" ht="20.100000000000001" customHeight="1" thickBot="1" x14ac:dyDescent="0.25">
      <c r="A256" s="758" t="s">
        <v>2846</v>
      </c>
      <c r="B256" s="508">
        <f t="shared" ca="1" si="26"/>
        <v>192</v>
      </c>
      <c r="C256" s="1102">
        <f>+NOMINA!C235</f>
        <v>19103823</v>
      </c>
      <c r="D256" s="1103" t="str">
        <f>+NOMINA!D235</f>
        <v>Valero Sanchez Zulay del Valle</v>
      </c>
      <c r="E256" s="1468" t="s">
        <v>4622</v>
      </c>
      <c r="F256" s="1704">
        <v>27853</v>
      </c>
      <c r="G256" s="1468" t="s">
        <v>4620</v>
      </c>
      <c r="H256" s="1705">
        <f>+NOMINA!H235</f>
        <v>42795</v>
      </c>
      <c r="I256" s="1105">
        <f>+NOMINA!I235</f>
        <v>8</v>
      </c>
      <c r="J256" s="1106">
        <f>+NOMINA!J235</f>
        <v>0</v>
      </c>
      <c r="K256" s="1105">
        <f t="shared" si="23"/>
        <v>8</v>
      </c>
      <c r="L256" s="1106" t="s">
        <v>4932</v>
      </c>
      <c r="M256" s="1106"/>
      <c r="N256" s="1443" t="str">
        <f>+NOMINA!O235</f>
        <v>Tutor Facilitador III</v>
      </c>
      <c r="O256" s="1107">
        <f>ROUND(NOMINA!W235,2)</f>
        <v>154</v>
      </c>
      <c r="P256" s="1107">
        <f>NOMINA!AF235</f>
        <v>13.25</v>
      </c>
      <c r="Q256" s="1107">
        <f>NOMINA!AH235</f>
        <v>65</v>
      </c>
      <c r="R256" s="1107">
        <f>NOMINA!AC235</f>
        <v>12.5</v>
      </c>
      <c r="S256" s="1107">
        <f>NOMINA!AJ235</f>
        <v>83.48</v>
      </c>
      <c r="T256" s="1108">
        <f t="shared" si="24"/>
        <v>65</v>
      </c>
      <c r="U256" s="1107">
        <f>ROUND(NOMINA!BL235,2)</f>
        <v>29.72</v>
      </c>
      <c r="V256" s="1107">
        <f>ROUND(NOMINA!BM235,2)</f>
        <v>3.72</v>
      </c>
      <c r="W256" s="1107">
        <f>ROUND(+NOMINA!BN235,2)</f>
        <v>6.44</v>
      </c>
      <c r="X256" s="1108">
        <f t="shared" si="25"/>
        <v>37.04</v>
      </c>
      <c r="Y256" s="1107">
        <f>ROUND(NOMINA!BJ235,2)</f>
        <v>12.5</v>
      </c>
      <c r="Z256" s="1109">
        <f t="shared" si="22"/>
        <v>288.35000000000002</v>
      </c>
    </row>
    <row r="257" spans="1:26" s="620" customFormat="1" ht="20.100000000000001" customHeight="1" thickBot="1" x14ac:dyDescent="0.25">
      <c r="A257" s="758" t="s">
        <v>2846</v>
      </c>
      <c r="B257" s="508">
        <f t="shared" ca="1" si="26"/>
        <v>193</v>
      </c>
      <c r="C257" s="1102">
        <f>+NOMINA!C236</f>
        <v>19286780</v>
      </c>
      <c r="D257" s="1103" t="str">
        <f>+NOMINA!D236</f>
        <v>Mejia Rosales Katiusca Josefina</v>
      </c>
      <c r="E257" s="1468" t="s">
        <v>4622</v>
      </c>
      <c r="F257" s="1704">
        <v>27853</v>
      </c>
      <c r="G257" s="1468" t="s">
        <v>4620</v>
      </c>
      <c r="H257" s="1705">
        <f>+NOMINA!H236</f>
        <v>42492</v>
      </c>
      <c r="I257" s="1105">
        <f>+NOMINA!I236</f>
        <v>9</v>
      </c>
      <c r="J257" s="1106">
        <f>+NOMINA!J236</f>
        <v>0</v>
      </c>
      <c r="K257" s="1105">
        <f t="shared" si="23"/>
        <v>9</v>
      </c>
      <c r="L257" s="1106" t="s">
        <v>4932</v>
      </c>
      <c r="M257" s="1106"/>
      <c r="N257" s="1443" t="str">
        <f>+NOMINA!O236</f>
        <v>Asistente Administrativo III</v>
      </c>
      <c r="O257" s="1107">
        <f>ROUND(NOMINA!W236,2)</f>
        <v>111.5</v>
      </c>
      <c r="P257" s="1107">
        <f>NOMINA!AF236</f>
        <v>10.93</v>
      </c>
      <c r="Q257" s="1107">
        <f>NOMINA!AH236</f>
        <v>65</v>
      </c>
      <c r="R257" s="1107">
        <f>NOMINA!AC236</f>
        <v>25</v>
      </c>
      <c r="S257" s="1107">
        <f>NOMINA!AJ236</f>
        <v>39.99</v>
      </c>
      <c r="T257" s="1108">
        <f t="shared" si="24"/>
        <v>134.83000000000001</v>
      </c>
      <c r="U257" s="1107">
        <f>ROUND(NOMINA!BL236,2)</f>
        <v>22.15</v>
      </c>
      <c r="V257" s="1107">
        <f>ROUND(NOMINA!BM236,2)</f>
        <v>2.77</v>
      </c>
      <c r="W257" s="1107">
        <f>ROUND(+NOMINA!BN236,2)</f>
        <v>4.8</v>
      </c>
      <c r="X257" s="1108">
        <f t="shared" si="25"/>
        <v>21.93</v>
      </c>
      <c r="Y257" s="1107">
        <f>ROUND(NOMINA!BJ236,2)</f>
        <v>12.5</v>
      </c>
      <c r="Z257" s="1109">
        <f t="shared" ref="Z257:Z320" si="27">+O257+P257+Q257+R257+S257-(U257+V257+W257)</f>
        <v>222.70000000000002</v>
      </c>
    </row>
    <row r="258" spans="1:26" s="620" customFormat="1" ht="20.100000000000001" customHeight="1" thickBot="1" x14ac:dyDescent="0.25">
      <c r="A258" s="758" t="s">
        <v>2846</v>
      </c>
      <c r="B258" s="508">
        <f t="shared" ca="1" si="26"/>
        <v>194</v>
      </c>
      <c r="C258" s="1102">
        <f>+NOMINA!C237</f>
        <v>19287100</v>
      </c>
      <c r="D258" s="1103" t="str">
        <f>+NOMINA!D237</f>
        <v>Leal Mejia Fraineli Yoset</v>
      </c>
      <c r="E258" s="1468" t="s">
        <v>4622</v>
      </c>
      <c r="F258" s="1704">
        <v>27853</v>
      </c>
      <c r="G258" s="1468" t="s">
        <v>4620</v>
      </c>
      <c r="H258" s="1705">
        <f>+NOMINA!H237</f>
        <v>44713</v>
      </c>
      <c r="I258" s="1105">
        <f>+NOMINA!I237</f>
        <v>3</v>
      </c>
      <c r="J258" s="1106">
        <f>+NOMINA!J237</f>
        <v>0</v>
      </c>
      <c r="K258" s="1105">
        <f t="shared" ref="K258:K321" si="28">I258+J258</f>
        <v>3</v>
      </c>
      <c r="L258" s="1106" t="s">
        <v>4932</v>
      </c>
      <c r="M258" s="1106"/>
      <c r="N258" s="1443" t="str">
        <f>+NOMINA!O237</f>
        <v>Tecnico Superior en Trabajo Social II</v>
      </c>
      <c r="O258" s="1107">
        <f>ROUND(NOMINA!W237,2)</f>
        <v>109.5</v>
      </c>
      <c r="P258" s="1107">
        <f>NOMINA!AF237</f>
        <v>3.29</v>
      </c>
      <c r="Q258" s="1107">
        <f>NOMINA!AH237</f>
        <v>65</v>
      </c>
      <c r="R258" s="1107">
        <f>NOMINA!AC237</f>
        <v>25</v>
      </c>
      <c r="S258" s="1107">
        <f>NOMINA!AJ237</f>
        <v>38.06</v>
      </c>
      <c r="T258" s="1108">
        <f t="shared" ref="T258:T321" si="29">+P235+Q235+R235+S235</f>
        <v>117.60000000000001</v>
      </c>
      <c r="U258" s="1107">
        <f>ROUND(NOMINA!BL237,2)</f>
        <v>21.08</v>
      </c>
      <c r="V258" s="1107">
        <f>ROUND(NOMINA!BM237,2)</f>
        <v>2.63</v>
      </c>
      <c r="W258" s="1107">
        <f>ROUND(+NOMINA!BN237,2)</f>
        <v>4.57</v>
      </c>
      <c r="X258" s="1108">
        <f t="shared" ref="X258:X321" si="30">ROUND(SUM(U242:W242),2)</f>
        <v>34.92</v>
      </c>
      <c r="Y258" s="1107">
        <f>ROUND(NOMINA!BJ237,2)</f>
        <v>12.5</v>
      </c>
      <c r="Z258" s="1109">
        <f t="shared" si="27"/>
        <v>212.57000000000002</v>
      </c>
    </row>
    <row r="259" spans="1:26" s="620" customFormat="1" ht="20.100000000000001" customHeight="1" thickBot="1" x14ac:dyDescent="0.25">
      <c r="A259" s="758" t="s">
        <v>2846</v>
      </c>
      <c r="B259" s="508">
        <f t="shared" ca="1" si="26"/>
        <v>195</v>
      </c>
      <c r="C259" s="1102">
        <f>+NOMINA!C238</f>
        <v>19610534</v>
      </c>
      <c r="D259" s="1103" t="str">
        <f>+NOMINA!D238</f>
        <v>Santos Saavedra Greosmar Johan</v>
      </c>
      <c r="E259" s="1468" t="s">
        <v>4622</v>
      </c>
      <c r="F259" s="1704">
        <v>27853</v>
      </c>
      <c r="G259" s="1468" t="s">
        <v>4620</v>
      </c>
      <c r="H259" s="1705">
        <f>+NOMINA!H238</f>
        <v>44713</v>
      </c>
      <c r="I259" s="1105">
        <f>+NOMINA!I238</f>
        <v>3</v>
      </c>
      <c r="J259" s="1106">
        <f>+NOMINA!J238</f>
        <v>0</v>
      </c>
      <c r="K259" s="1105">
        <f t="shared" si="28"/>
        <v>3</v>
      </c>
      <c r="L259" s="1106" t="s">
        <v>4932</v>
      </c>
      <c r="M259" s="1106"/>
      <c r="N259" s="1443" t="str">
        <f>+NOMINA!O238</f>
        <v>Guia de Centro I</v>
      </c>
      <c r="O259" s="1107">
        <f>ROUND(NOMINA!W238,2)</f>
        <v>109.5</v>
      </c>
      <c r="P259" s="1107">
        <f>NOMINA!AF238</f>
        <v>3.29</v>
      </c>
      <c r="Q259" s="1107">
        <f>NOMINA!AH238</f>
        <v>65</v>
      </c>
      <c r="R259" s="1107">
        <f>NOMINA!AC238</f>
        <v>12.5</v>
      </c>
      <c r="S259" s="1107">
        <f>NOMINA!AJ238</f>
        <v>36.81</v>
      </c>
      <c r="T259" s="1108">
        <f t="shared" si="29"/>
        <v>90.65</v>
      </c>
      <c r="U259" s="1107">
        <f>ROUND(NOMINA!BL238,2)</f>
        <v>20.39</v>
      </c>
      <c r="V259" s="1107">
        <f>ROUND(NOMINA!BM238,2)</f>
        <v>2.5499999999999998</v>
      </c>
      <c r="W259" s="1107">
        <f>ROUND(+NOMINA!BN238,2)</f>
        <v>4.42</v>
      </c>
      <c r="X259" s="1108">
        <f t="shared" si="30"/>
        <v>22.04</v>
      </c>
      <c r="Y259" s="1107">
        <f>ROUND(NOMINA!BJ238,2)</f>
        <v>12.5</v>
      </c>
      <c r="Z259" s="1109">
        <f t="shared" si="27"/>
        <v>199.74</v>
      </c>
    </row>
    <row r="260" spans="1:26" s="620" customFormat="1" ht="20.100000000000001" customHeight="1" thickBot="1" x14ac:dyDescent="0.25">
      <c r="A260" s="758" t="s">
        <v>2846</v>
      </c>
      <c r="B260" s="508">
        <f t="shared" ca="1" si="26"/>
        <v>196</v>
      </c>
      <c r="C260" s="1102">
        <f>+NOMINA!C239</f>
        <v>19610565</v>
      </c>
      <c r="D260" s="1103" t="str">
        <f>+NOMINA!D239</f>
        <v>Uzcategui Uzcategui Saray Cristina</v>
      </c>
      <c r="E260" s="1468" t="s">
        <v>4622</v>
      </c>
      <c r="F260" s="1704">
        <v>27853</v>
      </c>
      <c r="G260" s="1468" t="s">
        <v>4620</v>
      </c>
      <c r="H260" s="1705">
        <f>+NOMINA!H239</f>
        <v>44713</v>
      </c>
      <c r="I260" s="1105">
        <f>+NOMINA!I239</f>
        <v>3</v>
      </c>
      <c r="J260" s="1106">
        <f>+NOMINA!J239</f>
        <v>0</v>
      </c>
      <c r="K260" s="1105">
        <f t="shared" si="28"/>
        <v>3</v>
      </c>
      <c r="L260" s="1106" t="s">
        <v>4932</v>
      </c>
      <c r="M260" s="1106"/>
      <c r="N260" s="1443" t="str">
        <f>+NOMINA!O239</f>
        <v>Guia de Centro I</v>
      </c>
      <c r="O260" s="1107">
        <f>ROUND(NOMINA!W239,2)</f>
        <v>109.5</v>
      </c>
      <c r="P260" s="1107">
        <f>NOMINA!AF239</f>
        <v>3.29</v>
      </c>
      <c r="Q260" s="1107">
        <f>NOMINA!AH239</f>
        <v>65</v>
      </c>
      <c r="R260" s="1107">
        <f>NOMINA!AC239</f>
        <v>25</v>
      </c>
      <c r="S260" s="1107">
        <f>NOMINA!AJ239</f>
        <v>47.57</v>
      </c>
      <c r="T260" s="1108">
        <f t="shared" si="29"/>
        <v>92.25</v>
      </c>
      <c r="U260" s="1107">
        <f>ROUND(NOMINA!BL239,2)</f>
        <v>21.96</v>
      </c>
      <c r="V260" s="1107">
        <f>ROUND(NOMINA!BM239,2)</f>
        <v>2.74</v>
      </c>
      <c r="W260" s="1107">
        <f>ROUND(+NOMINA!BN239,2)</f>
        <v>4.76</v>
      </c>
      <c r="X260" s="1108">
        <f t="shared" si="30"/>
        <v>35.19</v>
      </c>
      <c r="Y260" s="1107">
        <f>ROUND(NOMINA!BJ239,2)</f>
        <v>12.5</v>
      </c>
      <c r="Z260" s="1109">
        <f t="shared" si="27"/>
        <v>220.9</v>
      </c>
    </row>
    <row r="261" spans="1:26" s="620" customFormat="1" ht="20.100000000000001" customHeight="1" thickBot="1" x14ac:dyDescent="0.25">
      <c r="A261" s="758" t="s">
        <v>2846</v>
      </c>
      <c r="B261" s="508">
        <f t="shared" ca="1" si="26"/>
        <v>197</v>
      </c>
      <c r="C261" s="1102">
        <f>+NOMINA!C240</f>
        <v>19643405</v>
      </c>
      <c r="D261" s="1103" t="str">
        <f>+NOMINA!D240</f>
        <v>Valero Mejia Aleidy Rosana</v>
      </c>
      <c r="E261" s="1468" t="s">
        <v>4622</v>
      </c>
      <c r="F261" s="1704">
        <v>27853</v>
      </c>
      <c r="G261" s="1468" t="s">
        <v>4620</v>
      </c>
      <c r="H261" s="1705">
        <f>+NOMINA!H240</f>
        <v>43221</v>
      </c>
      <c r="I261" s="1105">
        <f>+NOMINA!I240</f>
        <v>7</v>
      </c>
      <c r="J261" s="1106">
        <f>+NOMINA!J240</f>
        <v>0</v>
      </c>
      <c r="K261" s="1105">
        <f t="shared" si="28"/>
        <v>7</v>
      </c>
      <c r="L261" s="1106" t="s">
        <v>4932</v>
      </c>
      <c r="M261" s="1106"/>
      <c r="N261" s="1443" t="str">
        <f>+NOMINA!O240</f>
        <v>Guia de Centro II</v>
      </c>
      <c r="O261" s="1107">
        <f>ROUND(NOMINA!W240,2)</f>
        <v>110.5</v>
      </c>
      <c r="P261" s="1107">
        <f>NOMINA!AF240</f>
        <v>8.18</v>
      </c>
      <c r="Q261" s="1107">
        <f>NOMINA!AH240</f>
        <v>65</v>
      </c>
      <c r="R261" s="1107">
        <f>NOMINA!AC240</f>
        <v>12.5</v>
      </c>
      <c r="S261" s="1107">
        <f>NOMINA!AJ240</f>
        <v>37.99</v>
      </c>
      <c r="T261" s="1108">
        <f t="shared" si="29"/>
        <v>154.16</v>
      </c>
      <c r="U261" s="1107">
        <f>ROUND(NOMINA!BL240,2)</f>
        <v>27.35</v>
      </c>
      <c r="V261" s="1107">
        <f>ROUND(NOMINA!BM240,2)</f>
        <v>3.42</v>
      </c>
      <c r="W261" s="1107">
        <f>ROUND(+NOMINA!BN240,2)</f>
        <v>5.93</v>
      </c>
      <c r="X261" s="1108">
        <f t="shared" si="30"/>
        <v>32.15</v>
      </c>
      <c r="Y261" s="1107">
        <f>ROUND(NOMINA!BJ240,2)</f>
        <v>12.5</v>
      </c>
      <c r="Z261" s="1109">
        <f t="shared" si="27"/>
        <v>197.47000000000003</v>
      </c>
    </row>
    <row r="262" spans="1:26" s="620" customFormat="1" ht="20.100000000000001" customHeight="1" thickBot="1" x14ac:dyDescent="0.25">
      <c r="A262" s="758" t="s">
        <v>2846</v>
      </c>
      <c r="B262" s="508">
        <f t="shared" ca="1" si="26"/>
        <v>198</v>
      </c>
      <c r="C262" s="1102">
        <f>+NOMINA!C241</f>
        <v>19643806</v>
      </c>
      <c r="D262" s="1103" t="str">
        <f>+NOMINA!D241</f>
        <v>Vazquez Hernandez Doris Mercedes</v>
      </c>
      <c r="E262" s="1468" t="s">
        <v>4622</v>
      </c>
      <c r="F262" s="1704">
        <v>27853</v>
      </c>
      <c r="G262" s="1468" t="s">
        <v>4620</v>
      </c>
      <c r="H262" s="1705">
        <f>+NOMINA!H241</f>
        <v>45505</v>
      </c>
      <c r="I262" s="1105">
        <f>+NOMINA!I241</f>
        <v>1</v>
      </c>
      <c r="J262" s="1106">
        <f>+NOMINA!J241</f>
        <v>0</v>
      </c>
      <c r="K262" s="1105">
        <f t="shared" si="28"/>
        <v>1</v>
      </c>
      <c r="L262" s="1106" t="s">
        <v>4932</v>
      </c>
      <c r="M262" s="1106"/>
      <c r="N262" s="1443" t="str">
        <f>+NOMINA!O241</f>
        <v>Asistente Administrativo III</v>
      </c>
      <c r="O262" s="1107">
        <f>ROUND(NOMINA!W241,2)</f>
        <v>96</v>
      </c>
      <c r="P262" s="1107">
        <f>NOMINA!AF241</f>
        <v>0.96</v>
      </c>
      <c r="Q262" s="1107">
        <f>NOMINA!AH241</f>
        <v>65</v>
      </c>
      <c r="R262" s="1107">
        <f>NOMINA!AC241</f>
        <v>25</v>
      </c>
      <c r="S262" s="1107">
        <f>NOMINA!AJ241</f>
        <v>43.62</v>
      </c>
      <c r="T262" s="1108">
        <f t="shared" si="29"/>
        <v>139.01</v>
      </c>
      <c r="U262" s="1107">
        <f>ROUND(NOMINA!BL241,2)</f>
        <v>20.13</v>
      </c>
      <c r="V262" s="1107">
        <f>ROUND(NOMINA!BM241,2)</f>
        <v>2.52</v>
      </c>
      <c r="W262" s="1107">
        <f>ROUND(+NOMINA!BN241,2)</f>
        <v>4.3600000000000003</v>
      </c>
      <c r="X262" s="1108">
        <f t="shared" si="30"/>
        <v>0</v>
      </c>
      <c r="Y262" s="1107">
        <f>ROUND(NOMINA!BJ241,2)</f>
        <v>12.5</v>
      </c>
      <c r="Z262" s="1109">
        <f t="shared" si="27"/>
        <v>203.57</v>
      </c>
    </row>
    <row r="263" spans="1:26" s="620" customFormat="1" ht="20.100000000000001" customHeight="1" thickBot="1" x14ac:dyDescent="0.25">
      <c r="A263" s="758" t="s">
        <v>2846</v>
      </c>
      <c r="B263" s="508">
        <f t="shared" ca="1" si="26"/>
        <v>199</v>
      </c>
      <c r="C263" s="1102">
        <f>+NOMINA!C242</f>
        <v>19644743</v>
      </c>
      <c r="D263" s="1103" t="str">
        <f>+NOMINA!D242</f>
        <v>Villa Daniela Carolina</v>
      </c>
      <c r="E263" s="1468" t="s">
        <v>4622</v>
      </c>
      <c r="F263" s="1704">
        <v>27853</v>
      </c>
      <c r="G263" s="1468" t="s">
        <v>4620</v>
      </c>
      <c r="H263" s="1705">
        <f>+NOMINA!H242</f>
        <v>43967</v>
      </c>
      <c r="I263" s="1105">
        <f>+NOMINA!I242</f>
        <v>5</v>
      </c>
      <c r="J263" s="1106">
        <f>+NOMINA!J242</f>
        <v>0</v>
      </c>
      <c r="K263" s="1105">
        <f t="shared" si="28"/>
        <v>5</v>
      </c>
      <c r="L263" s="1106" t="s">
        <v>4932</v>
      </c>
      <c r="M263" s="1106"/>
      <c r="N263" s="1443" t="str">
        <f>+NOMINA!O242</f>
        <v>Analista de Procesamiento de Datos II</v>
      </c>
      <c r="O263" s="1107">
        <f>ROUND(NOMINA!W242,2)</f>
        <v>138.5</v>
      </c>
      <c r="P263" s="1107">
        <f>NOMINA!AF242</f>
        <v>6.93</v>
      </c>
      <c r="Q263" s="1107">
        <f>NOMINA!AH242</f>
        <v>65</v>
      </c>
      <c r="R263" s="1107">
        <f>NOMINA!AC242</f>
        <v>25</v>
      </c>
      <c r="S263" s="1107">
        <f>NOMINA!AJ242</f>
        <v>55.73</v>
      </c>
      <c r="T263" s="1108">
        <f t="shared" si="29"/>
        <v>126.80000000000001</v>
      </c>
      <c r="U263" s="1107">
        <f>ROUND(NOMINA!BL242,2)</f>
        <v>25.72</v>
      </c>
      <c r="V263" s="1107">
        <f>ROUND(NOMINA!BM242,2)</f>
        <v>3.22</v>
      </c>
      <c r="W263" s="1107">
        <f>ROUND(+NOMINA!BN242,2)</f>
        <v>5.57</v>
      </c>
      <c r="X263" s="1108">
        <f t="shared" si="30"/>
        <v>28.28</v>
      </c>
      <c r="Y263" s="1107">
        <f>ROUND(NOMINA!BJ242,2)</f>
        <v>12.5</v>
      </c>
      <c r="Z263" s="1109">
        <f t="shared" si="27"/>
        <v>256.65000000000003</v>
      </c>
    </row>
    <row r="264" spans="1:26" s="620" customFormat="1" ht="20.100000000000001" customHeight="1" thickBot="1" x14ac:dyDescent="0.25">
      <c r="A264" s="758" t="s">
        <v>2846</v>
      </c>
      <c r="B264" s="508">
        <f t="shared" ca="1" si="26"/>
        <v>200</v>
      </c>
      <c r="C264" s="1102">
        <f>+NOMINA!C243</f>
        <v>19644756</v>
      </c>
      <c r="D264" s="1103" t="str">
        <f>+NOMINA!D243</f>
        <v>Mejia Aldana Norbelys Carolina</v>
      </c>
      <c r="E264" s="1468" t="s">
        <v>4622</v>
      </c>
      <c r="F264" s="1704">
        <v>27853</v>
      </c>
      <c r="G264" s="1468" t="s">
        <v>4620</v>
      </c>
      <c r="H264" s="1705">
        <f>+NOMINA!H243</f>
        <v>44470</v>
      </c>
      <c r="I264" s="1105">
        <f>+NOMINA!I243</f>
        <v>3</v>
      </c>
      <c r="J264" s="1106">
        <f>+NOMINA!J243</f>
        <v>0</v>
      </c>
      <c r="K264" s="1105">
        <f t="shared" si="28"/>
        <v>3</v>
      </c>
      <c r="L264" s="1106" t="s">
        <v>4932</v>
      </c>
      <c r="M264" s="1106"/>
      <c r="N264" s="1443" t="str">
        <f>+NOMINA!O243</f>
        <v>Economa II</v>
      </c>
      <c r="O264" s="1107">
        <f>ROUND(NOMINA!W243,2)</f>
        <v>75</v>
      </c>
      <c r="P264" s="1107">
        <f>NOMINA!AF243</f>
        <v>2.25</v>
      </c>
      <c r="Q264" s="1107">
        <f>NOMINA!AH243</f>
        <v>65</v>
      </c>
      <c r="R264" s="1107">
        <f>NOMINA!AC243</f>
        <v>12.5</v>
      </c>
      <c r="S264" s="1107">
        <f>NOMINA!AJ243</f>
        <v>0</v>
      </c>
      <c r="T264" s="1108">
        <f t="shared" si="29"/>
        <v>77.5</v>
      </c>
      <c r="U264" s="1107">
        <f>ROUND(NOMINA!BL243,2)</f>
        <v>13.71</v>
      </c>
      <c r="V264" s="1107">
        <f>ROUND(NOMINA!BM243,2)</f>
        <v>1.71</v>
      </c>
      <c r="W264" s="1107">
        <f>ROUND(+NOMINA!BN243,2)</f>
        <v>2.97</v>
      </c>
      <c r="X264" s="1108">
        <f t="shared" si="30"/>
        <v>22.04</v>
      </c>
      <c r="Y264" s="1107">
        <f>ROUND(NOMINA!BJ243,2)</f>
        <v>12.5</v>
      </c>
      <c r="Z264" s="1109">
        <f t="shared" si="27"/>
        <v>136.36000000000001</v>
      </c>
    </row>
    <row r="265" spans="1:26" s="620" customFormat="1" ht="20.100000000000001" customHeight="1" thickBot="1" x14ac:dyDescent="0.25">
      <c r="A265" s="758" t="s">
        <v>2846</v>
      </c>
      <c r="B265" s="508">
        <f t="shared" ca="1" si="26"/>
        <v>201</v>
      </c>
      <c r="C265" s="1102">
        <f>+NOMINA!C244</f>
        <v>19794217</v>
      </c>
      <c r="D265" s="1103" t="str">
        <f>+NOMINA!D244</f>
        <v>Suarez Leal Betzabeth Daimar</v>
      </c>
      <c r="E265" s="1468" t="s">
        <v>4622</v>
      </c>
      <c r="F265" s="1704">
        <v>27853</v>
      </c>
      <c r="G265" s="1468" t="s">
        <v>4620</v>
      </c>
      <c r="H265" s="1705">
        <f>+NOMINA!H244</f>
        <v>44683</v>
      </c>
      <c r="I265" s="1105">
        <f>+NOMINA!I244</f>
        <v>3</v>
      </c>
      <c r="J265" s="1106">
        <f>+NOMINA!J244</f>
        <v>0</v>
      </c>
      <c r="K265" s="1105">
        <f t="shared" si="28"/>
        <v>3</v>
      </c>
      <c r="L265" s="1106" t="s">
        <v>4932</v>
      </c>
      <c r="M265" s="1106"/>
      <c r="N265" s="1443" t="str">
        <f>+NOMINA!O244</f>
        <v>Guia de Centro I</v>
      </c>
      <c r="O265" s="1107">
        <f>ROUND(NOMINA!W244,2)</f>
        <v>109.5</v>
      </c>
      <c r="P265" s="1107">
        <f>NOMINA!AF244</f>
        <v>3.29</v>
      </c>
      <c r="Q265" s="1107">
        <f>NOMINA!AH244</f>
        <v>65</v>
      </c>
      <c r="R265" s="1107">
        <f>NOMINA!AC244</f>
        <v>12.5</v>
      </c>
      <c r="S265" s="1107">
        <f>NOMINA!AJ244</f>
        <v>36.81</v>
      </c>
      <c r="T265" s="1108">
        <f t="shared" si="29"/>
        <v>133.38</v>
      </c>
      <c r="U265" s="1107">
        <f>ROUND(NOMINA!BL244,2)</f>
        <v>26.5</v>
      </c>
      <c r="V265" s="1107">
        <f>ROUND(NOMINA!BM244,2)</f>
        <v>3.31</v>
      </c>
      <c r="W265" s="1107">
        <f>ROUND(+NOMINA!BN244,2)</f>
        <v>5.74</v>
      </c>
      <c r="X265" s="1108">
        <f t="shared" si="30"/>
        <v>35.19</v>
      </c>
      <c r="Y265" s="1107">
        <f>ROUND(NOMINA!BJ244,2)</f>
        <v>12.5</v>
      </c>
      <c r="Z265" s="1109">
        <f t="shared" si="27"/>
        <v>191.55</v>
      </c>
    </row>
    <row r="266" spans="1:26" s="620" customFormat="1" ht="20.100000000000001" customHeight="1" thickBot="1" x14ac:dyDescent="0.25">
      <c r="A266" s="758" t="s">
        <v>2846</v>
      </c>
      <c r="B266" s="508">
        <f t="shared" ca="1" si="26"/>
        <v>202</v>
      </c>
      <c r="C266" s="1102">
        <f>+NOMINA!C245</f>
        <v>20038162</v>
      </c>
      <c r="D266" s="1103" t="str">
        <f>+NOMINA!D245</f>
        <v>Jerez Rangel Gleidy Andreina</v>
      </c>
      <c r="E266" s="1468" t="s">
        <v>4622</v>
      </c>
      <c r="F266" s="1704">
        <v>27853</v>
      </c>
      <c r="G266" s="1468" t="s">
        <v>4620</v>
      </c>
      <c r="H266" s="1705">
        <f>+NOMINA!H245</f>
        <v>45597</v>
      </c>
      <c r="I266" s="1105">
        <f>+NOMINA!I245</f>
        <v>0</v>
      </c>
      <c r="J266" s="1106">
        <f>+NOMINA!J245</f>
        <v>0</v>
      </c>
      <c r="K266" s="1105">
        <f t="shared" si="28"/>
        <v>0</v>
      </c>
      <c r="L266" s="1106" t="s">
        <v>4932</v>
      </c>
      <c r="M266" s="1106"/>
      <c r="N266" s="1443" t="str">
        <f>+NOMINA!O245</f>
        <v>Guia de Centro I</v>
      </c>
      <c r="O266" s="1107">
        <f>ROUND(NOMINA!W245,2)</f>
        <v>96</v>
      </c>
      <c r="P266" s="1107">
        <f>NOMINA!AF245</f>
        <v>0</v>
      </c>
      <c r="Q266" s="1107">
        <f>NOMINA!AH245</f>
        <v>65</v>
      </c>
      <c r="R266" s="1107">
        <f>NOMINA!AC245</f>
        <v>25</v>
      </c>
      <c r="S266" s="1107">
        <f>NOMINA!AJ245</f>
        <v>43.38</v>
      </c>
      <c r="T266" s="1108">
        <f t="shared" si="29"/>
        <v>78.150000000000006</v>
      </c>
      <c r="U266" s="1107">
        <f>ROUND(NOMINA!BL245,2)</f>
        <v>26.03</v>
      </c>
      <c r="V266" s="1107">
        <f>ROUND(NOMINA!BM245,2)</f>
        <v>3.25</v>
      </c>
      <c r="W266" s="1107">
        <f>ROUND(+NOMINA!BN245,2)</f>
        <v>5.64</v>
      </c>
      <c r="X266" s="1108">
        <f t="shared" si="30"/>
        <v>34.299999999999997</v>
      </c>
      <c r="Y266" s="1107">
        <f>ROUND(NOMINA!BJ245,2)</f>
        <v>12.5</v>
      </c>
      <c r="Z266" s="1109">
        <f t="shared" si="27"/>
        <v>194.45999999999998</v>
      </c>
    </row>
    <row r="267" spans="1:26" s="620" customFormat="1" ht="20.100000000000001" customHeight="1" thickBot="1" x14ac:dyDescent="0.25">
      <c r="A267" s="758" t="s">
        <v>2846</v>
      </c>
      <c r="B267" s="508">
        <f t="shared" ca="1" si="26"/>
        <v>203</v>
      </c>
      <c r="C267" s="1102">
        <f>+NOMINA!C246</f>
        <v>20040405</v>
      </c>
      <c r="D267" s="1103" t="str">
        <f>+NOMINA!D246</f>
        <v>Lopez Padilla Angela Maria</v>
      </c>
      <c r="E267" s="1468" t="s">
        <v>4622</v>
      </c>
      <c r="F267" s="1704">
        <v>27853</v>
      </c>
      <c r="G267" s="1468" t="s">
        <v>4620</v>
      </c>
      <c r="H267" s="1705">
        <f>+NOMINA!H246</f>
        <v>45717</v>
      </c>
      <c r="I267" s="1105">
        <f>+NOMINA!I246</f>
        <v>0</v>
      </c>
      <c r="J267" s="1106">
        <f>+NOMINA!J246</f>
        <v>0</v>
      </c>
      <c r="K267" s="1105">
        <f t="shared" si="28"/>
        <v>0</v>
      </c>
      <c r="L267" s="1106" t="s">
        <v>4932</v>
      </c>
      <c r="M267" s="1106"/>
      <c r="N267" s="1443" t="str">
        <f>+NOMINA!O246</f>
        <v>Tutor Facilitador I</v>
      </c>
      <c r="O267" s="1107">
        <f>ROUND(NOMINA!W246,2)</f>
        <v>123</v>
      </c>
      <c r="P267" s="1107">
        <f>NOMINA!AF246</f>
        <v>0</v>
      </c>
      <c r="Q267" s="1107">
        <f>NOMINA!AH246</f>
        <v>65</v>
      </c>
      <c r="R267" s="1107">
        <f>NOMINA!AC246</f>
        <v>0</v>
      </c>
      <c r="S267" s="1107">
        <f>NOMINA!AJ246</f>
        <v>47</v>
      </c>
      <c r="T267" s="1108">
        <f t="shared" si="29"/>
        <v>157.16</v>
      </c>
      <c r="U267" s="1107">
        <f>ROUND(NOMINA!BL246,2)</f>
        <v>21.69</v>
      </c>
      <c r="V267" s="1107">
        <f>ROUND(NOMINA!BM246,2)</f>
        <v>2.71</v>
      </c>
      <c r="W267" s="1107">
        <f>ROUND(+NOMINA!BN246,2)</f>
        <v>4.7</v>
      </c>
      <c r="X267" s="1108">
        <f t="shared" si="30"/>
        <v>21.04</v>
      </c>
      <c r="Y267" s="1107">
        <f>ROUND(NOMINA!BJ246,2)</f>
        <v>12.5</v>
      </c>
      <c r="Z267" s="1109">
        <f t="shared" si="27"/>
        <v>205.9</v>
      </c>
    </row>
    <row r="268" spans="1:26" s="620" customFormat="1" ht="20.100000000000001" customHeight="1" thickBot="1" x14ac:dyDescent="0.25">
      <c r="A268" s="758" t="s">
        <v>2846</v>
      </c>
      <c r="B268" s="508">
        <f t="shared" ca="1" si="26"/>
        <v>204</v>
      </c>
      <c r="C268" s="1102">
        <f>+NOMINA!C247</f>
        <v>20655363</v>
      </c>
      <c r="D268" s="1103" t="str">
        <f>+NOMINA!D247</f>
        <v>Sarache Ramirez Maryelis Stefani</v>
      </c>
      <c r="E268" s="1468" t="s">
        <v>4622</v>
      </c>
      <c r="F268" s="1704">
        <v>27853</v>
      </c>
      <c r="G268" s="1468" t="s">
        <v>4620</v>
      </c>
      <c r="H268" s="1705">
        <f>+NOMINA!H247</f>
        <v>45323</v>
      </c>
      <c r="I268" s="1105">
        <f>+NOMINA!I247</f>
        <v>1</v>
      </c>
      <c r="J268" s="1106">
        <f>+NOMINA!J247</f>
        <v>0</v>
      </c>
      <c r="K268" s="1105">
        <f t="shared" si="28"/>
        <v>1</v>
      </c>
      <c r="L268" s="1106" t="s">
        <v>4932</v>
      </c>
      <c r="M268" s="1106"/>
      <c r="N268" s="1443" t="str">
        <f>+NOMINA!O247</f>
        <v>Guia de Centro I</v>
      </c>
      <c r="O268" s="1107">
        <f>ROUND(NOMINA!W247,2)</f>
        <v>96</v>
      </c>
      <c r="P268" s="1107">
        <f>NOMINA!AF247</f>
        <v>0.96</v>
      </c>
      <c r="Q268" s="1107">
        <f>NOMINA!AH247</f>
        <v>65</v>
      </c>
      <c r="R268" s="1107">
        <f>NOMINA!AC247</f>
        <v>25</v>
      </c>
      <c r="S268" s="1107">
        <f>NOMINA!AJ247</f>
        <v>43.62</v>
      </c>
      <c r="T268" s="1108">
        <f t="shared" si="29"/>
        <v>121.08</v>
      </c>
      <c r="U268" s="1107">
        <f>ROUND(NOMINA!BL247,2)</f>
        <v>26.17</v>
      </c>
      <c r="V268" s="1107">
        <f>ROUND(NOMINA!BM247,2)</f>
        <v>3.27</v>
      </c>
      <c r="W268" s="1107">
        <f>ROUND(+NOMINA!BN247,2)</f>
        <v>5.67</v>
      </c>
      <c r="X268" s="1108">
        <f t="shared" si="30"/>
        <v>25.15</v>
      </c>
      <c r="Y268" s="1107">
        <f>ROUND(NOMINA!BJ247,2)</f>
        <v>12.5</v>
      </c>
      <c r="Z268" s="1109">
        <f t="shared" si="27"/>
        <v>195.46999999999997</v>
      </c>
    </row>
    <row r="269" spans="1:26" s="620" customFormat="1" ht="20.100000000000001" customHeight="1" thickBot="1" x14ac:dyDescent="0.25">
      <c r="A269" s="758" t="s">
        <v>2846</v>
      </c>
      <c r="B269" s="508">
        <f t="shared" ca="1" si="26"/>
        <v>205</v>
      </c>
      <c r="C269" s="1102">
        <f>+NOMINA!C248</f>
        <v>20401711</v>
      </c>
      <c r="D269" s="1103" t="str">
        <f>+NOMINA!D248</f>
        <v>Mendez Giro Maryely Roxana</v>
      </c>
      <c r="E269" s="1468" t="s">
        <v>4622</v>
      </c>
      <c r="F269" s="1704">
        <v>27853</v>
      </c>
      <c r="G269" s="1468" t="s">
        <v>4620</v>
      </c>
      <c r="H269" s="1705">
        <f>+NOMINA!H248</f>
        <v>44363</v>
      </c>
      <c r="I269" s="1105">
        <f>+NOMINA!I248</f>
        <v>4</v>
      </c>
      <c r="J269" s="1106">
        <f>+NOMINA!J248</f>
        <v>2</v>
      </c>
      <c r="K269" s="1105">
        <f t="shared" si="28"/>
        <v>6</v>
      </c>
      <c r="L269" s="1106" t="s">
        <v>4932</v>
      </c>
      <c r="M269" s="1106"/>
      <c r="N269" s="1443" t="str">
        <f>+NOMINA!O248</f>
        <v>Guia de Centro II</v>
      </c>
      <c r="O269" s="1107">
        <f>ROUND(NOMINA!W248,2)</f>
        <v>110.5</v>
      </c>
      <c r="P269" s="1107">
        <f>NOMINA!AF248</f>
        <v>6.85</v>
      </c>
      <c r="Q269" s="1107">
        <f>NOMINA!AH248</f>
        <v>65</v>
      </c>
      <c r="R269" s="1107">
        <f>NOMINA!AC248</f>
        <v>25</v>
      </c>
      <c r="S269" s="1107">
        <f>NOMINA!AJ248</f>
        <v>38.97</v>
      </c>
      <c r="T269" s="1108">
        <f t="shared" si="29"/>
        <v>0</v>
      </c>
      <c r="U269" s="1107">
        <f>ROUND(NOMINA!BL248,2)</f>
        <v>28.06</v>
      </c>
      <c r="V269" s="1107">
        <f>ROUND(NOMINA!BM248,2)</f>
        <v>3.51</v>
      </c>
      <c r="W269" s="1107">
        <f>ROUND(+NOMINA!BN248,2)</f>
        <v>6.08</v>
      </c>
      <c r="X269" s="1108">
        <f t="shared" si="30"/>
        <v>31.29</v>
      </c>
      <c r="Y269" s="1107">
        <f>ROUND(NOMINA!BJ248,2)</f>
        <v>12.5</v>
      </c>
      <c r="Z269" s="1109">
        <f t="shared" si="27"/>
        <v>208.67</v>
      </c>
    </row>
    <row r="270" spans="1:26" s="620" customFormat="1" ht="20.100000000000001" customHeight="1" thickBot="1" x14ac:dyDescent="0.25">
      <c r="A270" s="758" t="s">
        <v>2846</v>
      </c>
      <c r="B270" s="508">
        <f t="shared" ca="1" si="26"/>
        <v>206</v>
      </c>
      <c r="C270" s="1102">
        <f>+NOMINA!C249</f>
        <v>20428039</v>
      </c>
      <c r="D270" s="1103" t="str">
        <f>+NOMINA!D249</f>
        <v>Manzanilla Juan Roberto Antonio</v>
      </c>
      <c r="E270" s="1468" t="s">
        <v>4622</v>
      </c>
      <c r="F270" s="1704">
        <v>27853</v>
      </c>
      <c r="G270" s="1468" t="s">
        <v>4620</v>
      </c>
      <c r="H270" s="1705">
        <f>+NOMINA!H249</f>
        <v>45566</v>
      </c>
      <c r="I270" s="1105">
        <f>+NOMINA!I249</f>
        <v>0</v>
      </c>
      <c r="J270" s="1106">
        <f>+NOMINA!J249</f>
        <v>4</v>
      </c>
      <c r="K270" s="1105">
        <f t="shared" si="28"/>
        <v>4</v>
      </c>
      <c r="L270" s="1106" t="s">
        <v>4932</v>
      </c>
      <c r="M270" s="1106"/>
      <c r="N270" s="1443" t="str">
        <f>+NOMINA!O249</f>
        <v>Guia de Centro I</v>
      </c>
      <c r="O270" s="1107">
        <f>ROUND(NOMINA!W249,2)</f>
        <v>65</v>
      </c>
      <c r="P270" s="1107">
        <f>NOMINA!AF249</f>
        <v>2.6</v>
      </c>
      <c r="Q270" s="1107">
        <f>NOMINA!AH249</f>
        <v>65</v>
      </c>
      <c r="R270" s="1107">
        <f>NOMINA!AC249</f>
        <v>25</v>
      </c>
      <c r="S270" s="1107">
        <f>NOMINA!AJ249</f>
        <v>0</v>
      </c>
      <c r="T270" s="1108">
        <f t="shared" si="29"/>
        <v>131.35000000000002</v>
      </c>
      <c r="U270" s="1107">
        <f>ROUND(NOMINA!BL249,2)</f>
        <v>17.41</v>
      </c>
      <c r="V270" s="1107">
        <f>ROUND(NOMINA!BM249,2)</f>
        <v>2.1800000000000002</v>
      </c>
      <c r="W270" s="1107">
        <f>ROUND(+NOMINA!BN249,2)</f>
        <v>3.77</v>
      </c>
      <c r="X270" s="1108">
        <f t="shared" si="30"/>
        <v>28.03</v>
      </c>
      <c r="Y270" s="1107">
        <f>ROUND(NOMINA!BJ249,2)</f>
        <v>12.5</v>
      </c>
      <c r="Z270" s="1109">
        <f t="shared" si="27"/>
        <v>134.24</v>
      </c>
    </row>
    <row r="271" spans="1:26" s="620" customFormat="1" ht="20.100000000000001" customHeight="1" thickBot="1" x14ac:dyDescent="0.25">
      <c r="A271" s="758" t="s">
        <v>2846</v>
      </c>
      <c r="B271" s="508">
        <f t="shared" ca="1" si="26"/>
        <v>207</v>
      </c>
      <c r="C271" s="1102">
        <f>+NOMINA!C250</f>
        <v>20603227</v>
      </c>
      <c r="D271" s="1103" t="str">
        <f>+NOMINA!D250</f>
        <v>Morillo Garces Yeniree Lourdes</v>
      </c>
      <c r="E271" s="1468" t="s">
        <v>4622</v>
      </c>
      <c r="F271" s="1704">
        <v>27853</v>
      </c>
      <c r="G271" s="1468" t="s">
        <v>4620</v>
      </c>
      <c r="H271" s="1705">
        <f>+NOMINA!H250</f>
        <v>44470</v>
      </c>
      <c r="I271" s="1105">
        <f>+NOMINA!I250</f>
        <v>3</v>
      </c>
      <c r="J271" s="1106">
        <f>+NOMINA!J250</f>
        <v>0</v>
      </c>
      <c r="K271" s="1105">
        <f t="shared" si="28"/>
        <v>3</v>
      </c>
      <c r="L271" s="1106" t="s">
        <v>4932</v>
      </c>
      <c r="M271" s="1106"/>
      <c r="N271" s="1443" t="str">
        <f>+NOMINA!O250</f>
        <v>Tecnico Superior en Trabajo Social II</v>
      </c>
      <c r="O271" s="1107">
        <f>ROUND(NOMINA!W250,2)</f>
        <v>109.5</v>
      </c>
      <c r="P271" s="1107">
        <f>NOMINA!AF250</f>
        <v>3.29</v>
      </c>
      <c r="Q271" s="1107">
        <f>NOMINA!AH250</f>
        <v>65</v>
      </c>
      <c r="R271" s="1107">
        <f>NOMINA!AC250</f>
        <v>25</v>
      </c>
      <c r="S271" s="1107">
        <f>NOMINA!AJ250</f>
        <v>38.06</v>
      </c>
      <c r="T271" s="1108">
        <f t="shared" si="29"/>
        <v>78.150000000000006</v>
      </c>
      <c r="U271" s="1107">
        <f>ROUND(NOMINA!BL250,2)</f>
        <v>21.08</v>
      </c>
      <c r="V271" s="1107">
        <f>ROUND(NOMINA!BM250,2)</f>
        <v>2.63</v>
      </c>
      <c r="W271" s="1107">
        <f>ROUND(+NOMINA!BN250,2)</f>
        <v>4.57</v>
      </c>
      <c r="X271" s="1108">
        <f t="shared" si="30"/>
        <v>28.28</v>
      </c>
      <c r="Y271" s="1107">
        <f>ROUND(NOMINA!BJ250,2)</f>
        <v>12.5</v>
      </c>
      <c r="Z271" s="1109">
        <f t="shared" si="27"/>
        <v>212.57000000000002</v>
      </c>
    </row>
    <row r="272" spans="1:26" s="620" customFormat="1" ht="20.100000000000001" customHeight="1" thickBot="1" x14ac:dyDescent="0.25">
      <c r="A272" s="758" t="s">
        <v>2846</v>
      </c>
      <c r="B272" s="508">
        <f t="shared" ca="1" si="26"/>
        <v>208</v>
      </c>
      <c r="C272" s="1102">
        <f>+NOMINA!C251</f>
        <v>20707490</v>
      </c>
      <c r="D272" s="1103" t="str">
        <f>+NOMINA!D251</f>
        <v>Saavedra Valera Keila Andreina</v>
      </c>
      <c r="E272" s="1468" t="s">
        <v>4622</v>
      </c>
      <c r="F272" s="1704">
        <v>27853</v>
      </c>
      <c r="G272" s="1468" t="s">
        <v>4620</v>
      </c>
      <c r="H272" s="1705">
        <f>+NOMINA!H251</f>
        <v>42751</v>
      </c>
      <c r="I272" s="1105">
        <f>+NOMINA!I251</f>
        <v>8</v>
      </c>
      <c r="J272" s="1106">
        <f>+NOMINA!J251</f>
        <v>0</v>
      </c>
      <c r="K272" s="1105">
        <f t="shared" si="28"/>
        <v>8</v>
      </c>
      <c r="L272" s="1106" t="s">
        <v>4932</v>
      </c>
      <c r="M272" s="1106"/>
      <c r="N272" s="1443" t="str">
        <f>+NOMINA!O251</f>
        <v>Tutor Facilitador III</v>
      </c>
      <c r="O272" s="1107">
        <f>ROUND(NOMINA!W251,2)</f>
        <v>139.5</v>
      </c>
      <c r="P272" s="1107">
        <f>NOMINA!AF251</f>
        <v>12</v>
      </c>
      <c r="Q272" s="1107">
        <f>NOMINA!AH251</f>
        <v>65</v>
      </c>
      <c r="R272" s="1107">
        <f>NOMINA!AC251</f>
        <v>25</v>
      </c>
      <c r="S272" s="1107">
        <f>NOMINA!AJ251</f>
        <v>0</v>
      </c>
      <c r="T272" s="1108">
        <f t="shared" si="29"/>
        <v>157.16</v>
      </c>
      <c r="U272" s="1107">
        <f>ROUND(NOMINA!BL251,2)</f>
        <v>21.14</v>
      </c>
      <c r="V272" s="1107">
        <f>ROUND(NOMINA!BM251,2)</f>
        <v>2.64</v>
      </c>
      <c r="W272" s="1107">
        <f>ROUND(+NOMINA!BN251,2)</f>
        <v>4.58</v>
      </c>
      <c r="X272" s="1108">
        <f t="shared" si="30"/>
        <v>39.880000000000003</v>
      </c>
      <c r="Y272" s="1107">
        <f>ROUND(NOMINA!BJ251,2)</f>
        <v>12.5</v>
      </c>
      <c r="Z272" s="1109">
        <f t="shared" si="27"/>
        <v>213.14</v>
      </c>
    </row>
    <row r="273" spans="1:26" s="620" customFormat="1" ht="18.95" customHeight="1" thickBot="1" x14ac:dyDescent="0.25">
      <c r="A273" s="758" t="s">
        <v>2846</v>
      </c>
      <c r="B273" s="508">
        <f t="shared" ca="1" si="26"/>
        <v>209</v>
      </c>
      <c r="C273" s="1102">
        <f>+NOMINA!C252</f>
        <v>20789286</v>
      </c>
      <c r="D273" s="1103" t="str">
        <f>+NOMINA!D252</f>
        <v>Viloria Jessica del Carmen</v>
      </c>
      <c r="E273" s="1468" t="s">
        <v>4622</v>
      </c>
      <c r="F273" s="1704">
        <v>27853</v>
      </c>
      <c r="G273" s="1468" t="s">
        <v>4620</v>
      </c>
      <c r="H273" s="1705">
        <f>+NOMINA!H252</f>
        <v>44713</v>
      </c>
      <c r="I273" s="1105">
        <f>+NOMINA!I252</f>
        <v>3</v>
      </c>
      <c r="J273" s="1106">
        <f>+NOMINA!J252</f>
        <v>0</v>
      </c>
      <c r="K273" s="1105">
        <f t="shared" si="28"/>
        <v>3</v>
      </c>
      <c r="L273" s="1106" t="s">
        <v>4932</v>
      </c>
      <c r="M273" s="1106"/>
      <c r="N273" s="1443" t="str">
        <f>+NOMINA!O252</f>
        <v>Asistente Administrativo IV</v>
      </c>
      <c r="O273" s="1107">
        <f>ROUND(NOMINA!W252,2)</f>
        <v>138.5</v>
      </c>
      <c r="P273" s="1107">
        <f>NOMINA!AF252</f>
        <v>4.16</v>
      </c>
      <c r="Q273" s="1107">
        <f>NOMINA!AH252</f>
        <v>65</v>
      </c>
      <c r="R273" s="1107">
        <f>NOMINA!AC252</f>
        <v>12.5</v>
      </c>
      <c r="S273" s="1107">
        <f>NOMINA!AJ252</f>
        <v>53.48</v>
      </c>
      <c r="T273" s="1108">
        <f t="shared" si="29"/>
        <v>150.93</v>
      </c>
      <c r="U273" s="1107">
        <f>ROUND(NOMINA!BL252,2)</f>
        <v>24.68</v>
      </c>
      <c r="V273" s="1107">
        <f>ROUND(NOMINA!BM252,2)</f>
        <v>3.09</v>
      </c>
      <c r="W273" s="1107">
        <f>ROUND(+NOMINA!BN252,2)</f>
        <v>5.35</v>
      </c>
      <c r="X273" s="1108">
        <f t="shared" si="30"/>
        <v>29.72</v>
      </c>
      <c r="Y273" s="1107">
        <f>ROUND(NOMINA!BJ252,2)</f>
        <v>12.5</v>
      </c>
      <c r="Z273" s="1109">
        <f t="shared" si="27"/>
        <v>240.51999999999998</v>
      </c>
    </row>
    <row r="274" spans="1:26" s="620" customFormat="1" ht="18.95" customHeight="1" thickBot="1" x14ac:dyDescent="0.25">
      <c r="A274" s="758" t="s">
        <v>2846</v>
      </c>
      <c r="B274" s="508">
        <f t="shared" ca="1" si="26"/>
        <v>210</v>
      </c>
      <c r="C274" s="1102">
        <f>+NOMINA!C253</f>
        <v>20790947</v>
      </c>
      <c r="D274" s="1103" t="str">
        <f>+NOMINA!D253</f>
        <v>Urbina Cuellar Tannessy Lenery</v>
      </c>
      <c r="E274" s="1468" t="s">
        <v>4622</v>
      </c>
      <c r="F274" s="1704">
        <v>27853</v>
      </c>
      <c r="G274" s="1468" t="s">
        <v>4620</v>
      </c>
      <c r="H274" s="1705">
        <f>+NOMINA!H253</f>
        <v>43967</v>
      </c>
      <c r="I274" s="1105">
        <f>+NOMINA!I253</f>
        <v>5</v>
      </c>
      <c r="J274" s="1106">
        <f>+NOMINA!J253</f>
        <v>0</v>
      </c>
      <c r="K274" s="1105">
        <f t="shared" si="28"/>
        <v>5</v>
      </c>
      <c r="L274" s="1106" t="s">
        <v>4932</v>
      </c>
      <c r="M274" s="1106"/>
      <c r="N274" s="1443" t="str">
        <f>+NOMINA!O253</f>
        <v>Asistente Administrativo IV</v>
      </c>
      <c r="O274" s="1107">
        <f>ROUND(NOMINA!W253,2)</f>
        <v>0</v>
      </c>
      <c r="P274" s="1107">
        <f>NOMINA!AF253</f>
        <v>0</v>
      </c>
      <c r="Q274" s="1107">
        <f>NOMINA!AH253</f>
        <v>0</v>
      </c>
      <c r="R274" s="1107">
        <f>NOMINA!AC253</f>
        <v>0</v>
      </c>
      <c r="S274" s="1107">
        <f>NOMINA!AJ253</f>
        <v>0</v>
      </c>
      <c r="T274" s="1108">
        <f t="shared" si="29"/>
        <v>65.650000000000006</v>
      </c>
      <c r="U274" s="1107">
        <f>ROUND(NOMINA!BL253,2)</f>
        <v>0</v>
      </c>
      <c r="V274" s="1107">
        <f>ROUND(NOMINA!BM253,2)</f>
        <v>0</v>
      </c>
      <c r="W274" s="1107">
        <f>ROUND(+NOMINA!BN253,2)</f>
        <v>0</v>
      </c>
      <c r="X274" s="1108">
        <f t="shared" si="30"/>
        <v>28.28</v>
      </c>
      <c r="Y274" s="1107">
        <f>ROUND(NOMINA!BJ253,2)</f>
        <v>0</v>
      </c>
      <c r="Z274" s="1109">
        <f t="shared" si="27"/>
        <v>0</v>
      </c>
    </row>
    <row r="275" spans="1:26" s="620" customFormat="1" ht="18.95" customHeight="1" thickBot="1" x14ac:dyDescent="0.25">
      <c r="A275" s="758" t="s">
        <v>2846</v>
      </c>
      <c r="B275" s="508">
        <f t="shared" ca="1" si="26"/>
        <v>211</v>
      </c>
      <c r="C275" s="1102">
        <f>+NOMINA!C254</f>
        <v>21061126</v>
      </c>
      <c r="D275" s="1103" t="str">
        <f>+NOMINA!D254</f>
        <v>Olivar Nava Robinson de Jesus</v>
      </c>
      <c r="E275" s="1468" t="s">
        <v>4622</v>
      </c>
      <c r="F275" s="1704">
        <v>27853</v>
      </c>
      <c r="G275" s="1468" t="s">
        <v>4620</v>
      </c>
      <c r="H275" s="1705">
        <f>+NOMINA!H254</f>
        <v>45047</v>
      </c>
      <c r="I275" s="1105">
        <f>+NOMINA!I254</f>
        <v>2</v>
      </c>
      <c r="J275" s="1106">
        <f>+NOMINA!J254</f>
        <v>0</v>
      </c>
      <c r="K275" s="1105">
        <f t="shared" si="28"/>
        <v>2</v>
      </c>
      <c r="L275" s="1106" t="s">
        <v>4932</v>
      </c>
      <c r="M275" s="1106"/>
      <c r="N275" s="1443" t="str">
        <f>+NOMINA!O254</f>
        <v>Guia de Centro I</v>
      </c>
      <c r="O275" s="1107">
        <f>ROUND(NOMINA!W254,2)</f>
        <v>96</v>
      </c>
      <c r="P275" s="1107">
        <f>NOMINA!AF254</f>
        <v>1.92</v>
      </c>
      <c r="Q275" s="1107">
        <f>NOMINA!AH254</f>
        <v>65</v>
      </c>
      <c r="R275" s="1107">
        <f>NOMINA!AC254</f>
        <v>0</v>
      </c>
      <c r="S275" s="1107">
        <f>NOMINA!AJ254</f>
        <v>40.729999999999997</v>
      </c>
      <c r="T275" s="1108">
        <f t="shared" si="29"/>
        <v>93.75</v>
      </c>
      <c r="U275" s="1107">
        <f>ROUND(NOMINA!BL254,2)</f>
        <v>24.44</v>
      </c>
      <c r="V275" s="1107">
        <f>ROUND(NOMINA!BM254,2)</f>
        <v>3.05</v>
      </c>
      <c r="W275" s="1107">
        <f>ROUND(+NOMINA!BN254,2)</f>
        <v>5.29</v>
      </c>
      <c r="X275" s="1108">
        <f t="shared" si="30"/>
        <v>27.36</v>
      </c>
      <c r="Y275" s="1107">
        <f>ROUND(NOMINA!BJ254,2)</f>
        <v>12.5</v>
      </c>
      <c r="Z275" s="1109">
        <f t="shared" si="27"/>
        <v>170.87</v>
      </c>
    </row>
    <row r="276" spans="1:26" s="620" customFormat="1" ht="18.95" customHeight="1" thickBot="1" x14ac:dyDescent="0.25">
      <c r="A276" s="758" t="s">
        <v>2846</v>
      </c>
      <c r="B276" s="508">
        <f t="shared" ca="1" si="26"/>
        <v>212</v>
      </c>
      <c r="C276" s="1102">
        <f>+NOMINA!C255</f>
        <v>21061789</v>
      </c>
      <c r="D276" s="1103" t="str">
        <f>+NOMINA!D255</f>
        <v>Suarez Briceño Daiver Jose</v>
      </c>
      <c r="E276" s="1468" t="s">
        <v>4622</v>
      </c>
      <c r="F276" s="1704">
        <v>27853</v>
      </c>
      <c r="G276" s="1468" t="s">
        <v>4620</v>
      </c>
      <c r="H276" s="1705">
        <f>+NOMINA!H255</f>
        <v>44713</v>
      </c>
      <c r="I276" s="1105">
        <f>+NOMINA!I255</f>
        <v>3</v>
      </c>
      <c r="J276" s="1106">
        <f>+NOMINA!J255</f>
        <v>0</v>
      </c>
      <c r="K276" s="1105">
        <f t="shared" si="28"/>
        <v>3</v>
      </c>
      <c r="L276" s="1106" t="s">
        <v>4932</v>
      </c>
      <c r="M276" s="1106"/>
      <c r="N276" s="1443" t="str">
        <f>+NOMINA!O255</f>
        <v>Abogado I</v>
      </c>
      <c r="O276" s="1107">
        <f>ROUND(NOMINA!W255,2)</f>
        <v>138.5</v>
      </c>
      <c r="P276" s="1107">
        <f>NOMINA!AF255</f>
        <v>4.16</v>
      </c>
      <c r="Q276" s="1107">
        <f>NOMINA!AH255</f>
        <v>65</v>
      </c>
      <c r="R276" s="1107">
        <f>NOMINA!AC255</f>
        <v>0</v>
      </c>
      <c r="S276" s="1107">
        <f>NOMINA!AJ255</f>
        <v>51.92</v>
      </c>
      <c r="T276" s="1108">
        <f t="shared" si="29"/>
        <v>98.35</v>
      </c>
      <c r="U276" s="1107">
        <f>ROUND(NOMINA!BL255,2)</f>
        <v>23.96</v>
      </c>
      <c r="V276" s="1107">
        <f>ROUND(NOMINA!BM255,2)</f>
        <v>3</v>
      </c>
      <c r="W276" s="1107">
        <f>ROUND(+NOMINA!BN255,2)</f>
        <v>5.19</v>
      </c>
      <c r="X276" s="1108">
        <f t="shared" si="30"/>
        <v>29.46</v>
      </c>
      <c r="Y276" s="1107">
        <f>ROUND(NOMINA!BJ255,2)</f>
        <v>12.5</v>
      </c>
      <c r="Z276" s="1109">
        <f t="shared" si="27"/>
        <v>227.42999999999998</v>
      </c>
    </row>
    <row r="277" spans="1:26" s="620" customFormat="1" ht="18.95" customHeight="1" thickBot="1" x14ac:dyDescent="0.25">
      <c r="A277" s="758" t="s">
        <v>2846</v>
      </c>
      <c r="B277" s="508">
        <f t="shared" ca="1" si="26"/>
        <v>213</v>
      </c>
      <c r="C277" s="1102">
        <f>+NOMINA!C256</f>
        <v>21365212</v>
      </c>
      <c r="D277" s="1103" t="str">
        <f>+NOMINA!D256</f>
        <v>Manzanilla Gonzalez Landkler Josue</v>
      </c>
      <c r="E277" s="1468" t="s">
        <v>4622</v>
      </c>
      <c r="F277" s="1704">
        <v>27853</v>
      </c>
      <c r="G277" s="1468" t="s">
        <v>4620</v>
      </c>
      <c r="H277" s="1705">
        <f>+NOMINA!H256</f>
        <v>44317</v>
      </c>
      <c r="I277" s="1105">
        <f>+NOMINA!I256</f>
        <v>4</v>
      </c>
      <c r="J277" s="1106">
        <f>+NOMINA!J256</f>
        <v>0</v>
      </c>
      <c r="K277" s="1105">
        <f t="shared" si="28"/>
        <v>4</v>
      </c>
      <c r="L277" s="1106" t="s">
        <v>4932</v>
      </c>
      <c r="M277" s="1106"/>
      <c r="N277" s="1443" t="str">
        <f>+NOMINA!O256</f>
        <v>Asistente Administrativo II</v>
      </c>
      <c r="O277" s="1107">
        <f>ROUND(NOMINA!W256,2)</f>
        <v>75</v>
      </c>
      <c r="P277" s="1107">
        <f>NOMINA!AF256</f>
        <v>3</v>
      </c>
      <c r="Q277" s="1107">
        <f>NOMINA!AH256</f>
        <v>65</v>
      </c>
      <c r="R277" s="1107">
        <f>NOMINA!AC256</f>
        <v>0</v>
      </c>
      <c r="S277" s="1107">
        <f>NOMINA!AJ256</f>
        <v>0</v>
      </c>
      <c r="T277" s="1108">
        <f t="shared" si="29"/>
        <v>122.07</v>
      </c>
      <c r="U277" s="1107">
        <f>ROUND(NOMINA!BL256,2)</f>
        <v>13.2</v>
      </c>
      <c r="V277" s="1107">
        <f>ROUND(NOMINA!BM256,2)</f>
        <v>1.65</v>
      </c>
      <c r="W277" s="1107">
        <f>ROUND(+NOMINA!BN256,2)</f>
        <v>2.86</v>
      </c>
      <c r="X277" s="1108">
        <f t="shared" si="30"/>
        <v>36.700000000000003</v>
      </c>
      <c r="Y277" s="1107">
        <f>ROUND(NOMINA!BJ256,2)</f>
        <v>12.5</v>
      </c>
      <c r="Z277" s="1109">
        <f t="shared" si="27"/>
        <v>125.28999999999999</v>
      </c>
    </row>
    <row r="278" spans="1:26" s="620" customFormat="1" ht="18.95" customHeight="1" thickBot="1" x14ac:dyDescent="0.25">
      <c r="A278" s="758" t="s">
        <v>2846</v>
      </c>
      <c r="B278" s="508">
        <f t="shared" ca="1" si="26"/>
        <v>214</v>
      </c>
      <c r="C278" s="1102">
        <f>+NOMINA!C257</f>
        <v>21592108</v>
      </c>
      <c r="D278" s="1103" t="str">
        <f>+NOMINA!D257</f>
        <v>Coy Andara Darlin Gabriela</v>
      </c>
      <c r="E278" s="1468" t="s">
        <v>4622</v>
      </c>
      <c r="F278" s="1704">
        <v>27853</v>
      </c>
      <c r="G278" s="1468" t="s">
        <v>4620</v>
      </c>
      <c r="H278" s="1705">
        <f>+NOMINA!H257</f>
        <v>43024</v>
      </c>
      <c r="I278" s="1105">
        <f>+NOMINA!I257</f>
        <v>7</v>
      </c>
      <c r="J278" s="1106">
        <f>+NOMINA!J257</f>
        <v>0</v>
      </c>
      <c r="K278" s="1105">
        <f t="shared" si="28"/>
        <v>7</v>
      </c>
      <c r="L278" s="1106" t="s">
        <v>4932</v>
      </c>
      <c r="M278" s="1106"/>
      <c r="N278" s="1443" t="str">
        <f>+NOMINA!O257</f>
        <v>PLANIFICADOR I</v>
      </c>
      <c r="O278" s="1107">
        <f>ROUND(NOMINA!W257,2)</f>
        <v>0</v>
      </c>
      <c r="P278" s="1107">
        <f>NOMINA!AF257</f>
        <v>0</v>
      </c>
      <c r="Q278" s="1107">
        <f>NOMINA!AH257</f>
        <v>0</v>
      </c>
      <c r="R278" s="1107">
        <f>NOMINA!AC257</f>
        <v>0</v>
      </c>
      <c r="S278" s="1107">
        <f>NOMINA!AJ257</f>
        <v>0</v>
      </c>
      <c r="T278" s="1108">
        <f t="shared" si="29"/>
        <v>131.35000000000002</v>
      </c>
      <c r="U278" s="1107">
        <f>ROUND(NOMINA!BL257,2)</f>
        <v>0</v>
      </c>
      <c r="V278" s="1107">
        <f>ROUND(NOMINA!BM257,2)</f>
        <v>0</v>
      </c>
      <c r="W278" s="1107">
        <f>ROUND(+NOMINA!BN257,2)</f>
        <v>0</v>
      </c>
      <c r="X278" s="1108">
        <f t="shared" si="30"/>
        <v>27.01</v>
      </c>
      <c r="Y278" s="1107">
        <f>ROUND(NOMINA!BJ257,2)</f>
        <v>0</v>
      </c>
      <c r="Z278" s="1109">
        <f t="shared" si="27"/>
        <v>0</v>
      </c>
    </row>
    <row r="279" spans="1:26" s="620" customFormat="1" ht="18.95" customHeight="1" thickBot="1" x14ac:dyDescent="0.25">
      <c r="A279" s="758" t="s">
        <v>2846</v>
      </c>
      <c r="B279" s="508">
        <f t="shared" ca="1" si="26"/>
        <v>215</v>
      </c>
      <c r="C279" s="1102">
        <f>+NOMINA!C258</f>
        <v>22622493</v>
      </c>
      <c r="D279" s="1103" t="str">
        <f>+NOMINA!D258</f>
        <v>Barrios Olivar Geraldine Katiusca</v>
      </c>
      <c r="E279" s="1468" t="s">
        <v>4622</v>
      </c>
      <c r="F279" s="1704">
        <v>27853</v>
      </c>
      <c r="G279" s="1468" t="s">
        <v>4620</v>
      </c>
      <c r="H279" s="1705">
        <f>+NOMINA!H258</f>
        <v>44363</v>
      </c>
      <c r="I279" s="1105">
        <f>+NOMINA!I258</f>
        <v>4</v>
      </c>
      <c r="J279" s="1106">
        <f>+NOMINA!J258</f>
        <v>0</v>
      </c>
      <c r="K279" s="1105">
        <f t="shared" si="28"/>
        <v>4</v>
      </c>
      <c r="L279" s="1106" t="s">
        <v>4932</v>
      </c>
      <c r="M279" s="1106"/>
      <c r="N279" s="1443" t="str">
        <f>+NOMINA!O258</f>
        <v>Guia de Centro I</v>
      </c>
      <c r="O279" s="1107">
        <f>ROUND(NOMINA!W258,2)</f>
        <v>75</v>
      </c>
      <c r="P279" s="1107">
        <f>NOMINA!AF258</f>
        <v>3</v>
      </c>
      <c r="Q279" s="1107">
        <f>NOMINA!AH258</f>
        <v>65</v>
      </c>
      <c r="R279" s="1107">
        <f>NOMINA!AC258</f>
        <v>25</v>
      </c>
      <c r="S279" s="1107">
        <f>NOMINA!AJ258</f>
        <v>0</v>
      </c>
      <c r="T279" s="1108">
        <f t="shared" si="29"/>
        <v>174.23000000000002</v>
      </c>
      <c r="U279" s="1107">
        <f>ROUND(NOMINA!BL258,2)</f>
        <v>18.66</v>
      </c>
      <c r="V279" s="1107">
        <f>ROUND(NOMINA!BM258,2)</f>
        <v>2.33</v>
      </c>
      <c r="W279" s="1107">
        <f>ROUND(+NOMINA!BN258,2)</f>
        <v>4.04</v>
      </c>
      <c r="X279" s="1108">
        <f t="shared" si="30"/>
        <v>34.51</v>
      </c>
      <c r="Y279" s="1107">
        <f>ROUND(NOMINA!BJ258,2)</f>
        <v>12.5</v>
      </c>
      <c r="Z279" s="1109">
        <f t="shared" si="27"/>
        <v>142.97</v>
      </c>
    </row>
    <row r="280" spans="1:26" s="620" customFormat="1" ht="18.95" customHeight="1" thickBot="1" x14ac:dyDescent="0.25">
      <c r="A280" s="758" t="s">
        <v>2846</v>
      </c>
      <c r="B280" s="508">
        <f t="shared" ref="B280:B323" ca="1" si="31">OFFSET(B280,-1,0)+1</f>
        <v>216</v>
      </c>
      <c r="C280" s="1102">
        <f>+NOMINA!C259</f>
        <v>22892886</v>
      </c>
      <c r="D280" s="1103" t="str">
        <f>+NOMINA!D259</f>
        <v>Rivas Gonzalez Eddy Carolina</v>
      </c>
      <c r="E280" s="1468" t="s">
        <v>4622</v>
      </c>
      <c r="F280" s="1704">
        <v>27853</v>
      </c>
      <c r="G280" s="1468" t="s">
        <v>4620</v>
      </c>
      <c r="H280" s="1705">
        <f>+NOMINA!H259</f>
        <v>45748</v>
      </c>
      <c r="I280" s="1105">
        <f>+NOMINA!I259</f>
        <v>0</v>
      </c>
      <c r="J280" s="1106">
        <f>+NOMINA!J259</f>
        <v>0</v>
      </c>
      <c r="K280" s="1105">
        <f t="shared" si="28"/>
        <v>0</v>
      </c>
      <c r="L280" s="1106" t="s">
        <v>4932</v>
      </c>
      <c r="M280" s="1106"/>
      <c r="N280" s="1443" t="str">
        <f>+NOMINA!O259</f>
        <v>Guia de Centro I</v>
      </c>
      <c r="O280" s="1107">
        <f>ROUND(NOMINA!W259,2)</f>
        <v>65</v>
      </c>
      <c r="P280" s="1107">
        <f>NOMINA!AF259</f>
        <v>0</v>
      </c>
      <c r="Q280" s="1107">
        <f>NOMINA!AH259</f>
        <v>65</v>
      </c>
      <c r="R280" s="1107">
        <f>NOMINA!AC259</f>
        <v>0</v>
      </c>
      <c r="S280" s="1107">
        <f>NOMINA!AJ259</f>
        <v>0</v>
      </c>
      <c r="T280" s="1108">
        <f t="shared" si="29"/>
        <v>140.92000000000002</v>
      </c>
      <c r="U280" s="1107">
        <f>ROUND(NOMINA!BL259,2)</f>
        <v>15.6</v>
      </c>
      <c r="V280" s="1107">
        <f>ROUND(NOMINA!BM259,2)</f>
        <v>1.95</v>
      </c>
      <c r="W280" s="1107">
        <f>ROUND(+NOMINA!BN259,2)</f>
        <v>3.38</v>
      </c>
      <c r="X280" s="1108">
        <f t="shared" si="30"/>
        <v>18.39</v>
      </c>
      <c r="Y280" s="1107">
        <f>ROUND(NOMINA!BJ259,2)</f>
        <v>12.5</v>
      </c>
      <c r="Z280" s="1109">
        <f t="shared" si="27"/>
        <v>109.07</v>
      </c>
    </row>
    <row r="281" spans="1:26" s="620" customFormat="1" ht="18.95" customHeight="1" thickBot="1" x14ac:dyDescent="0.25">
      <c r="A281" s="758" t="s">
        <v>2846</v>
      </c>
      <c r="B281" s="508">
        <f t="shared" ca="1" si="31"/>
        <v>217</v>
      </c>
      <c r="C281" s="1102">
        <f>+NOMINA!C260</f>
        <v>23254359</v>
      </c>
      <c r="D281" s="1103" t="str">
        <f>+NOMINA!D260</f>
        <v>Calles Villarreal Jose Bertilio</v>
      </c>
      <c r="E281" s="1468" t="s">
        <v>4622</v>
      </c>
      <c r="F281" s="1704">
        <v>27853</v>
      </c>
      <c r="G281" s="1468" t="s">
        <v>4620</v>
      </c>
      <c r="H281" s="1705">
        <f>+NOMINA!H260</f>
        <v>45748</v>
      </c>
      <c r="I281" s="1105">
        <f>+NOMINA!I260</f>
        <v>0</v>
      </c>
      <c r="J281" s="1106">
        <f>+NOMINA!J260</f>
        <v>0</v>
      </c>
      <c r="K281" s="1105">
        <f t="shared" si="28"/>
        <v>0</v>
      </c>
      <c r="L281" s="1106" t="s">
        <v>4932</v>
      </c>
      <c r="M281" s="1106"/>
      <c r="N281" s="1443" t="str">
        <f>+NOMINA!O260</f>
        <v>Guia de Centro I</v>
      </c>
      <c r="O281" s="1107">
        <f>ROUND(NOMINA!W260,2)</f>
        <v>65</v>
      </c>
      <c r="P281" s="1107">
        <f>NOMINA!AF260</f>
        <v>0</v>
      </c>
      <c r="Q281" s="1107">
        <f>NOMINA!AH260</f>
        <v>65</v>
      </c>
      <c r="R281" s="1107">
        <f>NOMINA!AC260</f>
        <v>0</v>
      </c>
      <c r="S281" s="1107">
        <f>NOMINA!AJ260</f>
        <v>0</v>
      </c>
      <c r="T281" s="1108">
        <f t="shared" si="29"/>
        <v>131.35000000000002</v>
      </c>
      <c r="U281" s="1107">
        <f>ROUND(NOMINA!BL260,2)</f>
        <v>15.6</v>
      </c>
      <c r="V281" s="1107">
        <f>ROUND(NOMINA!BM260,2)</f>
        <v>1.95</v>
      </c>
      <c r="W281" s="1107">
        <f>ROUND(+NOMINA!BN260,2)</f>
        <v>3.38</v>
      </c>
      <c r="X281" s="1108">
        <f t="shared" si="30"/>
        <v>35.549999999999997</v>
      </c>
      <c r="Y281" s="1107">
        <f>ROUND(NOMINA!BJ260,2)</f>
        <v>12.5</v>
      </c>
      <c r="Z281" s="1109">
        <f t="shared" si="27"/>
        <v>109.07</v>
      </c>
    </row>
    <row r="282" spans="1:26" s="620" customFormat="1" ht="18.95" customHeight="1" thickBot="1" x14ac:dyDescent="0.25">
      <c r="A282" s="758" t="s">
        <v>2846</v>
      </c>
      <c r="B282" s="508">
        <f t="shared" ca="1" si="31"/>
        <v>218</v>
      </c>
      <c r="C282" s="1102">
        <f>+NOMINA!C261</f>
        <v>23782360</v>
      </c>
      <c r="D282" s="1103" t="str">
        <f>+NOMINA!D261</f>
        <v>Rivera Sandoval Ilva Azucena</v>
      </c>
      <c r="E282" s="1468" t="s">
        <v>4622</v>
      </c>
      <c r="F282" s="1704">
        <v>27853</v>
      </c>
      <c r="G282" s="1468" t="s">
        <v>4620</v>
      </c>
      <c r="H282" s="1705">
        <f>+NOMINA!H261</f>
        <v>39203</v>
      </c>
      <c r="I282" s="1105">
        <f>+NOMINA!I261</f>
        <v>18</v>
      </c>
      <c r="J282" s="1106">
        <f>+NOMINA!J261</f>
        <v>0</v>
      </c>
      <c r="K282" s="1105">
        <f t="shared" si="28"/>
        <v>18</v>
      </c>
      <c r="L282" s="1106" t="s">
        <v>4932</v>
      </c>
      <c r="M282" s="1106"/>
      <c r="N282" s="1443" t="str">
        <f>+NOMINA!O261</f>
        <v>Administrador III</v>
      </c>
      <c r="O282" s="1107">
        <f>ROUND(NOMINA!W261,2)</f>
        <v>143.5</v>
      </c>
      <c r="P282" s="1107">
        <f>NOMINA!AF261</f>
        <v>32.72</v>
      </c>
      <c r="Q282" s="1107">
        <f>NOMINA!AH261</f>
        <v>65</v>
      </c>
      <c r="R282" s="1107">
        <f>NOMINA!AC261</f>
        <v>0</v>
      </c>
      <c r="S282" s="1107">
        <f>NOMINA!AJ261</f>
        <v>60.31</v>
      </c>
      <c r="T282" s="1108">
        <f t="shared" si="29"/>
        <v>117.60000000000001</v>
      </c>
      <c r="U282" s="1107">
        <f>ROUND(NOMINA!BL261,2)</f>
        <v>27.83</v>
      </c>
      <c r="V282" s="1107">
        <f>ROUND(NOMINA!BM261,2)</f>
        <v>3.48</v>
      </c>
      <c r="W282" s="1107">
        <f>ROUND(+NOMINA!BN261,2)</f>
        <v>6.03</v>
      </c>
      <c r="X282" s="1108">
        <f t="shared" si="30"/>
        <v>34.92</v>
      </c>
      <c r="Y282" s="1107">
        <f>ROUND(NOMINA!BJ261,2)</f>
        <v>12.5</v>
      </c>
      <c r="Z282" s="1109">
        <f t="shared" si="27"/>
        <v>264.19</v>
      </c>
    </row>
    <row r="283" spans="1:26" s="620" customFormat="1" ht="18.95" customHeight="1" thickBot="1" x14ac:dyDescent="0.25">
      <c r="A283" s="758"/>
      <c r="B283" s="508">
        <f t="shared" ca="1" si="31"/>
        <v>219</v>
      </c>
      <c r="C283" s="1102">
        <f>+NOMINA!C262</f>
        <v>23960738</v>
      </c>
      <c r="D283" s="1103" t="str">
        <f>+NOMINA!D262</f>
        <v>Molina Briceño Maria de los Angeles</v>
      </c>
      <c r="E283" s="1468" t="s">
        <v>4622</v>
      </c>
      <c r="F283" s="1704">
        <v>27853</v>
      </c>
      <c r="G283" s="1468" t="s">
        <v>4620</v>
      </c>
      <c r="H283" s="1705">
        <f>+NOMINA!H262</f>
        <v>43497</v>
      </c>
      <c r="I283" s="1105">
        <f>+NOMINA!I262</f>
        <v>6</v>
      </c>
      <c r="J283" s="1106">
        <f>+NOMINA!J262</f>
        <v>0</v>
      </c>
      <c r="K283" s="1105">
        <f t="shared" si="28"/>
        <v>6</v>
      </c>
      <c r="L283" s="1106" t="s">
        <v>4932</v>
      </c>
      <c r="M283" s="1106"/>
      <c r="N283" s="1443" t="str">
        <f>+NOMINA!O262</f>
        <v>Psicologo II</v>
      </c>
      <c r="O283" s="1107">
        <f>ROUND(NOMINA!W262,2)</f>
        <v>139.5</v>
      </c>
      <c r="P283" s="1107">
        <f>NOMINA!AF262</f>
        <v>8.65</v>
      </c>
      <c r="Q283" s="1107">
        <f>NOMINA!AH262</f>
        <v>65</v>
      </c>
      <c r="R283" s="1107">
        <f>NOMINA!AC262</f>
        <v>0</v>
      </c>
      <c r="S283" s="1107">
        <f>NOMINA!AJ262</f>
        <v>53.29</v>
      </c>
      <c r="T283" s="1108">
        <f t="shared" si="29"/>
        <v>140.86000000000001</v>
      </c>
      <c r="U283" s="1107">
        <f>ROUND(NOMINA!BL262,2)</f>
        <v>24.59</v>
      </c>
      <c r="V283" s="1107">
        <f>ROUND(NOMINA!BM262,2)</f>
        <v>3.07</v>
      </c>
      <c r="W283" s="1107">
        <f>ROUND(+NOMINA!BN262,2)</f>
        <v>5.33</v>
      </c>
      <c r="X283" s="1108">
        <f t="shared" si="30"/>
        <v>29.1</v>
      </c>
      <c r="Y283" s="1107">
        <f>ROUND(NOMINA!BJ262,2)</f>
        <v>12.5</v>
      </c>
      <c r="Z283" s="1109">
        <f t="shared" si="27"/>
        <v>233.45</v>
      </c>
    </row>
    <row r="284" spans="1:26" s="620" customFormat="1" ht="18.95" customHeight="1" thickBot="1" x14ac:dyDescent="0.25">
      <c r="A284" s="758" t="s">
        <v>2846</v>
      </c>
      <c r="B284" s="508">
        <f t="shared" ca="1" si="31"/>
        <v>220</v>
      </c>
      <c r="C284" s="1102">
        <f>+NOMINA!C263</f>
        <v>24135378</v>
      </c>
      <c r="D284" s="1103" t="str">
        <f>+NOMINA!D263</f>
        <v>Rivas Hurtado Orleidys Betania</v>
      </c>
      <c r="E284" s="1468" t="s">
        <v>4622</v>
      </c>
      <c r="F284" s="1704">
        <v>27853</v>
      </c>
      <c r="G284" s="1468" t="s">
        <v>4620</v>
      </c>
      <c r="H284" s="1705">
        <f>+NOMINA!H263</f>
        <v>43862</v>
      </c>
      <c r="I284" s="1105">
        <f>+NOMINA!I263</f>
        <v>5</v>
      </c>
      <c r="J284" s="1106">
        <f>+NOMINA!J263</f>
        <v>0</v>
      </c>
      <c r="K284" s="1105">
        <f t="shared" si="28"/>
        <v>5</v>
      </c>
      <c r="L284" s="1106" t="s">
        <v>4932</v>
      </c>
      <c r="M284" s="1106"/>
      <c r="N284" s="1443" t="str">
        <f>+NOMINA!O263</f>
        <v>Asistente Administrativo IV</v>
      </c>
      <c r="O284" s="1107">
        <f>ROUND(NOMINA!W263,2)</f>
        <v>138.5</v>
      </c>
      <c r="P284" s="1107">
        <f>NOMINA!AF263</f>
        <v>6.93</v>
      </c>
      <c r="Q284" s="1107">
        <f>NOMINA!AH263</f>
        <v>65</v>
      </c>
      <c r="R284" s="1107">
        <f>NOMINA!AC263</f>
        <v>25</v>
      </c>
      <c r="S284" s="1107">
        <f>NOMINA!AJ263</f>
        <v>55.73</v>
      </c>
      <c r="T284" s="1108">
        <f t="shared" si="29"/>
        <v>123.67000000000002</v>
      </c>
      <c r="U284" s="1107">
        <f>ROUND(NOMINA!BL263,2)</f>
        <v>25.72</v>
      </c>
      <c r="V284" s="1107">
        <f>ROUND(NOMINA!BM263,2)</f>
        <v>3.22</v>
      </c>
      <c r="W284" s="1107">
        <f>ROUND(+NOMINA!BN263,2)</f>
        <v>5.57</v>
      </c>
      <c r="X284" s="1108">
        <f t="shared" si="30"/>
        <v>35.11</v>
      </c>
      <c r="Y284" s="1107">
        <f>ROUND(NOMINA!BJ263,2)</f>
        <v>12.5</v>
      </c>
      <c r="Z284" s="1109">
        <f t="shared" si="27"/>
        <v>256.65000000000003</v>
      </c>
    </row>
    <row r="285" spans="1:26" s="620" customFormat="1" ht="18.95" customHeight="1" thickBot="1" x14ac:dyDescent="0.25">
      <c r="A285" s="758" t="s">
        <v>2846</v>
      </c>
      <c r="B285" s="508">
        <f t="shared" ca="1" si="31"/>
        <v>221</v>
      </c>
      <c r="C285" s="1102">
        <f>+NOMINA!C264</f>
        <v>24136795</v>
      </c>
      <c r="D285" s="1103" t="str">
        <f>+NOMINA!D264</f>
        <v>Viloria Maldonado Gerardo Jesus</v>
      </c>
      <c r="E285" s="1468" t="s">
        <v>4622</v>
      </c>
      <c r="F285" s="1704">
        <v>27853</v>
      </c>
      <c r="G285" s="1468" t="s">
        <v>4620</v>
      </c>
      <c r="H285" s="1705">
        <f>+NOMINA!H264</f>
        <v>44600</v>
      </c>
      <c r="I285" s="1105">
        <f>+NOMINA!I264</f>
        <v>3</v>
      </c>
      <c r="J285" s="1106">
        <f>+NOMINA!J264</f>
        <v>0</v>
      </c>
      <c r="K285" s="1105">
        <f t="shared" si="28"/>
        <v>3</v>
      </c>
      <c r="L285" s="1106" t="s">
        <v>4932</v>
      </c>
      <c r="M285" s="1106"/>
      <c r="N285" s="1443" t="str">
        <f>+NOMINA!O264</f>
        <v>Entrenador Deportivo II</v>
      </c>
      <c r="O285" s="1107">
        <f>ROUND(NOMINA!W264,2)</f>
        <v>75</v>
      </c>
      <c r="P285" s="1107">
        <f>NOMINA!AF264</f>
        <v>2.25</v>
      </c>
      <c r="Q285" s="1107">
        <f>NOMINA!AH264</f>
        <v>65</v>
      </c>
      <c r="R285" s="1107">
        <f>NOMINA!AC264</f>
        <v>25</v>
      </c>
      <c r="S285" s="1107">
        <f>NOMINA!AJ264</f>
        <v>0</v>
      </c>
      <c r="T285" s="1108">
        <f t="shared" si="29"/>
        <v>134.57999999999998</v>
      </c>
      <c r="U285" s="1107">
        <f>ROUND(NOMINA!BL264,2)</f>
        <v>14.28</v>
      </c>
      <c r="V285" s="1107">
        <f>ROUND(NOMINA!BM264,2)</f>
        <v>1.79</v>
      </c>
      <c r="W285" s="1107">
        <f>ROUND(+NOMINA!BN264,2)</f>
        <v>3.1</v>
      </c>
      <c r="X285" s="1108">
        <f t="shared" si="30"/>
        <v>37.65</v>
      </c>
      <c r="Y285" s="1107">
        <f>ROUND(NOMINA!BJ264,2)</f>
        <v>12.5</v>
      </c>
      <c r="Z285" s="1109">
        <f t="shared" si="27"/>
        <v>148.07999999999998</v>
      </c>
    </row>
    <row r="286" spans="1:26" s="620" customFormat="1" ht="18.95" customHeight="1" thickBot="1" x14ac:dyDescent="0.25">
      <c r="A286" s="758" t="s">
        <v>2846</v>
      </c>
      <c r="B286" s="508">
        <f t="shared" ca="1" si="31"/>
        <v>222</v>
      </c>
      <c r="C286" s="1102">
        <f>+NOMINA!C265</f>
        <v>23254845</v>
      </c>
      <c r="D286" s="1103" t="str">
        <f>+NOMINA!D265</f>
        <v>Castellanos Paredes Luis Gregorio</v>
      </c>
      <c r="E286" s="1468" t="s">
        <v>4622</v>
      </c>
      <c r="F286" s="1704">
        <v>27853</v>
      </c>
      <c r="G286" s="1468" t="s">
        <v>4620</v>
      </c>
      <c r="H286" s="1705">
        <f>+NOMINA!H265</f>
        <v>44332</v>
      </c>
      <c r="I286" s="1105">
        <f>+NOMINA!I265</f>
        <v>4</v>
      </c>
      <c r="J286" s="1106">
        <f>+NOMINA!J265</f>
        <v>0</v>
      </c>
      <c r="K286" s="1105">
        <f t="shared" si="28"/>
        <v>4</v>
      </c>
      <c r="L286" s="1106" t="s">
        <v>4932</v>
      </c>
      <c r="M286" s="1106"/>
      <c r="N286" s="1443" t="str">
        <f>+NOMINA!O265</f>
        <v>Entrenador Deportivo II</v>
      </c>
      <c r="O286" s="1107">
        <f>ROUND(NOMINA!W265,2)</f>
        <v>75</v>
      </c>
      <c r="P286" s="1107">
        <f>NOMINA!AF265</f>
        <v>3</v>
      </c>
      <c r="Q286" s="1107">
        <f>NOMINA!AH265</f>
        <v>65</v>
      </c>
      <c r="R286" s="1107">
        <f>NOMINA!AC265</f>
        <v>0</v>
      </c>
      <c r="S286" s="1107">
        <f>NOMINA!AJ265</f>
        <v>0</v>
      </c>
      <c r="T286" s="1108">
        <f t="shared" si="29"/>
        <v>152.66</v>
      </c>
      <c r="U286" s="1107">
        <f>ROUND(NOMINA!BL265,2)</f>
        <v>13.2</v>
      </c>
      <c r="V286" s="1107">
        <f>ROUND(NOMINA!BM265,2)</f>
        <v>1.65</v>
      </c>
      <c r="W286" s="1107">
        <f>ROUND(+NOMINA!BN265,2)</f>
        <v>2.86</v>
      </c>
      <c r="X286" s="1108">
        <f t="shared" si="30"/>
        <v>23.36</v>
      </c>
      <c r="Y286" s="1107">
        <f>ROUND(NOMINA!BJ265,2)</f>
        <v>12.5</v>
      </c>
      <c r="Z286" s="1109">
        <f t="shared" si="27"/>
        <v>125.28999999999999</v>
      </c>
    </row>
    <row r="287" spans="1:26" s="620" customFormat="1" ht="18.95" customHeight="1" thickBot="1" x14ac:dyDescent="0.25">
      <c r="A287" s="758" t="s">
        <v>2846</v>
      </c>
      <c r="B287" s="508">
        <f t="shared" ca="1" si="31"/>
        <v>223</v>
      </c>
      <c r="C287" s="1102">
        <f>+NOMINA!C266</f>
        <v>23594366</v>
      </c>
      <c r="D287" s="1103" t="str">
        <f>+NOMINA!D266</f>
        <v>Quintero Montilla Merly Paula</v>
      </c>
      <c r="E287" s="1468" t="s">
        <v>4622</v>
      </c>
      <c r="F287" s="1704">
        <v>27853</v>
      </c>
      <c r="G287" s="1468" t="s">
        <v>4620</v>
      </c>
      <c r="H287" s="1705">
        <f>+NOMINA!H266</f>
        <v>45413</v>
      </c>
      <c r="I287" s="1105">
        <f>+NOMINA!I266</f>
        <v>1</v>
      </c>
      <c r="J287" s="1106">
        <f>+NOMINA!J266</f>
        <v>0</v>
      </c>
      <c r="K287" s="1105">
        <f t="shared" si="28"/>
        <v>1</v>
      </c>
      <c r="L287" s="1106" t="s">
        <v>4932</v>
      </c>
      <c r="M287" s="1106"/>
      <c r="N287" s="1443" t="str">
        <f>+NOMINA!O266</f>
        <v>Tutor Facilitador I</v>
      </c>
      <c r="O287" s="1107">
        <f>ROUND(NOMINA!W266,2)</f>
        <v>123</v>
      </c>
      <c r="P287" s="1107">
        <f>NOMINA!AF266</f>
        <v>1.23</v>
      </c>
      <c r="Q287" s="1107">
        <f>NOMINA!AH266</f>
        <v>65</v>
      </c>
      <c r="R287" s="1107">
        <f>NOMINA!AC266</f>
        <v>0</v>
      </c>
      <c r="S287" s="1107">
        <f>NOMINA!AJ266</f>
        <v>47.31</v>
      </c>
      <c r="T287" s="1108">
        <f t="shared" si="29"/>
        <v>79.75</v>
      </c>
      <c r="U287" s="1107">
        <f>ROUND(NOMINA!BL266,2)</f>
        <v>21.83</v>
      </c>
      <c r="V287" s="1107">
        <f>ROUND(NOMINA!BM266,2)</f>
        <v>2.73</v>
      </c>
      <c r="W287" s="1107">
        <f>ROUND(+NOMINA!BN266,2)</f>
        <v>4.7300000000000004</v>
      </c>
      <c r="X287" s="1108">
        <f t="shared" si="30"/>
        <v>28.28</v>
      </c>
      <c r="Y287" s="1107">
        <f>ROUND(NOMINA!BJ266,2)</f>
        <v>12.5</v>
      </c>
      <c r="Z287" s="1109">
        <f t="shared" si="27"/>
        <v>207.25000000000003</v>
      </c>
    </row>
    <row r="288" spans="1:26" s="620" customFormat="1" ht="18.95" customHeight="1" thickBot="1" x14ac:dyDescent="0.25">
      <c r="A288" s="758" t="s">
        <v>2846</v>
      </c>
      <c r="B288" s="508">
        <f t="shared" ca="1" si="31"/>
        <v>224</v>
      </c>
      <c r="C288" s="1102">
        <f>+NOMINA!C267</f>
        <v>23775734</v>
      </c>
      <c r="D288" s="1103" t="str">
        <f>+NOMINA!D267</f>
        <v>Gonzalez Torres Klerwin Alfonso</v>
      </c>
      <c r="E288" s="1468" t="s">
        <v>4622</v>
      </c>
      <c r="F288" s="1704">
        <v>27853</v>
      </c>
      <c r="G288" s="1468" t="s">
        <v>4620</v>
      </c>
      <c r="H288" s="1705">
        <f>+NOMINA!H267</f>
        <v>45627</v>
      </c>
      <c r="I288" s="1105">
        <f>+NOMINA!I267</f>
        <v>0</v>
      </c>
      <c r="J288" s="1106">
        <f>+NOMINA!J267</f>
        <v>5</v>
      </c>
      <c r="K288" s="1105">
        <f t="shared" si="28"/>
        <v>5</v>
      </c>
      <c r="L288" s="1106" t="s">
        <v>4932</v>
      </c>
      <c r="M288" s="1106"/>
      <c r="N288" s="1443" t="str">
        <f>+NOMINA!O267</f>
        <v>Guia de Centro I</v>
      </c>
      <c r="O288" s="1107">
        <f>ROUND(NOMINA!W267,2)</f>
        <v>65</v>
      </c>
      <c r="P288" s="1107">
        <f>NOMINA!AF267</f>
        <v>3.25</v>
      </c>
      <c r="Q288" s="1107">
        <f>NOMINA!AH267</f>
        <v>65</v>
      </c>
      <c r="R288" s="1107">
        <f>NOMINA!AC267</f>
        <v>12.5</v>
      </c>
      <c r="S288" s="1107">
        <f>NOMINA!AJ267</f>
        <v>0</v>
      </c>
      <c r="T288" s="1108">
        <f t="shared" si="29"/>
        <v>117.60000000000001</v>
      </c>
      <c r="U288" s="1107">
        <f>ROUND(NOMINA!BL267,2)</f>
        <v>16.739999999999998</v>
      </c>
      <c r="V288" s="1107">
        <f>ROUND(NOMINA!BM267,2)</f>
        <v>2.09</v>
      </c>
      <c r="W288" s="1107">
        <f>ROUND(+NOMINA!BN267,2)</f>
        <v>3.63</v>
      </c>
      <c r="X288" s="1108">
        <f t="shared" si="30"/>
        <v>28.36</v>
      </c>
      <c r="Y288" s="1107">
        <f>ROUND(NOMINA!BJ267,2)</f>
        <v>12.5</v>
      </c>
      <c r="Z288" s="1109">
        <f t="shared" si="27"/>
        <v>123.29</v>
      </c>
    </row>
    <row r="289" spans="1:26" s="620" customFormat="1" ht="18.95" customHeight="1" thickBot="1" x14ac:dyDescent="0.25">
      <c r="A289" s="758" t="s">
        <v>2846</v>
      </c>
      <c r="B289" s="508">
        <f t="shared" ca="1" si="31"/>
        <v>225</v>
      </c>
      <c r="C289" s="1102">
        <f>+NOMINA!C268</f>
        <v>24565372</v>
      </c>
      <c r="D289" s="1103" t="str">
        <f>+NOMINA!D268</f>
        <v>Moreno Silva Alfredy Jose</v>
      </c>
      <c r="E289" s="1468" t="s">
        <v>4622</v>
      </c>
      <c r="F289" s="1704">
        <v>27853</v>
      </c>
      <c r="G289" s="1468" t="s">
        <v>4620</v>
      </c>
      <c r="H289" s="1705">
        <f>+NOMINA!H268</f>
        <v>40360</v>
      </c>
      <c r="I289" s="1105">
        <f>+NOMINA!I268</f>
        <v>15</v>
      </c>
      <c r="J289" s="1106">
        <f>+NOMINA!J268</f>
        <v>0</v>
      </c>
      <c r="K289" s="1105">
        <f t="shared" si="28"/>
        <v>15</v>
      </c>
      <c r="L289" s="1106" t="s">
        <v>4932</v>
      </c>
      <c r="M289" s="1106"/>
      <c r="N289" s="1443" t="str">
        <f>+NOMINA!O268</f>
        <v>Asistente de Relaciones Publicas</v>
      </c>
      <c r="O289" s="1107">
        <f>ROUND(NOMINA!W268,2)</f>
        <v>0</v>
      </c>
      <c r="P289" s="1107">
        <f>NOMINA!AF268</f>
        <v>0</v>
      </c>
      <c r="Q289" s="1107">
        <f>NOMINA!AH268</f>
        <v>0</v>
      </c>
      <c r="R289" s="1107">
        <f>NOMINA!AC268</f>
        <v>0</v>
      </c>
      <c r="S289" s="1107">
        <f>NOMINA!AJ268</f>
        <v>0</v>
      </c>
      <c r="T289" s="1108">
        <f t="shared" si="29"/>
        <v>133.38</v>
      </c>
      <c r="U289" s="1107">
        <f>ROUND(NOMINA!BL268,2)</f>
        <v>0</v>
      </c>
      <c r="V289" s="1107">
        <f>ROUND(NOMINA!BM268,2)</f>
        <v>0</v>
      </c>
      <c r="W289" s="1107">
        <f>ROUND(+NOMINA!BN268,2)</f>
        <v>0</v>
      </c>
      <c r="X289" s="1108">
        <f t="shared" si="30"/>
        <v>33.119999999999997</v>
      </c>
      <c r="Y289" s="1107">
        <f>ROUND(NOMINA!BJ268,2)</f>
        <v>0</v>
      </c>
      <c r="Z289" s="1109">
        <f t="shared" si="27"/>
        <v>0</v>
      </c>
    </row>
    <row r="290" spans="1:26" s="620" customFormat="1" ht="18.95" customHeight="1" thickBot="1" x14ac:dyDescent="0.25">
      <c r="A290" s="758" t="s">
        <v>2846</v>
      </c>
      <c r="B290" s="508">
        <f t="shared" ca="1" si="31"/>
        <v>226</v>
      </c>
      <c r="C290" s="1102">
        <f>+NOMINA!C269</f>
        <v>25006139</v>
      </c>
      <c r="D290" s="1103" t="str">
        <f>+NOMINA!D269</f>
        <v>Ramirez Palomares Carmen Beatriz</v>
      </c>
      <c r="E290" s="1468" t="s">
        <v>4622</v>
      </c>
      <c r="F290" s="1704">
        <v>27853</v>
      </c>
      <c r="G290" s="1468" t="s">
        <v>4620</v>
      </c>
      <c r="H290" s="1705">
        <f>+NOMINA!H269</f>
        <v>43512</v>
      </c>
      <c r="I290" s="1105">
        <f>+NOMINA!I269</f>
        <v>6</v>
      </c>
      <c r="J290" s="1106">
        <f>+NOMINA!J269</f>
        <v>0</v>
      </c>
      <c r="K290" s="1105">
        <f t="shared" si="28"/>
        <v>6</v>
      </c>
      <c r="L290" s="1106" t="s">
        <v>4932</v>
      </c>
      <c r="M290" s="1106"/>
      <c r="N290" s="1443" t="str">
        <f>+NOMINA!O269</f>
        <v>Guia de Centro I</v>
      </c>
      <c r="O290" s="1107">
        <f>ROUND(NOMINA!W269,2)</f>
        <v>85</v>
      </c>
      <c r="P290" s="1107">
        <f>NOMINA!AF269</f>
        <v>5.27</v>
      </c>
      <c r="Q290" s="1107">
        <f>NOMINA!AH269</f>
        <v>65</v>
      </c>
      <c r="R290" s="1107">
        <f>NOMINA!AC269</f>
        <v>25</v>
      </c>
      <c r="S290" s="1107">
        <f>NOMINA!AJ269</f>
        <v>0</v>
      </c>
      <c r="T290" s="1108">
        <f t="shared" si="29"/>
        <v>112</v>
      </c>
      <c r="U290" s="1107">
        <f>ROUND(NOMINA!BL269,2)</f>
        <v>20.13</v>
      </c>
      <c r="V290" s="1107">
        <f>ROUND(NOMINA!BM269,2)</f>
        <v>2.52</v>
      </c>
      <c r="W290" s="1107">
        <f>ROUND(+NOMINA!BN269,2)</f>
        <v>4.3600000000000003</v>
      </c>
      <c r="X290" s="1108">
        <f t="shared" si="30"/>
        <v>0</v>
      </c>
      <c r="Y290" s="1107">
        <f>ROUND(NOMINA!BJ269,2)</f>
        <v>12.5</v>
      </c>
      <c r="Z290" s="1109">
        <f t="shared" si="27"/>
        <v>153.26</v>
      </c>
    </row>
    <row r="291" spans="1:26" s="620" customFormat="1" ht="18.95" customHeight="1" thickBot="1" x14ac:dyDescent="0.25">
      <c r="A291" s="758" t="s">
        <v>2846</v>
      </c>
      <c r="B291" s="508">
        <f t="shared" ca="1" si="31"/>
        <v>227</v>
      </c>
      <c r="C291" s="1102">
        <f>+NOMINA!C270</f>
        <v>25006878</v>
      </c>
      <c r="D291" s="1103" t="str">
        <f>+NOMINA!D270</f>
        <v>Fernandez Garcia Rafael Ramon</v>
      </c>
      <c r="E291" s="1468" t="s">
        <v>4622</v>
      </c>
      <c r="F291" s="1704">
        <v>27853</v>
      </c>
      <c r="G291" s="1468" t="s">
        <v>4620</v>
      </c>
      <c r="H291" s="1705">
        <f>+NOMINA!H270</f>
        <v>44986</v>
      </c>
      <c r="I291" s="1105">
        <f>+NOMINA!I270</f>
        <v>2</v>
      </c>
      <c r="J291" s="1106">
        <f>+NOMINA!J270</f>
        <v>7</v>
      </c>
      <c r="K291" s="1105">
        <f t="shared" si="28"/>
        <v>9</v>
      </c>
      <c r="L291" s="1106" t="s">
        <v>4932</v>
      </c>
      <c r="M291" s="1106"/>
      <c r="N291" s="1443" t="str">
        <f>+NOMINA!O270</f>
        <v>Guia de Centro I</v>
      </c>
      <c r="O291" s="1107">
        <f>ROUND(NOMINA!W270,2)</f>
        <v>86</v>
      </c>
      <c r="P291" s="1107">
        <f>NOMINA!AF270</f>
        <v>8.43</v>
      </c>
      <c r="Q291" s="1107">
        <f>NOMINA!AH270</f>
        <v>65</v>
      </c>
      <c r="R291" s="1107">
        <f>NOMINA!AC270</f>
        <v>12.5</v>
      </c>
      <c r="S291" s="1107">
        <f>NOMINA!AJ270</f>
        <v>0</v>
      </c>
      <c r="T291" s="1108">
        <f t="shared" si="29"/>
        <v>134.57999999999998</v>
      </c>
      <c r="U291" s="1107">
        <f>ROUND(NOMINA!BL270,2)</f>
        <v>19.88</v>
      </c>
      <c r="V291" s="1107">
        <f>ROUND(NOMINA!BM270,2)</f>
        <v>2.4900000000000002</v>
      </c>
      <c r="W291" s="1107">
        <f>ROUND(+NOMINA!BN270,2)</f>
        <v>4.3099999999999996</v>
      </c>
      <c r="X291" s="1108">
        <f t="shared" si="30"/>
        <v>32.78</v>
      </c>
      <c r="Y291" s="1107">
        <f>ROUND(NOMINA!BJ270,2)</f>
        <v>12.5</v>
      </c>
      <c r="Z291" s="1109">
        <f t="shared" si="27"/>
        <v>145.25</v>
      </c>
    </row>
    <row r="292" spans="1:26" s="620" customFormat="1" ht="18.95" customHeight="1" thickBot="1" x14ac:dyDescent="0.25">
      <c r="A292" s="758" t="s">
        <v>2846</v>
      </c>
      <c r="B292" s="508">
        <f t="shared" ca="1" si="31"/>
        <v>228</v>
      </c>
      <c r="C292" s="1102">
        <f>+NOMINA!C271</f>
        <v>25096069</v>
      </c>
      <c r="D292" s="1103" t="str">
        <f>+NOMINA!D271</f>
        <v>Coello Diaz Yormileidys del Carmen</v>
      </c>
      <c r="E292" s="1468" t="s">
        <v>4622</v>
      </c>
      <c r="F292" s="1704">
        <v>27853</v>
      </c>
      <c r="G292" s="1468" t="s">
        <v>4620</v>
      </c>
      <c r="H292" s="1705">
        <f>+NOMINA!H271</f>
        <v>44599</v>
      </c>
      <c r="I292" s="1105">
        <f>+NOMINA!I271</f>
        <v>3</v>
      </c>
      <c r="J292" s="1106">
        <f>+NOMINA!J271</f>
        <v>0</v>
      </c>
      <c r="K292" s="1105">
        <f t="shared" si="28"/>
        <v>3</v>
      </c>
      <c r="L292" s="1106" t="s">
        <v>4932</v>
      </c>
      <c r="M292" s="1106"/>
      <c r="N292" s="1443" t="str">
        <f>+NOMINA!O271</f>
        <v>Guia de Centro I</v>
      </c>
      <c r="O292" s="1107">
        <f>ROUND(NOMINA!W271,2)</f>
        <v>109.5</v>
      </c>
      <c r="P292" s="1107">
        <f>NOMINA!AF271</f>
        <v>3.29</v>
      </c>
      <c r="Q292" s="1107">
        <f>NOMINA!AH271</f>
        <v>65</v>
      </c>
      <c r="R292" s="1107">
        <f>NOMINA!AC271</f>
        <v>12.5</v>
      </c>
      <c r="S292" s="1107">
        <f>NOMINA!AJ271</f>
        <v>46.01</v>
      </c>
      <c r="T292" s="1108">
        <f t="shared" si="29"/>
        <v>135.82</v>
      </c>
      <c r="U292" s="1107">
        <f>ROUND(NOMINA!BL271,2)</f>
        <v>27.61</v>
      </c>
      <c r="V292" s="1107">
        <f>ROUND(NOMINA!BM271,2)</f>
        <v>3.45</v>
      </c>
      <c r="W292" s="1107">
        <f>ROUND(+NOMINA!BN271,2)</f>
        <v>5.98</v>
      </c>
      <c r="X292" s="1108">
        <f t="shared" si="30"/>
        <v>32.15</v>
      </c>
      <c r="Y292" s="1107">
        <f>ROUND(NOMINA!BJ271,2)</f>
        <v>12.5</v>
      </c>
      <c r="Z292" s="1109">
        <f t="shared" si="27"/>
        <v>199.26000000000002</v>
      </c>
    </row>
    <row r="293" spans="1:26" s="620" customFormat="1" ht="18.95" customHeight="1" thickBot="1" x14ac:dyDescent="0.25">
      <c r="A293" s="758" t="s">
        <v>2846</v>
      </c>
      <c r="B293" s="508">
        <f t="shared" ca="1" si="31"/>
        <v>229</v>
      </c>
      <c r="C293" s="1102">
        <f>+NOMINA!C272</f>
        <v>25173983</v>
      </c>
      <c r="D293" s="1103" t="str">
        <f>+NOMINA!D272</f>
        <v>Guanda Barazarte Roxely Andreina</v>
      </c>
      <c r="E293" s="1468" t="s">
        <v>4622</v>
      </c>
      <c r="F293" s="1704">
        <v>27853</v>
      </c>
      <c r="G293" s="1468" t="s">
        <v>4620</v>
      </c>
      <c r="H293" s="1705">
        <f>+NOMINA!H272</f>
        <v>44363</v>
      </c>
      <c r="I293" s="1105">
        <f>+NOMINA!I272</f>
        <v>4</v>
      </c>
      <c r="J293" s="1106">
        <f>+NOMINA!J272</f>
        <v>0</v>
      </c>
      <c r="K293" s="1105">
        <f t="shared" si="28"/>
        <v>4</v>
      </c>
      <c r="L293" s="1106" t="s">
        <v>4932</v>
      </c>
      <c r="M293" s="1106"/>
      <c r="N293" s="1443" t="str">
        <f>+NOMINA!O272</f>
        <v>Guia de Centro I</v>
      </c>
      <c r="O293" s="1107">
        <f>ROUND(NOMINA!W272,2)</f>
        <v>75</v>
      </c>
      <c r="P293" s="1107">
        <f>NOMINA!AF272</f>
        <v>3</v>
      </c>
      <c r="Q293" s="1107">
        <f>NOMINA!AH272</f>
        <v>65</v>
      </c>
      <c r="R293" s="1107">
        <f>NOMINA!AC272</f>
        <v>12.5</v>
      </c>
      <c r="S293" s="1107">
        <f>NOMINA!AJ272</f>
        <v>0</v>
      </c>
      <c r="T293" s="1108">
        <f t="shared" si="29"/>
        <v>92.6</v>
      </c>
      <c r="U293" s="1107">
        <f>ROUND(NOMINA!BL272,2)</f>
        <v>13.78</v>
      </c>
      <c r="V293" s="1107">
        <f>ROUND(NOMINA!BM272,2)</f>
        <v>1.72</v>
      </c>
      <c r="W293" s="1107">
        <f>ROUND(+NOMINA!BN272,2)</f>
        <v>2.99</v>
      </c>
      <c r="X293" s="1108">
        <f t="shared" si="30"/>
        <v>17.71</v>
      </c>
      <c r="Y293" s="1107">
        <f>ROUND(NOMINA!BJ272,2)</f>
        <v>12.5</v>
      </c>
      <c r="Z293" s="1109">
        <f t="shared" si="27"/>
        <v>137.01</v>
      </c>
    </row>
    <row r="294" spans="1:26" s="620" customFormat="1" ht="18.95" customHeight="1" thickBot="1" x14ac:dyDescent="0.25">
      <c r="A294" s="758" t="s">
        <v>2846</v>
      </c>
      <c r="B294" s="508">
        <f t="shared" ca="1" si="31"/>
        <v>230</v>
      </c>
      <c r="C294" s="1102">
        <f>+NOMINA!C273</f>
        <v>25303390</v>
      </c>
      <c r="D294" s="1103" t="str">
        <f>+NOMINA!D273</f>
        <v>Graterol Castillo Yoselyn Zunedy</v>
      </c>
      <c r="E294" s="1468" t="s">
        <v>4622</v>
      </c>
      <c r="F294" s="1704">
        <v>27853</v>
      </c>
      <c r="G294" s="1468" t="s">
        <v>4620</v>
      </c>
      <c r="H294" s="1705">
        <f>+NOMINA!H273</f>
        <v>43862</v>
      </c>
      <c r="I294" s="1105">
        <f>+NOMINA!I273</f>
        <v>5</v>
      </c>
      <c r="J294" s="1106">
        <f>+NOMINA!J273</f>
        <v>0</v>
      </c>
      <c r="K294" s="1105">
        <f t="shared" si="28"/>
        <v>5</v>
      </c>
      <c r="L294" s="1106" t="s">
        <v>4932</v>
      </c>
      <c r="M294" s="1106"/>
      <c r="N294" s="1443" t="str">
        <f>+NOMINA!O273</f>
        <v>Guia de Centro I</v>
      </c>
      <c r="O294" s="1107">
        <f>ROUND(NOMINA!W273,2)</f>
        <v>75</v>
      </c>
      <c r="P294" s="1107">
        <f>NOMINA!AF273</f>
        <v>3.75</v>
      </c>
      <c r="Q294" s="1107">
        <f>NOMINA!AH273</f>
        <v>65</v>
      </c>
      <c r="R294" s="1107">
        <f>NOMINA!AC273</f>
        <v>25</v>
      </c>
      <c r="S294" s="1107">
        <f>NOMINA!AJ273</f>
        <v>0</v>
      </c>
      <c r="T294" s="1108">
        <f t="shared" si="29"/>
        <v>131.35000000000002</v>
      </c>
      <c r="U294" s="1107">
        <f>ROUND(NOMINA!BL273,2)</f>
        <v>18.75</v>
      </c>
      <c r="V294" s="1107">
        <f>ROUND(NOMINA!BM273,2)</f>
        <v>2.34</v>
      </c>
      <c r="W294" s="1107">
        <f>ROUND(+NOMINA!BN273,2)</f>
        <v>4.0599999999999996</v>
      </c>
      <c r="X294" s="1108">
        <f t="shared" si="30"/>
        <v>0</v>
      </c>
      <c r="Y294" s="1107">
        <f>ROUND(NOMINA!BJ273,2)</f>
        <v>12.5</v>
      </c>
      <c r="Z294" s="1109">
        <f t="shared" si="27"/>
        <v>143.6</v>
      </c>
    </row>
    <row r="295" spans="1:26" s="620" customFormat="1" ht="18.95" customHeight="1" thickBot="1" x14ac:dyDescent="0.25">
      <c r="A295" s="758" t="s">
        <v>2846</v>
      </c>
      <c r="B295" s="508">
        <f t="shared" ca="1" si="31"/>
        <v>231</v>
      </c>
      <c r="C295" s="1102">
        <f>+NOMINA!C274</f>
        <v>25454143</v>
      </c>
      <c r="D295" s="1103" t="str">
        <f>+NOMINA!D274</f>
        <v>Briceño Ana Beatriz</v>
      </c>
      <c r="E295" s="1468" t="s">
        <v>4622</v>
      </c>
      <c r="F295" s="1704">
        <v>27853</v>
      </c>
      <c r="G295" s="1468" t="s">
        <v>4620</v>
      </c>
      <c r="H295" s="1705">
        <f>+NOMINA!H274</f>
        <v>45536</v>
      </c>
      <c r="I295" s="1105">
        <f>+NOMINA!I274</f>
        <v>1</v>
      </c>
      <c r="J295" s="1106">
        <f>+NOMINA!J274</f>
        <v>0</v>
      </c>
      <c r="K295" s="1105">
        <f t="shared" si="28"/>
        <v>1</v>
      </c>
      <c r="L295" s="1106" t="s">
        <v>4932</v>
      </c>
      <c r="M295" s="1106"/>
      <c r="N295" s="1443" t="str">
        <f>+NOMINA!O274</f>
        <v>Guia de Centro I</v>
      </c>
      <c r="O295" s="1107">
        <f>ROUND(NOMINA!W274,2)</f>
        <v>65</v>
      </c>
      <c r="P295" s="1107">
        <f>NOMINA!AF274</f>
        <v>0.65</v>
      </c>
      <c r="Q295" s="1107">
        <f>NOMINA!AH274</f>
        <v>65</v>
      </c>
      <c r="R295" s="1107">
        <f>NOMINA!AC274</f>
        <v>12.5</v>
      </c>
      <c r="S295" s="1107">
        <f>NOMINA!AJ274</f>
        <v>0</v>
      </c>
      <c r="T295" s="1108">
        <f t="shared" si="29"/>
        <v>102</v>
      </c>
      <c r="U295" s="1107">
        <f>ROUND(NOMINA!BL274,2)</f>
        <v>16.43</v>
      </c>
      <c r="V295" s="1107">
        <f>ROUND(NOMINA!BM274,2)</f>
        <v>2.0499999999999998</v>
      </c>
      <c r="W295" s="1107">
        <f>ROUND(+NOMINA!BN274,2)</f>
        <v>3.56</v>
      </c>
      <c r="X295" s="1108">
        <f t="shared" si="30"/>
        <v>25.03</v>
      </c>
      <c r="Y295" s="1107">
        <f>ROUND(NOMINA!BJ274,2)</f>
        <v>12.5</v>
      </c>
      <c r="Z295" s="1109">
        <f t="shared" si="27"/>
        <v>121.11000000000001</v>
      </c>
    </row>
    <row r="296" spans="1:26" s="620" customFormat="1" ht="18.95" customHeight="1" thickBot="1" x14ac:dyDescent="0.25">
      <c r="A296" s="758" t="s">
        <v>2846</v>
      </c>
      <c r="B296" s="508">
        <f t="shared" ca="1" si="31"/>
        <v>232</v>
      </c>
      <c r="C296" s="1102">
        <f>+NOMINA!C275</f>
        <v>25604733</v>
      </c>
      <c r="D296" s="1103" t="str">
        <f>+NOMINA!D275</f>
        <v>Nava Carrillo Oriana Daniela</v>
      </c>
      <c r="E296" s="1468" t="s">
        <v>4622</v>
      </c>
      <c r="F296" s="1704">
        <v>27853</v>
      </c>
      <c r="G296" s="1468" t="s">
        <v>4620</v>
      </c>
      <c r="H296" s="1705">
        <f>+NOMINA!H275</f>
        <v>43754</v>
      </c>
      <c r="I296" s="1105">
        <f>+NOMINA!I275</f>
        <v>5</v>
      </c>
      <c r="J296" s="1106">
        <f>+NOMINA!J275</f>
        <v>0</v>
      </c>
      <c r="K296" s="1105">
        <f t="shared" si="28"/>
        <v>5</v>
      </c>
      <c r="L296" s="1106" t="s">
        <v>4932</v>
      </c>
      <c r="M296" s="1106"/>
      <c r="N296" s="1443" t="str">
        <f>+NOMINA!O275</f>
        <v>Entrenador Deportivo II</v>
      </c>
      <c r="O296" s="1107">
        <f>ROUND(NOMINA!W275,2)</f>
        <v>75</v>
      </c>
      <c r="P296" s="1107">
        <f>NOMINA!AF275</f>
        <v>3.75</v>
      </c>
      <c r="Q296" s="1107">
        <f>NOMINA!AH275</f>
        <v>65</v>
      </c>
      <c r="R296" s="1107">
        <f>NOMINA!AC275</f>
        <v>0</v>
      </c>
      <c r="S296" s="1107">
        <f>NOMINA!AJ275</f>
        <v>0</v>
      </c>
      <c r="T296" s="1108">
        <f t="shared" si="29"/>
        <v>135.13999999999999</v>
      </c>
      <c r="U296" s="1107">
        <f>ROUND(NOMINA!BL275,2)</f>
        <v>13.27</v>
      </c>
      <c r="V296" s="1107">
        <f>ROUND(NOMINA!BM275,2)</f>
        <v>1.66</v>
      </c>
      <c r="W296" s="1107">
        <f>ROUND(+NOMINA!BN275,2)</f>
        <v>2.88</v>
      </c>
      <c r="X296" s="1108">
        <f t="shared" si="30"/>
        <v>20.93</v>
      </c>
      <c r="Y296" s="1107">
        <f>ROUND(NOMINA!BJ275,2)</f>
        <v>12.5</v>
      </c>
      <c r="Z296" s="1109">
        <f t="shared" si="27"/>
        <v>125.94</v>
      </c>
    </row>
    <row r="297" spans="1:26" s="620" customFormat="1" ht="18.95" customHeight="1" thickBot="1" x14ac:dyDescent="0.25">
      <c r="A297" s="758" t="s">
        <v>2846</v>
      </c>
      <c r="B297" s="508">
        <f t="shared" ca="1" si="31"/>
        <v>233</v>
      </c>
      <c r="C297" s="1102">
        <f>+NOMINA!C276</f>
        <v>25619540</v>
      </c>
      <c r="D297" s="1103" t="str">
        <f>+NOMINA!D276</f>
        <v>Balza Vetencourt Maria Gabriela</v>
      </c>
      <c r="E297" s="1468" t="s">
        <v>4622</v>
      </c>
      <c r="F297" s="1704">
        <v>27853</v>
      </c>
      <c r="G297" s="1468" t="s">
        <v>4620</v>
      </c>
      <c r="H297" s="1705">
        <f>+NOMINA!H276</f>
        <v>44743</v>
      </c>
      <c r="I297" s="1105">
        <f>+NOMINA!I276</f>
        <v>3</v>
      </c>
      <c r="J297" s="1106">
        <f>+NOMINA!J276</f>
        <v>0</v>
      </c>
      <c r="K297" s="1105">
        <f t="shared" si="28"/>
        <v>3</v>
      </c>
      <c r="L297" s="1106" t="s">
        <v>4932</v>
      </c>
      <c r="M297" s="1106"/>
      <c r="N297" s="1443" t="str">
        <f>+NOMINA!O276</f>
        <v>Guia de Centro I</v>
      </c>
      <c r="O297" s="1107">
        <f>ROUND(NOMINA!W276,2)</f>
        <v>75</v>
      </c>
      <c r="P297" s="1107">
        <f>NOMINA!AF276</f>
        <v>2.25</v>
      </c>
      <c r="Q297" s="1107">
        <f>NOMINA!AH276</f>
        <v>65</v>
      </c>
      <c r="R297" s="1107">
        <f>NOMINA!AC276</f>
        <v>25</v>
      </c>
      <c r="S297" s="1107">
        <f>NOMINA!AJ276</f>
        <v>0</v>
      </c>
      <c r="T297" s="1108">
        <f t="shared" si="29"/>
        <v>0</v>
      </c>
      <c r="U297" s="1107">
        <f>ROUND(NOMINA!BL276,2)</f>
        <v>18.57</v>
      </c>
      <c r="V297" s="1107">
        <f>ROUND(NOMINA!BM276,2)</f>
        <v>2.3199999999999998</v>
      </c>
      <c r="W297" s="1107">
        <f>ROUND(+NOMINA!BN276,2)</f>
        <v>4.0199999999999996</v>
      </c>
      <c r="X297" s="1108">
        <f t="shared" si="30"/>
        <v>20.93</v>
      </c>
      <c r="Y297" s="1107">
        <f>ROUND(NOMINA!BJ276,2)</f>
        <v>12.5</v>
      </c>
      <c r="Z297" s="1109">
        <f t="shared" si="27"/>
        <v>142.34</v>
      </c>
    </row>
    <row r="298" spans="1:26" s="620" customFormat="1" ht="18.95" customHeight="1" thickBot="1" x14ac:dyDescent="0.25">
      <c r="A298" s="758" t="s">
        <v>2846</v>
      </c>
      <c r="B298" s="508">
        <f t="shared" ca="1" si="31"/>
        <v>234</v>
      </c>
      <c r="C298" s="1102">
        <f>+NOMINA!C277</f>
        <v>26094609</v>
      </c>
      <c r="D298" s="1103" t="str">
        <f>+NOMINA!D277</f>
        <v>Andara Moreno Marielena Nathaly</v>
      </c>
      <c r="E298" s="1468" t="s">
        <v>4622</v>
      </c>
      <c r="F298" s="1704">
        <v>27853</v>
      </c>
      <c r="G298" s="1468" t="s">
        <v>4620</v>
      </c>
      <c r="H298" s="1705">
        <f>+NOMINA!H277</f>
        <v>44713</v>
      </c>
      <c r="I298" s="1105">
        <f>+NOMINA!I277</f>
        <v>3</v>
      </c>
      <c r="J298" s="1106">
        <f>+NOMINA!J277</f>
        <v>0</v>
      </c>
      <c r="K298" s="1105">
        <f t="shared" si="28"/>
        <v>3</v>
      </c>
      <c r="L298" s="1106" t="s">
        <v>4932</v>
      </c>
      <c r="M298" s="1106"/>
      <c r="N298" s="1443" t="str">
        <f>+NOMINA!O277</f>
        <v>Abogado I</v>
      </c>
      <c r="O298" s="1107">
        <f>ROUND(NOMINA!W277,2)</f>
        <v>138.5</v>
      </c>
      <c r="P298" s="1107">
        <f>NOMINA!AF277</f>
        <v>4.16</v>
      </c>
      <c r="Q298" s="1107">
        <f>NOMINA!AH277</f>
        <v>65</v>
      </c>
      <c r="R298" s="1107">
        <f>NOMINA!AC277</f>
        <v>0</v>
      </c>
      <c r="S298" s="1107">
        <f>NOMINA!AJ277</f>
        <v>51.92</v>
      </c>
      <c r="T298" s="1108">
        <f t="shared" si="29"/>
        <v>107.65</v>
      </c>
      <c r="U298" s="1107">
        <f>ROUND(NOMINA!BL277,2)</f>
        <v>23.96</v>
      </c>
      <c r="V298" s="1107">
        <f>ROUND(NOMINA!BM277,2)</f>
        <v>3</v>
      </c>
      <c r="W298" s="1107">
        <f>ROUND(+NOMINA!BN277,2)</f>
        <v>5.19</v>
      </c>
      <c r="X298" s="1108">
        <f t="shared" si="30"/>
        <v>37.340000000000003</v>
      </c>
      <c r="Y298" s="1107">
        <f>ROUND(NOMINA!BJ277,2)</f>
        <v>12.5</v>
      </c>
      <c r="Z298" s="1109">
        <f t="shared" si="27"/>
        <v>227.42999999999998</v>
      </c>
    </row>
    <row r="299" spans="1:26" s="620" customFormat="1" ht="18.95" customHeight="1" thickBot="1" x14ac:dyDescent="0.25">
      <c r="A299" s="758" t="s">
        <v>2846</v>
      </c>
      <c r="B299" s="508">
        <f t="shared" ca="1" si="31"/>
        <v>235</v>
      </c>
      <c r="C299" s="1102">
        <f>+NOMINA!C278</f>
        <v>26094690</v>
      </c>
      <c r="D299" s="1103" t="str">
        <f>+NOMINA!D278</f>
        <v>Fernandez Romero Numa Manuel</v>
      </c>
      <c r="E299" s="1468" t="s">
        <v>4622</v>
      </c>
      <c r="F299" s="1704">
        <v>27853</v>
      </c>
      <c r="G299" s="1468" t="s">
        <v>4620</v>
      </c>
      <c r="H299" s="1705">
        <f>+NOMINA!H278</f>
        <v>45017</v>
      </c>
      <c r="I299" s="1105">
        <f>+NOMINA!I278</f>
        <v>2</v>
      </c>
      <c r="J299" s="1106">
        <f>+NOMINA!J278</f>
        <v>0</v>
      </c>
      <c r="K299" s="1105">
        <f t="shared" si="28"/>
        <v>2</v>
      </c>
      <c r="L299" s="1106" t="s">
        <v>4932</v>
      </c>
      <c r="M299" s="1106"/>
      <c r="N299" s="1443" t="str">
        <f>+NOMINA!O278</f>
        <v>Guia de Centro I</v>
      </c>
      <c r="O299" s="1107">
        <f>ROUND(NOMINA!W278,2)</f>
        <v>65</v>
      </c>
      <c r="P299" s="1107">
        <f>NOMINA!AF278</f>
        <v>1.3</v>
      </c>
      <c r="Q299" s="1107">
        <f>NOMINA!AH278</f>
        <v>65</v>
      </c>
      <c r="R299" s="1107">
        <f>NOMINA!AC278</f>
        <v>25</v>
      </c>
      <c r="S299" s="1107">
        <f>NOMINA!AJ278</f>
        <v>0</v>
      </c>
      <c r="T299" s="1108">
        <f t="shared" si="29"/>
        <v>121.08</v>
      </c>
      <c r="U299" s="1107">
        <f>ROUND(NOMINA!BL278,2)</f>
        <v>17.260000000000002</v>
      </c>
      <c r="V299" s="1107">
        <f>ROUND(NOMINA!BM278,2)</f>
        <v>2.16</v>
      </c>
      <c r="W299" s="1107">
        <f>ROUND(+NOMINA!BN278,2)</f>
        <v>3.74</v>
      </c>
      <c r="X299" s="1108">
        <f t="shared" si="30"/>
        <v>32.99</v>
      </c>
      <c r="Y299" s="1107">
        <f>ROUND(NOMINA!BJ278,2)</f>
        <v>12.5</v>
      </c>
      <c r="Z299" s="1109">
        <f t="shared" si="27"/>
        <v>133.14000000000001</v>
      </c>
    </row>
    <row r="300" spans="1:26" s="620" customFormat="1" ht="18.95" customHeight="1" thickBot="1" x14ac:dyDescent="0.25">
      <c r="A300" s="758"/>
      <c r="B300" s="508">
        <f t="shared" ca="1" si="31"/>
        <v>236</v>
      </c>
      <c r="C300" s="1102">
        <f>+NOMINA!C279</f>
        <v>26114271</v>
      </c>
      <c r="D300" s="1103" t="str">
        <f>+NOMINA!D279</f>
        <v>Moncayo Perez Ruddy Bellaliz</v>
      </c>
      <c r="E300" s="1468" t="s">
        <v>4622</v>
      </c>
      <c r="F300" s="1704">
        <v>27853</v>
      </c>
      <c r="G300" s="1468" t="s">
        <v>4620</v>
      </c>
      <c r="H300" s="1705">
        <f>+NOMINA!H279</f>
        <v>44636</v>
      </c>
      <c r="I300" s="1105">
        <f>+NOMINA!I279</f>
        <v>3</v>
      </c>
      <c r="J300" s="1106">
        <f>+NOMINA!J279</f>
        <v>0</v>
      </c>
      <c r="K300" s="1105">
        <f t="shared" si="28"/>
        <v>3</v>
      </c>
      <c r="L300" s="1106" t="s">
        <v>4932</v>
      </c>
      <c r="M300" s="1106"/>
      <c r="N300" s="1443" t="str">
        <f>+NOMINA!O279</f>
        <v>Abogado I</v>
      </c>
      <c r="O300" s="1107">
        <f>ROUND(NOMINA!W279,2)</f>
        <v>138.5</v>
      </c>
      <c r="P300" s="1107">
        <f>NOMINA!AF279</f>
        <v>4.16</v>
      </c>
      <c r="Q300" s="1107">
        <f>NOMINA!AH279</f>
        <v>65</v>
      </c>
      <c r="R300" s="1107">
        <f>NOMINA!AC279</f>
        <v>0</v>
      </c>
      <c r="S300" s="1107">
        <f>NOMINA!AJ279</f>
        <v>51.92</v>
      </c>
      <c r="T300" s="1108">
        <f t="shared" si="29"/>
        <v>68</v>
      </c>
      <c r="U300" s="1107">
        <f>ROUND(NOMINA!BL279,2)</f>
        <v>23.96</v>
      </c>
      <c r="V300" s="1107">
        <f>ROUND(NOMINA!BM279,2)</f>
        <v>3</v>
      </c>
      <c r="W300" s="1107">
        <f>ROUND(+NOMINA!BN279,2)</f>
        <v>5.19</v>
      </c>
      <c r="X300" s="1108">
        <f t="shared" si="30"/>
        <v>34.51</v>
      </c>
      <c r="Y300" s="1107">
        <f>ROUND(NOMINA!BJ279,2)</f>
        <v>12.5</v>
      </c>
      <c r="Z300" s="1109">
        <f t="shared" si="27"/>
        <v>227.42999999999998</v>
      </c>
    </row>
    <row r="301" spans="1:26" s="620" customFormat="1" ht="18.95" customHeight="1" thickBot="1" x14ac:dyDescent="0.25">
      <c r="A301" s="758"/>
      <c r="B301" s="508">
        <f t="shared" ca="1" si="31"/>
        <v>237</v>
      </c>
      <c r="C301" s="1102">
        <f>+NOMINA!C280</f>
        <v>26191823</v>
      </c>
      <c r="D301" s="1103" t="str">
        <f>+NOMINA!D280</f>
        <v>Briceño Espinoza Brayhan Jose</v>
      </c>
      <c r="E301" s="1468" t="s">
        <v>4622</v>
      </c>
      <c r="F301" s="1704">
        <v>27853</v>
      </c>
      <c r="G301" s="1468" t="s">
        <v>4620</v>
      </c>
      <c r="H301" s="1705">
        <f>+NOMINA!H280</f>
        <v>44470</v>
      </c>
      <c r="I301" s="1105">
        <f>+NOMINA!I280</f>
        <v>3</v>
      </c>
      <c r="J301" s="1106">
        <f>+NOMINA!J280</f>
        <v>0</v>
      </c>
      <c r="K301" s="1105">
        <f t="shared" si="28"/>
        <v>3</v>
      </c>
      <c r="L301" s="1106" t="s">
        <v>4932</v>
      </c>
      <c r="M301" s="1106"/>
      <c r="N301" s="1443" t="str">
        <f>+NOMINA!O280</f>
        <v>Abogado II</v>
      </c>
      <c r="O301" s="1107">
        <f>ROUND(NOMINA!W280,2)</f>
        <v>138.5</v>
      </c>
      <c r="P301" s="1107">
        <f>NOMINA!AF280</f>
        <v>4.16</v>
      </c>
      <c r="Q301" s="1107">
        <f>NOMINA!AH280</f>
        <v>65</v>
      </c>
      <c r="R301" s="1107">
        <f>NOMINA!AC280</f>
        <v>0</v>
      </c>
      <c r="S301" s="1107">
        <f>NOMINA!AJ280</f>
        <v>51.92</v>
      </c>
      <c r="T301" s="1108">
        <f t="shared" si="29"/>
        <v>0</v>
      </c>
      <c r="U301" s="1107">
        <f>ROUND(NOMINA!BL280,2)</f>
        <v>23.96</v>
      </c>
      <c r="V301" s="1107">
        <f>ROUND(NOMINA!BM280,2)</f>
        <v>3</v>
      </c>
      <c r="W301" s="1107">
        <f>ROUND(+NOMINA!BN280,2)</f>
        <v>5.19</v>
      </c>
      <c r="X301" s="1108">
        <f t="shared" si="30"/>
        <v>19.170000000000002</v>
      </c>
      <c r="Y301" s="1107">
        <f>ROUND(NOMINA!BJ280,2)</f>
        <v>12.5</v>
      </c>
      <c r="Z301" s="1109">
        <f t="shared" si="27"/>
        <v>227.42999999999998</v>
      </c>
    </row>
    <row r="302" spans="1:26" s="620" customFormat="1" ht="18.95" customHeight="1" thickBot="1" x14ac:dyDescent="0.25">
      <c r="A302" s="758"/>
      <c r="B302" s="508">
        <f t="shared" ca="1" si="31"/>
        <v>238</v>
      </c>
      <c r="C302" s="1102">
        <f>+NOMINA!C281</f>
        <v>26235963</v>
      </c>
      <c r="D302" s="1103" t="str">
        <f>+NOMINA!D281</f>
        <v>Segovia Segovia Freylu Margarita</v>
      </c>
      <c r="E302" s="1468" t="s">
        <v>4622</v>
      </c>
      <c r="F302" s="1704">
        <v>27853</v>
      </c>
      <c r="G302" s="1468" t="s">
        <v>4620</v>
      </c>
      <c r="H302" s="1705">
        <f>+NOMINA!H281</f>
        <v>45383</v>
      </c>
      <c r="I302" s="1105">
        <f>+NOMINA!I281</f>
        <v>1</v>
      </c>
      <c r="J302" s="1106">
        <f>+NOMINA!J281</f>
        <v>0</v>
      </c>
      <c r="K302" s="1105">
        <f t="shared" si="28"/>
        <v>1</v>
      </c>
      <c r="L302" s="1106" t="s">
        <v>4932</v>
      </c>
      <c r="M302" s="1106"/>
      <c r="N302" s="1443" t="str">
        <f>+NOMINA!O281</f>
        <v>Psicologo I</v>
      </c>
      <c r="O302" s="1107">
        <f>ROUND(NOMINA!W281,2)</f>
        <v>123</v>
      </c>
      <c r="P302" s="1107">
        <f>NOMINA!AF281</f>
        <v>1.23</v>
      </c>
      <c r="Q302" s="1107">
        <f>NOMINA!AH281</f>
        <v>65</v>
      </c>
      <c r="R302" s="1107">
        <f>NOMINA!AC281</f>
        <v>12.5</v>
      </c>
      <c r="S302" s="1107">
        <f>NOMINA!AJ281</f>
        <v>48.87</v>
      </c>
      <c r="T302" s="1108">
        <f t="shared" si="29"/>
        <v>93</v>
      </c>
      <c r="U302" s="1107">
        <f>ROUND(NOMINA!BL281,2)</f>
        <v>22.56</v>
      </c>
      <c r="V302" s="1107">
        <f>ROUND(NOMINA!BM281,2)</f>
        <v>2.82</v>
      </c>
      <c r="W302" s="1107">
        <f>ROUND(+NOMINA!BN281,2)</f>
        <v>4.8899999999999997</v>
      </c>
      <c r="X302" s="1108">
        <f t="shared" si="30"/>
        <v>17.71</v>
      </c>
      <c r="Y302" s="1107">
        <f>ROUND(NOMINA!BJ281,2)</f>
        <v>12.5</v>
      </c>
      <c r="Z302" s="1109">
        <f t="shared" si="27"/>
        <v>220.33</v>
      </c>
    </row>
    <row r="303" spans="1:26" s="620" customFormat="1" ht="18.95" customHeight="1" thickBot="1" x14ac:dyDescent="0.25">
      <c r="A303" s="758"/>
      <c r="B303" s="508">
        <f t="shared" ca="1" si="31"/>
        <v>239</v>
      </c>
      <c r="C303" s="1102">
        <f>+NOMINA!C282</f>
        <v>26413871</v>
      </c>
      <c r="D303" s="1103" t="str">
        <f>+NOMINA!D282</f>
        <v>Molina Rojas Genesis Angely</v>
      </c>
      <c r="E303" s="1468" t="s">
        <v>4622</v>
      </c>
      <c r="F303" s="1704">
        <v>27853</v>
      </c>
      <c r="G303" s="1468" t="s">
        <v>4620</v>
      </c>
      <c r="H303" s="1705">
        <f>+NOMINA!H282</f>
        <v>44228</v>
      </c>
      <c r="I303" s="1105">
        <f>+NOMINA!I282</f>
        <v>4</v>
      </c>
      <c r="J303" s="1106">
        <f>+NOMINA!J282</f>
        <v>0</v>
      </c>
      <c r="K303" s="1105">
        <f t="shared" si="28"/>
        <v>4</v>
      </c>
      <c r="L303" s="1106" t="s">
        <v>4932</v>
      </c>
      <c r="M303" s="1106"/>
      <c r="N303" s="1443" t="str">
        <f>+NOMINA!O282</f>
        <v>Guia de Centro I</v>
      </c>
      <c r="O303" s="1107">
        <f>ROUND(NOMINA!W282,2)</f>
        <v>75</v>
      </c>
      <c r="P303" s="1107">
        <f>NOMINA!AF282</f>
        <v>3</v>
      </c>
      <c r="Q303" s="1107">
        <f>NOMINA!AH282</f>
        <v>65</v>
      </c>
      <c r="R303" s="1107">
        <f>NOMINA!AC282</f>
        <v>25</v>
      </c>
      <c r="S303" s="1107">
        <f>NOMINA!AJ282</f>
        <v>0</v>
      </c>
      <c r="T303" s="1108">
        <f t="shared" si="29"/>
        <v>65</v>
      </c>
      <c r="U303" s="1107">
        <f>ROUND(NOMINA!BL282,2)</f>
        <v>18.66</v>
      </c>
      <c r="V303" s="1107">
        <f>ROUND(NOMINA!BM282,2)</f>
        <v>2.33</v>
      </c>
      <c r="W303" s="1107">
        <f>ROUND(+NOMINA!BN282,2)</f>
        <v>4.04</v>
      </c>
      <c r="X303" s="1108">
        <f t="shared" si="30"/>
        <v>29.29</v>
      </c>
      <c r="Y303" s="1107">
        <f>ROUND(NOMINA!BJ282,2)</f>
        <v>12.5</v>
      </c>
      <c r="Z303" s="1109">
        <f t="shared" si="27"/>
        <v>142.97</v>
      </c>
    </row>
    <row r="304" spans="1:26" s="620" customFormat="1" ht="18.95" customHeight="1" thickBot="1" x14ac:dyDescent="0.25">
      <c r="A304" s="758"/>
      <c r="B304" s="508">
        <f t="shared" ca="1" si="31"/>
        <v>240</v>
      </c>
      <c r="C304" s="1102">
        <f>+NOMINA!C283</f>
        <v>26591879</v>
      </c>
      <c r="D304" s="1103" t="str">
        <f>+NOMINA!D283</f>
        <v>Delgado Cabezas Rosa Magdalena</v>
      </c>
      <c r="E304" s="1468" t="s">
        <v>4622</v>
      </c>
      <c r="F304" s="1704">
        <v>27853</v>
      </c>
      <c r="G304" s="1468" t="s">
        <v>4620</v>
      </c>
      <c r="H304" s="1705">
        <f>+NOMINA!H283</f>
        <v>43587</v>
      </c>
      <c r="I304" s="1105">
        <f>+NOMINA!I283</f>
        <v>6</v>
      </c>
      <c r="J304" s="1106">
        <f>+NOMINA!J283</f>
        <v>0</v>
      </c>
      <c r="K304" s="1105">
        <f t="shared" si="28"/>
        <v>6</v>
      </c>
      <c r="L304" s="1106" t="s">
        <v>4932</v>
      </c>
      <c r="M304" s="1106"/>
      <c r="N304" s="1443" t="str">
        <f>+NOMINA!O283</f>
        <v>Psicologo II</v>
      </c>
      <c r="O304" s="1107">
        <f>ROUND(NOMINA!W283,2)</f>
        <v>139.5</v>
      </c>
      <c r="P304" s="1107">
        <f>NOMINA!AF283</f>
        <v>8.65</v>
      </c>
      <c r="Q304" s="1107">
        <f>NOMINA!AH283</f>
        <v>65</v>
      </c>
      <c r="R304" s="1107">
        <f>NOMINA!AC283</f>
        <v>12.5</v>
      </c>
      <c r="S304" s="1107">
        <f>NOMINA!AJ283</f>
        <v>54.85</v>
      </c>
      <c r="T304" s="1108">
        <f t="shared" si="29"/>
        <v>65</v>
      </c>
      <c r="U304" s="1107">
        <f>ROUND(NOMINA!BL283,2)</f>
        <v>25.32</v>
      </c>
      <c r="V304" s="1107">
        <f>ROUND(NOMINA!BM283,2)</f>
        <v>3.16</v>
      </c>
      <c r="W304" s="1107">
        <f>ROUND(+NOMINA!BN283,2)</f>
        <v>5.49</v>
      </c>
      <c r="X304" s="1108">
        <f t="shared" si="30"/>
        <v>22.46</v>
      </c>
      <c r="Y304" s="1107">
        <f>ROUND(NOMINA!BJ283,2)</f>
        <v>12.5</v>
      </c>
      <c r="Z304" s="1109">
        <f t="shared" si="27"/>
        <v>246.53</v>
      </c>
    </row>
    <row r="305" spans="1:26" s="620" customFormat="1" ht="18.95" customHeight="1" thickBot="1" x14ac:dyDescent="0.25">
      <c r="A305" s="758"/>
      <c r="B305" s="508">
        <f t="shared" ca="1" si="31"/>
        <v>241</v>
      </c>
      <c r="C305" s="1102">
        <f>+NOMINA!C284</f>
        <v>26690908</v>
      </c>
      <c r="D305" s="1103" t="str">
        <f>+NOMINA!D284</f>
        <v>Segovia Lisbeira del Carmen</v>
      </c>
      <c r="E305" s="1468" t="s">
        <v>4622</v>
      </c>
      <c r="F305" s="1704">
        <v>27853</v>
      </c>
      <c r="G305" s="1468" t="s">
        <v>4620</v>
      </c>
      <c r="H305" s="1705">
        <f>+NOMINA!H284</f>
        <v>44228</v>
      </c>
      <c r="I305" s="1105">
        <f>+NOMINA!I284</f>
        <v>4</v>
      </c>
      <c r="J305" s="1106">
        <f>+NOMINA!J284</f>
        <v>0</v>
      </c>
      <c r="K305" s="1105">
        <f t="shared" si="28"/>
        <v>4</v>
      </c>
      <c r="L305" s="1106" t="s">
        <v>4932</v>
      </c>
      <c r="M305" s="1106"/>
      <c r="N305" s="1443" t="str">
        <f>+NOMINA!O284</f>
        <v>Guia de Centro I</v>
      </c>
      <c r="O305" s="1107">
        <f>ROUND(NOMINA!W284,2)</f>
        <v>75</v>
      </c>
      <c r="P305" s="1107">
        <f>NOMINA!AF284</f>
        <v>3</v>
      </c>
      <c r="Q305" s="1107">
        <f>NOMINA!AH284</f>
        <v>65</v>
      </c>
      <c r="R305" s="1107">
        <f>NOMINA!AC284</f>
        <v>12.5</v>
      </c>
      <c r="S305" s="1107">
        <f>NOMINA!AJ284</f>
        <v>0</v>
      </c>
      <c r="T305" s="1108">
        <f t="shared" si="29"/>
        <v>158.03</v>
      </c>
      <c r="U305" s="1107">
        <f>ROUND(NOMINA!BL284,2)</f>
        <v>17.91</v>
      </c>
      <c r="V305" s="1107">
        <f>ROUND(NOMINA!BM284,2)</f>
        <v>2.2400000000000002</v>
      </c>
      <c r="W305" s="1107">
        <f>ROUND(+NOMINA!BN284,2)</f>
        <v>3.88</v>
      </c>
      <c r="X305" s="1108">
        <f t="shared" si="30"/>
        <v>0</v>
      </c>
      <c r="Y305" s="1107">
        <f>ROUND(NOMINA!BJ284,2)</f>
        <v>12.5</v>
      </c>
      <c r="Z305" s="1109">
        <f t="shared" si="27"/>
        <v>131.47</v>
      </c>
    </row>
    <row r="306" spans="1:26" s="620" customFormat="1" ht="18.95" customHeight="1" thickBot="1" x14ac:dyDescent="0.25">
      <c r="A306" s="758"/>
      <c r="B306" s="508">
        <f t="shared" ca="1" si="31"/>
        <v>242</v>
      </c>
      <c r="C306" s="1102">
        <f>+NOMINA!C285</f>
        <v>26962104</v>
      </c>
      <c r="D306" s="1103" t="str">
        <f>+NOMINA!D285</f>
        <v>Rubio Briceño Diana Carolina</v>
      </c>
      <c r="E306" s="1468" t="s">
        <v>4622</v>
      </c>
      <c r="F306" s="1704">
        <v>27853</v>
      </c>
      <c r="G306" s="1468" t="s">
        <v>4620</v>
      </c>
      <c r="H306" s="1705">
        <f>+NOMINA!H285</f>
        <v>44393</v>
      </c>
      <c r="I306" s="1105">
        <f>+NOMINA!I285</f>
        <v>4</v>
      </c>
      <c r="J306" s="1106">
        <f>+NOMINA!J285</f>
        <v>0</v>
      </c>
      <c r="K306" s="1105">
        <f t="shared" si="28"/>
        <v>4</v>
      </c>
      <c r="L306" s="1106" t="s">
        <v>4932</v>
      </c>
      <c r="M306" s="1106"/>
      <c r="N306" s="1443" t="str">
        <f>+NOMINA!O285</f>
        <v>Asistente Administrativo II</v>
      </c>
      <c r="O306" s="1107">
        <f>ROUND(NOMINA!W285,2)</f>
        <v>75</v>
      </c>
      <c r="P306" s="1107">
        <f>NOMINA!AF285</f>
        <v>3</v>
      </c>
      <c r="Q306" s="1107">
        <f>NOMINA!AH285</f>
        <v>65</v>
      </c>
      <c r="R306" s="1107">
        <f>NOMINA!AC285</f>
        <v>12.5</v>
      </c>
      <c r="S306" s="1107">
        <f>NOMINA!AJ285</f>
        <v>0</v>
      </c>
      <c r="T306" s="1108">
        <f t="shared" si="29"/>
        <v>126.94</v>
      </c>
      <c r="U306" s="1107">
        <f>ROUND(NOMINA!BL285,2)</f>
        <v>13.78</v>
      </c>
      <c r="V306" s="1107">
        <f>ROUND(NOMINA!BM285,2)</f>
        <v>1.72</v>
      </c>
      <c r="W306" s="1107">
        <f>ROUND(+NOMINA!BN285,2)</f>
        <v>2.99</v>
      </c>
      <c r="X306" s="1108">
        <f t="shared" si="30"/>
        <v>27.01</v>
      </c>
      <c r="Y306" s="1107">
        <f>ROUND(NOMINA!BJ285,2)</f>
        <v>12.5</v>
      </c>
      <c r="Z306" s="1109">
        <f t="shared" si="27"/>
        <v>137.01</v>
      </c>
    </row>
    <row r="307" spans="1:26" s="620" customFormat="1" ht="18.95" customHeight="1" thickBot="1" x14ac:dyDescent="0.25">
      <c r="A307" s="758"/>
      <c r="B307" s="508">
        <f t="shared" ca="1" si="31"/>
        <v>243</v>
      </c>
      <c r="C307" s="1102">
        <f>+NOMINA!C286</f>
        <v>27022450</v>
      </c>
      <c r="D307" s="1103" t="str">
        <f>+NOMINA!D286</f>
        <v>Montilla Gonzalez Maria Alexandra</v>
      </c>
      <c r="E307" s="1468" t="s">
        <v>4622</v>
      </c>
      <c r="F307" s="1704">
        <v>27853</v>
      </c>
      <c r="G307" s="1468" t="s">
        <v>4620</v>
      </c>
      <c r="H307" s="1705">
        <f>+NOMINA!H286</f>
        <v>45717</v>
      </c>
      <c r="I307" s="1105">
        <f>+NOMINA!I286</f>
        <v>0</v>
      </c>
      <c r="J307" s="1106">
        <f>+NOMINA!J286</f>
        <v>0</v>
      </c>
      <c r="K307" s="1105">
        <f t="shared" si="28"/>
        <v>0</v>
      </c>
      <c r="L307" s="1106" t="s">
        <v>4932</v>
      </c>
      <c r="M307" s="1106"/>
      <c r="N307" s="1443" t="str">
        <f>+NOMINA!O286</f>
        <v>Tecnico Superior en Trabajo Social I</v>
      </c>
      <c r="O307" s="1107">
        <f>ROUND(NOMINA!W286,2)</f>
        <v>96</v>
      </c>
      <c r="P307" s="1107">
        <f>NOMINA!AF286</f>
        <v>0</v>
      </c>
      <c r="Q307" s="1107">
        <f>NOMINA!AH286</f>
        <v>65</v>
      </c>
      <c r="R307" s="1107">
        <f>NOMINA!AC286</f>
        <v>0</v>
      </c>
      <c r="S307" s="1107">
        <f>NOMINA!AJ286</f>
        <v>32.200000000000003</v>
      </c>
      <c r="T307" s="1108">
        <f t="shared" si="29"/>
        <v>152.66</v>
      </c>
      <c r="U307" s="1107">
        <f>ROUND(NOMINA!BL286,2)</f>
        <v>17.829999999999998</v>
      </c>
      <c r="V307" s="1107">
        <f>ROUND(NOMINA!BM286,2)</f>
        <v>2.23</v>
      </c>
      <c r="W307" s="1107">
        <f>ROUND(+NOMINA!BN286,2)</f>
        <v>3.86</v>
      </c>
      <c r="X307" s="1108">
        <f t="shared" si="30"/>
        <v>26.68</v>
      </c>
      <c r="Y307" s="1107">
        <f>ROUND(NOMINA!BJ286,2)</f>
        <v>12.5</v>
      </c>
      <c r="Z307" s="1109">
        <f t="shared" si="27"/>
        <v>169.28</v>
      </c>
    </row>
    <row r="308" spans="1:26" s="620" customFormat="1" ht="18.95" customHeight="1" thickBot="1" x14ac:dyDescent="0.25">
      <c r="A308" s="758"/>
      <c r="B308" s="508">
        <f t="shared" ca="1" si="31"/>
        <v>244</v>
      </c>
      <c r="C308" s="1102">
        <f>+NOMINA!C287</f>
        <v>27251885</v>
      </c>
      <c r="D308" s="1103" t="str">
        <f>+NOMINA!D287</f>
        <v>Barrozo Godoy Kellem Daniela</v>
      </c>
      <c r="E308" s="1468" t="s">
        <v>4622</v>
      </c>
      <c r="F308" s="1704">
        <v>27853</v>
      </c>
      <c r="G308" s="1468" t="s">
        <v>4620</v>
      </c>
      <c r="H308" s="1705">
        <f>+NOMINA!H287</f>
        <v>45474</v>
      </c>
      <c r="I308" s="1105">
        <f>+NOMINA!I287</f>
        <v>1</v>
      </c>
      <c r="J308" s="1106">
        <f>+NOMINA!J287</f>
        <v>0</v>
      </c>
      <c r="K308" s="1105">
        <f t="shared" si="28"/>
        <v>1</v>
      </c>
      <c r="L308" s="1106" t="s">
        <v>4932</v>
      </c>
      <c r="M308" s="1106"/>
      <c r="N308" s="1443" t="str">
        <f>+NOMINA!O287</f>
        <v>Guia de Centro I</v>
      </c>
      <c r="O308" s="1107">
        <f>ROUND(NOMINA!W287,2)</f>
        <v>65</v>
      </c>
      <c r="P308" s="1107">
        <f>NOMINA!AF287</f>
        <v>0.65</v>
      </c>
      <c r="Q308" s="1107">
        <f>NOMINA!AH287</f>
        <v>65</v>
      </c>
      <c r="R308" s="1107">
        <f>NOMINA!AC287</f>
        <v>12.5</v>
      </c>
      <c r="S308" s="1107">
        <f>NOMINA!AJ287</f>
        <v>0</v>
      </c>
      <c r="T308" s="1108">
        <f t="shared" si="29"/>
        <v>92.25</v>
      </c>
      <c r="U308" s="1107">
        <f>ROUND(NOMINA!BL287,2)</f>
        <v>16.43</v>
      </c>
      <c r="V308" s="1107">
        <f>ROUND(NOMINA!BM287,2)</f>
        <v>2.0499999999999998</v>
      </c>
      <c r="W308" s="1107">
        <f>ROUND(+NOMINA!BN287,2)</f>
        <v>3.56</v>
      </c>
      <c r="X308" s="1108">
        <f t="shared" si="30"/>
        <v>37.04</v>
      </c>
      <c r="Y308" s="1107">
        <f>ROUND(NOMINA!BJ287,2)</f>
        <v>12.5</v>
      </c>
      <c r="Z308" s="1109">
        <f t="shared" si="27"/>
        <v>121.11000000000001</v>
      </c>
    </row>
    <row r="309" spans="1:26" s="620" customFormat="1" ht="18.95" customHeight="1" thickBot="1" x14ac:dyDescent="0.25">
      <c r="A309" s="758"/>
      <c r="B309" s="508">
        <f t="shared" ca="1" si="31"/>
        <v>245</v>
      </c>
      <c r="C309" s="1102">
        <f>+NOMINA!C288</f>
        <v>27251899</v>
      </c>
      <c r="D309" s="1103" t="str">
        <f>+NOMINA!D288</f>
        <v>Perez Gonzalez Maria Ines</v>
      </c>
      <c r="E309" s="1468" t="s">
        <v>4622</v>
      </c>
      <c r="F309" s="1704">
        <v>27853</v>
      </c>
      <c r="G309" s="1468" t="s">
        <v>4620</v>
      </c>
      <c r="H309" s="1705">
        <f>+NOMINA!H288</f>
        <v>45474</v>
      </c>
      <c r="I309" s="1105">
        <f>+NOMINA!I288</f>
        <v>1</v>
      </c>
      <c r="J309" s="1106">
        <f>+NOMINA!J288</f>
        <v>0</v>
      </c>
      <c r="K309" s="1105">
        <f t="shared" si="28"/>
        <v>1</v>
      </c>
      <c r="L309" s="1106" t="s">
        <v>4932</v>
      </c>
      <c r="M309" s="1106"/>
      <c r="N309" s="1443" t="str">
        <f>+NOMINA!O288</f>
        <v>Guia de Centro I</v>
      </c>
      <c r="O309" s="1107">
        <f>ROUND(NOMINA!W288,2)</f>
        <v>65</v>
      </c>
      <c r="P309" s="1107">
        <f>NOMINA!AF288</f>
        <v>0.65</v>
      </c>
      <c r="Q309" s="1107">
        <f>NOMINA!AH288</f>
        <v>65</v>
      </c>
      <c r="R309" s="1107">
        <f>NOMINA!AC288</f>
        <v>12.5</v>
      </c>
      <c r="S309" s="1107">
        <f>NOMINA!AJ288</f>
        <v>0</v>
      </c>
      <c r="T309" s="1108">
        <f t="shared" si="29"/>
        <v>68</v>
      </c>
      <c r="U309" s="1107">
        <f>ROUND(NOMINA!BL288,2)</f>
        <v>16.43</v>
      </c>
      <c r="V309" s="1107">
        <f>ROUND(NOMINA!BM288,2)</f>
        <v>2.0499999999999998</v>
      </c>
      <c r="W309" s="1107">
        <f>ROUND(+NOMINA!BN288,2)</f>
        <v>3.56</v>
      </c>
      <c r="X309" s="1108">
        <f t="shared" si="30"/>
        <v>18.489999999999998</v>
      </c>
      <c r="Y309" s="1107">
        <f>ROUND(NOMINA!BJ288,2)</f>
        <v>12.5</v>
      </c>
      <c r="Z309" s="1109">
        <f t="shared" si="27"/>
        <v>121.11000000000001</v>
      </c>
    </row>
    <row r="310" spans="1:26" s="620" customFormat="1" ht="18.95" customHeight="1" thickBot="1" x14ac:dyDescent="0.25">
      <c r="A310" s="758"/>
      <c r="B310" s="508">
        <f t="shared" ca="1" si="31"/>
        <v>246</v>
      </c>
      <c r="C310" s="1102">
        <f>+NOMINA!C289</f>
        <v>27363633</v>
      </c>
      <c r="D310" s="1103" t="str">
        <f>+NOMINA!D289</f>
        <v>Padilla Blanco Melany Marian</v>
      </c>
      <c r="E310" s="1468" t="s">
        <v>4622</v>
      </c>
      <c r="F310" s="1704">
        <v>27853</v>
      </c>
      <c r="G310" s="1468" t="s">
        <v>4620</v>
      </c>
      <c r="H310" s="1705">
        <f>+NOMINA!H289</f>
        <v>45627</v>
      </c>
      <c r="I310" s="1105">
        <f>+NOMINA!I289</f>
        <v>0</v>
      </c>
      <c r="J310" s="1106">
        <f>+NOMINA!J289</f>
        <v>0</v>
      </c>
      <c r="K310" s="1105">
        <f t="shared" si="28"/>
        <v>0</v>
      </c>
      <c r="L310" s="1106" t="s">
        <v>4932</v>
      </c>
      <c r="M310" s="1106"/>
      <c r="N310" s="1443" t="str">
        <f>+NOMINA!O289</f>
        <v>Guia de Centro I</v>
      </c>
      <c r="O310" s="1107">
        <f>ROUND(NOMINA!W289,2)</f>
        <v>65</v>
      </c>
      <c r="P310" s="1107">
        <f>NOMINA!AF289</f>
        <v>0</v>
      </c>
      <c r="Q310" s="1107">
        <f>NOMINA!AH289</f>
        <v>65</v>
      </c>
      <c r="R310" s="1107">
        <f>NOMINA!AC289</f>
        <v>0</v>
      </c>
      <c r="S310" s="1107">
        <f>NOMINA!AJ289</f>
        <v>0</v>
      </c>
      <c r="T310" s="1108">
        <f t="shared" si="29"/>
        <v>113.54</v>
      </c>
      <c r="U310" s="1107">
        <f>ROUND(NOMINA!BL289,2)</f>
        <v>15.6</v>
      </c>
      <c r="V310" s="1107">
        <f>ROUND(NOMINA!BM289,2)</f>
        <v>1.95</v>
      </c>
      <c r="W310" s="1107">
        <f>ROUND(+NOMINA!BN289,2)</f>
        <v>3.38</v>
      </c>
      <c r="X310" s="1108">
        <f t="shared" si="30"/>
        <v>25.15</v>
      </c>
      <c r="Y310" s="1107">
        <f>ROUND(NOMINA!BJ289,2)</f>
        <v>12.5</v>
      </c>
      <c r="Z310" s="1109">
        <f t="shared" si="27"/>
        <v>109.07</v>
      </c>
    </row>
    <row r="311" spans="1:26" s="620" customFormat="1" ht="18.95" customHeight="1" thickBot="1" x14ac:dyDescent="0.25">
      <c r="A311" s="758"/>
      <c r="B311" s="508">
        <f t="shared" ca="1" si="31"/>
        <v>247</v>
      </c>
      <c r="C311" s="1102">
        <f>+NOMINA!C290</f>
        <v>27415737</v>
      </c>
      <c r="D311" s="1103" t="str">
        <f>+NOMINA!D290</f>
        <v>Rivas Torres Rosa Alba</v>
      </c>
      <c r="E311" s="1468" t="s">
        <v>4622</v>
      </c>
      <c r="F311" s="1704">
        <v>27853</v>
      </c>
      <c r="G311" s="1468" t="s">
        <v>4620</v>
      </c>
      <c r="H311" s="1705">
        <f>+NOMINA!H290</f>
        <v>44363</v>
      </c>
      <c r="I311" s="1105">
        <f>+NOMINA!I290</f>
        <v>4</v>
      </c>
      <c r="J311" s="1106">
        <f>+NOMINA!J290</f>
        <v>0</v>
      </c>
      <c r="K311" s="1105">
        <f t="shared" si="28"/>
        <v>4</v>
      </c>
      <c r="L311" s="1106" t="s">
        <v>4932</v>
      </c>
      <c r="M311" s="1106"/>
      <c r="N311" s="1443" t="str">
        <f>+NOMINA!O290</f>
        <v>Asistente Administrativo II</v>
      </c>
      <c r="O311" s="1107">
        <f>ROUND(NOMINA!W290,2)</f>
        <v>75</v>
      </c>
      <c r="P311" s="1107">
        <f>NOMINA!AF290</f>
        <v>3</v>
      </c>
      <c r="Q311" s="1107">
        <f>NOMINA!AH290</f>
        <v>65</v>
      </c>
      <c r="R311" s="1107">
        <f>NOMINA!AC290</f>
        <v>12.5</v>
      </c>
      <c r="S311" s="1107">
        <f>NOMINA!AJ290</f>
        <v>0</v>
      </c>
      <c r="T311" s="1108">
        <f t="shared" si="29"/>
        <v>80.75</v>
      </c>
      <c r="U311" s="1107">
        <f>ROUND(NOMINA!BL290,2)</f>
        <v>13.78</v>
      </c>
      <c r="V311" s="1107">
        <f>ROUND(NOMINA!BM290,2)</f>
        <v>1.72</v>
      </c>
      <c r="W311" s="1107">
        <f>ROUND(+NOMINA!BN290,2)</f>
        <v>2.99</v>
      </c>
      <c r="X311" s="1108">
        <f t="shared" si="30"/>
        <v>22.04</v>
      </c>
      <c r="Y311" s="1107">
        <f>ROUND(NOMINA!BJ290,2)</f>
        <v>12.5</v>
      </c>
      <c r="Z311" s="1109">
        <f t="shared" si="27"/>
        <v>137.01</v>
      </c>
    </row>
    <row r="312" spans="1:26" s="620" customFormat="1" ht="18.95" customHeight="1" thickBot="1" x14ac:dyDescent="0.25">
      <c r="A312" s="758"/>
      <c r="B312" s="508">
        <f t="shared" ca="1" si="31"/>
        <v>248</v>
      </c>
      <c r="C312" s="1102">
        <f>+NOMINA!C291</f>
        <v>27415888</v>
      </c>
      <c r="D312" s="1103" t="str">
        <f>+NOMINA!D291</f>
        <v>Perdomo Juarez Jose de Jesus</v>
      </c>
      <c r="E312" s="1468" t="s">
        <v>4622</v>
      </c>
      <c r="F312" s="1704">
        <v>27853</v>
      </c>
      <c r="G312" s="1468" t="s">
        <v>4620</v>
      </c>
      <c r="H312" s="1705">
        <f>+NOMINA!H291</f>
        <v>44713</v>
      </c>
      <c r="I312" s="1105">
        <f>+NOMINA!I291</f>
        <v>3</v>
      </c>
      <c r="J312" s="1106">
        <f>+NOMINA!J291</f>
        <v>3</v>
      </c>
      <c r="K312" s="1105">
        <f t="shared" si="28"/>
        <v>6</v>
      </c>
      <c r="L312" s="1106" t="s">
        <v>4932</v>
      </c>
      <c r="M312" s="1106"/>
      <c r="N312" s="1443" t="str">
        <f>+NOMINA!O291</f>
        <v>Entrenador Deportivo II</v>
      </c>
      <c r="O312" s="1107">
        <f>ROUND(NOMINA!W291,2)</f>
        <v>85</v>
      </c>
      <c r="P312" s="1107">
        <f>NOMINA!AF291</f>
        <v>5.27</v>
      </c>
      <c r="Q312" s="1107">
        <f>NOMINA!AH291</f>
        <v>65</v>
      </c>
      <c r="R312" s="1107">
        <f>NOMINA!AC291</f>
        <v>12.5</v>
      </c>
      <c r="S312" s="1107">
        <f>NOMINA!AJ291</f>
        <v>0</v>
      </c>
      <c r="T312" s="1108">
        <f t="shared" si="29"/>
        <v>0</v>
      </c>
      <c r="U312" s="1107">
        <f>ROUND(NOMINA!BL291,2)</f>
        <v>14.91</v>
      </c>
      <c r="V312" s="1107">
        <f>ROUND(NOMINA!BM291,2)</f>
        <v>1.86</v>
      </c>
      <c r="W312" s="1107">
        <f>ROUND(+NOMINA!BN291,2)</f>
        <v>3.23</v>
      </c>
      <c r="X312" s="1108">
        <f t="shared" si="30"/>
        <v>17.809999999999999</v>
      </c>
      <c r="Y312" s="1107">
        <f>ROUND(NOMINA!BJ291,2)</f>
        <v>12.5</v>
      </c>
      <c r="Z312" s="1109">
        <f t="shared" si="27"/>
        <v>147.76999999999998</v>
      </c>
    </row>
    <row r="313" spans="1:26" s="620" customFormat="1" ht="18.95" customHeight="1" thickBot="1" x14ac:dyDescent="0.25">
      <c r="A313" s="758"/>
      <c r="B313" s="508">
        <f t="shared" ca="1" si="31"/>
        <v>249</v>
      </c>
      <c r="C313" s="1102">
        <f>+NOMINA!C292</f>
        <v>27628603</v>
      </c>
      <c r="D313" s="1103" t="str">
        <f>+NOMINA!D292</f>
        <v>Mendoza Mendoza Kelasky Kixuy</v>
      </c>
      <c r="E313" s="1468" t="s">
        <v>4622</v>
      </c>
      <c r="F313" s="1704">
        <v>27853</v>
      </c>
      <c r="G313" s="1468" t="s">
        <v>4620</v>
      </c>
      <c r="H313" s="1705">
        <f>+NOMINA!H292</f>
        <v>45139</v>
      </c>
      <c r="I313" s="1105">
        <f>+NOMINA!I292</f>
        <v>2</v>
      </c>
      <c r="J313" s="1106">
        <f>+NOMINA!J292</f>
        <v>0</v>
      </c>
      <c r="K313" s="1105">
        <f t="shared" si="28"/>
        <v>2</v>
      </c>
      <c r="L313" s="1106" t="s">
        <v>4932</v>
      </c>
      <c r="M313" s="1106"/>
      <c r="N313" s="1443" t="str">
        <f>+NOMINA!O292</f>
        <v>Instructor De Formacion Empresarial</v>
      </c>
      <c r="O313" s="1107">
        <f>ROUND(NOMINA!W292,2)</f>
        <v>65</v>
      </c>
      <c r="P313" s="1107">
        <f>NOMINA!AF292</f>
        <v>1.3</v>
      </c>
      <c r="Q313" s="1107">
        <f>NOMINA!AH292</f>
        <v>65</v>
      </c>
      <c r="R313" s="1107">
        <f>NOMINA!AC292</f>
        <v>12.5</v>
      </c>
      <c r="S313" s="1107">
        <f>NOMINA!AJ292</f>
        <v>0</v>
      </c>
      <c r="T313" s="1108">
        <f t="shared" si="29"/>
        <v>95.27</v>
      </c>
      <c r="U313" s="1107">
        <f>ROUND(NOMINA!BL292,2)</f>
        <v>12.7</v>
      </c>
      <c r="V313" s="1107">
        <f>ROUND(NOMINA!BM292,2)</f>
        <v>1.59</v>
      </c>
      <c r="W313" s="1107">
        <f>ROUND(+NOMINA!BN292,2)</f>
        <v>2.75</v>
      </c>
      <c r="X313" s="1108">
        <f t="shared" si="30"/>
        <v>24.91</v>
      </c>
      <c r="Y313" s="1107">
        <f>ROUND(NOMINA!BJ292,2)</f>
        <v>12.5</v>
      </c>
      <c r="Z313" s="1109">
        <f t="shared" si="27"/>
        <v>126.76000000000002</v>
      </c>
    </row>
    <row r="314" spans="1:26" s="620" customFormat="1" ht="18.95" customHeight="1" thickBot="1" x14ac:dyDescent="0.25">
      <c r="A314" s="758"/>
      <c r="B314" s="508">
        <f t="shared" ca="1" si="31"/>
        <v>250</v>
      </c>
      <c r="C314" s="1102">
        <f>+NOMINA!C293</f>
        <v>27677242</v>
      </c>
      <c r="D314" s="1103" t="str">
        <f>+NOMINA!D293</f>
        <v>Ramirez Torres Darwin Jose</v>
      </c>
      <c r="E314" s="1468" t="s">
        <v>4622</v>
      </c>
      <c r="F314" s="1704">
        <v>27853</v>
      </c>
      <c r="G314" s="1468" t="s">
        <v>4620</v>
      </c>
      <c r="H314" s="1705">
        <f>+NOMINA!H293</f>
        <v>45139</v>
      </c>
      <c r="I314" s="1105">
        <f>+NOMINA!I293</f>
        <v>2</v>
      </c>
      <c r="J314" s="1106">
        <f>+NOMINA!J293</f>
        <v>0</v>
      </c>
      <c r="K314" s="1105">
        <f t="shared" si="28"/>
        <v>2</v>
      </c>
      <c r="L314" s="1106" t="s">
        <v>4932</v>
      </c>
      <c r="M314" s="1106"/>
      <c r="N314" s="1443" t="str">
        <f>+NOMINA!O293</f>
        <v>Recreador</v>
      </c>
      <c r="O314" s="1107">
        <f>ROUND(NOMINA!W293,2)</f>
        <v>65</v>
      </c>
      <c r="P314" s="1107">
        <f>NOMINA!AF293</f>
        <v>1.3</v>
      </c>
      <c r="Q314" s="1107">
        <f>NOMINA!AH293</f>
        <v>65</v>
      </c>
      <c r="R314" s="1107">
        <f>NOMINA!AC293</f>
        <v>0</v>
      </c>
      <c r="S314" s="1107">
        <f>NOMINA!AJ293</f>
        <v>0</v>
      </c>
      <c r="T314" s="1108">
        <f t="shared" si="29"/>
        <v>85.93</v>
      </c>
      <c r="U314" s="1107">
        <f>ROUND(NOMINA!BL293,2)</f>
        <v>12.12</v>
      </c>
      <c r="V314" s="1107">
        <f>ROUND(NOMINA!BM293,2)</f>
        <v>1.52</v>
      </c>
      <c r="W314" s="1107">
        <f>ROUND(+NOMINA!BN293,2)</f>
        <v>2.63</v>
      </c>
      <c r="X314" s="1108">
        <f t="shared" si="30"/>
        <v>32.15</v>
      </c>
      <c r="Y314" s="1107">
        <f>ROUND(NOMINA!BJ293,2)</f>
        <v>12.5</v>
      </c>
      <c r="Z314" s="1109">
        <f t="shared" si="27"/>
        <v>115.03000000000002</v>
      </c>
    </row>
    <row r="315" spans="1:26" s="620" customFormat="1" ht="18.95" customHeight="1" thickBot="1" x14ac:dyDescent="0.25">
      <c r="A315" s="758"/>
      <c r="B315" s="508">
        <f t="shared" ca="1" si="31"/>
        <v>251</v>
      </c>
      <c r="C315" s="1102">
        <f>+NOMINA!C294</f>
        <v>27889180</v>
      </c>
      <c r="D315" s="1103" t="str">
        <f>+NOMINA!D294</f>
        <v>Moreno Andreina del Valle</v>
      </c>
      <c r="E315" s="1468" t="s">
        <v>4622</v>
      </c>
      <c r="F315" s="1704">
        <v>27853</v>
      </c>
      <c r="G315" s="1468" t="s">
        <v>4620</v>
      </c>
      <c r="H315" s="1705">
        <f>+NOMINA!H294</f>
        <v>44393</v>
      </c>
      <c r="I315" s="1105">
        <f>+NOMINA!I294</f>
        <v>4</v>
      </c>
      <c r="J315" s="1106">
        <f>+NOMINA!J294</f>
        <v>0</v>
      </c>
      <c r="K315" s="1105">
        <f t="shared" si="28"/>
        <v>4</v>
      </c>
      <c r="L315" s="1106" t="s">
        <v>4932</v>
      </c>
      <c r="M315" s="1106"/>
      <c r="N315" s="1443" t="str">
        <f>+NOMINA!O294</f>
        <v>Asistente Administrativo II</v>
      </c>
      <c r="O315" s="1107">
        <f>ROUND(NOMINA!W294,2)</f>
        <v>0</v>
      </c>
      <c r="P315" s="1107">
        <f>NOMINA!AF294</f>
        <v>0</v>
      </c>
      <c r="Q315" s="1107">
        <f>NOMINA!AH294</f>
        <v>0</v>
      </c>
      <c r="R315" s="1107">
        <f>NOMINA!AC294</f>
        <v>0</v>
      </c>
      <c r="S315" s="1107">
        <f>NOMINA!AJ294</f>
        <v>0</v>
      </c>
      <c r="T315" s="1108">
        <f t="shared" si="29"/>
        <v>126.80000000000001</v>
      </c>
      <c r="U315" s="1107">
        <f>ROUND(NOMINA!BL294,2)</f>
        <v>0</v>
      </c>
      <c r="V315" s="1107">
        <f>ROUND(NOMINA!BM294,2)</f>
        <v>0</v>
      </c>
      <c r="W315" s="1107">
        <f>ROUND(+NOMINA!BN294,2)</f>
        <v>0</v>
      </c>
      <c r="X315" s="1108">
        <f t="shared" si="30"/>
        <v>23.16</v>
      </c>
      <c r="Y315" s="1107">
        <f>ROUND(NOMINA!BJ294,2)</f>
        <v>0</v>
      </c>
      <c r="Z315" s="1109">
        <f t="shared" si="27"/>
        <v>0</v>
      </c>
    </row>
    <row r="316" spans="1:26" s="620" customFormat="1" ht="18.95" customHeight="1" thickBot="1" x14ac:dyDescent="0.25">
      <c r="A316" s="758"/>
      <c r="B316" s="508">
        <f t="shared" ca="1" si="31"/>
        <v>252</v>
      </c>
      <c r="C316" s="1102">
        <f>+NOMINA!C295</f>
        <v>28079765</v>
      </c>
      <c r="D316" s="1103" t="str">
        <f>+NOMINA!D295</f>
        <v>Mendoza Cardozo Josue Vicensio</v>
      </c>
      <c r="E316" s="1468" t="s">
        <v>4622</v>
      </c>
      <c r="F316" s="1704">
        <v>27853</v>
      </c>
      <c r="G316" s="1468" t="s">
        <v>4620</v>
      </c>
      <c r="H316" s="1705">
        <f>+NOMINA!H295</f>
        <v>44348</v>
      </c>
      <c r="I316" s="1105">
        <f>+NOMINA!I295</f>
        <v>4</v>
      </c>
      <c r="J316" s="1106">
        <f>+NOMINA!J295</f>
        <v>0</v>
      </c>
      <c r="K316" s="1105">
        <f t="shared" si="28"/>
        <v>4</v>
      </c>
      <c r="L316" s="1106" t="s">
        <v>4932</v>
      </c>
      <c r="M316" s="1106"/>
      <c r="N316" s="1443" t="str">
        <f>+NOMINA!O295</f>
        <v>Asistente Administrativo II</v>
      </c>
      <c r="O316" s="1107">
        <f>ROUND(NOMINA!W295,2)</f>
        <v>109.5</v>
      </c>
      <c r="P316" s="1107">
        <f>NOMINA!AF295</f>
        <v>4.38</v>
      </c>
      <c r="Q316" s="1107">
        <f>NOMINA!AH295</f>
        <v>65</v>
      </c>
      <c r="R316" s="1107">
        <f>NOMINA!AC295</f>
        <v>0</v>
      </c>
      <c r="S316" s="1107">
        <f>NOMINA!AJ295</f>
        <v>35.78</v>
      </c>
      <c r="T316" s="1108">
        <f t="shared" si="29"/>
        <v>80.5</v>
      </c>
      <c r="U316" s="1107">
        <f>ROUND(NOMINA!BL295,2)</f>
        <v>19.809999999999999</v>
      </c>
      <c r="V316" s="1107">
        <f>ROUND(NOMINA!BM295,2)</f>
        <v>2.48</v>
      </c>
      <c r="W316" s="1107">
        <f>ROUND(+NOMINA!BN295,2)</f>
        <v>4.29</v>
      </c>
      <c r="X316" s="1108">
        <f t="shared" si="30"/>
        <v>32.15</v>
      </c>
      <c r="Y316" s="1107">
        <f>ROUND(NOMINA!BJ295,2)</f>
        <v>12.5</v>
      </c>
      <c r="Z316" s="1109">
        <f t="shared" si="27"/>
        <v>188.07999999999998</v>
      </c>
    </row>
    <row r="317" spans="1:26" s="620" customFormat="1" ht="18.95" customHeight="1" thickBot="1" x14ac:dyDescent="0.25">
      <c r="A317" s="758"/>
      <c r="B317" s="508">
        <f t="shared" ca="1" si="31"/>
        <v>253</v>
      </c>
      <c r="C317" s="1102">
        <f>+NOMINA!C296</f>
        <v>28096003</v>
      </c>
      <c r="D317" s="1103" t="str">
        <f>+NOMINA!D296</f>
        <v>Quintero Peña Maria Alejandra</v>
      </c>
      <c r="E317" s="1468" t="s">
        <v>4622</v>
      </c>
      <c r="F317" s="1704">
        <v>27853</v>
      </c>
      <c r="G317" s="1468" t="s">
        <v>4620</v>
      </c>
      <c r="H317" s="1705">
        <f>+NOMINA!H296</f>
        <v>44228</v>
      </c>
      <c r="I317" s="1105">
        <f>+NOMINA!I296</f>
        <v>4</v>
      </c>
      <c r="J317" s="1106">
        <f>+NOMINA!J296</f>
        <v>0</v>
      </c>
      <c r="K317" s="1105">
        <f t="shared" si="28"/>
        <v>4</v>
      </c>
      <c r="L317" s="1106" t="s">
        <v>4932</v>
      </c>
      <c r="M317" s="1106"/>
      <c r="N317" s="1443" t="str">
        <f>+NOMINA!O296</f>
        <v>Guia de Centro I</v>
      </c>
      <c r="O317" s="1107">
        <f>ROUND(NOMINA!W296,2)</f>
        <v>75</v>
      </c>
      <c r="P317" s="1107">
        <f>NOMINA!AF296</f>
        <v>3</v>
      </c>
      <c r="Q317" s="1107">
        <f>NOMINA!AH296</f>
        <v>65</v>
      </c>
      <c r="R317" s="1107">
        <f>NOMINA!AC296</f>
        <v>0</v>
      </c>
      <c r="S317" s="1107">
        <f>NOMINA!AJ296</f>
        <v>0</v>
      </c>
      <c r="T317" s="1108">
        <f t="shared" si="29"/>
        <v>93.75</v>
      </c>
      <c r="U317" s="1107">
        <f>ROUND(NOMINA!BL296,2)</f>
        <v>17.16</v>
      </c>
      <c r="V317" s="1107">
        <f>ROUND(NOMINA!BM296,2)</f>
        <v>2.15</v>
      </c>
      <c r="W317" s="1107">
        <f>ROUND(+NOMINA!BN296,2)</f>
        <v>3.72</v>
      </c>
      <c r="X317" s="1108">
        <f t="shared" si="30"/>
        <v>32.15</v>
      </c>
      <c r="Y317" s="1107">
        <f>ROUND(NOMINA!BJ296,2)</f>
        <v>12.5</v>
      </c>
      <c r="Z317" s="1109">
        <f t="shared" si="27"/>
        <v>119.97</v>
      </c>
    </row>
    <row r="318" spans="1:26" s="620" customFormat="1" ht="18.95" customHeight="1" thickBot="1" x14ac:dyDescent="0.25">
      <c r="A318" s="758"/>
      <c r="B318" s="508">
        <f t="shared" ca="1" si="31"/>
        <v>254</v>
      </c>
      <c r="C318" s="1102">
        <f>+NOMINA!C297</f>
        <v>28096576</v>
      </c>
      <c r="D318" s="1103" t="str">
        <f>+NOMINA!D297</f>
        <v>Gutierrez Betania Belsally</v>
      </c>
      <c r="E318" s="1468" t="s">
        <v>4622</v>
      </c>
      <c r="F318" s="1704">
        <v>27853</v>
      </c>
      <c r="G318" s="1468" t="s">
        <v>4620</v>
      </c>
      <c r="H318" s="1705">
        <f>+NOMINA!H297</f>
        <v>45017</v>
      </c>
      <c r="I318" s="1105">
        <f>+NOMINA!I297</f>
        <v>2</v>
      </c>
      <c r="J318" s="1106">
        <f>+NOMINA!J297</f>
        <v>0</v>
      </c>
      <c r="K318" s="1105">
        <f t="shared" si="28"/>
        <v>2</v>
      </c>
      <c r="L318" s="1106" t="s">
        <v>4932</v>
      </c>
      <c r="M318" s="1106"/>
      <c r="N318" s="1443" t="str">
        <f>+NOMINA!O297</f>
        <v>Asistente Administrativo I</v>
      </c>
      <c r="O318" s="1107">
        <f>ROUND(NOMINA!W297,2)</f>
        <v>65</v>
      </c>
      <c r="P318" s="1107">
        <f>NOMINA!AF297</f>
        <v>1.3</v>
      </c>
      <c r="Q318" s="1107">
        <f>NOMINA!AH297</f>
        <v>65</v>
      </c>
      <c r="R318" s="1107">
        <f>NOMINA!AC297</f>
        <v>25</v>
      </c>
      <c r="S318" s="1107">
        <f>NOMINA!AJ297</f>
        <v>0</v>
      </c>
      <c r="T318" s="1108">
        <f t="shared" si="29"/>
        <v>78.150000000000006</v>
      </c>
      <c r="U318" s="1107">
        <f>ROUND(NOMINA!BL297,2)</f>
        <v>13.27</v>
      </c>
      <c r="V318" s="1107">
        <f>ROUND(NOMINA!BM297,2)</f>
        <v>1.66</v>
      </c>
      <c r="W318" s="1107">
        <f>ROUND(+NOMINA!BN297,2)</f>
        <v>2.88</v>
      </c>
      <c r="X318" s="1108">
        <f t="shared" si="30"/>
        <v>30.27</v>
      </c>
      <c r="Y318" s="1107">
        <f>ROUND(NOMINA!BJ297,2)</f>
        <v>12.5</v>
      </c>
      <c r="Z318" s="1109">
        <f t="shared" si="27"/>
        <v>138.49</v>
      </c>
    </row>
    <row r="319" spans="1:26" s="620" customFormat="1" ht="18.95" customHeight="1" thickBot="1" x14ac:dyDescent="0.25">
      <c r="A319" s="758"/>
      <c r="B319" s="508">
        <f t="shared" ca="1" si="31"/>
        <v>255</v>
      </c>
      <c r="C319" s="1102">
        <f>+NOMINA!C298</f>
        <v>28445465</v>
      </c>
      <c r="D319" s="1103" t="str">
        <f>+NOMINA!D298</f>
        <v>Castillo Carrizo Katherine Cecilia</v>
      </c>
      <c r="E319" s="1468" t="s">
        <v>4622</v>
      </c>
      <c r="F319" s="1704">
        <v>27853</v>
      </c>
      <c r="G319" s="1468" t="s">
        <v>4620</v>
      </c>
      <c r="H319" s="1705">
        <f>+NOMINA!H298</f>
        <v>43770</v>
      </c>
      <c r="I319" s="1105">
        <f>+NOMINA!I298</f>
        <v>5</v>
      </c>
      <c r="J319" s="1106">
        <f>+NOMINA!J298</f>
        <v>0</v>
      </c>
      <c r="K319" s="1105">
        <f t="shared" si="28"/>
        <v>5</v>
      </c>
      <c r="L319" s="1106" t="s">
        <v>4932</v>
      </c>
      <c r="M319" s="1106"/>
      <c r="N319" s="1443" t="str">
        <f>+NOMINA!O298</f>
        <v>Asistente Administrativo II</v>
      </c>
      <c r="O319" s="1107">
        <f>ROUND(NOMINA!W298,2)</f>
        <v>75</v>
      </c>
      <c r="P319" s="1107">
        <f>NOMINA!AF298</f>
        <v>3.75</v>
      </c>
      <c r="Q319" s="1107">
        <f>NOMINA!AH298</f>
        <v>65</v>
      </c>
      <c r="R319" s="1107">
        <f>NOMINA!AC298</f>
        <v>0</v>
      </c>
      <c r="S319" s="1107">
        <f>NOMINA!AJ298</f>
        <v>0</v>
      </c>
      <c r="T319" s="1108">
        <f t="shared" si="29"/>
        <v>68.75</v>
      </c>
      <c r="U319" s="1107">
        <f>ROUND(NOMINA!BL298,2)</f>
        <v>13.27</v>
      </c>
      <c r="V319" s="1107">
        <f>ROUND(NOMINA!BM298,2)</f>
        <v>1.66</v>
      </c>
      <c r="W319" s="1107">
        <f>ROUND(+NOMINA!BN298,2)</f>
        <v>2.88</v>
      </c>
      <c r="X319" s="1108">
        <f t="shared" si="30"/>
        <v>25.03</v>
      </c>
      <c r="Y319" s="1107">
        <f>ROUND(NOMINA!BJ298,2)</f>
        <v>12.5</v>
      </c>
      <c r="Z319" s="1109">
        <f t="shared" si="27"/>
        <v>125.94</v>
      </c>
    </row>
    <row r="320" spans="1:26" s="620" customFormat="1" ht="18.95" customHeight="1" thickBot="1" x14ac:dyDescent="0.25">
      <c r="A320" s="758"/>
      <c r="B320" s="508">
        <f t="shared" ca="1" si="31"/>
        <v>256</v>
      </c>
      <c r="C320" s="1102">
        <f>+NOMINA!C299</f>
        <v>29539827</v>
      </c>
      <c r="D320" s="1103" t="str">
        <f>+NOMINA!D299</f>
        <v>Rivero Fajardo Nohely Gabriela</v>
      </c>
      <c r="E320" s="1468" t="s">
        <v>4622</v>
      </c>
      <c r="F320" s="1704">
        <v>27853</v>
      </c>
      <c r="G320" s="1468" t="s">
        <v>4620</v>
      </c>
      <c r="H320" s="1705">
        <f>+NOMINA!H299</f>
        <v>45901</v>
      </c>
      <c r="I320" s="1105">
        <f>+NOMINA!I299</f>
        <v>0</v>
      </c>
      <c r="J320" s="1106">
        <f>+NOMINA!J299</f>
        <v>0</v>
      </c>
      <c r="K320" s="1105">
        <f t="shared" si="28"/>
        <v>0</v>
      </c>
      <c r="L320" s="1106" t="s">
        <v>4932</v>
      </c>
      <c r="M320" s="1106"/>
      <c r="N320" s="1443" t="str">
        <f>+NOMINA!O299</f>
        <v>PSICOLOGO I</v>
      </c>
      <c r="O320" s="1107">
        <f>ROUND(NOMINA!W299,2)</f>
        <v>123</v>
      </c>
      <c r="P320" s="1107">
        <f>NOMINA!AF299</f>
        <v>0</v>
      </c>
      <c r="Q320" s="1107">
        <f>NOMINA!AH299</f>
        <v>65</v>
      </c>
      <c r="R320" s="1107">
        <f>NOMINA!AC299</f>
        <v>0</v>
      </c>
      <c r="S320" s="1107">
        <f>NOMINA!AJ299</f>
        <v>47</v>
      </c>
      <c r="T320" s="1108">
        <f t="shared" si="29"/>
        <v>92.25</v>
      </c>
      <c r="U320" s="1107">
        <f>ROUND(NOMINA!BL299,2)</f>
        <v>21.69</v>
      </c>
      <c r="V320" s="1107">
        <f>ROUND(NOMINA!BM299,2)</f>
        <v>2.71</v>
      </c>
      <c r="W320" s="1107">
        <f>ROUND(+NOMINA!BN299,2)</f>
        <v>4.7</v>
      </c>
      <c r="X320" s="1108">
        <f t="shared" si="30"/>
        <v>33.97</v>
      </c>
      <c r="Y320" s="1107">
        <f>ROUND(NOMINA!BJ299,2)</f>
        <v>12.5</v>
      </c>
      <c r="Z320" s="1109">
        <f t="shared" si="27"/>
        <v>205.9</v>
      </c>
    </row>
    <row r="321" spans="1:27" s="620" customFormat="1" ht="18.95" customHeight="1" thickBot="1" x14ac:dyDescent="0.25">
      <c r="A321" s="758"/>
      <c r="B321" s="508">
        <f t="shared" ca="1" si="31"/>
        <v>257</v>
      </c>
      <c r="C321" s="1102">
        <f>+NOMINA!C300</f>
        <v>29585477</v>
      </c>
      <c r="D321" s="1103" t="str">
        <f>+NOMINA!D300</f>
        <v>Gil Ruiz Marianyeli Sarait</v>
      </c>
      <c r="E321" s="1468" t="s">
        <v>4622</v>
      </c>
      <c r="F321" s="1704">
        <v>27853</v>
      </c>
      <c r="G321" s="1468" t="s">
        <v>4620</v>
      </c>
      <c r="H321" s="1705">
        <f>+NOMINA!H300</f>
        <v>43512</v>
      </c>
      <c r="I321" s="1105">
        <f>+NOMINA!I300</f>
        <v>6</v>
      </c>
      <c r="J321" s="1106">
        <f>+NOMINA!J300</f>
        <v>0</v>
      </c>
      <c r="K321" s="1105">
        <f t="shared" si="28"/>
        <v>6</v>
      </c>
      <c r="L321" s="1106" t="s">
        <v>4932</v>
      </c>
      <c r="M321" s="1106"/>
      <c r="N321" s="1443" t="str">
        <f>+NOMINA!O300</f>
        <v>Entrenador Deportivo II</v>
      </c>
      <c r="O321" s="1107">
        <f>ROUND(NOMINA!W300,2)</f>
        <v>85</v>
      </c>
      <c r="P321" s="1107">
        <f>NOMINA!AF300</f>
        <v>5.27</v>
      </c>
      <c r="Q321" s="1107">
        <f>NOMINA!AH300</f>
        <v>65</v>
      </c>
      <c r="R321" s="1107">
        <f>NOMINA!AC300</f>
        <v>12.5</v>
      </c>
      <c r="S321" s="1107">
        <f>NOMINA!AJ300</f>
        <v>0</v>
      </c>
      <c r="T321" s="1108">
        <f t="shared" si="29"/>
        <v>121.08</v>
      </c>
      <c r="U321" s="1107">
        <f>ROUND(NOMINA!BL300,2)</f>
        <v>14.91</v>
      </c>
      <c r="V321" s="1107">
        <f>ROUND(NOMINA!BM300,2)</f>
        <v>1.86</v>
      </c>
      <c r="W321" s="1107">
        <f>ROUND(+NOMINA!BN300,2)</f>
        <v>3.23</v>
      </c>
      <c r="X321" s="1108">
        <f t="shared" si="30"/>
        <v>24.03</v>
      </c>
      <c r="Y321" s="1107">
        <f>ROUND(NOMINA!BJ300,2)</f>
        <v>12.5</v>
      </c>
      <c r="Z321" s="1109">
        <f t="shared" ref="Z321:Z323" si="32">+O321+P321+Q321+R321+S321-(U321+V321+W321)</f>
        <v>147.76999999999998</v>
      </c>
    </row>
    <row r="322" spans="1:27" s="620" customFormat="1" ht="18.95" customHeight="1" thickBot="1" x14ac:dyDescent="0.25">
      <c r="A322" s="758"/>
      <c r="B322" s="508">
        <f t="shared" ca="1" si="31"/>
        <v>258</v>
      </c>
      <c r="C322" s="1102">
        <f>+NOMINA!C301</f>
        <v>30190238</v>
      </c>
      <c r="D322" s="1103" t="str">
        <f>+NOMINA!D301</f>
        <v>Mendoza Osuna Zaida Liseth</v>
      </c>
      <c r="E322" s="1468" t="s">
        <v>4622</v>
      </c>
      <c r="F322" s="1704">
        <v>27853</v>
      </c>
      <c r="G322" s="1468" t="s">
        <v>4620</v>
      </c>
      <c r="H322" s="1705">
        <f>+NOMINA!H301</f>
        <v>45200</v>
      </c>
      <c r="I322" s="1105">
        <f>+NOMINA!I301</f>
        <v>1</v>
      </c>
      <c r="J322" s="1106">
        <f>+NOMINA!J301</f>
        <v>0</v>
      </c>
      <c r="K322" s="1105">
        <f t="shared" ref="K322:K323" si="33">I322+J322</f>
        <v>1</v>
      </c>
      <c r="L322" s="1106" t="s">
        <v>4932</v>
      </c>
      <c r="M322" s="1106"/>
      <c r="N322" s="1443" t="str">
        <f>+NOMINA!O301</f>
        <v>Guia de Centro I</v>
      </c>
      <c r="O322" s="1107">
        <f>ROUND(NOMINA!W301,2)</f>
        <v>65</v>
      </c>
      <c r="P322" s="1107">
        <f>NOMINA!AF301</f>
        <v>0.65</v>
      </c>
      <c r="Q322" s="1107">
        <f>NOMINA!AH301</f>
        <v>65</v>
      </c>
      <c r="R322" s="1107">
        <f>NOMINA!AC301</f>
        <v>0</v>
      </c>
      <c r="S322" s="1107">
        <f>NOMINA!AJ301</f>
        <v>0</v>
      </c>
      <c r="T322" s="1108">
        <f t="shared" ref="T322:T323" si="34">+P299+Q299+R299+S299</f>
        <v>91.3</v>
      </c>
      <c r="U322" s="1107">
        <f>ROUND(NOMINA!BL301,2)</f>
        <v>15.68</v>
      </c>
      <c r="V322" s="1107">
        <f>ROUND(NOMINA!BM301,2)</f>
        <v>1.96</v>
      </c>
      <c r="W322" s="1107">
        <f>ROUND(+NOMINA!BN301,2)</f>
        <v>3.4</v>
      </c>
      <c r="X322" s="1108">
        <f t="shared" ref="X322:X323" si="35">ROUND(SUM(U306:W306),2)</f>
        <v>18.489999999999998</v>
      </c>
      <c r="Y322" s="1107">
        <f>ROUND(NOMINA!BJ301,2)</f>
        <v>12.5</v>
      </c>
      <c r="Z322" s="1109">
        <f t="shared" si="32"/>
        <v>109.61000000000001</v>
      </c>
    </row>
    <row r="323" spans="1:27" s="620" customFormat="1" ht="18.95" customHeight="1" thickBot="1" x14ac:dyDescent="0.25">
      <c r="A323" s="758"/>
      <c r="B323" s="508">
        <f t="shared" ca="1" si="31"/>
        <v>259</v>
      </c>
      <c r="C323" s="1102">
        <f>+NOMINA!C302</f>
        <v>30438508</v>
      </c>
      <c r="D323" s="1103" t="str">
        <f>+NOMINA!D302</f>
        <v>Teran Araujo Marihangeli Nicoll</v>
      </c>
      <c r="E323" s="1468" t="s">
        <v>4622</v>
      </c>
      <c r="F323" s="1704">
        <v>27853</v>
      </c>
      <c r="G323" s="1468" t="s">
        <v>4620</v>
      </c>
      <c r="H323" s="1705">
        <f>+NOMINA!H302</f>
        <v>45200</v>
      </c>
      <c r="I323" s="1105">
        <f>+NOMINA!I302</f>
        <v>1</v>
      </c>
      <c r="J323" s="1106">
        <f>+NOMINA!J302</f>
        <v>4</v>
      </c>
      <c r="K323" s="1105">
        <f t="shared" si="33"/>
        <v>5</v>
      </c>
      <c r="L323" s="1106" t="s">
        <v>4932</v>
      </c>
      <c r="M323" s="1106"/>
      <c r="N323" s="1443" t="str">
        <f>+NOMINA!O302</f>
        <v>Asistente Administrativo II</v>
      </c>
      <c r="O323" s="1107">
        <f>ROUND(NOMINA!W302,2)</f>
        <v>75</v>
      </c>
      <c r="P323" s="1107">
        <f>NOMINA!AF302</f>
        <v>3.75</v>
      </c>
      <c r="Q323" s="1107">
        <f>NOMINA!AH302</f>
        <v>65</v>
      </c>
      <c r="R323" s="1107">
        <f>NOMINA!AC302</f>
        <v>0</v>
      </c>
      <c r="S323" s="1107">
        <f>NOMINA!AJ302</f>
        <v>0</v>
      </c>
      <c r="T323" s="1108">
        <f t="shared" si="34"/>
        <v>121.08</v>
      </c>
      <c r="U323" s="1107">
        <f>ROUND(NOMINA!BL302,2)</f>
        <v>13.27</v>
      </c>
      <c r="V323" s="1107">
        <f>ROUND(NOMINA!BM302,2)</f>
        <v>1.66</v>
      </c>
      <c r="W323" s="1107">
        <f>ROUND(+NOMINA!BN302,2)</f>
        <v>2.88</v>
      </c>
      <c r="X323" s="1108">
        <f t="shared" si="35"/>
        <v>23.92</v>
      </c>
      <c r="Y323" s="1107">
        <f>ROUND(NOMINA!BJ302,2)</f>
        <v>12.5</v>
      </c>
      <c r="Z323" s="1109">
        <f t="shared" si="32"/>
        <v>125.94</v>
      </c>
    </row>
    <row r="324" spans="1:27" s="620" customFormat="1" ht="39.950000000000003" customHeight="1" thickBot="1" x14ac:dyDescent="0.3">
      <c r="A324" s="684"/>
      <c r="B324" s="667"/>
      <c r="C324" s="1069" t="s">
        <v>4562</v>
      </c>
      <c r="D324" s="1065"/>
      <c r="E324" s="1065"/>
      <c r="F324" s="1065"/>
      <c r="G324" s="1065"/>
      <c r="H324" s="1066"/>
      <c r="I324" s="1065"/>
      <c r="J324" s="1065"/>
      <c r="K324" s="1065"/>
      <c r="L324" s="1065"/>
      <c r="M324" s="1065"/>
      <c r="N324" s="1070"/>
      <c r="O324" s="685">
        <f t="shared" ref="O324:Z324" si="36">SUM(O65:O323)</f>
        <v>25791.5</v>
      </c>
      <c r="P324" s="685">
        <f t="shared" si="36"/>
        <v>2841.2700000000004</v>
      </c>
      <c r="Q324" s="685">
        <f t="shared" si="36"/>
        <v>15535</v>
      </c>
      <c r="R324" s="685">
        <f t="shared" si="36"/>
        <v>2412.5</v>
      </c>
      <c r="S324" s="685">
        <f t="shared" si="36"/>
        <v>7639.2200000000048</v>
      </c>
      <c r="T324" s="685" t="e">
        <f t="shared" si="36"/>
        <v>#VALUE!</v>
      </c>
      <c r="U324" s="685">
        <f t="shared" si="36"/>
        <v>5302.9300000000021</v>
      </c>
      <c r="V324" s="685">
        <f t="shared" si="36"/>
        <v>662.94000000000028</v>
      </c>
      <c r="W324" s="685">
        <f t="shared" si="36"/>
        <v>1158.8700000000013</v>
      </c>
      <c r="X324" s="685">
        <f t="shared" si="36"/>
        <v>8050.2199999999939</v>
      </c>
      <c r="Y324" s="685">
        <f t="shared" si="36"/>
        <v>2987.5</v>
      </c>
      <c r="Z324" s="685">
        <f t="shared" si="36"/>
        <v>47094.749999999993</v>
      </c>
      <c r="AA324" s="625">
        <f>+Z324-NOMINA!CB303</f>
        <v>0</v>
      </c>
    </row>
    <row r="325" spans="1:27" s="620" customFormat="1" ht="19.5" customHeight="1" x14ac:dyDescent="0.25">
      <c r="A325" s="699"/>
      <c r="C325" s="691"/>
      <c r="D325" s="691"/>
      <c r="E325" s="691"/>
      <c r="F325" s="691"/>
      <c r="G325" s="691"/>
      <c r="H325" s="808"/>
      <c r="I325" s="691"/>
      <c r="J325" s="691"/>
      <c r="K325" s="691"/>
      <c r="L325" s="691"/>
      <c r="M325" s="691"/>
      <c r="N325" s="809"/>
      <c r="O325" s="787"/>
      <c r="P325" s="787"/>
      <c r="Q325" s="787"/>
      <c r="R325" s="787"/>
      <c r="S325" s="787"/>
      <c r="T325" s="787"/>
      <c r="U325" s="787"/>
      <c r="V325" s="787"/>
      <c r="W325" s="787"/>
      <c r="X325" s="787"/>
      <c r="Y325" s="787"/>
      <c r="Z325" s="787"/>
    </row>
    <row r="326" spans="1:27" s="620" customFormat="1" ht="19.5" customHeight="1" x14ac:dyDescent="0.2">
      <c r="A326" s="699"/>
      <c r="B326" s="711" t="s">
        <v>4664</v>
      </c>
      <c r="C326" s="712"/>
      <c r="D326" s="713"/>
      <c r="F326" s="622"/>
      <c r="G326" s="1697"/>
      <c r="H326" s="701"/>
      <c r="O326" s="624"/>
      <c r="P326" s="624"/>
      <c r="Q326" s="624"/>
      <c r="R326" s="624"/>
      <c r="S326" s="624"/>
      <c r="T326" s="624"/>
      <c r="U326" s="624"/>
      <c r="V326" s="624"/>
      <c r="W326" s="624"/>
      <c r="X326" s="624"/>
      <c r="Y326" s="624"/>
      <c r="Z326" s="625"/>
    </row>
    <row r="327" spans="1:27" s="620" customFormat="1" ht="19.5" customHeight="1" x14ac:dyDescent="0.2">
      <c r="A327" s="699"/>
      <c r="B327" s="711" t="s">
        <v>4665</v>
      </c>
      <c r="C327" s="712"/>
      <c r="D327" s="713"/>
      <c r="F327" s="622"/>
      <c r="G327" s="1697"/>
      <c r="H327" s="623"/>
      <c r="I327" s="1697"/>
      <c r="J327" s="1697"/>
      <c r="K327" s="1697"/>
      <c r="L327" s="1697"/>
      <c r="M327" s="1697"/>
      <c r="O327" s="624"/>
      <c r="P327" s="624"/>
      <c r="Q327" s="624"/>
      <c r="R327" s="624"/>
      <c r="S327" s="624"/>
      <c r="T327" s="624"/>
      <c r="U327" s="624"/>
      <c r="V327" s="624"/>
      <c r="W327" s="624"/>
      <c r="X327" s="624"/>
      <c r="Y327" s="624"/>
      <c r="Z327" s="625"/>
    </row>
    <row r="328" spans="1:27" s="620" customFormat="1" ht="19.5" customHeight="1" x14ac:dyDescent="0.2">
      <c r="A328" s="699"/>
      <c r="B328" s="619"/>
      <c r="D328" s="622"/>
      <c r="F328" s="622"/>
      <c r="G328" s="1697"/>
      <c r="H328" s="623"/>
      <c r="I328" s="1697"/>
      <c r="J328" s="1697"/>
      <c r="K328" s="1697"/>
      <c r="L328" s="1697"/>
      <c r="M328" s="1697"/>
      <c r="O328" s="624"/>
      <c r="P328" s="624"/>
      <c r="Q328" s="624"/>
      <c r="R328" s="624"/>
      <c r="S328" s="624"/>
      <c r="T328" s="624"/>
      <c r="U328" s="619"/>
      <c r="V328" s="619"/>
      <c r="W328" s="619"/>
      <c r="X328" s="619"/>
      <c r="Y328" s="619"/>
      <c r="Z328" s="625"/>
    </row>
    <row r="329" spans="1:27" s="620" customFormat="1" ht="19.5" customHeight="1" x14ac:dyDescent="0.2">
      <c r="A329" s="699"/>
      <c r="B329" s="619"/>
      <c r="D329" s="622"/>
      <c r="F329" s="622"/>
      <c r="G329" s="1697"/>
      <c r="H329" s="623"/>
      <c r="I329" s="1697"/>
      <c r="J329" s="1697"/>
      <c r="K329" s="1697"/>
      <c r="L329" s="1697"/>
      <c r="M329" s="1697"/>
      <c r="O329" s="624"/>
      <c r="P329" s="624"/>
      <c r="Q329" s="624"/>
      <c r="R329" s="624"/>
      <c r="S329" s="624"/>
      <c r="T329" s="624"/>
      <c r="U329" s="619"/>
      <c r="V329" s="619"/>
      <c r="W329" s="619"/>
      <c r="X329" s="619"/>
      <c r="Y329" s="619"/>
      <c r="Z329" s="625"/>
    </row>
    <row r="330" spans="1:27" s="620" customFormat="1" ht="19.5" customHeight="1" x14ac:dyDescent="0.2">
      <c r="A330" s="699"/>
      <c r="B330" s="619"/>
      <c r="D330" s="622"/>
      <c r="F330" s="622"/>
      <c r="G330" s="1697"/>
      <c r="H330" s="623"/>
      <c r="I330" s="1697"/>
      <c r="J330" s="1697"/>
      <c r="K330" s="1697"/>
      <c r="L330" s="1697"/>
      <c r="M330" s="1697"/>
      <c r="O330" s="624"/>
      <c r="P330" s="624"/>
      <c r="Q330" s="624"/>
      <c r="R330" s="624"/>
      <c r="S330" s="624"/>
      <c r="T330" s="624"/>
      <c r="U330" s="619"/>
      <c r="V330" s="619"/>
      <c r="W330" s="619"/>
      <c r="X330" s="619"/>
      <c r="Y330" s="619"/>
      <c r="Z330" s="625"/>
    </row>
    <row r="331" spans="1:27" s="620" customFormat="1" ht="19.5" customHeight="1" x14ac:dyDescent="0.2">
      <c r="A331" s="699"/>
      <c r="B331" s="619"/>
      <c r="D331" s="622"/>
      <c r="F331" s="622"/>
      <c r="G331" s="1697"/>
      <c r="H331" s="623"/>
      <c r="I331" s="1697"/>
      <c r="J331" s="1697"/>
      <c r="K331" s="1697"/>
      <c r="L331" s="1697"/>
      <c r="M331" s="1697"/>
      <c r="O331" s="624"/>
      <c r="P331" s="624"/>
      <c r="Q331" s="624"/>
      <c r="R331" s="624"/>
      <c r="S331" s="624"/>
      <c r="T331" s="624"/>
      <c r="U331" s="619"/>
      <c r="V331" s="619"/>
      <c r="W331" s="619"/>
      <c r="X331" s="619"/>
      <c r="Y331" s="619"/>
      <c r="Z331" s="625"/>
    </row>
    <row r="332" spans="1:27" s="620" customFormat="1" ht="19.5" customHeight="1" x14ac:dyDescent="0.2">
      <c r="A332" s="699"/>
      <c r="C332" s="714"/>
      <c r="D332" s="726" t="s">
        <v>5833</v>
      </c>
      <c r="E332" s="716"/>
      <c r="F332" s="716"/>
      <c r="G332" s="716"/>
      <c r="I332" s="715"/>
      <c r="L332" s="716"/>
      <c r="M332" s="716"/>
      <c r="N332" s="716"/>
      <c r="O332" s="717" t="s">
        <v>5834</v>
      </c>
      <c r="P332" s="716"/>
      <c r="T332" s="814"/>
      <c r="U332" s="715" t="s">
        <v>5835</v>
      </c>
      <c r="V332" s="619"/>
      <c r="X332" s="619"/>
      <c r="Y332" s="619"/>
      <c r="Z332" s="625"/>
    </row>
    <row r="333" spans="1:27" s="620" customFormat="1" ht="19.5" customHeight="1" x14ac:dyDescent="0.2">
      <c r="A333" s="699"/>
      <c r="C333" s="714"/>
      <c r="D333" s="726"/>
      <c r="E333" s="716"/>
      <c r="F333" s="716"/>
      <c r="G333" s="716"/>
      <c r="I333" s="715"/>
      <c r="L333" s="716"/>
      <c r="M333" s="716"/>
      <c r="N333" s="716"/>
      <c r="O333" s="717"/>
      <c r="P333" s="716"/>
      <c r="T333" s="814"/>
      <c r="U333" s="715"/>
      <c r="V333" s="619"/>
      <c r="X333" s="619"/>
      <c r="Y333" s="619"/>
      <c r="Z333" s="625"/>
    </row>
    <row r="334" spans="1:27" s="620" customFormat="1" ht="19.5" customHeight="1" x14ac:dyDescent="0.2">
      <c r="A334" s="699"/>
      <c r="B334" s="725" t="s">
        <v>6752</v>
      </c>
      <c r="C334" s="726"/>
      <c r="D334" s="724"/>
      <c r="E334" s="724"/>
      <c r="F334" s="724"/>
      <c r="G334" s="724"/>
      <c r="H334" s="725" t="s">
        <v>6116</v>
      </c>
      <c r="I334" s="725"/>
      <c r="L334" s="724"/>
      <c r="M334" s="724"/>
      <c r="N334" s="724"/>
      <c r="O334" s="727" t="s">
        <v>5836</v>
      </c>
      <c r="P334" s="724"/>
      <c r="T334" s="724"/>
      <c r="U334" s="715" t="s">
        <v>5847</v>
      </c>
      <c r="V334" s="619"/>
      <c r="X334" s="619"/>
      <c r="Y334" s="619"/>
      <c r="Z334" s="625"/>
    </row>
    <row r="335" spans="1:27" s="620" customFormat="1" ht="19.5" customHeight="1" x14ac:dyDescent="0.2">
      <c r="A335" s="699"/>
      <c r="B335" s="725" t="s">
        <v>6753</v>
      </c>
      <c r="C335" s="726"/>
      <c r="D335" s="724"/>
      <c r="E335" s="724"/>
      <c r="F335" s="724"/>
      <c r="G335" s="724"/>
      <c r="H335" s="725" t="s">
        <v>6117</v>
      </c>
      <c r="I335" s="725"/>
      <c r="L335" s="724"/>
      <c r="M335" s="724"/>
      <c r="N335" s="724"/>
      <c r="O335" s="727" t="s">
        <v>5838</v>
      </c>
      <c r="P335" s="724"/>
      <c r="T335" s="724"/>
      <c r="U335" s="725" t="s">
        <v>5839</v>
      </c>
      <c r="V335" s="619"/>
      <c r="X335" s="619"/>
      <c r="Y335" s="619"/>
      <c r="Z335" s="625"/>
    </row>
    <row r="336" spans="1:27" s="620" customFormat="1" ht="19.5" customHeight="1" x14ac:dyDescent="0.2">
      <c r="A336" s="699"/>
      <c r="B336" s="725" t="s">
        <v>5240</v>
      </c>
      <c r="C336" s="726"/>
      <c r="D336" s="724"/>
      <c r="E336" s="724"/>
      <c r="F336" s="724"/>
      <c r="G336" s="724"/>
      <c r="H336" s="725" t="s">
        <v>5261</v>
      </c>
      <c r="I336" s="725"/>
      <c r="L336" s="724"/>
      <c r="M336" s="724"/>
      <c r="N336" s="724"/>
      <c r="O336" s="727" t="s">
        <v>5840</v>
      </c>
      <c r="P336" s="724"/>
      <c r="T336" s="724"/>
      <c r="U336" s="715" t="s">
        <v>5841</v>
      </c>
      <c r="V336" s="619"/>
      <c r="X336" s="619"/>
      <c r="Y336" s="619"/>
      <c r="Z336" s="625"/>
    </row>
    <row r="337" spans="1:26" s="620" customFormat="1" ht="19.5" customHeight="1" thickBot="1" x14ac:dyDescent="0.3">
      <c r="A337" s="699"/>
      <c r="C337" s="691"/>
      <c r="D337" s="691"/>
      <c r="E337" s="691"/>
      <c r="F337" s="691"/>
      <c r="G337" s="691"/>
      <c r="H337" s="808"/>
      <c r="I337" s="691"/>
      <c r="J337" s="691"/>
      <c r="K337" s="691"/>
      <c r="L337" s="691"/>
      <c r="M337" s="691"/>
      <c r="N337" s="809"/>
      <c r="O337" s="787"/>
      <c r="P337" s="787"/>
      <c r="Q337" s="787"/>
      <c r="R337" s="787"/>
      <c r="S337" s="787"/>
      <c r="T337" s="787"/>
      <c r="U337" s="787"/>
      <c r="V337" s="787"/>
      <c r="W337" s="787"/>
      <c r="X337" s="787"/>
      <c r="Y337" s="787"/>
      <c r="Z337" s="787"/>
    </row>
    <row r="338" spans="1:26" s="698" customFormat="1" ht="18.75" thickBot="1" x14ac:dyDescent="0.3">
      <c r="A338" s="689" t="s">
        <v>4563</v>
      </c>
      <c r="B338" s="973" t="str">
        <f>+"OBREROS_FIJOS_NOMINA_1RA QNA_"&amp;NOMINA!F9&amp;"_"&amp;NOMINA!H9</f>
        <v>OBREROS_FIJOS_NOMINA_1RA QNA_SEPTIEMBRE_2025</v>
      </c>
      <c r="C338" s="690"/>
      <c r="D338" s="691"/>
      <c r="E338" s="692"/>
      <c r="F338" s="691"/>
      <c r="G338" s="693"/>
      <c r="H338" s="694"/>
      <c r="I338" s="695"/>
      <c r="J338" s="695"/>
      <c r="K338" s="695"/>
      <c r="L338" s="695"/>
      <c r="M338" s="695"/>
      <c r="N338" s="810"/>
      <c r="O338" s="811"/>
      <c r="P338" s="696"/>
      <c r="Q338" s="696"/>
      <c r="R338" s="696"/>
      <c r="S338" s="696"/>
      <c r="T338" s="696"/>
      <c r="U338" s="811"/>
      <c r="V338" s="811"/>
      <c r="W338" s="811"/>
      <c r="X338" s="811"/>
      <c r="Y338" s="811"/>
      <c r="Z338" s="697"/>
    </row>
    <row r="339" spans="1:26" s="620" customFormat="1" ht="21" customHeight="1" thickBot="1" x14ac:dyDescent="0.25">
      <c r="A339" s="758" t="s">
        <v>2834</v>
      </c>
      <c r="B339" s="508">
        <v>1</v>
      </c>
      <c r="C339" s="1706">
        <f>+NOMINA!C305</f>
        <v>5505183</v>
      </c>
      <c r="D339" s="1707" t="str">
        <f>+NOMINA!D305</f>
        <v>Paredes Marquez Eduardo Jesus</v>
      </c>
      <c r="E339" s="1468" t="s">
        <v>4622</v>
      </c>
      <c r="F339" s="1442">
        <v>27853</v>
      </c>
      <c r="G339" s="1468" t="s">
        <v>4620</v>
      </c>
      <c r="H339" s="1708">
        <f>+NOMINA!H305</f>
        <v>44562</v>
      </c>
      <c r="I339" s="1105">
        <f>+NOMINA!I305</f>
        <v>3</v>
      </c>
      <c r="J339" s="1106">
        <f>+NOMINA!J305</f>
        <v>9</v>
      </c>
      <c r="K339" s="1105">
        <f t="shared" ref="K339" si="37">I339+J339</f>
        <v>12</v>
      </c>
      <c r="L339" s="1106" t="s">
        <v>4932</v>
      </c>
      <c r="M339" s="1106"/>
      <c r="N339" s="1443" t="str">
        <f>+NOMINA!O305</f>
        <v>Ayudante de Servicios Generales</v>
      </c>
      <c r="O339" s="1107">
        <f>ROUND(NOMINA!W305,2)</f>
        <v>76</v>
      </c>
      <c r="P339" s="1107">
        <f>NOMINA!AF305</f>
        <v>10.49</v>
      </c>
      <c r="Q339" s="1107">
        <f>NOMINA!AH305</f>
        <v>65</v>
      </c>
      <c r="R339" s="1107">
        <f>NOMINA!AC305</f>
        <v>0</v>
      </c>
      <c r="S339" s="1107">
        <f>NOMINA!AJ305</f>
        <v>0</v>
      </c>
      <c r="T339" s="1108">
        <f t="shared" ref="T339:T353" si="38">+P308+Q308+R308+S308</f>
        <v>78.150000000000006</v>
      </c>
      <c r="U339" s="1107">
        <f>ROUND(NOMINA!BL305,2)</f>
        <v>13.98</v>
      </c>
      <c r="V339" s="1107">
        <f>ROUND(NOMINA!BM305,2)</f>
        <v>1.75</v>
      </c>
      <c r="W339" s="1107">
        <f>ROUND(+NOMINA!BN305,2)</f>
        <v>3.03</v>
      </c>
      <c r="X339" s="1108">
        <f t="shared" ref="X339:X346" si="39">ROUND(SUM(U324:W324),2)</f>
        <v>7124.74</v>
      </c>
      <c r="Y339" s="1107">
        <f>ROUND(NOMINA!BJ305,2)</f>
        <v>0</v>
      </c>
      <c r="Z339" s="1109">
        <f t="shared" ref="Z339:Z402" si="40">+O339+P339+Q339+R339+S339-(U339+V339+W339)</f>
        <v>132.73000000000002</v>
      </c>
    </row>
    <row r="340" spans="1:26" s="620" customFormat="1" ht="21" customHeight="1" thickBot="1" x14ac:dyDescent="0.25">
      <c r="A340" s="758" t="s">
        <v>2834</v>
      </c>
      <c r="B340" s="508">
        <f t="shared" ref="B340:B403" si="41">+B339+1</f>
        <v>2</v>
      </c>
      <c r="C340" s="1706">
        <f>+NOMINA!C306</f>
        <v>5757455</v>
      </c>
      <c r="D340" s="1707" t="str">
        <f>+NOMINA!D306</f>
        <v>Ramirez Garcia Maria Perpetua</v>
      </c>
      <c r="E340" s="1468" t="s">
        <v>4622</v>
      </c>
      <c r="F340" s="1442">
        <v>27853</v>
      </c>
      <c r="G340" s="1468" t="s">
        <v>4620</v>
      </c>
      <c r="H340" s="1708">
        <f>+NOMINA!H306</f>
        <v>39409</v>
      </c>
      <c r="I340" s="1105">
        <f>+NOMINA!I306</f>
        <v>17</v>
      </c>
      <c r="J340" s="1106">
        <f>+NOMINA!J306</f>
        <v>0</v>
      </c>
      <c r="K340" s="1105">
        <f t="shared" ref="K340:K403" si="42">I340+J340</f>
        <v>17</v>
      </c>
      <c r="L340" s="1106" t="s">
        <v>4932</v>
      </c>
      <c r="M340" s="1106"/>
      <c r="N340" s="1443" t="str">
        <f>+NOMINA!O306</f>
        <v>Cocinera</v>
      </c>
      <c r="O340" s="1107">
        <f>ROUND(NOMINA!W306,2)</f>
        <v>85.5</v>
      </c>
      <c r="P340" s="1107">
        <f>NOMINA!AF306</f>
        <v>18.13</v>
      </c>
      <c r="Q340" s="1107">
        <f>NOMINA!AH306</f>
        <v>65</v>
      </c>
      <c r="R340" s="1107">
        <f>NOMINA!AC306</f>
        <v>0</v>
      </c>
      <c r="S340" s="1107">
        <f>NOMINA!AJ306</f>
        <v>0</v>
      </c>
      <c r="T340" s="1108">
        <f t="shared" si="38"/>
        <v>78.150000000000006</v>
      </c>
      <c r="U340" s="1107">
        <f>ROUND(NOMINA!BL306,2)</f>
        <v>0</v>
      </c>
      <c r="V340" s="1107">
        <f>ROUND(NOMINA!BM306,2)</f>
        <v>0</v>
      </c>
      <c r="W340" s="1107">
        <f>ROUND(+NOMINA!BN306,2)</f>
        <v>3.37</v>
      </c>
      <c r="X340" s="1108">
        <f t="shared" si="39"/>
        <v>0</v>
      </c>
      <c r="Y340" s="1107">
        <f>ROUND(NOMINA!BJ306,2)</f>
        <v>0</v>
      </c>
      <c r="Z340" s="1109">
        <f t="shared" si="40"/>
        <v>165.26</v>
      </c>
    </row>
    <row r="341" spans="1:26" s="620" customFormat="1" ht="21" customHeight="1" thickBot="1" x14ac:dyDescent="0.25">
      <c r="A341" s="758" t="s">
        <v>2834</v>
      </c>
      <c r="B341" s="508">
        <f t="shared" si="41"/>
        <v>3</v>
      </c>
      <c r="C341" s="1706">
        <f>+NOMINA!C307</f>
        <v>5762185</v>
      </c>
      <c r="D341" s="1707" t="str">
        <f>+NOMINA!D307</f>
        <v>Salas Quintero Jose Gregorio</v>
      </c>
      <c r="E341" s="1468" t="s">
        <v>4622</v>
      </c>
      <c r="F341" s="1442">
        <v>27853</v>
      </c>
      <c r="G341" s="1468" t="s">
        <v>4620</v>
      </c>
      <c r="H341" s="1708">
        <f>+NOMINA!H307</f>
        <v>37622</v>
      </c>
      <c r="I341" s="1105">
        <f>+NOMINA!I307</f>
        <v>22</v>
      </c>
      <c r="J341" s="1106">
        <f>+NOMINA!J307</f>
        <v>0</v>
      </c>
      <c r="K341" s="1105">
        <f t="shared" si="42"/>
        <v>22</v>
      </c>
      <c r="L341" s="1106" t="s">
        <v>4932</v>
      </c>
      <c r="M341" s="1106"/>
      <c r="N341" s="1443" t="str">
        <f>+NOMINA!O307</f>
        <v>Vigilante</v>
      </c>
      <c r="O341" s="1107">
        <f>ROUND(NOMINA!W307,2)</f>
        <v>85.5</v>
      </c>
      <c r="P341" s="1107">
        <f>NOMINA!AF307</f>
        <v>25.31</v>
      </c>
      <c r="Q341" s="1107">
        <f>NOMINA!AH307</f>
        <v>65</v>
      </c>
      <c r="R341" s="1107">
        <f>NOMINA!AC307</f>
        <v>0</v>
      </c>
      <c r="S341" s="1107">
        <f>NOMINA!AJ307</f>
        <v>0</v>
      </c>
      <c r="T341" s="1108">
        <f t="shared" si="38"/>
        <v>65</v>
      </c>
      <c r="U341" s="1107">
        <f>ROUND(NOMINA!BL307,2)</f>
        <v>16.23</v>
      </c>
      <c r="V341" s="1107">
        <f>ROUND(NOMINA!BM307,2)</f>
        <v>2.0299999999999998</v>
      </c>
      <c r="W341" s="1107">
        <f>ROUND(+NOMINA!BN307,2)</f>
        <v>3.52</v>
      </c>
      <c r="X341" s="1108">
        <f t="shared" si="39"/>
        <v>0</v>
      </c>
      <c r="Y341" s="1107">
        <f>ROUND(NOMINA!BJ307,2)</f>
        <v>0</v>
      </c>
      <c r="Z341" s="1109">
        <f t="shared" si="40"/>
        <v>154.03</v>
      </c>
    </row>
    <row r="342" spans="1:26" s="620" customFormat="1" ht="21" customHeight="1" thickBot="1" x14ac:dyDescent="0.25">
      <c r="A342" s="758" t="s">
        <v>2834</v>
      </c>
      <c r="B342" s="508">
        <f t="shared" si="41"/>
        <v>4</v>
      </c>
      <c r="C342" s="1706">
        <f>+NOMINA!C308</f>
        <v>6332524</v>
      </c>
      <c r="D342" s="1707" t="str">
        <f>+NOMINA!D308</f>
        <v>Flores Diana Yamilet</v>
      </c>
      <c r="E342" s="1468" t="s">
        <v>4622</v>
      </c>
      <c r="F342" s="1442">
        <v>27853</v>
      </c>
      <c r="G342" s="1468" t="s">
        <v>4620</v>
      </c>
      <c r="H342" s="1708">
        <f>+NOMINA!H308</f>
        <v>42948</v>
      </c>
      <c r="I342" s="1105">
        <f>+NOMINA!I308</f>
        <v>8</v>
      </c>
      <c r="J342" s="1106">
        <f>+NOMINA!J308</f>
        <v>0</v>
      </c>
      <c r="K342" s="1105">
        <f t="shared" si="42"/>
        <v>8</v>
      </c>
      <c r="L342" s="1106" t="s">
        <v>4932</v>
      </c>
      <c r="M342" s="1106"/>
      <c r="N342" s="1443" t="str">
        <f>+NOMINA!O308</f>
        <v>Cocinera</v>
      </c>
      <c r="O342" s="1107">
        <f>ROUND(NOMINA!W308,2)</f>
        <v>85.5</v>
      </c>
      <c r="P342" s="1107">
        <f>NOMINA!AF308</f>
        <v>7.36</v>
      </c>
      <c r="Q342" s="1107">
        <f>NOMINA!AH308</f>
        <v>65</v>
      </c>
      <c r="R342" s="1107">
        <f>NOMINA!AC308</f>
        <v>0</v>
      </c>
      <c r="S342" s="1107">
        <f>NOMINA!AJ308</f>
        <v>0</v>
      </c>
      <c r="T342" s="1108">
        <f t="shared" si="38"/>
        <v>80.5</v>
      </c>
      <c r="U342" s="1107">
        <f>ROUND(NOMINA!BL308,2)</f>
        <v>14.57</v>
      </c>
      <c r="V342" s="1107">
        <f>ROUND(NOMINA!BM308,2)</f>
        <v>1.82</v>
      </c>
      <c r="W342" s="1107">
        <f>ROUND(+NOMINA!BN308,2)</f>
        <v>3.16</v>
      </c>
      <c r="X342" s="1108">
        <f t="shared" si="39"/>
        <v>0</v>
      </c>
      <c r="Y342" s="1107">
        <f>ROUND(NOMINA!BJ308,2)</f>
        <v>0</v>
      </c>
      <c r="Z342" s="1109">
        <f t="shared" si="40"/>
        <v>138.31</v>
      </c>
    </row>
    <row r="343" spans="1:26" s="620" customFormat="1" ht="21" customHeight="1" thickBot="1" x14ac:dyDescent="0.25">
      <c r="A343" s="758" t="s">
        <v>2834</v>
      </c>
      <c r="B343" s="508">
        <f t="shared" si="41"/>
        <v>5</v>
      </c>
      <c r="C343" s="1706">
        <f>+NOMINA!C309</f>
        <v>6902701</v>
      </c>
      <c r="D343" s="1707" t="str">
        <f>+NOMINA!D309</f>
        <v>Santiago Torres Jose Ramon</v>
      </c>
      <c r="E343" s="1468" t="s">
        <v>4622</v>
      </c>
      <c r="F343" s="1442">
        <v>27853</v>
      </c>
      <c r="G343" s="1468" t="s">
        <v>4620</v>
      </c>
      <c r="H343" s="1708">
        <f>+NOMINA!H309</f>
        <v>44228</v>
      </c>
      <c r="I343" s="1105">
        <f>+NOMINA!I309</f>
        <v>4</v>
      </c>
      <c r="J343" s="1106">
        <f>+NOMINA!J309</f>
        <v>0</v>
      </c>
      <c r="K343" s="1105">
        <f t="shared" si="42"/>
        <v>4</v>
      </c>
      <c r="L343" s="1106" t="s">
        <v>4932</v>
      </c>
      <c r="M343" s="1106"/>
      <c r="N343" s="1443" t="str">
        <f>+NOMINA!O309</f>
        <v>Mensajero</v>
      </c>
      <c r="O343" s="1107">
        <f>ROUND(NOMINA!W309,2)</f>
        <v>71</v>
      </c>
      <c r="P343" s="1107">
        <f>NOMINA!AF309</f>
        <v>2.84</v>
      </c>
      <c r="Q343" s="1107">
        <f>NOMINA!AH309</f>
        <v>65</v>
      </c>
      <c r="R343" s="1107">
        <f>NOMINA!AC309</f>
        <v>12.5</v>
      </c>
      <c r="S343" s="1107">
        <f>NOMINA!AJ309</f>
        <v>0</v>
      </c>
      <c r="T343" s="1108">
        <f t="shared" si="38"/>
        <v>82.77</v>
      </c>
      <c r="U343" s="1107">
        <f>ROUND(NOMINA!BL309,2)</f>
        <v>13.39</v>
      </c>
      <c r="V343" s="1107">
        <f>ROUND(NOMINA!BM309,2)</f>
        <v>1.67</v>
      </c>
      <c r="W343" s="1107">
        <f>ROUND(+NOMINA!BN309,2)</f>
        <v>2.9</v>
      </c>
      <c r="X343" s="1108">
        <f t="shared" si="39"/>
        <v>0</v>
      </c>
      <c r="Y343" s="1107">
        <f>ROUND(NOMINA!BJ309,2)</f>
        <v>0</v>
      </c>
      <c r="Z343" s="1109">
        <f t="shared" si="40"/>
        <v>133.38</v>
      </c>
    </row>
    <row r="344" spans="1:26" s="620" customFormat="1" ht="21" customHeight="1" thickBot="1" x14ac:dyDescent="0.25">
      <c r="A344" s="758" t="s">
        <v>2834</v>
      </c>
      <c r="B344" s="508">
        <f t="shared" si="41"/>
        <v>6</v>
      </c>
      <c r="C344" s="1706">
        <f>+NOMINA!C310</f>
        <v>7252065</v>
      </c>
      <c r="D344" s="1707" t="str">
        <f>+NOMINA!D310</f>
        <v>Rivas Rivas Jose Gerardo</v>
      </c>
      <c r="E344" s="1468" t="s">
        <v>4622</v>
      </c>
      <c r="F344" s="1442">
        <v>27853</v>
      </c>
      <c r="G344" s="1468" t="s">
        <v>4620</v>
      </c>
      <c r="H344" s="1708">
        <f>+NOMINA!H310</f>
        <v>43891</v>
      </c>
      <c r="I344" s="1105">
        <f>+NOMINA!I310</f>
        <v>5</v>
      </c>
      <c r="J344" s="1106">
        <f>+NOMINA!J310</f>
        <v>0</v>
      </c>
      <c r="K344" s="1105">
        <f t="shared" si="42"/>
        <v>5</v>
      </c>
      <c r="L344" s="1106" t="s">
        <v>4932</v>
      </c>
      <c r="M344" s="1106"/>
      <c r="N344" s="1443" t="str">
        <f>+NOMINA!O310</f>
        <v>Ayudante de Servicios Generales</v>
      </c>
      <c r="O344" s="1107">
        <f>ROUND(NOMINA!W310,2)</f>
        <v>76</v>
      </c>
      <c r="P344" s="1107">
        <f>NOMINA!AF310</f>
        <v>3.8</v>
      </c>
      <c r="Q344" s="1107">
        <f>NOMINA!AH310</f>
        <v>65</v>
      </c>
      <c r="R344" s="1107">
        <f>NOMINA!AC310</f>
        <v>0</v>
      </c>
      <c r="S344" s="1107">
        <f>NOMINA!AJ310</f>
        <v>0</v>
      </c>
      <c r="T344" s="1108">
        <f t="shared" si="38"/>
        <v>78.8</v>
      </c>
      <c r="U344" s="1107">
        <f>ROUND(NOMINA!BL310,2)</f>
        <v>17.38</v>
      </c>
      <c r="V344" s="1107">
        <f>ROUND(NOMINA!BM310,2)</f>
        <v>2.17</v>
      </c>
      <c r="W344" s="1107">
        <f>ROUND(+NOMINA!BN310,2)</f>
        <v>3.76</v>
      </c>
      <c r="X344" s="1108">
        <f t="shared" si="39"/>
        <v>0</v>
      </c>
      <c r="Y344" s="1107">
        <f>ROUND(NOMINA!BJ310,2)</f>
        <v>0</v>
      </c>
      <c r="Z344" s="1109">
        <f t="shared" si="40"/>
        <v>121.49000000000001</v>
      </c>
    </row>
    <row r="345" spans="1:26" s="620" customFormat="1" ht="21" customHeight="1" thickBot="1" x14ac:dyDescent="0.25">
      <c r="A345" s="758" t="s">
        <v>2834</v>
      </c>
      <c r="B345" s="508">
        <f t="shared" si="41"/>
        <v>7</v>
      </c>
      <c r="C345" s="1706">
        <f>+NOMINA!C311</f>
        <v>9008311</v>
      </c>
      <c r="D345" s="1707" t="str">
        <f>+NOMINA!D311</f>
        <v>Toro Margi Enrique</v>
      </c>
      <c r="E345" s="1468" t="s">
        <v>4622</v>
      </c>
      <c r="F345" s="1442">
        <v>27853</v>
      </c>
      <c r="G345" s="1468" t="s">
        <v>4620</v>
      </c>
      <c r="H345" s="1708">
        <f>+NOMINA!H311</f>
        <v>39265</v>
      </c>
      <c r="I345" s="1105">
        <f>+NOMINA!I311</f>
        <v>18</v>
      </c>
      <c r="J345" s="1106">
        <f>+NOMINA!J311</f>
        <v>0</v>
      </c>
      <c r="K345" s="1105">
        <f t="shared" si="42"/>
        <v>18</v>
      </c>
      <c r="L345" s="1106" t="s">
        <v>4932</v>
      </c>
      <c r="M345" s="1106"/>
      <c r="N345" s="1443" t="str">
        <f>+NOMINA!O311</f>
        <v>Ayudante de Servicios Generales</v>
      </c>
      <c r="O345" s="1107">
        <f>ROUND(NOMINA!W311,2)</f>
        <v>76</v>
      </c>
      <c r="P345" s="1107">
        <f>NOMINA!AF311</f>
        <v>17.329999999999998</v>
      </c>
      <c r="Q345" s="1107">
        <f>NOMINA!AH311</f>
        <v>65</v>
      </c>
      <c r="R345" s="1107">
        <f>NOMINA!AC311</f>
        <v>0</v>
      </c>
      <c r="S345" s="1107">
        <f>NOMINA!AJ311</f>
        <v>0</v>
      </c>
      <c r="T345" s="1108">
        <f t="shared" si="38"/>
        <v>66.3</v>
      </c>
      <c r="U345" s="1107">
        <f>ROUND(NOMINA!BL311,2)</f>
        <v>14.62</v>
      </c>
      <c r="V345" s="1107">
        <f>ROUND(NOMINA!BM311,2)</f>
        <v>1.83</v>
      </c>
      <c r="W345" s="1107">
        <f>ROUND(+NOMINA!BN311,2)</f>
        <v>3.17</v>
      </c>
      <c r="X345" s="1108">
        <f t="shared" si="39"/>
        <v>0</v>
      </c>
      <c r="Y345" s="1107">
        <f>ROUND(NOMINA!BJ311,2)</f>
        <v>0</v>
      </c>
      <c r="Z345" s="1109">
        <f t="shared" si="40"/>
        <v>138.70999999999998</v>
      </c>
    </row>
    <row r="346" spans="1:26" s="620" customFormat="1" ht="21" customHeight="1" thickBot="1" x14ac:dyDescent="0.25">
      <c r="A346" s="758" t="s">
        <v>2834</v>
      </c>
      <c r="B346" s="508">
        <f t="shared" si="41"/>
        <v>8</v>
      </c>
      <c r="C346" s="1706">
        <f>+NOMINA!C312</f>
        <v>9011963</v>
      </c>
      <c r="D346" s="1707" t="str">
        <f>+NOMINA!D312</f>
        <v>Alarcon Argenio</v>
      </c>
      <c r="E346" s="1468" t="s">
        <v>4622</v>
      </c>
      <c r="F346" s="1442">
        <v>27853</v>
      </c>
      <c r="G346" s="1468" t="s">
        <v>4620</v>
      </c>
      <c r="H346" s="1708">
        <f>+NOMINA!H312</f>
        <v>39820</v>
      </c>
      <c r="I346" s="1105">
        <f>+NOMINA!I312</f>
        <v>16</v>
      </c>
      <c r="J346" s="1106">
        <f>+NOMINA!J312</f>
        <v>0</v>
      </c>
      <c r="K346" s="1105">
        <f t="shared" si="42"/>
        <v>16</v>
      </c>
      <c r="L346" s="1106" t="s">
        <v>4932</v>
      </c>
      <c r="M346" s="1106"/>
      <c r="N346" s="1443" t="str">
        <f>+NOMINA!O312</f>
        <v>Ayudante de Servicios Generales</v>
      </c>
      <c r="O346" s="1107">
        <f>ROUND(NOMINA!W312,2)</f>
        <v>76</v>
      </c>
      <c r="P346" s="1107">
        <f>NOMINA!AF312</f>
        <v>14.9</v>
      </c>
      <c r="Q346" s="1107">
        <f>NOMINA!AH312</f>
        <v>65</v>
      </c>
      <c r="R346" s="1107">
        <f>NOMINA!AC312</f>
        <v>0</v>
      </c>
      <c r="S346" s="1107">
        <f>NOMINA!AJ312</f>
        <v>0</v>
      </c>
      <c r="T346" s="1108">
        <f t="shared" si="38"/>
        <v>0</v>
      </c>
      <c r="U346" s="1107">
        <f>ROUND(NOMINA!BL312,2)</f>
        <v>0</v>
      </c>
      <c r="V346" s="1107">
        <f>ROUND(NOMINA!BM312,2)</f>
        <v>0</v>
      </c>
      <c r="W346" s="1107">
        <f>ROUND(+NOMINA!BN312,2)</f>
        <v>3.12</v>
      </c>
      <c r="X346" s="1108">
        <f t="shared" si="39"/>
        <v>0</v>
      </c>
      <c r="Y346" s="1107">
        <f>ROUND(NOMINA!BJ312,2)</f>
        <v>0</v>
      </c>
      <c r="Z346" s="1109">
        <f t="shared" si="40"/>
        <v>152.78</v>
      </c>
    </row>
    <row r="347" spans="1:26" s="620" customFormat="1" ht="21" customHeight="1" thickBot="1" x14ac:dyDescent="0.25">
      <c r="A347" s="758" t="s">
        <v>2834</v>
      </c>
      <c r="B347" s="508">
        <f t="shared" si="41"/>
        <v>9</v>
      </c>
      <c r="C347" s="1706">
        <f>+NOMINA!C313</f>
        <v>9100500</v>
      </c>
      <c r="D347" s="1707" t="str">
        <f>+NOMINA!D313</f>
        <v>Hernandez de Villegas Zoraida Elodia</v>
      </c>
      <c r="E347" s="1468" t="s">
        <v>4622</v>
      </c>
      <c r="F347" s="1442">
        <v>27853</v>
      </c>
      <c r="G347" s="1468" t="s">
        <v>4620</v>
      </c>
      <c r="H347" s="1708">
        <f>+NOMINA!H313</f>
        <v>39496</v>
      </c>
      <c r="I347" s="1105">
        <f>+NOMINA!I313</f>
        <v>17</v>
      </c>
      <c r="J347" s="1106">
        <f>+NOMINA!J313</f>
        <v>0</v>
      </c>
      <c r="K347" s="1105">
        <f t="shared" si="42"/>
        <v>17</v>
      </c>
      <c r="L347" s="1106" t="s">
        <v>4932</v>
      </c>
      <c r="M347" s="1106"/>
      <c r="N347" s="1443" t="str">
        <f>+NOMINA!O313</f>
        <v>Aseadora</v>
      </c>
      <c r="O347" s="1107">
        <f>ROUND(NOMINA!W313,2)</f>
        <v>65</v>
      </c>
      <c r="P347" s="1107">
        <f>NOMINA!AF313</f>
        <v>13.78</v>
      </c>
      <c r="Q347" s="1107">
        <f>NOMINA!AH313</f>
        <v>65</v>
      </c>
      <c r="R347" s="1107">
        <f>NOMINA!AC313</f>
        <v>0</v>
      </c>
      <c r="S347" s="1107">
        <f>NOMINA!AJ313</f>
        <v>0</v>
      </c>
      <c r="T347" s="1108">
        <f t="shared" si="38"/>
        <v>105.16</v>
      </c>
      <c r="U347" s="1107">
        <f>ROUND(NOMINA!BL313,2)</f>
        <v>13.27</v>
      </c>
      <c r="V347" s="1107">
        <f>ROUND(NOMINA!BM313,2)</f>
        <v>1.66</v>
      </c>
      <c r="W347" s="1107">
        <f>ROUND(+NOMINA!BN313,2)</f>
        <v>2.88</v>
      </c>
      <c r="X347" s="1108">
        <f>ROUND(SUM(U332:V332),2)</f>
        <v>0</v>
      </c>
      <c r="Y347" s="1107">
        <f>ROUND(NOMINA!BJ313,2)</f>
        <v>0</v>
      </c>
      <c r="Z347" s="1109">
        <f t="shared" si="40"/>
        <v>125.97</v>
      </c>
    </row>
    <row r="348" spans="1:26" s="620" customFormat="1" ht="21" customHeight="1" thickBot="1" x14ac:dyDescent="0.25">
      <c r="A348" s="758" t="s">
        <v>2834</v>
      </c>
      <c r="B348" s="508">
        <f t="shared" si="41"/>
        <v>10</v>
      </c>
      <c r="C348" s="1706">
        <f>+NOMINA!C314</f>
        <v>9110498</v>
      </c>
      <c r="D348" s="1707" t="str">
        <f>+NOMINA!D314</f>
        <v>Ruiz Alberto Jose</v>
      </c>
      <c r="E348" s="1468" t="s">
        <v>4622</v>
      </c>
      <c r="F348" s="1442">
        <v>27853</v>
      </c>
      <c r="G348" s="1468" t="s">
        <v>4620</v>
      </c>
      <c r="H348" s="1708">
        <f>+NOMINA!H314</f>
        <v>37508</v>
      </c>
      <c r="I348" s="1105">
        <f>+NOMINA!I314</f>
        <v>23</v>
      </c>
      <c r="J348" s="1106">
        <f>+NOMINA!J314</f>
        <v>0</v>
      </c>
      <c r="K348" s="1105">
        <f t="shared" si="42"/>
        <v>23</v>
      </c>
      <c r="L348" s="1106" t="s">
        <v>4932</v>
      </c>
      <c r="M348" s="1106"/>
      <c r="N348" s="1443" t="str">
        <f>+NOMINA!O314</f>
        <v>Ayudante de Servicios Generales</v>
      </c>
      <c r="O348" s="1107">
        <f>ROUND(NOMINA!W314,2)</f>
        <v>76</v>
      </c>
      <c r="P348" s="1107">
        <f>NOMINA!AF314</f>
        <v>22.8</v>
      </c>
      <c r="Q348" s="1107">
        <f>NOMINA!AH314</f>
        <v>65</v>
      </c>
      <c r="R348" s="1107">
        <f>NOMINA!AC314</f>
        <v>0</v>
      </c>
      <c r="S348" s="1107">
        <f>NOMINA!AJ314</f>
        <v>0</v>
      </c>
      <c r="T348" s="1108">
        <f t="shared" si="38"/>
        <v>68</v>
      </c>
      <c r="U348" s="1107">
        <f>ROUND(NOMINA!BL314,2)</f>
        <v>15.12</v>
      </c>
      <c r="V348" s="1107">
        <f>ROUND(NOMINA!BM314,2)</f>
        <v>1.89</v>
      </c>
      <c r="W348" s="1107">
        <f>ROUND(+NOMINA!BN314,2)</f>
        <v>3.28</v>
      </c>
      <c r="X348" s="1108">
        <f>ROUND(SUM(U333:V333),2)</f>
        <v>0</v>
      </c>
      <c r="Y348" s="1107">
        <f>ROUND(NOMINA!BJ314,2)</f>
        <v>0</v>
      </c>
      <c r="Z348" s="1109">
        <f t="shared" si="40"/>
        <v>143.51000000000002</v>
      </c>
    </row>
    <row r="349" spans="1:26" s="620" customFormat="1" ht="21" customHeight="1" thickBot="1" x14ac:dyDescent="0.25">
      <c r="A349" s="758" t="s">
        <v>2834</v>
      </c>
      <c r="B349" s="508">
        <f t="shared" si="41"/>
        <v>11</v>
      </c>
      <c r="C349" s="1706">
        <f>+NOMINA!C315</f>
        <v>9163994</v>
      </c>
      <c r="D349" s="1707" t="str">
        <f>+NOMINA!D315</f>
        <v>Rodriguez Fernandez Carlos Eduardo</v>
      </c>
      <c r="E349" s="1468" t="s">
        <v>4622</v>
      </c>
      <c r="F349" s="1442">
        <v>27853</v>
      </c>
      <c r="G349" s="1468" t="s">
        <v>4620</v>
      </c>
      <c r="H349" s="1708">
        <f>+NOMINA!H315</f>
        <v>43770</v>
      </c>
      <c r="I349" s="1105">
        <f>+NOMINA!I315</f>
        <v>5</v>
      </c>
      <c r="J349" s="1106">
        <f>+NOMINA!J315</f>
        <v>0</v>
      </c>
      <c r="K349" s="1105">
        <f t="shared" si="42"/>
        <v>5</v>
      </c>
      <c r="L349" s="1106" t="s">
        <v>4932</v>
      </c>
      <c r="M349" s="1106"/>
      <c r="N349" s="1443" t="str">
        <f>+NOMINA!O315</f>
        <v>Ayudante de Almacen</v>
      </c>
      <c r="O349" s="1107">
        <f>ROUND(NOMINA!W315,2)</f>
        <v>85.5</v>
      </c>
      <c r="P349" s="1107">
        <f>NOMINA!AF315</f>
        <v>4.28</v>
      </c>
      <c r="Q349" s="1107">
        <f>NOMINA!AH315</f>
        <v>65</v>
      </c>
      <c r="R349" s="1107">
        <f>NOMINA!AC315</f>
        <v>0</v>
      </c>
      <c r="S349" s="1107">
        <f>NOMINA!AJ315</f>
        <v>0</v>
      </c>
      <c r="T349" s="1108">
        <f t="shared" si="38"/>
        <v>91.3</v>
      </c>
      <c r="U349" s="1107">
        <f>ROUND(NOMINA!BL315,2)</f>
        <v>14.29</v>
      </c>
      <c r="V349" s="1107">
        <f>ROUND(NOMINA!BM315,2)</f>
        <v>1.79</v>
      </c>
      <c r="W349" s="1107">
        <f>ROUND(+NOMINA!BN315,2)</f>
        <v>3.1</v>
      </c>
      <c r="X349" s="1108">
        <f>ROUND(SUM(U334:V334),2)</f>
        <v>0</v>
      </c>
      <c r="Y349" s="1107">
        <f>ROUND(NOMINA!BJ315,2)</f>
        <v>0</v>
      </c>
      <c r="Z349" s="1109">
        <f t="shared" si="40"/>
        <v>135.6</v>
      </c>
    </row>
    <row r="350" spans="1:26" s="620" customFormat="1" ht="21" customHeight="1" thickBot="1" x14ac:dyDescent="0.25">
      <c r="A350" s="758" t="s">
        <v>2834</v>
      </c>
      <c r="B350" s="508">
        <f t="shared" si="41"/>
        <v>12</v>
      </c>
      <c r="C350" s="1706">
        <f>+NOMINA!C316</f>
        <v>9167342</v>
      </c>
      <c r="D350" s="1707" t="str">
        <f>+NOMINA!D316</f>
        <v>Gutierrez Briceño Jose Justimiano</v>
      </c>
      <c r="E350" s="1468" t="s">
        <v>4622</v>
      </c>
      <c r="F350" s="1442">
        <v>27853</v>
      </c>
      <c r="G350" s="1468" t="s">
        <v>4620</v>
      </c>
      <c r="H350" s="1708">
        <f>+NOMINA!H316</f>
        <v>43845</v>
      </c>
      <c r="I350" s="1105">
        <f>+NOMINA!I316</f>
        <v>5</v>
      </c>
      <c r="J350" s="1106">
        <f>+NOMINA!J316</f>
        <v>0</v>
      </c>
      <c r="K350" s="1105">
        <f t="shared" si="42"/>
        <v>5</v>
      </c>
      <c r="L350" s="1106" t="s">
        <v>4932</v>
      </c>
      <c r="M350" s="1106"/>
      <c r="N350" s="1443" t="str">
        <f>+NOMINA!O316</f>
        <v>Ayudante Agropecuario</v>
      </c>
      <c r="O350" s="1107">
        <f>ROUND(NOMINA!W316,2)</f>
        <v>76</v>
      </c>
      <c r="P350" s="1107">
        <f>NOMINA!AF316</f>
        <v>3.8</v>
      </c>
      <c r="Q350" s="1107">
        <f>NOMINA!AH316</f>
        <v>65</v>
      </c>
      <c r="R350" s="1107">
        <f>NOMINA!AC316</f>
        <v>0</v>
      </c>
      <c r="S350" s="1107">
        <f>NOMINA!AJ316</f>
        <v>0</v>
      </c>
      <c r="T350" s="1108">
        <f t="shared" si="38"/>
        <v>68.75</v>
      </c>
      <c r="U350" s="1107">
        <f>ROUND(NOMINA!BL316,2)</f>
        <v>13.37</v>
      </c>
      <c r="V350" s="1107">
        <f>ROUND(NOMINA!BM316,2)</f>
        <v>1.67</v>
      </c>
      <c r="W350" s="1107">
        <f>ROUND(+NOMINA!BN316,2)</f>
        <v>2.9</v>
      </c>
      <c r="X350" s="1108">
        <f>ROUND(SUM(U335:V335),2)</f>
        <v>0</v>
      </c>
      <c r="Y350" s="1107">
        <f>ROUND(NOMINA!BJ316,2)</f>
        <v>0</v>
      </c>
      <c r="Z350" s="1109">
        <f t="shared" si="40"/>
        <v>126.86000000000001</v>
      </c>
    </row>
    <row r="351" spans="1:26" s="620" customFormat="1" ht="21" customHeight="1" thickBot="1" x14ac:dyDescent="0.25">
      <c r="A351" s="758" t="s">
        <v>2834</v>
      </c>
      <c r="B351" s="508">
        <f t="shared" si="41"/>
        <v>13</v>
      </c>
      <c r="C351" s="1706">
        <f>+NOMINA!C317</f>
        <v>9310477</v>
      </c>
      <c r="D351" s="1707" t="str">
        <f>+NOMINA!D317</f>
        <v>Campos Muchacho Rafael Angel</v>
      </c>
      <c r="E351" s="1468" t="s">
        <v>4622</v>
      </c>
      <c r="F351" s="1442">
        <v>27853</v>
      </c>
      <c r="G351" s="1468" t="s">
        <v>4620</v>
      </c>
      <c r="H351" s="1708">
        <f>+NOMINA!H317</f>
        <v>44075</v>
      </c>
      <c r="I351" s="1105">
        <f>+NOMINA!I317</f>
        <v>5</v>
      </c>
      <c r="J351" s="1106">
        <f>+NOMINA!J317</f>
        <v>0</v>
      </c>
      <c r="K351" s="1105">
        <f t="shared" si="42"/>
        <v>5</v>
      </c>
      <c r="L351" s="1106" t="s">
        <v>4932</v>
      </c>
      <c r="M351" s="1106"/>
      <c r="N351" s="1443" t="str">
        <f>+NOMINA!O317</f>
        <v>Ayudante Agropecuario</v>
      </c>
      <c r="O351" s="1107">
        <f>ROUND(NOMINA!W317,2)</f>
        <v>76</v>
      </c>
      <c r="P351" s="1107">
        <f>NOMINA!AF317</f>
        <v>3.8</v>
      </c>
      <c r="Q351" s="1107">
        <f>NOMINA!AH317</f>
        <v>65</v>
      </c>
      <c r="R351" s="1107">
        <f>NOMINA!AC317</f>
        <v>0</v>
      </c>
      <c r="S351" s="1107">
        <f>NOMINA!AJ317</f>
        <v>0</v>
      </c>
      <c r="T351" s="1108">
        <f t="shared" si="38"/>
        <v>112</v>
      </c>
      <c r="U351" s="1107">
        <f>ROUND(NOMINA!BL317,2)</f>
        <v>13.37</v>
      </c>
      <c r="V351" s="1107">
        <f>ROUND(NOMINA!BM317,2)</f>
        <v>1.67</v>
      </c>
      <c r="W351" s="1107">
        <f>ROUND(+NOMINA!BN317,2)</f>
        <v>2.9</v>
      </c>
      <c r="X351" s="1108">
        <f>ROUND(SUM(U336:V336),2)</f>
        <v>0</v>
      </c>
      <c r="Y351" s="1107">
        <f>ROUND(NOMINA!BJ317,2)</f>
        <v>0</v>
      </c>
      <c r="Z351" s="1109">
        <f t="shared" si="40"/>
        <v>126.86000000000001</v>
      </c>
    </row>
    <row r="352" spans="1:26" s="620" customFormat="1" ht="21" customHeight="1" thickBot="1" x14ac:dyDescent="0.25">
      <c r="A352" s="758" t="s">
        <v>2834</v>
      </c>
      <c r="B352" s="508">
        <f t="shared" si="41"/>
        <v>14</v>
      </c>
      <c r="C352" s="1706">
        <f>+NOMINA!C318</f>
        <v>9323739</v>
      </c>
      <c r="D352" s="1707" t="str">
        <f>+NOMINA!D318</f>
        <v>Vargas Benitez Jose Nerio</v>
      </c>
      <c r="E352" s="1468" t="s">
        <v>4622</v>
      </c>
      <c r="F352" s="1442">
        <v>27853</v>
      </c>
      <c r="G352" s="1468" t="s">
        <v>4620</v>
      </c>
      <c r="H352" s="1708">
        <f>+NOMINA!H318</f>
        <v>39300</v>
      </c>
      <c r="I352" s="1105">
        <f>+NOMINA!I318</f>
        <v>18</v>
      </c>
      <c r="J352" s="1106">
        <f>+NOMINA!J318</f>
        <v>0</v>
      </c>
      <c r="K352" s="1105">
        <f t="shared" si="42"/>
        <v>18</v>
      </c>
      <c r="L352" s="1106" t="s">
        <v>4932</v>
      </c>
      <c r="M352" s="1106"/>
      <c r="N352" s="1443" t="str">
        <f>+NOMINA!O318</f>
        <v>Ayudante de Servicios Generales</v>
      </c>
      <c r="O352" s="1107">
        <f>ROUND(NOMINA!W318,2)</f>
        <v>76</v>
      </c>
      <c r="P352" s="1107">
        <f>NOMINA!AF318</f>
        <v>17.329999999999998</v>
      </c>
      <c r="Q352" s="1107">
        <f>NOMINA!AH318</f>
        <v>65</v>
      </c>
      <c r="R352" s="1107">
        <f>NOMINA!AC318</f>
        <v>0</v>
      </c>
      <c r="S352" s="1107">
        <f>NOMINA!AJ318</f>
        <v>0</v>
      </c>
      <c r="T352" s="1108">
        <f t="shared" si="38"/>
        <v>82.77</v>
      </c>
      <c r="U352" s="1107">
        <f>ROUND(NOMINA!BL318,2)</f>
        <v>14.62</v>
      </c>
      <c r="V352" s="1107">
        <f>ROUND(NOMINA!BM318,2)</f>
        <v>1.83</v>
      </c>
      <c r="W352" s="1107">
        <f>ROUND(+NOMINA!BN318,2)</f>
        <v>3.17</v>
      </c>
      <c r="X352" s="1108">
        <f t="shared" ref="X352:X383" si="43">ROUND(SUM(U337:W337),2)</f>
        <v>0</v>
      </c>
      <c r="Y352" s="1107">
        <f>ROUND(NOMINA!BJ318,2)</f>
        <v>0</v>
      </c>
      <c r="Z352" s="1109">
        <f t="shared" si="40"/>
        <v>138.70999999999998</v>
      </c>
    </row>
    <row r="353" spans="1:26" s="620" customFormat="1" ht="21" customHeight="1" thickBot="1" x14ac:dyDescent="0.25">
      <c r="A353" s="758" t="s">
        <v>2834</v>
      </c>
      <c r="B353" s="508">
        <f t="shared" si="41"/>
        <v>15</v>
      </c>
      <c r="C353" s="1706">
        <f>+NOMINA!C319</f>
        <v>9325664</v>
      </c>
      <c r="D353" s="1707" t="str">
        <f>+NOMINA!D319</f>
        <v>Lobo Mendoza Luz Marina</v>
      </c>
      <c r="E353" s="1468" t="s">
        <v>4622</v>
      </c>
      <c r="F353" s="1442">
        <v>27853</v>
      </c>
      <c r="G353" s="1468" t="s">
        <v>4620</v>
      </c>
      <c r="H353" s="1708">
        <f>+NOMINA!H319</f>
        <v>42948</v>
      </c>
      <c r="I353" s="1105">
        <f>+NOMINA!I319</f>
        <v>8</v>
      </c>
      <c r="J353" s="1106">
        <f>+NOMINA!J319</f>
        <v>0</v>
      </c>
      <c r="K353" s="1105">
        <f t="shared" si="42"/>
        <v>8</v>
      </c>
      <c r="L353" s="1106" t="s">
        <v>4932</v>
      </c>
      <c r="M353" s="1106"/>
      <c r="N353" s="1443" t="str">
        <f>+NOMINA!O319</f>
        <v>Ayudante de Servicios Generales</v>
      </c>
      <c r="O353" s="1107">
        <f>ROUND(NOMINA!W319,2)</f>
        <v>76</v>
      </c>
      <c r="P353" s="1107">
        <f>NOMINA!AF319</f>
        <v>6.54</v>
      </c>
      <c r="Q353" s="1107">
        <f>NOMINA!AH319</f>
        <v>65</v>
      </c>
      <c r="R353" s="1107">
        <f>NOMINA!AC319</f>
        <v>0</v>
      </c>
      <c r="S353" s="1107">
        <f>NOMINA!AJ319</f>
        <v>0</v>
      </c>
      <c r="T353" s="1108">
        <f t="shared" si="38"/>
        <v>65.650000000000006</v>
      </c>
      <c r="U353" s="1107">
        <f>ROUND(NOMINA!BL319,2)</f>
        <v>13.62</v>
      </c>
      <c r="V353" s="1107">
        <f>ROUND(NOMINA!BM319,2)</f>
        <v>1.7</v>
      </c>
      <c r="W353" s="1107">
        <f>ROUND(+NOMINA!BN319,2)</f>
        <v>2.95</v>
      </c>
      <c r="X353" s="1108">
        <f t="shared" si="43"/>
        <v>0</v>
      </c>
      <c r="Y353" s="1107">
        <f>ROUND(NOMINA!BJ319,2)</f>
        <v>0</v>
      </c>
      <c r="Z353" s="1109">
        <f t="shared" si="40"/>
        <v>129.27000000000001</v>
      </c>
    </row>
    <row r="354" spans="1:26" s="620" customFormat="1" ht="21" customHeight="1" thickBot="1" x14ac:dyDescent="0.25">
      <c r="A354" s="758" t="s">
        <v>2834</v>
      </c>
      <c r="B354" s="508">
        <f t="shared" si="41"/>
        <v>16</v>
      </c>
      <c r="C354" s="1706">
        <f>+NOMINA!C320</f>
        <v>9328045</v>
      </c>
      <c r="D354" s="1707" t="str">
        <f>+NOMINA!D320</f>
        <v>Paredes Quintero Jose Benigno</v>
      </c>
      <c r="E354" s="1468" t="s">
        <v>4622</v>
      </c>
      <c r="F354" s="1442">
        <v>27853</v>
      </c>
      <c r="G354" s="1468" t="s">
        <v>4620</v>
      </c>
      <c r="H354" s="1708">
        <f>+NOMINA!H320</f>
        <v>44212</v>
      </c>
      <c r="I354" s="1105">
        <f>+NOMINA!I320</f>
        <v>4</v>
      </c>
      <c r="J354" s="1106">
        <f>+NOMINA!J320</f>
        <v>0</v>
      </c>
      <c r="K354" s="1105">
        <f t="shared" si="42"/>
        <v>4</v>
      </c>
      <c r="L354" s="1106" t="s">
        <v>4932</v>
      </c>
      <c r="M354" s="1106"/>
      <c r="N354" s="1443" t="str">
        <f>+NOMINA!O320</f>
        <v>Ayudante de Servicios Generales</v>
      </c>
      <c r="O354" s="1107">
        <f>ROUND(NOMINA!W320,2)</f>
        <v>76</v>
      </c>
      <c r="P354" s="1107">
        <f>NOMINA!AF320</f>
        <v>3.04</v>
      </c>
      <c r="Q354" s="1107">
        <f>NOMINA!AH320</f>
        <v>65</v>
      </c>
      <c r="R354" s="1107">
        <f>NOMINA!AC320</f>
        <v>0</v>
      </c>
      <c r="S354" s="1107">
        <f>NOMINA!AJ320</f>
        <v>0</v>
      </c>
      <c r="T354" s="1108" t="e">
        <f>+#REF!+#REF!+#REF!+#REF!</f>
        <v>#REF!</v>
      </c>
      <c r="U354" s="1107">
        <f>ROUND(NOMINA!BL320,2)</f>
        <v>13.3</v>
      </c>
      <c r="V354" s="1107">
        <f>ROUND(NOMINA!BM320,2)</f>
        <v>1.66</v>
      </c>
      <c r="W354" s="1107">
        <f>ROUND(+NOMINA!BN320,2)</f>
        <v>2.88</v>
      </c>
      <c r="X354" s="1108">
        <f t="shared" si="43"/>
        <v>18.760000000000002</v>
      </c>
      <c r="Y354" s="1107">
        <f>ROUND(NOMINA!BJ320,2)</f>
        <v>0</v>
      </c>
      <c r="Z354" s="1109">
        <f t="shared" si="40"/>
        <v>126.20000000000002</v>
      </c>
    </row>
    <row r="355" spans="1:26" s="620" customFormat="1" ht="21" customHeight="1" thickBot="1" x14ac:dyDescent="0.25">
      <c r="A355" s="758" t="s">
        <v>2834</v>
      </c>
      <c r="B355" s="508">
        <f t="shared" si="41"/>
        <v>17</v>
      </c>
      <c r="C355" s="1706">
        <f>+NOMINA!C321</f>
        <v>10178456</v>
      </c>
      <c r="D355" s="1707" t="str">
        <f>+NOMINA!D321</f>
        <v>Figueroa Roa Yudith Griselda</v>
      </c>
      <c r="E355" s="1468" t="s">
        <v>4622</v>
      </c>
      <c r="F355" s="1442">
        <v>27853</v>
      </c>
      <c r="G355" s="1468" t="s">
        <v>4620</v>
      </c>
      <c r="H355" s="1708">
        <f>+NOMINA!H321</f>
        <v>44287</v>
      </c>
      <c r="I355" s="1105">
        <f>+NOMINA!I321</f>
        <v>4</v>
      </c>
      <c r="J355" s="1106">
        <f>+NOMINA!J321</f>
        <v>0</v>
      </c>
      <c r="K355" s="1105">
        <f t="shared" si="42"/>
        <v>4</v>
      </c>
      <c r="L355" s="1106" t="s">
        <v>4932</v>
      </c>
      <c r="M355" s="1106"/>
      <c r="N355" s="1443" t="str">
        <f>+NOMINA!O321</f>
        <v>Aseadora</v>
      </c>
      <c r="O355" s="1107">
        <f>ROUND(NOMINA!W321,2)</f>
        <v>65</v>
      </c>
      <c r="P355" s="1107">
        <f>NOMINA!AF321</f>
        <v>2.6</v>
      </c>
      <c r="Q355" s="1107">
        <f>NOMINA!AH321</f>
        <v>65</v>
      </c>
      <c r="R355" s="1107">
        <f>NOMINA!AC321</f>
        <v>0</v>
      </c>
      <c r="S355" s="1107">
        <f>NOMINA!AJ321</f>
        <v>0</v>
      </c>
      <c r="T355" s="1108" t="e">
        <f>+#REF!+#REF!+#REF!+#REF!</f>
        <v>#REF!</v>
      </c>
      <c r="U355" s="1107">
        <f>ROUND(NOMINA!BL321,2)</f>
        <v>12.24</v>
      </c>
      <c r="V355" s="1107">
        <f>ROUND(NOMINA!BM321,2)</f>
        <v>1.53</v>
      </c>
      <c r="W355" s="1107">
        <f>ROUND(+NOMINA!BN321,2)</f>
        <v>2.65</v>
      </c>
      <c r="X355" s="1108">
        <f t="shared" si="43"/>
        <v>3.37</v>
      </c>
      <c r="Y355" s="1107">
        <f>ROUND(NOMINA!BJ321,2)</f>
        <v>0</v>
      </c>
      <c r="Z355" s="1109">
        <f t="shared" si="40"/>
        <v>116.17999999999999</v>
      </c>
    </row>
    <row r="356" spans="1:26" s="620" customFormat="1" ht="21" customHeight="1" thickBot="1" x14ac:dyDescent="0.25">
      <c r="A356" s="758" t="s">
        <v>2834</v>
      </c>
      <c r="B356" s="508">
        <f t="shared" si="41"/>
        <v>18</v>
      </c>
      <c r="C356" s="1706">
        <f>+NOMINA!C322</f>
        <v>10317435</v>
      </c>
      <c r="D356" s="1707" t="str">
        <f>+NOMINA!D322</f>
        <v>Milla Ana Julia</v>
      </c>
      <c r="E356" s="1468" t="s">
        <v>4622</v>
      </c>
      <c r="F356" s="1442">
        <v>27853</v>
      </c>
      <c r="G356" s="1468" t="s">
        <v>4620</v>
      </c>
      <c r="H356" s="1708">
        <f>+NOMINA!H322</f>
        <v>39559</v>
      </c>
      <c r="I356" s="1105">
        <f>+NOMINA!I322</f>
        <v>17</v>
      </c>
      <c r="J356" s="1106">
        <f>+NOMINA!J322</f>
        <v>0</v>
      </c>
      <c r="K356" s="1105">
        <f t="shared" si="42"/>
        <v>17</v>
      </c>
      <c r="L356" s="1106" t="s">
        <v>4932</v>
      </c>
      <c r="M356" s="1106"/>
      <c r="N356" s="1443" t="str">
        <f>+NOMINA!O322</f>
        <v>Aseadora</v>
      </c>
      <c r="O356" s="1107">
        <f>ROUND(NOMINA!W322,2)</f>
        <v>65</v>
      </c>
      <c r="P356" s="1107">
        <f>NOMINA!AF322</f>
        <v>13.78</v>
      </c>
      <c r="Q356" s="1107">
        <f>NOMINA!AH322</f>
        <v>65</v>
      </c>
      <c r="R356" s="1107">
        <f>NOMINA!AC322</f>
        <v>0</v>
      </c>
      <c r="S356" s="1107">
        <f>NOMINA!AJ322</f>
        <v>0</v>
      </c>
      <c r="T356" s="1108" t="e">
        <f>+#REF!+#REF!+#REF!+#REF!</f>
        <v>#REF!</v>
      </c>
      <c r="U356" s="1107">
        <f>ROUND(NOMINA!BL322,2)</f>
        <v>13.27</v>
      </c>
      <c r="V356" s="1107">
        <f>ROUND(NOMINA!BM322,2)</f>
        <v>1.66</v>
      </c>
      <c r="W356" s="1107">
        <f>ROUND(+NOMINA!BN322,2)</f>
        <v>2.88</v>
      </c>
      <c r="X356" s="1108">
        <f t="shared" si="43"/>
        <v>21.78</v>
      </c>
      <c r="Y356" s="1107">
        <f>ROUND(NOMINA!BJ322,2)</f>
        <v>0</v>
      </c>
      <c r="Z356" s="1109">
        <f t="shared" si="40"/>
        <v>125.97</v>
      </c>
    </row>
    <row r="357" spans="1:26" s="620" customFormat="1" ht="21" customHeight="1" thickBot="1" x14ac:dyDescent="0.25">
      <c r="A357" s="758" t="s">
        <v>2834</v>
      </c>
      <c r="B357" s="508">
        <f t="shared" si="41"/>
        <v>19</v>
      </c>
      <c r="C357" s="1706">
        <f>+NOMINA!C323</f>
        <v>10396367</v>
      </c>
      <c r="D357" s="1707" t="str">
        <f>+NOMINA!D323</f>
        <v>Hidalgo Linares Gloria Margarita</v>
      </c>
      <c r="E357" s="1468" t="s">
        <v>4622</v>
      </c>
      <c r="F357" s="1442">
        <v>27853</v>
      </c>
      <c r="G357" s="1468" t="s">
        <v>4620</v>
      </c>
      <c r="H357" s="1708">
        <f>+NOMINA!H323</f>
        <v>39722</v>
      </c>
      <c r="I357" s="1105">
        <f>+NOMINA!I323</f>
        <v>16</v>
      </c>
      <c r="J357" s="1106">
        <f>+NOMINA!J323</f>
        <v>0</v>
      </c>
      <c r="K357" s="1105">
        <f t="shared" si="42"/>
        <v>16</v>
      </c>
      <c r="L357" s="1106" t="s">
        <v>4932</v>
      </c>
      <c r="M357" s="1106"/>
      <c r="N357" s="1443" t="str">
        <f>+NOMINA!O323</f>
        <v>Cocinera</v>
      </c>
      <c r="O357" s="1107">
        <f>ROUND(NOMINA!W323,2)</f>
        <v>85.5</v>
      </c>
      <c r="P357" s="1107">
        <f>NOMINA!AF323</f>
        <v>16.760000000000002</v>
      </c>
      <c r="Q357" s="1107">
        <f>NOMINA!AH323</f>
        <v>65</v>
      </c>
      <c r="R357" s="1107">
        <f>NOMINA!AC323</f>
        <v>0</v>
      </c>
      <c r="S357" s="1107">
        <f>NOMINA!AJ323</f>
        <v>0</v>
      </c>
      <c r="T357" s="1108">
        <f t="shared" ref="T357:T403" si="44">+P323+Q323+R323+S323</f>
        <v>68.75</v>
      </c>
      <c r="U357" s="1107">
        <f>ROUND(NOMINA!BL323,2)</f>
        <v>15.44</v>
      </c>
      <c r="V357" s="1107">
        <f>ROUND(NOMINA!BM323,2)</f>
        <v>1.93</v>
      </c>
      <c r="W357" s="1107">
        <f>ROUND(+NOMINA!BN323,2)</f>
        <v>3.35</v>
      </c>
      <c r="X357" s="1108">
        <f t="shared" si="43"/>
        <v>19.55</v>
      </c>
      <c r="Y357" s="1107">
        <f>ROUND(NOMINA!BJ323,2)</f>
        <v>0</v>
      </c>
      <c r="Z357" s="1109">
        <f t="shared" si="40"/>
        <v>146.54</v>
      </c>
    </row>
    <row r="358" spans="1:26" s="620" customFormat="1" ht="21" customHeight="1" thickBot="1" x14ac:dyDescent="0.25">
      <c r="A358" s="758" t="s">
        <v>2834</v>
      </c>
      <c r="B358" s="508">
        <f t="shared" si="41"/>
        <v>20</v>
      </c>
      <c r="C358" s="1706">
        <f>+NOMINA!C324</f>
        <v>10399474</v>
      </c>
      <c r="D358" s="1707" t="str">
        <f>+NOMINA!D324</f>
        <v>Ramirez Araujo Teresa Maria</v>
      </c>
      <c r="E358" s="1468" t="s">
        <v>4622</v>
      </c>
      <c r="F358" s="1442">
        <v>27853</v>
      </c>
      <c r="G358" s="1468" t="s">
        <v>4620</v>
      </c>
      <c r="H358" s="1708">
        <f>+NOMINA!H324</f>
        <v>45597</v>
      </c>
      <c r="I358" s="1105">
        <f>+NOMINA!I324</f>
        <v>0</v>
      </c>
      <c r="J358" s="1106">
        <f>+NOMINA!J324</f>
        <v>0</v>
      </c>
      <c r="K358" s="1105">
        <f t="shared" si="42"/>
        <v>0</v>
      </c>
      <c r="L358" s="1106" t="s">
        <v>4932</v>
      </c>
      <c r="M358" s="1106"/>
      <c r="N358" s="1443" t="str">
        <f>+NOMINA!O324</f>
        <v>Ayudante de Servicios Generales</v>
      </c>
      <c r="O358" s="1107">
        <f>ROUND(NOMINA!W324,2)</f>
        <v>71</v>
      </c>
      <c r="P358" s="1107">
        <f>NOMINA!AF324</f>
        <v>0</v>
      </c>
      <c r="Q358" s="1107">
        <f>NOMINA!AH324</f>
        <v>65</v>
      </c>
      <c r="R358" s="1107">
        <f>NOMINA!AC324</f>
        <v>0</v>
      </c>
      <c r="S358" s="1107">
        <f>NOMINA!AJ324</f>
        <v>0</v>
      </c>
      <c r="T358" s="1108">
        <f t="shared" si="44"/>
        <v>28427.990000000005</v>
      </c>
      <c r="U358" s="1107">
        <f>ROUND(NOMINA!BL324,2)</f>
        <v>12.55</v>
      </c>
      <c r="V358" s="1107">
        <f>ROUND(NOMINA!BM324,2)</f>
        <v>1.57</v>
      </c>
      <c r="W358" s="1107">
        <f>ROUND(+NOMINA!BN324,2)</f>
        <v>2.72</v>
      </c>
      <c r="X358" s="1108">
        <f t="shared" si="43"/>
        <v>17.96</v>
      </c>
      <c r="Y358" s="1107">
        <f>ROUND(NOMINA!BJ324,2)</f>
        <v>0</v>
      </c>
      <c r="Z358" s="1109">
        <f t="shared" si="40"/>
        <v>119.16</v>
      </c>
    </row>
    <row r="359" spans="1:26" s="620" customFormat="1" ht="21" customHeight="1" thickBot="1" x14ac:dyDescent="0.25">
      <c r="A359" s="758" t="s">
        <v>2834</v>
      </c>
      <c r="B359" s="508">
        <f t="shared" si="41"/>
        <v>21</v>
      </c>
      <c r="C359" s="1706">
        <f>+NOMINA!C325</f>
        <v>10401329</v>
      </c>
      <c r="D359" s="1707" t="str">
        <f>+NOMINA!D325</f>
        <v>Gonzalez Torres Orangel Ramon</v>
      </c>
      <c r="E359" s="1468" t="s">
        <v>4622</v>
      </c>
      <c r="F359" s="1442">
        <v>27853</v>
      </c>
      <c r="G359" s="1468" t="s">
        <v>4620</v>
      </c>
      <c r="H359" s="1708">
        <f>+NOMINA!H325</f>
        <v>39539</v>
      </c>
      <c r="I359" s="1105">
        <f>+NOMINA!I325</f>
        <v>17</v>
      </c>
      <c r="J359" s="1106">
        <f>+NOMINA!J325</f>
        <v>0</v>
      </c>
      <c r="K359" s="1105">
        <f t="shared" si="42"/>
        <v>17</v>
      </c>
      <c r="L359" s="1106" t="s">
        <v>4932</v>
      </c>
      <c r="M359" s="1106"/>
      <c r="N359" s="1443" t="str">
        <f>+NOMINA!O325</f>
        <v>Chofer De Transporte</v>
      </c>
      <c r="O359" s="1107">
        <f>ROUND(NOMINA!W325,2)</f>
        <v>85.5</v>
      </c>
      <c r="P359" s="1107">
        <f>NOMINA!AF325</f>
        <v>18.13</v>
      </c>
      <c r="Q359" s="1107">
        <f>NOMINA!AH325</f>
        <v>65</v>
      </c>
      <c r="R359" s="1107">
        <f>NOMINA!AC325</f>
        <v>0</v>
      </c>
      <c r="S359" s="1107">
        <f>NOMINA!AJ325</f>
        <v>0</v>
      </c>
      <c r="T359" s="1108">
        <f t="shared" si="44"/>
        <v>0</v>
      </c>
      <c r="U359" s="1107">
        <f>ROUND(NOMINA!BL325,2)</f>
        <v>20.239999999999998</v>
      </c>
      <c r="V359" s="1107">
        <f>ROUND(NOMINA!BM325,2)</f>
        <v>2.5299999999999998</v>
      </c>
      <c r="W359" s="1107">
        <f>ROUND(+NOMINA!BN325,2)</f>
        <v>4.38</v>
      </c>
      <c r="X359" s="1108">
        <f t="shared" si="43"/>
        <v>23.31</v>
      </c>
      <c r="Y359" s="1107">
        <f>ROUND(NOMINA!BJ325,2)</f>
        <v>0</v>
      </c>
      <c r="Z359" s="1109">
        <f t="shared" si="40"/>
        <v>141.47999999999999</v>
      </c>
    </row>
    <row r="360" spans="1:26" s="620" customFormat="1" ht="21" customHeight="1" thickBot="1" x14ac:dyDescent="0.25">
      <c r="A360" s="758" t="s">
        <v>2834</v>
      </c>
      <c r="B360" s="508">
        <f t="shared" si="41"/>
        <v>22</v>
      </c>
      <c r="C360" s="1706">
        <f>+NOMINA!C326</f>
        <v>10907687</v>
      </c>
      <c r="D360" s="1707" t="str">
        <f>+NOMINA!D326</f>
        <v>Viloria Garcia Karina Liseth</v>
      </c>
      <c r="E360" s="1468" t="s">
        <v>4622</v>
      </c>
      <c r="F360" s="1442">
        <v>27853</v>
      </c>
      <c r="G360" s="1468" t="s">
        <v>4620</v>
      </c>
      <c r="H360" s="1708">
        <f>+NOMINA!H326</f>
        <v>38749</v>
      </c>
      <c r="I360" s="1105">
        <f>+NOMINA!I326</f>
        <v>19</v>
      </c>
      <c r="J360" s="1106">
        <f>+NOMINA!J326</f>
        <v>0</v>
      </c>
      <c r="K360" s="1105">
        <f t="shared" si="42"/>
        <v>19</v>
      </c>
      <c r="L360" s="1106" t="s">
        <v>4932</v>
      </c>
      <c r="M360" s="1106"/>
      <c r="N360" s="1443" t="str">
        <f>+NOMINA!O326</f>
        <v>Cocinera</v>
      </c>
      <c r="O360" s="1107">
        <f>ROUND(NOMINA!W326,2)</f>
        <v>85.5</v>
      </c>
      <c r="P360" s="1107">
        <f>NOMINA!AF326</f>
        <v>20.86</v>
      </c>
      <c r="Q360" s="1107">
        <f>NOMINA!AH326</f>
        <v>65</v>
      </c>
      <c r="R360" s="1107">
        <f>NOMINA!AC326</f>
        <v>0</v>
      </c>
      <c r="S360" s="1107">
        <f>NOMINA!AJ326</f>
        <v>0</v>
      </c>
      <c r="T360" s="1108">
        <f t="shared" si="44"/>
        <v>0</v>
      </c>
      <c r="U360" s="1107">
        <f>ROUND(NOMINA!BL326,2)</f>
        <v>15.82</v>
      </c>
      <c r="V360" s="1107">
        <f>ROUND(NOMINA!BM326,2)</f>
        <v>1.98</v>
      </c>
      <c r="W360" s="1107">
        <f>ROUND(+NOMINA!BN326,2)</f>
        <v>3.43</v>
      </c>
      <c r="X360" s="1108">
        <f t="shared" si="43"/>
        <v>19.62</v>
      </c>
      <c r="Y360" s="1107">
        <f>ROUND(NOMINA!BJ326,2)</f>
        <v>0</v>
      </c>
      <c r="Z360" s="1109">
        <f t="shared" si="40"/>
        <v>150.13000000000002</v>
      </c>
    </row>
    <row r="361" spans="1:26" s="620" customFormat="1" ht="21" customHeight="1" thickBot="1" x14ac:dyDescent="0.25">
      <c r="A361" s="758" t="s">
        <v>2834</v>
      </c>
      <c r="B361" s="508">
        <f t="shared" si="41"/>
        <v>23</v>
      </c>
      <c r="C361" s="1706">
        <f>+NOMINA!C327</f>
        <v>10908543</v>
      </c>
      <c r="D361" s="1707" t="str">
        <f>+NOMINA!D327</f>
        <v>Quintero Eric Ludwig</v>
      </c>
      <c r="E361" s="1468" t="s">
        <v>4622</v>
      </c>
      <c r="F361" s="1442">
        <v>27853</v>
      </c>
      <c r="G361" s="1468" t="s">
        <v>4620</v>
      </c>
      <c r="H361" s="1708">
        <f>+NOMINA!H327</f>
        <v>42751</v>
      </c>
      <c r="I361" s="1105">
        <f>+NOMINA!I327</f>
        <v>8</v>
      </c>
      <c r="J361" s="1106">
        <f>+NOMINA!J327</f>
        <v>0</v>
      </c>
      <c r="K361" s="1105">
        <f t="shared" si="42"/>
        <v>8</v>
      </c>
      <c r="L361" s="1106" t="s">
        <v>4932</v>
      </c>
      <c r="M361" s="1106"/>
      <c r="N361" s="1443" t="str">
        <f>+NOMINA!O327</f>
        <v>Cocinero</v>
      </c>
      <c r="O361" s="1107">
        <f>ROUND(NOMINA!W327,2)</f>
        <v>85.5</v>
      </c>
      <c r="P361" s="1107">
        <f>NOMINA!AF327</f>
        <v>7.36</v>
      </c>
      <c r="Q361" s="1107">
        <f>NOMINA!AH327</f>
        <v>65</v>
      </c>
      <c r="R361" s="1107">
        <f>NOMINA!AC327</f>
        <v>0</v>
      </c>
      <c r="S361" s="1107">
        <f>NOMINA!AJ327</f>
        <v>0</v>
      </c>
      <c r="T361" s="1108">
        <f t="shared" si="44"/>
        <v>0</v>
      </c>
      <c r="U361" s="1107">
        <f>ROUND(NOMINA!BL327,2)</f>
        <v>14.57</v>
      </c>
      <c r="V361" s="1107">
        <f>ROUND(NOMINA!BM327,2)</f>
        <v>1.82</v>
      </c>
      <c r="W361" s="1107">
        <f>ROUND(+NOMINA!BN327,2)</f>
        <v>3.16</v>
      </c>
      <c r="X361" s="1108">
        <f t="shared" si="43"/>
        <v>3.12</v>
      </c>
      <c r="Y361" s="1107">
        <f>ROUND(NOMINA!BJ327,2)</f>
        <v>0</v>
      </c>
      <c r="Z361" s="1109">
        <f t="shared" si="40"/>
        <v>138.31</v>
      </c>
    </row>
    <row r="362" spans="1:26" s="620" customFormat="1" ht="21" customHeight="1" thickBot="1" x14ac:dyDescent="0.25">
      <c r="A362" s="758" t="s">
        <v>2834</v>
      </c>
      <c r="B362" s="508">
        <f t="shared" si="41"/>
        <v>24</v>
      </c>
      <c r="C362" s="1706">
        <f>+NOMINA!C328</f>
        <v>10909678</v>
      </c>
      <c r="D362" s="1707" t="str">
        <f>+NOMINA!D328</f>
        <v>Delgado Jose Argenis</v>
      </c>
      <c r="E362" s="1468" t="s">
        <v>4622</v>
      </c>
      <c r="F362" s="1442">
        <v>27853</v>
      </c>
      <c r="G362" s="1468" t="s">
        <v>4620</v>
      </c>
      <c r="H362" s="1708">
        <f>+NOMINA!H328</f>
        <v>43952</v>
      </c>
      <c r="I362" s="1105">
        <f>+NOMINA!I328</f>
        <v>5</v>
      </c>
      <c r="J362" s="1106">
        <f>+NOMINA!J328</f>
        <v>0</v>
      </c>
      <c r="K362" s="1105">
        <f t="shared" si="42"/>
        <v>5</v>
      </c>
      <c r="L362" s="1106" t="s">
        <v>4932</v>
      </c>
      <c r="M362" s="1106"/>
      <c r="N362" s="1443" t="str">
        <f>+NOMINA!O328</f>
        <v>Aseador</v>
      </c>
      <c r="O362" s="1107">
        <f>ROUND(NOMINA!W328,2)</f>
        <v>65</v>
      </c>
      <c r="P362" s="1107">
        <f>NOMINA!AF328</f>
        <v>3.25</v>
      </c>
      <c r="Q362" s="1107">
        <f>NOMINA!AH328</f>
        <v>65</v>
      </c>
      <c r="R362" s="1107">
        <f>NOMINA!AC328</f>
        <v>0</v>
      </c>
      <c r="S362" s="1107">
        <f>NOMINA!AJ328</f>
        <v>0</v>
      </c>
      <c r="T362" s="1108">
        <f t="shared" si="44"/>
        <v>0</v>
      </c>
      <c r="U362" s="1107">
        <f>ROUND(NOMINA!BL328,2)</f>
        <v>12.3</v>
      </c>
      <c r="V362" s="1107">
        <f>ROUND(NOMINA!BM328,2)</f>
        <v>1.54</v>
      </c>
      <c r="W362" s="1107">
        <f>ROUND(+NOMINA!BN328,2)</f>
        <v>2.67</v>
      </c>
      <c r="X362" s="1108">
        <f t="shared" si="43"/>
        <v>17.809999999999999</v>
      </c>
      <c r="Y362" s="1107">
        <f>ROUND(NOMINA!BJ328,2)</f>
        <v>0</v>
      </c>
      <c r="Z362" s="1109">
        <f t="shared" si="40"/>
        <v>116.74000000000001</v>
      </c>
    </row>
    <row r="363" spans="1:26" s="620" customFormat="1" ht="21" customHeight="1" thickBot="1" x14ac:dyDescent="0.25">
      <c r="A363" s="758" t="s">
        <v>2834</v>
      </c>
      <c r="B363" s="508">
        <f t="shared" si="41"/>
        <v>25</v>
      </c>
      <c r="C363" s="1706">
        <f>+NOMINA!C329</f>
        <v>10909819</v>
      </c>
      <c r="D363" s="1707" t="str">
        <f>+NOMINA!D329</f>
        <v>Carrizo Jose Waldo</v>
      </c>
      <c r="E363" s="1468" t="s">
        <v>4622</v>
      </c>
      <c r="F363" s="1442">
        <v>27853</v>
      </c>
      <c r="G363" s="1468" t="s">
        <v>4620</v>
      </c>
      <c r="H363" s="1708">
        <f>+NOMINA!H329</f>
        <v>43359</v>
      </c>
      <c r="I363" s="1105">
        <f>+NOMINA!I329</f>
        <v>7</v>
      </c>
      <c r="J363" s="1106">
        <f>+NOMINA!J329</f>
        <v>0</v>
      </c>
      <c r="K363" s="1105">
        <f t="shared" si="42"/>
        <v>7</v>
      </c>
      <c r="L363" s="1106" t="s">
        <v>4932</v>
      </c>
      <c r="M363" s="1106"/>
      <c r="N363" s="1443" t="str">
        <f>+NOMINA!O329</f>
        <v>Cocinero</v>
      </c>
      <c r="O363" s="1107">
        <f>ROUND(NOMINA!W329,2)</f>
        <v>85.5</v>
      </c>
      <c r="P363" s="1107">
        <f>NOMINA!AF329</f>
        <v>6.33</v>
      </c>
      <c r="Q363" s="1107">
        <f>NOMINA!AH329</f>
        <v>65</v>
      </c>
      <c r="R363" s="1107">
        <f>NOMINA!AC329</f>
        <v>0</v>
      </c>
      <c r="S363" s="1107">
        <f>NOMINA!AJ329</f>
        <v>0</v>
      </c>
      <c r="T363" s="1108">
        <f t="shared" si="44"/>
        <v>0</v>
      </c>
      <c r="U363" s="1107">
        <f>ROUND(NOMINA!BL329,2)</f>
        <v>14.48</v>
      </c>
      <c r="V363" s="1107">
        <f>ROUND(NOMINA!BM329,2)</f>
        <v>1.81</v>
      </c>
      <c r="W363" s="1107">
        <f>ROUND(+NOMINA!BN329,2)</f>
        <v>3.14</v>
      </c>
      <c r="X363" s="1108">
        <f t="shared" si="43"/>
        <v>20.29</v>
      </c>
      <c r="Y363" s="1107">
        <f>ROUND(NOMINA!BJ329,2)</f>
        <v>0</v>
      </c>
      <c r="Z363" s="1109">
        <f t="shared" si="40"/>
        <v>137.39999999999998</v>
      </c>
    </row>
    <row r="364" spans="1:26" s="620" customFormat="1" ht="21" customHeight="1" thickBot="1" x14ac:dyDescent="0.25">
      <c r="A364" s="758" t="s">
        <v>2834</v>
      </c>
      <c r="B364" s="508">
        <f t="shared" si="41"/>
        <v>26</v>
      </c>
      <c r="C364" s="1706">
        <f>+NOMINA!C330</f>
        <v>10912635</v>
      </c>
      <c r="D364" s="1707" t="str">
        <f>+NOMINA!D330</f>
        <v>Gutierrez Briceño Jose Orangel</v>
      </c>
      <c r="E364" s="1468" t="s">
        <v>4622</v>
      </c>
      <c r="F364" s="1442">
        <v>27853</v>
      </c>
      <c r="G364" s="1468" t="s">
        <v>4620</v>
      </c>
      <c r="H364" s="1708">
        <f>+NOMINA!H330</f>
        <v>44348</v>
      </c>
      <c r="I364" s="1105">
        <f>+NOMINA!I330</f>
        <v>4</v>
      </c>
      <c r="J364" s="1106">
        <f>+NOMINA!J330</f>
        <v>0</v>
      </c>
      <c r="K364" s="1105">
        <f t="shared" si="42"/>
        <v>4</v>
      </c>
      <c r="L364" s="1106" t="s">
        <v>4932</v>
      </c>
      <c r="M364" s="1106"/>
      <c r="N364" s="1443" t="str">
        <f>+NOMINA!O330</f>
        <v>Ayudante Agropecuario</v>
      </c>
      <c r="O364" s="1107">
        <f>ROUND(NOMINA!W330,2)</f>
        <v>76</v>
      </c>
      <c r="P364" s="1107">
        <f>NOMINA!AF330</f>
        <v>3.04</v>
      </c>
      <c r="Q364" s="1107">
        <f>NOMINA!AH330</f>
        <v>65</v>
      </c>
      <c r="R364" s="1107">
        <f>NOMINA!AC330</f>
        <v>0</v>
      </c>
      <c r="S364" s="1107">
        <f>NOMINA!AJ330</f>
        <v>0</v>
      </c>
      <c r="T364" s="1108">
        <f t="shared" si="44"/>
        <v>0</v>
      </c>
      <c r="U364" s="1107">
        <f>ROUND(NOMINA!BL330,2)</f>
        <v>13.3</v>
      </c>
      <c r="V364" s="1107">
        <f>ROUND(NOMINA!BM330,2)</f>
        <v>1.66</v>
      </c>
      <c r="W364" s="1107">
        <f>ROUND(+NOMINA!BN330,2)</f>
        <v>2.88</v>
      </c>
      <c r="X364" s="1108">
        <f t="shared" si="43"/>
        <v>19.18</v>
      </c>
      <c r="Y364" s="1107">
        <f>ROUND(NOMINA!BJ330,2)</f>
        <v>0</v>
      </c>
      <c r="Z364" s="1109">
        <f t="shared" si="40"/>
        <v>126.20000000000002</v>
      </c>
    </row>
    <row r="365" spans="1:26" s="620" customFormat="1" ht="21" customHeight="1" thickBot="1" x14ac:dyDescent="0.25">
      <c r="A365" s="758" t="s">
        <v>2834</v>
      </c>
      <c r="B365" s="508">
        <f t="shared" si="41"/>
        <v>27</v>
      </c>
      <c r="C365" s="1706">
        <f>+NOMINA!C331</f>
        <v>10915274</v>
      </c>
      <c r="D365" s="1707" t="str">
        <f>+NOMINA!D331</f>
        <v>Montilla Vergara Belkys Josefina</v>
      </c>
      <c r="E365" s="1468" t="s">
        <v>4622</v>
      </c>
      <c r="F365" s="1442">
        <v>27853</v>
      </c>
      <c r="G365" s="1468" t="s">
        <v>4620</v>
      </c>
      <c r="H365" s="1708">
        <f>+NOMINA!H331</f>
        <v>44635</v>
      </c>
      <c r="I365" s="1105">
        <f>+NOMINA!I331</f>
        <v>3</v>
      </c>
      <c r="J365" s="1106">
        <f>+NOMINA!J331</f>
        <v>0</v>
      </c>
      <c r="K365" s="1105">
        <f t="shared" si="42"/>
        <v>3</v>
      </c>
      <c r="L365" s="1106" t="s">
        <v>4932</v>
      </c>
      <c r="M365" s="1106"/>
      <c r="N365" s="1443" t="str">
        <f>+NOMINA!O331</f>
        <v>Ayudante de Servicios Generales</v>
      </c>
      <c r="O365" s="1107">
        <f>ROUND(NOMINA!W331,2)</f>
        <v>76</v>
      </c>
      <c r="P365" s="1107">
        <f>NOMINA!AF331</f>
        <v>2.2799999999999998</v>
      </c>
      <c r="Q365" s="1107">
        <f>NOMINA!AH331</f>
        <v>65</v>
      </c>
      <c r="R365" s="1107">
        <f>NOMINA!AC331</f>
        <v>0</v>
      </c>
      <c r="S365" s="1107">
        <f>NOMINA!AJ331</f>
        <v>0</v>
      </c>
      <c r="T365" s="1108">
        <f t="shared" si="44"/>
        <v>0</v>
      </c>
      <c r="U365" s="1107">
        <f>ROUND(NOMINA!BL331,2)</f>
        <v>13.23</v>
      </c>
      <c r="V365" s="1107">
        <f>ROUND(NOMINA!BM331,2)</f>
        <v>1.65</v>
      </c>
      <c r="W365" s="1107">
        <f>ROUND(+NOMINA!BN331,2)</f>
        <v>2.87</v>
      </c>
      <c r="X365" s="1108">
        <f t="shared" si="43"/>
        <v>17.940000000000001</v>
      </c>
      <c r="Y365" s="1107">
        <f>ROUND(NOMINA!BJ331,2)</f>
        <v>0</v>
      </c>
      <c r="Z365" s="1109">
        <f t="shared" si="40"/>
        <v>125.53</v>
      </c>
    </row>
    <row r="366" spans="1:26" s="620" customFormat="1" ht="21" customHeight="1" thickBot="1" x14ac:dyDescent="0.25">
      <c r="A366" s="758" t="s">
        <v>2834</v>
      </c>
      <c r="B366" s="508">
        <f t="shared" si="41"/>
        <v>28</v>
      </c>
      <c r="C366" s="1706">
        <f>+NOMINA!C332</f>
        <v>11129355</v>
      </c>
      <c r="D366" s="1707" t="str">
        <f>+NOMINA!D332</f>
        <v>Luque Azuaje Rigoberto</v>
      </c>
      <c r="E366" s="1468" t="s">
        <v>4622</v>
      </c>
      <c r="F366" s="1442">
        <v>27853</v>
      </c>
      <c r="G366" s="1468" t="s">
        <v>4620</v>
      </c>
      <c r="H366" s="1708">
        <f>+NOMINA!H332</f>
        <v>39539</v>
      </c>
      <c r="I366" s="1105">
        <f>+NOMINA!I332</f>
        <v>17</v>
      </c>
      <c r="J366" s="1106">
        <f>+NOMINA!J332</f>
        <v>0</v>
      </c>
      <c r="K366" s="1105">
        <f t="shared" si="42"/>
        <v>17</v>
      </c>
      <c r="L366" s="1106" t="s">
        <v>4932</v>
      </c>
      <c r="M366" s="1106"/>
      <c r="N366" s="1443" t="str">
        <f>+NOMINA!O332</f>
        <v>Ayudante de Servicios Generales</v>
      </c>
      <c r="O366" s="1107">
        <f>ROUND(NOMINA!W332,2)</f>
        <v>76</v>
      </c>
      <c r="P366" s="1107">
        <f>NOMINA!AF332</f>
        <v>16.11</v>
      </c>
      <c r="Q366" s="1107">
        <f>NOMINA!AH332</f>
        <v>65</v>
      </c>
      <c r="R366" s="1107">
        <f>NOMINA!AC332</f>
        <v>0</v>
      </c>
      <c r="S366" s="1107">
        <f>NOMINA!AJ332</f>
        <v>0</v>
      </c>
      <c r="T366" s="1108" t="e">
        <f>+P332+#REF!+#REF!+O332</f>
        <v>#REF!</v>
      </c>
      <c r="U366" s="1107">
        <f>ROUND(NOMINA!BL332,2)</f>
        <v>18.850000000000001</v>
      </c>
      <c r="V366" s="1107">
        <f>ROUND(NOMINA!BM332,2)</f>
        <v>2.36</v>
      </c>
      <c r="W366" s="1107">
        <f>ROUND(+NOMINA!BN332,2)</f>
        <v>4.08</v>
      </c>
      <c r="X366" s="1108">
        <f t="shared" si="43"/>
        <v>17.940000000000001</v>
      </c>
      <c r="Y366" s="1107">
        <f>ROUND(NOMINA!BJ332,2)</f>
        <v>0</v>
      </c>
      <c r="Z366" s="1109">
        <f t="shared" si="40"/>
        <v>131.82000000000002</v>
      </c>
    </row>
    <row r="367" spans="1:26" s="620" customFormat="1" ht="21" customHeight="1" thickBot="1" x14ac:dyDescent="0.25">
      <c r="A367" s="758" t="s">
        <v>2834</v>
      </c>
      <c r="B367" s="508">
        <f t="shared" si="41"/>
        <v>29</v>
      </c>
      <c r="C367" s="1706">
        <f>+NOMINA!C333</f>
        <v>11315202</v>
      </c>
      <c r="D367" s="1707" t="str">
        <f>+NOMINA!D333</f>
        <v>Barreto Maria Ramona</v>
      </c>
      <c r="E367" s="1468" t="s">
        <v>4622</v>
      </c>
      <c r="F367" s="1442">
        <v>27853</v>
      </c>
      <c r="G367" s="1468" t="s">
        <v>4620</v>
      </c>
      <c r="H367" s="1708">
        <f>+NOMINA!H333</f>
        <v>39539</v>
      </c>
      <c r="I367" s="1105">
        <f>+NOMINA!I333</f>
        <v>17</v>
      </c>
      <c r="J367" s="1106">
        <f>+NOMINA!J333</f>
        <v>0</v>
      </c>
      <c r="K367" s="1105">
        <f t="shared" si="42"/>
        <v>17</v>
      </c>
      <c r="L367" s="1106" t="s">
        <v>4932</v>
      </c>
      <c r="M367" s="1106"/>
      <c r="N367" s="1443" t="str">
        <f>+NOMINA!O333</f>
        <v>Cocinera</v>
      </c>
      <c r="O367" s="1107">
        <f>ROUND(NOMINA!W333,2)</f>
        <v>85.5</v>
      </c>
      <c r="P367" s="1107">
        <f>NOMINA!AF333</f>
        <v>18.13</v>
      </c>
      <c r="Q367" s="1107">
        <f>NOMINA!AH333</f>
        <v>65</v>
      </c>
      <c r="R367" s="1107">
        <f>NOMINA!AC333</f>
        <v>0</v>
      </c>
      <c r="S367" s="1107">
        <f>NOMINA!AJ333</f>
        <v>0</v>
      </c>
      <c r="T367" s="1108" t="e">
        <f>+P333+#REF!+#REF!+O333</f>
        <v>#REF!</v>
      </c>
      <c r="U367" s="1107">
        <f>ROUND(NOMINA!BL333,2)</f>
        <v>15.57</v>
      </c>
      <c r="V367" s="1107">
        <f>ROUND(NOMINA!BM333,2)</f>
        <v>1.95</v>
      </c>
      <c r="W367" s="1107">
        <f>ROUND(+NOMINA!BN333,2)</f>
        <v>3.37</v>
      </c>
      <c r="X367" s="1108">
        <f t="shared" si="43"/>
        <v>19.62</v>
      </c>
      <c r="Y367" s="1107">
        <f>ROUND(NOMINA!BJ333,2)</f>
        <v>0</v>
      </c>
      <c r="Z367" s="1109">
        <f t="shared" si="40"/>
        <v>147.74</v>
      </c>
    </row>
    <row r="368" spans="1:26" s="620" customFormat="1" ht="21" customHeight="1" thickBot="1" x14ac:dyDescent="0.25">
      <c r="A368" s="758" t="s">
        <v>2834</v>
      </c>
      <c r="B368" s="508">
        <f t="shared" si="41"/>
        <v>30</v>
      </c>
      <c r="C368" s="1706">
        <f>+NOMINA!C334</f>
        <v>11321681</v>
      </c>
      <c r="D368" s="1707" t="str">
        <f>+NOMINA!D334</f>
        <v>Bentancourt Rivas Luis Enrique</v>
      </c>
      <c r="E368" s="1468" t="s">
        <v>4622</v>
      </c>
      <c r="F368" s="1442">
        <v>27853</v>
      </c>
      <c r="G368" s="1468" t="s">
        <v>4620</v>
      </c>
      <c r="H368" s="1708">
        <f>+NOMINA!H334</f>
        <v>44805</v>
      </c>
      <c r="I368" s="1105">
        <f>+NOMINA!I334</f>
        <v>3</v>
      </c>
      <c r="J368" s="1106">
        <f>+NOMINA!J334</f>
        <v>0</v>
      </c>
      <c r="K368" s="1105">
        <f t="shared" si="42"/>
        <v>3</v>
      </c>
      <c r="L368" s="1106" t="s">
        <v>4932</v>
      </c>
      <c r="M368" s="1106"/>
      <c r="N368" s="1443" t="str">
        <f>+NOMINA!O334</f>
        <v>Ayudante de Servicios Generales</v>
      </c>
      <c r="O368" s="1107">
        <f>ROUND(NOMINA!W334,2)</f>
        <v>76</v>
      </c>
      <c r="P368" s="1107">
        <f>NOMINA!AF334</f>
        <v>2.2799999999999998</v>
      </c>
      <c r="Q368" s="1107">
        <f>NOMINA!AH334</f>
        <v>65</v>
      </c>
      <c r="R368" s="1107">
        <f>NOMINA!AC334</f>
        <v>0</v>
      </c>
      <c r="S368" s="1107">
        <f>NOMINA!AJ334</f>
        <v>0</v>
      </c>
      <c r="T368" s="1108" t="e">
        <f>+P334+#REF!+#REF!+O334</f>
        <v>#REF!</v>
      </c>
      <c r="U368" s="1107">
        <f>ROUND(NOMINA!BL334,2)</f>
        <v>13.23</v>
      </c>
      <c r="V368" s="1107">
        <f>ROUND(NOMINA!BM334,2)</f>
        <v>1.65</v>
      </c>
      <c r="W368" s="1107">
        <f>ROUND(+NOMINA!BN334,2)</f>
        <v>2.87</v>
      </c>
      <c r="X368" s="1108">
        <f t="shared" si="43"/>
        <v>18.27</v>
      </c>
      <c r="Y368" s="1107">
        <f>ROUND(NOMINA!BJ334,2)</f>
        <v>0</v>
      </c>
      <c r="Z368" s="1109">
        <f t="shared" si="40"/>
        <v>125.53</v>
      </c>
    </row>
    <row r="369" spans="1:26" s="620" customFormat="1" ht="21" customHeight="1" thickBot="1" x14ac:dyDescent="0.25">
      <c r="A369" s="758" t="s">
        <v>2834</v>
      </c>
      <c r="B369" s="508">
        <f t="shared" si="41"/>
        <v>31</v>
      </c>
      <c r="C369" s="1706">
        <f>+NOMINA!C335</f>
        <v>11321782</v>
      </c>
      <c r="D369" s="1707" t="str">
        <f>+NOMINA!D335</f>
        <v>Flores Camacho Maria Zoraida</v>
      </c>
      <c r="E369" s="1468" t="s">
        <v>4622</v>
      </c>
      <c r="F369" s="1442">
        <v>27853</v>
      </c>
      <c r="G369" s="1468" t="s">
        <v>4620</v>
      </c>
      <c r="H369" s="1708">
        <f>+NOMINA!H335</f>
        <v>43815</v>
      </c>
      <c r="I369" s="1105">
        <f>+NOMINA!I335</f>
        <v>5</v>
      </c>
      <c r="J369" s="1106">
        <f>+NOMINA!J335</f>
        <v>0</v>
      </c>
      <c r="K369" s="1105">
        <f t="shared" si="42"/>
        <v>5</v>
      </c>
      <c r="L369" s="1106" t="s">
        <v>4932</v>
      </c>
      <c r="M369" s="1106"/>
      <c r="N369" s="1443" t="str">
        <f>+NOMINA!O335</f>
        <v>Cocinera</v>
      </c>
      <c r="O369" s="1107">
        <f>ROUND(NOMINA!W335,2)</f>
        <v>85.5</v>
      </c>
      <c r="P369" s="1107">
        <f>NOMINA!AF335</f>
        <v>4.28</v>
      </c>
      <c r="Q369" s="1107">
        <f>NOMINA!AH335</f>
        <v>65</v>
      </c>
      <c r="R369" s="1107">
        <f>NOMINA!AC335</f>
        <v>0</v>
      </c>
      <c r="S369" s="1107">
        <f>NOMINA!AJ335</f>
        <v>0</v>
      </c>
      <c r="T369" s="1108" t="e">
        <f>+P335+#REF!+#REF!+O335</f>
        <v>#REF!</v>
      </c>
      <c r="U369" s="1107">
        <f>ROUND(NOMINA!BL335,2)</f>
        <v>14.29</v>
      </c>
      <c r="V369" s="1107">
        <f>ROUND(NOMINA!BM335,2)</f>
        <v>1.79</v>
      </c>
      <c r="W369" s="1107">
        <f>ROUND(+NOMINA!BN335,2)</f>
        <v>3.1</v>
      </c>
      <c r="X369" s="1108">
        <f t="shared" si="43"/>
        <v>17.84</v>
      </c>
      <c r="Y369" s="1107">
        <f>ROUND(NOMINA!BJ335,2)</f>
        <v>0</v>
      </c>
      <c r="Z369" s="1109">
        <f t="shared" si="40"/>
        <v>135.6</v>
      </c>
    </row>
    <row r="370" spans="1:26" s="620" customFormat="1" ht="21" customHeight="1" thickBot="1" x14ac:dyDescent="0.25">
      <c r="A370" s="758" t="s">
        <v>2834</v>
      </c>
      <c r="B370" s="508">
        <f t="shared" si="41"/>
        <v>32</v>
      </c>
      <c r="C370" s="1706">
        <f>+NOMINA!C336</f>
        <v>11324931</v>
      </c>
      <c r="D370" s="1707" t="str">
        <f>+NOMINA!D336</f>
        <v>Sulbaran de Araujo Magaly</v>
      </c>
      <c r="E370" s="1468" t="s">
        <v>4622</v>
      </c>
      <c r="F370" s="1442">
        <v>27853</v>
      </c>
      <c r="G370" s="1468" t="s">
        <v>4620</v>
      </c>
      <c r="H370" s="1708">
        <f>+NOMINA!H336</f>
        <v>38784</v>
      </c>
      <c r="I370" s="1105">
        <f>+NOMINA!I336</f>
        <v>19</v>
      </c>
      <c r="J370" s="1106">
        <f>+NOMINA!J336</f>
        <v>0</v>
      </c>
      <c r="K370" s="1105">
        <f t="shared" si="42"/>
        <v>19</v>
      </c>
      <c r="L370" s="1106" t="s">
        <v>4932</v>
      </c>
      <c r="M370" s="1106"/>
      <c r="N370" s="1443" t="str">
        <f>+NOMINA!O336</f>
        <v>Cocinera</v>
      </c>
      <c r="O370" s="1107">
        <f>ROUND(NOMINA!W336,2)</f>
        <v>85.5</v>
      </c>
      <c r="P370" s="1107">
        <f>NOMINA!AF336</f>
        <v>20.86</v>
      </c>
      <c r="Q370" s="1107">
        <f>NOMINA!AH336</f>
        <v>65</v>
      </c>
      <c r="R370" s="1107">
        <f>NOMINA!AC336</f>
        <v>0</v>
      </c>
      <c r="S370" s="1107">
        <f>NOMINA!AJ336</f>
        <v>0</v>
      </c>
      <c r="T370" s="1108" t="e">
        <f>+P336+#REF!+#REF!+O336</f>
        <v>#REF!</v>
      </c>
      <c r="U370" s="1107">
        <f>ROUND(NOMINA!BL336,2)</f>
        <v>15.82</v>
      </c>
      <c r="V370" s="1107">
        <f>ROUND(NOMINA!BM336,2)</f>
        <v>1.98</v>
      </c>
      <c r="W370" s="1107">
        <f>ROUND(+NOMINA!BN336,2)</f>
        <v>3.43</v>
      </c>
      <c r="X370" s="1108">
        <f t="shared" si="43"/>
        <v>16.420000000000002</v>
      </c>
      <c r="Y370" s="1107">
        <f>ROUND(NOMINA!BJ336,2)</f>
        <v>0</v>
      </c>
      <c r="Z370" s="1109">
        <f t="shared" si="40"/>
        <v>150.13000000000002</v>
      </c>
    </row>
    <row r="371" spans="1:26" s="620" customFormat="1" ht="21" customHeight="1" thickBot="1" x14ac:dyDescent="0.25">
      <c r="A371" s="758" t="s">
        <v>2834</v>
      </c>
      <c r="B371" s="508">
        <f t="shared" si="41"/>
        <v>33</v>
      </c>
      <c r="C371" s="1706">
        <f>+NOMINA!C337</f>
        <v>11894400</v>
      </c>
      <c r="D371" s="1707" t="str">
        <f>+NOMINA!D337</f>
        <v>Aldana Olivar Maria del Carmen</v>
      </c>
      <c r="E371" s="1468" t="s">
        <v>4622</v>
      </c>
      <c r="F371" s="1442">
        <v>27853</v>
      </c>
      <c r="G371" s="1468" t="s">
        <v>4620</v>
      </c>
      <c r="H371" s="1708">
        <f>+NOMINA!H337</f>
        <v>44287</v>
      </c>
      <c r="I371" s="1105">
        <f>+NOMINA!I337</f>
        <v>4</v>
      </c>
      <c r="J371" s="1106">
        <f>+NOMINA!J337</f>
        <v>0</v>
      </c>
      <c r="K371" s="1105">
        <f t="shared" si="42"/>
        <v>4</v>
      </c>
      <c r="L371" s="1106" t="s">
        <v>4932</v>
      </c>
      <c r="M371" s="1106"/>
      <c r="N371" s="1443" t="str">
        <f>+NOMINA!O337</f>
        <v>Cocinera</v>
      </c>
      <c r="O371" s="1107">
        <f>ROUND(NOMINA!W337,2)</f>
        <v>85.5</v>
      </c>
      <c r="P371" s="1107">
        <f>NOMINA!AF337</f>
        <v>3.42</v>
      </c>
      <c r="Q371" s="1107">
        <f>NOMINA!AH337</f>
        <v>65</v>
      </c>
      <c r="R371" s="1107">
        <f>NOMINA!AC337</f>
        <v>0</v>
      </c>
      <c r="S371" s="1107">
        <f>NOMINA!AJ337</f>
        <v>0</v>
      </c>
      <c r="T371" s="1108">
        <f t="shared" si="44"/>
        <v>0</v>
      </c>
      <c r="U371" s="1107">
        <f>ROUND(NOMINA!BL337,2)</f>
        <v>14.21</v>
      </c>
      <c r="V371" s="1107">
        <f>ROUND(NOMINA!BM337,2)</f>
        <v>1.78</v>
      </c>
      <c r="W371" s="1107">
        <f>ROUND(+NOMINA!BN337,2)</f>
        <v>3.08</v>
      </c>
      <c r="X371" s="1108">
        <f t="shared" si="43"/>
        <v>17.809999999999999</v>
      </c>
      <c r="Y371" s="1107">
        <f>ROUND(NOMINA!BJ337,2)</f>
        <v>0</v>
      </c>
      <c r="Z371" s="1109">
        <f t="shared" si="40"/>
        <v>134.85000000000002</v>
      </c>
    </row>
    <row r="372" spans="1:26" s="620" customFormat="1" ht="21" customHeight="1" thickBot="1" x14ac:dyDescent="0.25">
      <c r="A372" s="758" t="s">
        <v>2834</v>
      </c>
      <c r="B372" s="508">
        <f t="shared" si="41"/>
        <v>34</v>
      </c>
      <c r="C372" s="1706">
        <f>+NOMINA!C338</f>
        <v>11897863</v>
      </c>
      <c r="D372" s="1707" t="str">
        <f>+NOMINA!D338</f>
        <v>Rodriguez Maria Ibel</v>
      </c>
      <c r="E372" s="1468" t="s">
        <v>4622</v>
      </c>
      <c r="F372" s="1442">
        <v>27853</v>
      </c>
      <c r="G372" s="1468" t="s">
        <v>4620</v>
      </c>
      <c r="H372" s="1708">
        <f>+NOMINA!H338</f>
        <v>41548</v>
      </c>
      <c r="I372" s="1105">
        <f>+NOMINA!I338</f>
        <v>11</v>
      </c>
      <c r="J372" s="1106">
        <f>+NOMINA!J338</f>
        <v>0</v>
      </c>
      <c r="K372" s="1105">
        <f t="shared" si="42"/>
        <v>11</v>
      </c>
      <c r="L372" s="1106" t="s">
        <v>4932</v>
      </c>
      <c r="M372" s="1106"/>
      <c r="N372" s="1443" t="str">
        <f>+NOMINA!O338</f>
        <v>Aseadora</v>
      </c>
      <c r="O372" s="1107">
        <f>ROUND(NOMINA!W338,2)</f>
        <v>65</v>
      </c>
      <c r="P372" s="1107">
        <f>NOMINA!AF338</f>
        <v>8.06</v>
      </c>
      <c r="Q372" s="1107">
        <f>NOMINA!AH338</f>
        <v>65</v>
      </c>
      <c r="R372" s="1107">
        <f>NOMINA!AC338</f>
        <v>0</v>
      </c>
      <c r="S372" s="1107">
        <f>NOMINA!AJ338</f>
        <v>0</v>
      </c>
      <c r="T372" s="1108">
        <f t="shared" si="44"/>
        <v>0</v>
      </c>
      <c r="U372" s="1107">
        <f>ROUND(NOMINA!BL338,2)</f>
        <v>12.74</v>
      </c>
      <c r="V372" s="1107">
        <f>ROUND(NOMINA!BM338,2)</f>
        <v>1.59</v>
      </c>
      <c r="W372" s="1107">
        <f>ROUND(+NOMINA!BN338,2)</f>
        <v>2.76</v>
      </c>
      <c r="X372" s="1108">
        <f t="shared" si="43"/>
        <v>20.72</v>
      </c>
      <c r="Y372" s="1107">
        <f>ROUND(NOMINA!BJ338,2)</f>
        <v>0</v>
      </c>
      <c r="Z372" s="1109">
        <f t="shared" si="40"/>
        <v>120.97</v>
      </c>
    </row>
    <row r="373" spans="1:26" s="620" customFormat="1" ht="21" customHeight="1" thickBot="1" x14ac:dyDescent="0.25">
      <c r="A373" s="758" t="s">
        <v>2834</v>
      </c>
      <c r="B373" s="508">
        <f t="shared" si="41"/>
        <v>35</v>
      </c>
      <c r="C373" s="1706">
        <f>+NOMINA!C339</f>
        <v>12038359</v>
      </c>
      <c r="D373" s="1707" t="str">
        <f>+NOMINA!D339</f>
        <v>Amaya Perez Carmen Elena</v>
      </c>
      <c r="E373" s="1468" t="s">
        <v>4622</v>
      </c>
      <c r="F373" s="1442">
        <v>27853</v>
      </c>
      <c r="G373" s="1468" t="s">
        <v>4620</v>
      </c>
      <c r="H373" s="1708">
        <f>+NOMINA!H339</f>
        <v>38103</v>
      </c>
      <c r="I373" s="1105">
        <f>+NOMINA!I339</f>
        <v>21</v>
      </c>
      <c r="J373" s="1106">
        <f>+NOMINA!J339</f>
        <v>0</v>
      </c>
      <c r="K373" s="1105">
        <f t="shared" si="42"/>
        <v>21</v>
      </c>
      <c r="L373" s="1106" t="s">
        <v>4932</v>
      </c>
      <c r="M373" s="1106"/>
      <c r="N373" s="1443" t="str">
        <f>+NOMINA!O339</f>
        <v>Cocinera</v>
      </c>
      <c r="O373" s="1107">
        <f>ROUND(NOMINA!W339,2)</f>
        <v>85.5</v>
      </c>
      <c r="P373" s="1107">
        <f>NOMINA!AF339</f>
        <v>23.77</v>
      </c>
      <c r="Q373" s="1107">
        <f>NOMINA!AH339</f>
        <v>65</v>
      </c>
      <c r="R373" s="1107">
        <f>NOMINA!AC339</f>
        <v>0</v>
      </c>
      <c r="S373" s="1107">
        <f>NOMINA!AJ339</f>
        <v>0</v>
      </c>
      <c r="T373" s="1108">
        <f t="shared" si="44"/>
        <v>75.489999999999995</v>
      </c>
      <c r="U373" s="1107">
        <f>ROUND(NOMINA!BL339,2)</f>
        <v>16.09</v>
      </c>
      <c r="V373" s="1107">
        <f>ROUND(NOMINA!BM339,2)</f>
        <v>2.0099999999999998</v>
      </c>
      <c r="W373" s="1107">
        <f>ROUND(+NOMINA!BN339,2)</f>
        <v>3.49</v>
      </c>
      <c r="X373" s="1108">
        <f t="shared" si="43"/>
        <v>16.84</v>
      </c>
      <c r="Y373" s="1107">
        <f>ROUND(NOMINA!BJ339,2)</f>
        <v>0</v>
      </c>
      <c r="Z373" s="1109">
        <f t="shared" si="40"/>
        <v>152.67999999999998</v>
      </c>
    </row>
    <row r="374" spans="1:26" s="620" customFormat="1" ht="21" customHeight="1" thickBot="1" x14ac:dyDescent="0.25">
      <c r="A374" s="758" t="s">
        <v>2834</v>
      </c>
      <c r="B374" s="508">
        <f t="shared" si="41"/>
        <v>36</v>
      </c>
      <c r="C374" s="1706">
        <f>+NOMINA!C340</f>
        <v>12042930</v>
      </c>
      <c r="D374" s="1707" t="str">
        <f>+NOMINA!D340</f>
        <v>Barroeta Cardozo Leonid Andrei</v>
      </c>
      <c r="E374" s="1468" t="s">
        <v>4622</v>
      </c>
      <c r="F374" s="1442">
        <v>27853</v>
      </c>
      <c r="G374" s="1468" t="s">
        <v>4620</v>
      </c>
      <c r="H374" s="1708">
        <f>+NOMINA!H340</f>
        <v>44986</v>
      </c>
      <c r="I374" s="1105">
        <f>+NOMINA!I340</f>
        <v>2</v>
      </c>
      <c r="J374" s="1106">
        <f>+NOMINA!J340</f>
        <v>0</v>
      </c>
      <c r="K374" s="1105">
        <f t="shared" si="42"/>
        <v>2</v>
      </c>
      <c r="L374" s="1106" t="s">
        <v>4932</v>
      </c>
      <c r="M374" s="1106"/>
      <c r="N374" s="1443" t="str">
        <f>+NOMINA!O340</f>
        <v>Ayudante de Servicios Generales</v>
      </c>
      <c r="O374" s="1107">
        <f>ROUND(NOMINA!W340,2)</f>
        <v>76</v>
      </c>
      <c r="P374" s="1107">
        <f>NOMINA!AF340</f>
        <v>1.52</v>
      </c>
      <c r="Q374" s="1107">
        <f>NOMINA!AH340</f>
        <v>65</v>
      </c>
      <c r="R374" s="1107">
        <f>NOMINA!AC340</f>
        <v>0</v>
      </c>
      <c r="S374" s="1107">
        <f>NOMINA!AJ340</f>
        <v>0</v>
      </c>
      <c r="T374" s="1108">
        <f t="shared" si="44"/>
        <v>83.13</v>
      </c>
      <c r="U374" s="1107">
        <f>ROUND(NOMINA!BL340,2)</f>
        <v>13.16</v>
      </c>
      <c r="V374" s="1107">
        <f>ROUND(NOMINA!BM340,2)</f>
        <v>1.64</v>
      </c>
      <c r="W374" s="1107">
        <f>ROUND(+NOMINA!BN340,2)</f>
        <v>2.85</v>
      </c>
      <c r="X374" s="1108">
        <f t="shared" si="43"/>
        <v>27.15</v>
      </c>
      <c r="Y374" s="1107">
        <f>ROUND(NOMINA!BJ340,2)</f>
        <v>0</v>
      </c>
      <c r="Z374" s="1109">
        <f t="shared" si="40"/>
        <v>124.86999999999998</v>
      </c>
    </row>
    <row r="375" spans="1:26" s="620" customFormat="1" ht="21" customHeight="1" thickBot="1" x14ac:dyDescent="0.25">
      <c r="A375" s="758" t="s">
        <v>2834</v>
      </c>
      <c r="B375" s="508">
        <f t="shared" si="41"/>
        <v>37</v>
      </c>
      <c r="C375" s="1706">
        <f>+NOMINA!C341</f>
        <v>12043135</v>
      </c>
      <c r="D375" s="1707" t="str">
        <f>+NOMINA!D341</f>
        <v>Avila Salvio Rodolfo</v>
      </c>
      <c r="E375" s="1468" t="s">
        <v>4622</v>
      </c>
      <c r="F375" s="1442">
        <v>27853</v>
      </c>
      <c r="G375" s="1468" t="s">
        <v>4620</v>
      </c>
      <c r="H375" s="1708">
        <f>+NOMINA!H341</f>
        <v>43724</v>
      </c>
      <c r="I375" s="1105">
        <f>+NOMINA!I341</f>
        <v>6</v>
      </c>
      <c r="J375" s="1106">
        <f>+NOMINA!J341</f>
        <v>0</v>
      </c>
      <c r="K375" s="1105">
        <f t="shared" si="42"/>
        <v>6</v>
      </c>
      <c r="L375" s="1106" t="s">
        <v>4932</v>
      </c>
      <c r="M375" s="1106"/>
      <c r="N375" s="1443" t="str">
        <f>+NOMINA!O341</f>
        <v>Cocinero</v>
      </c>
      <c r="O375" s="1107">
        <f>ROUND(NOMINA!W341,2)</f>
        <v>85.5</v>
      </c>
      <c r="P375" s="1107">
        <f>NOMINA!AF341</f>
        <v>5.3</v>
      </c>
      <c r="Q375" s="1107">
        <f>NOMINA!AH341</f>
        <v>65</v>
      </c>
      <c r="R375" s="1107">
        <f>NOMINA!AC341</f>
        <v>0</v>
      </c>
      <c r="S375" s="1107">
        <f>NOMINA!AJ341</f>
        <v>0</v>
      </c>
      <c r="T375" s="1108">
        <f t="shared" si="44"/>
        <v>90.31</v>
      </c>
      <c r="U375" s="1107">
        <f>ROUND(NOMINA!BL341,2)</f>
        <v>14.38</v>
      </c>
      <c r="V375" s="1107">
        <f>ROUND(NOMINA!BM341,2)</f>
        <v>1.8</v>
      </c>
      <c r="W375" s="1107">
        <f>ROUND(+NOMINA!BN341,2)</f>
        <v>3.12</v>
      </c>
      <c r="X375" s="1108">
        <f t="shared" si="43"/>
        <v>21.23</v>
      </c>
      <c r="Y375" s="1107">
        <f>ROUND(NOMINA!BJ341,2)</f>
        <v>0</v>
      </c>
      <c r="Z375" s="1109">
        <f t="shared" si="40"/>
        <v>136.5</v>
      </c>
    </row>
    <row r="376" spans="1:26" s="620" customFormat="1" ht="21" customHeight="1" thickBot="1" x14ac:dyDescent="0.25">
      <c r="A376" s="758" t="s">
        <v>2834</v>
      </c>
      <c r="B376" s="508">
        <f t="shared" si="41"/>
        <v>38</v>
      </c>
      <c r="C376" s="1706">
        <f>+NOMINA!C342</f>
        <v>12044124</v>
      </c>
      <c r="D376" s="1707" t="str">
        <f>+NOMINA!D342</f>
        <v>Rivas Carlos Luis</v>
      </c>
      <c r="E376" s="1468" t="s">
        <v>4622</v>
      </c>
      <c r="F376" s="1442">
        <v>27853</v>
      </c>
      <c r="G376" s="1468" t="s">
        <v>4620</v>
      </c>
      <c r="H376" s="1708">
        <f>+NOMINA!H342</f>
        <v>39539</v>
      </c>
      <c r="I376" s="1105">
        <f>+NOMINA!I342</f>
        <v>17</v>
      </c>
      <c r="J376" s="1106">
        <f>+NOMINA!J342</f>
        <v>0</v>
      </c>
      <c r="K376" s="1105">
        <f t="shared" si="42"/>
        <v>17</v>
      </c>
      <c r="L376" s="1106" t="s">
        <v>4932</v>
      </c>
      <c r="M376" s="1106"/>
      <c r="N376" s="1443" t="str">
        <f>+NOMINA!O342</f>
        <v>Ayudante de Servicios Generales</v>
      </c>
      <c r="O376" s="1107">
        <f>ROUND(NOMINA!W342,2)</f>
        <v>76</v>
      </c>
      <c r="P376" s="1107">
        <f>NOMINA!AF342</f>
        <v>16.11</v>
      </c>
      <c r="Q376" s="1107">
        <f>NOMINA!AH342</f>
        <v>65</v>
      </c>
      <c r="R376" s="1107">
        <f>NOMINA!AC342</f>
        <v>0</v>
      </c>
      <c r="S376" s="1107">
        <f>NOMINA!AJ342</f>
        <v>0</v>
      </c>
      <c r="T376" s="1108">
        <f t="shared" si="44"/>
        <v>72.36</v>
      </c>
      <c r="U376" s="1107">
        <f>ROUND(NOMINA!BL342,2)</f>
        <v>18.850000000000001</v>
      </c>
      <c r="V376" s="1107">
        <f>ROUND(NOMINA!BM342,2)</f>
        <v>2.36</v>
      </c>
      <c r="W376" s="1107">
        <f>ROUND(+NOMINA!BN342,2)</f>
        <v>4.08</v>
      </c>
      <c r="X376" s="1108">
        <f t="shared" si="43"/>
        <v>19.55</v>
      </c>
      <c r="Y376" s="1107">
        <f>ROUND(NOMINA!BJ342,2)</f>
        <v>0</v>
      </c>
      <c r="Z376" s="1109">
        <f t="shared" si="40"/>
        <v>131.82000000000002</v>
      </c>
    </row>
    <row r="377" spans="1:26" s="620" customFormat="1" ht="21" customHeight="1" thickBot="1" x14ac:dyDescent="0.25">
      <c r="A377" s="758" t="s">
        <v>2834</v>
      </c>
      <c r="B377" s="508">
        <f t="shared" si="41"/>
        <v>39</v>
      </c>
      <c r="C377" s="1706">
        <f>+NOMINA!C343</f>
        <v>12044754</v>
      </c>
      <c r="D377" s="1707" t="str">
        <f>+NOMINA!D343</f>
        <v>Briceño Graterol Oscar Antonio</v>
      </c>
      <c r="E377" s="1468" t="s">
        <v>4622</v>
      </c>
      <c r="F377" s="1442">
        <v>27853</v>
      </c>
      <c r="G377" s="1468" t="s">
        <v>4620</v>
      </c>
      <c r="H377" s="1708">
        <f>+NOMINA!H343</f>
        <v>43481</v>
      </c>
      <c r="I377" s="1105">
        <f>+NOMINA!I343</f>
        <v>6</v>
      </c>
      <c r="J377" s="1106">
        <f>+NOMINA!J343</f>
        <v>0</v>
      </c>
      <c r="K377" s="1105">
        <f t="shared" si="42"/>
        <v>6</v>
      </c>
      <c r="L377" s="1106" t="s">
        <v>4932</v>
      </c>
      <c r="M377" s="1106"/>
      <c r="N377" s="1443" t="str">
        <f>+NOMINA!O343</f>
        <v>Ayudante de Servicios Generales</v>
      </c>
      <c r="O377" s="1107">
        <f>ROUND(NOMINA!W343,2)</f>
        <v>76</v>
      </c>
      <c r="P377" s="1107">
        <f>NOMINA!AF343</f>
        <v>4.71</v>
      </c>
      <c r="Q377" s="1107">
        <f>NOMINA!AH343</f>
        <v>65</v>
      </c>
      <c r="R377" s="1107">
        <f>NOMINA!AC343</f>
        <v>0</v>
      </c>
      <c r="S377" s="1107">
        <f>NOMINA!AJ343</f>
        <v>0</v>
      </c>
      <c r="T377" s="1108">
        <f t="shared" si="44"/>
        <v>80.34</v>
      </c>
      <c r="U377" s="1107">
        <f>ROUND(NOMINA!BL343,2)</f>
        <v>13.45</v>
      </c>
      <c r="V377" s="1107">
        <f>ROUND(NOMINA!BM343,2)</f>
        <v>1.68</v>
      </c>
      <c r="W377" s="1107">
        <f>ROUND(+NOMINA!BN343,2)</f>
        <v>2.91</v>
      </c>
      <c r="X377" s="1108">
        <f t="shared" si="43"/>
        <v>16.510000000000002</v>
      </c>
      <c r="Y377" s="1107">
        <f>ROUND(NOMINA!BJ343,2)</f>
        <v>0</v>
      </c>
      <c r="Z377" s="1109">
        <f t="shared" si="40"/>
        <v>127.66999999999999</v>
      </c>
    </row>
    <row r="378" spans="1:26" s="620" customFormat="1" ht="21" customHeight="1" thickBot="1" x14ac:dyDescent="0.25">
      <c r="A378" s="758" t="s">
        <v>2834</v>
      </c>
      <c r="B378" s="508">
        <f t="shared" si="41"/>
        <v>40</v>
      </c>
      <c r="C378" s="1706">
        <f>+NOMINA!C344</f>
        <v>12046834</v>
      </c>
      <c r="D378" s="1707" t="str">
        <f>+NOMINA!D344</f>
        <v>Perez Montilla William Jose</v>
      </c>
      <c r="E378" s="1468" t="s">
        <v>4622</v>
      </c>
      <c r="F378" s="1442">
        <v>27853</v>
      </c>
      <c r="G378" s="1468" t="s">
        <v>4620</v>
      </c>
      <c r="H378" s="1708">
        <f>+NOMINA!H344</f>
        <v>43313</v>
      </c>
      <c r="I378" s="1105">
        <f>+NOMINA!I344</f>
        <v>7</v>
      </c>
      <c r="J378" s="1106">
        <f>+NOMINA!J344</f>
        <v>0</v>
      </c>
      <c r="K378" s="1105">
        <f t="shared" si="42"/>
        <v>7</v>
      </c>
      <c r="L378" s="1106" t="s">
        <v>4932</v>
      </c>
      <c r="M378" s="1106"/>
      <c r="N378" s="1443" t="str">
        <f>+NOMINA!O344</f>
        <v>Cocinero</v>
      </c>
      <c r="O378" s="1107">
        <f>ROUND(NOMINA!W344,2)</f>
        <v>85.5</v>
      </c>
      <c r="P378" s="1107">
        <f>NOMINA!AF344</f>
        <v>6.33</v>
      </c>
      <c r="Q378" s="1107">
        <f>NOMINA!AH344</f>
        <v>65</v>
      </c>
      <c r="R378" s="1107">
        <f>NOMINA!AC344</f>
        <v>12.5</v>
      </c>
      <c r="S378" s="1107">
        <f>NOMINA!AJ344</f>
        <v>0</v>
      </c>
      <c r="T378" s="1108">
        <f t="shared" si="44"/>
        <v>68.8</v>
      </c>
      <c r="U378" s="1107">
        <f>ROUND(NOMINA!BL344,2)</f>
        <v>15.05</v>
      </c>
      <c r="V378" s="1107">
        <f>ROUND(NOMINA!BM344,2)</f>
        <v>1.88</v>
      </c>
      <c r="W378" s="1107">
        <f>ROUND(+NOMINA!BN344,2)</f>
        <v>3.26</v>
      </c>
      <c r="X378" s="1108">
        <f t="shared" si="43"/>
        <v>19.43</v>
      </c>
      <c r="Y378" s="1107">
        <f>ROUND(NOMINA!BJ344,2)</f>
        <v>0</v>
      </c>
      <c r="Z378" s="1109">
        <f t="shared" si="40"/>
        <v>149.13999999999999</v>
      </c>
    </row>
    <row r="379" spans="1:26" s="620" customFormat="1" ht="21" customHeight="1" thickBot="1" x14ac:dyDescent="0.25">
      <c r="A379" s="758" t="s">
        <v>2834</v>
      </c>
      <c r="B379" s="508">
        <f t="shared" si="41"/>
        <v>41</v>
      </c>
      <c r="C379" s="1706">
        <f>+NOMINA!C345</f>
        <v>12047016</v>
      </c>
      <c r="D379" s="1707" t="str">
        <f>+NOMINA!D345</f>
        <v>Lozada de Estenoz Maria Edicta</v>
      </c>
      <c r="E379" s="1468" t="s">
        <v>4622</v>
      </c>
      <c r="F379" s="1442">
        <v>27853</v>
      </c>
      <c r="G379" s="1468" t="s">
        <v>4620</v>
      </c>
      <c r="H379" s="1708">
        <f>+NOMINA!H345</f>
        <v>42948</v>
      </c>
      <c r="I379" s="1105">
        <f>+NOMINA!I345</f>
        <v>8</v>
      </c>
      <c r="J379" s="1106">
        <f>+NOMINA!J345</f>
        <v>0</v>
      </c>
      <c r="K379" s="1105">
        <f t="shared" si="42"/>
        <v>8</v>
      </c>
      <c r="L379" s="1106" t="s">
        <v>4932</v>
      </c>
      <c r="M379" s="1106"/>
      <c r="N379" s="1443" t="str">
        <f>+NOMINA!O345</f>
        <v>Cocinera</v>
      </c>
      <c r="O379" s="1107">
        <f>ROUND(NOMINA!W345,2)</f>
        <v>85.5</v>
      </c>
      <c r="P379" s="1107">
        <f>NOMINA!AF345</f>
        <v>7.36</v>
      </c>
      <c r="Q379" s="1107">
        <f>NOMINA!AH345</f>
        <v>65</v>
      </c>
      <c r="R379" s="1107">
        <f>NOMINA!AC345</f>
        <v>12.5</v>
      </c>
      <c r="S379" s="1107">
        <f>NOMINA!AJ345</f>
        <v>0</v>
      </c>
      <c r="T379" s="1108">
        <f t="shared" si="44"/>
        <v>82.33</v>
      </c>
      <c r="U379" s="1107">
        <f>ROUND(NOMINA!BL345,2)</f>
        <v>15.15</v>
      </c>
      <c r="V379" s="1107">
        <f>ROUND(NOMINA!BM345,2)</f>
        <v>1.89</v>
      </c>
      <c r="W379" s="1107">
        <f>ROUND(+NOMINA!BN345,2)</f>
        <v>3.28</v>
      </c>
      <c r="X379" s="1108">
        <f t="shared" si="43"/>
        <v>17.84</v>
      </c>
      <c r="Y379" s="1107">
        <f>ROUND(NOMINA!BJ345,2)</f>
        <v>0</v>
      </c>
      <c r="Z379" s="1109">
        <f t="shared" si="40"/>
        <v>150.04000000000002</v>
      </c>
    </row>
    <row r="380" spans="1:26" s="620" customFormat="1" ht="21" customHeight="1" thickBot="1" x14ac:dyDescent="0.25">
      <c r="A380" s="758" t="s">
        <v>2834</v>
      </c>
      <c r="B380" s="508">
        <f t="shared" si="41"/>
        <v>42</v>
      </c>
      <c r="C380" s="1706">
        <f>+NOMINA!C346</f>
        <v>12797215</v>
      </c>
      <c r="D380" s="1707" t="str">
        <f>+NOMINA!D346</f>
        <v>Briceño Matheus Yhonny Alberto</v>
      </c>
      <c r="E380" s="1468" t="s">
        <v>4622</v>
      </c>
      <c r="F380" s="1442">
        <v>27853</v>
      </c>
      <c r="G380" s="1468" t="s">
        <v>4620</v>
      </c>
      <c r="H380" s="1708">
        <f>+NOMINA!H346</f>
        <v>45778</v>
      </c>
      <c r="I380" s="1105">
        <f>+NOMINA!I346</f>
        <v>0</v>
      </c>
      <c r="J380" s="1106">
        <f>+NOMINA!J346</f>
        <v>0</v>
      </c>
      <c r="K380" s="1105">
        <f t="shared" si="42"/>
        <v>0</v>
      </c>
      <c r="L380" s="1106" t="s">
        <v>4932</v>
      </c>
      <c r="M380" s="1106"/>
      <c r="N380" s="1443" t="str">
        <f>+NOMINA!O346</f>
        <v>Aseador</v>
      </c>
      <c r="O380" s="1107">
        <f>ROUND(NOMINA!W346,2)</f>
        <v>65</v>
      </c>
      <c r="P380" s="1107">
        <f>NOMINA!AF346</f>
        <v>0</v>
      </c>
      <c r="Q380" s="1107">
        <f>NOMINA!AH346</f>
        <v>65</v>
      </c>
      <c r="R380" s="1107">
        <f>NOMINA!AC346</f>
        <v>0</v>
      </c>
      <c r="S380" s="1107">
        <f>NOMINA!AJ346</f>
        <v>0</v>
      </c>
      <c r="T380" s="1108">
        <f t="shared" si="44"/>
        <v>79.900000000000006</v>
      </c>
      <c r="U380" s="1107">
        <f>ROUND(NOMINA!BL346,2)</f>
        <v>12</v>
      </c>
      <c r="V380" s="1107">
        <f>ROUND(NOMINA!BM346,2)</f>
        <v>1.5</v>
      </c>
      <c r="W380" s="1107">
        <f>ROUND(+NOMINA!BN346,2)</f>
        <v>2.6</v>
      </c>
      <c r="X380" s="1108">
        <f t="shared" si="43"/>
        <v>17.75</v>
      </c>
      <c r="Y380" s="1107">
        <f>ROUND(NOMINA!BJ346,2)</f>
        <v>0</v>
      </c>
      <c r="Z380" s="1109">
        <f t="shared" si="40"/>
        <v>113.9</v>
      </c>
    </row>
    <row r="381" spans="1:26" s="620" customFormat="1" ht="21" customHeight="1" thickBot="1" x14ac:dyDescent="0.25">
      <c r="A381" s="758" t="s">
        <v>2834</v>
      </c>
      <c r="B381" s="508">
        <f t="shared" si="41"/>
        <v>43</v>
      </c>
      <c r="C381" s="1706">
        <f>+NOMINA!C347</f>
        <v>12797543</v>
      </c>
      <c r="D381" s="1707" t="str">
        <f>+NOMINA!D347</f>
        <v>Carrizo Blanco Doris Coromoto</v>
      </c>
      <c r="E381" s="1468" t="s">
        <v>4622</v>
      </c>
      <c r="F381" s="1442">
        <v>27853</v>
      </c>
      <c r="G381" s="1468" t="s">
        <v>4620</v>
      </c>
      <c r="H381" s="1708">
        <f>+NOMINA!H347</f>
        <v>42948</v>
      </c>
      <c r="I381" s="1105">
        <f>+NOMINA!I347</f>
        <v>8</v>
      </c>
      <c r="J381" s="1106">
        <f>+NOMINA!J347</f>
        <v>0</v>
      </c>
      <c r="K381" s="1105">
        <f t="shared" si="42"/>
        <v>8</v>
      </c>
      <c r="L381" s="1106" t="s">
        <v>4932</v>
      </c>
      <c r="M381" s="1106"/>
      <c r="N381" s="1443" t="str">
        <f>+NOMINA!O347</f>
        <v>Ayudante de Servicios Generales</v>
      </c>
      <c r="O381" s="1107">
        <f>ROUND(NOMINA!W347,2)</f>
        <v>76</v>
      </c>
      <c r="P381" s="1107">
        <f>NOMINA!AF347</f>
        <v>6.54</v>
      </c>
      <c r="Q381" s="1107">
        <f>NOMINA!AH347</f>
        <v>65</v>
      </c>
      <c r="R381" s="1107">
        <f>NOMINA!AC347</f>
        <v>0</v>
      </c>
      <c r="S381" s="1107">
        <f>NOMINA!AJ347</f>
        <v>0</v>
      </c>
      <c r="T381" s="1108">
        <f t="shared" si="44"/>
        <v>78.78</v>
      </c>
      <c r="U381" s="1107">
        <f>ROUND(NOMINA!BL347,2)</f>
        <v>13.62</v>
      </c>
      <c r="V381" s="1107">
        <f>ROUND(NOMINA!BM347,2)</f>
        <v>1.7</v>
      </c>
      <c r="W381" s="1107">
        <f>ROUND(+NOMINA!BN347,2)</f>
        <v>2.95</v>
      </c>
      <c r="X381" s="1108">
        <f t="shared" si="43"/>
        <v>25.29</v>
      </c>
      <c r="Y381" s="1107">
        <f>ROUND(NOMINA!BJ347,2)</f>
        <v>0</v>
      </c>
      <c r="Z381" s="1109">
        <f t="shared" si="40"/>
        <v>129.27000000000001</v>
      </c>
    </row>
    <row r="382" spans="1:26" s="620" customFormat="1" ht="21" customHeight="1" thickBot="1" x14ac:dyDescent="0.25">
      <c r="A382" s="758" t="s">
        <v>2834</v>
      </c>
      <c r="B382" s="508">
        <f t="shared" si="41"/>
        <v>44</v>
      </c>
      <c r="C382" s="1706">
        <f>+NOMINA!C348</f>
        <v>12797598</v>
      </c>
      <c r="D382" s="1707" t="str">
        <f>+NOMINA!D348</f>
        <v>Gutierrez Briceño Jose Gabriel</v>
      </c>
      <c r="E382" s="1468" t="s">
        <v>4622</v>
      </c>
      <c r="F382" s="1442">
        <v>27853</v>
      </c>
      <c r="G382" s="1468" t="s">
        <v>4620</v>
      </c>
      <c r="H382" s="1708">
        <f>+NOMINA!H348</f>
        <v>44635</v>
      </c>
      <c r="I382" s="1105">
        <f>+NOMINA!I348</f>
        <v>3</v>
      </c>
      <c r="J382" s="1106">
        <f>+NOMINA!J348</f>
        <v>0</v>
      </c>
      <c r="K382" s="1105">
        <f t="shared" si="42"/>
        <v>3</v>
      </c>
      <c r="L382" s="1106" t="s">
        <v>4932</v>
      </c>
      <c r="M382" s="1106"/>
      <c r="N382" s="1443" t="str">
        <f>+NOMINA!O348</f>
        <v>Cocinero</v>
      </c>
      <c r="O382" s="1107">
        <f>ROUND(NOMINA!W348,2)</f>
        <v>85.5</v>
      </c>
      <c r="P382" s="1107">
        <f>NOMINA!AF348</f>
        <v>2.57</v>
      </c>
      <c r="Q382" s="1107">
        <f>NOMINA!AH348</f>
        <v>65</v>
      </c>
      <c r="R382" s="1107">
        <f>NOMINA!AC348</f>
        <v>12.5</v>
      </c>
      <c r="S382" s="1107">
        <f>NOMINA!AJ348</f>
        <v>0</v>
      </c>
      <c r="T382" s="1108">
        <f t="shared" si="44"/>
        <v>87.8</v>
      </c>
      <c r="U382" s="1107">
        <f>ROUND(NOMINA!BL348,2)</f>
        <v>14.71</v>
      </c>
      <c r="V382" s="1107">
        <f>ROUND(NOMINA!BM348,2)</f>
        <v>1.84</v>
      </c>
      <c r="W382" s="1107">
        <f>ROUND(+NOMINA!BN348,2)</f>
        <v>3.19</v>
      </c>
      <c r="X382" s="1108">
        <f t="shared" si="43"/>
        <v>20.89</v>
      </c>
      <c r="Y382" s="1107">
        <f>ROUND(NOMINA!BJ348,2)</f>
        <v>0</v>
      </c>
      <c r="Z382" s="1109">
        <f t="shared" si="40"/>
        <v>145.82999999999998</v>
      </c>
    </row>
    <row r="383" spans="1:26" s="620" customFormat="1" ht="21" customHeight="1" thickBot="1" x14ac:dyDescent="0.25">
      <c r="A383" s="758" t="s">
        <v>2834</v>
      </c>
      <c r="B383" s="508">
        <f t="shared" si="41"/>
        <v>45</v>
      </c>
      <c r="C383" s="1706">
        <f>+NOMINA!C349</f>
        <v>13049800</v>
      </c>
      <c r="D383" s="1707" t="str">
        <f>+NOMINA!D349</f>
        <v>Artigas Sanchez Mereldes Corina</v>
      </c>
      <c r="E383" s="1468" t="s">
        <v>4622</v>
      </c>
      <c r="F383" s="1442">
        <v>27853</v>
      </c>
      <c r="G383" s="1468" t="s">
        <v>4620</v>
      </c>
      <c r="H383" s="1708">
        <f>+NOMINA!H349</f>
        <v>42171</v>
      </c>
      <c r="I383" s="1105">
        <f>+NOMINA!I349</f>
        <v>10</v>
      </c>
      <c r="J383" s="1106">
        <f>+NOMINA!J349</f>
        <v>0</v>
      </c>
      <c r="K383" s="1105">
        <f t="shared" si="42"/>
        <v>10</v>
      </c>
      <c r="L383" s="1106" t="s">
        <v>4932</v>
      </c>
      <c r="M383" s="1106"/>
      <c r="N383" s="1443" t="str">
        <f>+NOMINA!O349</f>
        <v>Aseadora</v>
      </c>
      <c r="O383" s="1107">
        <f>ROUND(NOMINA!W349,2)</f>
        <v>65</v>
      </c>
      <c r="P383" s="1107">
        <f>NOMINA!AF349</f>
        <v>7.15</v>
      </c>
      <c r="Q383" s="1107">
        <f>NOMINA!AH349</f>
        <v>65</v>
      </c>
      <c r="R383" s="1107">
        <f>NOMINA!AC349</f>
        <v>0</v>
      </c>
      <c r="S383" s="1107">
        <f>NOMINA!AJ349</f>
        <v>0</v>
      </c>
      <c r="T383" s="1108">
        <f t="shared" si="44"/>
        <v>69.28</v>
      </c>
      <c r="U383" s="1107">
        <f>ROUND(NOMINA!BL349,2)</f>
        <v>12.66</v>
      </c>
      <c r="V383" s="1107">
        <f>ROUND(NOMINA!BM349,2)</f>
        <v>1.58</v>
      </c>
      <c r="W383" s="1107">
        <f>ROUND(+NOMINA!BN349,2)</f>
        <v>2.74</v>
      </c>
      <c r="X383" s="1108">
        <f t="shared" si="43"/>
        <v>17.75</v>
      </c>
      <c r="Y383" s="1107">
        <f>ROUND(NOMINA!BJ349,2)</f>
        <v>0</v>
      </c>
      <c r="Z383" s="1109">
        <f t="shared" si="40"/>
        <v>120.17</v>
      </c>
    </row>
    <row r="384" spans="1:26" s="620" customFormat="1" ht="21.95" customHeight="1" thickBot="1" x14ac:dyDescent="0.25">
      <c r="A384" s="758" t="s">
        <v>2834</v>
      </c>
      <c r="B384" s="508">
        <f t="shared" si="41"/>
        <v>46</v>
      </c>
      <c r="C384" s="1706">
        <f>+NOMINA!C350</f>
        <v>13376729</v>
      </c>
      <c r="D384" s="1707" t="str">
        <f>+NOMINA!D350</f>
        <v>Briceño Aldana Yhon Mario</v>
      </c>
      <c r="E384" s="1468" t="s">
        <v>4622</v>
      </c>
      <c r="F384" s="1442">
        <v>27853</v>
      </c>
      <c r="G384" s="1468" t="s">
        <v>4620</v>
      </c>
      <c r="H384" s="1708">
        <f>+NOMINA!H350</f>
        <v>42948</v>
      </c>
      <c r="I384" s="1105">
        <f>+NOMINA!I350</f>
        <v>8</v>
      </c>
      <c r="J384" s="1106">
        <f>+NOMINA!J350</f>
        <v>0</v>
      </c>
      <c r="K384" s="1105">
        <f t="shared" si="42"/>
        <v>8</v>
      </c>
      <c r="L384" s="1106" t="s">
        <v>4932</v>
      </c>
      <c r="M384" s="1106"/>
      <c r="N384" s="1443" t="str">
        <f>+NOMINA!O350</f>
        <v>Vigilante</v>
      </c>
      <c r="O384" s="1107">
        <f>ROUND(NOMINA!W350,2)</f>
        <v>85.5</v>
      </c>
      <c r="P384" s="1107">
        <f>NOMINA!AF350</f>
        <v>7.36</v>
      </c>
      <c r="Q384" s="1107">
        <f>NOMINA!AH350</f>
        <v>65</v>
      </c>
      <c r="R384" s="1107">
        <f>NOMINA!AC350</f>
        <v>12.5</v>
      </c>
      <c r="S384" s="1107">
        <f>NOMINA!AJ350</f>
        <v>0</v>
      </c>
      <c r="T384" s="1108">
        <f t="shared" si="44"/>
        <v>68.8</v>
      </c>
      <c r="U384" s="1107">
        <f>ROUND(NOMINA!BL350,2)</f>
        <v>19.690000000000001</v>
      </c>
      <c r="V384" s="1107">
        <f>ROUND(NOMINA!BM350,2)</f>
        <v>2.46</v>
      </c>
      <c r="W384" s="1107">
        <f>ROUND(+NOMINA!BN350,2)</f>
        <v>4.2699999999999996</v>
      </c>
      <c r="X384" s="1108">
        <f t="shared" ref="X384:X415" si="45">ROUND(SUM(U369:W369),2)</f>
        <v>19.18</v>
      </c>
      <c r="Y384" s="1107">
        <f>ROUND(NOMINA!BJ350,2)</f>
        <v>0</v>
      </c>
      <c r="Z384" s="1109">
        <f t="shared" si="40"/>
        <v>143.94</v>
      </c>
    </row>
    <row r="385" spans="1:26" s="620" customFormat="1" ht="21.95" customHeight="1" thickBot="1" x14ac:dyDescent="0.25">
      <c r="A385" s="758" t="s">
        <v>2834</v>
      </c>
      <c r="B385" s="508">
        <f t="shared" si="41"/>
        <v>47</v>
      </c>
      <c r="C385" s="1706">
        <f>+NOMINA!C351</f>
        <v>13404824</v>
      </c>
      <c r="D385" s="1707" t="str">
        <f>+NOMINA!D351</f>
        <v>Malpica Rivas Julio Enrique</v>
      </c>
      <c r="E385" s="1468" t="s">
        <v>4622</v>
      </c>
      <c r="F385" s="1442">
        <v>27853</v>
      </c>
      <c r="G385" s="1468" t="s">
        <v>4620</v>
      </c>
      <c r="H385" s="1708">
        <f>+NOMINA!H351</f>
        <v>45474</v>
      </c>
      <c r="I385" s="1105">
        <f>+NOMINA!I351</f>
        <v>1</v>
      </c>
      <c r="J385" s="1106">
        <f>+NOMINA!J351</f>
        <v>0</v>
      </c>
      <c r="K385" s="1105">
        <f t="shared" si="42"/>
        <v>1</v>
      </c>
      <c r="L385" s="1106" t="s">
        <v>4932</v>
      </c>
      <c r="M385" s="1106"/>
      <c r="N385" s="1443" t="str">
        <f>+NOMINA!O351</f>
        <v>Ayudante de Servicios Generales</v>
      </c>
      <c r="O385" s="1107">
        <f>ROUND(NOMINA!W351,2)</f>
        <v>76</v>
      </c>
      <c r="P385" s="1107">
        <f>NOMINA!AF351</f>
        <v>0.76</v>
      </c>
      <c r="Q385" s="1107">
        <f>NOMINA!AH351</f>
        <v>65</v>
      </c>
      <c r="R385" s="1107">
        <f>NOMINA!AC351</f>
        <v>0</v>
      </c>
      <c r="S385" s="1107">
        <f>NOMINA!AJ351</f>
        <v>0</v>
      </c>
      <c r="T385" s="1108">
        <f t="shared" si="44"/>
        <v>68.8</v>
      </c>
      <c r="U385" s="1107">
        <f>ROUND(NOMINA!BL351,2)</f>
        <v>13.09</v>
      </c>
      <c r="V385" s="1107">
        <f>ROUND(NOMINA!BM351,2)</f>
        <v>1.64</v>
      </c>
      <c r="W385" s="1107">
        <f>ROUND(+NOMINA!BN351,2)</f>
        <v>2.84</v>
      </c>
      <c r="X385" s="1108">
        <f t="shared" si="45"/>
        <v>21.23</v>
      </c>
      <c r="Y385" s="1107">
        <f>ROUND(NOMINA!BJ351,2)</f>
        <v>0</v>
      </c>
      <c r="Z385" s="1109">
        <f t="shared" si="40"/>
        <v>124.19</v>
      </c>
    </row>
    <row r="386" spans="1:26" s="620" customFormat="1" ht="21.95" customHeight="1" thickBot="1" x14ac:dyDescent="0.25">
      <c r="A386" s="758" t="s">
        <v>2834</v>
      </c>
      <c r="B386" s="508">
        <f t="shared" si="41"/>
        <v>48</v>
      </c>
      <c r="C386" s="1706">
        <f>+NOMINA!C352</f>
        <v>13745328</v>
      </c>
      <c r="D386" s="1707" t="str">
        <f>+NOMINA!D352</f>
        <v>Arroyo Williams Jose</v>
      </c>
      <c r="E386" s="1468" t="s">
        <v>4622</v>
      </c>
      <c r="F386" s="1442">
        <v>27853</v>
      </c>
      <c r="G386" s="1468" t="s">
        <v>4620</v>
      </c>
      <c r="H386" s="1708">
        <f>+NOMINA!H352</f>
        <v>44805</v>
      </c>
      <c r="I386" s="1105">
        <f>+NOMINA!I352</f>
        <v>3</v>
      </c>
      <c r="J386" s="1106">
        <f>+NOMINA!J352</f>
        <v>0</v>
      </c>
      <c r="K386" s="1105">
        <f t="shared" si="42"/>
        <v>3</v>
      </c>
      <c r="L386" s="1106" t="s">
        <v>4932</v>
      </c>
      <c r="M386" s="1106"/>
      <c r="N386" s="1443" t="str">
        <f>+NOMINA!O352</f>
        <v>Ayudante de Servicios Generales</v>
      </c>
      <c r="O386" s="1107">
        <f>ROUND(NOMINA!W352,2)</f>
        <v>76</v>
      </c>
      <c r="P386" s="1107">
        <f>NOMINA!AF352</f>
        <v>2.2799999999999998</v>
      </c>
      <c r="Q386" s="1107">
        <f>NOMINA!AH352</f>
        <v>65</v>
      </c>
      <c r="R386" s="1107">
        <f>NOMINA!AC352</f>
        <v>12.5</v>
      </c>
      <c r="S386" s="1107">
        <f>NOMINA!AJ352</f>
        <v>0</v>
      </c>
      <c r="T386" s="1108">
        <f t="shared" si="44"/>
        <v>82.33</v>
      </c>
      <c r="U386" s="1107">
        <f>ROUND(NOMINA!BL352,2)</f>
        <v>17.940000000000001</v>
      </c>
      <c r="V386" s="1107">
        <f>ROUND(NOMINA!BM352,2)</f>
        <v>2.2400000000000002</v>
      </c>
      <c r="W386" s="1107">
        <f>ROUND(+NOMINA!BN352,2)</f>
        <v>3.89</v>
      </c>
      <c r="X386" s="1108">
        <f t="shared" si="45"/>
        <v>19.07</v>
      </c>
      <c r="Y386" s="1107">
        <f>ROUND(NOMINA!BJ352,2)</f>
        <v>0</v>
      </c>
      <c r="Z386" s="1109">
        <f t="shared" si="40"/>
        <v>131.71</v>
      </c>
    </row>
    <row r="387" spans="1:26" s="620" customFormat="1" ht="21.95" customHeight="1" thickBot="1" x14ac:dyDescent="0.25">
      <c r="A387" s="758" t="s">
        <v>2834</v>
      </c>
      <c r="B387" s="508">
        <f t="shared" si="41"/>
        <v>49</v>
      </c>
      <c r="C387" s="1706">
        <f>+NOMINA!C353</f>
        <v>13996661</v>
      </c>
      <c r="D387" s="1707" t="str">
        <f>+NOMINA!D353</f>
        <v>Perez Montilla Yosmer Alexander</v>
      </c>
      <c r="E387" s="1468" t="s">
        <v>4622</v>
      </c>
      <c r="F387" s="1442">
        <v>27853</v>
      </c>
      <c r="G387" s="1468" t="s">
        <v>4620</v>
      </c>
      <c r="H387" s="1708">
        <f>+NOMINA!H353</f>
        <v>44743</v>
      </c>
      <c r="I387" s="1105">
        <f>+NOMINA!I353</f>
        <v>3</v>
      </c>
      <c r="J387" s="1106">
        <f>+NOMINA!J353</f>
        <v>14</v>
      </c>
      <c r="K387" s="1105">
        <f t="shared" si="42"/>
        <v>17</v>
      </c>
      <c r="L387" s="1106" t="s">
        <v>4932</v>
      </c>
      <c r="M387" s="1106"/>
      <c r="N387" s="1443" t="str">
        <f>+NOMINA!O353</f>
        <v>Chofer</v>
      </c>
      <c r="O387" s="1107">
        <f>ROUND(NOMINA!W353,2)</f>
        <v>80.5</v>
      </c>
      <c r="P387" s="1107">
        <f>NOMINA!AF353</f>
        <v>17.07</v>
      </c>
      <c r="Q387" s="1107">
        <f>NOMINA!AH353</f>
        <v>65</v>
      </c>
      <c r="R387" s="1107">
        <f>NOMINA!AC353</f>
        <v>12.5</v>
      </c>
      <c r="S387" s="1107">
        <f>NOMINA!AJ353</f>
        <v>0</v>
      </c>
      <c r="T387" s="1108">
        <f t="shared" si="44"/>
        <v>71.540000000000006</v>
      </c>
      <c r="U387" s="1107">
        <f>ROUND(NOMINA!BL353,2)</f>
        <v>20.260000000000002</v>
      </c>
      <c r="V387" s="1107">
        <f>ROUND(NOMINA!BM353,2)</f>
        <v>2.5299999999999998</v>
      </c>
      <c r="W387" s="1107">
        <f>ROUND(+NOMINA!BN353,2)</f>
        <v>4.3899999999999997</v>
      </c>
      <c r="X387" s="1108">
        <f t="shared" si="45"/>
        <v>17.09</v>
      </c>
      <c r="Y387" s="1107">
        <f>ROUND(NOMINA!BJ353,2)</f>
        <v>0</v>
      </c>
      <c r="Z387" s="1109">
        <f t="shared" si="40"/>
        <v>147.88999999999999</v>
      </c>
    </row>
    <row r="388" spans="1:26" s="620" customFormat="1" ht="21.95" customHeight="1" thickBot="1" x14ac:dyDescent="0.25">
      <c r="A388" s="758" t="s">
        <v>2834</v>
      </c>
      <c r="B388" s="508">
        <f t="shared" si="41"/>
        <v>50</v>
      </c>
      <c r="C388" s="1706">
        <f>+NOMINA!C354</f>
        <v>13996885</v>
      </c>
      <c r="D388" s="1707" t="str">
        <f>+NOMINA!D354</f>
        <v>Pulido Rojo Wilmer Jose</v>
      </c>
      <c r="E388" s="1468" t="s">
        <v>4622</v>
      </c>
      <c r="F388" s="1442">
        <v>27853</v>
      </c>
      <c r="G388" s="1468" t="s">
        <v>4620</v>
      </c>
      <c r="H388" s="1708">
        <f>+NOMINA!H354</f>
        <v>44363</v>
      </c>
      <c r="I388" s="1105">
        <f>+NOMINA!I354</f>
        <v>4</v>
      </c>
      <c r="J388" s="1106">
        <f>+NOMINA!J354</f>
        <v>0</v>
      </c>
      <c r="K388" s="1105">
        <f t="shared" si="42"/>
        <v>4</v>
      </c>
      <c r="L388" s="1106" t="s">
        <v>4932</v>
      </c>
      <c r="M388" s="1106"/>
      <c r="N388" s="1443" t="str">
        <f>+NOMINA!O354</f>
        <v>Chofer</v>
      </c>
      <c r="O388" s="1107">
        <f>ROUND(NOMINA!W354,2)</f>
        <v>80.5</v>
      </c>
      <c r="P388" s="1107">
        <f>NOMINA!AF354</f>
        <v>3.22</v>
      </c>
      <c r="Q388" s="1107">
        <f>NOMINA!AH354</f>
        <v>65</v>
      </c>
      <c r="R388" s="1107">
        <f>NOMINA!AC354</f>
        <v>0</v>
      </c>
      <c r="S388" s="1107">
        <f>NOMINA!AJ354</f>
        <v>0</v>
      </c>
      <c r="T388" s="1108">
        <f t="shared" si="44"/>
        <v>68.040000000000006</v>
      </c>
      <c r="U388" s="1107">
        <f>ROUND(NOMINA!BL354,2)</f>
        <v>17.850000000000001</v>
      </c>
      <c r="V388" s="1107">
        <f>ROUND(NOMINA!BM354,2)</f>
        <v>2.23</v>
      </c>
      <c r="W388" s="1107">
        <f>ROUND(+NOMINA!BN354,2)</f>
        <v>3.87</v>
      </c>
      <c r="X388" s="1108">
        <f t="shared" si="45"/>
        <v>21.59</v>
      </c>
      <c r="Y388" s="1107">
        <f>ROUND(NOMINA!BJ354,2)</f>
        <v>0</v>
      </c>
      <c r="Z388" s="1109">
        <f t="shared" si="40"/>
        <v>124.77</v>
      </c>
    </row>
    <row r="389" spans="1:26" s="620" customFormat="1" ht="21.95" customHeight="1" thickBot="1" x14ac:dyDescent="0.25">
      <c r="A389" s="758" t="s">
        <v>2834</v>
      </c>
      <c r="B389" s="508">
        <f t="shared" si="41"/>
        <v>51</v>
      </c>
      <c r="C389" s="1706">
        <f>+NOMINA!C355</f>
        <v>14149971</v>
      </c>
      <c r="D389" s="1707" t="str">
        <f>+NOMINA!D355</f>
        <v>Rivera Virginia del Carmen</v>
      </c>
      <c r="E389" s="1468" t="s">
        <v>4622</v>
      </c>
      <c r="F389" s="1442">
        <v>27853</v>
      </c>
      <c r="G389" s="1468" t="s">
        <v>4620</v>
      </c>
      <c r="H389" s="1708">
        <f>+NOMINA!H355</f>
        <v>41091</v>
      </c>
      <c r="I389" s="1105">
        <f>+NOMINA!I355</f>
        <v>13</v>
      </c>
      <c r="J389" s="1106">
        <f>+NOMINA!J355</f>
        <v>0</v>
      </c>
      <c r="K389" s="1105">
        <f t="shared" si="42"/>
        <v>13</v>
      </c>
      <c r="L389" s="1106" t="s">
        <v>4932</v>
      </c>
      <c r="M389" s="1106"/>
      <c r="N389" s="1443" t="str">
        <f>+NOMINA!O355</f>
        <v>Aseadora</v>
      </c>
      <c r="O389" s="1107">
        <f>ROUND(NOMINA!W355,2)</f>
        <v>65</v>
      </c>
      <c r="P389" s="1107">
        <f>NOMINA!AF355</f>
        <v>9.8800000000000008</v>
      </c>
      <c r="Q389" s="1107">
        <f>NOMINA!AH355</f>
        <v>65</v>
      </c>
      <c r="R389" s="1107">
        <f>NOMINA!AC355</f>
        <v>0</v>
      </c>
      <c r="S389" s="1107">
        <f>NOMINA!AJ355</f>
        <v>0</v>
      </c>
      <c r="T389" s="1108">
        <f t="shared" si="44"/>
        <v>67.599999999999994</v>
      </c>
      <c r="U389" s="1107">
        <f>ROUND(NOMINA!BL355,2)</f>
        <v>12.91</v>
      </c>
      <c r="V389" s="1107">
        <f>ROUND(NOMINA!BM355,2)</f>
        <v>1.61</v>
      </c>
      <c r="W389" s="1107">
        <f>ROUND(+NOMINA!BN355,2)</f>
        <v>2.8</v>
      </c>
      <c r="X389" s="1108">
        <f t="shared" si="45"/>
        <v>17.649999999999999</v>
      </c>
      <c r="Y389" s="1107">
        <f>ROUND(NOMINA!BJ355,2)</f>
        <v>0</v>
      </c>
      <c r="Z389" s="1109">
        <f t="shared" si="40"/>
        <v>122.56</v>
      </c>
    </row>
    <row r="390" spans="1:26" s="620" customFormat="1" ht="21.95" customHeight="1" thickBot="1" x14ac:dyDescent="0.25">
      <c r="A390" s="758" t="s">
        <v>2834</v>
      </c>
      <c r="B390" s="508">
        <f t="shared" si="41"/>
        <v>52</v>
      </c>
      <c r="C390" s="1706">
        <f>+NOMINA!C356</f>
        <v>14150495</v>
      </c>
      <c r="D390" s="1707" t="str">
        <f>+NOMINA!D356</f>
        <v>Umbria de Segovia Alexandra del Carmen</v>
      </c>
      <c r="E390" s="1468" t="s">
        <v>4622</v>
      </c>
      <c r="F390" s="1442">
        <v>27853</v>
      </c>
      <c r="G390" s="1468" t="s">
        <v>4620</v>
      </c>
      <c r="H390" s="1708">
        <f>+NOMINA!H356</f>
        <v>44228</v>
      </c>
      <c r="I390" s="1105">
        <f>+NOMINA!I356</f>
        <v>4</v>
      </c>
      <c r="J390" s="1106">
        <f>+NOMINA!J356</f>
        <v>0</v>
      </c>
      <c r="K390" s="1105">
        <f t="shared" si="42"/>
        <v>4</v>
      </c>
      <c r="L390" s="1106" t="s">
        <v>4932</v>
      </c>
      <c r="M390" s="1106"/>
      <c r="N390" s="1443" t="str">
        <f>+NOMINA!O356</f>
        <v>Ayudante de Almacen</v>
      </c>
      <c r="O390" s="1107">
        <f>ROUND(NOMINA!W356,2)</f>
        <v>85.5</v>
      </c>
      <c r="P390" s="1107">
        <f>NOMINA!AF356</f>
        <v>3.42</v>
      </c>
      <c r="Q390" s="1107">
        <f>NOMINA!AH356</f>
        <v>65</v>
      </c>
      <c r="R390" s="1107">
        <f>NOMINA!AC356</f>
        <v>0</v>
      </c>
      <c r="S390" s="1107">
        <f>NOMINA!AJ356</f>
        <v>0</v>
      </c>
      <c r="T390" s="1108">
        <f t="shared" si="44"/>
        <v>78.78</v>
      </c>
      <c r="U390" s="1107">
        <f>ROUND(NOMINA!BL356,2)</f>
        <v>14.21</v>
      </c>
      <c r="V390" s="1107">
        <f>ROUND(NOMINA!BM356,2)</f>
        <v>1.78</v>
      </c>
      <c r="W390" s="1107">
        <f>ROUND(+NOMINA!BN356,2)</f>
        <v>3.08</v>
      </c>
      <c r="X390" s="1108">
        <f t="shared" si="45"/>
        <v>19.3</v>
      </c>
      <c r="Y390" s="1107">
        <f>ROUND(NOMINA!BJ356,2)</f>
        <v>0</v>
      </c>
      <c r="Z390" s="1109">
        <f t="shared" si="40"/>
        <v>134.85000000000002</v>
      </c>
    </row>
    <row r="391" spans="1:26" s="620" customFormat="1" ht="21.95" customHeight="1" thickBot="1" x14ac:dyDescent="0.25">
      <c r="A391" s="758" t="s">
        <v>2834</v>
      </c>
      <c r="B391" s="508">
        <f t="shared" si="41"/>
        <v>53</v>
      </c>
      <c r="C391" s="1706">
        <f>+NOMINA!C357</f>
        <v>14718369</v>
      </c>
      <c r="D391" s="1707" t="str">
        <f>+NOMINA!D357</f>
        <v>Pacheco Yudith del Valle</v>
      </c>
      <c r="E391" s="1468" t="s">
        <v>4622</v>
      </c>
      <c r="F391" s="1442">
        <v>27853</v>
      </c>
      <c r="G391" s="1468" t="s">
        <v>4620</v>
      </c>
      <c r="H391" s="1708">
        <f>+NOMINA!H357</f>
        <v>43147</v>
      </c>
      <c r="I391" s="1105">
        <f>+NOMINA!I357</f>
        <v>7</v>
      </c>
      <c r="J391" s="1106">
        <f>+NOMINA!J357</f>
        <v>0</v>
      </c>
      <c r="K391" s="1105">
        <f t="shared" si="42"/>
        <v>7</v>
      </c>
      <c r="L391" s="1106" t="s">
        <v>4932</v>
      </c>
      <c r="M391" s="1106"/>
      <c r="N391" s="1443" t="str">
        <f>+NOMINA!O357</f>
        <v>Aseadora</v>
      </c>
      <c r="O391" s="1107">
        <f>ROUND(NOMINA!W357,2)</f>
        <v>65</v>
      </c>
      <c r="P391" s="1107">
        <f>NOMINA!AF357</f>
        <v>4.8099999999999996</v>
      </c>
      <c r="Q391" s="1107">
        <f>NOMINA!AH357</f>
        <v>65</v>
      </c>
      <c r="R391" s="1107">
        <f>NOMINA!AC357</f>
        <v>0</v>
      </c>
      <c r="S391" s="1107">
        <f>NOMINA!AJ357</f>
        <v>0</v>
      </c>
      <c r="T391" s="1108">
        <f t="shared" si="44"/>
        <v>81.760000000000005</v>
      </c>
      <c r="U391" s="1107">
        <f>ROUND(NOMINA!BL357,2)</f>
        <v>12.44</v>
      </c>
      <c r="V391" s="1107">
        <f>ROUND(NOMINA!BM357,2)</f>
        <v>1.56</v>
      </c>
      <c r="W391" s="1107">
        <f>ROUND(+NOMINA!BN357,2)</f>
        <v>2.7</v>
      </c>
      <c r="X391" s="1108">
        <f t="shared" si="45"/>
        <v>25.29</v>
      </c>
      <c r="Y391" s="1107">
        <f>ROUND(NOMINA!BJ357,2)</f>
        <v>0</v>
      </c>
      <c r="Z391" s="1109">
        <f t="shared" si="40"/>
        <v>118.11</v>
      </c>
    </row>
    <row r="392" spans="1:26" s="620" customFormat="1" ht="21.95" customHeight="1" thickBot="1" x14ac:dyDescent="0.25">
      <c r="A392" s="758" t="s">
        <v>2834</v>
      </c>
      <c r="B392" s="508">
        <f t="shared" si="41"/>
        <v>54</v>
      </c>
      <c r="C392" s="1706">
        <f>+NOMINA!C358</f>
        <v>14718468</v>
      </c>
      <c r="D392" s="1707" t="str">
        <f>+NOMINA!D358</f>
        <v>Frias Aldana Yhonny Ramon</v>
      </c>
      <c r="E392" s="1468" t="s">
        <v>4622</v>
      </c>
      <c r="F392" s="1442">
        <v>27853</v>
      </c>
      <c r="G392" s="1468" t="s">
        <v>4620</v>
      </c>
      <c r="H392" s="1708">
        <f>+NOMINA!H358</f>
        <v>42948</v>
      </c>
      <c r="I392" s="1105">
        <f>+NOMINA!I358</f>
        <v>8</v>
      </c>
      <c r="J392" s="1106">
        <f>+NOMINA!J358</f>
        <v>0</v>
      </c>
      <c r="K392" s="1105">
        <f t="shared" si="42"/>
        <v>8</v>
      </c>
      <c r="L392" s="1106" t="s">
        <v>4932</v>
      </c>
      <c r="M392" s="1106"/>
      <c r="N392" s="1443" t="str">
        <f>+NOMINA!O358</f>
        <v>Ayudante De Almacen</v>
      </c>
      <c r="O392" s="1107">
        <f>ROUND(NOMINA!W358,2)</f>
        <v>85.5</v>
      </c>
      <c r="P392" s="1107">
        <f>NOMINA!AF358</f>
        <v>7.36</v>
      </c>
      <c r="Q392" s="1107">
        <f>NOMINA!AH358</f>
        <v>65</v>
      </c>
      <c r="R392" s="1107">
        <f>NOMINA!AC358</f>
        <v>12.5</v>
      </c>
      <c r="S392" s="1107">
        <f>NOMINA!AJ358</f>
        <v>0</v>
      </c>
      <c r="T392" s="1108">
        <f t="shared" si="44"/>
        <v>65</v>
      </c>
      <c r="U392" s="1107">
        <f>ROUND(NOMINA!BL358,2)</f>
        <v>15.15</v>
      </c>
      <c r="V392" s="1107">
        <f>ROUND(NOMINA!BM358,2)</f>
        <v>1.89</v>
      </c>
      <c r="W392" s="1107">
        <f>ROUND(+NOMINA!BN358,2)</f>
        <v>3.28</v>
      </c>
      <c r="X392" s="1108">
        <f t="shared" si="45"/>
        <v>18.04</v>
      </c>
      <c r="Y392" s="1107">
        <f>ROUND(NOMINA!BJ358,2)</f>
        <v>0</v>
      </c>
      <c r="Z392" s="1109">
        <f t="shared" si="40"/>
        <v>150.04000000000002</v>
      </c>
    </row>
    <row r="393" spans="1:26" s="620" customFormat="1" ht="21.95" customHeight="1" thickBot="1" x14ac:dyDescent="0.25">
      <c r="A393" s="758" t="s">
        <v>2834</v>
      </c>
      <c r="B393" s="508">
        <f t="shared" si="41"/>
        <v>55</v>
      </c>
      <c r="C393" s="1706">
        <f>+NOMINA!C359</f>
        <v>14719205</v>
      </c>
      <c r="D393" s="1707" t="str">
        <f>+NOMINA!D359</f>
        <v>Chinchilla Perez Jean Carlos</v>
      </c>
      <c r="E393" s="1468" t="s">
        <v>4622</v>
      </c>
      <c r="F393" s="1442">
        <v>27853</v>
      </c>
      <c r="G393" s="1468" t="s">
        <v>4620</v>
      </c>
      <c r="H393" s="1708">
        <f>+NOMINA!H359</f>
        <v>39861</v>
      </c>
      <c r="I393" s="1105">
        <f>+NOMINA!I359</f>
        <v>16</v>
      </c>
      <c r="J393" s="1106">
        <f>+NOMINA!J359</f>
        <v>0</v>
      </c>
      <c r="K393" s="1105">
        <f t="shared" si="42"/>
        <v>16</v>
      </c>
      <c r="L393" s="1106" t="s">
        <v>4932</v>
      </c>
      <c r="M393" s="1106"/>
      <c r="N393" s="1443" t="str">
        <f>+NOMINA!O359</f>
        <v>Ayudante de Servicios Generales</v>
      </c>
      <c r="O393" s="1107">
        <f>ROUND(NOMINA!W359,2)</f>
        <v>76</v>
      </c>
      <c r="P393" s="1107">
        <f>NOMINA!AF359</f>
        <v>14.9</v>
      </c>
      <c r="Q393" s="1107">
        <f>NOMINA!AH359</f>
        <v>65</v>
      </c>
      <c r="R393" s="1107">
        <f>NOMINA!AC359</f>
        <v>0</v>
      </c>
      <c r="S393" s="1107">
        <f>NOMINA!AJ359</f>
        <v>0</v>
      </c>
      <c r="T393" s="1108">
        <f t="shared" si="44"/>
        <v>83.13</v>
      </c>
      <c r="U393" s="1107">
        <f>ROUND(NOMINA!BL359,2)</f>
        <v>14.39</v>
      </c>
      <c r="V393" s="1107">
        <f>ROUND(NOMINA!BM359,2)</f>
        <v>1.8</v>
      </c>
      <c r="W393" s="1107">
        <f>ROUND(+NOMINA!BN359,2)</f>
        <v>3.12</v>
      </c>
      <c r="X393" s="1108">
        <f t="shared" si="45"/>
        <v>20.190000000000001</v>
      </c>
      <c r="Y393" s="1107">
        <f>ROUND(NOMINA!BJ359,2)</f>
        <v>0</v>
      </c>
      <c r="Z393" s="1109">
        <f t="shared" si="40"/>
        <v>136.59</v>
      </c>
    </row>
    <row r="394" spans="1:26" s="620" customFormat="1" ht="21.95" customHeight="1" thickBot="1" x14ac:dyDescent="0.25">
      <c r="A394" s="758" t="s">
        <v>2834</v>
      </c>
      <c r="B394" s="508">
        <f t="shared" si="41"/>
        <v>56</v>
      </c>
      <c r="C394" s="1706">
        <f>+NOMINA!C360</f>
        <v>14719356</v>
      </c>
      <c r="D394" s="1707" t="str">
        <f>+NOMINA!D360</f>
        <v>Linares Montilla Gerardo Enrique</v>
      </c>
      <c r="E394" s="1468" t="s">
        <v>4622</v>
      </c>
      <c r="F394" s="1442">
        <v>27853</v>
      </c>
      <c r="G394" s="1468" t="s">
        <v>4620</v>
      </c>
      <c r="H394" s="1708">
        <f>+NOMINA!H360</f>
        <v>44348</v>
      </c>
      <c r="I394" s="1105">
        <f>+NOMINA!I360</f>
        <v>4</v>
      </c>
      <c r="J394" s="1106">
        <f>+NOMINA!J360</f>
        <v>0</v>
      </c>
      <c r="K394" s="1105">
        <f t="shared" si="42"/>
        <v>4</v>
      </c>
      <c r="L394" s="1106" t="s">
        <v>4932</v>
      </c>
      <c r="M394" s="1106"/>
      <c r="N394" s="1443" t="str">
        <f>+NOMINA!O360</f>
        <v>Ayudante de Servicios Generales</v>
      </c>
      <c r="O394" s="1107">
        <f>ROUND(NOMINA!W360,2)</f>
        <v>76</v>
      </c>
      <c r="P394" s="1107">
        <f>NOMINA!AF360</f>
        <v>3.04</v>
      </c>
      <c r="Q394" s="1107">
        <f>NOMINA!AH360</f>
        <v>65</v>
      </c>
      <c r="R394" s="1107">
        <f>NOMINA!AC360</f>
        <v>25</v>
      </c>
      <c r="S394" s="1107">
        <f>NOMINA!AJ360</f>
        <v>0</v>
      </c>
      <c r="T394" s="1108">
        <f t="shared" si="44"/>
        <v>85.86</v>
      </c>
      <c r="U394" s="1107">
        <f>ROUND(NOMINA!BL360,2)</f>
        <v>14.45</v>
      </c>
      <c r="V394" s="1107">
        <f>ROUND(NOMINA!BM360,2)</f>
        <v>1.81</v>
      </c>
      <c r="W394" s="1107">
        <f>ROUND(+NOMINA!BN360,2)</f>
        <v>3.13</v>
      </c>
      <c r="X394" s="1108">
        <f t="shared" si="45"/>
        <v>20.32</v>
      </c>
      <c r="Y394" s="1107">
        <f>ROUND(NOMINA!BJ360,2)</f>
        <v>0</v>
      </c>
      <c r="Z394" s="1109">
        <f t="shared" si="40"/>
        <v>149.65000000000003</v>
      </c>
    </row>
    <row r="395" spans="1:26" s="620" customFormat="1" ht="21.95" customHeight="1" thickBot="1" x14ac:dyDescent="0.25">
      <c r="A395" s="758" t="s">
        <v>2834</v>
      </c>
      <c r="B395" s="508">
        <f t="shared" si="41"/>
        <v>57</v>
      </c>
      <c r="C395" s="1706">
        <f>+NOMINA!C361</f>
        <v>14780893</v>
      </c>
      <c r="D395" s="1707" t="str">
        <f>+NOMINA!D361</f>
        <v>Perez Gonzalez Reinaldo Andre</v>
      </c>
      <c r="E395" s="1468" t="s">
        <v>4622</v>
      </c>
      <c r="F395" s="1442">
        <v>27853</v>
      </c>
      <c r="G395" s="1468" t="s">
        <v>4620</v>
      </c>
      <c r="H395" s="1708">
        <f>+NOMINA!H361</f>
        <v>41570</v>
      </c>
      <c r="I395" s="1105">
        <f>+NOMINA!I361</f>
        <v>11</v>
      </c>
      <c r="J395" s="1106">
        <f>+NOMINA!J361</f>
        <v>0</v>
      </c>
      <c r="K395" s="1105">
        <f t="shared" si="42"/>
        <v>11</v>
      </c>
      <c r="L395" s="1106" t="s">
        <v>4932</v>
      </c>
      <c r="M395" s="1106"/>
      <c r="N395" s="1443" t="str">
        <f>+NOMINA!O361</f>
        <v>Ayudante de Servicios Generales</v>
      </c>
      <c r="O395" s="1107">
        <f>ROUND(NOMINA!W361,2)</f>
        <v>76</v>
      </c>
      <c r="P395" s="1107">
        <f>NOMINA!AF361</f>
        <v>9.43</v>
      </c>
      <c r="Q395" s="1107">
        <f>NOMINA!AH361</f>
        <v>65</v>
      </c>
      <c r="R395" s="1107">
        <f>NOMINA!AC361</f>
        <v>0</v>
      </c>
      <c r="S395" s="1107">
        <f>NOMINA!AJ361</f>
        <v>0</v>
      </c>
      <c r="T395" s="1108">
        <f t="shared" si="44"/>
        <v>72.36</v>
      </c>
      <c r="U395" s="1107">
        <f>ROUND(NOMINA!BL361,2)</f>
        <v>13.89</v>
      </c>
      <c r="V395" s="1107">
        <f>ROUND(NOMINA!BM361,2)</f>
        <v>1.74</v>
      </c>
      <c r="W395" s="1107">
        <f>ROUND(+NOMINA!BN361,2)</f>
        <v>3.01</v>
      </c>
      <c r="X395" s="1108">
        <f t="shared" si="45"/>
        <v>16.100000000000001</v>
      </c>
      <c r="Y395" s="1107">
        <f>ROUND(NOMINA!BJ361,2)</f>
        <v>0</v>
      </c>
      <c r="Z395" s="1109">
        <f t="shared" si="40"/>
        <v>131.79000000000002</v>
      </c>
    </row>
    <row r="396" spans="1:26" s="620" customFormat="1" ht="21.95" customHeight="1" thickBot="1" x14ac:dyDescent="0.25">
      <c r="A396" s="758" t="s">
        <v>2834</v>
      </c>
      <c r="B396" s="508">
        <f t="shared" si="41"/>
        <v>58</v>
      </c>
      <c r="C396" s="1706">
        <f>+NOMINA!C362</f>
        <v>14928047</v>
      </c>
      <c r="D396" s="1707" t="str">
        <f>+NOMINA!D362</f>
        <v>Becerra Teran Maria Alejandra</v>
      </c>
      <c r="E396" s="1468" t="s">
        <v>4622</v>
      </c>
      <c r="F396" s="1442">
        <v>27853</v>
      </c>
      <c r="G396" s="1468" t="s">
        <v>4620</v>
      </c>
      <c r="H396" s="1708">
        <f>+NOMINA!H362</f>
        <v>43297</v>
      </c>
      <c r="I396" s="1105">
        <f>+NOMINA!I362</f>
        <v>7</v>
      </c>
      <c r="J396" s="1106">
        <f>+NOMINA!J362</f>
        <v>0</v>
      </c>
      <c r="K396" s="1105">
        <f t="shared" si="42"/>
        <v>7</v>
      </c>
      <c r="L396" s="1106" t="s">
        <v>4932</v>
      </c>
      <c r="M396" s="1106"/>
      <c r="N396" s="1443" t="str">
        <f>+NOMINA!O362</f>
        <v>Cocinera</v>
      </c>
      <c r="O396" s="1107">
        <f>ROUND(NOMINA!W362,2)</f>
        <v>85.5</v>
      </c>
      <c r="P396" s="1107">
        <f>NOMINA!AF362</f>
        <v>6.33</v>
      </c>
      <c r="Q396" s="1107">
        <f>NOMINA!AH362</f>
        <v>65</v>
      </c>
      <c r="R396" s="1107">
        <f>NOMINA!AC362</f>
        <v>0</v>
      </c>
      <c r="S396" s="1107">
        <f>NOMINA!AJ362</f>
        <v>0</v>
      </c>
      <c r="T396" s="1108">
        <f t="shared" si="44"/>
        <v>68.25</v>
      </c>
      <c r="U396" s="1107">
        <f>ROUND(NOMINA!BL362,2)</f>
        <v>14.48</v>
      </c>
      <c r="V396" s="1107">
        <f>ROUND(NOMINA!BM362,2)</f>
        <v>1.81</v>
      </c>
      <c r="W396" s="1107">
        <f>ROUND(+NOMINA!BN362,2)</f>
        <v>3.14</v>
      </c>
      <c r="X396" s="1108">
        <f t="shared" si="45"/>
        <v>18.27</v>
      </c>
      <c r="Y396" s="1107">
        <f>ROUND(NOMINA!BJ362,2)</f>
        <v>0</v>
      </c>
      <c r="Z396" s="1109">
        <f t="shared" si="40"/>
        <v>137.39999999999998</v>
      </c>
    </row>
    <row r="397" spans="1:26" s="620" customFormat="1" ht="21.95" customHeight="1" thickBot="1" x14ac:dyDescent="0.25">
      <c r="A397" s="758" t="s">
        <v>2834</v>
      </c>
      <c r="B397" s="508">
        <f t="shared" si="41"/>
        <v>59</v>
      </c>
      <c r="C397" s="1706">
        <f>+NOMINA!C363</f>
        <v>15042683</v>
      </c>
      <c r="D397" s="1707" t="str">
        <f>+NOMINA!D363</f>
        <v>Rivera Hermes Edixon</v>
      </c>
      <c r="E397" s="1468" t="s">
        <v>4622</v>
      </c>
      <c r="F397" s="1442">
        <v>27853</v>
      </c>
      <c r="G397" s="1468" t="s">
        <v>4620</v>
      </c>
      <c r="H397" s="1708">
        <f>+NOMINA!H363</f>
        <v>45292</v>
      </c>
      <c r="I397" s="1105">
        <f>+NOMINA!I363</f>
        <v>1</v>
      </c>
      <c r="J397" s="1106">
        <f>+NOMINA!J363</f>
        <v>0</v>
      </c>
      <c r="K397" s="1105">
        <f t="shared" si="42"/>
        <v>1</v>
      </c>
      <c r="L397" s="1106" t="s">
        <v>4932</v>
      </c>
      <c r="M397" s="1106"/>
      <c r="N397" s="1443" t="str">
        <f>+NOMINA!O363</f>
        <v>Aseador</v>
      </c>
      <c r="O397" s="1107">
        <f>ROUND(NOMINA!W363,2)</f>
        <v>65</v>
      </c>
      <c r="P397" s="1107">
        <f>NOMINA!AF363</f>
        <v>0.65</v>
      </c>
      <c r="Q397" s="1107">
        <f>NOMINA!AH363</f>
        <v>65</v>
      </c>
      <c r="R397" s="1107">
        <f>NOMINA!AC363</f>
        <v>12.5</v>
      </c>
      <c r="S397" s="1107">
        <f>NOMINA!AJ363</f>
        <v>0</v>
      </c>
      <c r="T397" s="1108">
        <f t="shared" si="44"/>
        <v>71.33</v>
      </c>
      <c r="U397" s="1107">
        <f>ROUND(NOMINA!BL363,2)</f>
        <v>12.64</v>
      </c>
      <c r="V397" s="1107">
        <f>ROUND(NOMINA!BM363,2)</f>
        <v>1.58</v>
      </c>
      <c r="W397" s="1107">
        <f>ROUND(+NOMINA!BN363,2)</f>
        <v>2.74</v>
      </c>
      <c r="X397" s="1108">
        <f t="shared" si="45"/>
        <v>19.739999999999998</v>
      </c>
      <c r="Y397" s="1107">
        <f>ROUND(NOMINA!BJ363,2)</f>
        <v>0</v>
      </c>
      <c r="Z397" s="1109">
        <f t="shared" si="40"/>
        <v>126.19</v>
      </c>
    </row>
    <row r="398" spans="1:26" s="620" customFormat="1" ht="21.95" customHeight="1" thickBot="1" x14ac:dyDescent="0.25">
      <c r="A398" s="758" t="s">
        <v>2834</v>
      </c>
      <c r="B398" s="508">
        <f t="shared" si="41"/>
        <v>60</v>
      </c>
      <c r="C398" s="1706">
        <f>+NOMINA!C364</f>
        <v>15293784</v>
      </c>
      <c r="D398" s="1707" t="str">
        <f>+NOMINA!D364</f>
        <v>Meza Alipio Jose</v>
      </c>
      <c r="E398" s="1468" t="s">
        <v>4622</v>
      </c>
      <c r="F398" s="1442">
        <v>27853</v>
      </c>
      <c r="G398" s="1468" t="s">
        <v>4620</v>
      </c>
      <c r="H398" s="1708">
        <f>+NOMINA!H364</f>
        <v>45778</v>
      </c>
      <c r="I398" s="1105">
        <f>+NOMINA!I364</f>
        <v>0</v>
      </c>
      <c r="J398" s="1106">
        <f>+NOMINA!J364</f>
        <v>0</v>
      </c>
      <c r="K398" s="1105">
        <f t="shared" si="42"/>
        <v>0</v>
      </c>
      <c r="L398" s="1106" t="s">
        <v>4932</v>
      </c>
      <c r="M398" s="1106"/>
      <c r="N398" s="1443" t="str">
        <f>+NOMINA!O364</f>
        <v>Aseador</v>
      </c>
      <c r="O398" s="1107">
        <f>ROUND(NOMINA!W364,2)</f>
        <v>65</v>
      </c>
      <c r="P398" s="1107">
        <f>NOMINA!AF364</f>
        <v>0</v>
      </c>
      <c r="Q398" s="1107">
        <f>NOMINA!AH364</f>
        <v>65</v>
      </c>
      <c r="R398" s="1107">
        <f>NOMINA!AC364</f>
        <v>0</v>
      </c>
      <c r="S398" s="1107">
        <f>NOMINA!AJ364</f>
        <v>0</v>
      </c>
      <c r="T398" s="1108">
        <f t="shared" si="44"/>
        <v>68.040000000000006</v>
      </c>
      <c r="U398" s="1107">
        <f>ROUND(NOMINA!BL364,2)</f>
        <v>12</v>
      </c>
      <c r="V398" s="1107">
        <f>ROUND(NOMINA!BM364,2)</f>
        <v>1.5</v>
      </c>
      <c r="W398" s="1107">
        <f>ROUND(+NOMINA!BN364,2)</f>
        <v>2.6</v>
      </c>
      <c r="X398" s="1108">
        <f t="shared" si="45"/>
        <v>16.98</v>
      </c>
      <c r="Y398" s="1107">
        <f>ROUND(NOMINA!BJ364,2)</f>
        <v>0</v>
      </c>
      <c r="Z398" s="1109">
        <f t="shared" si="40"/>
        <v>113.9</v>
      </c>
    </row>
    <row r="399" spans="1:26" s="620" customFormat="1" ht="21.95" customHeight="1" thickBot="1" x14ac:dyDescent="0.25">
      <c r="A399" s="758" t="s">
        <v>2834</v>
      </c>
      <c r="B399" s="508">
        <f t="shared" si="41"/>
        <v>61</v>
      </c>
      <c r="C399" s="1706">
        <f>+NOMINA!C365</f>
        <v>15583194</v>
      </c>
      <c r="D399" s="1707" t="str">
        <f>+NOMINA!D365</f>
        <v>Garcia Briceño Wuiston Andres</v>
      </c>
      <c r="E399" s="1468" t="s">
        <v>4622</v>
      </c>
      <c r="F399" s="1442">
        <v>27853</v>
      </c>
      <c r="G399" s="1468" t="s">
        <v>4620</v>
      </c>
      <c r="H399" s="1708">
        <f>+NOMINA!H365</f>
        <v>44166</v>
      </c>
      <c r="I399" s="1105">
        <f>+NOMINA!I365</f>
        <v>4</v>
      </c>
      <c r="J399" s="1106">
        <f>+NOMINA!J365</f>
        <v>8</v>
      </c>
      <c r="K399" s="1105">
        <f t="shared" si="42"/>
        <v>12</v>
      </c>
      <c r="L399" s="1106" t="s">
        <v>4932</v>
      </c>
      <c r="M399" s="1106"/>
      <c r="N399" s="1443" t="str">
        <f>+NOMINA!O365</f>
        <v>Cocinero</v>
      </c>
      <c r="O399" s="1107">
        <f>ROUND(NOMINA!W365,2)</f>
        <v>85.5</v>
      </c>
      <c r="P399" s="1107">
        <f>NOMINA!AF365</f>
        <v>11.8</v>
      </c>
      <c r="Q399" s="1107">
        <f>NOMINA!AH365</f>
        <v>65</v>
      </c>
      <c r="R399" s="1107">
        <f>NOMINA!AC365</f>
        <v>12.5</v>
      </c>
      <c r="S399" s="1107">
        <f>NOMINA!AJ365</f>
        <v>0</v>
      </c>
      <c r="T399" s="1108">
        <f t="shared" si="44"/>
        <v>67.28</v>
      </c>
      <c r="U399" s="1107">
        <f>ROUND(NOMINA!BL365,2)</f>
        <v>15.56</v>
      </c>
      <c r="V399" s="1107">
        <f>ROUND(NOMINA!BM365,2)</f>
        <v>1.94</v>
      </c>
      <c r="W399" s="1107">
        <f>ROUND(+NOMINA!BN365,2)</f>
        <v>3.37</v>
      </c>
      <c r="X399" s="1108">
        <f t="shared" si="45"/>
        <v>26.42</v>
      </c>
      <c r="Y399" s="1107">
        <f>ROUND(NOMINA!BJ365,2)</f>
        <v>0</v>
      </c>
      <c r="Z399" s="1109">
        <f t="shared" si="40"/>
        <v>153.93</v>
      </c>
    </row>
    <row r="400" spans="1:26" s="620" customFormat="1" ht="21.95" customHeight="1" thickBot="1" x14ac:dyDescent="0.25">
      <c r="A400" s="758" t="s">
        <v>2834</v>
      </c>
      <c r="B400" s="508">
        <f t="shared" si="41"/>
        <v>62</v>
      </c>
      <c r="C400" s="1706">
        <f>+NOMINA!C366</f>
        <v>14928592</v>
      </c>
      <c r="D400" s="1707" t="str">
        <f>+NOMINA!D366</f>
        <v>Rosales Ruiz Jesus Alberto</v>
      </c>
      <c r="E400" s="1468" t="s">
        <v>4622</v>
      </c>
      <c r="F400" s="1442">
        <v>27853</v>
      </c>
      <c r="G400" s="1468" t="s">
        <v>4620</v>
      </c>
      <c r="H400" s="1708">
        <f>+NOMINA!H366</f>
        <v>45017</v>
      </c>
      <c r="I400" s="1105">
        <f>+NOMINA!I366</f>
        <v>2</v>
      </c>
      <c r="J400" s="1106">
        <f>+NOMINA!J366</f>
        <v>0</v>
      </c>
      <c r="K400" s="1105">
        <f t="shared" si="42"/>
        <v>2</v>
      </c>
      <c r="L400" s="1106" t="s">
        <v>4932</v>
      </c>
      <c r="M400" s="1106"/>
      <c r="N400" s="1443" t="str">
        <f>+NOMINA!O366</f>
        <v>Cocinero</v>
      </c>
      <c r="O400" s="1107">
        <f>ROUND(NOMINA!W366,2)</f>
        <v>85.5</v>
      </c>
      <c r="P400" s="1107">
        <f>NOMINA!AF366</f>
        <v>1.71</v>
      </c>
      <c r="Q400" s="1107">
        <f>NOMINA!AH366</f>
        <v>65</v>
      </c>
      <c r="R400" s="1107">
        <f>NOMINA!AC366</f>
        <v>0</v>
      </c>
      <c r="S400" s="1107">
        <f>NOMINA!AJ366</f>
        <v>0</v>
      </c>
      <c r="T400" s="1108">
        <f t="shared" si="44"/>
        <v>81.11</v>
      </c>
      <c r="U400" s="1107">
        <f>ROUND(NOMINA!BL366,2)</f>
        <v>14.05</v>
      </c>
      <c r="V400" s="1107">
        <f>ROUND(NOMINA!BM366,2)</f>
        <v>1.76</v>
      </c>
      <c r="W400" s="1107">
        <f>ROUND(+NOMINA!BN366,2)</f>
        <v>3.04</v>
      </c>
      <c r="X400" s="1108">
        <f t="shared" si="45"/>
        <v>17.57</v>
      </c>
      <c r="Y400" s="1107">
        <f>ROUND(NOMINA!BJ366,2)</f>
        <v>0</v>
      </c>
      <c r="Z400" s="1109">
        <f t="shared" si="40"/>
        <v>133.35999999999999</v>
      </c>
    </row>
    <row r="401" spans="1:26" s="620" customFormat="1" ht="21.95" customHeight="1" thickBot="1" x14ac:dyDescent="0.25">
      <c r="A401" s="758" t="s">
        <v>2834</v>
      </c>
      <c r="B401" s="508">
        <f t="shared" si="41"/>
        <v>63</v>
      </c>
      <c r="C401" s="1706">
        <f>+NOMINA!C367</f>
        <v>15952512</v>
      </c>
      <c r="D401" s="1707" t="str">
        <f>+NOMINA!D367</f>
        <v>Graterol Gonzalez Maria Ysela</v>
      </c>
      <c r="E401" s="1468" t="s">
        <v>4622</v>
      </c>
      <c r="F401" s="1442">
        <v>27853</v>
      </c>
      <c r="G401" s="1468" t="s">
        <v>4620</v>
      </c>
      <c r="H401" s="1708">
        <f>+NOMINA!H367</f>
        <v>40725</v>
      </c>
      <c r="I401" s="1105">
        <f>+NOMINA!I367</f>
        <v>14</v>
      </c>
      <c r="J401" s="1106">
        <f>+NOMINA!J367</f>
        <v>0</v>
      </c>
      <c r="K401" s="1105">
        <f t="shared" si="42"/>
        <v>14</v>
      </c>
      <c r="L401" s="1106" t="s">
        <v>4932</v>
      </c>
      <c r="M401" s="1106"/>
      <c r="N401" s="1443" t="str">
        <f>+NOMINA!O367</f>
        <v>Aseadora</v>
      </c>
      <c r="O401" s="1107">
        <f>ROUND(NOMINA!W367,2)</f>
        <v>65</v>
      </c>
      <c r="P401" s="1107">
        <f>NOMINA!AF367</f>
        <v>10.79</v>
      </c>
      <c r="Q401" s="1107">
        <f>NOMINA!AH367</f>
        <v>65</v>
      </c>
      <c r="R401" s="1107">
        <f>NOMINA!AC367</f>
        <v>0</v>
      </c>
      <c r="S401" s="1107">
        <f>NOMINA!AJ367</f>
        <v>0</v>
      </c>
      <c r="T401" s="1108">
        <f t="shared" si="44"/>
        <v>83.13</v>
      </c>
      <c r="U401" s="1107">
        <f>ROUND(NOMINA!BL367,2)</f>
        <v>13</v>
      </c>
      <c r="V401" s="1107">
        <f>ROUND(NOMINA!BM367,2)</f>
        <v>1.62</v>
      </c>
      <c r="W401" s="1107">
        <f>ROUND(+NOMINA!BN367,2)</f>
        <v>2.82</v>
      </c>
      <c r="X401" s="1108">
        <f t="shared" si="45"/>
        <v>24.07</v>
      </c>
      <c r="Y401" s="1107">
        <f>ROUND(NOMINA!BJ367,2)</f>
        <v>0</v>
      </c>
      <c r="Z401" s="1109">
        <f t="shared" si="40"/>
        <v>123.35</v>
      </c>
    </row>
    <row r="402" spans="1:26" s="620" customFormat="1" ht="21.95" customHeight="1" thickBot="1" x14ac:dyDescent="0.25">
      <c r="A402" s="758" t="s">
        <v>2834</v>
      </c>
      <c r="B402" s="508">
        <f t="shared" si="41"/>
        <v>64</v>
      </c>
      <c r="C402" s="1706">
        <f>+NOMINA!C368</f>
        <v>15953703</v>
      </c>
      <c r="D402" s="1707" t="str">
        <f>+NOMINA!D368</f>
        <v>Briceño Salas Jose Leonardo</v>
      </c>
      <c r="E402" s="1468" t="s">
        <v>4622</v>
      </c>
      <c r="F402" s="1442">
        <v>27853</v>
      </c>
      <c r="G402" s="1468" t="s">
        <v>4620</v>
      </c>
      <c r="H402" s="1708">
        <f>+NOMINA!H368</f>
        <v>38718</v>
      </c>
      <c r="I402" s="1105">
        <f>+NOMINA!I368</f>
        <v>19</v>
      </c>
      <c r="J402" s="1106">
        <f>+NOMINA!J368</f>
        <v>0</v>
      </c>
      <c r="K402" s="1105">
        <f t="shared" si="42"/>
        <v>19</v>
      </c>
      <c r="L402" s="1106" t="s">
        <v>4932</v>
      </c>
      <c r="M402" s="1106"/>
      <c r="N402" s="1443" t="str">
        <f>+NOMINA!O368</f>
        <v>Ayudante de Servicios Generales</v>
      </c>
      <c r="O402" s="1107">
        <f>ROUND(NOMINA!W368,2)</f>
        <v>76</v>
      </c>
      <c r="P402" s="1107">
        <f>NOMINA!AF368</f>
        <v>18.55</v>
      </c>
      <c r="Q402" s="1107">
        <f>NOMINA!AH368</f>
        <v>65</v>
      </c>
      <c r="R402" s="1107">
        <f>NOMINA!AC368</f>
        <v>25</v>
      </c>
      <c r="S402" s="1107">
        <f>NOMINA!AJ368</f>
        <v>0</v>
      </c>
      <c r="T402" s="1108">
        <f t="shared" si="44"/>
        <v>67.28</v>
      </c>
      <c r="U402" s="1107">
        <f>ROUND(NOMINA!BL368,2)</f>
        <v>15.88</v>
      </c>
      <c r="V402" s="1107">
        <f>ROUND(NOMINA!BM368,2)</f>
        <v>1.99</v>
      </c>
      <c r="W402" s="1107">
        <f>ROUND(+NOMINA!BN368,2)</f>
        <v>3.44</v>
      </c>
      <c r="X402" s="1108">
        <f t="shared" si="45"/>
        <v>27.18</v>
      </c>
      <c r="Y402" s="1107">
        <f>ROUND(NOMINA!BJ368,2)</f>
        <v>0</v>
      </c>
      <c r="Z402" s="1109">
        <f t="shared" si="40"/>
        <v>163.24</v>
      </c>
    </row>
    <row r="403" spans="1:26" s="620" customFormat="1" ht="21.95" customHeight="1" thickBot="1" x14ac:dyDescent="0.25">
      <c r="A403" s="758" t="s">
        <v>2834</v>
      </c>
      <c r="B403" s="508">
        <f t="shared" si="41"/>
        <v>65</v>
      </c>
      <c r="C403" s="1706">
        <f>+NOMINA!C369</f>
        <v>16266801</v>
      </c>
      <c r="D403" s="1707" t="str">
        <f>+NOMINA!D369</f>
        <v>Briceño Gonzalez Mirla Carolina</v>
      </c>
      <c r="E403" s="1468" t="s">
        <v>4622</v>
      </c>
      <c r="F403" s="1442">
        <v>27853</v>
      </c>
      <c r="G403" s="1468" t="s">
        <v>4620</v>
      </c>
      <c r="H403" s="1708">
        <f>+NOMINA!H369</f>
        <v>39496</v>
      </c>
      <c r="I403" s="1105">
        <f>+NOMINA!I369</f>
        <v>17</v>
      </c>
      <c r="J403" s="1106">
        <f>+NOMINA!J369</f>
        <v>0</v>
      </c>
      <c r="K403" s="1105">
        <f t="shared" si="42"/>
        <v>17</v>
      </c>
      <c r="L403" s="1106" t="s">
        <v>4932</v>
      </c>
      <c r="M403" s="1106"/>
      <c r="N403" s="1443" t="str">
        <f>+NOMINA!O369</f>
        <v>Cocinera</v>
      </c>
      <c r="O403" s="1107">
        <f>ROUND(NOMINA!W369,2)</f>
        <v>85.5</v>
      </c>
      <c r="P403" s="1107">
        <f>NOMINA!AF369</f>
        <v>18.13</v>
      </c>
      <c r="Q403" s="1107">
        <f>NOMINA!AH369</f>
        <v>65</v>
      </c>
      <c r="R403" s="1107">
        <f>NOMINA!AC369</f>
        <v>12.5</v>
      </c>
      <c r="S403" s="1107">
        <f>NOMINA!AJ369</f>
        <v>0</v>
      </c>
      <c r="T403" s="1108">
        <f t="shared" si="44"/>
        <v>69.28</v>
      </c>
      <c r="U403" s="1107">
        <f>ROUND(NOMINA!BL369,2)</f>
        <v>16.14</v>
      </c>
      <c r="V403" s="1107">
        <f>ROUND(NOMINA!BM369,2)</f>
        <v>2.02</v>
      </c>
      <c r="W403" s="1107">
        <f>ROUND(+NOMINA!BN369,2)</f>
        <v>3.5</v>
      </c>
      <c r="X403" s="1108">
        <f t="shared" si="45"/>
        <v>23.95</v>
      </c>
      <c r="Y403" s="1107">
        <f>ROUND(NOMINA!BJ369,2)</f>
        <v>0</v>
      </c>
      <c r="Z403" s="1109">
        <f t="shared" ref="Z403:Z430" si="46">+O403+P403+Q403+R403+S403-(U403+V403+W403)</f>
        <v>159.47</v>
      </c>
    </row>
    <row r="404" spans="1:26" s="620" customFormat="1" ht="21.95" customHeight="1" thickBot="1" x14ac:dyDescent="0.25">
      <c r="A404" s="758" t="s">
        <v>2834</v>
      </c>
      <c r="B404" s="508">
        <f t="shared" ref="B404:B430" si="47">+B403+1</f>
        <v>66</v>
      </c>
      <c r="C404" s="1706">
        <f>+NOMINA!C370</f>
        <v>16739958</v>
      </c>
      <c r="D404" s="1707" t="str">
        <f>+NOMINA!D370</f>
        <v>Ramirez Ramirez Natali Gabriela</v>
      </c>
      <c r="E404" s="1468" t="s">
        <v>4622</v>
      </c>
      <c r="F404" s="1442">
        <v>27853</v>
      </c>
      <c r="G404" s="1468" t="s">
        <v>4620</v>
      </c>
      <c r="H404" s="1708">
        <f>+NOMINA!H370</f>
        <v>44866</v>
      </c>
      <c r="I404" s="1105">
        <f>+NOMINA!I370</f>
        <v>2</v>
      </c>
      <c r="J404" s="1106">
        <f>+NOMINA!J370</f>
        <v>0</v>
      </c>
      <c r="K404" s="1105">
        <f t="shared" ref="K404:K430" si="48">I404+J404</f>
        <v>2</v>
      </c>
      <c r="L404" s="1106" t="s">
        <v>4932</v>
      </c>
      <c r="M404" s="1106"/>
      <c r="N404" s="1443" t="str">
        <f>+NOMINA!O370</f>
        <v>Ayud. Serv. De Cocina</v>
      </c>
      <c r="O404" s="1107">
        <f>ROUND(NOMINA!W370,2)</f>
        <v>71</v>
      </c>
      <c r="P404" s="1107">
        <f>NOMINA!AF370</f>
        <v>1.42</v>
      </c>
      <c r="Q404" s="1107">
        <f>NOMINA!AH370</f>
        <v>65</v>
      </c>
      <c r="R404" s="1107">
        <f>NOMINA!AC370</f>
        <v>25</v>
      </c>
      <c r="S404" s="1107">
        <f>NOMINA!AJ370</f>
        <v>0</v>
      </c>
      <c r="T404" s="1108">
        <f t="shared" ref="T404:T430" si="49">+P370+Q370+R370+S370</f>
        <v>85.86</v>
      </c>
      <c r="U404" s="1107">
        <f>ROUND(NOMINA!BL370,2)</f>
        <v>13.84</v>
      </c>
      <c r="V404" s="1107">
        <f>ROUND(NOMINA!BM370,2)</f>
        <v>1.73</v>
      </c>
      <c r="W404" s="1107">
        <f>ROUND(+NOMINA!BN370,2)</f>
        <v>3</v>
      </c>
      <c r="X404" s="1108">
        <f t="shared" si="45"/>
        <v>17.32</v>
      </c>
      <c r="Y404" s="1107">
        <f>ROUND(NOMINA!BJ370,2)</f>
        <v>0</v>
      </c>
      <c r="Z404" s="1109">
        <f t="shared" si="46"/>
        <v>143.85000000000002</v>
      </c>
    </row>
    <row r="405" spans="1:26" s="620" customFormat="1" ht="21.95" customHeight="1" thickBot="1" x14ac:dyDescent="0.25">
      <c r="A405" s="758" t="s">
        <v>2834</v>
      </c>
      <c r="B405" s="508">
        <f t="shared" si="47"/>
        <v>67</v>
      </c>
      <c r="C405" s="1706">
        <f>+NOMINA!C371</f>
        <v>16881526</v>
      </c>
      <c r="D405" s="1707" t="str">
        <f>+NOMINA!D371</f>
        <v>Montilla Mendoza Addy Coromoto</v>
      </c>
      <c r="E405" s="1468" t="s">
        <v>4622</v>
      </c>
      <c r="F405" s="1442">
        <v>27853</v>
      </c>
      <c r="G405" s="1468" t="s">
        <v>4620</v>
      </c>
      <c r="H405" s="1708">
        <f>+NOMINA!H371</f>
        <v>44470</v>
      </c>
      <c r="I405" s="1105">
        <f>+NOMINA!I371</f>
        <v>3</v>
      </c>
      <c r="J405" s="1106">
        <f>+NOMINA!J371</f>
        <v>0</v>
      </c>
      <c r="K405" s="1105">
        <f t="shared" si="48"/>
        <v>3</v>
      </c>
      <c r="L405" s="1106" t="s">
        <v>4932</v>
      </c>
      <c r="M405" s="1106"/>
      <c r="N405" s="1443" t="str">
        <f>+NOMINA!O371</f>
        <v>Aseador</v>
      </c>
      <c r="O405" s="1107">
        <f>ROUND(NOMINA!W371,2)</f>
        <v>65</v>
      </c>
      <c r="P405" s="1107">
        <f>NOMINA!AF371</f>
        <v>1.95</v>
      </c>
      <c r="Q405" s="1107">
        <f>NOMINA!AH371</f>
        <v>65</v>
      </c>
      <c r="R405" s="1107">
        <f>NOMINA!AC371</f>
        <v>25</v>
      </c>
      <c r="S405" s="1107">
        <f>NOMINA!AJ371</f>
        <v>0</v>
      </c>
      <c r="T405" s="1108">
        <f t="shared" si="49"/>
        <v>68.42</v>
      </c>
      <c r="U405" s="1107">
        <f>ROUND(NOMINA!BL371,2)</f>
        <v>13.33</v>
      </c>
      <c r="V405" s="1107">
        <f>ROUND(NOMINA!BM371,2)</f>
        <v>1.67</v>
      </c>
      <c r="W405" s="1107">
        <f>ROUND(+NOMINA!BN371,2)</f>
        <v>2.89</v>
      </c>
      <c r="X405" s="1108">
        <f t="shared" si="45"/>
        <v>19.07</v>
      </c>
      <c r="Y405" s="1107">
        <f>ROUND(NOMINA!BJ371,2)</f>
        <v>0</v>
      </c>
      <c r="Z405" s="1109">
        <f t="shared" si="46"/>
        <v>139.06</v>
      </c>
    </row>
    <row r="406" spans="1:26" s="620" customFormat="1" ht="21.95" customHeight="1" thickBot="1" x14ac:dyDescent="0.25">
      <c r="A406" s="758" t="s">
        <v>2834</v>
      </c>
      <c r="B406" s="508">
        <f t="shared" si="47"/>
        <v>68</v>
      </c>
      <c r="C406" s="1706">
        <f>+NOMINA!C372</f>
        <v>17093567</v>
      </c>
      <c r="D406" s="1707" t="str">
        <f>+NOMINA!D372</f>
        <v>Torres Villarreal Yenny del Carmen</v>
      </c>
      <c r="E406" s="1468" t="s">
        <v>4622</v>
      </c>
      <c r="F406" s="1442">
        <v>27853</v>
      </c>
      <c r="G406" s="1468" t="s">
        <v>4620</v>
      </c>
      <c r="H406" s="1708">
        <f>+NOMINA!H372</f>
        <v>39449</v>
      </c>
      <c r="I406" s="1105">
        <f>+NOMINA!I372</f>
        <v>17</v>
      </c>
      <c r="J406" s="1106">
        <f>+NOMINA!J372</f>
        <v>0</v>
      </c>
      <c r="K406" s="1105">
        <f t="shared" si="48"/>
        <v>17</v>
      </c>
      <c r="L406" s="1106" t="s">
        <v>4932</v>
      </c>
      <c r="M406" s="1106"/>
      <c r="N406" s="1443" t="str">
        <f>+NOMINA!O372</f>
        <v>Ayudante de Servicios Generales</v>
      </c>
      <c r="O406" s="1107">
        <f>ROUND(NOMINA!W372,2)</f>
        <v>76</v>
      </c>
      <c r="P406" s="1107">
        <f>NOMINA!AF372</f>
        <v>16.11</v>
      </c>
      <c r="Q406" s="1107">
        <f>NOMINA!AH372</f>
        <v>65</v>
      </c>
      <c r="R406" s="1107">
        <f>NOMINA!AC372</f>
        <v>0</v>
      </c>
      <c r="S406" s="1107">
        <f>NOMINA!AJ372</f>
        <v>0</v>
      </c>
      <c r="T406" s="1108">
        <f t="shared" si="49"/>
        <v>73.06</v>
      </c>
      <c r="U406" s="1107">
        <f>ROUND(NOMINA!BL372,2)</f>
        <v>14.5</v>
      </c>
      <c r="V406" s="1107">
        <f>ROUND(NOMINA!BM372,2)</f>
        <v>1.81</v>
      </c>
      <c r="W406" s="1107">
        <f>ROUND(+NOMINA!BN372,2)</f>
        <v>3.14</v>
      </c>
      <c r="X406" s="1108">
        <f t="shared" si="45"/>
        <v>16.7</v>
      </c>
      <c r="Y406" s="1107">
        <f>ROUND(NOMINA!BJ372,2)</f>
        <v>0</v>
      </c>
      <c r="Z406" s="1109">
        <f t="shared" si="46"/>
        <v>137.66000000000003</v>
      </c>
    </row>
    <row r="407" spans="1:26" s="620" customFormat="1" ht="21.95" customHeight="1" thickBot="1" x14ac:dyDescent="0.25">
      <c r="A407" s="758" t="s">
        <v>2834</v>
      </c>
      <c r="B407" s="508">
        <f t="shared" si="47"/>
        <v>69</v>
      </c>
      <c r="C407" s="1706">
        <f>+NOMINA!C373</f>
        <v>17093846</v>
      </c>
      <c r="D407" s="1707" t="str">
        <f>+NOMINA!D373</f>
        <v>Bastidas Rivera Junior Antonio</v>
      </c>
      <c r="E407" s="1468" t="s">
        <v>4622</v>
      </c>
      <c r="F407" s="1442">
        <v>27853</v>
      </c>
      <c r="G407" s="1468" t="s">
        <v>4620</v>
      </c>
      <c r="H407" s="1708">
        <f>+NOMINA!H373</f>
        <v>45017</v>
      </c>
      <c r="I407" s="1105">
        <f>+NOMINA!I373</f>
        <v>2</v>
      </c>
      <c r="J407" s="1106">
        <f>+NOMINA!J373</f>
        <v>0</v>
      </c>
      <c r="K407" s="1105">
        <f t="shared" si="48"/>
        <v>2</v>
      </c>
      <c r="L407" s="1106" t="s">
        <v>4932</v>
      </c>
      <c r="M407" s="1106"/>
      <c r="N407" s="1443" t="str">
        <f>+NOMINA!O373</f>
        <v>Ayudante de Servicios Generales</v>
      </c>
      <c r="O407" s="1107">
        <f>ROUND(NOMINA!W373,2)</f>
        <v>76</v>
      </c>
      <c r="P407" s="1107">
        <f>NOMINA!AF373</f>
        <v>1.52</v>
      </c>
      <c r="Q407" s="1107">
        <f>NOMINA!AH373</f>
        <v>65</v>
      </c>
      <c r="R407" s="1107">
        <f>NOMINA!AC373</f>
        <v>0</v>
      </c>
      <c r="S407" s="1107">
        <f>NOMINA!AJ373</f>
        <v>0</v>
      </c>
      <c r="T407" s="1108">
        <f t="shared" si="49"/>
        <v>88.77</v>
      </c>
      <c r="U407" s="1107">
        <f>ROUND(NOMINA!BL373,2)</f>
        <v>13.16</v>
      </c>
      <c r="V407" s="1107">
        <f>ROUND(NOMINA!BM373,2)</f>
        <v>1.64</v>
      </c>
      <c r="W407" s="1107">
        <f>ROUND(+NOMINA!BN373,2)</f>
        <v>2.85</v>
      </c>
      <c r="X407" s="1108">
        <f t="shared" si="45"/>
        <v>20.32</v>
      </c>
      <c r="Y407" s="1107">
        <f>ROUND(NOMINA!BJ373,2)</f>
        <v>0</v>
      </c>
      <c r="Z407" s="1109">
        <f t="shared" si="46"/>
        <v>124.86999999999998</v>
      </c>
    </row>
    <row r="408" spans="1:26" s="620" customFormat="1" ht="21.95" customHeight="1" thickBot="1" x14ac:dyDescent="0.25">
      <c r="A408" s="758" t="s">
        <v>2834</v>
      </c>
      <c r="B408" s="508">
        <f t="shared" si="47"/>
        <v>70</v>
      </c>
      <c r="C408" s="1706">
        <f>+NOMINA!C374</f>
        <v>17095084</v>
      </c>
      <c r="D408" s="1707" t="str">
        <f>+NOMINA!D374</f>
        <v>Gonzalez Simancas Yulimar del Valle</v>
      </c>
      <c r="E408" s="1468" t="s">
        <v>4622</v>
      </c>
      <c r="F408" s="1442">
        <v>27853</v>
      </c>
      <c r="G408" s="1468" t="s">
        <v>4620</v>
      </c>
      <c r="H408" s="1708">
        <f>+NOMINA!H374</f>
        <v>44317</v>
      </c>
      <c r="I408" s="1105">
        <f>+NOMINA!I374</f>
        <v>4</v>
      </c>
      <c r="J408" s="1106">
        <f>+NOMINA!J374</f>
        <v>0</v>
      </c>
      <c r="K408" s="1105">
        <f t="shared" si="48"/>
        <v>4</v>
      </c>
      <c r="L408" s="1106" t="s">
        <v>4932</v>
      </c>
      <c r="M408" s="1106"/>
      <c r="N408" s="1443" t="str">
        <f>+NOMINA!O374</f>
        <v>Cocinera</v>
      </c>
      <c r="O408" s="1107">
        <f>ROUND(NOMINA!W374,2)</f>
        <v>85.5</v>
      </c>
      <c r="P408" s="1107">
        <f>NOMINA!AF374</f>
        <v>3.42</v>
      </c>
      <c r="Q408" s="1107">
        <f>NOMINA!AH374</f>
        <v>65</v>
      </c>
      <c r="R408" s="1107">
        <f>NOMINA!AC374</f>
        <v>25</v>
      </c>
      <c r="S408" s="1107">
        <f>NOMINA!AJ374</f>
        <v>0</v>
      </c>
      <c r="T408" s="1108">
        <f t="shared" si="49"/>
        <v>66.52</v>
      </c>
      <c r="U408" s="1107">
        <f>ROUND(NOMINA!BL374,2)</f>
        <v>15.36</v>
      </c>
      <c r="V408" s="1107">
        <f>ROUND(NOMINA!BM374,2)</f>
        <v>1.92</v>
      </c>
      <c r="W408" s="1107">
        <f>ROUND(+NOMINA!BN374,2)</f>
        <v>3.33</v>
      </c>
      <c r="X408" s="1108">
        <f t="shared" si="45"/>
        <v>19.309999999999999</v>
      </c>
      <c r="Y408" s="1107">
        <f>ROUND(NOMINA!BJ374,2)</f>
        <v>0</v>
      </c>
      <c r="Z408" s="1109">
        <f t="shared" si="46"/>
        <v>158.31</v>
      </c>
    </row>
    <row r="409" spans="1:26" s="620" customFormat="1" ht="21.95" customHeight="1" thickBot="1" x14ac:dyDescent="0.25">
      <c r="A409" s="758" t="s">
        <v>2834</v>
      </c>
      <c r="B409" s="508">
        <f t="shared" si="47"/>
        <v>71</v>
      </c>
      <c r="C409" s="1706">
        <f>+NOMINA!C375</f>
        <v>17267173</v>
      </c>
      <c r="D409" s="1707" t="str">
        <f>+NOMINA!D375</f>
        <v>Torres Alvarez Olga Josefina</v>
      </c>
      <c r="E409" s="1468" t="s">
        <v>4622</v>
      </c>
      <c r="F409" s="1442">
        <v>27853</v>
      </c>
      <c r="G409" s="1468" t="s">
        <v>4620</v>
      </c>
      <c r="H409" s="1708">
        <f>+NOMINA!H375</f>
        <v>44317</v>
      </c>
      <c r="I409" s="1105">
        <f>+NOMINA!I375</f>
        <v>4</v>
      </c>
      <c r="J409" s="1106">
        <f>+NOMINA!J375</f>
        <v>6</v>
      </c>
      <c r="K409" s="1105">
        <f t="shared" si="48"/>
        <v>10</v>
      </c>
      <c r="L409" s="1106" t="s">
        <v>4932</v>
      </c>
      <c r="M409" s="1106"/>
      <c r="N409" s="1443" t="str">
        <f>+NOMINA!O375</f>
        <v>Ayudante de Almacen</v>
      </c>
      <c r="O409" s="1107">
        <f>ROUND(NOMINA!W375,2)</f>
        <v>85.5</v>
      </c>
      <c r="P409" s="1107">
        <f>NOMINA!AF375</f>
        <v>9.41</v>
      </c>
      <c r="Q409" s="1107">
        <f>NOMINA!AH375</f>
        <v>65</v>
      </c>
      <c r="R409" s="1107">
        <f>NOMINA!AC375</f>
        <v>0</v>
      </c>
      <c r="S409" s="1107">
        <f>NOMINA!AJ375</f>
        <v>0</v>
      </c>
      <c r="T409" s="1108">
        <f t="shared" si="49"/>
        <v>70.3</v>
      </c>
      <c r="U409" s="1107">
        <f>ROUND(NOMINA!BL375,2)</f>
        <v>14.76</v>
      </c>
      <c r="V409" s="1107">
        <f>ROUND(NOMINA!BM375,2)</f>
        <v>1.85</v>
      </c>
      <c r="W409" s="1107">
        <f>ROUND(+NOMINA!BN375,2)</f>
        <v>3.2</v>
      </c>
      <c r="X409" s="1108">
        <f t="shared" si="45"/>
        <v>19.39</v>
      </c>
      <c r="Y409" s="1107">
        <f>ROUND(NOMINA!BJ375,2)</f>
        <v>0</v>
      </c>
      <c r="Z409" s="1109">
        <f t="shared" si="46"/>
        <v>140.1</v>
      </c>
    </row>
    <row r="410" spans="1:26" s="620" customFormat="1" ht="21.95" customHeight="1" thickBot="1" x14ac:dyDescent="0.25">
      <c r="A410" s="758" t="s">
        <v>2834</v>
      </c>
      <c r="B410" s="508">
        <f t="shared" si="47"/>
        <v>72</v>
      </c>
      <c r="C410" s="1706">
        <f>+NOMINA!C376</f>
        <v>17267546</v>
      </c>
      <c r="D410" s="1707" t="str">
        <f>+NOMINA!D376</f>
        <v>Bastidas Rivera Franklin Enrique</v>
      </c>
      <c r="E410" s="1468" t="s">
        <v>4622</v>
      </c>
      <c r="F410" s="1442">
        <v>27853</v>
      </c>
      <c r="G410" s="1468" t="s">
        <v>4620</v>
      </c>
      <c r="H410" s="1708">
        <f>+NOMINA!H376</f>
        <v>39197</v>
      </c>
      <c r="I410" s="1105">
        <f>+NOMINA!I376</f>
        <v>18</v>
      </c>
      <c r="J410" s="1106">
        <f>+NOMINA!J376</f>
        <v>0</v>
      </c>
      <c r="K410" s="1105">
        <f t="shared" si="48"/>
        <v>18</v>
      </c>
      <c r="L410" s="1106" t="s">
        <v>4932</v>
      </c>
      <c r="M410" s="1106"/>
      <c r="N410" s="1443" t="str">
        <f>+NOMINA!O376</f>
        <v>Ayudante de Servicios Generales</v>
      </c>
      <c r="O410" s="1107">
        <f>ROUND(NOMINA!W376,2)</f>
        <v>76</v>
      </c>
      <c r="P410" s="1107">
        <f>NOMINA!AF376</f>
        <v>17.329999999999998</v>
      </c>
      <c r="Q410" s="1107">
        <f>NOMINA!AH376</f>
        <v>65</v>
      </c>
      <c r="R410" s="1107">
        <f>NOMINA!AC376</f>
        <v>12.5</v>
      </c>
      <c r="S410" s="1107">
        <f>NOMINA!AJ376</f>
        <v>0</v>
      </c>
      <c r="T410" s="1108">
        <f t="shared" si="49"/>
        <v>81.11</v>
      </c>
      <c r="U410" s="1107">
        <f>ROUND(NOMINA!BL376,2)</f>
        <v>15.19</v>
      </c>
      <c r="V410" s="1107">
        <f>ROUND(NOMINA!BM376,2)</f>
        <v>1.9</v>
      </c>
      <c r="W410" s="1107">
        <f>ROUND(+NOMINA!BN376,2)</f>
        <v>3.29</v>
      </c>
      <c r="X410" s="1108">
        <f t="shared" si="45"/>
        <v>18.64</v>
      </c>
      <c r="Y410" s="1107">
        <f>ROUND(NOMINA!BJ376,2)</f>
        <v>0</v>
      </c>
      <c r="Z410" s="1109">
        <f t="shared" si="46"/>
        <v>150.44999999999999</v>
      </c>
    </row>
    <row r="411" spans="1:26" s="620" customFormat="1" ht="21.95" customHeight="1" thickBot="1" x14ac:dyDescent="0.25">
      <c r="A411" s="758" t="s">
        <v>2834</v>
      </c>
      <c r="B411" s="508">
        <f t="shared" si="47"/>
        <v>73</v>
      </c>
      <c r="C411" s="1706">
        <f>+NOMINA!C377</f>
        <v>18096032</v>
      </c>
      <c r="D411" s="1707" t="str">
        <f>+NOMINA!D377</f>
        <v>Graterol Graterol Isidro Antonio</v>
      </c>
      <c r="E411" s="1468" t="s">
        <v>4622</v>
      </c>
      <c r="F411" s="1442">
        <v>27853</v>
      </c>
      <c r="G411" s="1468" t="s">
        <v>4620</v>
      </c>
      <c r="H411" s="1708">
        <f>+NOMINA!H377</f>
        <v>45566</v>
      </c>
      <c r="I411" s="1105">
        <f>+NOMINA!I377</f>
        <v>0</v>
      </c>
      <c r="J411" s="1106">
        <f>+NOMINA!J377</f>
        <v>16</v>
      </c>
      <c r="K411" s="1105">
        <f t="shared" si="48"/>
        <v>16</v>
      </c>
      <c r="L411" s="1106" t="s">
        <v>4932</v>
      </c>
      <c r="M411" s="1106"/>
      <c r="N411" s="1443" t="str">
        <f>+NOMINA!O377</f>
        <v>Chofer</v>
      </c>
      <c r="O411" s="1107">
        <f>ROUND(NOMINA!W377,2)</f>
        <v>80.5</v>
      </c>
      <c r="P411" s="1107">
        <f>NOMINA!AF377</f>
        <v>15.78</v>
      </c>
      <c r="Q411" s="1107">
        <f>NOMINA!AH377</f>
        <v>65</v>
      </c>
      <c r="R411" s="1107">
        <f>NOMINA!AC377</f>
        <v>25</v>
      </c>
      <c r="S411" s="1107">
        <f>NOMINA!AJ377</f>
        <v>0</v>
      </c>
      <c r="T411" s="1108">
        <f t="shared" si="49"/>
        <v>69.709999999999994</v>
      </c>
      <c r="U411" s="1107">
        <f>ROUND(NOMINA!BL377,2)</f>
        <v>20.85</v>
      </c>
      <c r="V411" s="1107">
        <f>ROUND(NOMINA!BM377,2)</f>
        <v>2.61</v>
      </c>
      <c r="W411" s="1107">
        <f>ROUND(+NOMINA!BN377,2)</f>
        <v>4.5199999999999996</v>
      </c>
      <c r="X411" s="1108">
        <f t="shared" si="45"/>
        <v>19.43</v>
      </c>
      <c r="Y411" s="1107">
        <f>ROUND(NOMINA!BJ377,2)</f>
        <v>0</v>
      </c>
      <c r="Z411" s="1109">
        <f t="shared" si="46"/>
        <v>158.30000000000001</v>
      </c>
    </row>
    <row r="412" spans="1:26" s="620" customFormat="1" ht="21.95" customHeight="1" thickBot="1" x14ac:dyDescent="0.25">
      <c r="A412" s="758" t="s">
        <v>2834</v>
      </c>
      <c r="B412" s="508">
        <f t="shared" si="47"/>
        <v>74</v>
      </c>
      <c r="C412" s="1706">
        <f>+NOMINA!C378</f>
        <v>18096338</v>
      </c>
      <c r="D412" s="1707" t="str">
        <f>+NOMINA!D378</f>
        <v>Ramirez Manzanilla Jose Jesus</v>
      </c>
      <c r="E412" s="1468" t="s">
        <v>4622</v>
      </c>
      <c r="F412" s="1442">
        <v>27853</v>
      </c>
      <c r="G412" s="1468" t="s">
        <v>4620</v>
      </c>
      <c r="H412" s="1708">
        <f>+NOMINA!H378</f>
        <v>39463</v>
      </c>
      <c r="I412" s="1105">
        <f>+NOMINA!I378</f>
        <v>17</v>
      </c>
      <c r="J412" s="1106">
        <f>+NOMINA!J378</f>
        <v>3</v>
      </c>
      <c r="K412" s="1105">
        <f t="shared" si="48"/>
        <v>20</v>
      </c>
      <c r="L412" s="1106" t="s">
        <v>4932</v>
      </c>
      <c r="M412" s="1106"/>
      <c r="N412" s="1443" t="str">
        <f>+NOMINA!O378</f>
        <v>Cocinero</v>
      </c>
      <c r="O412" s="1107">
        <f>ROUND(NOMINA!W378,2)</f>
        <v>85.5</v>
      </c>
      <c r="P412" s="1107">
        <f>NOMINA!AF378</f>
        <v>22.23</v>
      </c>
      <c r="Q412" s="1107">
        <f>NOMINA!AH378</f>
        <v>65</v>
      </c>
      <c r="R412" s="1107">
        <f>NOMINA!AC378</f>
        <v>12.5</v>
      </c>
      <c r="S412" s="1107">
        <f>NOMINA!AJ378</f>
        <v>0</v>
      </c>
      <c r="T412" s="1108">
        <f t="shared" si="49"/>
        <v>83.83</v>
      </c>
      <c r="U412" s="1107">
        <f>ROUND(NOMINA!BL378,2)</f>
        <v>16.52</v>
      </c>
      <c r="V412" s="1107">
        <f>ROUND(NOMINA!BM378,2)</f>
        <v>2.0699999999999998</v>
      </c>
      <c r="W412" s="1107">
        <f>ROUND(+NOMINA!BN378,2)</f>
        <v>3.58</v>
      </c>
      <c r="X412" s="1108">
        <f t="shared" si="45"/>
        <v>16.96</v>
      </c>
      <c r="Y412" s="1107">
        <f>ROUND(NOMINA!BJ378,2)</f>
        <v>0</v>
      </c>
      <c r="Z412" s="1109">
        <f t="shared" si="46"/>
        <v>163.06</v>
      </c>
    </row>
    <row r="413" spans="1:26" s="620" customFormat="1" ht="21.95" customHeight="1" thickBot="1" x14ac:dyDescent="0.25">
      <c r="A413" s="758" t="s">
        <v>2834</v>
      </c>
      <c r="B413" s="508">
        <f t="shared" si="47"/>
        <v>75</v>
      </c>
      <c r="C413" s="1706">
        <f>+NOMINA!C379</f>
        <v>18350780</v>
      </c>
      <c r="D413" s="1707" t="str">
        <f>+NOMINA!D379</f>
        <v>Frias Aldana Giovanny Jacinto</v>
      </c>
      <c r="E413" s="1468" t="s">
        <v>4622</v>
      </c>
      <c r="F413" s="1442">
        <v>27853</v>
      </c>
      <c r="G413" s="1468" t="s">
        <v>4620</v>
      </c>
      <c r="H413" s="1708">
        <f>+NOMINA!H379</f>
        <v>43116</v>
      </c>
      <c r="I413" s="1105">
        <f>+NOMINA!I379</f>
        <v>7</v>
      </c>
      <c r="J413" s="1106">
        <f>+NOMINA!J379</f>
        <v>0</v>
      </c>
      <c r="K413" s="1105">
        <f t="shared" si="48"/>
        <v>7</v>
      </c>
      <c r="L413" s="1106" t="s">
        <v>4932</v>
      </c>
      <c r="M413" s="1106"/>
      <c r="N413" s="1443" t="str">
        <f>+NOMINA!O379</f>
        <v>Vigilante</v>
      </c>
      <c r="O413" s="1107">
        <f>ROUND(NOMINA!W379,2)</f>
        <v>85.5</v>
      </c>
      <c r="P413" s="1107">
        <f>NOMINA!AF379</f>
        <v>6.33</v>
      </c>
      <c r="Q413" s="1107">
        <f>NOMINA!AH379</f>
        <v>65</v>
      </c>
      <c r="R413" s="1107">
        <f>NOMINA!AC379</f>
        <v>12.5</v>
      </c>
      <c r="S413" s="1107">
        <f>NOMINA!AJ379</f>
        <v>0</v>
      </c>
      <c r="T413" s="1108">
        <f t="shared" si="49"/>
        <v>84.86</v>
      </c>
      <c r="U413" s="1107">
        <f>ROUND(NOMINA!BL379,2)</f>
        <v>19.57</v>
      </c>
      <c r="V413" s="1107">
        <f>ROUND(NOMINA!BM379,2)</f>
        <v>2.4500000000000002</v>
      </c>
      <c r="W413" s="1107">
        <f>ROUND(+NOMINA!BN379,2)</f>
        <v>4.24</v>
      </c>
      <c r="X413" s="1108">
        <f t="shared" si="45"/>
        <v>16.100000000000001</v>
      </c>
      <c r="Y413" s="1107">
        <f>ROUND(NOMINA!BJ379,2)</f>
        <v>0</v>
      </c>
      <c r="Z413" s="1109">
        <f t="shared" si="46"/>
        <v>143.07</v>
      </c>
    </row>
    <row r="414" spans="1:26" s="620" customFormat="1" ht="21.95" customHeight="1" thickBot="1" x14ac:dyDescent="0.25">
      <c r="A414" s="758" t="s">
        <v>2834</v>
      </c>
      <c r="B414" s="508">
        <f t="shared" si="47"/>
        <v>76</v>
      </c>
      <c r="C414" s="1706">
        <f>+NOMINA!C380</f>
        <v>18456167</v>
      </c>
      <c r="D414" s="1707" t="str">
        <f>+NOMINA!D380</f>
        <v>Olmos Linares Luis Alberto</v>
      </c>
      <c r="E414" s="1468" t="s">
        <v>4622</v>
      </c>
      <c r="F414" s="1442">
        <v>27853</v>
      </c>
      <c r="G414" s="1468" t="s">
        <v>4620</v>
      </c>
      <c r="H414" s="1708">
        <f>+NOMINA!H380</f>
        <v>44516</v>
      </c>
      <c r="I414" s="1105">
        <f>+NOMINA!I380</f>
        <v>3</v>
      </c>
      <c r="J414" s="1106">
        <f>+NOMINA!J380</f>
        <v>0</v>
      </c>
      <c r="K414" s="1105">
        <f t="shared" si="48"/>
        <v>3</v>
      </c>
      <c r="L414" s="1106" t="s">
        <v>4932</v>
      </c>
      <c r="M414" s="1106"/>
      <c r="N414" s="1443" t="str">
        <f>+NOMINA!O380</f>
        <v>Cocinero</v>
      </c>
      <c r="O414" s="1107">
        <f>ROUND(NOMINA!W380,2)</f>
        <v>85.5</v>
      </c>
      <c r="P414" s="1107">
        <f>NOMINA!AF380</f>
        <v>2.57</v>
      </c>
      <c r="Q414" s="1107">
        <f>NOMINA!AH380</f>
        <v>65</v>
      </c>
      <c r="R414" s="1107">
        <f>NOMINA!AC380</f>
        <v>25</v>
      </c>
      <c r="S414" s="1107">
        <f>NOMINA!AJ380</f>
        <v>0</v>
      </c>
      <c r="T414" s="1108">
        <f t="shared" si="49"/>
        <v>65</v>
      </c>
      <c r="U414" s="1107">
        <f>ROUND(NOMINA!BL380,2)</f>
        <v>15.28</v>
      </c>
      <c r="V414" s="1107">
        <f>ROUND(NOMINA!BM380,2)</f>
        <v>1.91</v>
      </c>
      <c r="W414" s="1107">
        <f>ROUND(+NOMINA!BN380,2)</f>
        <v>3.31</v>
      </c>
      <c r="X414" s="1108">
        <f t="shared" si="45"/>
        <v>20.87</v>
      </c>
      <c r="Y414" s="1107">
        <f>ROUND(NOMINA!BJ380,2)</f>
        <v>0</v>
      </c>
      <c r="Z414" s="1109">
        <f t="shared" si="46"/>
        <v>157.57</v>
      </c>
    </row>
    <row r="415" spans="1:26" s="620" customFormat="1" ht="21.95" customHeight="1" thickBot="1" x14ac:dyDescent="0.25">
      <c r="A415" s="758" t="s">
        <v>2834</v>
      </c>
      <c r="B415" s="508">
        <f t="shared" si="47"/>
        <v>77</v>
      </c>
      <c r="C415" s="1706">
        <f>+NOMINA!C381</f>
        <v>18456576</v>
      </c>
      <c r="D415" s="1707" t="str">
        <f>+NOMINA!D381</f>
        <v>Quintero Duran Emilio Alfonso</v>
      </c>
      <c r="E415" s="1468" t="s">
        <v>4622</v>
      </c>
      <c r="F415" s="1442">
        <v>27853</v>
      </c>
      <c r="G415" s="1468" t="s">
        <v>4620</v>
      </c>
      <c r="H415" s="1708">
        <f>+NOMINA!H381</f>
        <v>44743</v>
      </c>
      <c r="I415" s="1105">
        <f>+NOMINA!I381</f>
        <v>3</v>
      </c>
      <c r="J415" s="1106">
        <f>+NOMINA!J381</f>
        <v>0</v>
      </c>
      <c r="K415" s="1105">
        <f t="shared" si="48"/>
        <v>3</v>
      </c>
      <c r="L415" s="1106" t="s">
        <v>4932</v>
      </c>
      <c r="M415" s="1106"/>
      <c r="N415" s="1443" t="str">
        <f>+NOMINA!O381</f>
        <v>Chofer</v>
      </c>
      <c r="O415" s="1107">
        <f>ROUND(NOMINA!W381,2)</f>
        <v>80.5</v>
      </c>
      <c r="P415" s="1107">
        <f>NOMINA!AF381</f>
        <v>2.42</v>
      </c>
      <c r="Q415" s="1107">
        <f>NOMINA!AH381</f>
        <v>65</v>
      </c>
      <c r="R415" s="1107">
        <f>NOMINA!AC381</f>
        <v>25</v>
      </c>
      <c r="S415" s="1107">
        <f>NOMINA!AJ381</f>
        <v>0</v>
      </c>
      <c r="T415" s="1108">
        <f t="shared" si="49"/>
        <v>71.540000000000006</v>
      </c>
      <c r="U415" s="1107">
        <f>ROUND(NOMINA!BL381,2)</f>
        <v>19.25</v>
      </c>
      <c r="V415" s="1107">
        <f>ROUND(NOMINA!BM381,2)</f>
        <v>2.41</v>
      </c>
      <c r="W415" s="1107">
        <f>ROUND(+NOMINA!BN381,2)</f>
        <v>4.17</v>
      </c>
      <c r="X415" s="1108">
        <f t="shared" si="45"/>
        <v>18.850000000000001</v>
      </c>
      <c r="Y415" s="1107">
        <f>ROUND(NOMINA!BJ381,2)</f>
        <v>0</v>
      </c>
      <c r="Z415" s="1109">
        <f t="shared" si="46"/>
        <v>147.09000000000003</v>
      </c>
    </row>
    <row r="416" spans="1:26" s="620" customFormat="1" ht="21.95" customHeight="1" thickBot="1" x14ac:dyDescent="0.25">
      <c r="A416" s="758" t="s">
        <v>2834</v>
      </c>
      <c r="B416" s="508">
        <f t="shared" si="47"/>
        <v>78</v>
      </c>
      <c r="C416" s="1706">
        <f>+NOMINA!C382</f>
        <v>20039961</v>
      </c>
      <c r="D416" s="1707" t="str">
        <f>+NOMINA!D382</f>
        <v>Torres Villarreal Lisbeth Carolina</v>
      </c>
      <c r="E416" s="1468" t="s">
        <v>4622</v>
      </c>
      <c r="F416" s="1442">
        <v>27853</v>
      </c>
      <c r="G416" s="1468" t="s">
        <v>4620</v>
      </c>
      <c r="H416" s="1708">
        <f>+NOMINA!H382</f>
        <v>38412</v>
      </c>
      <c r="I416" s="1105">
        <f>+NOMINA!I382</f>
        <v>20</v>
      </c>
      <c r="J416" s="1106">
        <f>+NOMINA!J382</f>
        <v>0</v>
      </c>
      <c r="K416" s="1105">
        <f t="shared" si="48"/>
        <v>20</v>
      </c>
      <c r="L416" s="1106" t="s">
        <v>4932</v>
      </c>
      <c r="M416" s="1106"/>
      <c r="N416" s="1443" t="str">
        <f>+NOMINA!O382</f>
        <v>Aseadora</v>
      </c>
      <c r="O416" s="1107">
        <f>ROUND(NOMINA!W382,2)</f>
        <v>65</v>
      </c>
      <c r="P416" s="1107">
        <f>NOMINA!AF382</f>
        <v>16.899999999999999</v>
      </c>
      <c r="Q416" s="1107">
        <f>NOMINA!AH382</f>
        <v>65</v>
      </c>
      <c r="R416" s="1107">
        <f>NOMINA!AC382</f>
        <v>25</v>
      </c>
      <c r="S416" s="1107">
        <f>NOMINA!AJ382</f>
        <v>0</v>
      </c>
      <c r="T416" s="1108">
        <f t="shared" si="49"/>
        <v>80.069999999999993</v>
      </c>
      <c r="U416" s="1107">
        <f>ROUND(NOMINA!BL382,2)</f>
        <v>14.71</v>
      </c>
      <c r="V416" s="1107">
        <f>ROUND(NOMINA!BM382,2)</f>
        <v>1.84</v>
      </c>
      <c r="W416" s="1107">
        <f>ROUND(+NOMINA!BN382,2)</f>
        <v>3.19</v>
      </c>
      <c r="X416" s="1108">
        <f t="shared" ref="X416:X430" si="50">ROUND(SUM(U401:W401),2)</f>
        <v>17.440000000000001</v>
      </c>
      <c r="Y416" s="1107">
        <f>ROUND(NOMINA!BJ382,2)</f>
        <v>0</v>
      </c>
      <c r="Z416" s="1109">
        <f t="shared" si="46"/>
        <v>152.16</v>
      </c>
    </row>
    <row r="417" spans="1:27" s="620" customFormat="1" ht="21.95" customHeight="1" thickBot="1" x14ac:dyDescent="0.25">
      <c r="A417" s="758" t="s">
        <v>2834</v>
      </c>
      <c r="B417" s="508">
        <f t="shared" si="47"/>
        <v>79</v>
      </c>
      <c r="C417" s="1706">
        <f>+NOMINA!C383</f>
        <v>20040649</v>
      </c>
      <c r="D417" s="1707" t="str">
        <f>+NOMINA!D383</f>
        <v>Isarra Materan Jose de La Paz</v>
      </c>
      <c r="E417" s="1468" t="s">
        <v>4622</v>
      </c>
      <c r="F417" s="1442">
        <v>27853</v>
      </c>
      <c r="G417" s="1468" t="s">
        <v>4620</v>
      </c>
      <c r="H417" s="1708">
        <f>+NOMINA!H383</f>
        <v>44743</v>
      </c>
      <c r="I417" s="1105">
        <f>+NOMINA!I383</f>
        <v>3</v>
      </c>
      <c r="J417" s="1106">
        <f>+NOMINA!J383</f>
        <v>0</v>
      </c>
      <c r="K417" s="1105">
        <f t="shared" si="48"/>
        <v>3</v>
      </c>
      <c r="L417" s="1106" t="s">
        <v>4932</v>
      </c>
      <c r="M417" s="1106"/>
      <c r="N417" s="1443" t="str">
        <f>+NOMINA!O383</f>
        <v>Chofer</v>
      </c>
      <c r="O417" s="1107">
        <f>ROUND(NOMINA!W383,2)</f>
        <v>80.5</v>
      </c>
      <c r="P417" s="1107">
        <f>NOMINA!AF383</f>
        <v>2.42</v>
      </c>
      <c r="Q417" s="1107">
        <f>NOMINA!AH383</f>
        <v>65</v>
      </c>
      <c r="R417" s="1107">
        <f>NOMINA!AC383</f>
        <v>25</v>
      </c>
      <c r="S417" s="1107">
        <f>NOMINA!AJ383</f>
        <v>0</v>
      </c>
      <c r="T417" s="1108">
        <f t="shared" si="49"/>
        <v>72.150000000000006</v>
      </c>
      <c r="U417" s="1107">
        <f>ROUND(NOMINA!BL383,2)</f>
        <v>19.25</v>
      </c>
      <c r="V417" s="1107">
        <f>ROUND(NOMINA!BM383,2)</f>
        <v>2.41</v>
      </c>
      <c r="W417" s="1107">
        <f>ROUND(+NOMINA!BN383,2)</f>
        <v>4.17</v>
      </c>
      <c r="X417" s="1108">
        <f t="shared" si="50"/>
        <v>21.31</v>
      </c>
      <c r="Y417" s="1107">
        <f>ROUND(NOMINA!BJ383,2)</f>
        <v>0</v>
      </c>
      <c r="Z417" s="1109">
        <f t="shared" si="46"/>
        <v>147.09000000000003</v>
      </c>
    </row>
    <row r="418" spans="1:27" s="620" customFormat="1" ht="21.95" customHeight="1" thickBot="1" x14ac:dyDescent="0.25">
      <c r="A418" s="758" t="s">
        <v>2834</v>
      </c>
      <c r="B418" s="508">
        <f t="shared" si="47"/>
        <v>80</v>
      </c>
      <c r="C418" s="1706">
        <f>+NOMINA!C384</f>
        <v>20788036</v>
      </c>
      <c r="D418" s="1707" t="str">
        <f>+NOMINA!D384</f>
        <v>Cabrera Duran Albert Josue</v>
      </c>
      <c r="E418" s="1468" t="s">
        <v>4622</v>
      </c>
      <c r="F418" s="1442">
        <v>27853</v>
      </c>
      <c r="G418" s="1468" t="s">
        <v>4620</v>
      </c>
      <c r="H418" s="1708">
        <f>+NOMINA!H384</f>
        <v>45778</v>
      </c>
      <c r="I418" s="1105">
        <f>+NOMINA!I384</f>
        <v>0</v>
      </c>
      <c r="J418" s="1106">
        <f>+NOMINA!J384</f>
        <v>0</v>
      </c>
      <c r="K418" s="1105">
        <f t="shared" si="48"/>
        <v>0</v>
      </c>
      <c r="L418" s="1106" t="s">
        <v>4932</v>
      </c>
      <c r="M418" s="1106"/>
      <c r="N418" s="1443" t="str">
        <f>+NOMINA!O384</f>
        <v>Vigilante</v>
      </c>
      <c r="O418" s="1107">
        <f>ROUND(NOMINA!W384,2)</f>
        <v>85.5</v>
      </c>
      <c r="P418" s="1107">
        <f>NOMINA!AF384</f>
        <v>0</v>
      </c>
      <c r="Q418" s="1107">
        <f>NOMINA!AH384</f>
        <v>65</v>
      </c>
      <c r="R418" s="1107">
        <f>NOMINA!AC384</f>
        <v>25</v>
      </c>
      <c r="S418" s="1107">
        <f>NOMINA!AJ384</f>
        <v>0</v>
      </c>
      <c r="T418" s="1108">
        <f t="shared" si="49"/>
        <v>84.86</v>
      </c>
      <c r="U418" s="1107">
        <f>ROUND(NOMINA!BL384,2)</f>
        <v>15.05</v>
      </c>
      <c r="V418" s="1107">
        <f>ROUND(NOMINA!BM384,2)</f>
        <v>1.88</v>
      </c>
      <c r="W418" s="1107">
        <f>ROUND(+NOMINA!BN384,2)</f>
        <v>3.26</v>
      </c>
      <c r="X418" s="1108">
        <f t="shared" si="50"/>
        <v>21.66</v>
      </c>
      <c r="Y418" s="1107">
        <f>ROUND(NOMINA!BJ384,2)</f>
        <v>0</v>
      </c>
      <c r="Z418" s="1109">
        <f t="shared" si="46"/>
        <v>155.31</v>
      </c>
    </row>
    <row r="419" spans="1:27" s="620" customFormat="1" ht="21.95" customHeight="1" thickBot="1" x14ac:dyDescent="0.25">
      <c r="A419" s="758" t="s">
        <v>2834</v>
      </c>
      <c r="B419" s="508">
        <f t="shared" si="47"/>
        <v>81</v>
      </c>
      <c r="C419" s="1706">
        <f>+NOMINA!C385</f>
        <v>21366579</v>
      </c>
      <c r="D419" s="1707" t="str">
        <f>+NOMINA!D385</f>
        <v>Azuaje Espinoza Erick Enrique</v>
      </c>
      <c r="E419" s="1468" t="s">
        <v>4622</v>
      </c>
      <c r="F419" s="1442">
        <v>27853</v>
      </c>
      <c r="G419" s="1468" t="s">
        <v>4620</v>
      </c>
      <c r="H419" s="1708">
        <f>+NOMINA!H385</f>
        <v>44774</v>
      </c>
      <c r="I419" s="1105">
        <f>+NOMINA!I385</f>
        <v>3</v>
      </c>
      <c r="J419" s="1106">
        <f>+NOMINA!J385</f>
        <v>0</v>
      </c>
      <c r="K419" s="1105">
        <f t="shared" si="48"/>
        <v>3</v>
      </c>
      <c r="L419" s="1106" t="s">
        <v>4932</v>
      </c>
      <c r="M419" s="1106"/>
      <c r="N419" s="1443" t="str">
        <f>+NOMINA!O385</f>
        <v>Mensajero</v>
      </c>
      <c r="O419" s="1107">
        <f>ROUND(NOMINA!W385,2)</f>
        <v>71</v>
      </c>
      <c r="P419" s="1107">
        <f>NOMINA!AF385</f>
        <v>2.13</v>
      </c>
      <c r="Q419" s="1107">
        <f>NOMINA!AH385</f>
        <v>65</v>
      </c>
      <c r="R419" s="1107">
        <f>NOMINA!AC385</f>
        <v>12.5</v>
      </c>
      <c r="S419" s="1107">
        <f>NOMINA!AJ385</f>
        <v>0</v>
      </c>
      <c r="T419" s="1108">
        <f t="shared" si="49"/>
        <v>65.760000000000005</v>
      </c>
      <c r="U419" s="1107">
        <f>ROUND(NOMINA!BL385,2)</f>
        <v>13.33</v>
      </c>
      <c r="V419" s="1107">
        <f>ROUND(NOMINA!BM385,2)</f>
        <v>1.67</v>
      </c>
      <c r="W419" s="1107">
        <f>ROUND(+NOMINA!BN385,2)</f>
        <v>2.89</v>
      </c>
      <c r="X419" s="1108">
        <f t="shared" si="50"/>
        <v>18.57</v>
      </c>
      <c r="Y419" s="1107">
        <f>ROUND(NOMINA!BJ385,2)</f>
        <v>0</v>
      </c>
      <c r="Z419" s="1109">
        <f t="shared" si="46"/>
        <v>132.74</v>
      </c>
    </row>
    <row r="420" spans="1:27" s="620" customFormat="1" ht="21.95" customHeight="1" thickBot="1" x14ac:dyDescent="0.25">
      <c r="A420" s="758" t="s">
        <v>2834</v>
      </c>
      <c r="B420" s="508">
        <f t="shared" si="47"/>
        <v>82</v>
      </c>
      <c r="C420" s="1706">
        <f>+NOMINA!C386</f>
        <v>23594381</v>
      </c>
      <c r="D420" s="1707" t="str">
        <f>+NOMINA!D386</f>
        <v>Albornoz Montilla Daniel Enrique</v>
      </c>
      <c r="E420" s="1468" t="s">
        <v>4622</v>
      </c>
      <c r="F420" s="1442">
        <v>27853</v>
      </c>
      <c r="G420" s="1468" t="s">
        <v>4620</v>
      </c>
      <c r="H420" s="1708">
        <f>+NOMINA!H386</f>
        <v>45597</v>
      </c>
      <c r="I420" s="1105">
        <f>+NOMINA!I386</f>
        <v>0</v>
      </c>
      <c r="J420" s="1106">
        <f>+NOMINA!J386</f>
        <v>0</v>
      </c>
      <c r="K420" s="1105">
        <f t="shared" si="48"/>
        <v>0</v>
      </c>
      <c r="L420" s="1106" t="s">
        <v>4932</v>
      </c>
      <c r="M420" s="1106"/>
      <c r="N420" s="1443" t="str">
        <f>+NOMINA!O386</f>
        <v>Ayudante de Servicios Generales</v>
      </c>
      <c r="O420" s="1107">
        <f>ROUND(NOMINA!W386,2)</f>
        <v>71</v>
      </c>
      <c r="P420" s="1107">
        <f>NOMINA!AF386</f>
        <v>0</v>
      </c>
      <c r="Q420" s="1107">
        <f>NOMINA!AH386</f>
        <v>65</v>
      </c>
      <c r="R420" s="1107">
        <f>NOMINA!AC386</f>
        <v>0</v>
      </c>
      <c r="S420" s="1107">
        <f>NOMINA!AJ386</f>
        <v>0</v>
      </c>
      <c r="T420" s="1108">
        <f t="shared" si="49"/>
        <v>79.78</v>
      </c>
      <c r="U420" s="1107">
        <f>ROUND(NOMINA!BL386,2)</f>
        <v>12.55</v>
      </c>
      <c r="V420" s="1107">
        <f>ROUND(NOMINA!BM386,2)</f>
        <v>1.57</v>
      </c>
      <c r="W420" s="1107">
        <f>ROUND(+NOMINA!BN386,2)</f>
        <v>2.72</v>
      </c>
      <c r="X420" s="1108">
        <f t="shared" si="50"/>
        <v>17.89</v>
      </c>
      <c r="Y420" s="1107">
        <f>ROUND(NOMINA!BJ386,2)</f>
        <v>0</v>
      </c>
      <c r="Z420" s="1109">
        <f t="shared" si="46"/>
        <v>119.16</v>
      </c>
    </row>
    <row r="421" spans="1:27" s="620" customFormat="1" ht="21.95" customHeight="1" thickBot="1" x14ac:dyDescent="0.25">
      <c r="A421" s="758"/>
      <c r="B421" s="508">
        <f t="shared" si="47"/>
        <v>83</v>
      </c>
      <c r="C421" s="1706">
        <f>+NOMINA!C387</f>
        <v>25173228</v>
      </c>
      <c r="D421" s="1707" t="str">
        <f>+NOMINA!D387</f>
        <v>Davila Sanchez Eduar Alexander</v>
      </c>
      <c r="E421" s="1468" t="s">
        <v>4622</v>
      </c>
      <c r="F421" s="1442">
        <v>27853</v>
      </c>
      <c r="G421" s="1468" t="s">
        <v>4620</v>
      </c>
      <c r="H421" s="1708">
        <f>+NOMINA!H387</f>
        <v>44531</v>
      </c>
      <c r="I421" s="1105">
        <f>+NOMINA!I387</f>
        <v>3</v>
      </c>
      <c r="J421" s="1106">
        <f>+NOMINA!J387</f>
        <v>0</v>
      </c>
      <c r="K421" s="1105">
        <f t="shared" si="48"/>
        <v>3</v>
      </c>
      <c r="L421" s="1106" t="s">
        <v>4932</v>
      </c>
      <c r="M421" s="1106"/>
      <c r="N421" s="1443" t="str">
        <f>+NOMINA!O387</f>
        <v>Ayudante de Servicios Generales</v>
      </c>
      <c r="O421" s="1107">
        <f>ROUND(NOMINA!W387,2)</f>
        <v>76</v>
      </c>
      <c r="P421" s="1107">
        <f>NOMINA!AF387</f>
        <v>2.2799999999999998</v>
      </c>
      <c r="Q421" s="1107">
        <f>NOMINA!AH387</f>
        <v>65</v>
      </c>
      <c r="R421" s="1107">
        <f>NOMINA!AC387</f>
        <v>25</v>
      </c>
      <c r="S421" s="1107">
        <f>NOMINA!AJ387</f>
        <v>0</v>
      </c>
      <c r="T421" s="1108">
        <f t="shared" si="49"/>
        <v>94.57</v>
      </c>
      <c r="U421" s="1107">
        <f>ROUND(NOMINA!BL387,2)</f>
        <v>18.690000000000001</v>
      </c>
      <c r="V421" s="1107">
        <f>ROUND(NOMINA!BM387,2)</f>
        <v>2.34</v>
      </c>
      <c r="W421" s="1107">
        <f>ROUND(+NOMINA!BN387,2)</f>
        <v>4.05</v>
      </c>
      <c r="X421" s="1108">
        <f t="shared" si="50"/>
        <v>19.45</v>
      </c>
      <c r="Y421" s="1107">
        <f>ROUND(NOMINA!BJ387,2)</f>
        <v>0</v>
      </c>
      <c r="Z421" s="1109">
        <f t="shared" si="46"/>
        <v>143.19999999999999</v>
      </c>
    </row>
    <row r="422" spans="1:27" s="620" customFormat="1" ht="21.95" customHeight="1" thickBot="1" x14ac:dyDescent="0.25">
      <c r="A422" s="758"/>
      <c r="B422" s="508">
        <f t="shared" si="47"/>
        <v>84</v>
      </c>
      <c r="C422" s="1706">
        <f>+NOMINA!C388</f>
        <v>25631811</v>
      </c>
      <c r="D422" s="1707" t="str">
        <f>+NOMINA!D388</f>
        <v>Barrios Briceño Christian Xavier</v>
      </c>
      <c r="E422" s="1468" t="s">
        <v>4622</v>
      </c>
      <c r="F422" s="1442">
        <v>27853</v>
      </c>
      <c r="G422" s="1468" t="s">
        <v>4620</v>
      </c>
      <c r="H422" s="1708">
        <f>+NOMINA!H388</f>
        <v>44440</v>
      </c>
      <c r="I422" s="1105">
        <f>+NOMINA!I388</f>
        <v>4</v>
      </c>
      <c r="J422" s="1106">
        <f>+NOMINA!J388</f>
        <v>0</v>
      </c>
      <c r="K422" s="1105">
        <f t="shared" si="48"/>
        <v>4</v>
      </c>
      <c r="L422" s="1106" t="s">
        <v>4932</v>
      </c>
      <c r="M422" s="1106"/>
      <c r="N422" s="1443" t="str">
        <f>+NOMINA!O388</f>
        <v>Cocinero</v>
      </c>
      <c r="O422" s="1107">
        <f>ROUND(NOMINA!W388,2)</f>
        <v>85.5</v>
      </c>
      <c r="P422" s="1107">
        <f>NOMINA!AF388</f>
        <v>3.42</v>
      </c>
      <c r="Q422" s="1107">
        <f>NOMINA!AH388</f>
        <v>65</v>
      </c>
      <c r="R422" s="1107">
        <f>NOMINA!AC388</f>
        <v>0</v>
      </c>
      <c r="S422" s="1107">
        <f>NOMINA!AJ388</f>
        <v>0</v>
      </c>
      <c r="T422" s="1108">
        <f t="shared" si="49"/>
        <v>68.22</v>
      </c>
      <c r="U422" s="1107">
        <f>ROUND(NOMINA!BL388,2)</f>
        <v>14.21</v>
      </c>
      <c r="V422" s="1107">
        <f>ROUND(NOMINA!BM388,2)</f>
        <v>1.78</v>
      </c>
      <c r="W422" s="1107">
        <f>ROUND(+NOMINA!BN388,2)</f>
        <v>3.08</v>
      </c>
      <c r="X422" s="1108">
        <f t="shared" si="50"/>
        <v>17.649999999999999</v>
      </c>
      <c r="Y422" s="1107">
        <f>ROUND(NOMINA!BJ388,2)</f>
        <v>0</v>
      </c>
      <c r="Z422" s="1109">
        <f t="shared" si="46"/>
        <v>134.85000000000002</v>
      </c>
    </row>
    <row r="423" spans="1:27" s="620" customFormat="1" ht="21.95" customHeight="1" thickBot="1" x14ac:dyDescent="0.25">
      <c r="A423" s="758"/>
      <c r="B423" s="508">
        <f>+B422+1</f>
        <v>85</v>
      </c>
      <c r="C423" s="1706">
        <f>+NOMINA!C389</f>
        <v>25919888</v>
      </c>
      <c r="D423" s="1707" t="str">
        <f>+NOMINA!D389</f>
        <v>Rivero Lamus Ninoska del Valle</v>
      </c>
      <c r="E423" s="1468" t="s">
        <v>4622</v>
      </c>
      <c r="F423" s="1442">
        <v>27853</v>
      </c>
      <c r="G423" s="1468" t="s">
        <v>4620</v>
      </c>
      <c r="H423" s="1708">
        <f>+NOMINA!H389</f>
        <v>44805</v>
      </c>
      <c r="I423" s="1105">
        <f>+NOMINA!I389</f>
        <v>3</v>
      </c>
      <c r="J423" s="1106">
        <f>+NOMINA!J389</f>
        <v>0</v>
      </c>
      <c r="K423" s="1105">
        <f t="shared" si="48"/>
        <v>3</v>
      </c>
      <c r="L423" s="1106" t="s">
        <v>4932</v>
      </c>
      <c r="M423" s="1106"/>
      <c r="N423" s="1443" t="str">
        <f>+NOMINA!O389</f>
        <v>Aseadora</v>
      </c>
      <c r="O423" s="1107">
        <f>ROUND(NOMINA!W389,2)</f>
        <v>65</v>
      </c>
      <c r="P423" s="1107">
        <f>NOMINA!AF389</f>
        <v>1.95</v>
      </c>
      <c r="Q423" s="1107">
        <f>NOMINA!AH389</f>
        <v>65</v>
      </c>
      <c r="R423" s="1107">
        <f>NOMINA!AC389</f>
        <v>25</v>
      </c>
      <c r="S423" s="1107">
        <f>NOMINA!AJ389</f>
        <v>0</v>
      </c>
      <c r="T423" s="1108">
        <f t="shared" si="49"/>
        <v>74.88</v>
      </c>
      <c r="U423" s="1107">
        <f>ROUND(NOMINA!BL389,2)</f>
        <v>13.33</v>
      </c>
      <c r="V423" s="1107">
        <f>ROUND(NOMINA!BM389,2)</f>
        <v>1.67</v>
      </c>
      <c r="W423" s="1107">
        <f>ROUND(+NOMINA!BN389,2)</f>
        <v>2.89</v>
      </c>
      <c r="X423" s="1108">
        <f t="shared" si="50"/>
        <v>20.61</v>
      </c>
      <c r="Y423" s="1107">
        <f>ROUND(NOMINA!BJ389,2)</f>
        <v>0</v>
      </c>
      <c r="Z423" s="1109">
        <f t="shared" si="46"/>
        <v>139.06</v>
      </c>
    </row>
    <row r="424" spans="1:27" s="620" customFormat="1" ht="21.95" customHeight="1" thickBot="1" x14ac:dyDescent="0.25">
      <c r="A424" s="758"/>
      <c r="B424" s="508">
        <f t="shared" si="47"/>
        <v>86</v>
      </c>
      <c r="C424" s="1706">
        <f>+NOMINA!C390</f>
        <v>26235670</v>
      </c>
      <c r="D424" s="1707" t="str">
        <f>+NOMINA!D390</f>
        <v>Viloria Garcia Kieny Keyvit</v>
      </c>
      <c r="E424" s="1468" t="s">
        <v>4622</v>
      </c>
      <c r="F424" s="1442">
        <v>27853</v>
      </c>
      <c r="G424" s="1468" t="s">
        <v>4620</v>
      </c>
      <c r="H424" s="1708">
        <f>+NOMINA!H390</f>
        <v>45597</v>
      </c>
      <c r="I424" s="1105">
        <f>+NOMINA!I390</f>
        <v>0</v>
      </c>
      <c r="J424" s="1106">
        <f>+NOMINA!J390</f>
        <v>0</v>
      </c>
      <c r="K424" s="1105">
        <f t="shared" si="48"/>
        <v>0</v>
      </c>
      <c r="L424" s="1106" t="s">
        <v>4932</v>
      </c>
      <c r="M424" s="1106"/>
      <c r="N424" s="1443" t="str">
        <f>+NOMINA!O390</f>
        <v>Ayudante de Servicios Generales</v>
      </c>
      <c r="O424" s="1107">
        <f>ROUND(NOMINA!W390,2)</f>
        <v>71</v>
      </c>
      <c r="P424" s="1107">
        <f>NOMINA!AF390</f>
        <v>0</v>
      </c>
      <c r="Q424" s="1107">
        <f>NOMINA!AH390</f>
        <v>65</v>
      </c>
      <c r="R424" s="1107">
        <f>NOMINA!AC390</f>
        <v>12.5</v>
      </c>
      <c r="S424" s="1107">
        <f>NOMINA!AJ390</f>
        <v>0</v>
      </c>
      <c r="T424" s="1108">
        <f t="shared" si="49"/>
        <v>68.42</v>
      </c>
      <c r="U424" s="1107">
        <f>ROUND(NOMINA!BL390,2)</f>
        <v>13.13</v>
      </c>
      <c r="V424" s="1107">
        <f>ROUND(NOMINA!BM390,2)</f>
        <v>1.64</v>
      </c>
      <c r="W424" s="1107">
        <f>ROUND(+NOMINA!BN390,2)</f>
        <v>2.85</v>
      </c>
      <c r="X424" s="1108">
        <f t="shared" si="50"/>
        <v>19.809999999999999</v>
      </c>
      <c r="Y424" s="1107">
        <f>ROUND(NOMINA!BJ390,2)</f>
        <v>0</v>
      </c>
      <c r="Z424" s="1109">
        <f t="shared" si="46"/>
        <v>130.88</v>
      </c>
    </row>
    <row r="425" spans="1:27" s="620" customFormat="1" ht="21.95" customHeight="1" x14ac:dyDescent="0.2">
      <c r="A425" s="758"/>
      <c r="B425" s="508">
        <f t="shared" si="47"/>
        <v>87</v>
      </c>
      <c r="C425" s="1706">
        <f>+NOMINA!C391</f>
        <v>26482867</v>
      </c>
      <c r="D425" s="1707" t="str">
        <f>+NOMINA!D391</f>
        <v>Valecillos Duran Brando Jose</v>
      </c>
      <c r="E425" s="1468" t="s">
        <v>4622</v>
      </c>
      <c r="F425" s="1442">
        <v>27853</v>
      </c>
      <c r="G425" s="1468" t="s">
        <v>4620</v>
      </c>
      <c r="H425" s="1708">
        <f>+NOMINA!H391</f>
        <v>45078</v>
      </c>
      <c r="I425" s="1105">
        <f>+NOMINA!I391</f>
        <v>2</v>
      </c>
      <c r="J425" s="1106">
        <f>+NOMINA!J391</f>
        <v>0</v>
      </c>
      <c r="K425" s="1105">
        <f t="shared" si="48"/>
        <v>2</v>
      </c>
      <c r="L425" s="1106" t="s">
        <v>4932</v>
      </c>
      <c r="M425" s="1106"/>
      <c r="N425" s="1443" t="str">
        <f>+NOMINA!O391</f>
        <v>Ayudante de Servicios Generales</v>
      </c>
      <c r="O425" s="1107">
        <f>ROUND(NOMINA!W391,2)</f>
        <v>76</v>
      </c>
      <c r="P425" s="1107">
        <f>NOMINA!AF391</f>
        <v>1.52</v>
      </c>
      <c r="Q425" s="1107">
        <f>NOMINA!AH391</f>
        <v>65</v>
      </c>
      <c r="R425" s="1107">
        <f>NOMINA!AC391</f>
        <v>0</v>
      </c>
      <c r="S425" s="1107">
        <f>NOMINA!AJ391</f>
        <v>0</v>
      </c>
      <c r="T425" s="1108">
        <f t="shared" si="49"/>
        <v>69.81</v>
      </c>
      <c r="U425" s="1107">
        <f>ROUND(NOMINA!BL391,2)</f>
        <v>13.16</v>
      </c>
      <c r="V425" s="1107">
        <f>ROUND(NOMINA!BM391,2)</f>
        <v>1.64</v>
      </c>
      <c r="W425" s="1107">
        <f>ROUND(+NOMINA!BN391,2)</f>
        <v>2.85</v>
      </c>
      <c r="X425" s="1108">
        <f t="shared" si="50"/>
        <v>20.38</v>
      </c>
      <c r="Y425" s="1107">
        <f>ROUND(NOMINA!BJ391,2)</f>
        <v>0</v>
      </c>
      <c r="Z425" s="1109">
        <f t="shared" si="46"/>
        <v>124.86999999999998</v>
      </c>
    </row>
    <row r="426" spans="1:27" s="620" customFormat="1" ht="21.95" customHeight="1" x14ac:dyDescent="0.2">
      <c r="A426" s="699"/>
      <c r="B426" s="508">
        <f t="shared" si="47"/>
        <v>88</v>
      </c>
      <c r="C426" s="1706">
        <f>+NOMINA!C392</f>
        <v>27415509</v>
      </c>
      <c r="D426" s="1707" t="str">
        <f>+NOMINA!D392</f>
        <v>Barreto Rivero Luis Diego</v>
      </c>
      <c r="E426" s="1468" t="s">
        <v>4622</v>
      </c>
      <c r="F426" s="1442">
        <v>27853</v>
      </c>
      <c r="G426" s="1468" t="s">
        <v>4620</v>
      </c>
      <c r="H426" s="1708">
        <f>+NOMINA!H392</f>
        <v>43678</v>
      </c>
      <c r="I426" s="1105">
        <f>+NOMINA!I392</f>
        <v>6</v>
      </c>
      <c r="J426" s="1106">
        <f>+NOMINA!J392</f>
        <v>0</v>
      </c>
      <c r="K426" s="1105">
        <f t="shared" si="48"/>
        <v>6</v>
      </c>
      <c r="L426" s="1106" t="s">
        <v>4932</v>
      </c>
      <c r="M426" s="1106"/>
      <c r="N426" s="1443" t="str">
        <f>+NOMINA!O392</f>
        <v>Ayudante de Servicios Generales</v>
      </c>
      <c r="O426" s="1107">
        <f>ROUND(NOMINA!W392,2)</f>
        <v>76</v>
      </c>
      <c r="P426" s="1107">
        <f>NOMINA!AF392</f>
        <v>4.71</v>
      </c>
      <c r="Q426" s="1107">
        <f>NOMINA!AH392</f>
        <v>65</v>
      </c>
      <c r="R426" s="1107">
        <f>NOMINA!AC392</f>
        <v>0</v>
      </c>
      <c r="S426" s="1107">
        <f>NOMINA!AJ392</f>
        <v>0</v>
      </c>
      <c r="T426" s="1108">
        <f t="shared" si="49"/>
        <v>84.86</v>
      </c>
      <c r="U426" s="1107">
        <f>ROUND(NOMINA!BL392,2)</f>
        <v>13.45</v>
      </c>
      <c r="V426" s="1107">
        <f>ROUND(NOMINA!BM392,2)</f>
        <v>1.68</v>
      </c>
      <c r="W426" s="1107">
        <f>ROUND(+NOMINA!BN392,2)</f>
        <v>2.91</v>
      </c>
      <c r="X426" s="1108">
        <f t="shared" si="50"/>
        <v>27.98</v>
      </c>
      <c r="Y426" s="1107">
        <f>ROUND(NOMINA!BJ392,2)</f>
        <v>0</v>
      </c>
      <c r="Z426" s="1109">
        <f t="shared" si="46"/>
        <v>127.66999999999999</v>
      </c>
    </row>
    <row r="427" spans="1:27" s="620" customFormat="1" ht="21" customHeight="1" x14ac:dyDescent="0.2">
      <c r="A427" s="699"/>
      <c r="B427" s="508">
        <f t="shared" si="47"/>
        <v>89</v>
      </c>
      <c r="C427" s="1706">
        <f>+NOMINA!C393</f>
        <v>27470077</v>
      </c>
      <c r="D427" s="1707" t="str">
        <f>+NOMINA!D393</f>
        <v>Gonzalez Castellanos Yusberly Yohandri</v>
      </c>
      <c r="E427" s="1468" t="s">
        <v>4622</v>
      </c>
      <c r="F427" s="1442">
        <v>27853</v>
      </c>
      <c r="G427" s="1468" t="s">
        <v>4620</v>
      </c>
      <c r="H427" s="1708">
        <f>+NOMINA!H393</f>
        <v>44743</v>
      </c>
      <c r="I427" s="1105">
        <f>+NOMINA!I393</f>
        <v>3</v>
      </c>
      <c r="J427" s="1106">
        <f>+NOMINA!J393</f>
        <v>0</v>
      </c>
      <c r="K427" s="1105">
        <f t="shared" si="48"/>
        <v>3</v>
      </c>
      <c r="L427" s="1106" t="s">
        <v>4932</v>
      </c>
      <c r="M427" s="1106"/>
      <c r="N427" s="1443" t="str">
        <f>+NOMINA!O393</f>
        <v>Aseadora</v>
      </c>
      <c r="O427" s="1107">
        <f>ROUND(NOMINA!W393,2)</f>
        <v>65</v>
      </c>
      <c r="P427" s="1107">
        <f>NOMINA!AF393</f>
        <v>1.95</v>
      </c>
      <c r="Q427" s="1107">
        <f>NOMINA!AH393</f>
        <v>65</v>
      </c>
      <c r="R427" s="1107">
        <f>NOMINA!AC393</f>
        <v>12.5</v>
      </c>
      <c r="S427" s="1107">
        <f>NOMINA!AJ393</f>
        <v>0</v>
      </c>
      <c r="T427" s="1108">
        <f t="shared" si="49"/>
        <v>79.900000000000006</v>
      </c>
      <c r="U427" s="1107">
        <f>ROUND(NOMINA!BL393,2)</f>
        <v>12.76</v>
      </c>
      <c r="V427" s="1107">
        <f>ROUND(NOMINA!BM393,2)</f>
        <v>1.59</v>
      </c>
      <c r="W427" s="1107">
        <f>ROUND(+NOMINA!BN393,2)</f>
        <v>2.76</v>
      </c>
      <c r="X427" s="1108">
        <f t="shared" si="50"/>
        <v>22.17</v>
      </c>
      <c r="Y427" s="1107">
        <f>ROUND(NOMINA!BJ393,2)</f>
        <v>0</v>
      </c>
      <c r="Z427" s="1109">
        <f t="shared" si="46"/>
        <v>127.33999999999999</v>
      </c>
    </row>
    <row r="428" spans="1:27" s="620" customFormat="1" ht="21.95" customHeight="1" x14ac:dyDescent="0.2">
      <c r="A428" s="699"/>
      <c r="B428" s="508">
        <f t="shared" si="47"/>
        <v>90</v>
      </c>
      <c r="C428" s="1706">
        <f>+NOMINA!C394</f>
        <v>29539270</v>
      </c>
      <c r="D428" s="1707" t="str">
        <f>+NOMINA!D394</f>
        <v>Rojas Carrillo Laureano Augusto</v>
      </c>
      <c r="E428" s="1468" t="s">
        <v>4622</v>
      </c>
      <c r="F428" s="1442">
        <v>27853</v>
      </c>
      <c r="G428" s="1468" t="s">
        <v>4620</v>
      </c>
      <c r="H428" s="1708">
        <f>+NOMINA!H394</f>
        <v>44287</v>
      </c>
      <c r="I428" s="1105">
        <f>+NOMINA!I394</f>
        <v>4</v>
      </c>
      <c r="J428" s="1106">
        <f>+NOMINA!J394</f>
        <v>0</v>
      </c>
      <c r="K428" s="1105">
        <f t="shared" si="48"/>
        <v>4</v>
      </c>
      <c r="L428" s="1106" t="s">
        <v>4932</v>
      </c>
      <c r="M428" s="1106"/>
      <c r="N428" s="1443" t="str">
        <f>+NOMINA!O394</f>
        <v>Ayudante de Servicios Generales</v>
      </c>
      <c r="O428" s="1107">
        <f>ROUND(NOMINA!W394,2)</f>
        <v>76</v>
      </c>
      <c r="P428" s="1107">
        <f>NOMINA!AF394</f>
        <v>3.04</v>
      </c>
      <c r="Q428" s="1107">
        <f>NOMINA!AH394</f>
        <v>65</v>
      </c>
      <c r="R428" s="1107">
        <f>NOMINA!AC394</f>
        <v>0</v>
      </c>
      <c r="S428" s="1107">
        <f>NOMINA!AJ394</f>
        <v>0</v>
      </c>
      <c r="T428" s="1108">
        <f t="shared" si="49"/>
        <v>93.04</v>
      </c>
      <c r="U428" s="1107">
        <f>ROUND(NOMINA!BL394,2)</f>
        <v>13.3</v>
      </c>
      <c r="V428" s="1107">
        <f>ROUND(NOMINA!BM394,2)</f>
        <v>1.66</v>
      </c>
      <c r="W428" s="1107">
        <f>ROUND(+NOMINA!BN394,2)</f>
        <v>2.88</v>
      </c>
      <c r="X428" s="1108">
        <f t="shared" si="50"/>
        <v>26.26</v>
      </c>
      <c r="Y428" s="1107">
        <f>ROUND(NOMINA!BJ394,2)</f>
        <v>0</v>
      </c>
      <c r="Z428" s="1109">
        <f t="shared" si="46"/>
        <v>126.20000000000002</v>
      </c>
    </row>
    <row r="429" spans="1:27" s="620" customFormat="1" ht="21.95" customHeight="1" x14ac:dyDescent="0.2">
      <c r="A429" s="699"/>
      <c r="B429" s="508">
        <f t="shared" si="47"/>
        <v>91</v>
      </c>
      <c r="C429" s="1706">
        <f>+NOMINA!C395</f>
        <v>29994277</v>
      </c>
      <c r="D429" s="1707" t="str">
        <f>+NOMINA!D395</f>
        <v>Quintero Rangel Jose Arsenio</v>
      </c>
      <c r="E429" s="1468" t="s">
        <v>4622</v>
      </c>
      <c r="F429" s="1442">
        <v>27853</v>
      </c>
      <c r="G429" s="1468" t="s">
        <v>4620</v>
      </c>
      <c r="H429" s="1708">
        <f>+NOMINA!H395</f>
        <v>44562</v>
      </c>
      <c r="I429" s="1105">
        <f>+NOMINA!I395</f>
        <v>3</v>
      </c>
      <c r="J429" s="1106">
        <f>+NOMINA!J395</f>
        <v>0</v>
      </c>
      <c r="K429" s="1105">
        <f t="shared" si="48"/>
        <v>3</v>
      </c>
      <c r="L429" s="1106" t="s">
        <v>4932</v>
      </c>
      <c r="M429" s="1106"/>
      <c r="N429" s="1443" t="str">
        <f>+NOMINA!O395</f>
        <v>Ayudante de Servicios Generales</v>
      </c>
      <c r="O429" s="1107">
        <f>ROUND(NOMINA!W395,2)</f>
        <v>76</v>
      </c>
      <c r="P429" s="1107">
        <f>NOMINA!AF395</f>
        <v>2.2799999999999998</v>
      </c>
      <c r="Q429" s="1107">
        <f>NOMINA!AH395</f>
        <v>65</v>
      </c>
      <c r="R429" s="1107">
        <f>NOMINA!AC395</f>
        <v>0</v>
      </c>
      <c r="S429" s="1107">
        <f>NOMINA!AJ395</f>
        <v>0</v>
      </c>
      <c r="T429" s="1108">
        <f t="shared" si="49"/>
        <v>74.430000000000007</v>
      </c>
      <c r="U429" s="1107">
        <f>ROUND(NOMINA!BL395,2)</f>
        <v>13.23</v>
      </c>
      <c r="V429" s="1107">
        <f>ROUND(NOMINA!BM395,2)</f>
        <v>1.65</v>
      </c>
      <c r="W429" s="1107">
        <f>ROUND(+NOMINA!BN395,2)</f>
        <v>2.87</v>
      </c>
      <c r="X429" s="1108">
        <f t="shared" si="50"/>
        <v>20.5</v>
      </c>
      <c r="Y429" s="1107">
        <f>ROUND(NOMINA!BJ395,2)</f>
        <v>0</v>
      </c>
      <c r="Z429" s="1109">
        <f t="shared" si="46"/>
        <v>125.53</v>
      </c>
    </row>
    <row r="430" spans="1:27" s="620" customFormat="1" ht="21" customHeight="1" x14ac:dyDescent="0.2">
      <c r="A430" s="699"/>
      <c r="B430" s="508">
        <f t="shared" si="47"/>
        <v>92</v>
      </c>
      <c r="C430" s="1706">
        <f>+NOMINA!C396</f>
        <v>32084560</v>
      </c>
      <c r="D430" s="1707" t="str">
        <f>+NOMINA!D396</f>
        <v>Hernandez Gomez Carmen Elena</v>
      </c>
      <c r="E430" s="1468" t="s">
        <v>4622</v>
      </c>
      <c r="F430" s="1442">
        <v>27853</v>
      </c>
      <c r="G430" s="1468" t="s">
        <v>4620</v>
      </c>
      <c r="H430" s="1708">
        <f>+NOMINA!H396</f>
        <v>44348</v>
      </c>
      <c r="I430" s="1105">
        <f>+NOMINA!I396</f>
        <v>4</v>
      </c>
      <c r="J430" s="1106">
        <f>+NOMINA!J396</f>
        <v>0</v>
      </c>
      <c r="K430" s="1105">
        <f t="shared" si="48"/>
        <v>4</v>
      </c>
      <c r="L430" s="1106" t="s">
        <v>4932</v>
      </c>
      <c r="M430" s="1106"/>
      <c r="N430" s="1443" t="str">
        <f>+NOMINA!O396</f>
        <v xml:space="preserve">Cocinera </v>
      </c>
      <c r="O430" s="1107">
        <f>ROUND(NOMINA!W396,2)</f>
        <v>85.5</v>
      </c>
      <c r="P430" s="1107">
        <f>NOMINA!AF396</f>
        <v>3.42</v>
      </c>
      <c r="Q430" s="1107">
        <f>NOMINA!AH396</f>
        <v>65</v>
      </c>
      <c r="R430" s="1107">
        <f>NOMINA!AC396</f>
        <v>12.5</v>
      </c>
      <c r="S430" s="1107">
        <f>NOMINA!AJ396</f>
        <v>0</v>
      </c>
      <c r="T430" s="1108">
        <f t="shared" si="49"/>
        <v>71.33</v>
      </c>
      <c r="U430" s="1107">
        <f>ROUND(NOMINA!BL396,2)</f>
        <v>14.78</v>
      </c>
      <c r="V430" s="1107">
        <f>ROUND(NOMINA!BM396,2)</f>
        <v>1.85</v>
      </c>
      <c r="W430" s="1107">
        <f>ROUND(+NOMINA!BN396,2)</f>
        <v>3.2</v>
      </c>
      <c r="X430" s="1108">
        <f t="shared" si="50"/>
        <v>25.83</v>
      </c>
      <c r="Y430" s="1107">
        <f>ROUND(NOMINA!BJ396,2)</f>
        <v>0</v>
      </c>
      <c r="Z430" s="1109">
        <f t="shared" si="46"/>
        <v>146.59000000000003</v>
      </c>
    </row>
    <row r="431" spans="1:27" s="620" customFormat="1" ht="39.950000000000003" customHeight="1" thickBot="1" x14ac:dyDescent="0.3">
      <c r="A431" s="1697"/>
      <c r="B431" s="865"/>
      <c r="C431" s="1061" t="s">
        <v>4493</v>
      </c>
      <c r="D431" s="1062"/>
      <c r="E431" s="1062"/>
      <c r="F431" s="1062"/>
      <c r="G431" s="1062"/>
      <c r="H431" s="1063"/>
      <c r="I431" s="1062"/>
      <c r="J431" s="1062"/>
      <c r="K431" s="1062"/>
      <c r="L431" s="1062"/>
      <c r="M431" s="1062"/>
      <c r="N431" s="1064"/>
      <c r="O431" s="866">
        <f t="shared" ref="O431:Z431" si="51">SUM(O339:O430)</f>
        <v>7122</v>
      </c>
      <c r="P431" s="866">
        <f t="shared" si="51"/>
        <v>722.41999999999973</v>
      </c>
      <c r="Q431" s="866">
        <f t="shared" si="51"/>
        <v>5980</v>
      </c>
      <c r="R431" s="866">
        <f t="shared" si="51"/>
        <v>550</v>
      </c>
      <c r="S431" s="866">
        <f t="shared" si="51"/>
        <v>0</v>
      </c>
      <c r="T431" s="866" t="e">
        <f t="shared" si="51"/>
        <v>#REF!</v>
      </c>
      <c r="U431" s="866">
        <f t="shared" si="51"/>
        <v>1328.9600000000003</v>
      </c>
      <c r="V431" s="866">
        <f t="shared" si="51"/>
        <v>166.14999999999992</v>
      </c>
      <c r="W431" s="866">
        <f t="shared" si="51"/>
        <v>294.5</v>
      </c>
      <c r="X431" s="866">
        <f t="shared" si="51"/>
        <v>8625.9799999999977</v>
      </c>
      <c r="Y431" s="866">
        <f t="shared" si="51"/>
        <v>0</v>
      </c>
      <c r="Z431" s="866">
        <f t="shared" si="51"/>
        <v>12584.810000000001</v>
      </c>
      <c r="AA431" s="625">
        <f>+Z431-NOMINA!CB397</f>
        <v>0</v>
      </c>
    </row>
    <row r="432" spans="1:27" s="620" customFormat="1" ht="15.75" customHeight="1" x14ac:dyDescent="0.2">
      <c r="A432" s="1697"/>
      <c r="B432" s="619"/>
      <c r="D432" s="622"/>
      <c r="F432" s="622"/>
      <c r="G432" s="1697"/>
      <c r="H432" s="701"/>
      <c r="O432" s="619"/>
      <c r="P432" s="619"/>
      <c r="Q432" s="619"/>
      <c r="R432" s="619"/>
      <c r="S432" s="619"/>
      <c r="T432" s="619"/>
      <c r="U432" s="619"/>
      <c r="V432" s="619"/>
      <c r="W432" s="619"/>
      <c r="X432" s="619"/>
      <c r="Y432" s="619"/>
      <c r="AA432" s="625"/>
    </row>
    <row r="433" spans="1:27" s="702" customFormat="1" ht="28.5" customHeight="1" thickBot="1" x14ac:dyDescent="0.25">
      <c r="B433" s="619"/>
      <c r="C433" s="620"/>
      <c r="D433" s="622"/>
      <c r="E433" s="620"/>
      <c r="F433" s="622"/>
      <c r="G433" s="1697"/>
      <c r="H433" s="701"/>
      <c r="I433" s="620"/>
      <c r="J433" s="620"/>
      <c r="K433" s="620"/>
      <c r="L433" s="620"/>
      <c r="M433" s="620"/>
      <c r="N433" s="620"/>
      <c r="O433" s="619"/>
      <c r="P433" s="619"/>
      <c r="Q433" s="619"/>
      <c r="R433" s="619"/>
      <c r="S433" s="619"/>
      <c r="T433" s="619"/>
      <c r="U433" s="619"/>
      <c r="V433" s="619"/>
      <c r="W433" s="619"/>
      <c r="X433" s="619"/>
      <c r="Y433" s="619"/>
      <c r="Z433" s="620"/>
    </row>
    <row r="434" spans="1:27" s="620" customFormat="1" ht="40.5" customHeight="1" thickBot="1" x14ac:dyDescent="0.25">
      <c r="A434" s="1697"/>
      <c r="B434" s="703">
        <f ca="1">+B430+B323+B54+B14</f>
        <v>378</v>
      </c>
      <c r="C434" s="1074" t="s">
        <v>2875</v>
      </c>
      <c r="D434" s="1071"/>
      <c r="E434" s="1072"/>
      <c r="F434" s="1071"/>
      <c r="G434" s="1072"/>
      <c r="H434" s="970"/>
      <c r="I434" s="1072"/>
      <c r="J434" s="1072"/>
      <c r="K434" s="1072"/>
      <c r="L434" s="1072"/>
      <c r="M434" s="1072"/>
      <c r="N434" s="1073"/>
      <c r="O434" s="708">
        <f t="shared" ref="O434:Z434" si="52">O15+O55+O324+O431</f>
        <v>37335</v>
      </c>
      <c r="P434" s="708">
        <f t="shared" si="52"/>
        <v>4298.3300000000008</v>
      </c>
      <c r="Q434" s="708">
        <f t="shared" si="52"/>
        <v>23140</v>
      </c>
      <c r="R434" s="708">
        <f t="shared" si="52"/>
        <v>3175</v>
      </c>
      <c r="S434" s="708">
        <f t="shared" si="52"/>
        <v>8961.7200000000048</v>
      </c>
      <c r="T434" s="708" t="e">
        <f t="shared" si="52"/>
        <v>#VALUE!</v>
      </c>
      <c r="U434" s="708">
        <f t="shared" si="52"/>
        <v>7386.5400000000018</v>
      </c>
      <c r="V434" s="708">
        <f t="shared" si="52"/>
        <v>923.41000000000008</v>
      </c>
      <c r="W434" s="708">
        <f t="shared" si="52"/>
        <v>1616.8700000000013</v>
      </c>
      <c r="X434" s="708">
        <f t="shared" si="52"/>
        <v>17172.619999999992</v>
      </c>
      <c r="Y434" s="708">
        <f t="shared" si="52"/>
        <v>3312.5</v>
      </c>
      <c r="Z434" s="708">
        <f t="shared" si="52"/>
        <v>66983.23</v>
      </c>
      <c r="AA434" s="625">
        <f>+Z436-NOMINA!CB399</f>
        <v>0</v>
      </c>
    </row>
    <row r="435" spans="1:27" s="620" customFormat="1" x14ac:dyDescent="0.2">
      <c r="A435" s="1697"/>
      <c r="B435" s="619"/>
      <c r="D435" s="622"/>
      <c r="F435" s="622"/>
      <c r="G435" s="1697"/>
      <c r="H435" s="623"/>
      <c r="I435" s="1697"/>
      <c r="J435" s="1697"/>
      <c r="K435" s="1697"/>
      <c r="L435" s="1697"/>
      <c r="M435" s="1697"/>
      <c r="O435" s="624"/>
      <c r="P435" s="624"/>
      <c r="Q435" s="624"/>
      <c r="R435" s="624"/>
      <c r="S435" s="624"/>
      <c r="T435" s="624"/>
      <c r="U435" s="624"/>
      <c r="V435" s="624"/>
      <c r="W435" s="624"/>
      <c r="X435" s="624"/>
      <c r="Y435" s="624"/>
      <c r="Z435" s="625"/>
    </row>
    <row r="436" spans="1:27" s="620" customFormat="1" x14ac:dyDescent="0.2">
      <c r="A436" s="1697"/>
      <c r="B436" s="711"/>
      <c r="C436" s="712"/>
      <c r="D436" s="713"/>
      <c r="F436" s="622"/>
      <c r="G436" s="1697"/>
      <c r="H436" s="701"/>
      <c r="O436" s="624"/>
      <c r="P436" s="624"/>
      <c r="Q436" s="624"/>
      <c r="R436" s="624"/>
      <c r="S436" s="624"/>
      <c r="T436" s="624"/>
      <c r="U436" s="624"/>
      <c r="V436" s="624"/>
      <c r="W436" s="624"/>
      <c r="X436" s="624"/>
      <c r="Y436" s="624"/>
      <c r="Z436" s="625"/>
    </row>
    <row r="437" spans="1:27" s="620" customFormat="1" x14ac:dyDescent="0.2">
      <c r="A437" s="1697"/>
      <c r="B437" s="711"/>
      <c r="C437" s="712"/>
      <c r="D437" s="713"/>
      <c r="F437" s="622"/>
      <c r="G437" s="1697"/>
      <c r="H437" s="623"/>
      <c r="I437" s="1697"/>
      <c r="J437" s="1697"/>
      <c r="K437" s="1697"/>
      <c r="L437" s="1697"/>
      <c r="M437" s="1697"/>
      <c r="O437" s="624"/>
      <c r="P437" s="624"/>
      <c r="Q437" s="624"/>
      <c r="R437" s="624"/>
      <c r="S437" s="624"/>
      <c r="T437" s="624"/>
      <c r="U437" s="624"/>
      <c r="V437" s="624"/>
      <c r="W437" s="624"/>
      <c r="X437" s="624"/>
      <c r="Y437" s="624"/>
      <c r="Z437" s="625"/>
    </row>
    <row r="438" spans="1:27" s="620" customFormat="1" x14ac:dyDescent="0.2">
      <c r="A438" s="1697"/>
      <c r="B438" s="711"/>
      <c r="C438" s="712"/>
      <c r="D438" s="713" t="s">
        <v>2904</v>
      </c>
      <c r="F438" s="622"/>
      <c r="G438" s="1697"/>
      <c r="H438" s="623"/>
      <c r="I438" s="1697"/>
      <c r="J438" s="1697"/>
      <c r="K438" s="1697"/>
      <c r="L438" s="1697"/>
      <c r="M438" s="1697"/>
      <c r="O438" s="624"/>
      <c r="P438" s="624"/>
      <c r="Q438" s="624"/>
      <c r="R438" s="624"/>
      <c r="S438" s="624"/>
      <c r="T438" s="624"/>
      <c r="U438" s="619"/>
      <c r="V438" s="619"/>
      <c r="W438" s="619"/>
      <c r="X438" s="619"/>
      <c r="Y438" s="619"/>
      <c r="Z438" s="625"/>
    </row>
    <row r="439" spans="1:27" s="620" customFormat="1" x14ac:dyDescent="0.2">
      <c r="A439" s="1697"/>
      <c r="C439" s="714"/>
      <c r="D439" s="726" t="s">
        <v>5833</v>
      </c>
      <c r="E439" s="716"/>
      <c r="F439" s="716"/>
      <c r="G439" s="716"/>
      <c r="I439" s="715"/>
      <c r="L439" s="716"/>
      <c r="M439" s="716"/>
      <c r="N439" s="716"/>
      <c r="P439" s="717" t="s">
        <v>5834</v>
      </c>
      <c r="R439" s="716"/>
      <c r="T439" s="814"/>
      <c r="V439" s="715" t="s">
        <v>5835</v>
      </c>
      <c r="W439" s="619"/>
      <c r="X439" s="625"/>
      <c r="Y439" s="715" t="s">
        <v>5835</v>
      </c>
    </row>
    <row r="440" spans="1:27" s="620" customFormat="1" x14ac:dyDescent="0.2">
      <c r="A440" s="1697"/>
      <c r="C440" s="714"/>
      <c r="E440" s="716"/>
      <c r="F440" s="716"/>
      <c r="G440" s="716"/>
      <c r="I440" s="714"/>
      <c r="L440" s="716"/>
      <c r="M440" s="716"/>
      <c r="N440" s="719"/>
      <c r="P440" s="719"/>
      <c r="R440" s="716"/>
      <c r="T440" s="719"/>
      <c r="V440" s="715"/>
      <c r="W440" s="619"/>
      <c r="X440" s="625"/>
      <c r="Y440" s="720"/>
    </row>
    <row r="441" spans="1:27" s="620" customFormat="1" x14ac:dyDescent="0.2">
      <c r="A441" s="1697"/>
      <c r="B441" s="714"/>
      <c r="C441" s="714"/>
      <c r="D441" s="718"/>
      <c r="E441" s="716"/>
      <c r="F441" s="716"/>
      <c r="G441" s="716"/>
      <c r="I441" s="721"/>
      <c r="L441" s="724"/>
      <c r="M441" s="724"/>
      <c r="N441" s="814"/>
      <c r="P441" s="722"/>
      <c r="R441" s="724"/>
      <c r="T441" s="724"/>
      <c r="V441" s="715" t="s">
        <v>5847</v>
      </c>
      <c r="W441" s="619"/>
      <c r="X441" s="625"/>
      <c r="Y441" s="715"/>
    </row>
    <row r="442" spans="1:27" s="620" customFormat="1" x14ac:dyDescent="0.2">
      <c r="A442" s="1697"/>
      <c r="B442" s="725" t="s">
        <v>6752</v>
      </c>
      <c r="C442" s="726"/>
      <c r="D442" s="724"/>
      <c r="E442" s="724"/>
      <c r="F442" s="724"/>
      <c r="G442" s="724"/>
      <c r="H442" s="725" t="s">
        <v>6116</v>
      </c>
      <c r="I442" s="725"/>
      <c r="L442" s="724"/>
      <c r="M442" s="724"/>
      <c r="N442" s="724"/>
      <c r="P442" s="727" t="s">
        <v>5836</v>
      </c>
      <c r="R442" s="724"/>
      <c r="T442" s="724"/>
      <c r="V442" s="725" t="s">
        <v>5839</v>
      </c>
      <c r="W442" s="619"/>
      <c r="X442" s="625"/>
      <c r="Y442" s="715" t="s">
        <v>5847</v>
      </c>
    </row>
    <row r="443" spans="1:27" s="620" customFormat="1" x14ac:dyDescent="0.2">
      <c r="A443" s="1697"/>
      <c r="B443" s="725" t="s">
        <v>6753</v>
      </c>
      <c r="C443" s="726"/>
      <c r="D443" s="724"/>
      <c r="E443" s="724"/>
      <c r="F443" s="724"/>
      <c r="G443" s="724"/>
      <c r="H443" s="725" t="s">
        <v>6117</v>
      </c>
      <c r="I443" s="725"/>
      <c r="L443" s="724"/>
      <c r="M443" s="724"/>
      <c r="N443" s="724"/>
      <c r="P443" s="727" t="s">
        <v>5838</v>
      </c>
      <c r="R443" s="724"/>
      <c r="T443" s="724"/>
      <c r="V443" s="715" t="s">
        <v>5841</v>
      </c>
      <c r="W443" s="619"/>
      <c r="X443" s="625"/>
      <c r="Y443" s="725" t="s">
        <v>5839</v>
      </c>
    </row>
    <row r="444" spans="1:27" s="620" customFormat="1" x14ac:dyDescent="0.2">
      <c r="A444" s="1697"/>
      <c r="B444" s="725" t="s">
        <v>5240</v>
      </c>
      <c r="C444" s="726"/>
      <c r="D444" s="724"/>
      <c r="E444" s="724"/>
      <c r="F444" s="724"/>
      <c r="G444" s="724"/>
      <c r="H444" s="725" t="s">
        <v>5261</v>
      </c>
      <c r="I444" s="725"/>
      <c r="L444" s="724"/>
      <c r="M444" s="724"/>
      <c r="N444" s="724"/>
      <c r="P444" s="727" t="s">
        <v>5840</v>
      </c>
      <c r="R444" s="724"/>
      <c r="T444" s="724"/>
      <c r="V444" s="619"/>
      <c r="W444" s="619"/>
      <c r="X444" s="625"/>
      <c r="Y444" s="715" t="s">
        <v>5841</v>
      </c>
    </row>
  </sheetData>
  <sheetProtection formatCells="0" formatColumns="0" formatRows="0" insertColumns="0" insertRows="0" deleteColumns="0" deleteRows="0" sort="0" autoFilter="0"/>
  <dataConsolidate link="1"/>
  <mergeCells count="3">
    <mergeCell ref="L10:M10"/>
    <mergeCell ref="P10:R10"/>
    <mergeCell ref="U10:W10"/>
  </mergeCells>
  <dataValidations disablePrompts="1" count="7">
    <dataValidation type="list" allowBlank="1" showInputMessage="1" showErrorMessage="1" sqref="F9">
      <formula1>MES</formula1>
    </dataValidation>
    <dataValidation type="list" allowBlank="1" showInputMessage="1" showErrorMessage="1" sqref="A13:A14">
      <formula1>"99,EMPLEADO,OBRERO"</formula1>
    </dataValidation>
    <dataValidation type="list" allowBlank="1" showInputMessage="1" showErrorMessage="1" sqref="N13:N22 N28:N54 N65:N323">
      <formula1>Empleado</formula1>
    </dataValidation>
    <dataValidation type="list" allowBlank="1" showInputMessage="1" showErrorMessage="1" sqref="N339:N430">
      <formula1>Obrero</formula1>
    </dataValidation>
    <dataValidation type="list" allowBlank="1" showInputMessage="1" showErrorMessage="1" sqref="A339:A430 A15:A63 A65:A337">
      <formula1>"EMPLEADO,OBRERO,BOMBERO"</formula1>
    </dataValidation>
    <dataValidation type="list" allowBlank="1" showInputMessage="1" showErrorMessage="1" sqref="E13:E22 E339:E430 E28:E54 E65:E323">
      <formula1>NAC</formula1>
    </dataValidation>
    <dataValidation type="list" allowBlank="1" showInputMessage="1" showErrorMessage="1" sqref="G13:G22 G339:G430 G28:G54 G65:G323">
      <formula1>GEN</formula1>
    </dataValidation>
  </dataValidations>
  <pageMargins left="0.39370078740157483" right="0" top="0.39370078740157483" bottom="0.39370078740157483" header="0.31496062992125984" footer="0.31496062992125984"/>
  <pageSetup paperSize="14" scale="48" orientation="landscape" horizontalDpi="1200" r:id="rId1"/>
  <rowBreaks count="3" manualBreakCount="3">
    <brk id="28" max="16383" man="1"/>
    <brk id="63" max="16383" man="1"/>
    <brk id="337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0000"/>
  </sheetPr>
  <dimension ref="A1:DS519"/>
  <sheetViews>
    <sheetView tabSelected="1" view="pageBreakPreview" topLeftCell="A11" zoomScale="60" zoomScaleNormal="60" workbookViewId="0">
      <pane ySplit="1125" activePane="bottomLeft"/>
      <selection activeCell="A11" sqref="A1:XFD1048576"/>
      <selection pane="bottomLeft" activeCell="CA408" sqref="CA408"/>
    </sheetView>
  </sheetViews>
  <sheetFormatPr baseColWidth="10" defaultRowHeight="15" x14ac:dyDescent="0.25"/>
  <cols>
    <col min="1" max="1" width="16.5703125" style="2" customWidth="1"/>
    <col min="2" max="2" width="7.5703125" style="2" customWidth="1"/>
    <col min="3" max="3" width="14.85546875" style="2" customWidth="1"/>
    <col min="4" max="4" width="50.140625" style="568" customWidth="1"/>
    <col min="5" max="5" width="17.42578125" style="569" customWidth="1"/>
    <col min="6" max="6" width="18" style="570" customWidth="1"/>
    <col min="7" max="7" width="10" style="2" customWidth="1"/>
    <col min="8" max="8" width="17.7109375" style="571" customWidth="1"/>
    <col min="9" max="9" width="16.42578125" style="2" customWidth="1"/>
    <col min="10" max="10" width="17.42578125" style="2" customWidth="1"/>
    <col min="11" max="11" width="15.140625" style="2" customWidth="1"/>
    <col min="12" max="12" width="44.140625" style="2" customWidth="1"/>
    <col min="13" max="13" width="22.7109375" style="2" customWidth="1"/>
    <col min="14" max="14" width="36.7109375" style="2" customWidth="1"/>
    <col min="15" max="15" width="44.28515625" style="569" customWidth="1"/>
    <col min="16" max="16" width="30.7109375" style="569" customWidth="1"/>
    <col min="17" max="17" width="11.85546875" style="2" customWidth="1"/>
    <col min="18" max="18" width="55.5703125" style="572" customWidth="1"/>
    <col min="19" max="19" width="29.85546875" style="2" customWidth="1"/>
    <col min="20" max="20" width="15.140625" style="2" customWidth="1"/>
    <col min="21" max="21" width="17.140625" style="2" customWidth="1"/>
    <col min="22" max="23" width="15.140625" style="2" customWidth="1"/>
    <col min="24" max="24" width="19.28515625" style="2" customWidth="1"/>
    <col min="25" max="25" width="22.85546875" style="2" customWidth="1"/>
    <col min="26" max="26" width="7.85546875" style="573" customWidth="1"/>
    <col min="27" max="27" width="13.42578125" style="64" customWidth="1"/>
    <col min="28" max="28" width="14.28515625" style="64" customWidth="1"/>
    <col min="29" max="29" width="12.28515625" style="64" customWidth="1"/>
    <col min="30" max="30" width="21" style="64" customWidth="1"/>
    <col min="31" max="31" width="16.7109375" style="64" customWidth="1"/>
    <col min="32" max="33" width="12.42578125" style="64" customWidth="1"/>
    <col min="34" max="34" width="14.42578125" style="64" customWidth="1"/>
    <col min="35" max="35" width="14" style="64" customWidth="1"/>
    <col min="36" max="37" width="12.42578125" style="64" customWidth="1"/>
    <col min="38" max="38" width="17.28515625" style="64" customWidth="1"/>
    <col min="39" max="39" width="13" style="64" customWidth="1"/>
    <col min="40" max="40" width="11.7109375" style="64" customWidth="1"/>
    <col min="41" max="41" width="15.42578125" style="125" customWidth="1"/>
    <col min="42" max="42" width="10.85546875" style="125" customWidth="1"/>
    <col min="43" max="43" width="16.140625" style="125" customWidth="1"/>
    <col min="44" max="44" width="15" style="125" customWidth="1"/>
    <col min="45" max="45" width="18.140625" style="125" customWidth="1"/>
    <col min="46" max="46" width="16.42578125" style="125" customWidth="1"/>
    <col min="47" max="47" width="18.85546875" style="2" customWidth="1"/>
    <col min="48" max="48" width="11.7109375" style="107" customWidth="1"/>
    <col min="49" max="49" width="15.7109375" style="2" customWidth="1"/>
    <col min="50" max="50" width="18.140625" style="64" customWidth="1"/>
    <col min="51" max="51" width="17.140625" style="64" customWidth="1"/>
    <col min="52" max="52" width="17.42578125" style="64" customWidth="1"/>
    <col min="53" max="53" width="21.7109375" style="64" customWidth="1"/>
    <col min="54" max="54" width="13.85546875" style="2" customWidth="1"/>
    <col min="55" max="55" width="15.7109375" style="2" customWidth="1"/>
    <col min="56" max="56" width="13.85546875" style="2" customWidth="1"/>
    <col min="57" max="57" width="15.7109375" style="2" customWidth="1"/>
    <col min="58" max="58" width="16" style="2" customWidth="1"/>
    <col min="59" max="60" width="15.85546875" style="64" customWidth="1"/>
    <col min="61" max="61" width="8.7109375" style="64" customWidth="1"/>
    <col min="62" max="63" width="15.85546875" style="64" customWidth="1"/>
    <col min="64" max="68" width="13.85546875" style="2" customWidth="1"/>
    <col min="69" max="69" width="17" style="2" customWidth="1"/>
    <col min="70" max="70" width="15.140625" style="64" customWidth="1"/>
    <col min="71" max="71" width="14.7109375" style="64" customWidth="1"/>
    <col min="72" max="72" width="15.28515625" style="64" customWidth="1"/>
    <col min="73" max="74" width="15.85546875" style="64" customWidth="1"/>
    <col min="75" max="75" width="18.140625" style="64" customWidth="1"/>
    <col min="76" max="78" width="19.85546875" style="64" customWidth="1"/>
    <col min="79" max="79" width="19.42578125" style="64" customWidth="1"/>
    <col min="80" max="80" width="15.140625" style="574" customWidth="1"/>
    <col min="81" max="81" width="16.5703125" style="574" customWidth="1"/>
    <col min="82" max="83" width="13.5703125" style="574" customWidth="1"/>
    <col min="84" max="84" width="16.85546875" style="574" customWidth="1"/>
    <col min="85" max="85" width="16.140625" style="574" customWidth="1"/>
    <col min="86" max="86" width="20.28515625" style="574" customWidth="1"/>
    <col min="87" max="87" width="16.140625" style="574" customWidth="1"/>
    <col min="88" max="88" width="12.42578125" style="1509" customWidth="1"/>
    <col min="89" max="91" width="16.140625" style="574" customWidth="1"/>
    <col min="92" max="92" width="20" style="574" customWidth="1"/>
    <col min="93" max="93" width="16.5703125" style="574" customWidth="1"/>
    <col min="94" max="94" width="16.85546875" style="574" customWidth="1"/>
    <col min="95" max="95" width="22.5703125" style="574" customWidth="1"/>
    <col min="96" max="96" width="17.7109375" style="574" customWidth="1"/>
    <col min="97" max="97" width="14.28515625" style="574" customWidth="1"/>
    <col min="98" max="98" width="19.5703125" style="574" customWidth="1"/>
    <col min="99" max="102" width="16.140625" style="470" customWidth="1"/>
    <col min="103" max="103" width="16.140625" style="574" customWidth="1"/>
    <col min="104" max="104" width="18.42578125" style="574" customWidth="1"/>
    <col min="105" max="105" width="13.5703125" style="574" customWidth="1"/>
    <col min="106" max="106" width="19.5703125" style="1144" customWidth="1"/>
    <col min="107" max="107" width="11.28515625" style="1144" bestFit="1" customWidth="1"/>
    <col min="108" max="108" width="13.5703125" style="1144" customWidth="1"/>
    <col min="109" max="109" width="23" style="1144" customWidth="1"/>
    <col min="110" max="110" width="52.42578125" style="1144" customWidth="1"/>
    <col min="111" max="111" width="79.140625" style="1144" customWidth="1"/>
    <col min="112" max="116" width="13.5703125" style="574" customWidth="1"/>
    <col min="117" max="117" width="31" style="569" customWidth="1"/>
    <col min="118" max="118" width="29.5703125" style="574" customWidth="1"/>
    <col min="119" max="119" width="22" style="574" bestFit="1" customWidth="1"/>
    <col min="120" max="120" width="13.42578125" style="2" customWidth="1"/>
    <col min="121" max="121" width="16.28515625" style="2" customWidth="1"/>
    <col min="122" max="122" width="5.85546875" style="569" customWidth="1"/>
    <col min="123" max="123" width="5.5703125" style="569" customWidth="1"/>
    <col min="124" max="16384" width="11.42578125" style="569"/>
  </cols>
  <sheetData>
    <row r="1" spans="1:123" s="471" customFormat="1" ht="22.5" customHeight="1" x14ac:dyDescent="0.25">
      <c r="A1" s="163"/>
      <c r="B1" s="1516"/>
      <c r="C1" s="1156"/>
      <c r="D1" s="473" t="str">
        <f>F9</f>
        <v>SEPTIEMBRE</v>
      </c>
      <c r="F1" s="420"/>
      <c r="G1" s="1156"/>
      <c r="H1" s="474"/>
      <c r="I1" s="1156"/>
      <c r="J1" s="163"/>
      <c r="K1" s="1156"/>
      <c r="L1" s="1156"/>
      <c r="M1" s="1156"/>
      <c r="N1" s="1156"/>
      <c r="Q1" s="1156"/>
      <c r="R1" s="475"/>
      <c r="S1" s="1156"/>
      <c r="T1" s="1156"/>
      <c r="U1" s="1156"/>
      <c r="V1" s="1156"/>
      <c r="W1" s="1156"/>
      <c r="X1" s="1156"/>
      <c r="Y1" s="1156"/>
      <c r="Z1" s="1156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2"/>
      <c r="AP1" s="162"/>
      <c r="AQ1" s="162"/>
      <c r="AR1" s="162"/>
      <c r="AS1" s="162"/>
      <c r="AT1" s="162"/>
      <c r="AU1" s="1156"/>
      <c r="AV1" s="163"/>
      <c r="AW1" s="1156"/>
      <c r="AX1" s="161"/>
      <c r="AY1" s="161"/>
      <c r="AZ1" s="161"/>
      <c r="BA1" s="161"/>
      <c r="BB1" s="1156"/>
      <c r="BC1" s="1156"/>
      <c r="BD1" s="1156"/>
      <c r="BE1" s="1156"/>
      <c r="BF1" s="1156"/>
      <c r="BG1" s="161"/>
      <c r="BH1" s="161"/>
      <c r="BI1" s="161"/>
      <c r="BJ1" s="161"/>
      <c r="BK1" s="161"/>
      <c r="BL1" s="1156"/>
      <c r="BM1" s="1156"/>
      <c r="BN1" s="1156"/>
      <c r="BO1" s="1156"/>
      <c r="BP1" s="1156"/>
      <c r="BQ1" s="1156"/>
      <c r="BR1" s="161"/>
      <c r="BS1" s="161"/>
      <c r="BT1" s="161"/>
      <c r="BU1" s="161"/>
      <c r="BV1" s="161"/>
      <c r="BW1" s="161"/>
      <c r="BX1" s="161"/>
      <c r="BY1" s="161"/>
      <c r="BZ1" s="161"/>
      <c r="CA1" s="161"/>
      <c r="CB1" s="470"/>
      <c r="CC1" s="470"/>
      <c r="CD1" s="470"/>
      <c r="CE1" s="470"/>
      <c r="CF1" s="470"/>
      <c r="CG1" s="470"/>
      <c r="CH1" s="470"/>
      <c r="CI1" s="470"/>
      <c r="CJ1" s="470"/>
      <c r="CK1" s="470"/>
      <c r="CL1" s="470"/>
      <c r="CM1" s="470"/>
      <c r="CN1" s="470"/>
      <c r="CO1" s="470"/>
      <c r="CP1" s="470"/>
      <c r="CQ1" s="470"/>
      <c r="CR1" s="470"/>
      <c r="CS1" s="470"/>
      <c r="CT1" s="470"/>
      <c r="CU1" s="470"/>
      <c r="CV1" s="470"/>
      <c r="CW1" s="470"/>
      <c r="CX1" s="470"/>
      <c r="CY1" s="470"/>
      <c r="CZ1" s="470"/>
      <c r="DA1" s="470"/>
      <c r="DB1" s="512"/>
      <c r="DC1" s="512"/>
      <c r="DD1" s="512"/>
      <c r="DE1" s="512"/>
      <c r="DF1" s="512"/>
      <c r="DG1" s="512"/>
      <c r="DH1" s="470"/>
      <c r="DI1" s="470"/>
      <c r="DJ1" s="470"/>
      <c r="DK1" s="470"/>
      <c r="DL1" s="470"/>
      <c r="DN1" s="470"/>
      <c r="DO1" s="470"/>
      <c r="DP1" s="1156"/>
      <c r="DQ1" s="1691"/>
    </row>
    <row r="2" spans="1:123" s="471" customFormat="1" x14ac:dyDescent="0.25">
      <c r="A2" s="1668"/>
      <c r="B2" s="1156"/>
      <c r="C2" s="1156"/>
      <c r="D2" s="218"/>
      <c r="F2" s="420"/>
      <c r="G2" s="1156"/>
      <c r="H2" s="474"/>
      <c r="I2" s="1156"/>
      <c r="J2" s="1156"/>
      <c r="K2" s="1156"/>
      <c r="L2" s="1156"/>
      <c r="M2" s="1156"/>
      <c r="N2" s="1156"/>
      <c r="Q2" s="1156"/>
      <c r="R2" s="475"/>
      <c r="S2" s="1156"/>
      <c r="T2" s="1156"/>
      <c r="U2" s="1156"/>
      <c r="V2" s="1156"/>
      <c r="W2" s="1156"/>
      <c r="X2" s="1156"/>
      <c r="Y2" s="1156"/>
      <c r="Z2" s="1156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2"/>
      <c r="AP2" s="162"/>
      <c r="AQ2" s="162"/>
      <c r="AR2" s="162"/>
      <c r="AS2" s="162"/>
      <c r="AT2" s="162"/>
      <c r="AU2" s="1156"/>
      <c r="AV2" s="163"/>
      <c r="AW2" s="1156"/>
      <c r="AX2" s="161"/>
      <c r="AY2" s="161"/>
      <c r="AZ2" s="161"/>
      <c r="BA2" s="161"/>
      <c r="BB2" s="1156"/>
      <c r="BC2" s="1156"/>
      <c r="BD2" s="1156"/>
      <c r="BE2" s="1156"/>
      <c r="BF2" s="1156"/>
      <c r="BG2" s="161"/>
      <c r="BH2" s="161"/>
      <c r="BI2" s="161"/>
      <c r="BJ2" s="161"/>
      <c r="BK2" s="161"/>
      <c r="BL2" s="1156"/>
      <c r="BM2" s="1156"/>
      <c r="BN2" s="1156"/>
      <c r="BO2" s="1156"/>
      <c r="BP2" s="1156"/>
      <c r="BQ2" s="1156"/>
      <c r="BR2" s="161"/>
      <c r="BS2" s="161"/>
      <c r="BT2" s="161"/>
      <c r="BU2" s="161"/>
      <c r="BV2" s="161"/>
      <c r="BW2" s="161"/>
      <c r="BX2" s="161"/>
      <c r="BY2" s="161"/>
      <c r="BZ2" s="161"/>
      <c r="CA2" s="161"/>
      <c r="CB2" s="470"/>
      <c r="CC2" s="470"/>
      <c r="CD2" s="470"/>
      <c r="CE2" s="470"/>
      <c r="CF2" s="470"/>
      <c r="CG2" s="470"/>
      <c r="CH2" s="470"/>
      <c r="CI2" s="470"/>
      <c r="CJ2" s="470"/>
      <c r="CK2" s="470"/>
      <c r="CL2" s="470"/>
      <c r="CM2" s="470"/>
      <c r="CN2" s="470"/>
      <c r="CO2" s="470"/>
      <c r="CP2" s="470"/>
      <c r="CQ2" s="470"/>
      <c r="CR2" s="470"/>
      <c r="CS2" s="470"/>
      <c r="CT2" s="470"/>
      <c r="CU2" s="470"/>
      <c r="CV2" s="470"/>
      <c r="CW2" s="470"/>
      <c r="CX2" s="470"/>
      <c r="CY2" s="470"/>
      <c r="CZ2" s="470"/>
      <c r="DA2" s="470"/>
      <c r="DB2" s="512"/>
      <c r="DC2" s="512"/>
      <c r="DD2" s="512"/>
      <c r="DE2" s="512"/>
      <c r="DF2" s="512"/>
      <c r="DG2" s="512"/>
      <c r="DH2" s="470"/>
      <c r="DI2" s="470"/>
      <c r="DJ2" s="470"/>
      <c r="DK2" s="470"/>
      <c r="DL2" s="470"/>
      <c r="DN2" s="470"/>
      <c r="DO2" s="470"/>
      <c r="DP2" s="1156"/>
      <c r="DQ2" s="1691"/>
    </row>
    <row r="3" spans="1:123" s="471" customFormat="1" x14ac:dyDescent="0.25">
      <c r="A3" s="1668"/>
      <c r="B3" s="1156"/>
      <c r="C3" s="1156"/>
      <c r="D3" s="218"/>
      <c r="F3" s="420"/>
      <c r="G3" s="1156"/>
      <c r="H3" s="474"/>
      <c r="I3" s="1156"/>
      <c r="J3" s="1156"/>
      <c r="K3" s="1156"/>
      <c r="L3" s="1156"/>
      <c r="M3" s="1156"/>
      <c r="N3" s="1156"/>
      <c r="Q3" s="1156"/>
      <c r="R3" s="475"/>
      <c r="S3" s="1156"/>
      <c r="T3" s="1156"/>
      <c r="U3" s="1156"/>
      <c r="V3" s="1156"/>
      <c r="W3" s="1156"/>
      <c r="X3" s="1156"/>
      <c r="Y3" s="1156"/>
      <c r="Z3" s="1156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2"/>
      <c r="AP3" s="162"/>
      <c r="AQ3" s="162"/>
      <c r="AR3" s="162"/>
      <c r="AS3" s="162"/>
      <c r="AT3" s="162"/>
      <c r="AU3" s="1156"/>
      <c r="AV3" s="163"/>
      <c r="AW3" s="1156"/>
      <c r="AX3" s="161"/>
      <c r="AY3" s="161"/>
      <c r="AZ3" s="161"/>
      <c r="BA3" s="161"/>
      <c r="BB3" s="1156"/>
      <c r="BC3" s="1156"/>
      <c r="BD3" s="1156"/>
      <c r="BE3" s="1156"/>
      <c r="BF3" s="1156"/>
      <c r="BG3" s="161"/>
      <c r="BH3" s="161"/>
      <c r="BI3" s="161"/>
      <c r="BJ3" s="161"/>
      <c r="BK3" s="161"/>
      <c r="BL3" s="1156"/>
      <c r="BM3" s="1156"/>
      <c r="BN3" s="1156"/>
      <c r="BO3" s="1156"/>
      <c r="BP3" s="1156"/>
      <c r="BQ3" s="1156"/>
      <c r="BR3" s="161"/>
      <c r="BS3" s="161"/>
      <c r="BT3" s="161"/>
      <c r="BU3" s="161"/>
      <c r="BV3" s="161"/>
      <c r="BW3" s="161"/>
      <c r="BX3" s="161"/>
      <c r="BY3" s="161"/>
      <c r="BZ3" s="161"/>
      <c r="CA3" s="161"/>
      <c r="CB3" s="470"/>
      <c r="CC3" s="470"/>
      <c r="CD3" s="470"/>
      <c r="CE3" s="470"/>
      <c r="CF3" s="470"/>
      <c r="CG3" s="470"/>
      <c r="CH3" s="470"/>
      <c r="CI3" s="470"/>
      <c r="CJ3" s="470"/>
      <c r="CK3" s="470"/>
      <c r="CL3" s="470"/>
      <c r="CM3" s="470"/>
      <c r="CN3" s="470"/>
      <c r="CO3" s="470"/>
      <c r="CP3" s="470"/>
      <c r="CQ3" s="470"/>
      <c r="CR3" s="470"/>
      <c r="CS3" s="470"/>
      <c r="CT3" s="470"/>
      <c r="CU3" s="470"/>
      <c r="CV3" s="470"/>
      <c r="CW3" s="470"/>
      <c r="CX3" s="470"/>
      <c r="CY3" s="470"/>
      <c r="CZ3" s="470"/>
      <c r="DA3" s="470"/>
      <c r="DB3" s="512"/>
      <c r="DC3" s="512"/>
      <c r="DD3" s="512"/>
      <c r="DE3" s="512"/>
      <c r="DF3" s="512"/>
      <c r="DG3" s="512"/>
      <c r="DH3" s="470"/>
      <c r="DI3" s="470"/>
      <c r="DJ3" s="470"/>
      <c r="DK3" s="470"/>
      <c r="DL3" s="470"/>
      <c r="DN3" s="470"/>
      <c r="DO3" s="470"/>
      <c r="DP3" s="1156"/>
      <c r="DQ3" s="1691"/>
    </row>
    <row r="4" spans="1:123" s="471" customFormat="1" x14ac:dyDescent="0.25">
      <c r="A4" s="1668"/>
      <c r="B4" s="1156"/>
      <c r="C4" s="1156"/>
      <c r="D4" s="218"/>
      <c r="F4" s="420"/>
      <c r="G4" s="1156"/>
      <c r="H4" s="474"/>
      <c r="I4" s="1156"/>
      <c r="J4" s="1156"/>
      <c r="K4" s="1156"/>
      <c r="L4" s="1156"/>
      <c r="M4" s="1156"/>
      <c r="N4" s="1156"/>
      <c r="Q4" s="1156"/>
      <c r="R4" s="475"/>
      <c r="S4" s="1156"/>
      <c r="T4" s="1156"/>
      <c r="U4" s="1156"/>
      <c r="V4" s="1156"/>
      <c r="W4" s="1156"/>
      <c r="X4" s="1156"/>
      <c r="Y4" s="1156"/>
      <c r="Z4" s="1156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2"/>
      <c r="AP4" s="162"/>
      <c r="AQ4" s="162"/>
      <c r="AR4" s="162"/>
      <c r="AS4" s="162"/>
      <c r="AT4" s="162"/>
      <c r="AU4" s="1156"/>
      <c r="AV4" s="163"/>
      <c r="AW4" s="1156"/>
      <c r="AX4" s="161"/>
      <c r="AY4" s="161"/>
      <c r="AZ4" s="161"/>
      <c r="BA4" s="161"/>
      <c r="BB4" s="1156"/>
      <c r="BC4" s="1156"/>
      <c r="BD4" s="1156"/>
      <c r="BE4" s="1156"/>
      <c r="BF4" s="1156"/>
      <c r="BG4" s="161"/>
      <c r="BH4" s="161"/>
      <c r="BI4" s="161"/>
      <c r="BJ4" s="161"/>
      <c r="BK4" s="161"/>
      <c r="BL4" s="1156"/>
      <c r="BM4" s="1156"/>
      <c r="BN4" s="1156"/>
      <c r="BO4" s="1156"/>
      <c r="BP4" s="1156"/>
      <c r="BQ4" s="1156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470"/>
      <c r="CC4" s="470"/>
      <c r="CD4" s="470"/>
      <c r="CE4" s="470"/>
      <c r="CF4" s="470"/>
      <c r="CG4" s="470"/>
      <c r="CH4" s="470"/>
      <c r="CI4" s="470"/>
      <c r="CJ4" s="470"/>
      <c r="CK4" s="470"/>
      <c r="CL4" s="470"/>
      <c r="CM4" s="470"/>
      <c r="CN4" s="470"/>
      <c r="CO4" s="470"/>
      <c r="CP4" s="470"/>
      <c r="CQ4" s="470"/>
      <c r="CR4" s="470"/>
      <c r="CS4" s="470"/>
      <c r="CT4" s="470"/>
      <c r="CU4" s="470"/>
      <c r="CV4" s="470"/>
      <c r="CW4" s="470"/>
      <c r="CX4" s="470"/>
      <c r="CY4" s="470"/>
      <c r="CZ4" s="470"/>
      <c r="DA4" s="470"/>
      <c r="DB4" s="512"/>
      <c r="DC4" s="512"/>
      <c r="DD4" s="512"/>
      <c r="DE4" s="512"/>
      <c r="DF4" s="512"/>
      <c r="DG4" s="512"/>
      <c r="DH4" s="470"/>
      <c r="DI4" s="470"/>
      <c r="DJ4" s="470"/>
      <c r="DK4" s="470"/>
      <c r="DL4" s="470"/>
      <c r="DN4" s="470"/>
      <c r="DO4" s="470"/>
      <c r="DP4" s="1156"/>
      <c r="DQ4" s="1691"/>
    </row>
    <row r="5" spans="1:123" s="471" customFormat="1" x14ac:dyDescent="0.25">
      <c r="A5" s="1668"/>
      <c r="B5" s="1156"/>
      <c r="C5" s="1156"/>
      <c r="D5" s="218"/>
      <c r="F5" s="420"/>
      <c r="G5" s="1156"/>
      <c r="H5" s="474"/>
      <c r="I5" s="1156"/>
      <c r="J5" s="1156"/>
      <c r="K5" s="1156"/>
      <c r="L5" s="1156"/>
      <c r="M5" s="1156"/>
      <c r="N5" s="1156"/>
      <c r="Q5" s="1156"/>
      <c r="R5" s="475"/>
      <c r="S5" s="1156"/>
      <c r="T5" s="1156"/>
      <c r="U5" s="1156"/>
      <c r="V5" s="1156"/>
      <c r="W5" s="1156"/>
      <c r="X5" s="1156"/>
      <c r="Y5" s="1156"/>
      <c r="Z5" s="1156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2"/>
      <c r="AP5" s="162"/>
      <c r="AQ5" s="162"/>
      <c r="AR5" s="162"/>
      <c r="AS5" s="162"/>
      <c r="AT5" s="162"/>
      <c r="AU5" s="1156"/>
      <c r="AV5" s="163"/>
      <c r="AW5" s="1156"/>
      <c r="AX5" s="161"/>
      <c r="AY5" s="161"/>
      <c r="AZ5" s="161"/>
      <c r="BA5" s="161"/>
      <c r="BB5" s="1156"/>
      <c r="BC5" s="1156"/>
      <c r="BD5" s="1156"/>
      <c r="BE5" s="1156"/>
      <c r="BF5" s="1156"/>
      <c r="BG5" s="161"/>
      <c r="BH5" s="161"/>
      <c r="BI5" s="161"/>
      <c r="BJ5" s="161"/>
      <c r="BK5" s="161"/>
      <c r="BL5" s="1156"/>
      <c r="BM5" s="1156"/>
      <c r="BN5" s="1156"/>
      <c r="BO5" s="1156"/>
      <c r="BP5" s="1156"/>
      <c r="BQ5" s="1156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470"/>
      <c r="CC5" s="470"/>
      <c r="CD5" s="470"/>
      <c r="CE5" s="470"/>
      <c r="CF5" s="470"/>
      <c r="CG5" s="470"/>
      <c r="CH5" s="470"/>
      <c r="CI5" s="470"/>
      <c r="CJ5" s="470"/>
      <c r="CK5" s="470"/>
      <c r="CL5" s="470"/>
      <c r="CM5" s="470"/>
      <c r="CN5" s="470"/>
      <c r="CO5" s="470"/>
      <c r="CP5" s="470"/>
      <c r="CQ5" s="470"/>
      <c r="CR5" s="470"/>
      <c r="CS5" s="470"/>
      <c r="CT5" s="470"/>
      <c r="CU5" s="470"/>
      <c r="CV5" s="470"/>
      <c r="CW5" s="470"/>
      <c r="CX5" s="470"/>
      <c r="CY5" s="470"/>
      <c r="CZ5" s="470"/>
      <c r="DA5" s="470"/>
      <c r="DB5" s="512"/>
      <c r="DC5" s="512"/>
      <c r="DD5" s="512"/>
      <c r="DE5" s="512"/>
      <c r="DF5" s="512"/>
      <c r="DG5" s="512"/>
      <c r="DH5" s="470"/>
      <c r="DI5" s="470"/>
      <c r="DJ5" s="470"/>
      <c r="DK5" s="470"/>
      <c r="DL5" s="470"/>
      <c r="DN5" s="470"/>
      <c r="DO5" s="470"/>
      <c r="DP5" s="1156"/>
      <c r="DQ5" s="1691"/>
    </row>
    <row r="6" spans="1:123" s="471" customFormat="1" ht="15.75" thickBot="1" x14ac:dyDescent="0.3">
      <c r="A6" s="1668"/>
      <c r="B6" s="1156"/>
      <c r="C6" s="1156"/>
      <c r="D6" s="218"/>
      <c r="F6" s="420"/>
      <c r="G6" s="1156"/>
      <c r="H6" s="474"/>
      <c r="I6" s="1156"/>
      <c r="J6" s="1156"/>
      <c r="K6" s="1156"/>
      <c r="L6" s="1156"/>
      <c r="M6" s="1156"/>
      <c r="N6" s="1156"/>
      <c r="Q6" s="1156"/>
      <c r="R6" s="475"/>
      <c r="S6" s="1156"/>
      <c r="T6" s="1156"/>
      <c r="U6" s="1156"/>
      <c r="V6" s="1156"/>
      <c r="W6" s="1156"/>
      <c r="X6" s="1156"/>
      <c r="Y6" s="1156"/>
      <c r="Z6" s="1156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2"/>
      <c r="AP6" s="162"/>
      <c r="AQ6" s="162"/>
      <c r="AR6" s="162"/>
      <c r="AS6" s="162"/>
      <c r="AT6" s="162"/>
      <c r="AU6" s="1156"/>
      <c r="AV6" s="163"/>
      <c r="AW6" s="1156"/>
      <c r="AX6" s="161"/>
      <c r="AY6" s="161"/>
      <c r="AZ6" s="161"/>
      <c r="BA6" s="161"/>
      <c r="BB6" s="1156"/>
      <c r="BC6" s="1156"/>
      <c r="BD6" s="1156"/>
      <c r="BE6" s="1156"/>
      <c r="BF6" s="1156"/>
      <c r="BG6" s="161"/>
      <c r="BH6" s="161"/>
      <c r="BI6" s="161"/>
      <c r="BJ6" s="161"/>
      <c r="BK6" s="161"/>
      <c r="BL6" s="1156"/>
      <c r="BM6" s="1156"/>
      <c r="BN6" s="1156"/>
      <c r="BO6" s="1156"/>
      <c r="BP6" s="1156"/>
      <c r="BQ6" s="1156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470"/>
      <c r="CC6" s="470"/>
      <c r="CD6" s="470"/>
      <c r="CE6" s="470"/>
      <c r="CF6" s="470"/>
      <c r="CG6" s="470"/>
      <c r="CH6" s="470"/>
      <c r="CI6" s="470"/>
      <c r="CJ6" s="470"/>
      <c r="CK6" s="470"/>
      <c r="CL6" s="470"/>
      <c r="CM6" s="470"/>
      <c r="CN6" s="470"/>
      <c r="CO6" s="470"/>
      <c r="CP6" s="470"/>
      <c r="CQ6" s="470"/>
      <c r="CR6" s="470"/>
      <c r="CS6" s="470"/>
      <c r="CT6" s="470"/>
      <c r="CU6" s="470"/>
      <c r="CV6" s="470"/>
      <c r="CW6" s="470"/>
      <c r="CX6" s="470"/>
      <c r="CY6" s="470"/>
      <c r="CZ6" s="470"/>
      <c r="DA6" s="470"/>
      <c r="DB6" s="512"/>
      <c r="DC6" s="512"/>
      <c r="DD6" s="512"/>
      <c r="DE6" s="512"/>
      <c r="DF6" s="512"/>
      <c r="DG6" s="512"/>
      <c r="DH6" s="470"/>
      <c r="DI6" s="470"/>
      <c r="DJ6" s="470"/>
      <c r="DK6" s="470"/>
      <c r="DL6" s="470"/>
      <c r="DN6" s="470"/>
      <c r="DO6" s="470"/>
      <c r="DP6" s="1156"/>
      <c r="DQ6" s="1691"/>
    </row>
    <row r="7" spans="1:123" s="471" customFormat="1" ht="37.5" customHeight="1" thickBot="1" x14ac:dyDescent="0.3">
      <c r="A7" s="1668"/>
      <c r="B7" s="1156"/>
      <c r="C7" s="1156"/>
      <c r="D7" s="218"/>
      <c r="F7" s="420"/>
      <c r="G7" s="1156"/>
      <c r="H7" s="474"/>
      <c r="I7" s="1156"/>
      <c r="J7" s="1156"/>
      <c r="K7" s="1156"/>
      <c r="L7" s="1156"/>
      <c r="M7" s="1156"/>
      <c r="N7" s="1156"/>
      <c r="Q7" s="1156"/>
      <c r="R7" s="475"/>
      <c r="S7" s="1156"/>
      <c r="T7" s="163"/>
      <c r="U7" s="1156"/>
      <c r="V7" s="1156"/>
      <c r="W7" s="1156"/>
      <c r="X7" s="1156"/>
      <c r="Y7" s="1156"/>
      <c r="Z7" s="1156"/>
      <c r="AA7" s="164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2"/>
      <c r="AP7" s="162"/>
      <c r="AQ7" s="162"/>
      <c r="AR7" s="162"/>
      <c r="AS7" s="162"/>
      <c r="AT7" s="162"/>
      <c r="AU7" s="1156"/>
      <c r="AV7" s="163"/>
      <c r="AW7" s="1156"/>
      <c r="AX7" s="161"/>
      <c r="AY7" s="161"/>
      <c r="AZ7" s="161"/>
      <c r="BA7" s="161"/>
      <c r="BB7" s="1156"/>
      <c r="BC7" s="1156"/>
      <c r="BD7" s="1156"/>
      <c r="BE7" s="1156"/>
      <c r="BF7" s="1156"/>
      <c r="BG7" s="1156"/>
      <c r="BH7" s="1156"/>
      <c r="BI7" s="1156"/>
      <c r="BJ7" s="1457"/>
      <c r="BK7" s="1156"/>
      <c r="BL7" s="1156"/>
      <c r="BM7" s="1156"/>
      <c r="BN7" s="1156"/>
      <c r="BO7" s="1156"/>
      <c r="BP7" s="1156"/>
      <c r="BQ7" s="1156"/>
      <c r="BR7" s="165" t="s">
        <v>4567</v>
      </c>
      <c r="BS7" s="166" t="s">
        <v>4618</v>
      </c>
      <c r="BT7" s="209">
        <v>2025</v>
      </c>
      <c r="BU7" s="161"/>
      <c r="BV7" s="161"/>
      <c r="BW7" s="161"/>
      <c r="BX7" s="161"/>
      <c r="BY7" s="161"/>
      <c r="BZ7" s="161"/>
      <c r="CA7" s="161"/>
      <c r="CB7" s="470"/>
      <c r="CC7" s="470"/>
      <c r="CD7" s="470"/>
      <c r="CE7" s="470"/>
      <c r="CF7" s="470"/>
      <c r="CG7" s="470"/>
      <c r="CH7" s="470"/>
      <c r="CI7" s="470"/>
      <c r="CJ7" s="470"/>
      <c r="CK7" s="470"/>
      <c r="CL7" s="470"/>
      <c r="CM7" s="470"/>
      <c r="CN7" s="470"/>
      <c r="CO7" s="470"/>
      <c r="CP7" s="470"/>
      <c r="CQ7" s="470"/>
      <c r="CR7" s="470"/>
      <c r="CS7" s="470"/>
      <c r="CT7" s="470"/>
      <c r="CU7" s="470"/>
      <c r="CV7" s="470"/>
      <c r="CW7" s="470"/>
      <c r="CX7" s="470"/>
      <c r="CY7" s="470"/>
      <c r="CZ7" s="470"/>
      <c r="DA7" s="470"/>
      <c r="DB7" s="512"/>
      <c r="DC7" s="512"/>
      <c r="DD7" s="512"/>
      <c r="DE7" s="512"/>
      <c r="DF7" s="512"/>
      <c r="DG7" s="512"/>
      <c r="DH7" s="470"/>
      <c r="DI7" s="470"/>
      <c r="DJ7" s="470"/>
      <c r="DK7" s="470"/>
      <c r="DL7" s="470"/>
      <c r="DN7" s="470"/>
      <c r="DO7" s="470"/>
      <c r="DP7" s="1156"/>
      <c r="DQ7" s="1691"/>
    </row>
    <row r="8" spans="1:123" s="471" customFormat="1" ht="21" customHeight="1" thickBot="1" x14ac:dyDescent="0.3">
      <c r="A8" s="1668"/>
      <c r="B8" s="1156"/>
      <c r="C8" s="1156"/>
      <c r="D8" s="218"/>
      <c r="E8" s="478"/>
      <c r="F8" s="479"/>
      <c r="G8" s="1156"/>
      <c r="H8" s="474"/>
      <c r="I8" s="1156"/>
      <c r="J8" s="1156"/>
      <c r="K8" s="1156"/>
      <c r="L8" s="1156"/>
      <c r="M8" s="1156"/>
      <c r="N8" s="1156"/>
      <c r="Q8" s="1156"/>
      <c r="R8" s="475"/>
      <c r="S8" s="1156"/>
      <c r="T8" s="1156"/>
      <c r="U8" s="1156"/>
      <c r="V8" s="163"/>
      <c r="W8" s="1156"/>
      <c r="X8" s="1156"/>
      <c r="Y8" s="1156"/>
      <c r="Z8" s="1458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4"/>
      <c r="AM8" s="161"/>
      <c r="AN8" s="161"/>
      <c r="AO8" s="162"/>
      <c r="AP8" s="162"/>
      <c r="AQ8" s="162"/>
      <c r="AR8" s="162"/>
      <c r="AS8" s="162"/>
      <c r="AT8" s="162"/>
      <c r="AU8" s="1156"/>
      <c r="AV8" s="163"/>
      <c r="AW8" s="1156"/>
      <c r="AX8" s="161"/>
      <c r="AY8" s="161"/>
      <c r="AZ8" s="161"/>
      <c r="BA8" s="161"/>
      <c r="BB8" s="1156"/>
      <c r="BC8" s="1156"/>
      <c r="BD8" s="1156"/>
      <c r="BE8" s="1156"/>
      <c r="BF8" s="1156"/>
      <c r="BG8" s="161"/>
      <c r="BH8" s="161"/>
      <c r="BI8" s="161"/>
      <c r="BJ8" s="161"/>
      <c r="BK8" s="161"/>
      <c r="BL8" s="1156"/>
      <c r="BM8" s="1156"/>
      <c r="BN8" s="1156"/>
      <c r="BO8" s="1156"/>
      <c r="BP8" s="1156"/>
      <c r="BQ8" s="1156"/>
      <c r="BR8" s="206">
        <f>IFERROR(VLOOKUP(F9,'[17]CONCEPTOS Y PARAMETROS'!J:K,2,0),0)</f>
        <v>9</v>
      </c>
      <c r="BS8" s="207">
        <f>IFERROR(VLOOKUP(BR8,'CONCEPTOS Y PARAMETROS'!K:L,2,0),0)</f>
        <v>5</v>
      </c>
      <c r="BT8" s="161"/>
      <c r="BU8" s="161"/>
      <c r="BV8" s="161"/>
      <c r="BW8" s="161"/>
      <c r="BX8" s="161"/>
      <c r="BY8" s="161"/>
      <c r="BZ8" s="161"/>
      <c r="CA8" s="161"/>
      <c r="CB8" s="480"/>
      <c r="CC8" s="470"/>
      <c r="CD8" s="470"/>
      <c r="CE8" s="470"/>
      <c r="CF8" s="470"/>
      <c r="CG8" s="470"/>
      <c r="CH8" s="470"/>
      <c r="CI8" s="470"/>
      <c r="CJ8" s="470"/>
      <c r="CK8" s="470"/>
      <c r="CL8" s="470"/>
      <c r="CM8" s="470"/>
      <c r="CN8" s="470"/>
      <c r="CO8" s="470"/>
      <c r="CP8" s="470"/>
      <c r="CQ8" s="470"/>
      <c r="CR8" s="470"/>
      <c r="CS8" s="470"/>
      <c r="CT8" s="470"/>
      <c r="CU8" s="470"/>
      <c r="CV8" s="470"/>
      <c r="CW8" s="470"/>
      <c r="CX8" s="470"/>
      <c r="CY8" s="470"/>
      <c r="CZ8" s="470"/>
      <c r="DA8" s="470"/>
      <c r="DB8" s="512"/>
      <c r="DC8" s="512"/>
      <c r="DD8" s="512"/>
      <c r="DE8" s="512"/>
      <c r="DF8" s="512"/>
      <c r="DG8" s="512"/>
      <c r="DH8" s="470"/>
      <c r="DI8" s="470"/>
      <c r="DJ8" s="470"/>
      <c r="DK8" s="470"/>
      <c r="DL8" s="470"/>
      <c r="DN8" s="470"/>
      <c r="DO8" s="470"/>
      <c r="DP8" s="1156"/>
      <c r="DQ8" s="1691"/>
    </row>
    <row r="9" spans="1:123" s="471" customFormat="1" ht="29.25" customHeight="1" thickBot="1" x14ac:dyDescent="0.3">
      <c r="A9" s="481"/>
      <c r="B9" s="481"/>
      <c r="C9" s="481" t="s">
        <v>4626</v>
      </c>
      <c r="D9" s="482"/>
      <c r="E9" s="484" t="s">
        <v>4632</v>
      </c>
      <c r="F9" s="483" t="s">
        <v>2872</v>
      </c>
      <c r="G9" s="484" t="s">
        <v>4633</v>
      </c>
      <c r="H9" s="485">
        <f>BT7</f>
        <v>2025</v>
      </c>
      <c r="I9" s="486"/>
      <c r="J9" s="486"/>
      <c r="K9" s="486"/>
      <c r="L9" s="486"/>
      <c r="M9" s="486"/>
      <c r="N9" s="1156"/>
      <c r="Q9" s="1156"/>
      <c r="R9" s="475"/>
      <c r="S9" s="1156"/>
      <c r="T9" s="1156"/>
      <c r="U9" s="1156"/>
      <c r="V9" s="1156"/>
      <c r="W9" s="1156"/>
      <c r="X9" s="1156"/>
      <c r="Y9" s="1156"/>
      <c r="Z9" s="476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2"/>
      <c r="AP9" s="162"/>
      <c r="AQ9" s="162"/>
      <c r="AR9" s="162"/>
      <c r="AS9" s="162"/>
      <c r="AT9" s="162"/>
      <c r="AU9" s="1156"/>
      <c r="AV9" s="163"/>
      <c r="AW9" s="1156"/>
      <c r="AX9" s="167">
        <f>IF(AND(MONTH(H13)=$BR$8),(AU13+AU13*4/12)/30*180,0)</f>
        <v>0</v>
      </c>
      <c r="AY9" s="161"/>
      <c r="AZ9" s="161"/>
      <c r="BA9" s="161"/>
      <c r="BB9" s="168" t="s">
        <v>4641</v>
      </c>
      <c r="BC9" s="1156"/>
      <c r="BD9" s="1156"/>
      <c r="BE9" s="1156"/>
      <c r="BF9" s="1156"/>
      <c r="BG9" s="161"/>
      <c r="BH9" s="161"/>
      <c r="BI9" s="161"/>
      <c r="BJ9" s="161"/>
      <c r="BK9" s="161"/>
      <c r="BL9" s="1156"/>
      <c r="BM9" s="1156"/>
      <c r="BN9" s="1156"/>
      <c r="BO9" s="1156"/>
      <c r="BP9" s="1156"/>
      <c r="BQ9" s="1156"/>
      <c r="BR9" s="164"/>
      <c r="BS9" s="161"/>
      <c r="BT9" s="161"/>
      <c r="BU9" s="161"/>
      <c r="BV9" s="161"/>
      <c r="BW9" s="161"/>
      <c r="BX9" s="161"/>
      <c r="BY9" s="161"/>
      <c r="BZ9" s="161"/>
      <c r="CA9" s="161"/>
      <c r="CB9" s="470"/>
      <c r="CC9" s="470"/>
      <c r="CD9" s="470"/>
      <c r="CE9" s="470"/>
      <c r="CF9" s="470"/>
      <c r="CG9" s="1805" t="s">
        <v>5502</v>
      </c>
      <c r="CH9" s="1806"/>
      <c r="CI9" s="1806"/>
      <c r="CJ9" s="1806"/>
      <c r="CK9" s="1806"/>
      <c r="CL9" s="1806"/>
      <c r="CM9" s="1806"/>
      <c r="CN9" s="1806"/>
      <c r="CO9" s="1806"/>
      <c r="CP9" s="1807"/>
      <c r="CQ9" s="487"/>
      <c r="CR9" s="487"/>
      <c r="CS9" s="487"/>
      <c r="CT9" s="487"/>
      <c r="CU9" s="470"/>
      <c r="CV9" s="470"/>
      <c r="CW9" s="470"/>
      <c r="CX9" s="470"/>
      <c r="CY9" s="487"/>
      <c r="CZ9" s="487"/>
      <c r="DA9" s="470"/>
      <c r="DB9" s="512"/>
      <c r="DC9" s="512"/>
      <c r="DD9" s="512"/>
      <c r="DE9" s="512"/>
      <c r="DF9" s="512"/>
      <c r="DG9" s="512"/>
      <c r="DH9" s="470"/>
      <c r="DI9" s="470"/>
      <c r="DJ9" s="470"/>
      <c r="DK9" s="470"/>
      <c r="DL9" s="470"/>
      <c r="DN9" s="470"/>
      <c r="DO9" s="470"/>
      <c r="DP9" s="1156"/>
      <c r="DQ9" s="1691"/>
    </row>
    <row r="10" spans="1:123" s="170" customFormat="1" ht="27.75" customHeight="1" thickBot="1" x14ac:dyDescent="0.3">
      <c r="A10" s="169"/>
      <c r="B10" s="169"/>
      <c r="C10" s="169"/>
      <c r="D10" s="218"/>
      <c r="F10" s="420"/>
      <c r="G10" s="169"/>
      <c r="H10" s="424">
        <v>45930</v>
      </c>
      <c r="I10" s="169"/>
      <c r="J10" s="169"/>
      <c r="K10" s="169"/>
      <c r="L10" s="169"/>
      <c r="M10" s="1813" t="s">
        <v>4627</v>
      </c>
      <c r="N10" s="1814"/>
      <c r="O10" s="471"/>
      <c r="P10" s="471"/>
      <c r="Q10" s="169"/>
      <c r="R10" s="272"/>
      <c r="S10" s="169"/>
      <c r="T10" s="169"/>
      <c r="U10" s="169"/>
      <c r="V10" s="169"/>
      <c r="W10" s="169"/>
      <c r="Y10" s="171"/>
      <c r="Z10" s="1810" t="s">
        <v>5488</v>
      </c>
      <c r="AA10" s="1811"/>
      <c r="AB10" s="1811"/>
      <c r="AC10" s="1811"/>
      <c r="AD10" s="1812"/>
      <c r="AE10" s="161"/>
      <c r="AF10" s="161"/>
      <c r="AG10" s="161"/>
      <c r="AH10" s="161"/>
      <c r="AI10" s="161"/>
      <c r="AJ10" s="161"/>
      <c r="AK10" s="161"/>
      <c r="AL10" s="1276" t="s">
        <v>4628</v>
      </c>
      <c r="AM10" s="1277"/>
      <c r="AN10" s="161"/>
      <c r="AO10" s="1278" t="s">
        <v>4634</v>
      </c>
      <c r="AP10" s="1279"/>
      <c r="AQ10" s="1280"/>
      <c r="AR10" s="1280"/>
      <c r="AS10" s="1281"/>
      <c r="AT10" s="162"/>
      <c r="AU10" s="172"/>
      <c r="AV10" s="339"/>
      <c r="AW10" s="172"/>
      <c r="AX10" s="346">
        <f>(((AU17/30+((AU17)/30*(120/12/30)))*180))</f>
        <v>6019.04</v>
      </c>
      <c r="AY10" s="1816" t="s">
        <v>5798</v>
      </c>
      <c r="AZ10" s="1817"/>
      <c r="BA10" s="1818"/>
      <c r="BB10" s="1282">
        <v>0</v>
      </c>
      <c r="BC10" s="1283"/>
      <c r="BD10" s="1284" t="s">
        <v>4660</v>
      </c>
      <c r="BE10" s="1284"/>
      <c r="BF10" s="1285"/>
      <c r="BG10" s="161"/>
      <c r="BH10" s="161"/>
      <c r="BI10" s="161"/>
      <c r="BJ10" s="161"/>
      <c r="BK10" s="161"/>
      <c r="BL10" s="1286"/>
      <c r="BM10" s="1285" t="s">
        <v>4575</v>
      </c>
      <c r="BN10" s="1287"/>
      <c r="BO10" s="1287"/>
      <c r="BP10" s="1288"/>
      <c r="BQ10" s="1156"/>
      <c r="BR10" s="1283"/>
      <c r="BS10" s="1284" t="s">
        <v>14</v>
      </c>
      <c r="BT10" s="1284"/>
      <c r="BU10" s="1285"/>
      <c r="BV10" s="161"/>
      <c r="BW10" s="1289">
        <v>1</v>
      </c>
      <c r="BX10" s="1289"/>
      <c r="BY10" s="131"/>
      <c r="BZ10" s="131">
        <v>2</v>
      </c>
      <c r="CA10" s="131">
        <v>3</v>
      </c>
      <c r="CB10" s="131">
        <v>4</v>
      </c>
      <c r="CC10" s="131">
        <v>5</v>
      </c>
      <c r="CG10" s="347" t="s">
        <v>5491</v>
      </c>
      <c r="CH10" s="347" t="s">
        <v>5491</v>
      </c>
      <c r="CI10" s="488"/>
      <c r="CJ10" s="488"/>
      <c r="CK10" s="488"/>
      <c r="CL10" s="488"/>
      <c r="CM10" s="488"/>
      <c r="CN10" s="347" t="s">
        <v>5491</v>
      </c>
      <c r="CO10" s="348"/>
      <c r="CP10" s="347" t="s">
        <v>5491</v>
      </c>
      <c r="CQ10" s="1489" t="s">
        <v>5491</v>
      </c>
      <c r="CR10" s="1808" t="s">
        <v>5492</v>
      </c>
      <c r="CS10" s="1809"/>
      <c r="CT10" s="349"/>
      <c r="CU10" s="470"/>
      <c r="CV10" s="470"/>
      <c r="CW10" s="470"/>
      <c r="CX10" s="470"/>
      <c r="CY10" s="349"/>
      <c r="CZ10" s="349"/>
      <c r="DB10" s="633"/>
      <c r="DC10" s="633"/>
      <c r="DD10" s="633"/>
      <c r="DE10" s="633"/>
      <c r="DF10" s="633"/>
      <c r="DG10" s="633"/>
      <c r="DP10" s="169"/>
      <c r="DQ10" s="169"/>
    </row>
    <row r="11" spans="1:123" s="471" customFormat="1" ht="78.75" customHeight="1" thickBot="1" x14ac:dyDescent="0.3">
      <c r="A11" s="173" t="s">
        <v>2840</v>
      </c>
      <c r="B11" s="174" t="s">
        <v>0</v>
      </c>
      <c r="C11" s="175" t="s">
        <v>2</v>
      </c>
      <c r="D11" s="219" t="s">
        <v>3</v>
      </c>
      <c r="E11" s="175" t="s">
        <v>4619</v>
      </c>
      <c r="F11" s="217" t="s">
        <v>4580</v>
      </c>
      <c r="G11" s="175" t="s">
        <v>4623</v>
      </c>
      <c r="H11" s="175" t="s">
        <v>4</v>
      </c>
      <c r="I11" s="175" t="s">
        <v>4625</v>
      </c>
      <c r="J11" s="175" t="s">
        <v>4624</v>
      </c>
      <c r="K11" s="175" t="s">
        <v>4574</v>
      </c>
      <c r="L11" s="175" t="s">
        <v>5514</v>
      </c>
      <c r="M11" s="1290" t="s">
        <v>4636</v>
      </c>
      <c r="N11" s="1290" t="s">
        <v>4573</v>
      </c>
      <c r="O11" s="175" t="s">
        <v>5</v>
      </c>
      <c r="P11" s="175" t="s">
        <v>5101</v>
      </c>
      <c r="Q11" s="175" t="s">
        <v>6</v>
      </c>
      <c r="R11" s="271" t="s">
        <v>5047</v>
      </c>
      <c r="S11" s="174" t="s">
        <v>1</v>
      </c>
      <c r="T11" s="175" t="s">
        <v>7</v>
      </c>
      <c r="U11" s="175" t="s">
        <v>4571</v>
      </c>
      <c r="V11" s="175" t="s">
        <v>4572</v>
      </c>
      <c r="W11" s="175" t="s">
        <v>4570</v>
      </c>
      <c r="X11" s="375" t="s">
        <v>2845</v>
      </c>
      <c r="Y11" s="175" t="s">
        <v>4614</v>
      </c>
      <c r="Z11" s="176" t="s">
        <v>2862</v>
      </c>
      <c r="AA11" s="177" t="s">
        <v>2851</v>
      </c>
      <c r="AB11" s="178" t="s">
        <v>2877</v>
      </c>
      <c r="AC11" s="178" t="s">
        <v>4491</v>
      </c>
      <c r="AD11" s="212" t="s">
        <v>2854</v>
      </c>
      <c r="AE11" s="213" t="s">
        <v>5489</v>
      </c>
      <c r="AF11" s="177" t="s">
        <v>5937</v>
      </c>
      <c r="AG11" s="177" t="s">
        <v>5938</v>
      </c>
      <c r="AH11" s="178" t="s">
        <v>5939</v>
      </c>
      <c r="AI11" s="178" t="s">
        <v>5940</v>
      </c>
      <c r="AJ11" s="212" t="s">
        <v>5942</v>
      </c>
      <c r="AK11" s="212" t="s">
        <v>5941</v>
      </c>
      <c r="AL11" s="1291" t="s">
        <v>4629</v>
      </c>
      <c r="AM11" s="1292" t="s">
        <v>4630</v>
      </c>
      <c r="AN11" s="211" t="s">
        <v>4639</v>
      </c>
      <c r="AO11" s="1293" t="s">
        <v>4478</v>
      </c>
      <c r="AP11" s="1294" t="s">
        <v>4640</v>
      </c>
      <c r="AQ11" s="1293" t="s">
        <v>4481</v>
      </c>
      <c r="AR11" s="1293" t="s">
        <v>4479</v>
      </c>
      <c r="AS11" s="1295" t="s">
        <v>4480</v>
      </c>
      <c r="AT11" s="210" t="s">
        <v>4617</v>
      </c>
      <c r="AU11" s="203" t="s">
        <v>15</v>
      </c>
      <c r="AV11" s="489" t="s">
        <v>5081</v>
      </c>
      <c r="AW11" s="342" t="s">
        <v>9</v>
      </c>
      <c r="AX11" s="582" t="s">
        <v>10</v>
      </c>
      <c r="AY11" s="1296" t="s">
        <v>5794</v>
      </c>
      <c r="AZ11" s="1297" t="s">
        <v>5795</v>
      </c>
      <c r="BA11" s="1298" t="s">
        <v>5799</v>
      </c>
      <c r="BB11" s="582" t="s">
        <v>2878</v>
      </c>
      <c r="BC11" s="1299" t="s">
        <v>4656</v>
      </c>
      <c r="BD11" s="204" t="s">
        <v>4654</v>
      </c>
      <c r="BE11" s="1300" t="s">
        <v>4657</v>
      </c>
      <c r="BF11" s="204" t="s">
        <v>4655</v>
      </c>
      <c r="BG11" s="1499" t="s">
        <v>4637</v>
      </c>
      <c r="BH11" s="168" t="s">
        <v>7553</v>
      </c>
      <c r="BI11" s="168" t="s">
        <v>5930</v>
      </c>
      <c r="BJ11" s="168" t="s">
        <v>7634</v>
      </c>
      <c r="BK11" s="168" t="s">
        <v>7233</v>
      </c>
      <c r="BL11" s="203" t="s">
        <v>4577</v>
      </c>
      <c r="BM11" s="1301" t="s">
        <v>4578</v>
      </c>
      <c r="BN11" s="1301" t="s">
        <v>4579</v>
      </c>
      <c r="BO11" s="1301" t="s">
        <v>5100</v>
      </c>
      <c r="BP11" s="1301" t="s">
        <v>5099</v>
      </c>
      <c r="BQ11" s="179" t="s">
        <v>4576</v>
      </c>
      <c r="BR11" s="1302" t="s">
        <v>4581</v>
      </c>
      <c r="BS11" s="1301" t="s">
        <v>4582</v>
      </c>
      <c r="BT11" s="1301" t="s">
        <v>4583</v>
      </c>
      <c r="BU11" s="204" t="s">
        <v>2876</v>
      </c>
      <c r="BV11" s="581" t="s">
        <v>4635</v>
      </c>
      <c r="BW11" s="94" t="s">
        <v>4662</v>
      </c>
      <c r="BX11" s="94" t="s">
        <v>5933</v>
      </c>
      <c r="BY11" s="94" t="s">
        <v>2859</v>
      </c>
      <c r="BZ11" s="94" t="s">
        <v>6838</v>
      </c>
      <c r="CA11" s="94" t="s">
        <v>4661</v>
      </c>
      <c r="CB11" s="94" t="s">
        <v>4568</v>
      </c>
      <c r="CC11" s="94" t="s">
        <v>4569</v>
      </c>
      <c r="CG11" s="350" t="s">
        <v>5493</v>
      </c>
      <c r="CH11" s="352" t="s">
        <v>7637</v>
      </c>
      <c r="CI11" s="592" t="s">
        <v>4637</v>
      </c>
      <c r="CJ11" s="1523" t="s">
        <v>7291</v>
      </c>
      <c r="CK11" s="350" t="s">
        <v>5494</v>
      </c>
      <c r="CL11" s="350" t="s">
        <v>7619</v>
      </c>
      <c r="CM11" s="350" t="s">
        <v>7620</v>
      </c>
      <c r="CN11" s="351" t="s">
        <v>5495</v>
      </c>
      <c r="CO11" s="350" t="s">
        <v>5496</v>
      </c>
      <c r="CP11" s="350" t="s">
        <v>5497</v>
      </c>
      <c r="CQ11" s="350" t="s">
        <v>5499</v>
      </c>
      <c r="CR11" s="353" t="s">
        <v>5494</v>
      </c>
      <c r="CS11" s="353" t="s">
        <v>5500</v>
      </c>
      <c r="CT11" s="354" t="s">
        <v>5501</v>
      </c>
      <c r="CU11" s="470"/>
      <c r="CV11" s="470"/>
      <c r="CW11" s="470"/>
      <c r="CX11" s="470"/>
      <c r="CY11" s="1437" t="s">
        <v>7216</v>
      </c>
      <c r="CZ11" s="1436" t="s">
        <v>7217</v>
      </c>
      <c r="DA11" s="480"/>
      <c r="DB11" s="1599" t="s">
        <v>6118</v>
      </c>
      <c r="DC11" s="1599" t="s">
        <v>7477</v>
      </c>
      <c r="DD11" s="1599" t="s">
        <v>6119</v>
      </c>
      <c r="DE11" s="1599" t="s">
        <v>6120</v>
      </c>
      <c r="DF11" s="1599" t="s">
        <v>6121</v>
      </c>
      <c r="DG11" s="1599" t="s">
        <v>7376</v>
      </c>
      <c r="DH11" s="1141"/>
      <c r="DI11" s="470"/>
      <c r="DJ11" s="470"/>
      <c r="DK11" s="470"/>
      <c r="DL11" s="470"/>
      <c r="DN11" s="375" t="s">
        <v>6485</v>
      </c>
      <c r="DO11" s="878" t="s">
        <v>5922</v>
      </c>
      <c r="DP11" s="878" t="s">
        <v>5924</v>
      </c>
      <c r="DQ11" s="878" t="s">
        <v>7616</v>
      </c>
      <c r="DR11" s="1819" t="s">
        <v>5929</v>
      </c>
      <c r="DS11" s="1820"/>
    </row>
    <row r="12" spans="1:123" s="471" customFormat="1" ht="21.75" customHeight="1" thickBot="1" x14ac:dyDescent="0.3">
      <c r="A12" s="391" t="s">
        <v>4627</v>
      </c>
      <c r="B12" s="499"/>
      <c r="C12" s="500"/>
      <c r="D12" s="220"/>
      <c r="E12" s="490"/>
      <c r="F12" s="423"/>
      <c r="G12" s="491"/>
      <c r="H12" s="492"/>
      <c r="I12" s="180"/>
      <c r="J12" s="180"/>
      <c r="K12" s="180"/>
      <c r="L12" s="180"/>
      <c r="M12" s="180"/>
      <c r="N12" s="180"/>
      <c r="O12" s="477"/>
      <c r="P12" s="477"/>
      <c r="Q12" s="180"/>
      <c r="R12" s="493"/>
      <c r="S12" s="180"/>
      <c r="T12" s="180"/>
      <c r="U12" s="180"/>
      <c r="V12" s="180"/>
      <c r="W12" s="180"/>
      <c r="X12" s="180"/>
      <c r="Y12" s="180"/>
      <c r="Z12" s="494"/>
      <c r="AA12" s="181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3"/>
      <c r="AP12" s="183"/>
      <c r="AQ12" s="183"/>
      <c r="AR12" s="183"/>
      <c r="AS12" s="183"/>
      <c r="AT12" s="183"/>
      <c r="AU12" s="180"/>
      <c r="AV12" s="339"/>
      <c r="AW12" s="180"/>
      <c r="AX12" s="182"/>
      <c r="AY12" s="182"/>
      <c r="AZ12" s="584"/>
      <c r="BA12" s="584"/>
      <c r="BB12" s="180"/>
      <c r="BC12" s="180"/>
      <c r="BD12" s="180"/>
      <c r="BE12" s="180"/>
      <c r="BF12" s="180"/>
      <c r="BG12" s="182"/>
      <c r="BH12" s="182"/>
      <c r="BI12" s="182"/>
      <c r="BJ12" s="182"/>
      <c r="BK12" s="182"/>
      <c r="BL12" s="180"/>
      <c r="BM12" s="180"/>
      <c r="BN12" s="180"/>
      <c r="BO12" s="180"/>
      <c r="BP12" s="180"/>
      <c r="BQ12" s="180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U12" s="470"/>
      <c r="CV12" s="470"/>
      <c r="CW12" s="470"/>
      <c r="CX12" s="470"/>
      <c r="CY12" s="478"/>
      <c r="CZ12" s="478"/>
      <c r="DA12" s="480"/>
      <c r="DB12" s="1152"/>
      <c r="DC12" s="1152"/>
      <c r="DD12" s="1152"/>
      <c r="DE12" s="1152"/>
      <c r="DF12" s="1152"/>
      <c r="DG12" s="1152"/>
      <c r="DH12" s="470"/>
      <c r="DI12" s="470"/>
      <c r="DJ12" s="470"/>
      <c r="DK12" s="470"/>
      <c r="DL12" s="470"/>
      <c r="DP12" s="1156"/>
      <c r="DQ12" s="1691"/>
    </row>
    <row r="13" spans="1:123" s="471" customFormat="1" ht="21.95" customHeight="1" x14ac:dyDescent="0.25">
      <c r="A13" s="1396" t="s">
        <v>2846</v>
      </c>
      <c r="B13" s="194">
        <v>1</v>
      </c>
      <c r="C13" s="377">
        <v>19591141</v>
      </c>
      <c r="D13" s="378" t="s">
        <v>5206</v>
      </c>
      <c r="E13" s="366" t="s">
        <v>4622</v>
      </c>
      <c r="F13" s="421">
        <v>32351</v>
      </c>
      <c r="G13" s="366" t="s">
        <v>4620</v>
      </c>
      <c r="H13" s="421">
        <v>44537</v>
      </c>
      <c r="I13" s="1397">
        <f>IF(AND(YEAR(H13)&lt;YEAR($H$10),MONTH(H13)&gt;$BR$8),YEAR($H$10)-YEAR(H13)-1,IF(OR(H13="",YEAR(H13)&gt;YEAR($H$10)),0,YEAR($H$10)-YEAR(H13)))</f>
        <v>3</v>
      </c>
      <c r="J13" s="379">
        <v>0</v>
      </c>
      <c r="K13" s="1397">
        <f>I13+J13</f>
        <v>3</v>
      </c>
      <c r="L13" s="1131" t="s">
        <v>5515</v>
      </c>
      <c r="M13" s="379" t="s">
        <v>4932</v>
      </c>
      <c r="N13" s="379"/>
      <c r="O13" s="380" t="s">
        <v>3636</v>
      </c>
      <c r="P13" s="379" t="s">
        <v>5209</v>
      </c>
      <c r="Q13" s="1398" t="str">
        <f>IFERROR(VLOOKUP(O13,CARGOS!A:E,2,0),"")</f>
        <v>90008</v>
      </c>
      <c r="R13" s="1399" t="s">
        <v>5048</v>
      </c>
      <c r="S13" s="366" t="s">
        <v>2835</v>
      </c>
      <c r="T13" s="831">
        <v>0</v>
      </c>
      <c r="U13" s="343">
        <v>0</v>
      </c>
      <c r="V13" s="831">
        <f>T13-U13</f>
        <v>0</v>
      </c>
      <c r="W13" s="343">
        <f>ROUND(V13/2,2)</f>
        <v>0</v>
      </c>
      <c r="X13" s="366" t="s">
        <v>2885</v>
      </c>
      <c r="Y13" s="366"/>
      <c r="Z13" s="366">
        <v>0</v>
      </c>
      <c r="AA13" s="831">
        <f>ROUND(IF(H13&lt;&gt;"",VLOOKUP(SUM(I13+J13),'CONCEPTOS Y PARAMETROS'!F:G,2,0)*V13,0),2)</f>
        <v>0</v>
      </c>
      <c r="AB13" s="1400">
        <f>IF(S13&lt;&gt;"",IF(M13="",'CONCEPTOS Y PARAMETROS'!$C$4,0),0)</f>
        <v>0</v>
      </c>
      <c r="AC13" s="1400">
        <f>IF(S13&lt;&gt;"",IF(M13="",'CONCEPTOS Y PARAMETROS'!$C$7*Z13,0),0)</f>
        <v>0</v>
      </c>
      <c r="AD13" s="831">
        <f>IFERROR(ROUND(VLOOKUP($X13,'CONCEPTOS Y PARAMETROS'!H:I,2,0)*($V13+AA13+AB13+AC13),2),0)</f>
        <v>0</v>
      </c>
      <c r="AE13" s="831">
        <f>SUM(AA13:AD13)</f>
        <v>0</v>
      </c>
      <c r="AF13" s="831">
        <f>ROUND(AA13/2,2)</f>
        <v>0</v>
      </c>
      <c r="AG13" s="831">
        <f>ROUND(AA13-AF13,2)</f>
        <v>0</v>
      </c>
      <c r="AH13" s="831">
        <f>ROUND(AB13/2,2)</f>
        <v>0</v>
      </c>
      <c r="AI13" s="831">
        <f>ROUND(AB13-AH13,2)</f>
        <v>0</v>
      </c>
      <c r="AJ13" s="831">
        <f>ROUND(AD13/2,2)</f>
        <v>0</v>
      </c>
      <c r="AK13" s="831">
        <f>ROUND(AD13-AJ13,2)</f>
        <v>0</v>
      </c>
      <c r="AL13" s="343">
        <f>ROUND(AF13+AH13+AJ13+AC13,2)</f>
        <v>0</v>
      </c>
      <c r="AM13" s="343">
        <f>ROUND(AG13+AI13+AK13,2)</f>
        <v>0</v>
      </c>
      <c r="AN13" s="344">
        <v>0</v>
      </c>
      <c r="AO13" s="1401">
        <f>'CONCEPTOS Y PARAMETROS'!$C$18*AN13</f>
        <v>0</v>
      </c>
      <c r="AP13" s="344">
        <v>0</v>
      </c>
      <c r="AQ13" s="1401">
        <f>'CONCEPTOS Y PARAMETROS'!$C$21*AP13</f>
        <v>0</v>
      </c>
      <c r="AR13" s="1402">
        <v>0</v>
      </c>
      <c r="AS13" s="1402">
        <v>0</v>
      </c>
      <c r="AT13" s="1402">
        <f>+AO13+AQ13+AR13+AS13</f>
        <v>0</v>
      </c>
      <c r="AU13" s="343">
        <f>V13+AE13+AW13</f>
        <v>0</v>
      </c>
      <c r="AV13" s="1403">
        <v>0</v>
      </c>
      <c r="AW13" s="343">
        <f>ROUND(IF(O13="VIGILANTE",(V13+AE13)*30%,0),2)</f>
        <v>0</v>
      </c>
      <c r="AX13" s="831">
        <f>IF(T13&lt;&gt;"0",(ROUND(IF(A13="EMPLEADO",eval_formula('CONCEPTOS Y PARAMETROS'!$C$8,NOMINA!V13,NOMINA!$AU13,NOMINA!I13+NOMINA!J13),eval_formula('CONCEPTOS Y PARAMETROS'!$D$8,NOMINA!V13,NOMINA!$AU13,NOMINA!I13+NOMINA!J13)),2))*IF(H13&lt;&gt;"",IF(MONTH(H13)=$BR$8,IF(YEAR(H13)&lt;$BT$7,1,0),0)))</f>
        <v>0</v>
      </c>
      <c r="AY13" s="831">
        <v>180</v>
      </c>
      <c r="AZ13" s="831">
        <f>IFERROR(VLOOKUP(AY13,'CONCEPTOS Y PARAMETROS'!Y:Z,2,0),0)</f>
        <v>150</v>
      </c>
      <c r="BA13" s="831">
        <f>(((AU13))/30*AY13/12+(AU13))/30*AZ13</f>
        <v>0</v>
      </c>
      <c r="BB13" s="831">
        <f>ROUND(AU13/30*$BB$10,2)</f>
        <v>0</v>
      </c>
      <c r="BC13" s="344">
        <v>0</v>
      </c>
      <c r="BD13" s="831" t="str">
        <f>IF(BC13&gt;0,((((((V13+AA13+AB13+AC13+AD13)/30)/8)*50%)+((((V13+AA13+AB13+AC13+AD13)/30)/8)))*30%+(((((V13+AA13+AB13+AC13+AD13)/30)/8)*50%)+((((V13+AA13+AB13+AC13+AD13)/30)/8))))*BC13,"0")</f>
        <v>0</v>
      </c>
      <c r="BE13" s="344">
        <v>0</v>
      </c>
      <c r="BF13" s="831">
        <f>ROUND(IF(BE13&gt;0,(((V13+AA13+AB13+AC13+AD13)/30)*50%+((V13+AA13+AB13+AC13+AD13)/30))*BE13,"0"),2)</f>
        <v>0</v>
      </c>
      <c r="BG13" s="343">
        <v>0</v>
      </c>
      <c r="BH13" s="343">
        <f>+IF(AND(Z13&gt;0,G13="M"),12.5,0)</f>
        <v>0</v>
      </c>
      <c r="BI13" s="344">
        <f>+Z13</f>
        <v>0</v>
      </c>
      <c r="BJ13" s="343">
        <f>+IF(BI13&lt;&gt;0,(BI13*12.5),0)</f>
        <v>0</v>
      </c>
      <c r="BK13" s="343">
        <v>0</v>
      </c>
      <c r="BL13" s="1404">
        <f>ROUND(IF(M13="", (((AU13*12)/52)*4%)*$BS$8,0),2)</f>
        <v>0</v>
      </c>
      <c r="BM13" s="1404">
        <f>ROUND(IF(M13="",(((AU13*12)/52)*0.5%)*$BS$8,0),2)</f>
        <v>0</v>
      </c>
      <c r="BN13" s="1404">
        <f>ROUND(IF(M13="",(AU13*1%),0),2)</f>
        <v>0</v>
      </c>
      <c r="BO13" s="1404">
        <v>0</v>
      </c>
      <c r="BP13" s="1404">
        <v>0</v>
      </c>
      <c r="BQ13" s="1405">
        <f>ROUND(SUM(BL13:BP13),2)</f>
        <v>0</v>
      </c>
      <c r="BR13" s="1404">
        <f>ROUND(IF(M13="", (((AU13*12)/52)*9%)*$BS$8,0),2)</f>
        <v>0</v>
      </c>
      <c r="BS13" s="1404">
        <f>ROUND(IF(M13="",(((AU13*12)/52)*2%)*$BS$8,0),2)</f>
        <v>0</v>
      </c>
      <c r="BT13" s="1404">
        <f>ROUND(IF(M13="",(BN13*2),0),2)</f>
        <v>0</v>
      </c>
      <c r="BU13" s="831">
        <v>0</v>
      </c>
      <c r="BV13" s="343">
        <f t="shared" ref="BV13:BV41" si="0">ROUND(SUM(BR13:BT13),2)</f>
        <v>0</v>
      </c>
      <c r="BW13" s="664">
        <f t="shared" ref="BW13:BW41" si="1">BQ13+BV13</f>
        <v>0</v>
      </c>
      <c r="BX13" s="343">
        <f>BA13/4</f>
        <v>0</v>
      </c>
      <c r="BY13" s="343">
        <v>0</v>
      </c>
      <c r="BZ13" s="664">
        <f>+BX13+BY13</f>
        <v>0</v>
      </c>
      <c r="CA13" s="1406">
        <v>0</v>
      </c>
      <c r="CB13" s="664">
        <f>W13+AL13-BQ13</f>
        <v>0</v>
      </c>
      <c r="CC13" s="665">
        <f>ROUND((W13+AM13+AW13+AX13+BB13+BD13+BF13+BK13+BG13+BH13+BJ13+AT13),2)</f>
        <v>0</v>
      </c>
      <c r="CF13" s="470">
        <f>+CI13+CK13</f>
        <v>0</v>
      </c>
      <c r="CG13" s="495">
        <f>W13+AL13+BG13-BQ13</f>
        <v>0</v>
      </c>
      <c r="CH13" s="498">
        <f>AT13+BJ13</f>
        <v>0</v>
      </c>
      <c r="CI13" s="1490">
        <f>BG13</f>
        <v>0</v>
      </c>
      <c r="CJ13" s="1500">
        <v>0</v>
      </c>
      <c r="CK13" s="495">
        <f>W13+AM13+BG13</f>
        <v>0</v>
      </c>
      <c r="CL13" s="1689">
        <f>ROUND(IF(CK13&gt;600,CK13*48%,CK13),2)</f>
        <v>0</v>
      </c>
      <c r="CM13" s="1689">
        <f>+CK13-CL13</f>
        <v>0</v>
      </c>
      <c r="CN13" s="496">
        <f>BF13+BB13</f>
        <v>0</v>
      </c>
      <c r="CO13" s="497">
        <v>0</v>
      </c>
      <c r="CP13" s="496">
        <f>AW13</f>
        <v>0</v>
      </c>
      <c r="CQ13" s="496">
        <f>AX13</f>
        <v>0</v>
      </c>
      <c r="CR13" s="496">
        <f>SUM(CK13:CQ13)</f>
        <v>0</v>
      </c>
      <c r="CS13" s="496">
        <f>BQ13+BV13</f>
        <v>0</v>
      </c>
      <c r="CT13" s="496">
        <f>CA13</f>
        <v>0</v>
      </c>
      <c r="CU13" s="470"/>
      <c r="CV13" s="470"/>
      <c r="CW13" s="470"/>
      <c r="CX13" s="470"/>
      <c r="CY13" s="378" t="s">
        <v>7034</v>
      </c>
      <c r="CZ13" s="378" t="s">
        <v>6805</v>
      </c>
      <c r="DA13" s="480"/>
      <c r="DB13" s="1152" t="s">
        <v>6122</v>
      </c>
      <c r="DC13" s="1152"/>
      <c r="DD13" s="1152" t="s">
        <v>6123</v>
      </c>
      <c r="DE13" s="1152" t="s">
        <v>6124</v>
      </c>
      <c r="DF13" s="1152" t="s">
        <v>6125</v>
      </c>
      <c r="DG13" s="1152"/>
      <c r="DH13" s="470"/>
      <c r="DI13" s="470"/>
      <c r="DJ13" s="470"/>
      <c r="DK13" s="470"/>
      <c r="DL13" s="470"/>
      <c r="DN13" s="471" t="str">
        <f>VLOOKUP(X13,Hoja1!$A$4:$B$10,2,0)</f>
        <v>PROFESIONAL</v>
      </c>
      <c r="DO13" s="471" t="str">
        <f>VLOOKUP(S13,Hoja1!$D$4:$F$77,3,0)</f>
        <v>COORDINADOR DE ÁREA</v>
      </c>
      <c r="DP13" s="1156" t="str">
        <f>IF(AV13="NOCTURN","SI","0")</f>
        <v>0</v>
      </c>
      <c r="DQ13" s="1484">
        <f>IF(T13&lt;&gt;"0",(ROUND(IF(A13="EMPLEADO",eval_formula('CONCEPTOS Y PARAMETROS'!$C$8,NOMINA!V13,AU13+BF13,NOMINA!I13+NOMINA!J13),eval_formula('CONCEPTOS Y PARAMETROS'!$D$8,NOMINA!V13,AU13+BF13,NOMINA!I13+NOMINA!J13)),2))*IF(H13&lt;&gt;"",IF(MONTH(H13)=$BR$8,IF(YEAR(H13)&lt;$BT$7,1,0),0)))</f>
        <v>0</v>
      </c>
      <c r="DR13" s="1801" t="str">
        <f>+G13</f>
        <v>F</v>
      </c>
      <c r="DS13" s="1801"/>
    </row>
    <row r="14" spans="1:123" s="471" customFormat="1" ht="21.95" customHeight="1" thickBot="1" x14ac:dyDescent="0.3">
      <c r="A14" s="1407" t="s">
        <v>2846</v>
      </c>
      <c r="B14" s="415">
        <f t="shared" ref="B14:B40" ca="1" si="2">OFFSET(B14,-1,0)+1</f>
        <v>2</v>
      </c>
      <c r="C14" s="1311">
        <v>15827671</v>
      </c>
      <c r="D14" s="1312" t="s">
        <v>5208</v>
      </c>
      <c r="E14" s="387" t="s">
        <v>4622</v>
      </c>
      <c r="F14" s="422">
        <v>30226</v>
      </c>
      <c r="G14" s="387" t="s">
        <v>4620</v>
      </c>
      <c r="H14" s="422">
        <v>44545</v>
      </c>
      <c r="I14" s="1408">
        <f>IF(AND(YEAR(H14)&lt;YEAR($H$10),MONTH(H14)&gt;$BR$8),YEAR($H$10)-YEAR(H14)-1,IF(OR(H14="",YEAR(H14)&gt;YEAR($H$10)),0,YEAR($H$10)-YEAR(H14)))</f>
        <v>3</v>
      </c>
      <c r="J14" s="388">
        <f>14*0+1</f>
        <v>1</v>
      </c>
      <c r="K14" s="1408">
        <f>I14+J14</f>
        <v>4</v>
      </c>
      <c r="L14" s="1409" t="s">
        <v>5517</v>
      </c>
      <c r="M14" s="388" t="s">
        <v>5490</v>
      </c>
      <c r="N14" s="388"/>
      <c r="O14" s="389" t="s">
        <v>1582</v>
      </c>
      <c r="P14" s="388" t="s">
        <v>5211</v>
      </c>
      <c r="Q14" s="1410" t="str">
        <f>IFERROR(VLOOKUP(O14,CARGOS!A:E,2,0),"")</f>
        <v>00906</v>
      </c>
      <c r="R14" s="1411" t="s">
        <v>5049</v>
      </c>
      <c r="S14" s="387" t="s">
        <v>2836</v>
      </c>
      <c r="T14" s="1313">
        <f>IFERROR(VLOOKUP(S14,'TAB EMP'!A:B,2,0),0)</f>
        <v>363</v>
      </c>
      <c r="U14" s="390">
        <v>310</v>
      </c>
      <c r="V14" s="1313">
        <f>T14-U14</f>
        <v>53</v>
      </c>
      <c r="W14" s="390">
        <f>ROUND(V14/2,2)</f>
        <v>26.5</v>
      </c>
      <c r="X14" s="387" t="s">
        <v>2885</v>
      </c>
      <c r="Y14" s="387"/>
      <c r="Z14" s="387">
        <v>0</v>
      </c>
      <c r="AA14" s="1313">
        <f>ROUND(IF(H14&lt;&gt;"",VLOOKUP(SUM(I14+J14),'CONCEPTOS Y PARAMETROS'!F:G,2,0)*V14,0),2)</f>
        <v>2.12</v>
      </c>
      <c r="AB14" s="1412">
        <f>IF(S14&lt;&gt;"",IF(M14="",'CONCEPTOS Y PARAMETROS'!$C$4,0),0)</f>
        <v>0</v>
      </c>
      <c r="AC14" s="1412">
        <f>IF(S14&lt;&gt;"",IF(M14="",'CONCEPTOS Y PARAMETROS'!$C$7*Z14,0),0)</f>
        <v>0</v>
      </c>
      <c r="AD14" s="1313">
        <f>IFERROR(ROUND(VLOOKUP($X14,'CONCEPTOS Y PARAMETROS'!H:I,2,0)*($V14+AA14+AB14+AC14),2),0)</f>
        <v>13.78</v>
      </c>
      <c r="AE14" s="1313">
        <f>SUM(AA14:AD14)</f>
        <v>15.899999999999999</v>
      </c>
      <c r="AF14" s="1313">
        <f>ROUND(AA14/2,2)</f>
        <v>1.06</v>
      </c>
      <c r="AG14" s="1313">
        <f>ROUND(AA14-AF14,2)</f>
        <v>1.06</v>
      </c>
      <c r="AH14" s="1313">
        <f>ROUND(AB14/2,2)</f>
        <v>0</v>
      </c>
      <c r="AI14" s="1313">
        <f>ROUND(AB14-AH14,2)</f>
        <v>0</v>
      </c>
      <c r="AJ14" s="1313">
        <f>ROUND(AD14/2,2)</f>
        <v>6.89</v>
      </c>
      <c r="AK14" s="1313">
        <f>ROUND(AD14-AJ14,2)</f>
        <v>6.89</v>
      </c>
      <c r="AL14" s="390">
        <f>ROUND(AF14+AH14+AJ14+AC14,2)</f>
        <v>7.95</v>
      </c>
      <c r="AM14" s="390">
        <f>ROUND(AG14+AI14+AK14,2)</f>
        <v>7.95</v>
      </c>
      <c r="AN14" s="416">
        <v>0</v>
      </c>
      <c r="AO14" s="1413">
        <f>'CONCEPTOS Y PARAMETROS'!$C$18*AN14</f>
        <v>0</v>
      </c>
      <c r="AP14" s="416">
        <v>0</v>
      </c>
      <c r="AQ14" s="1413">
        <f>'CONCEPTOS Y PARAMETROS'!$C$21*AP14</f>
        <v>0</v>
      </c>
      <c r="AR14" s="1414">
        <v>0</v>
      </c>
      <c r="AS14" s="1414">
        <v>0</v>
      </c>
      <c r="AT14" s="1414">
        <f>+AO14+AQ14+AR14+AS14</f>
        <v>0</v>
      </c>
      <c r="AU14" s="390">
        <f>V14+AE14+AW14</f>
        <v>68.900000000000006</v>
      </c>
      <c r="AV14" s="1415">
        <v>0</v>
      </c>
      <c r="AW14" s="390">
        <f>ROUND(IF(O14="VIGILANTE",(V14+AE14)*30%,0),2)</f>
        <v>0</v>
      </c>
      <c r="AX14" s="1313">
        <f>IF(T14&lt;&gt;"0",(ROUND(IF(A14="EMPLEADO",eval_formula('CONCEPTOS Y PARAMETROS'!$C$8,NOMINA!V14,NOMINA!$AU14,NOMINA!I14+NOMINA!J14),eval_formula('CONCEPTOS Y PARAMETROS'!$D$8,NOMINA!V14,NOMINA!$AU14,NOMINA!I14+NOMINA!J14)),2))*IF(H14&lt;&gt;"",IF(MONTH(H14)=$BR$8,IF(YEAR(H14)&lt;$BT$7,1,0),0)))</f>
        <v>0</v>
      </c>
      <c r="AY14" s="390">
        <v>180</v>
      </c>
      <c r="AZ14" s="1313">
        <f>IFERROR(VLOOKUP(AY14,'CONCEPTOS Y PARAMETROS'!Y:Z,2,0),0)</f>
        <v>150</v>
      </c>
      <c r="BA14" s="1313">
        <f t="shared" ref="BA14" si="3">ROUND((((AU14))/30*AY14/12+(AU14))/30*AZ14,2)</f>
        <v>516.75</v>
      </c>
      <c r="BB14" s="1313">
        <f>ROUND(AU14/30*$BB$10,2)</f>
        <v>0</v>
      </c>
      <c r="BC14" s="416">
        <v>0</v>
      </c>
      <c r="BD14" s="1313" t="str">
        <f>IF(BC14&gt;0,((((((V14+AA14+AB14+AC14+AD14)/30)/8)*50%)+((((V14+AA14+AB14+AC14+AD14)/30)/8)))*30%+(((((V14+AA14+AB14+AC14+AD14)/30)/8)*50%)+((((V14+AA14+AB14+AC14+AD14)/30)/8))))*BC14,"0")</f>
        <v>0</v>
      </c>
      <c r="BE14" s="416">
        <v>0</v>
      </c>
      <c r="BF14" s="1313">
        <f>ROUND(IF(BE14&gt;0,(((V14+AA14+AB14+AC14+AD14)/30)*50%+((V14+AA14+AB14+AC14+AD14)/30))*BE14,"0"),2)</f>
        <v>0</v>
      </c>
      <c r="BG14" s="390">
        <v>320</v>
      </c>
      <c r="BH14" s="798">
        <f>+IF(AND(Z14&gt;0,G14="M"),12.5,0)</f>
        <v>0</v>
      </c>
      <c r="BI14" s="416">
        <f>+Z14</f>
        <v>0</v>
      </c>
      <c r="BJ14" s="390">
        <v>12.5</v>
      </c>
      <c r="BK14" s="390">
        <v>0</v>
      </c>
      <c r="BL14" s="1416">
        <f>ROUND(IF(M14="", (((AU14*12)/52)*4%)*$BS$8,0),2)</f>
        <v>0</v>
      </c>
      <c r="BM14" s="1416">
        <f>ROUND(IF(M14="",(((AU14*12)/52)*0.5%)*$BS$8,0),2)</f>
        <v>0</v>
      </c>
      <c r="BN14" s="1416">
        <f>ROUND(IF(M14="",(AU14*1%),0),2)</f>
        <v>0</v>
      </c>
      <c r="BO14" s="1416">
        <v>0</v>
      </c>
      <c r="BP14" s="1416">
        <v>0</v>
      </c>
      <c r="BQ14" s="1417">
        <f t="shared" ref="BQ14:BQ41" si="4">ROUND(SUM(BL14:BP14),2)</f>
        <v>0</v>
      </c>
      <c r="BR14" s="1416">
        <f>ROUND(IF(M14="", (((AU14*12)/52)*9%)*$BS$8,0),2)</f>
        <v>0</v>
      </c>
      <c r="BS14" s="1416">
        <f>ROUND(IF(M14="",(((AU14*12)/52)*2%)*$BS$8,0),2)</f>
        <v>0</v>
      </c>
      <c r="BT14" s="1416">
        <f>ROUND(IF(M14="",(BN14*2),0),2)</f>
        <v>0</v>
      </c>
      <c r="BU14" s="1313">
        <v>0</v>
      </c>
      <c r="BV14" s="390">
        <f t="shared" si="0"/>
        <v>0</v>
      </c>
      <c r="BW14" s="866">
        <f t="shared" si="1"/>
        <v>0</v>
      </c>
      <c r="BX14" s="390">
        <f>ROUND(BA14/4,2)</f>
        <v>129.19</v>
      </c>
      <c r="BY14" s="390">
        <v>0</v>
      </c>
      <c r="BZ14" s="866">
        <f>+BX14+BY14</f>
        <v>129.19</v>
      </c>
      <c r="CA14" s="1418">
        <v>0</v>
      </c>
      <c r="CB14" s="866">
        <f>W14+AL14-BQ14</f>
        <v>34.450000000000003</v>
      </c>
      <c r="CC14" s="1419">
        <f>ROUND((W14+AM14+AW14+AX14+BB14+BD14+BF14+BK14+BG14+BH14+BJ14+AT14),2)</f>
        <v>366.95</v>
      </c>
      <c r="CD14" s="512"/>
      <c r="CE14" s="512"/>
      <c r="CF14" s="470">
        <f>+CI14+CK14</f>
        <v>674.45</v>
      </c>
      <c r="CG14" s="495">
        <f>W14+AL14-BQ14</f>
        <v>34.450000000000003</v>
      </c>
      <c r="CH14" s="498">
        <f>AT14+BJ14</f>
        <v>12.5</v>
      </c>
      <c r="CI14" s="1490">
        <f>BG14</f>
        <v>320</v>
      </c>
      <c r="CJ14" s="1500">
        <v>1</v>
      </c>
      <c r="CK14" s="495">
        <f>W14+AM14+BG14</f>
        <v>354.45</v>
      </c>
      <c r="CL14" s="1689">
        <f>ROUND(IF(CK14&gt;600,CK14*48%,CK14),2)</f>
        <v>354.45</v>
      </c>
      <c r="CM14" s="1689">
        <f>+CK14-CL14</f>
        <v>0</v>
      </c>
      <c r="CN14" s="496">
        <f>BF14+BB14</f>
        <v>0</v>
      </c>
      <c r="CO14" s="497">
        <v>0</v>
      </c>
      <c r="CP14" s="496">
        <f>AW14</f>
        <v>0</v>
      </c>
      <c r="CQ14" s="496">
        <f>AX14</f>
        <v>0</v>
      </c>
      <c r="CR14" s="496">
        <f>SUM(CK14:CQ14)</f>
        <v>708.9</v>
      </c>
      <c r="CS14" s="496">
        <f>BQ14+BV14</f>
        <v>0</v>
      </c>
      <c r="CT14" s="496">
        <f>CA14</f>
        <v>0</v>
      </c>
      <c r="CU14" s="470"/>
      <c r="CV14" s="470"/>
      <c r="CW14" s="470"/>
      <c r="CX14" s="470"/>
      <c r="CY14" s="1312" t="s">
        <v>6840</v>
      </c>
      <c r="CZ14" s="1312" t="s">
        <v>6798</v>
      </c>
      <c r="DA14" s="480"/>
      <c r="DB14" s="1642" t="s">
        <v>6126</v>
      </c>
      <c r="DC14" s="1642"/>
      <c r="DD14" s="1642" t="s">
        <v>6127</v>
      </c>
      <c r="DE14" s="1642" t="s">
        <v>6128</v>
      </c>
      <c r="DF14" s="1642" t="s">
        <v>6129</v>
      </c>
      <c r="DG14" s="1642"/>
      <c r="DH14" s="470"/>
      <c r="DI14" s="470"/>
      <c r="DJ14" s="470"/>
      <c r="DK14" s="470"/>
      <c r="DL14" s="470"/>
      <c r="DN14" s="471" t="str">
        <f>VLOOKUP(X14,Hoja1!$A$4:$B$10,2,0)</f>
        <v>PROFESIONAL</v>
      </c>
      <c r="DO14" s="471" t="str">
        <f>VLOOKUP(S14,Hoja1!$D$4:$F$77,3,0)</f>
        <v>JEFE DE DIVISIÓN</v>
      </c>
      <c r="DP14" s="1156" t="str">
        <f>IF(AV14="NOCTURN","SI","0")</f>
        <v>0</v>
      </c>
      <c r="DQ14" s="1484">
        <f>IF(T14&lt;&gt;"0",(ROUND(IF(A14="EMPLEADO",eval_formula('CONCEPTOS Y PARAMETROS'!$C$8,NOMINA!V14,AU14+BF14,NOMINA!I14+NOMINA!J14),eval_formula('CONCEPTOS Y PARAMETROS'!$D$8,NOMINA!V14,AU14+BF14,NOMINA!I14+NOMINA!J14)),2))*IF(H14&lt;&gt;"",IF(MONTH(H14)=$BR$8,IF(YEAR(H14)&lt;$BT$7,1,0),0)))</f>
        <v>0</v>
      </c>
      <c r="DR14" s="1801" t="str">
        <f>+G14</f>
        <v>F</v>
      </c>
      <c r="DS14" s="1801"/>
    </row>
    <row r="15" spans="1:123" s="1515" customFormat="1" ht="20.25" customHeight="1" thickBot="1" x14ac:dyDescent="0.3">
      <c r="A15" s="1510"/>
      <c r="B15" s="381">
        <f ca="1">COUNT(B13:B14)</f>
        <v>2</v>
      </c>
      <c r="C15" s="466" t="s">
        <v>5504</v>
      </c>
      <c r="D15" s="467"/>
      <c r="E15" s="467"/>
      <c r="F15" s="381"/>
      <c r="G15" s="467"/>
      <c r="H15" s="467"/>
      <c r="I15" s="382">
        <f>SUM(I13:I14)</f>
        <v>6</v>
      </c>
      <c r="J15" s="382">
        <f t="shared" ref="J15:K15" si="5">SUM(J13:J14)</f>
        <v>1</v>
      </c>
      <c r="K15" s="382">
        <f t="shared" si="5"/>
        <v>7</v>
      </c>
      <c r="L15" s="467"/>
      <c r="M15" s="467"/>
      <c r="N15" s="467"/>
      <c r="O15" s="467"/>
      <c r="P15" s="467"/>
      <c r="Q15" s="381"/>
      <c r="R15" s="467"/>
      <c r="S15" s="467"/>
      <c r="T15" s="382">
        <f>SUM(T13:T14)</f>
        <v>363</v>
      </c>
      <c r="U15" s="382">
        <f>SUM(U13:U14)</f>
        <v>310</v>
      </c>
      <c r="V15" s="382">
        <f>SUM(V13:V14)</f>
        <v>53</v>
      </c>
      <c r="W15" s="382">
        <f>SUM(W13:W14)</f>
        <v>26.5</v>
      </c>
      <c r="X15" s="467"/>
      <c r="Y15" s="467"/>
      <c r="Z15" s="383">
        <f t="shared" ref="Z15:BE15" si="6">SUM(Z13:Z14)</f>
        <v>0</v>
      </c>
      <c r="AA15" s="382">
        <f t="shared" si="6"/>
        <v>2.12</v>
      </c>
      <c r="AB15" s="382">
        <f t="shared" si="6"/>
        <v>0</v>
      </c>
      <c r="AC15" s="382">
        <f t="shared" si="6"/>
        <v>0</v>
      </c>
      <c r="AD15" s="382">
        <f t="shared" si="6"/>
        <v>13.78</v>
      </c>
      <c r="AE15" s="382">
        <f t="shared" si="6"/>
        <v>15.899999999999999</v>
      </c>
      <c r="AF15" s="382">
        <f t="shared" si="6"/>
        <v>1.06</v>
      </c>
      <c r="AG15" s="382">
        <f t="shared" si="6"/>
        <v>1.06</v>
      </c>
      <c r="AH15" s="382">
        <f t="shared" si="6"/>
        <v>0</v>
      </c>
      <c r="AI15" s="382">
        <f t="shared" si="6"/>
        <v>0</v>
      </c>
      <c r="AJ15" s="382">
        <f t="shared" si="6"/>
        <v>6.89</v>
      </c>
      <c r="AK15" s="382">
        <f t="shared" si="6"/>
        <v>6.89</v>
      </c>
      <c r="AL15" s="382">
        <f t="shared" si="6"/>
        <v>7.95</v>
      </c>
      <c r="AM15" s="382">
        <f t="shared" si="6"/>
        <v>7.95</v>
      </c>
      <c r="AN15" s="382">
        <f t="shared" si="6"/>
        <v>0</v>
      </c>
      <c r="AO15" s="382">
        <f t="shared" si="6"/>
        <v>0</v>
      </c>
      <c r="AP15" s="382">
        <f t="shared" si="6"/>
        <v>0</v>
      </c>
      <c r="AQ15" s="382">
        <f t="shared" si="6"/>
        <v>0</v>
      </c>
      <c r="AR15" s="382">
        <f t="shared" si="6"/>
        <v>0</v>
      </c>
      <c r="AS15" s="382">
        <f t="shared" si="6"/>
        <v>0</v>
      </c>
      <c r="AT15" s="382">
        <f t="shared" si="6"/>
        <v>0</v>
      </c>
      <c r="AU15" s="382">
        <f t="shared" si="6"/>
        <v>68.900000000000006</v>
      </c>
      <c r="AV15" s="384">
        <f t="shared" si="6"/>
        <v>0</v>
      </c>
      <c r="AW15" s="382">
        <f t="shared" si="6"/>
        <v>0</v>
      </c>
      <c r="AX15" s="382">
        <f t="shared" si="6"/>
        <v>0</v>
      </c>
      <c r="AY15" s="382">
        <f t="shared" si="6"/>
        <v>360</v>
      </c>
      <c r="AZ15" s="585">
        <f t="shared" si="6"/>
        <v>300</v>
      </c>
      <c r="BA15" s="585">
        <f t="shared" si="6"/>
        <v>516.75</v>
      </c>
      <c r="BB15" s="382">
        <f t="shared" si="6"/>
        <v>0</v>
      </c>
      <c r="BC15" s="382">
        <f t="shared" si="6"/>
        <v>0</v>
      </c>
      <c r="BD15" s="382">
        <f t="shared" si="6"/>
        <v>0</v>
      </c>
      <c r="BE15" s="382">
        <f t="shared" si="6"/>
        <v>0</v>
      </c>
      <c r="BF15" s="382">
        <f t="shared" ref="BF15:CC15" si="7">SUM(BF13:BF14)</f>
        <v>0</v>
      </c>
      <c r="BG15" s="382">
        <f t="shared" si="7"/>
        <v>320</v>
      </c>
      <c r="BH15" s="382">
        <f t="shared" si="7"/>
        <v>0</v>
      </c>
      <c r="BI15" s="1676">
        <f t="shared" si="7"/>
        <v>0</v>
      </c>
      <c r="BJ15" s="382">
        <f t="shared" si="7"/>
        <v>12.5</v>
      </c>
      <c r="BK15" s="382">
        <f t="shared" si="7"/>
        <v>0</v>
      </c>
      <c r="BL15" s="382">
        <f t="shared" si="7"/>
        <v>0</v>
      </c>
      <c r="BM15" s="382">
        <f t="shared" si="7"/>
        <v>0</v>
      </c>
      <c r="BN15" s="382">
        <f t="shared" si="7"/>
        <v>0</v>
      </c>
      <c r="BO15" s="382">
        <f t="shared" si="7"/>
        <v>0</v>
      </c>
      <c r="BP15" s="382">
        <f t="shared" si="7"/>
        <v>0</v>
      </c>
      <c r="BQ15" s="382">
        <f t="shared" si="7"/>
        <v>0</v>
      </c>
      <c r="BR15" s="382">
        <f t="shared" si="7"/>
        <v>0</v>
      </c>
      <c r="BS15" s="382">
        <f t="shared" si="7"/>
        <v>0</v>
      </c>
      <c r="BT15" s="382">
        <f t="shared" si="7"/>
        <v>0</v>
      </c>
      <c r="BU15" s="382">
        <f t="shared" si="7"/>
        <v>0</v>
      </c>
      <c r="BV15" s="382">
        <f t="shared" si="7"/>
        <v>0</v>
      </c>
      <c r="BW15" s="382">
        <f t="shared" si="7"/>
        <v>0</v>
      </c>
      <c r="BX15" s="382">
        <f t="shared" si="7"/>
        <v>129.19</v>
      </c>
      <c r="BY15" s="382">
        <f t="shared" si="7"/>
        <v>0</v>
      </c>
      <c r="BZ15" s="382">
        <f t="shared" si="7"/>
        <v>129.19</v>
      </c>
      <c r="CA15" s="382">
        <f t="shared" si="7"/>
        <v>0</v>
      </c>
      <c r="CB15" s="382">
        <f t="shared" si="7"/>
        <v>34.450000000000003</v>
      </c>
      <c r="CC15" s="385">
        <f t="shared" si="7"/>
        <v>366.95</v>
      </c>
      <c r="CD15" s="468"/>
      <c r="CE15" s="468"/>
      <c r="CF15" s="468"/>
      <c r="CG15" s="1511">
        <f t="shared" ref="CG15:CT15" si="8">SUM(CG13:CG14)</f>
        <v>34.450000000000003</v>
      </c>
      <c r="CH15" s="1511">
        <f>SUM(CH13:CH14)</f>
        <v>12.5</v>
      </c>
      <c r="CI15" s="1511">
        <f>SUM(CI13:CI14)</f>
        <v>320</v>
      </c>
      <c r="CJ15" s="1512">
        <f>SUM(CJ13:CJ14)</f>
        <v>1</v>
      </c>
      <c r="CK15" s="1511">
        <f>SUM(CK13:CK14)</f>
        <v>354.45</v>
      </c>
      <c r="CL15" s="1511">
        <f t="shared" ref="CL15:CM15" si="9">SUM(CL13:CL14)</f>
        <v>354.45</v>
      </c>
      <c r="CM15" s="1511">
        <f t="shared" si="9"/>
        <v>0</v>
      </c>
      <c r="CN15" s="1511">
        <f t="shared" si="8"/>
        <v>0</v>
      </c>
      <c r="CO15" s="1511">
        <f t="shared" si="8"/>
        <v>0</v>
      </c>
      <c r="CP15" s="1511">
        <f t="shared" si="8"/>
        <v>0</v>
      </c>
      <c r="CQ15" s="469">
        <f t="shared" si="8"/>
        <v>0</v>
      </c>
      <c r="CR15" s="469">
        <f t="shared" si="8"/>
        <v>708.9</v>
      </c>
      <c r="CS15" s="469">
        <f t="shared" si="8"/>
        <v>0</v>
      </c>
      <c r="CT15" s="469">
        <f t="shared" si="8"/>
        <v>0</v>
      </c>
      <c r="CU15" s="470"/>
      <c r="CV15" s="470"/>
      <c r="CW15" s="470"/>
      <c r="CX15" s="470"/>
      <c r="CY15" s="1433"/>
      <c r="CZ15" s="1433"/>
      <c r="DA15" s="480"/>
      <c r="DB15" s="1152"/>
      <c r="DC15" s="1152"/>
      <c r="DD15" s="1152"/>
      <c r="DE15" s="1152"/>
      <c r="DF15" s="1152"/>
      <c r="DG15" s="1152"/>
      <c r="DH15" s="1513"/>
      <c r="DI15" s="1513"/>
      <c r="DJ15" s="1513"/>
      <c r="DK15" s="1513"/>
      <c r="DL15" s="1513"/>
      <c r="DP15" s="1516"/>
      <c r="DQ15" s="1516"/>
    </row>
    <row r="16" spans="1:123" s="471" customFormat="1" ht="17.25" customHeight="1" thickBot="1" x14ac:dyDescent="0.3">
      <c r="A16" s="391" t="s">
        <v>5503</v>
      </c>
      <c r="B16" s="499"/>
      <c r="C16" s="500"/>
      <c r="D16" s="501"/>
      <c r="E16" s="393"/>
      <c r="F16" s="502"/>
      <c r="G16" s="393"/>
      <c r="H16" s="393"/>
      <c r="I16" s="503"/>
      <c r="J16" s="504"/>
      <c r="K16" s="503"/>
      <c r="L16" s="503"/>
      <c r="M16" s="505"/>
      <c r="N16" s="506"/>
      <c r="O16" s="507"/>
      <c r="P16" s="506"/>
      <c r="Q16" s="392"/>
      <c r="R16" s="392"/>
      <c r="S16" s="392"/>
      <c r="T16" s="368"/>
      <c r="U16" s="367"/>
      <c r="V16" s="368"/>
      <c r="W16" s="394"/>
      <c r="X16" s="393"/>
      <c r="Y16" s="393"/>
      <c r="Z16" s="393"/>
      <c r="AA16" s="368"/>
      <c r="AB16" s="395"/>
      <c r="AC16" s="395"/>
      <c r="AD16" s="368"/>
      <c r="AE16" s="368"/>
      <c r="AF16" s="368"/>
      <c r="AG16" s="368"/>
      <c r="AH16" s="368"/>
      <c r="AI16" s="368"/>
      <c r="AJ16" s="368"/>
      <c r="AK16" s="368"/>
      <c r="AL16" s="396"/>
      <c r="AM16" s="396"/>
      <c r="AN16" s="397"/>
      <c r="AO16" s="398"/>
      <c r="AP16" s="397"/>
      <c r="AQ16" s="398"/>
      <c r="AR16" s="399"/>
      <c r="AS16" s="399"/>
      <c r="AT16" s="400"/>
      <c r="AU16" s="367"/>
      <c r="AV16" s="401"/>
      <c r="AW16" s="369"/>
      <c r="AX16" s="402"/>
      <c r="AY16" s="396"/>
      <c r="AZ16" s="586"/>
      <c r="BA16" s="586"/>
      <c r="BB16" s="368"/>
      <c r="BC16" s="397"/>
      <c r="BD16" s="368"/>
      <c r="BE16" s="397"/>
      <c r="BF16" s="368"/>
      <c r="BG16" s="367"/>
      <c r="BH16" s="367"/>
      <c r="BI16" s="367"/>
      <c r="BJ16" s="367"/>
      <c r="BK16" s="367"/>
      <c r="BL16" s="403"/>
      <c r="BM16" s="404"/>
      <c r="BN16" s="405"/>
      <c r="BO16" s="405"/>
      <c r="BP16" s="403"/>
      <c r="BQ16" s="406"/>
      <c r="BR16" s="403"/>
      <c r="BS16" s="403"/>
      <c r="BT16" s="403"/>
      <c r="BU16" s="368"/>
      <c r="BV16" s="369"/>
      <c r="BW16" s="407"/>
      <c r="BX16" s="407"/>
      <c r="BY16" s="407"/>
      <c r="BZ16" s="407"/>
      <c r="CA16" s="407"/>
      <c r="CB16" s="407"/>
      <c r="CC16" s="407"/>
      <c r="CF16" s="470"/>
      <c r="CG16" s="495"/>
      <c r="CH16" s="498"/>
      <c r="CI16" s="496"/>
      <c r="CJ16" s="1500"/>
      <c r="CK16" s="495"/>
      <c r="CL16" s="1689"/>
      <c r="CM16" s="1689"/>
      <c r="CN16" s="496"/>
      <c r="CO16" s="497"/>
      <c r="CP16" s="496"/>
      <c r="CQ16" s="496"/>
      <c r="CR16" s="496"/>
      <c r="CS16" s="496"/>
      <c r="CT16" s="496"/>
      <c r="CU16" s="470"/>
      <c r="CV16" s="470"/>
      <c r="CW16" s="470"/>
      <c r="CX16" s="470"/>
      <c r="CY16" s="1432"/>
      <c r="CZ16" s="1432"/>
      <c r="DA16" s="480"/>
      <c r="DB16" s="1152"/>
      <c r="DC16" s="1152"/>
      <c r="DD16" s="1152"/>
      <c r="DE16" s="1152"/>
      <c r="DF16" s="1152"/>
      <c r="DG16" s="1152"/>
      <c r="DH16" s="470"/>
      <c r="DI16" s="470"/>
      <c r="DJ16" s="470"/>
      <c r="DK16" s="470"/>
      <c r="DL16" s="470"/>
      <c r="DP16" s="1156"/>
      <c r="DQ16" s="1691"/>
    </row>
    <row r="17" spans="1:123" s="471" customFormat="1" ht="21.95" customHeight="1" x14ac:dyDescent="0.25">
      <c r="A17" s="1396" t="s">
        <v>2846</v>
      </c>
      <c r="B17" s="194">
        <f t="shared" ca="1" si="2"/>
        <v>1</v>
      </c>
      <c r="C17" s="377">
        <v>11894534</v>
      </c>
      <c r="D17" s="378" t="s">
        <v>7249</v>
      </c>
      <c r="E17" s="366" t="s">
        <v>4622</v>
      </c>
      <c r="F17" s="421">
        <v>26652</v>
      </c>
      <c r="G17" s="366" t="s">
        <v>4621</v>
      </c>
      <c r="H17" s="421">
        <v>40909</v>
      </c>
      <c r="I17" s="1397">
        <f t="shared" ref="I17:I41" si="10">IF(AND(YEAR(H17)&lt;YEAR($H$10),MONTH(H17)&gt;$BR$8),YEAR($H$10)-YEAR(H17)-1,IF(OR(H17="",YEAR(H17)&gt;YEAR($H$10)),0,YEAR($H$10)-YEAR(H17)))</f>
        <v>13</v>
      </c>
      <c r="J17" s="379">
        <v>13</v>
      </c>
      <c r="K17" s="1397">
        <f t="shared" ref="K17:K41" si="11">I17+J17</f>
        <v>26</v>
      </c>
      <c r="L17" s="1131" t="s">
        <v>5534</v>
      </c>
      <c r="M17" s="379"/>
      <c r="N17" s="379"/>
      <c r="O17" s="380" t="s">
        <v>1582</v>
      </c>
      <c r="P17" s="379" t="s">
        <v>5184</v>
      </c>
      <c r="Q17" s="1398" t="str">
        <f>IFERROR(VLOOKUP(O17,CARGOS!A:E,2,0),"")</f>
        <v>00906</v>
      </c>
      <c r="R17" s="1420" t="s">
        <v>5943</v>
      </c>
      <c r="S17" s="366" t="s">
        <v>2836</v>
      </c>
      <c r="T17" s="831">
        <f>IFERROR(VLOOKUP(S17,'TAB EMP'!A:B,2,0),0)</f>
        <v>363</v>
      </c>
      <c r="U17" s="343">
        <v>0</v>
      </c>
      <c r="V17" s="831">
        <f t="shared" ref="V17:V41" si="12">T17-U17</f>
        <v>363</v>
      </c>
      <c r="W17" s="343">
        <f t="shared" ref="W17:W41" si="13">ROUND(V17/2,2)</f>
        <v>181.5</v>
      </c>
      <c r="X17" s="366" t="s">
        <v>2885</v>
      </c>
      <c r="Y17" s="366"/>
      <c r="Z17" s="366">
        <v>0</v>
      </c>
      <c r="AA17" s="831">
        <f>ROUND(IF(H17&lt;&gt;"",VLOOKUP(SUM(I17+J17),'CONCEPTOS Y PARAMETROS'!F:G,2,0)*V17,0),2)</f>
        <v>108.9</v>
      </c>
      <c r="AB17" s="831">
        <f>IF(S17&lt;&gt;"",IF(M17="",'CONCEPTOS Y PARAMETROS'!$C$4,0),0)</f>
        <v>130</v>
      </c>
      <c r="AC17" s="831">
        <f>IF(S17&lt;&gt;"",IF(M17="",'CONCEPTOS Y PARAMETROS'!$C$7*Z17,0),0)</f>
        <v>0</v>
      </c>
      <c r="AD17" s="831">
        <f>IFERROR(ROUND(VLOOKUP($X17,'CONCEPTOS Y PARAMETROS'!H:I,2,0)*($V17+AA17+AB17+AC17),2),0)</f>
        <v>150.47999999999999</v>
      </c>
      <c r="AE17" s="831">
        <f t="shared" ref="AE17:AE41" si="14">SUM(AA17:AD17)</f>
        <v>389.38</v>
      </c>
      <c r="AF17" s="831">
        <f t="shared" ref="AF17:AF41" si="15">ROUND(AA17/2,2)</f>
        <v>54.45</v>
      </c>
      <c r="AG17" s="831">
        <f t="shared" ref="AG17:AG41" si="16">ROUND(AA17-AF17,2)</f>
        <v>54.45</v>
      </c>
      <c r="AH17" s="831">
        <f t="shared" ref="AH17:AH41" si="17">ROUND(AB17/2,2)</f>
        <v>65</v>
      </c>
      <c r="AI17" s="831">
        <f t="shared" ref="AI17:AI41" si="18">ROUND(AB17-AH17,2)</f>
        <v>65</v>
      </c>
      <c r="AJ17" s="831">
        <f t="shared" ref="AJ17:AJ41" si="19">ROUND(AD17/2,2)</f>
        <v>75.239999999999995</v>
      </c>
      <c r="AK17" s="831">
        <f t="shared" ref="AK17:AK41" si="20">ROUND(AD17-AJ17,2)</f>
        <v>75.239999999999995</v>
      </c>
      <c r="AL17" s="343">
        <f t="shared" ref="AL17:AL41" si="21">ROUND(AF17+AH17+AJ17+AC17,2)</f>
        <v>194.69</v>
      </c>
      <c r="AM17" s="343">
        <f t="shared" ref="AM17:AM41" si="22">ROUND(AG17+AI17+AK17,2)</f>
        <v>194.69</v>
      </c>
      <c r="AN17" s="344">
        <v>0</v>
      </c>
      <c r="AO17" s="1401">
        <f>'CONCEPTOS Y PARAMETROS'!$C$18*AN17</f>
        <v>0</v>
      </c>
      <c r="AP17" s="344">
        <v>0</v>
      </c>
      <c r="AQ17" s="1401">
        <f>'CONCEPTOS Y PARAMETROS'!$C$21*AP17</f>
        <v>0</v>
      </c>
      <c r="AR17" s="1402">
        <v>0</v>
      </c>
      <c r="AS17" s="1402">
        <v>0</v>
      </c>
      <c r="AT17" s="1402">
        <f t="shared" ref="AT17:AT41" si="23">+AO17+AQ17+AR17+AS17</f>
        <v>0</v>
      </c>
      <c r="AU17" s="343">
        <f t="shared" ref="AU17:AU41" si="24">V17+AE17+AW17</f>
        <v>752.38</v>
      </c>
      <c r="AV17" s="1403">
        <v>0</v>
      </c>
      <c r="AW17" s="343">
        <f t="shared" ref="AW17:AW30" si="25">ROUND(IF(O17="VIGILANTE",(V17+AE17)*30%,0),2)</f>
        <v>0</v>
      </c>
      <c r="AX17" s="831">
        <f>IF(T17&lt;&gt;"0",(ROUND(IF(A17="EMPLEADO",eval_formula('CONCEPTOS Y PARAMETROS'!$C$8,NOMINA!V17,NOMINA!$AU17,NOMINA!I17+NOMINA!J17),eval_formula('CONCEPTOS Y PARAMETROS'!$D$8,NOMINA!V17,NOMINA!$AU17,NOMINA!I17+NOMINA!J17)),2))*IF(H17&lt;&gt;"",IF(MONTH(H17)=$BR$8,IF(YEAR(H17)&lt;$BT$7,1,0),0)))</f>
        <v>0</v>
      </c>
      <c r="AY17" s="343">
        <v>180</v>
      </c>
      <c r="AZ17" s="831">
        <f>IFERROR(VLOOKUP(AY17,'CONCEPTOS Y PARAMETROS'!Y:Z,2,0),0)</f>
        <v>150</v>
      </c>
      <c r="BA17" s="831">
        <f t="shared" ref="BA17:BA41" si="26">ROUND((((AU17))/30*AY17/12+(AU17))/30*AZ17,2)</f>
        <v>5642.85</v>
      </c>
      <c r="BB17" s="831">
        <f t="shared" ref="BB17:BB41" si="27">ROUND(AU17/30*$BB$10,2)</f>
        <v>0</v>
      </c>
      <c r="BC17" s="344">
        <v>0</v>
      </c>
      <c r="BD17" s="831" t="str">
        <f t="shared" ref="BD17:BD41" si="28">IF(BC17&gt;0,((((((V17+AA17+AB17+AC17+AD17)/30)/8)*50%)+((((V17+AA17+AB17+AC17+AD17)/30)/8)))*30%+(((((V17+AA17+AB17+AC17+AD17)/30)/8)*50%)+((((V17+AA17+AB17+AC17+AD17)/30)/8))))*BC17,"0")</f>
        <v>0</v>
      </c>
      <c r="BE17" s="344">
        <v>0</v>
      </c>
      <c r="BF17" s="831">
        <f t="shared" ref="BF17:BF41" si="29">ROUND(IF(BE17&gt;0,(((V17+AA17+AB17+AC17+AD17)/30)*50%+((V17+AA17+AB17+AC17+AD17)/30))*BE17,"0"),2)</f>
        <v>0</v>
      </c>
      <c r="BG17" s="343">
        <v>320</v>
      </c>
      <c r="BH17" s="343">
        <v>0</v>
      </c>
      <c r="BI17" s="379">
        <v>0</v>
      </c>
      <c r="BJ17" s="343">
        <v>12.5</v>
      </c>
      <c r="BK17" s="343">
        <v>0</v>
      </c>
      <c r="BL17" s="831">
        <f t="shared" ref="BL17:BL41" si="30">ROUND(IF(M17="", (((AU17*12)/52)*4%)*$BS$8,0),2)</f>
        <v>34.729999999999997</v>
      </c>
      <c r="BM17" s="831">
        <f t="shared" ref="BM17:BM41" si="31">ROUND(IF(M17="",(((AU17*12)/52)*0.5%)*$BS$8,0),2)</f>
        <v>4.34</v>
      </c>
      <c r="BN17" s="831">
        <f t="shared" ref="BN17:BN41" si="32">ROUND(IF(M17="",(AU17*1%),0),2)</f>
        <v>7.52</v>
      </c>
      <c r="BO17" s="831">
        <v>0</v>
      </c>
      <c r="BP17" s="831">
        <v>0</v>
      </c>
      <c r="BQ17" s="1405">
        <f t="shared" si="4"/>
        <v>46.59</v>
      </c>
      <c r="BR17" s="831">
        <f t="shared" ref="BR17:BR41" si="33">ROUND(IF(M17="", (((AU17*12)/52)*9%)*$BS$8,0),2)</f>
        <v>78.13</v>
      </c>
      <c r="BS17" s="831">
        <f t="shared" ref="BS17:BS41" si="34">ROUND(IF(M17="",(((AU17*12)/52)*2%)*$BS$8,0),2)</f>
        <v>17.36</v>
      </c>
      <c r="BT17" s="831">
        <f t="shared" ref="BT17:BT41" si="35">ROUND(IF(M17="",(BN17*2),0),2)</f>
        <v>15.04</v>
      </c>
      <c r="BU17" s="831">
        <v>0</v>
      </c>
      <c r="BV17" s="343">
        <f t="shared" si="0"/>
        <v>110.53</v>
      </c>
      <c r="BW17" s="664">
        <f t="shared" si="1"/>
        <v>157.12</v>
      </c>
      <c r="BX17" s="664">
        <f t="shared" ref="BX17:BX41" si="36">ROUND(BA17/4,2)</f>
        <v>1410.71</v>
      </c>
      <c r="BY17" s="664">
        <v>0</v>
      </c>
      <c r="BZ17" s="664">
        <f t="shared" ref="BZ17:BZ41" si="37">+BX17+BY17</f>
        <v>1410.71</v>
      </c>
      <c r="CA17" s="1406">
        <f>'CONCEPTOS Y PARAMETROS'!$A$102</f>
        <v>6255</v>
      </c>
      <c r="CB17" s="664">
        <f t="shared" ref="CB17:CB41" si="38">W17+AL17-BQ17</f>
        <v>329.6</v>
      </c>
      <c r="CC17" s="665">
        <f t="shared" ref="CC17:CC41" si="39">ROUND((W17+AM17+AW17+AX17+BB17+BD17+BF17+BK17+BG17+BH17+BJ17+AT17),2)</f>
        <v>708.69</v>
      </c>
      <c r="CD17" s="512"/>
      <c r="CE17" s="512"/>
      <c r="CF17" s="470">
        <f t="shared" ref="CF17:CF41" si="40">+CI17+CK17</f>
        <v>1016.19</v>
      </c>
      <c r="CG17" s="495">
        <f t="shared" ref="CG17:CG41" si="41">W17+AL17-BQ17</f>
        <v>329.6</v>
      </c>
      <c r="CH17" s="498">
        <f t="shared" ref="CH17:CH41" si="42">AT17+BJ17</f>
        <v>12.5</v>
      </c>
      <c r="CI17" s="1490">
        <f t="shared" ref="CI17:CI41" si="43">BG17</f>
        <v>320</v>
      </c>
      <c r="CJ17" s="1500">
        <v>2</v>
      </c>
      <c r="CK17" s="495">
        <f t="shared" ref="CK17:CK41" si="44">W17+AM17+BG17</f>
        <v>696.19</v>
      </c>
      <c r="CL17" s="1689">
        <f t="shared" ref="CL17:CL41" si="45">ROUND(IF(CK17&gt;600,CK17*48%,CK17),2)</f>
        <v>334.17</v>
      </c>
      <c r="CM17" s="1689">
        <f t="shared" ref="CM17:CM41" si="46">+CK17-CL17</f>
        <v>362.02000000000004</v>
      </c>
      <c r="CN17" s="496">
        <f t="shared" ref="CN17:CN41" si="47">BF17+BB17</f>
        <v>0</v>
      </c>
      <c r="CO17" s="497">
        <v>0</v>
      </c>
      <c r="CP17" s="496">
        <f t="shared" ref="CP17:CP41" si="48">AW17</f>
        <v>0</v>
      </c>
      <c r="CQ17" s="496">
        <f t="shared" ref="CQ17:CQ41" si="49">AX17</f>
        <v>0</v>
      </c>
      <c r="CR17" s="496">
        <f t="shared" ref="CR17:CR41" si="50">SUM(CK17:CQ17)</f>
        <v>1392.38</v>
      </c>
      <c r="CS17" s="496">
        <f t="shared" ref="CS17:CS41" si="51">BQ17+BV17</f>
        <v>157.12</v>
      </c>
      <c r="CT17" s="496">
        <f t="shared" ref="CT17:CT41" si="52">CA17</f>
        <v>6255</v>
      </c>
      <c r="CU17" s="470"/>
      <c r="CV17" s="470"/>
      <c r="CW17" s="470"/>
      <c r="CX17" s="470"/>
      <c r="CY17" s="378" t="s">
        <v>6799</v>
      </c>
      <c r="CZ17" s="378" t="s">
        <v>6800</v>
      </c>
      <c r="DA17" s="480"/>
      <c r="DB17" s="1642" t="s">
        <v>6130</v>
      </c>
      <c r="DC17" s="1642"/>
      <c r="DD17" s="1642" t="s">
        <v>6131</v>
      </c>
      <c r="DE17" s="1642" t="s">
        <v>6132</v>
      </c>
      <c r="DF17" s="1642" t="s">
        <v>6519</v>
      </c>
      <c r="DG17" s="1152"/>
      <c r="DH17" s="470"/>
      <c r="DI17" s="470"/>
      <c r="DJ17" s="470"/>
      <c r="DK17" s="470"/>
      <c r="DL17" s="470"/>
      <c r="DN17" s="471" t="str">
        <f>VLOOKUP(X17,Hoja1!$A$4:$B$10,2,0)</f>
        <v>PROFESIONAL</v>
      </c>
      <c r="DO17" s="471" t="str">
        <f>VLOOKUP(S17,Hoja1!$D$4:$F$77,3,0)</f>
        <v>JEFE DE DIVISIÓN</v>
      </c>
      <c r="DP17" s="1156" t="str">
        <f t="shared" ref="DP17:DP41" si="53">IF(AV17="NOCTURN","SI","0")</f>
        <v>0</v>
      </c>
      <c r="DQ17" s="1484">
        <f>IF(T17&lt;&gt;"0",(ROUND(IF(A17="EMPLEADO",eval_formula('CONCEPTOS Y PARAMETROS'!$C$8,NOMINA!V17,AU17+BF17,NOMINA!I17+NOMINA!J17),eval_formula('CONCEPTOS Y PARAMETROS'!$D$8,NOMINA!V17,AU17+BF17,NOMINA!I17+NOMINA!J17)),2))*IF(H17&lt;&gt;"",IF(MONTH(H17)=$BR$8,IF(YEAR(H17)&lt;$BT$7,1,0),0)))</f>
        <v>0</v>
      </c>
      <c r="DR17" s="1801" t="str">
        <f t="shared" ref="DR17:DR41" si="54">+G17</f>
        <v>M</v>
      </c>
      <c r="DS17" s="1801"/>
    </row>
    <row r="18" spans="1:123" s="476" customFormat="1" ht="21.95" customHeight="1" x14ac:dyDescent="0.25">
      <c r="A18" s="508" t="s">
        <v>2846</v>
      </c>
      <c r="B18" s="1314">
        <f t="shared" ca="1" si="2"/>
        <v>2</v>
      </c>
      <c r="C18" s="1148">
        <v>12458942</v>
      </c>
      <c r="D18" s="1149" t="s">
        <v>7256</v>
      </c>
      <c r="E18" s="1135" t="s">
        <v>4622</v>
      </c>
      <c r="F18" s="1118">
        <v>27853</v>
      </c>
      <c r="G18" s="1135" t="s">
        <v>4620</v>
      </c>
      <c r="H18" s="1118">
        <v>44424</v>
      </c>
      <c r="I18" s="1140">
        <f t="shared" si="10"/>
        <v>4</v>
      </c>
      <c r="J18" s="1132">
        <v>19</v>
      </c>
      <c r="K18" s="1140">
        <f t="shared" si="11"/>
        <v>23</v>
      </c>
      <c r="L18" s="1145" t="s">
        <v>5516</v>
      </c>
      <c r="M18" s="1132"/>
      <c r="N18" s="1132"/>
      <c r="O18" s="1002" t="s">
        <v>1582</v>
      </c>
      <c r="P18" s="1132" t="s">
        <v>5210</v>
      </c>
      <c r="Q18" s="1315" t="str">
        <f>IFERROR(VLOOKUP(O18,CARGOS!A:E,2,0),"")</f>
        <v>00906</v>
      </c>
      <c r="R18" s="1316" t="s">
        <v>6757</v>
      </c>
      <c r="S18" s="1135" t="s">
        <v>2836</v>
      </c>
      <c r="T18" s="1107">
        <f>IFERROR(VLOOKUP(S18,'TAB EMP'!A:B,2,0),0)</f>
        <v>363</v>
      </c>
      <c r="U18" s="1108">
        <v>0</v>
      </c>
      <c r="V18" s="1107">
        <f t="shared" si="12"/>
        <v>363</v>
      </c>
      <c r="W18" s="1108">
        <f t="shared" si="13"/>
        <v>181.5</v>
      </c>
      <c r="X18" s="1135" t="s">
        <v>2886</v>
      </c>
      <c r="Y18" s="1135"/>
      <c r="Z18" s="1135">
        <v>0</v>
      </c>
      <c r="AA18" s="1107">
        <f>ROUND(IF(H18&lt;&gt;"",VLOOKUP(SUM(I18+J18),'CONCEPTOS Y PARAMETROS'!F:G,2,0)*V18,0),2)</f>
        <v>108.9</v>
      </c>
      <c r="AB18" s="1317">
        <f>IF(S18&lt;&gt;"",IF(M18="",'CONCEPTOS Y PARAMETROS'!$C$4,0),0)</f>
        <v>130</v>
      </c>
      <c r="AC18" s="1317">
        <f>IF(S18&lt;&gt;"",IF(M18="",'CONCEPTOS Y PARAMETROS'!$C$7*Z18,0),0)</f>
        <v>0</v>
      </c>
      <c r="AD18" s="1107">
        <f>IFERROR(ROUND(VLOOKUP($X18,'CONCEPTOS Y PARAMETROS'!H:I,2,0)*($V18+AA18+AB18+AC18),2),0)</f>
        <v>180.57</v>
      </c>
      <c r="AE18" s="1107">
        <f>SUM(AA18:AD18)</f>
        <v>419.47</v>
      </c>
      <c r="AF18" s="1107">
        <f t="shared" si="15"/>
        <v>54.45</v>
      </c>
      <c r="AG18" s="1107">
        <f t="shared" si="16"/>
        <v>54.45</v>
      </c>
      <c r="AH18" s="1107">
        <f t="shared" si="17"/>
        <v>65</v>
      </c>
      <c r="AI18" s="1107">
        <f t="shared" si="18"/>
        <v>65</v>
      </c>
      <c r="AJ18" s="1107">
        <f t="shared" si="19"/>
        <v>90.29</v>
      </c>
      <c r="AK18" s="1107">
        <f t="shared" si="20"/>
        <v>90.28</v>
      </c>
      <c r="AL18" s="1108">
        <f t="shared" si="21"/>
        <v>209.74</v>
      </c>
      <c r="AM18" s="1108">
        <f t="shared" si="22"/>
        <v>209.73</v>
      </c>
      <c r="AN18" s="990">
        <v>0</v>
      </c>
      <c r="AO18" s="1147">
        <f>'CONCEPTOS Y PARAMETROS'!$C$18*AN18</f>
        <v>0</v>
      </c>
      <c r="AP18" s="990">
        <v>0</v>
      </c>
      <c r="AQ18" s="1147">
        <f>'CONCEPTOS Y PARAMETROS'!$C$21*AP18</f>
        <v>0</v>
      </c>
      <c r="AR18" s="1318">
        <v>0</v>
      </c>
      <c r="AS18" s="1318">
        <v>0</v>
      </c>
      <c r="AT18" s="1318">
        <f>+AO18+AQ18+AR18+AS18</f>
        <v>0</v>
      </c>
      <c r="AU18" s="1108">
        <f t="shared" si="24"/>
        <v>782.47</v>
      </c>
      <c r="AV18" s="1133">
        <v>0</v>
      </c>
      <c r="AW18" s="1108">
        <f t="shared" si="25"/>
        <v>0</v>
      </c>
      <c r="AX18" s="1107">
        <f>IF(T18&lt;&gt;"0",(ROUND(IF(A18="EMPLEADO",eval_formula('CONCEPTOS Y PARAMETROS'!$C$8,NOMINA!V18,NOMINA!$AU18,NOMINA!I18+NOMINA!J18),eval_formula('CONCEPTOS Y PARAMETROS'!$D$8,NOMINA!V18,NOMINA!$AU18,NOMINA!I18+NOMINA!J18)),2))*IF(H18&lt;&gt;"",IF(MONTH(H18)=$BR$8,IF(YEAR(H18)&lt;$BT$7,1,0),0)))</f>
        <v>0</v>
      </c>
      <c r="AY18" s="1108">
        <v>180</v>
      </c>
      <c r="AZ18" s="1107">
        <f>IFERROR(VLOOKUP(AY18,'CONCEPTOS Y PARAMETROS'!Y:Z,2,0),0)</f>
        <v>150</v>
      </c>
      <c r="BA18" s="1107">
        <f t="shared" si="26"/>
        <v>5868.53</v>
      </c>
      <c r="BB18" s="1107">
        <f t="shared" si="27"/>
        <v>0</v>
      </c>
      <c r="BC18" s="990">
        <v>0</v>
      </c>
      <c r="BD18" s="1107" t="str">
        <f t="shared" si="28"/>
        <v>0</v>
      </c>
      <c r="BE18" s="990">
        <v>0</v>
      </c>
      <c r="BF18" s="1107">
        <f t="shared" si="29"/>
        <v>0</v>
      </c>
      <c r="BG18" s="1108">
        <v>320</v>
      </c>
      <c r="BH18" s="1108">
        <v>0</v>
      </c>
      <c r="BI18" s="1132">
        <v>0</v>
      </c>
      <c r="BJ18" s="798">
        <v>12.5</v>
      </c>
      <c r="BK18" s="1108">
        <v>0</v>
      </c>
      <c r="BL18" s="1319">
        <f t="shared" si="30"/>
        <v>36.11</v>
      </c>
      <c r="BM18" s="1319">
        <f t="shared" si="31"/>
        <v>4.51</v>
      </c>
      <c r="BN18" s="1319">
        <f t="shared" si="32"/>
        <v>7.82</v>
      </c>
      <c r="BO18" s="1319">
        <v>0</v>
      </c>
      <c r="BP18" s="1319">
        <v>0</v>
      </c>
      <c r="BQ18" s="1320">
        <f t="shared" ref="BQ18" si="55">ROUND(SUM(BL18:BP18),2)</f>
        <v>48.44</v>
      </c>
      <c r="BR18" s="1319">
        <f t="shared" si="33"/>
        <v>81.260000000000005</v>
      </c>
      <c r="BS18" s="1319">
        <f t="shared" si="34"/>
        <v>18.059999999999999</v>
      </c>
      <c r="BT18" s="1319">
        <f t="shared" si="35"/>
        <v>15.64</v>
      </c>
      <c r="BU18" s="1107">
        <v>0</v>
      </c>
      <c r="BV18" s="1108">
        <f t="shared" ref="BV18" si="56">ROUND(SUM(BR18:BT18),2)</f>
        <v>114.96</v>
      </c>
      <c r="BW18" s="1112">
        <f t="shared" ref="BW18" si="57">BQ18+BV18</f>
        <v>163.39999999999998</v>
      </c>
      <c r="BX18" s="1112">
        <f t="shared" si="36"/>
        <v>1467.13</v>
      </c>
      <c r="BY18" s="1112">
        <v>0</v>
      </c>
      <c r="BZ18" s="1112">
        <f t="shared" si="37"/>
        <v>1467.13</v>
      </c>
      <c r="CA18" s="1321">
        <f>'CONCEPTOS Y PARAMETROS'!$A$102</f>
        <v>6255</v>
      </c>
      <c r="CB18" s="1112">
        <f t="shared" si="38"/>
        <v>342.8</v>
      </c>
      <c r="CC18" s="1113">
        <f t="shared" si="39"/>
        <v>723.73</v>
      </c>
      <c r="CD18" s="512"/>
      <c r="CE18" s="512"/>
      <c r="CF18" s="470">
        <f t="shared" si="40"/>
        <v>1031.23</v>
      </c>
      <c r="CG18" s="509">
        <f t="shared" si="41"/>
        <v>342.8</v>
      </c>
      <c r="CH18" s="498">
        <f t="shared" si="42"/>
        <v>12.5</v>
      </c>
      <c r="CI18" s="1491">
        <f t="shared" si="43"/>
        <v>320</v>
      </c>
      <c r="CJ18" s="1500">
        <v>2</v>
      </c>
      <c r="CK18" s="509">
        <f t="shared" si="44"/>
        <v>711.23</v>
      </c>
      <c r="CL18" s="1689">
        <f t="shared" si="45"/>
        <v>341.39</v>
      </c>
      <c r="CM18" s="1689">
        <f t="shared" si="46"/>
        <v>369.84000000000003</v>
      </c>
      <c r="CN18" s="510">
        <f t="shared" si="47"/>
        <v>0</v>
      </c>
      <c r="CO18" s="511">
        <v>0</v>
      </c>
      <c r="CP18" s="510">
        <f t="shared" si="48"/>
        <v>0</v>
      </c>
      <c r="CQ18" s="510">
        <f t="shared" si="49"/>
        <v>0</v>
      </c>
      <c r="CR18" s="496">
        <f t="shared" si="50"/>
        <v>1422.46</v>
      </c>
      <c r="CS18" s="510">
        <f t="shared" si="51"/>
        <v>163.39999999999998</v>
      </c>
      <c r="CT18" s="510">
        <f t="shared" si="52"/>
        <v>6255</v>
      </c>
      <c r="CU18" s="470"/>
      <c r="CV18" s="470"/>
      <c r="CW18" s="470"/>
      <c r="CX18" s="470"/>
      <c r="CY18" s="1149" t="s">
        <v>6345</v>
      </c>
      <c r="CZ18" s="1149" t="s">
        <v>7036</v>
      </c>
      <c r="DA18" s="1152"/>
      <c r="DB18" s="1642" t="s">
        <v>6573</v>
      </c>
      <c r="DC18" s="1642"/>
      <c r="DD18" s="1642" t="s">
        <v>6135</v>
      </c>
      <c r="DE18" s="1642" t="s">
        <v>6162</v>
      </c>
      <c r="DF18" s="1642" t="s">
        <v>6534</v>
      </c>
      <c r="DG18" s="1642"/>
      <c r="DH18" s="512"/>
      <c r="DI18" s="512"/>
      <c r="DJ18" s="512"/>
      <c r="DK18" s="512"/>
      <c r="DL18" s="512"/>
      <c r="DN18" s="471" t="str">
        <f>VLOOKUP(X18,Hoja1!$A$4:$B$10,2,0)</f>
        <v>ESPECIALISTA</v>
      </c>
      <c r="DO18" s="471" t="str">
        <f>VLOOKUP(S18,Hoja1!$D$4:$F$77,3,0)</f>
        <v>JEFE DE DIVISIÓN</v>
      </c>
      <c r="DP18" s="1156" t="str">
        <f t="shared" si="53"/>
        <v>0</v>
      </c>
      <c r="DQ18" s="1484">
        <f>IF(T18&lt;&gt;"0",(ROUND(IF(A18="EMPLEADO",eval_formula('CONCEPTOS Y PARAMETROS'!$C$8,NOMINA!V18,AU18+BF18,NOMINA!I18+NOMINA!J18),eval_formula('CONCEPTOS Y PARAMETROS'!$D$8,NOMINA!V18,AU18+BF18,NOMINA!I18+NOMINA!J18)),2))*IF(H18&lt;&gt;"",IF(MONTH(H18)=$BR$8,IF(YEAR(H18)&lt;$BT$7,1,0),0)))</f>
        <v>0</v>
      </c>
      <c r="DR18" s="1801" t="str">
        <f t="shared" si="54"/>
        <v>F</v>
      </c>
      <c r="DS18" s="1801"/>
    </row>
    <row r="19" spans="1:123" s="471" customFormat="1" ht="21.95" customHeight="1" x14ac:dyDescent="0.25">
      <c r="A19" s="508" t="s">
        <v>2846</v>
      </c>
      <c r="B19" s="1314">
        <f t="shared" ca="1" si="2"/>
        <v>3</v>
      </c>
      <c r="C19" s="1148">
        <v>8719807</v>
      </c>
      <c r="D19" s="1149" t="s">
        <v>4668</v>
      </c>
      <c r="E19" s="1135" t="s">
        <v>4622</v>
      </c>
      <c r="F19" s="1118">
        <v>25096</v>
      </c>
      <c r="G19" s="1135" t="s">
        <v>4620</v>
      </c>
      <c r="H19" s="1118">
        <v>39874</v>
      </c>
      <c r="I19" s="1140">
        <f t="shared" si="10"/>
        <v>16</v>
      </c>
      <c r="J19" s="1132">
        <v>4</v>
      </c>
      <c r="K19" s="1140">
        <f t="shared" si="11"/>
        <v>20</v>
      </c>
      <c r="L19" s="1145" t="s">
        <v>5518</v>
      </c>
      <c r="M19" s="1132"/>
      <c r="N19" s="1132"/>
      <c r="O19" s="1002" t="s">
        <v>1582</v>
      </c>
      <c r="P19" s="1132" t="s">
        <v>5185</v>
      </c>
      <c r="Q19" s="1315" t="str">
        <f>IFERROR(VLOOKUP(O19,CARGOS!A:E,2,0),"")</f>
        <v>00906</v>
      </c>
      <c r="R19" s="1316" t="s">
        <v>5944</v>
      </c>
      <c r="S19" s="1135" t="s">
        <v>2836</v>
      </c>
      <c r="T19" s="1107">
        <f>IFERROR(VLOOKUP(S19,'TAB EMP'!A:B,2,0),0)</f>
        <v>363</v>
      </c>
      <c r="U19" s="1108">
        <v>0</v>
      </c>
      <c r="V19" s="1107">
        <f t="shared" si="12"/>
        <v>363</v>
      </c>
      <c r="W19" s="1108">
        <f t="shared" si="13"/>
        <v>181.5</v>
      </c>
      <c r="X19" s="1135" t="s">
        <v>2885</v>
      </c>
      <c r="Y19" s="1135"/>
      <c r="Z19" s="1135">
        <v>0</v>
      </c>
      <c r="AA19" s="1107">
        <f>ROUND(IF(H19&lt;&gt;"",VLOOKUP(SUM(I19+J19),'CONCEPTOS Y PARAMETROS'!F:G,2,0)*V19,0),2)</f>
        <v>94.38</v>
      </c>
      <c r="AB19" s="1107">
        <f>IF(S19&lt;&gt;"",IF(M19="",'CONCEPTOS Y PARAMETROS'!$C$4,0),0)</f>
        <v>130</v>
      </c>
      <c r="AC19" s="1107">
        <f>IF(S19&lt;&gt;"",IF(M19="",'CONCEPTOS Y PARAMETROS'!$C$7*Z19,0),0)</f>
        <v>0</v>
      </c>
      <c r="AD19" s="1107">
        <f>IFERROR(ROUND(VLOOKUP($X19,'CONCEPTOS Y PARAMETROS'!H:I,2,0)*($V19+AA19+AB19+AC19),2),0)</f>
        <v>146.85</v>
      </c>
      <c r="AE19" s="1107">
        <f t="shared" si="14"/>
        <v>371.23</v>
      </c>
      <c r="AF19" s="1107">
        <f t="shared" si="15"/>
        <v>47.19</v>
      </c>
      <c r="AG19" s="1107">
        <f t="shared" si="16"/>
        <v>47.19</v>
      </c>
      <c r="AH19" s="1107">
        <f t="shared" si="17"/>
        <v>65</v>
      </c>
      <c r="AI19" s="1107">
        <f t="shared" si="18"/>
        <v>65</v>
      </c>
      <c r="AJ19" s="1107">
        <f t="shared" si="19"/>
        <v>73.430000000000007</v>
      </c>
      <c r="AK19" s="1107">
        <f t="shared" si="20"/>
        <v>73.42</v>
      </c>
      <c r="AL19" s="1108">
        <f t="shared" si="21"/>
        <v>185.62</v>
      </c>
      <c r="AM19" s="1108">
        <f t="shared" si="22"/>
        <v>185.61</v>
      </c>
      <c r="AN19" s="990">
        <v>0</v>
      </c>
      <c r="AO19" s="1147">
        <f>'CONCEPTOS Y PARAMETROS'!$C$18*AN19</f>
        <v>0</v>
      </c>
      <c r="AP19" s="990">
        <v>0</v>
      </c>
      <c r="AQ19" s="1147">
        <f>'CONCEPTOS Y PARAMETROS'!$C$21*AP19</f>
        <v>0</v>
      </c>
      <c r="AR19" s="1318">
        <v>0</v>
      </c>
      <c r="AS19" s="1318">
        <v>0</v>
      </c>
      <c r="AT19" s="1318">
        <f t="shared" si="23"/>
        <v>0</v>
      </c>
      <c r="AU19" s="1108">
        <f t="shared" si="24"/>
        <v>734.23</v>
      </c>
      <c r="AV19" s="1133">
        <v>0</v>
      </c>
      <c r="AW19" s="1108">
        <f t="shared" si="25"/>
        <v>0</v>
      </c>
      <c r="AX19" s="1107">
        <f>IF(T19&lt;&gt;"0",(ROUND(IF(A19="EMPLEADO",eval_formula('CONCEPTOS Y PARAMETROS'!$C$8,NOMINA!V19,NOMINA!$AU19,NOMINA!I19+NOMINA!J19),eval_formula('CONCEPTOS Y PARAMETROS'!$D$8,NOMINA!V19,NOMINA!$AU19,NOMINA!I19+NOMINA!J19)),2))*IF(H19&lt;&gt;"",IF(MONTH(H19)=$BR$8,IF(YEAR(H19)&lt;$BT$7,1,0),0)))</f>
        <v>0</v>
      </c>
      <c r="AY19" s="1108">
        <v>180</v>
      </c>
      <c r="AZ19" s="1107">
        <f>IFERROR(VLOOKUP(AY19,'CONCEPTOS Y PARAMETROS'!Y:Z,2,0),0)</f>
        <v>150</v>
      </c>
      <c r="BA19" s="1107">
        <f t="shared" si="26"/>
        <v>5506.73</v>
      </c>
      <c r="BB19" s="1107">
        <f t="shared" si="27"/>
        <v>0</v>
      </c>
      <c r="BC19" s="990">
        <v>0</v>
      </c>
      <c r="BD19" s="1107" t="str">
        <f t="shared" si="28"/>
        <v>0</v>
      </c>
      <c r="BE19" s="990">
        <v>0</v>
      </c>
      <c r="BF19" s="1107">
        <f t="shared" si="29"/>
        <v>0</v>
      </c>
      <c r="BG19" s="1108">
        <v>320</v>
      </c>
      <c r="BH19" s="1108">
        <v>0</v>
      </c>
      <c r="BI19" s="1132">
        <v>0</v>
      </c>
      <c r="BJ19" s="798">
        <v>12.5</v>
      </c>
      <c r="BK19" s="1108">
        <v>0</v>
      </c>
      <c r="BL19" s="1107">
        <f t="shared" si="30"/>
        <v>33.89</v>
      </c>
      <c r="BM19" s="1107">
        <f t="shared" si="31"/>
        <v>4.24</v>
      </c>
      <c r="BN19" s="1107">
        <f t="shared" si="32"/>
        <v>7.34</v>
      </c>
      <c r="BO19" s="1107">
        <v>0</v>
      </c>
      <c r="BP19" s="1107">
        <v>0</v>
      </c>
      <c r="BQ19" s="1320">
        <f t="shared" si="4"/>
        <v>45.47</v>
      </c>
      <c r="BR19" s="1107">
        <f t="shared" si="33"/>
        <v>76.25</v>
      </c>
      <c r="BS19" s="1107">
        <f t="shared" si="34"/>
        <v>16.940000000000001</v>
      </c>
      <c r="BT19" s="1107">
        <f t="shared" si="35"/>
        <v>14.68</v>
      </c>
      <c r="BU19" s="1107">
        <v>0</v>
      </c>
      <c r="BV19" s="1108">
        <f t="shared" si="0"/>
        <v>107.87</v>
      </c>
      <c r="BW19" s="1112">
        <f t="shared" si="1"/>
        <v>153.34</v>
      </c>
      <c r="BX19" s="1112">
        <f t="shared" si="36"/>
        <v>1376.68</v>
      </c>
      <c r="BY19" s="1112">
        <v>0</v>
      </c>
      <c r="BZ19" s="1112">
        <f t="shared" si="37"/>
        <v>1376.68</v>
      </c>
      <c r="CA19" s="1321">
        <f>'CONCEPTOS Y PARAMETROS'!$A$102</f>
        <v>6255</v>
      </c>
      <c r="CB19" s="1112">
        <f t="shared" si="38"/>
        <v>321.64999999999998</v>
      </c>
      <c r="CC19" s="1113">
        <f t="shared" si="39"/>
        <v>699.61</v>
      </c>
      <c r="CD19" s="512"/>
      <c r="CE19" s="512"/>
      <c r="CF19" s="470">
        <f t="shared" si="40"/>
        <v>1007.11</v>
      </c>
      <c r="CG19" s="495">
        <f t="shared" si="41"/>
        <v>321.64999999999998</v>
      </c>
      <c r="CH19" s="498">
        <f t="shared" si="42"/>
        <v>12.5</v>
      </c>
      <c r="CI19" s="1490">
        <f t="shared" si="43"/>
        <v>320</v>
      </c>
      <c r="CJ19" s="1500">
        <v>2</v>
      </c>
      <c r="CK19" s="495">
        <f t="shared" si="44"/>
        <v>687.11</v>
      </c>
      <c r="CL19" s="1689">
        <f t="shared" si="45"/>
        <v>329.81</v>
      </c>
      <c r="CM19" s="1689">
        <f t="shared" si="46"/>
        <v>357.3</v>
      </c>
      <c r="CN19" s="496">
        <f t="shared" si="47"/>
        <v>0</v>
      </c>
      <c r="CO19" s="497">
        <v>0</v>
      </c>
      <c r="CP19" s="496">
        <f t="shared" si="48"/>
        <v>0</v>
      </c>
      <c r="CQ19" s="496">
        <f t="shared" si="49"/>
        <v>0</v>
      </c>
      <c r="CR19" s="496">
        <f t="shared" si="50"/>
        <v>1374.22</v>
      </c>
      <c r="CS19" s="496">
        <f t="shared" si="51"/>
        <v>153.34</v>
      </c>
      <c r="CT19" s="496">
        <f t="shared" si="52"/>
        <v>6255</v>
      </c>
      <c r="CU19" s="470"/>
      <c r="CV19" s="470"/>
      <c r="CW19" s="470"/>
      <c r="CX19" s="470"/>
      <c r="CY19" s="1149" t="s">
        <v>6801</v>
      </c>
      <c r="CZ19" s="1149" t="s">
        <v>7035</v>
      </c>
      <c r="DA19" s="480"/>
      <c r="DB19" s="1642" t="s">
        <v>6134</v>
      </c>
      <c r="DC19" s="1642"/>
      <c r="DD19" s="1642" t="s">
        <v>6135</v>
      </c>
      <c r="DE19" s="1642" t="s">
        <v>6162</v>
      </c>
      <c r="DF19" s="1642" t="s">
        <v>6536</v>
      </c>
      <c r="DG19" s="1152"/>
      <c r="DH19" s="470"/>
      <c r="DI19" s="470"/>
      <c r="DJ19" s="470"/>
      <c r="DK19" s="470"/>
      <c r="DL19" s="470"/>
      <c r="DN19" s="471" t="str">
        <f>VLOOKUP(X19,Hoja1!$A$4:$B$10,2,0)</f>
        <v>PROFESIONAL</v>
      </c>
      <c r="DO19" s="471" t="str">
        <f>VLOOKUP(S19,Hoja1!$D$4:$F$77,3,0)</f>
        <v>JEFE DE DIVISIÓN</v>
      </c>
      <c r="DP19" s="1156" t="str">
        <f t="shared" si="53"/>
        <v>0</v>
      </c>
      <c r="DQ19" s="1484">
        <f>IF(T19&lt;&gt;"0",(ROUND(IF(A19="EMPLEADO",eval_formula('CONCEPTOS Y PARAMETROS'!$C$8,NOMINA!V19,AU19+BF19,NOMINA!I19+NOMINA!J19),eval_formula('CONCEPTOS Y PARAMETROS'!$D$8,NOMINA!V19,AU19+BF19,NOMINA!I19+NOMINA!J19)),2))*IF(H19&lt;&gt;"",IF(MONTH(H19)=$BR$8,IF(YEAR(H19)&lt;$BT$7,1,0),0)))</f>
        <v>0</v>
      </c>
      <c r="DR19" s="1801" t="str">
        <f t="shared" si="54"/>
        <v>F</v>
      </c>
      <c r="DS19" s="1801"/>
    </row>
    <row r="20" spans="1:123" s="471" customFormat="1" ht="21.95" customHeight="1" x14ac:dyDescent="0.25">
      <c r="A20" s="508" t="s">
        <v>2846</v>
      </c>
      <c r="B20" s="1314">
        <f t="shared" ca="1" si="2"/>
        <v>4</v>
      </c>
      <c r="C20" s="1148">
        <v>10404528</v>
      </c>
      <c r="D20" s="1149" t="s">
        <v>4669</v>
      </c>
      <c r="E20" s="1135" t="s">
        <v>4622</v>
      </c>
      <c r="F20" s="1118">
        <v>25332</v>
      </c>
      <c r="G20" s="1135" t="s">
        <v>4621</v>
      </c>
      <c r="H20" s="1118">
        <v>37622</v>
      </c>
      <c r="I20" s="1140">
        <f t="shared" si="10"/>
        <v>22</v>
      </c>
      <c r="J20" s="1132">
        <v>0</v>
      </c>
      <c r="K20" s="1140">
        <f t="shared" si="11"/>
        <v>22</v>
      </c>
      <c r="L20" s="1145" t="s">
        <v>5519</v>
      </c>
      <c r="M20" s="1132"/>
      <c r="N20" s="1132"/>
      <c r="O20" s="1002" t="s">
        <v>1582</v>
      </c>
      <c r="P20" s="1132" t="s">
        <v>5186</v>
      </c>
      <c r="Q20" s="1315" t="str">
        <f>IFERROR(VLOOKUP(O20,CARGOS!A:E,2,0),"")</f>
        <v>00906</v>
      </c>
      <c r="R20" s="1316" t="s">
        <v>5945</v>
      </c>
      <c r="S20" s="1135" t="s">
        <v>2836</v>
      </c>
      <c r="T20" s="1107">
        <f>IFERROR(VLOOKUP(S20,'TAB EMP'!A:B,2,0),0)</f>
        <v>363</v>
      </c>
      <c r="U20" s="1108">
        <v>0</v>
      </c>
      <c r="V20" s="1107">
        <f t="shared" si="12"/>
        <v>363</v>
      </c>
      <c r="W20" s="1108">
        <f t="shared" si="13"/>
        <v>181.5</v>
      </c>
      <c r="X20" s="1135" t="s">
        <v>2885</v>
      </c>
      <c r="Y20" s="1135"/>
      <c r="Z20" s="1135">
        <v>1</v>
      </c>
      <c r="AA20" s="1107">
        <f>ROUND(IF(H20&lt;&gt;"",VLOOKUP(SUM(I20+J20),'CONCEPTOS Y PARAMETROS'!F:G,2,0)*V20,0),2)</f>
        <v>107.45</v>
      </c>
      <c r="AB20" s="1107">
        <f>IF(S20&lt;&gt;"",IF(M20="",'CONCEPTOS Y PARAMETROS'!$C$4,0),0)</f>
        <v>130</v>
      </c>
      <c r="AC20" s="1107">
        <f>IF(S20&lt;&gt;"",IF(M20="",'CONCEPTOS Y PARAMETROS'!$C$7*Z20,0),0)</f>
        <v>12.5</v>
      </c>
      <c r="AD20" s="1107">
        <f>IFERROR(ROUND(VLOOKUP($X20,'CONCEPTOS Y PARAMETROS'!H:I,2,0)*($V20+AA20+AB20+AC20),2),0)</f>
        <v>153.24</v>
      </c>
      <c r="AE20" s="1107">
        <f t="shared" si="14"/>
        <v>403.19</v>
      </c>
      <c r="AF20" s="1107">
        <f t="shared" si="15"/>
        <v>53.73</v>
      </c>
      <c r="AG20" s="1107">
        <f t="shared" si="16"/>
        <v>53.72</v>
      </c>
      <c r="AH20" s="1107">
        <f t="shared" si="17"/>
        <v>65</v>
      </c>
      <c r="AI20" s="1107">
        <f t="shared" si="18"/>
        <v>65</v>
      </c>
      <c r="AJ20" s="1107">
        <f t="shared" si="19"/>
        <v>76.62</v>
      </c>
      <c r="AK20" s="1107">
        <f t="shared" si="20"/>
        <v>76.62</v>
      </c>
      <c r="AL20" s="1108">
        <f t="shared" si="21"/>
        <v>207.85</v>
      </c>
      <c r="AM20" s="1108">
        <f t="shared" si="22"/>
        <v>195.34</v>
      </c>
      <c r="AN20" s="1453">
        <v>1</v>
      </c>
      <c r="AO20" s="1147">
        <f>'CONCEPTOS Y PARAMETROS'!$C$18*AN20</f>
        <v>12.5</v>
      </c>
      <c r="AP20" s="990">
        <v>0</v>
      </c>
      <c r="AQ20" s="1147">
        <f>'CONCEPTOS Y PARAMETROS'!$C$21*AP20</f>
        <v>0</v>
      </c>
      <c r="AR20" s="1318">
        <v>0</v>
      </c>
      <c r="AS20" s="1318">
        <v>0</v>
      </c>
      <c r="AT20" s="1318">
        <f t="shared" si="23"/>
        <v>12.5</v>
      </c>
      <c r="AU20" s="1108">
        <f t="shared" si="24"/>
        <v>766.19</v>
      </c>
      <c r="AV20" s="1133">
        <v>0</v>
      </c>
      <c r="AW20" s="1108">
        <f t="shared" si="25"/>
        <v>0</v>
      </c>
      <c r="AX20" s="1107">
        <f>IF(T20&lt;&gt;"0",(ROUND(IF(A20="EMPLEADO",eval_formula('CONCEPTOS Y PARAMETROS'!$C$8,NOMINA!V20,NOMINA!$AU20,NOMINA!I20+NOMINA!J20),eval_formula('CONCEPTOS Y PARAMETROS'!$D$8,NOMINA!V20,NOMINA!$AU20,NOMINA!I20+NOMINA!J20)),2))*IF(H20&lt;&gt;"",IF(MONTH(H20)=$BR$8,IF(YEAR(H20)&lt;$BT$7,1,0),0)))</f>
        <v>0</v>
      </c>
      <c r="AY20" s="1108">
        <v>180</v>
      </c>
      <c r="AZ20" s="1107">
        <f>IFERROR(VLOOKUP(AY20,'CONCEPTOS Y PARAMETROS'!Y:Z,2,0),0)</f>
        <v>150</v>
      </c>
      <c r="BA20" s="1107">
        <f t="shared" si="26"/>
        <v>5746.43</v>
      </c>
      <c r="BB20" s="1107">
        <f t="shared" si="27"/>
        <v>0</v>
      </c>
      <c r="BC20" s="990">
        <v>0</v>
      </c>
      <c r="BD20" s="1107" t="str">
        <f t="shared" si="28"/>
        <v>0</v>
      </c>
      <c r="BE20" s="990">
        <v>0</v>
      </c>
      <c r="BF20" s="1107">
        <f t="shared" si="29"/>
        <v>0</v>
      </c>
      <c r="BG20" s="1108">
        <v>320</v>
      </c>
      <c r="BH20" s="1108">
        <v>0</v>
      </c>
      <c r="BI20" s="1132">
        <v>0</v>
      </c>
      <c r="BJ20" s="798">
        <v>12.5</v>
      </c>
      <c r="BK20" s="1108">
        <v>0</v>
      </c>
      <c r="BL20" s="1107">
        <f t="shared" si="30"/>
        <v>35.36</v>
      </c>
      <c r="BM20" s="1107">
        <f t="shared" si="31"/>
        <v>4.42</v>
      </c>
      <c r="BN20" s="1107">
        <f t="shared" si="32"/>
        <v>7.66</v>
      </c>
      <c r="BO20" s="1107">
        <v>0</v>
      </c>
      <c r="BP20" s="1107">
        <v>0</v>
      </c>
      <c r="BQ20" s="1320">
        <f t="shared" si="4"/>
        <v>47.44</v>
      </c>
      <c r="BR20" s="1107">
        <f t="shared" si="33"/>
        <v>79.569999999999993</v>
      </c>
      <c r="BS20" s="1107">
        <f t="shared" si="34"/>
        <v>17.68</v>
      </c>
      <c r="BT20" s="1107">
        <f t="shared" si="35"/>
        <v>15.32</v>
      </c>
      <c r="BU20" s="1107">
        <v>0</v>
      </c>
      <c r="BV20" s="1108">
        <f t="shared" si="0"/>
        <v>112.57</v>
      </c>
      <c r="BW20" s="1112">
        <f t="shared" si="1"/>
        <v>160.01</v>
      </c>
      <c r="BX20" s="1112">
        <f t="shared" si="36"/>
        <v>1436.61</v>
      </c>
      <c r="BY20" s="1112">
        <v>0</v>
      </c>
      <c r="BZ20" s="1112">
        <f t="shared" si="37"/>
        <v>1436.61</v>
      </c>
      <c r="CA20" s="1321">
        <f>'CONCEPTOS Y PARAMETROS'!$A$102</f>
        <v>6255</v>
      </c>
      <c r="CB20" s="1112">
        <f t="shared" si="38"/>
        <v>341.91</v>
      </c>
      <c r="CC20" s="1113">
        <f t="shared" si="39"/>
        <v>721.84</v>
      </c>
      <c r="CD20" s="512"/>
      <c r="CE20" s="512"/>
      <c r="CF20" s="470">
        <f t="shared" si="40"/>
        <v>1016.84</v>
      </c>
      <c r="CG20" s="495">
        <f t="shared" si="41"/>
        <v>341.91</v>
      </c>
      <c r="CH20" s="498">
        <f t="shared" si="42"/>
        <v>25</v>
      </c>
      <c r="CI20" s="1490">
        <f t="shared" si="43"/>
        <v>320</v>
      </c>
      <c r="CJ20" s="1500">
        <v>2</v>
      </c>
      <c r="CK20" s="495">
        <f t="shared" si="44"/>
        <v>696.84</v>
      </c>
      <c r="CL20" s="1689">
        <f t="shared" si="45"/>
        <v>334.48</v>
      </c>
      <c r="CM20" s="1689">
        <f t="shared" si="46"/>
        <v>362.36</v>
      </c>
      <c r="CN20" s="496">
        <f t="shared" si="47"/>
        <v>0</v>
      </c>
      <c r="CO20" s="497">
        <v>0</v>
      </c>
      <c r="CP20" s="496">
        <f t="shared" si="48"/>
        <v>0</v>
      </c>
      <c r="CQ20" s="496">
        <f t="shared" si="49"/>
        <v>0</v>
      </c>
      <c r="CR20" s="496">
        <f t="shared" si="50"/>
        <v>1393.6800000000003</v>
      </c>
      <c r="CS20" s="496">
        <f t="shared" si="51"/>
        <v>160.01</v>
      </c>
      <c r="CT20" s="496">
        <f t="shared" si="52"/>
        <v>6255</v>
      </c>
      <c r="CU20" s="470"/>
      <c r="CV20" s="470"/>
      <c r="CW20" s="470"/>
      <c r="CX20" s="470"/>
      <c r="CY20" s="1149" t="s">
        <v>6801</v>
      </c>
      <c r="CZ20" s="1149" t="s">
        <v>6863</v>
      </c>
      <c r="DA20" s="480"/>
      <c r="DB20" s="1642" t="s">
        <v>6136</v>
      </c>
      <c r="DC20" s="1642"/>
      <c r="DD20" s="1642" t="s">
        <v>6137</v>
      </c>
      <c r="DE20" s="1642" t="s">
        <v>6138</v>
      </c>
      <c r="DF20" s="1642" t="s">
        <v>6360</v>
      </c>
      <c r="DG20" s="1642"/>
      <c r="DH20" s="470"/>
      <c r="DI20" s="470"/>
      <c r="DJ20" s="470"/>
      <c r="DK20" s="470"/>
      <c r="DL20" s="470"/>
      <c r="DN20" s="471" t="str">
        <f>VLOOKUP(X20,Hoja1!$A$4:$B$10,2,0)</f>
        <v>PROFESIONAL</v>
      </c>
      <c r="DO20" s="471" t="str">
        <f>VLOOKUP(S20,Hoja1!$D$4:$F$77,3,0)</f>
        <v>JEFE DE DIVISIÓN</v>
      </c>
      <c r="DP20" s="1156" t="str">
        <f t="shared" si="53"/>
        <v>0</v>
      </c>
      <c r="DQ20" s="1484">
        <f>IF(T20&lt;&gt;"0",(ROUND(IF(A20="EMPLEADO",eval_formula('CONCEPTOS Y PARAMETROS'!$C$8,NOMINA!V20,AU20+BF20,NOMINA!I20+NOMINA!J20),eval_formula('CONCEPTOS Y PARAMETROS'!$D$8,NOMINA!V20,AU20+BF20,NOMINA!I20+NOMINA!J20)),2))*IF(H20&lt;&gt;"",IF(MONTH(H20)=$BR$8,IF(YEAR(H20)&lt;$BT$7,1,0),0)))</f>
        <v>0</v>
      </c>
      <c r="DR20" s="1801" t="str">
        <f t="shared" si="54"/>
        <v>M</v>
      </c>
      <c r="DS20" s="1801"/>
    </row>
    <row r="21" spans="1:123" s="471" customFormat="1" ht="21.95" customHeight="1" x14ac:dyDescent="0.25">
      <c r="A21" s="508" t="s">
        <v>2846</v>
      </c>
      <c r="B21" s="1314">
        <f t="shared" ca="1" si="2"/>
        <v>5</v>
      </c>
      <c r="C21" s="1148">
        <v>9311822</v>
      </c>
      <c r="D21" s="1149" t="s">
        <v>7566</v>
      </c>
      <c r="E21" s="1135" t="s">
        <v>4622</v>
      </c>
      <c r="F21" s="1118">
        <v>23743</v>
      </c>
      <c r="G21" s="1135" t="s">
        <v>4621</v>
      </c>
      <c r="H21" s="1118">
        <v>37662</v>
      </c>
      <c r="I21" s="1140">
        <f t="shared" si="10"/>
        <v>22</v>
      </c>
      <c r="J21" s="1132">
        <v>0</v>
      </c>
      <c r="K21" s="1140">
        <f t="shared" si="11"/>
        <v>22</v>
      </c>
      <c r="L21" s="1145" t="s">
        <v>5520</v>
      </c>
      <c r="M21" s="1132"/>
      <c r="N21" s="1132"/>
      <c r="O21" s="1002" t="s">
        <v>1582</v>
      </c>
      <c r="P21" s="1132" t="s">
        <v>5187</v>
      </c>
      <c r="Q21" s="1315" t="str">
        <f>IFERROR(VLOOKUP(O21,CARGOS!A:E,2,0),"")</f>
        <v>00906</v>
      </c>
      <c r="R21" s="1316" t="s">
        <v>5946</v>
      </c>
      <c r="S21" s="1135" t="s">
        <v>2836</v>
      </c>
      <c r="T21" s="1107">
        <f>IFERROR(VLOOKUP(S21,'TAB EMP'!A:B,2,0),0)</f>
        <v>363</v>
      </c>
      <c r="U21" s="1108">
        <v>0</v>
      </c>
      <c r="V21" s="1107">
        <f t="shared" si="12"/>
        <v>363</v>
      </c>
      <c r="W21" s="1108">
        <f t="shared" si="13"/>
        <v>181.5</v>
      </c>
      <c r="X21" s="1135" t="s">
        <v>2884</v>
      </c>
      <c r="Y21" s="1135"/>
      <c r="Z21" s="1135">
        <v>0</v>
      </c>
      <c r="AA21" s="1107">
        <f>ROUND(IF(H21&lt;&gt;"",VLOOKUP(SUM(I21+J21),'CONCEPTOS Y PARAMETROS'!F:G,2,0)*V21,0),2)</f>
        <v>107.45</v>
      </c>
      <c r="AB21" s="1107">
        <f>IF(S21&lt;&gt;"",IF(M21="",'CONCEPTOS Y PARAMETROS'!$C$4,0),0)</f>
        <v>130</v>
      </c>
      <c r="AC21" s="1107">
        <f>IF(S21&lt;&gt;"",IF(M21="",'CONCEPTOS Y PARAMETROS'!$C$7*Z21,0),0)</f>
        <v>0</v>
      </c>
      <c r="AD21" s="1107">
        <f>IFERROR(ROUND(VLOOKUP($X21,'CONCEPTOS Y PARAMETROS'!H:I,2,0)*($V21+AA21+AB21+AC21),2),0)</f>
        <v>0</v>
      </c>
      <c r="AE21" s="1107">
        <f t="shared" si="14"/>
        <v>237.45</v>
      </c>
      <c r="AF21" s="1107">
        <f t="shared" si="15"/>
        <v>53.73</v>
      </c>
      <c r="AG21" s="1107">
        <f t="shared" si="16"/>
        <v>53.72</v>
      </c>
      <c r="AH21" s="1107">
        <f t="shared" si="17"/>
        <v>65</v>
      </c>
      <c r="AI21" s="1107">
        <f t="shared" si="18"/>
        <v>65</v>
      </c>
      <c r="AJ21" s="1107">
        <f t="shared" si="19"/>
        <v>0</v>
      </c>
      <c r="AK21" s="1107">
        <f t="shared" si="20"/>
        <v>0</v>
      </c>
      <c r="AL21" s="1108">
        <f t="shared" si="21"/>
        <v>118.73</v>
      </c>
      <c r="AM21" s="1108">
        <f t="shared" si="22"/>
        <v>118.72</v>
      </c>
      <c r="AN21" s="990">
        <v>0</v>
      </c>
      <c r="AO21" s="1147">
        <f>'CONCEPTOS Y PARAMETROS'!$C$18*AN21</f>
        <v>0</v>
      </c>
      <c r="AP21" s="990">
        <v>0</v>
      </c>
      <c r="AQ21" s="1147">
        <f>'CONCEPTOS Y PARAMETROS'!$C$21*AP21</f>
        <v>0</v>
      </c>
      <c r="AR21" s="1318">
        <v>0</v>
      </c>
      <c r="AS21" s="1318">
        <v>0</v>
      </c>
      <c r="AT21" s="1318">
        <f t="shared" si="23"/>
        <v>0</v>
      </c>
      <c r="AU21" s="1108">
        <f t="shared" si="24"/>
        <v>600.45000000000005</v>
      </c>
      <c r="AV21" s="1133">
        <v>0</v>
      </c>
      <c r="AW21" s="1108">
        <f t="shared" si="25"/>
        <v>0</v>
      </c>
      <c r="AX21" s="1107">
        <f>IF(T21&lt;&gt;"0",(ROUND(IF(A21="EMPLEADO",eval_formula('CONCEPTOS Y PARAMETROS'!$C$8,NOMINA!V21,NOMINA!$AU21,NOMINA!I21+NOMINA!J21),eval_formula('CONCEPTOS Y PARAMETROS'!$D$8,NOMINA!V21,NOMINA!$AU21,NOMINA!I21+NOMINA!J21)),2))*IF(H21&lt;&gt;"",IF(MONTH(H21)=$BR$8,IF(YEAR(H21)&lt;$BT$7,1,0),0)))</f>
        <v>0</v>
      </c>
      <c r="AY21" s="1108">
        <v>180</v>
      </c>
      <c r="AZ21" s="1107">
        <f>IFERROR(VLOOKUP(AY21,'CONCEPTOS Y PARAMETROS'!Y:Z,2,0),0)</f>
        <v>150</v>
      </c>
      <c r="BA21" s="1107">
        <f t="shared" si="26"/>
        <v>4503.38</v>
      </c>
      <c r="BB21" s="1107">
        <f t="shared" si="27"/>
        <v>0</v>
      </c>
      <c r="BC21" s="990">
        <v>0</v>
      </c>
      <c r="BD21" s="1107" t="str">
        <f t="shared" si="28"/>
        <v>0</v>
      </c>
      <c r="BE21" s="990">
        <v>0</v>
      </c>
      <c r="BF21" s="1107">
        <f t="shared" si="29"/>
        <v>0</v>
      </c>
      <c r="BG21" s="1108">
        <v>320</v>
      </c>
      <c r="BH21" s="1108">
        <v>0</v>
      </c>
      <c r="BI21" s="1132">
        <v>0</v>
      </c>
      <c r="BJ21" s="798">
        <v>12.5</v>
      </c>
      <c r="BK21" s="1108">
        <v>0</v>
      </c>
      <c r="BL21" s="1107">
        <f t="shared" si="30"/>
        <v>27.71</v>
      </c>
      <c r="BM21" s="1107">
        <f t="shared" si="31"/>
        <v>3.46</v>
      </c>
      <c r="BN21" s="1107">
        <f t="shared" si="32"/>
        <v>6</v>
      </c>
      <c r="BO21" s="1107">
        <v>0</v>
      </c>
      <c r="BP21" s="1107">
        <v>0</v>
      </c>
      <c r="BQ21" s="1320">
        <f t="shared" si="4"/>
        <v>37.17</v>
      </c>
      <c r="BR21" s="1107">
        <f t="shared" si="33"/>
        <v>62.35</v>
      </c>
      <c r="BS21" s="1107">
        <f t="shared" si="34"/>
        <v>13.86</v>
      </c>
      <c r="BT21" s="1107">
        <f t="shared" si="35"/>
        <v>12</v>
      </c>
      <c r="BU21" s="1107">
        <v>0</v>
      </c>
      <c r="BV21" s="1108">
        <f t="shared" si="0"/>
        <v>88.21</v>
      </c>
      <c r="BW21" s="1112">
        <f t="shared" si="1"/>
        <v>125.38</v>
      </c>
      <c r="BX21" s="1112">
        <f t="shared" si="36"/>
        <v>1125.8499999999999</v>
      </c>
      <c r="BY21" s="1112">
        <v>0</v>
      </c>
      <c r="BZ21" s="1112">
        <f t="shared" si="37"/>
        <v>1125.8499999999999</v>
      </c>
      <c r="CA21" s="1321">
        <f>'CONCEPTOS Y PARAMETROS'!$A$102</f>
        <v>6255</v>
      </c>
      <c r="CB21" s="1112">
        <f t="shared" si="38"/>
        <v>263.06</v>
      </c>
      <c r="CC21" s="1113">
        <f t="shared" si="39"/>
        <v>632.72</v>
      </c>
      <c r="CD21" s="512"/>
      <c r="CE21" s="512"/>
      <c r="CF21" s="470">
        <f t="shared" si="40"/>
        <v>940.22</v>
      </c>
      <c r="CG21" s="495">
        <f t="shared" si="41"/>
        <v>263.06</v>
      </c>
      <c r="CH21" s="498">
        <f t="shared" si="42"/>
        <v>12.5</v>
      </c>
      <c r="CI21" s="1490">
        <f t="shared" si="43"/>
        <v>320</v>
      </c>
      <c r="CJ21" s="1500">
        <v>2</v>
      </c>
      <c r="CK21" s="495">
        <f t="shared" si="44"/>
        <v>620.22</v>
      </c>
      <c r="CL21" s="1689">
        <f t="shared" si="45"/>
        <v>297.70999999999998</v>
      </c>
      <c r="CM21" s="1689">
        <f t="shared" si="46"/>
        <v>322.51000000000005</v>
      </c>
      <c r="CN21" s="496">
        <f t="shared" si="47"/>
        <v>0</v>
      </c>
      <c r="CO21" s="497">
        <v>0</v>
      </c>
      <c r="CP21" s="496">
        <f t="shared" si="48"/>
        <v>0</v>
      </c>
      <c r="CQ21" s="496">
        <f t="shared" si="49"/>
        <v>0</v>
      </c>
      <c r="CR21" s="496">
        <f t="shared" si="50"/>
        <v>1240.44</v>
      </c>
      <c r="CS21" s="496">
        <f t="shared" si="51"/>
        <v>125.38</v>
      </c>
      <c r="CT21" s="496">
        <f t="shared" si="52"/>
        <v>6255</v>
      </c>
      <c r="CU21" s="470"/>
      <c r="CV21" s="470"/>
      <c r="CW21" s="470"/>
      <c r="CX21" s="470"/>
      <c r="CY21" s="1149" t="s">
        <v>7037</v>
      </c>
      <c r="CZ21" s="1149" t="s">
        <v>7038</v>
      </c>
      <c r="DA21" s="480"/>
      <c r="DB21" s="1642" t="s">
        <v>6139</v>
      </c>
      <c r="DC21" s="1642"/>
      <c r="DD21" s="1642" t="s">
        <v>6133</v>
      </c>
      <c r="DE21" s="1642" t="s">
        <v>6140</v>
      </c>
      <c r="DF21" s="1642" t="s">
        <v>6537</v>
      </c>
      <c r="DG21" s="1642"/>
      <c r="DH21" s="470"/>
      <c r="DI21" s="470"/>
      <c r="DJ21" s="470"/>
      <c r="DK21" s="470"/>
      <c r="DL21" s="470"/>
      <c r="DN21" s="471" t="str">
        <f>VLOOKUP(X21,Hoja1!$A$4:$B$10,2,0)</f>
        <v>BACHILLER</v>
      </c>
      <c r="DO21" s="471" t="str">
        <f>VLOOKUP(S21,Hoja1!$D$4:$F$77,3,0)</f>
        <v>JEFE DE DIVISIÓN</v>
      </c>
      <c r="DP21" s="1156" t="str">
        <f t="shared" si="53"/>
        <v>0</v>
      </c>
      <c r="DQ21" s="1484">
        <f>IF(T21&lt;&gt;"0",(ROUND(IF(A21="EMPLEADO",eval_formula('CONCEPTOS Y PARAMETROS'!$C$8,NOMINA!V21,AU21+BF21,NOMINA!I21+NOMINA!J21),eval_formula('CONCEPTOS Y PARAMETROS'!$D$8,NOMINA!V21,AU21+BF21,NOMINA!I21+NOMINA!J21)),2))*IF(H21&lt;&gt;"",IF(MONTH(H21)=$BR$8,IF(YEAR(H21)&lt;$BT$7,1,0),0)))</f>
        <v>0</v>
      </c>
      <c r="DR21" s="1801" t="str">
        <f t="shared" si="54"/>
        <v>M</v>
      </c>
      <c r="DS21" s="1801"/>
    </row>
    <row r="22" spans="1:123" s="476" customFormat="1" ht="21.95" customHeight="1" x14ac:dyDescent="0.25">
      <c r="A22" s="508" t="s">
        <v>2846</v>
      </c>
      <c r="B22" s="1314">
        <f t="shared" ca="1" si="2"/>
        <v>6</v>
      </c>
      <c r="C22" s="1148">
        <v>21592108</v>
      </c>
      <c r="D22" s="1149" t="s">
        <v>4682</v>
      </c>
      <c r="E22" s="1135" t="s">
        <v>4622</v>
      </c>
      <c r="F22" s="1118">
        <v>33800</v>
      </c>
      <c r="G22" s="1135" t="s">
        <v>4620</v>
      </c>
      <c r="H22" s="1118">
        <v>43024</v>
      </c>
      <c r="I22" s="1140">
        <f t="shared" si="10"/>
        <v>7</v>
      </c>
      <c r="J22" s="1132">
        <v>0</v>
      </c>
      <c r="K22" s="1140">
        <f t="shared" si="11"/>
        <v>7</v>
      </c>
      <c r="L22" s="1145" t="s">
        <v>5540</v>
      </c>
      <c r="M22" s="1132"/>
      <c r="N22" s="1132"/>
      <c r="O22" s="1002" t="s">
        <v>1582</v>
      </c>
      <c r="P22" s="1132" t="s">
        <v>5193</v>
      </c>
      <c r="Q22" s="1315" t="str">
        <f>IFERROR(VLOOKUP(O22,CARGOS!A:E,2,0),"")</f>
        <v>00906</v>
      </c>
      <c r="R22" s="1316" t="s">
        <v>6703</v>
      </c>
      <c r="S22" s="1135" t="s">
        <v>2836</v>
      </c>
      <c r="T22" s="1107">
        <f>IFERROR(VLOOKUP(S22,'TAB EMP'!A:B,2,0),0)</f>
        <v>363</v>
      </c>
      <c r="U22" s="1108">
        <v>0</v>
      </c>
      <c r="V22" s="1107">
        <f t="shared" si="12"/>
        <v>363</v>
      </c>
      <c r="W22" s="1108">
        <f t="shared" si="13"/>
        <v>181.5</v>
      </c>
      <c r="X22" s="1135" t="s">
        <v>2844</v>
      </c>
      <c r="Y22" s="1135"/>
      <c r="Z22" s="1135">
        <v>1</v>
      </c>
      <c r="AA22" s="1107">
        <f>ROUND(IF(H22&lt;&gt;"",VLOOKUP(SUM(I22+J22),'CONCEPTOS Y PARAMETROS'!F:G,2,0)*V22,0),2)</f>
        <v>26.86</v>
      </c>
      <c r="AB22" s="1107">
        <f>IF(S22&lt;&gt;"",IF(M22="",'CONCEPTOS Y PARAMETROS'!$C$4,0),0)</f>
        <v>130</v>
      </c>
      <c r="AC22" s="1107">
        <f>IF(S22&lt;&gt;"",IF(M22="",'CONCEPTOS Y PARAMETROS'!$C$7*Z22,0),0)</f>
        <v>12.5</v>
      </c>
      <c r="AD22" s="1107">
        <f>IFERROR(ROUND(VLOOKUP($X22,'CONCEPTOS Y PARAMETROS'!H:I,2,0)*($V22+AA22+AB22+AC22),2),0)</f>
        <v>106.47</v>
      </c>
      <c r="AE22" s="1107">
        <f t="shared" si="14"/>
        <v>275.83000000000004</v>
      </c>
      <c r="AF22" s="1107">
        <f t="shared" si="15"/>
        <v>13.43</v>
      </c>
      <c r="AG22" s="1107">
        <f t="shared" si="16"/>
        <v>13.43</v>
      </c>
      <c r="AH22" s="1107">
        <f t="shared" si="17"/>
        <v>65</v>
      </c>
      <c r="AI22" s="1107">
        <f t="shared" si="18"/>
        <v>65</v>
      </c>
      <c r="AJ22" s="1107">
        <f t="shared" si="19"/>
        <v>53.24</v>
      </c>
      <c r="AK22" s="1107">
        <f t="shared" si="20"/>
        <v>53.23</v>
      </c>
      <c r="AL22" s="1108">
        <f t="shared" si="21"/>
        <v>144.16999999999999</v>
      </c>
      <c r="AM22" s="1108">
        <f t="shared" si="22"/>
        <v>131.66</v>
      </c>
      <c r="AN22" s="990">
        <v>0</v>
      </c>
      <c r="AO22" s="1147">
        <f>'CONCEPTOS Y PARAMETROS'!$C$18*AN22</f>
        <v>0</v>
      </c>
      <c r="AP22" s="990">
        <v>0</v>
      </c>
      <c r="AQ22" s="1147">
        <f>'CONCEPTOS Y PARAMETROS'!$C$21*AP22</f>
        <v>0</v>
      </c>
      <c r="AR22" s="1318">
        <v>0</v>
      </c>
      <c r="AS22" s="1318">
        <v>0</v>
      </c>
      <c r="AT22" s="1318">
        <f t="shared" ref="AT22" si="58">+AO22+AQ22+AR22+AS22</f>
        <v>0</v>
      </c>
      <c r="AU22" s="1108">
        <f t="shared" si="24"/>
        <v>638.83000000000004</v>
      </c>
      <c r="AV22" s="1133">
        <v>0</v>
      </c>
      <c r="AW22" s="1108">
        <f t="shared" si="25"/>
        <v>0</v>
      </c>
      <c r="AX22" s="1107">
        <f>IF(T22&lt;&gt;"0",(ROUND(IF(A22="EMPLEADO",eval_formula('CONCEPTOS Y PARAMETROS'!$C$8,NOMINA!V22,NOMINA!$AU22,NOMINA!I22+NOMINA!J22),eval_formula('CONCEPTOS Y PARAMETROS'!$D$8,NOMINA!V22,NOMINA!$AU22,NOMINA!I22+NOMINA!J22)),2))*IF(H22&lt;&gt;"",IF(MONTH(H22)=$BR$8,IF(YEAR(H22)&lt;$BT$7,1,0),0)))</f>
        <v>0</v>
      </c>
      <c r="AY22" s="1108">
        <v>180</v>
      </c>
      <c r="AZ22" s="1107">
        <f>IFERROR(VLOOKUP(AY22,'CONCEPTOS Y PARAMETROS'!Y:Z,2,0),0)</f>
        <v>150</v>
      </c>
      <c r="BA22" s="1107">
        <f t="shared" si="26"/>
        <v>4791.2299999999996</v>
      </c>
      <c r="BB22" s="1107">
        <f t="shared" si="27"/>
        <v>0</v>
      </c>
      <c r="BC22" s="990">
        <v>0</v>
      </c>
      <c r="BD22" s="1107" t="str">
        <f t="shared" si="28"/>
        <v>0</v>
      </c>
      <c r="BE22" s="990">
        <v>0</v>
      </c>
      <c r="BF22" s="1107">
        <f t="shared" si="29"/>
        <v>0</v>
      </c>
      <c r="BG22" s="1108">
        <v>320</v>
      </c>
      <c r="BH22" s="1108">
        <v>0</v>
      </c>
      <c r="BI22" s="1132">
        <v>0</v>
      </c>
      <c r="BJ22" s="798">
        <v>12.5</v>
      </c>
      <c r="BK22" s="1108">
        <v>0</v>
      </c>
      <c r="BL22" s="1107">
        <f t="shared" si="30"/>
        <v>29.48</v>
      </c>
      <c r="BM22" s="1107">
        <f t="shared" si="31"/>
        <v>3.69</v>
      </c>
      <c r="BN22" s="1107">
        <f t="shared" si="32"/>
        <v>6.39</v>
      </c>
      <c r="BO22" s="1107">
        <v>0</v>
      </c>
      <c r="BP22" s="1107">
        <v>0</v>
      </c>
      <c r="BQ22" s="1320">
        <f t="shared" ref="BQ22" si="59">ROUND(SUM(BL22:BP22),2)</f>
        <v>39.56</v>
      </c>
      <c r="BR22" s="1107">
        <f t="shared" si="33"/>
        <v>66.34</v>
      </c>
      <c r="BS22" s="1107">
        <f t="shared" si="34"/>
        <v>14.74</v>
      </c>
      <c r="BT22" s="1107">
        <f t="shared" si="35"/>
        <v>12.78</v>
      </c>
      <c r="BU22" s="1107">
        <v>0</v>
      </c>
      <c r="BV22" s="1107">
        <f t="shared" ref="BV22" si="60">ROUND(SUM(BR22:BT22),2)</f>
        <v>93.86</v>
      </c>
      <c r="BW22" s="1421">
        <f t="shared" ref="BW22" si="61">BQ22+BV22</f>
        <v>133.42000000000002</v>
      </c>
      <c r="BX22" s="1112">
        <f t="shared" si="36"/>
        <v>1197.81</v>
      </c>
      <c r="BY22" s="1112">
        <v>0</v>
      </c>
      <c r="BZ22" s="1112">
        <f t="shared" si="37"/>
        <v>1197.81</v>
      </c>
      <c r="CA22" s="1321">
        <f>'CONCEPTOS Y PARAMETROS'!$A$102</f>
        <v>6255</v>
      </c>
      <c r="CB22" s="1112">
        <f t="shared" si="38"/>
        <v>286.10999999999996</v>
      </c>
      <c r="CC22" s="1113">
        <f t="shared" si="39"/>
        <v>645.66</v>
      </c>
      <c r="CD22" s="512"/>
      <c r="CE22" s="512"/>
      <c r="CF22" s="470">
        <f t="shared" si="40"/>
        <v>953.16</v>
      </c>
      <c r="CG22" s="509">
        <f t="shared" si="41"/>
        <v>286.10999999999996</v>
      </c>
      <c r="CH22" s="498">
        <f t="shared" si="42"/>
        <v>12.5</v>
      </c>
      <c r="CI22" s="1490">
        <f t="shared" si="43"/>
        <v>320</v>
      </c>
      <c r="CJ22" s="1500">
        <v>2</v>
      </c>
      <c r="CK22" s="495">
        <f t="shared" si="44"/>
        <v>633.16</v>
      </c>
      <c r="CL22" s="1689">
        <f t="shared" si="45"/>
        <v>303.92</v>
      </c>
      <c r="CM22" s="1689">
        <f t="shared" si="46"/>
        <v>329.23999999999995</v>
      </c>
      <c r="CN22" s="510">
        <f t="shared" si="47"/>
        <v>0</v>
      </c>
      <c r="CO22" s="511">
        <v>0</v>
      </c>
      <c r="CP22" s="510">
        <f t="shared" si="48"/>
        <v>0</v>
      </c>
      <c r="CQ22" s="510">
        <f t="shared" si="49"/>
        <v>0</v>
      </c>
      <c r="CR22" s="496">
        <f t="shared" si="50"/>
        <v>1266.32</v>
      </c>
      <c r="CS22" s="496">
        <f t="shared" si="51"/>
        <v>133.42000000000002</v>
      </c>
      <c r="CT22" s="510">
        <f t="shared" si="52"/>
        <v>6255</v>
      </c>
      <c r="CU22" s="470"/>
      <c r="CV22" s="470"/>
      <c r="CW22" s="470"/>
      <c r="CX22" s="470"/>
      <c r="CY22" s="1149" t="s">
        <v>6989</v>
      </c>
      <c r="CZ22" s="1149" t="s">
        <v>6802</v>
      </c>
      <c r="DA22" s="1152"/>
      <c r="DB22" s="1642" t="s">
        <v>6164</v>
      </c>
      <c r="DC22" s="1642"/>
      <c r="DD22" s="1642" t="s">
        <v>6165</v>
      </c>
      <c r="DE22" s="1642" t="s">
        <v>6166</v>
      </c>
      <c r="DF22" s="1642" t="s">
        <v>6498</v>
      </c>
      <c r="DG22" s="1642"/>
      <c r="DH22" s="512"/>
      <c r="DI22" s="512"/>
      <c r="DJ22" s="512"/>
      <c r="DK22" s="512"/>
      <c r="DL22" s="512"/>
      <c r="DN22" s="471" t="str">
        <f>VLOOKUP(X22,Hoja1!$A$4:$B$10,2,0)</f>
        <v>TÉCNICO SUPERIOR UNIVERSITARIO</v>
      </c>
      <c r="DO22" s="471" t="str">
        <f>VLOOKUP(S22,Hoja1!$D$4:$F$77,3,0)</f>
        <v>JEFE DE DIVISIÓN</v>
      </c>
      <c r="DP22" s="1156" t="str">
        <f t="shared" si="53"/>
        <v>0</v>
      </c>
      <c r="DQ22" s="1484">
        <f>IF(T22&lt;&gt;"0",(ROUND(IF(A22="EMPLEADO",eval_formula('CONCEPTOS Y PARAMETROS'!$C$8,NOMINA!V22,AU22+BF22,NOMINA!I22+NOMINA!J22),eval_formula('CONCEPTOS Y PARAMETROS'!$D$8,NOMINA!V22,AU22+BF22,NOMINA!I22+NOMINA!J22)),2))*IF(H22&lt;&gt;"",IF(MONTH(H22)=$BR$8,IF(YEAR(H22)&lt;$BT$7,1,0),0)))</f>
        <v>0</v>
      </c>
      <c r="DR22" s="1801" t="str">
        <f t="shared" si="54"/>
        <v>F</v>
      </c>
      <c r="DS22" s="1801"/>
    </row>
    <row r="23" spans="1:123" s="471" customFormat="1" ht="21.95" customHeight="1" x14ac:dyDescent="0.25">
      <c r="A23" s="508" t="s">
        <v>2846</v>
      </c>
      <c r="B23" s="1314">
        <f t="shared" ca="1" si="2"/>
        <v>7</v>
      </c>
      <c r="C23" s="1148">
        <v>13206767</v>
      </c>
      <c r="D23" s="1138" t="s">
        <v>4767</v>
      </c>
      <c r="E23" s="1135" t="s">
        <v>4622</v>
      </c>
      <c r="F23" s="1118">
        <v>27843</v>
      </c>
      <c r="G23" s="1135" t="s">
        <v>4620</v>
      </c>
      <c r="H23" s="1118">
        <v>44713</v>
      </c>
      <c r="I23" s="1140">
        <f t="shared" si="10"/>
        <v>3</v>
      </c>
      <c r="J23" s="1132">
        <v>0</v>
      </c>
      <c r="K23" s="1140">
        <f t="shared" si="11"/>
        <v>3</v>
      </c>
      <c r="L23" s="1145" t="s">
        <v>5521</v>
      </c>
      <c r="M23" s="1132"/>
      <c r="N23" s="1132"/>
      <c r="O23" s="1002" t="s">
        <v>3618</v>
      </c>
      <c r="P23" s="1132" t="s">
        <v>5188</v>
      </c>
      <c r="Q23" s="1315" t="str">
        <f>IFERROR(VLOOKUP(O23,CARGOS!A:E,2,0),"")</f>
        <v>65001</v>
      </c>
      <c r="R23" s="1316" t="s">
        <v>7285</v>
      </c>
      <c r="S23" s="1135" t="s">
        <v>2835</v>
      </c>
      <c r="T23" s="1107">
        <f>IFERROR(VLOOKUP(S23,'TAB EMP'!A:B,2,0),0)</f>
        <v>348</v>
      </c>
      <c r="U23" s="1108">
        <v>0</v>
      </c>
      <c r="V23" s="1107">
        <f t="shared" si="12"/>
        <v>348</v>
      </c>
      <c r="W23" s="1108">
        <f t="shared" si="13"/>
        <v>174</v>
      </c>
      <c r="X23" s="1135" t="s">
        <v>2885</v>
      </c>
      <c r="Y23" s="1135"/>
      <c r="Z23" s="1135">
        <v>0</v>
      </c>
      <c r="AA23" s="1107">
        <f>ROUND(IF(H23&lt;&gt;"",VLOOKUP(SUM(I23+J23),'CONCEPTOS Y PARAMETROS'!F:G,2,0)*V23,0),2)</f>
        <v>10.44</v>
      </c>
      <c r="AB23" s="1107">
        <f>IF(S23&lt;&gt;"",IF(M23="",'CONCEPTOS Y PARAMETROS'!$C$4,0),0)</f>
        <v>130</v>
      </c>
      <c r="AC23" s="1107">
        <f>IF(S23&lt;&gt;"",IF(M23="",'CONCEPTOS Y PARAMETROS'!$C$7*Z23,0),0)</f>
        <v>0</v>
      </c>
      <c r="AD23" s="1107">
        <f>IFERROR(ROUND(VLOOKUP($X23,'CONCEPTOS Y PARAMETROS'!H:I,2,0)*($V23+AA23+AB23+AC23),2),0)</f>
        <v>122.11</v>
      </c>
      <c r="AE23" s="1107">
        <f t="shared" si="14"/>
        <v>262.55</v>
      </c>
      <c r="AF23" s="1107">
        <f t="shared" si="15"/>
        <v>5.22</v>
      </c>
      <c r="AG23" s="1107">
        <f t="shared" si="16"/>
        <v>5.22</v>
      </c>
      <c r="AH23" s="1107">
        <f t="shared" si="17"/>
        <v>65</v>
      </c>
      <c r="AI23" s="1107">
        <f t="shared" si="18"/>
        <v>65</v>
      </c>
      <c r="AJ23" s="1107">
        <f t="shared" si="19"/>
        <v>61.06</v>
      </c>
      <c r="AK23" s="1107">
        <f t="shared" si="20"/>
        <v>61.05</v>
      </c>
      <c r="AL23" s="1108">
        <f t="shared" si="21"/>
        <v>131.28</v>
      </c>
      <c r="AM23" s="1108">
        <f t="shared" si="22"/>
        <v>131.27000000000001</v>
      </c>
      <c r="AN23" s="990">
        <v>0</v>
      </c>
      <c r="AO23" s="1147">
        <f>'CONCEPTOS Y PARAMETROS'!$C$18*AN23</f>
        <v>0</v>
      </c>
      <c r="AP23" s="990">
        <v>0</v>
      </c>
      <c r="AQ23" s="1147">
        <f>'CONCEPTOS Y PARAMETROS'!$C$21*AP23</f>
        <v>0</v>
      </c>
      <c r="AR23" s="1318">
        <v>0</v>
      </c>
      <c r="AS23" s="1318">
        <v>0</v>
      </c>
      <c r="AT23" s="1318">
        <f t="shared" si="23"/>
        <v>0</v>
      </c>
      <c r="AU23" s="1108">
        <f t="shared" si="24"/>
        <v>610.54999999999995</v>
      </c>
      <c r="AV23" s="1133">
        <v>0</v>
      </c>
      <c r="AW23" s="1108">
        <f t="shared" si="25"/>
        <v>0</v>
      </c>
      <c r="AX23" s="1107">
        <f>IF(T23&lt;&gt;"0",(ROUND(IF(A23="EMPLEADO",eval_formula('CONCEPTOS Y PARAMETROS'!$C$8,NOMINA!V23,NOMINA!$AU23,NOMINA!I23+NOMINA!J23),eval_formula('CONCEPTOS Y PARAMETROS'!$D$8,NOMINA!V23,NOMINA!$AU23,NOMINA!I23+NOMINA!J23)),2))*IF(H23&lt;&gt;"",IF(MONTH(H23)=$BR$8,IF(YEAR(H23)&lt;$BT$7,1,0),0)))</f>
        <v>0</v>
      </c>
      <c r="AY23" s="1108">
        <v>180</v>
      </c>
      <c r="AZ23" s="1107">
        <f>IFERROR(VLOOKUP(AY23,'CONCEPTOS Y PARAMETROS'!Y:Z,2,0),0)</f>
        <v>150</v>
      </c>
      <c r="BA23" s="1107">
        <f t="shared" si="26"/>
        <v>4579.13</v>
      </c>
      <c r="BB23" s="1107">
        <f t="shared" si="27"/>
        <v>0</v>
      </c>
      <c r="BC23" s="990">
        <v>0</v>
      </c>
      <c r="BD23" s="1107" t="str">
        <f t="shared" si="28"/>
        <v>0</v>
      </c>
      <c r="BE23" s="990">
        <v>0</v>
      </c>
      <c r="BF23" s="1107">
        <f t="shared" si="29"/>
        <v>0</v>
      </c>
      <c r="BG23" s="1108">
        <v>320</v>
      </c>
      <c r="BH23" s="1108">
        <v>0</v>
      </c>
      <c r="BI23" s="1132">
        <v>0</v>
      </c>
      <c r="BJ23" s="798">
        <v>12.5</v>
      </c>
      <c r="BK23" s="1108">
        <v>0</v>
      </c>
      <c r="BL23" s="1107">
        <f t="shared" si="30"/>
        <v>28.18</v>
      </c>
      <c r="BM23" s="1107">
        <f t="shared" si="31"/>
        <v>3.52</v>
      </c>
      <c r="BN23" s="1107">
        <f t="shared" si="32"/>
        <v>6.11</v>
      </c>
      <c r="BO23" s="1107">
        <v>0</v>
      </c>
      <c r="BP23" s="1107">
        <v>0</v>
      </c>
      <c r="BQ23" s="1320">
        <f t="shared" si="4"/>
        <v>37.81</v>
      </c>
      <c r="BR23" s="1107">
        <f t="shared" si="33"/>
        <v>63.4</v>
      </c>
      <c r="BS23" s="1107">
        <f t="shared" si="34"/>
        <v>14.09</v>
      </c>
      <c r="BT23" s="1107">
        <f t="shared" si="35"/>
        <v>12.22</v>
      </c>
      <c r="BU23" s="1107">
        <v>0</v>
      </c>
      <c r="BV23" s="1108">
        <f t="shared" si="0"/>
        <v>89.71</v>
      </c>
      <c r="BW23" s="1112">
        <f t="shared" si="1"/>
        <v>127.52</v>
      </c>
      <c r="BX23" s="1112">
        <f t="shared" si="36"/>
        <v>1144.78</v>
      </c>
      <c r="BY23" s="1112">
        <v>0</v>
      </c>
      <c r="BZ23" s="1112">
        <f t="shared" si="37"/>
        <v>1144.78</v>
      </c>
      <c r="CA23" s="1321">
        <f>'CONCEPTOS Y PARAMETROS'!$A$102</f>
        <v>6255</v>
      </c>
      <c r="CB23" s="1112">
        <f t="shared" si="38"/>
        <v>267.46999999999997</v>
      </c>
      <c r="CC23" s="1113">
        <f t="shared" si="39"/>
        <v>637.77</v>
      </c>
      <c r="CD23" s="512"/>
      <c r="CE23" s="512"/>
      <c r="CF23" s="470">
        <f t="shared" si="40"/>
        <v>945.27</v>
      </c>
      <c r="CG23" s="495">
        <f t="shared" si="41"/>
        <v>267.46999999999997</v>
      </c>
      <c r="CH23" s="498">
        <f t="shared" si="42"/>
        <v>12.5</v>
      </c>
      <c r="CI23" s="1490">
        <f t="shared" si="43"/>
        <v>320</v>
      </c>
      <c r="CJ23" s="1500">
        <v>2</v>
      </c>
      <c r="CK23" s="495">
        <f t="shared" si="44"/>
        <v>625.27</v>
      </c>
      <c r="CL23" s="1689">
        <f t="shared" si="45"/>
        <v>300.13</v>
      </c>
      <c r="CM23" s="1689">
        <f t="shared" si="46"/>
        <v>325.14</v>
      </c>
      <c r="CN23" s="496">
        <f t="shared" si="47"/>
        <v>0</v>
      </c>
      <c r="CO23" s="497">
        <v>0</v>
      </c>
      <c r="CP23" s="496">
        <f t="shared" si="48"/>
        <v>0</v>
      </c>
      <c r="CQ23" s="496">
        <f t="shared" si="49"/>
        <v>0</v>
      </c>
      <c r="CR23" s="496">
        <f t="shared" si="50"/>
        <v>1250.54</v>
      </c>
      <c r="CS23" s="496">
        <f t="shared" si="51"/>
        <v>127.52</v>
      </c>
      <c r="CT23" s="496">
        <f t="shared" si="52"/>
        <v>6255</v>
      </c>
      <c r="CU23" s="470"/>
      <c r="CV23" s="470"/>
      <c r="CW23" s="470"/>
      <c r="CX23" s="470"/>
      <c r="CY23" s="1138" t="s">
        <v>6816</v>
      </c>
      <c r="CZ23" s="1138" t="s">
        <v>6803</v>
      </c>
      <c r="DA23" s="480"/>
      <c r="DB23" s="1642" t="s">
        <v>6167</v>
      </c>
      <c r="DC23" s="1642"/>
      <c r="DD23" s="1642" t="s">
        <v>6168</v>
      </c>
      <c r="DE23" s="1642" t="s">
        <v>6168</v>
      </c>
      <c r="DF23" s="1642" t="s">
        <v>7422</v>
      </c>
      <c r="DG23" s="1642" t="s">
        <v>7421</v>
      </c>
      <c r="DH23" s="470"/>
      <c r="DI23" s="470"/>
      <c r="DJ23" s="470"/>
      <c r="DK23" s="470"/>
      <c r="DL23" s="470"/>
      <c r="DN23" s="471" t="str">
        <f>VLOOKUP(X23,Hoja1!$A$4:$B$10,2,0)</f>
        <v>PROFESIONAL</v>
      </c>
      <c r="DO23" s="471" t="str">
        <f>VLOOKUP(S23,Hoja1!$D$4:$F$77,3,0)</f>
        <v>COORDINADOR DE ÁREA</v>
      </c>
      <c r="DP23" s="1156" t="str">
        <f t="shared" si="53"/>
        <v>0</v>
      </c>
      <c r="DQ23" s="1484">
        <f>IF(T23&lt;&gt;"0",(ROUND(IF(A23="EMPLEADO",eval_formula('CONCEPTOS Y PARAMETROS'!$C$8,NOMINA!V23,AU23+BF23,NOMINA!I23+NOMINA!J23),eval_formula('CONCEPTOS Y PARAMETROS'!$D$8,NOMINA!V23,AU23+BF23,NOMINA!I23+NOMINA!J23)),2))*IF(H23&lt;&gt;"",IF(MONTH(H23)=$BR$8,IF(YEAR(H23)&lt;$BT$7,1,0),0)))</f>
        <v>0</v>
      </c>
      <c r="DR23" s="1801" t="str">
        <f t="shared" si="54"/>
        <v>F</v>
      </c>
      <c r="DS23" s="1801"/>
    </row>
    <row r="24" spans="1:123" s="471" customFormat="1" ht="21.95" customHeight="1" x14ac:dyDescent="0.25">
      <c r="A24" s="508" t="s">
        <v>2846</v>
      </c>
      <c r="B24" s="1314">
        <f t="shared" ca="1" si="2"/>
        <v>8</v>
      </c>
      <c r="C24" s="1148">
        <v>13462933</v>
      </c>
      <c r="D24" s="1149" t="s">
        <v>4672</v>
      </c>
      <c r="E24" s="1135" t="s">
        <v>4622</v>
      </c>
      <c r="F24" s="1118">
        <v>28469</v>
      </c>
      <c r="G24" s="1135" t="s">
        <v>4620</v>
      </c>
      <c r="H24" s="1118">
        <v>39454</v>
      </c>
      <c r="I24" s="1140">
        <f t="shared" si="10"/>
        <v>17</v>
      </c>
      <c r="J24" s="1132">
        <v>6</v>
      </c>
      <c r="K24" s="1140">
        <f t="shared" si="11"/>
        <v>23</v>
      </c>
      <c r="L24" s="1145" t="s">
        <v>5541</v>
      </c>
      <c r="M24" s="1132"/>
      <c r="N24" s="1132"/>
      <c r="O24" s="1002" t="s">
        <v>3618</v>
      </c>
      <c r="P24" s="1132" t="s">
        <v>5189</v>
      </c>
      <c r="Q24" s="1315" t="str">
        <f>IFERROR(VLOOKUP(O24,CARGOS!A:E,2,0),"")</f>
        <v>65001</v>
      </c>
      <c r="R24" s="1316" t="s">
        <v>5947</v>
      </c>
      <c r="S24" s="1135" t="s">
        <v>2835</v>
      </c>
      <c r="T24" s="1107">
        <f>IFERROR(VLOOKUP(S24,'TAB EMP'!A:B,2,0),0)</f>
        <v>348</v>
      </c>
      <c r="U24" s="1108">
        <v>0</v>
      </c>
      <c r="V24" s="1107">
        <f t="shared" si="12"/>
        <v>348</v>
      </c>
      <c r="W24" s="1108">
        <f t="shared" si="13"/>
        <v>174</v>
      </c>
      <c r="X24" s="1135" t="s">
        <v>2844</v>
      </c>
      <c r="Y24" s="1135"/>
      <c r="Z24" s="1135">
        <v>1</v>
      </c>
      <c r="AA24" s="1107">
        <f>ROUND(IF(H24&lt;&gt;"",VLOOKUP(SUM(I24+J24),'CONCEPTOS Y PARAMETROS'!F:G,2,0)*V24,0),2)</f>
        <v>104.4</v>
      </c>
      <c r="AB24" s="1107">
        <f>IF(S24&lt;&gt;"",IF(M24="",'CONCEPTOS Y PARAMETROS'!$C$4,0),0)</f>
        <v>130</v>
      </c>
      <c r="AC24" s="1107">
        <f>IF(S24&lt;&gt;"",IF(M24="",'CONCEPTOS Y PARAMETROS'!$C$7*Z24,0),0)</f>
        <v>12.5</v>
      </c>
      <c r="AD24" s="1107">
        <f>IFERROR(ROUND(VLOOKUP($X24,'CONCEPTOS Y PARAMETROS'!H:I,2,0)*($V24+AA24+AB24+AC24),2),0)</f>
        <v>118.98</v>
      </c>
      <c r="AE24" s="1107">
        <f t="shared" si="14"/>
        <v>365.88</v>
      </c>
      <c r="AF24" s="1107">
        <f t="shared" si="15"/>
        <v>52.2</v>
      </c>
      <c r="AG24" s="1107">
        <f t="shared" si="16"/>
        <v>52.2</v>
      </c>
      <c r="AH24" s="1107">
        <f t="shared" si="17"/>
        <v>65</v>
      </c>
      <c r="AI24" s="1107">
        <f t="shared" si="18"/>
        <v>65</v>
      </c>
      <c r="AJ24" s="1107">
        <f t="shared" si="19"/>
        <v>59.49</v>
      </c>
      <c r="AK24" s="1107">
        <f t="shared" si="20"/>
        <v>59.49</v>
      </c>
      <c r="AL24" s="1108">
        <f t="shared" si="21"/>
        <v>189.19</v>
      </c>
      <c r="AM24" s="1108">
        <f t="shared" si="22"/>
        <v>176.69</v>
      </c>
      <c r="AN24" s="1453">
        <v>1</v>
      </c>
      <c r="AO24" s="1147">
        <f>'CONCEPTOS Y PARAMETROS'!$C$18*AN24</f>
        <v>12.5</v>
      </c>
      <c r="AP24" s="990">
        <v>0</v>
      </c>
      <c r="AQ24" s="1147">
        <f>'CONCEPTOS Y PARAMETROS'!$C$21*AP24</f>
        <v>0</v>
      </c>
      <c r="AR24" s="1318">
        <v>0</v>
      </c>
      <c r="AS24" s="1318">
        <v>0</v>
      </c>
      <c r="AT24" s="1318">
        <f t="shared" si="23"/>
        <v>12.5</v>
      </c>
      <c r="AU24" s="1108">
        <f t="shared" si="24"/>
        <v>713.88</v>
      </c>
      <c r="AV24" s="1133">
        <v>0</v>
      </c>
      <c r="AW24" s="1108">
        <f t="shared" si="25"/>
        <v>0</v>
      </c>
      <c r="AX24" s="1107">
        <f>IF(T24&lt;&gt;"0",(ROUND(IF(A24="EMPLEADO",eval_formula('CONCEPTOS Y PARAMETROS'!$C$8,NOMINA!V24,NOMINA!$AU24,NOMINA!I24+NOMINA!J24),eval_formula('CONCEPTOS Y PARAMETROS'!$D$8,NOMINA!V24,NOMINA!$AU24,NOMINA!I24+NOMINA!J24)),2))*IF(H24&lt;&gt;"",IF(MONTH(H24)=$BR$8,IF(YEAR(H24)&lt;$BT$7,1,0),0)))</f>
        <v>0</v>
      </c>
      <c r="AY24" s="1108">
        <v>180</v>
      </c>
      <c r="AZ24" s="1107">
        <f>IFERROR(VLOOKUP(AY24,'CONCEPTOS Y PARAMETROS'!Y:Z,2,0),0)</f>
        <v>150</v>
      </c>
      <c r="BA24" s="1107">
        <f t="shared" si="26"/>
        <v>5354.1</v>
      </c>
      <c r="BB24" s="1107">
        <f t="shared" si="27"/>
        <v>0</v>
      </c>
      <c r="BC24" s="990">
        <v>0</v>
      </c>
      <c r="BD24" s="1107" t="str">
        <f t="shared" si="28"/>
        <v>0</v>
      </c>
      <c r="BE24" s="990">
        <v>0</v>
      </c>
      <c r="BF24" s="1107">
        <f t="shared" si="29"/>
        <v>0</v>
      </c>
      <c r="BG24" s="1108">
        <v>320</v>
      </c>
      <c r="BH24" s="1108">
        <v>0</v>
      </c>
      <c r="BI24" s="1132">
        <v>0</v>
      </c>
      <c r="BJ24" s="798">
        <v>12.5</v>
      </c>
      <c r="BK24" s="1108">
        <v>0</v>
      </c>
      <c r="BL24" s="1107">
        <f t="shared" si="30"/>
        <v>32.950000000000003</v>
      </c>
      <c r="BM24" s="1107">
        <f t="shared" si="31"/>
        <v>4.12</v>
      </c>
      <c r="BN24" s="1107">
        <f t="shared" si="32"/>
        <v>7.14</v>
      </c>
      <c r="BO24" s="1107">
        <v>0</v>
      </c>
      <c r="BP24" s="1107">
        <v>0</v>
      </c>
      <c r="BQ24" s="1320">
        <f t="shared" si="4"/>
        <v>44.21</v>
      </c>
      <c r="BR24" s="1107">
        <f t="shared" si="33"/>
        <v>74.13</v>
      </c>
      <c r="BS24" s="1107">
        <f t="shared" si="34"/>
        <v>16.47</v>
      </c>
      <c r="BT24" s="1107">
        <f t="shared" si="35"/>
        <v>14.28</v>
      </c>
      <c r="BU24" s="1107">
        <v>0</v>
      </c>
      <c r="BV24" s="1108">
        <f t="shared" si="0"/>
        <v>104.88</v>
      </c>
      <c r="BW24" s="1112">
        <f t="shared" si="1"/>
        <v>149.09</v>
      </c>
      <c r="BX24" s="1112">
        <f t="shared" si="36"/>
        <v>1338.53</v>
      </c>
      <c r="BY24" s="1112">
        <v>0</v>
      </c>
      <c r="BZ24" s="1112">
        <f t="shared" si="37"/>
        <v>1338.53</v>
      </c>
      <c r="CA24" s="1321">
        <f>'CONCEPTOS Y PARAMETROS'!$A$102</f>
        <v>6255</v>
      </c>
      <c r="CB24" s="1112">
        <f t="shared" si="38"/>
        <v>318.98</v>
      </c>
      <c r="CC24" s="1113">
        <f t="shared" si="39"/>
        <v>695.69</v>
      </c>
      <c r="CD24" s="512"/>
      <c r="CE24" s="512"/>
      <c r="CF24" s="470">
        <f t="shared" si="40"/>
        <v>990.69</v>
      </c>
      <c r="CG24" s="495">
        <f t="shared" si="41"/>
        <v>318.98</v>
      </c>
      <c r="CH24" s="498">
        <f t="shared" si="42"/>
        <v>25</v>
      </c>
      <c r="CI24" s="1490">
        <f t="shared" si="43"/>
        <v>320</v>
      </c>
      <c r="CJ24" s="1500">
        <v>2</v>
      </c>
      <c r="CK24" s="495">
        <f t="shared" si="44"/>
        <v>670.69</v>
      </c>
      <c r="CL24" s="1689">
        <f t="shared" si="45"/>
        <v>321.93</v>
      </c>
      <c r="CM24" s="1689">
        <f t="shared" si="46"/>
        <v>348.76000000000005</v>
      </c>
      <c r="CN24" s="496">
        <f t="shared" si="47"/>
        <v>0</v>
      </c>
      <c r="CO24" s="497">
        <v>0</v>
      </c>
      <c r="CP24" s="496">
        <f t="shared" si="48"/>
        <v>0</v>
      </c>
      <c r="CQ24" s="496">
        <f t="shared" si="49"/>
        <v>0</v>
      </c>
      <c r="CR24" s="496">
        <f t="shared" si="50"/>
        <v>1341.38</v>
      </c>
      <c r="CS24" s="496">
        <f t="shared" si="51"/>
        <v>149.09</v>
      </c>
      <c r="CT24" s="496">
        <f t="shared" si="52"/>
        <v>6255</v>
      </c>
      <c r="CU24" s="470"/>
      <c r="CV24" s="470"/>
      <c r="CW24" s="470"/>
      <c r="CX24" s="470"/>
      <c r="CY24" s="1149" t="s">
        <v>6804</v>
      </c>
      <c r="CZ24" s="1149" t="s">
        <v>6805</v>
      </c>
      <c r="DA24" s="480"/>
      <c r="DB24" s="1642" t="s">
        <v>6141</v>
      </c>
      <c r="DC24" s="1642"/>
      <c r="DD24" s="1642" t="s">
        <v>6142</v>
      </c>
      <c r="DE24" s="1642" t="s">
        <v>6143</v>
      </c>
      <c r="DF24" s="1642" t="s">
        <v>6144</v>
      </c>
      <c r="DG24" s="1642"/>
      <c r="DH24" s="470"/>
      <c r="DI24" s="470"/>
      <c r="DJ24" s="470"/>
      <c r="DK24" s="470"/>
      <c r="DL24" s="470"/>
      <c r="DN24" s="471" t="str">
        <f>VLOOKUP(X24,Hoja1!$A$4:$B$10,2,0)</f>
        <v>TÉCNICO SUPERIOR UNIVERSITARIO</v>
      </c>
      <c r="DO24" s="471" t="str">
        <f>VLOOKUP(S24,Hoja1!$D$4:$F$77,3,0)</f>
        <v>COORDINADOR DE ÁREA</v>
      </c>
      <c r="DP24" s="1156" t="str">
        <f t="shared" si="53"/>
        <v>0</v>
      </c>
      <c r="DQ24" s="1484">
        <f>IF(T24&lt;&gt;"0",(ROUND(IF(A24="EMPLEADO",eval_formula('CONCEPTOS Y PARAMETROS'!$C$8,NOMINA!V24,AU24+BF24,NOMINA!I24+NOMINA!J24),eval_formula('CONCEPTOS Y PARAMETROS'!$D$8,NOMINA!V24,AU24+BF24,NOMINA!I24+NOMINA!J24)),2))*IF(H24&lt;&gt;"",IF(MONTH(H24)=$BR$8,IF(YEAR(H24)&lt;$BT$7,1,0),0)))</f>
        <v>0</v>
      </c>
      <c r="DR24" s="1801" t="str">
        <f t="shared" si="54"/>
        <v>F</v>
      </c>
      <c r="DS24" s="1801"/>
    </row>
    <row r="25" spans="1:123" s="471" customFormat="1" ht="21.95" customHeight="1" x14ac:dyDescent="0.25">
      <c r="A25" s="508" t="s">
        <v>2846</v>
      </c>
      <c r="B25" s="1314">
        <f t="shared" ca="1" si="2"/>
        <v>9</v>
      </c>
      <c r="C25" s="1148">
        <v>12542413</v>
      </c>
      <c r="D25" s="1149" t="s">
        <v>7245</v>
      </c>
      <c r="E25" s="1135" t="s">
        <v>4622</v>
      </c>
      <c r="F25" s="1118">
        <v>27582</v>
      </c>
      <c r="G25" s="1135" t="s">
        <v>4621</v>
      </c>
      <c r="H25" s="1118">
        <v>36434</v>
      </c>
      <c r="I25" s="1140">
        <f t="shared" si="10"/>
        <v>25</v>
      </c>
      <c r="J25" s="1132">
        <v>0</v>
      </c>
      <c r="K25" s="1140">
        <f t="shared" si="11"/>
        <v>25</v>
      </c>
      <c r="L25" s="1145" t="s">
        <v>5523</v>
      </c>
      <c r="M25" s="1132"/>
      <c r="N25" s="1132"/>
      <c r="O25" s="1002" t="s">
        <v>3618</v>
      </c>
      <c r="P25" s="1132" t="s">
        <v>5191</v>
      </c>
      <c r="Q25" s="1315" t="str">
        <f>IFERROR(VLOOKUP(O25,CARGOS!A:E,2,0),"")</f>
        <v>65001</v>
      </c>
      <c r="R25" s="1316" t="s">
        <v>5948</v>
      </c>
      <c r="S25" s="1135" t="s">
        <v>2835</v>
      </c>
      <c r="T25" s="1107">
        <f>IFERROR(VLOOKUP(S25,'TAB EMP'!A:B,2,0),0)</f>
        <v>348</v>
      </c>
      <c r="U25" s="1108">
        <v>0</v>
      </c>
      <c r="V25" s="1107">
        <f t="shared" si="12"/>
        <v>348</v>
      </c>
      <c r="W25" s="1108">
        <f t="shared" si="13"/>
        <v>174</v>
      </c>
      <c r="X25" s="1135" t="s">
        <v>2884</v>
      </c>
      <c r="Y25" s="1135"/>
      <c r="Z25" s="1135">
        <v>0</v>
      </c>
      <c r="AA25" s="1107">
        <f>ROUND(IF(H25&lt;&gt;"",VLOOKUP(SUM(I25+J25),'CONCEPTOS Y PARAMETROS'!F:G,2,0)*V25,0),2)</f>
        <v>104.4</v>
      </c>
      <c r="AB25" s="1107">
        <f>IF(S25&lt;&gt;"",IF(M25="",'CONCEPTOS Y PARAMETROS'!$C$4,0),0)</f>
        <v>130</v>
      </c>
      <c r="AC25" s="1107">
        <f>IF(S25&lt;&gt;"",IF(M25="",'CONCEPTOS Y PARAMETROS'!$C$7*Z25,0),0)</f>
        <v>0</v>
      </c>
      <c r="AD25" s="1107">
        <f>IFERROR(ROUND(VLOOKUP($X25,'CONCEPTOS Y PARAMETROS'!H:I,2,0)*($V25+AA25+AB25+AC25),2),0)</f>
        <v>0</v>
      </c>
      <c r="AE25" s="1107">
        <f t="shared" si="14"/>
        <v>234.4</v>
      </c>
      <c r="AF25" s="1107">
        <f t="shared" si="15"/>
        <v>52.2</v>
      </c>
      <c r="AG25" s="1107">
        <f t="shared" si="16"/>
        <v>52.2</v>
      </c>
      <c r="AH25" s="1107">
        <f t="shared" si="17"/>
        <v>65</v>
      </c>
      <c r="AI25" s="1107">
        <f t="shared" si="18"/>
        <v>65</v>
      </c>
      <c r="AJ25" s="1107">
        <f t="shared" si="19"/>
        <v>0</v>
      </c>
      <c r="AK25" s="1107">
        <f t="shared" si="20"/>
        <v>0</v>
      </c>
      <c r="AL25" s="1108">
        <f t="shared" si="21"/>
        <v>117.2</v>
      </c>
      <c r="AM25" s="1108">
        <f t="shared" si="22"/>
        <v>117.2</v>
      </c>
      <c r="AN25" s="990">
        <v>0</v>
      </c>
      <c r="AO25" s="1147">
        <f>'CONCEPTOS Y PARAMETROS'!$C$18*AN25</f>
        <v>0</v>
      </c>
      <c r="AP25" s="990">
        <v>0</v>
      </c>
      <c r="AQ25" s="1147">
        <f>'CONCEPTOS Y PARAMETROS'!$C$21*AP25</f>
        <v>0</v>
      </c>
      <c r="AR25" s="1318">
        <v>0</v>
      </c>
      <c r="AS25" s="1318">
        <v>0</v>
      </c>
      <c r="AT25" s="1318">
        <f t="shared" si="23"/>
        <v>0</v>
      </c>
      <c r="AU25" s="1108">
        <f t="shared" si="24"/>
        <v>582.4</v>
      </c>
      <c r="AV25" s="1133">
        <v>0</v>
      </c>
      <c r="AW25" s="1108">
        <f t="shared" si="25"/>
        <v>0</v>
      </c>
      <c r="AX25" s="1107">
        <f>IF(T25&lt;&gt;"0",(ROUND(IF(A25="EMPLEADO",eval_formula('CONCEPTOS Y PARAMETROS'!$C$8,NOMINA!V25,NOMINA!$AU25,NOMINA!I25+NOMINA!J25),eval_formula('CONCEPTOS Y PARAMETROS'!$D$8,NOMINA!V25,NOMINA!$AU25,NOMINA!I25+NOMINA!J25)),2))*IF(H25&lt;&gt;"",IF(MONTH(H25)=$BR$8,IF(YEAR(H25)&lt;$BT$7,1,0),0)))</f>
        <v>0</v>
      </c>
      <c r="AY25" s="1108">
        <v>180</v>
      </c>
      <c r="AZ25" s="1107">
        <f>IFERROR(VLOOKUP(AY25,'CONCEPTOS Y PARAMETROS'!Y:Z,2,0),0)</f>
        <v>150</v>
      </c>
      <c r="BA25" s="1107">
        <f t="shared" si="26"/>
        <v>4368</v>
      </c>
      <c r="BB25" s="1107">
        <f t="shared" si="27"/>
        <v>0</v>
      </c>
      <c r="BC25" s="990">
        <v>0</v>
      </c>
      <c r="BD25" s="1107" t="str">
        <f t="shared" si="28"/>
        <v>0</v>
      </c>
      <c r="BE25" s="990">
        <v>0</v>
      </c>
      <c r="BF25" s="1107">
        <f t="shared" si="29"/>
        <v>0</v>
      </c>
      <c r="BG25" s="1108">
        <v>320</v>
      </c>
      <c r="BH25" s="1108">
        <v>0</v>
      </c>
      <c r="BI25" s="1132">
        <v>0</v>
      </c>
      <c r="BJ25" s="798">
        <v>12.5</v>
      </c>
      <c r="BK25" s="1108">
        <v>0</v>
      </c>
      <c r="BL25" s="1107">
        <f t="shared" si="30"/>
        <v>26.88</v>
      </c>
      <c r="BM25" s="1107">
        <f t="shared" si="31"/>
        <v>3.36</v>
      </c>
      <c r="BN25" s="1107">
        <f t="shared" si="32"/>
        <v>5.82</v>
      </c>
      <c r="BO25" s="1107">
        <v>0</v>
      </c>
      <c r="BP25" s="1107">
        <v>0</v>
      </c>
      <c r="BQ25" s="1320">
        <f t="shared" si="4"/>
        <v>36.06</v>
      </c>
      <c r="BR25" s="1107">
        <f t="shared" si="33"/>
        <v>60.48</v>
      </c>
      <c r="BS25" s="1107">
        <f t="shared" si="34"/>
        <v>13.44</v>
      </c>
      <c r="BT25" s="1107">
        <f t="shared" si="35"/>
        <v>11.64</v>
      </c>
      <c r="BU25" s="1107">
        <v>0</v>
      </c>
      <c r="BV25" s="1108">
        <f t="shared" si="0"/>
        <v>85.56</v>
      </c>
      <c r="BW25" s="1112">
        <f t="shared" si="1"/>
        <v>121.62</v>
      </c>
      <c r="BX25" s="1112">
        <f t="shared" si="36"/>
        <v>1092</v>
      </c>
      <c r="BY25" s="1112">
        <v>0</v>
      </c>
      <c r="BZ25" s="1112">
        <f t="shared" si="37"/>
        <v>1092</v>
      </c>
      <c r="CA25" s="1321">
        <f>'CONCEPTOS Y PARAMETROS'!$A$102</f>
        <v>6255</v>
      </c>
      <c r="CB25" s="1112">
        <f t="shared" si="38"/>
        <v>255.14</v>
      </c>
      <c r="CC25" s="1113">
        <f t="shared" si="39"/>
        <v>623.70000000000005</v>
      </c>
      <c r="CD25" s="512"/>
      <c r="CE25" s="512"/>
      <c r="CF25" s="470">
        <f t="shared" si="40"/>
        <v>931.2</v>
      </c>
      <c r="CG25" s="495">
        <f t="shared" si="41"/>
        <v>255.14</v>
      </c>
      <c r="CH25" s="498">
        <f t="shared" si="42"/>
        <v>12.5</v>
      </c>
      <c r="CI25" s="1490">
        <f t="shared" si="43"/>
        <v>320</v>
      </c>
      <c r="CJ25" s="1500">
        <v>1</v>
      </c>
      <c r="CK25" s="495">
        <f t="shared" si="44"/>
        <v>611.20000000000005</v>
      </c>
      <c r="CL25" s="1689">
        <f t="shared" si="45"/>
        <v>293.38</v>
      </c>
      <c r="CM25" s="1689">
        <f t="shared" si="46"/>
        <v>317.82000000000005</v>
      </c>
      <c r="CN25" s="496">
        <f t="shared" si="47"/>
        <v>0</v>
      </c>
      <c r="CO25" s="497">
        <v>0</v>
      </c>
      <c r="CP25" s="496">
        <f t="shared" si="48"/>
        <v>0</v>
      </c>
      <c r="CQ25" s="496">
        <f t="shared" si="49"/>
        <v>0</v>
      </c>
      <c r="CR25" s="496">
        <f t="shared" si="50"/>
        <v>1222.4000000000001</v>
      </c>
      <c r="CS25" s="496">
        <f t="shared" si="51"/>
        <v>121.62</v>
      </c>
      <c r="CT25" s="496">
        <f t="shared" si="52"/>
        <v>6255</v>
      </c>
      <c r="CU25" s="470"/>
      <c r="CV25" s="470"/>
      <c r="CW25" s="470"/>
      <c r="CX25" s="470"/>
      <c r="CY25" s="1149" t="s">
        <v>6843</v>
      </c>
      <c r="CZ25" s="1149" t="s">
        <v>6898</v>
      </c>
      <c r="DA25" s="480"/>
      <c r="DB25" s="1642" t="s">
        <v>6146</v>
      </c>
      <c r="DC25" s="1642"/>
      <c r="DD25" s="1642" t="s">
        <v>6135</v>
      </c>
      <c r="DE25" s="1642" t="s">
        <v>6147</v>
      </c>
      <c r="DF25" s="1642" t="s">
        <v>6520</v>
      </c>
      <c r="DG25" s="1642"/>
      <c r="DH25" s="470"/>
      <c r="DI25" s="470"/>
      <c r="DJ25" s="470"/>
      <c r="DK25" s="470"/>
      <c r="DL25" s="470"/>
      <c r="DN25" s="471" t="str">
        <f>VLOOKUP(X25,Hoja1!$A$4:$B$10,2,0)</f>
        <v>BACHILLER</v>
      </c>
      <c r="DO25" s="471" t="str">
        <f>VLOOKUP(S25,Hoja1!$D$4:$F$77,3,0)</f>
        <v>COORDINADOR DE ÁREA</v>
      </c>
      <c r="DP25" s="1156" t="str">
        <f t="shared" si="53"/>
        <v>0</v>
      </c>
      <c r="DQ25" s="1484">
        <f>IF(T25&lt;&gt;"0",(ROUND(IF(A25="EMPLEADO",eval_formula('CONCEPTOS Y PARAMETROS'!$C$8,NOMINA!V25,AU25+BF25,NOMINA!I25+NOMINA!J25),eval_formula('CONCEPTOS Y PARAMETROS'!$D$8,NOMINA!V25,AU25+BF25,NOMINA!I25+NOMINA!J25)),2))*IF(H25&lt;&gt;"",IF(MONTH(H25)=$BR$8,IF(YEAR(H25)&lt;$BT$7,1,0),0)))</f>
        <v>0</v>
      </c>
      <c r="DR25" s="1801" t="str">
        <f t="shared" si="54"/>
        <v>M</v>
      </c>
      <c r="DS25" s="1801"/>
    </row>
    <row r="26" spans="1:123" s="471" customFormat="1" ht="21.95" customHeight="1" x14ac:dyDescent="0.25">
      <c r="A26" s="508" t="s">
        <v>2846</v>
      </c>
      <c r="B26" s="1314">
        <f t="shared" ca="1" si="2"/>
        <v>10</v>
      </c>
      <c r="C26" s="1148">
        <v>18457406</v>
      </c>
      <c r="D26" s="1149" t="s">
        <v>4676</v>
      </c>
      <c r="E26" s="1135" t="s">
        <v>4622</v>
      </c>
      <c r="F26" s="1118">
        <v>32354</v>
      </c>
      <c r="G26" s="1135" t="s">
        <v>4621</v>
      </c>
      <c r="H26" s="1118">
        <v>41548</v>
      </c>
      <c r="I26" s="1140">
        <f t="shared" si="10"/>
        <v>11</v>
      </c>
      <c r="J26" s="1132">
        <v>0</v>
      </c>
      <c r="K26" s="1140">
        <f t="shared" si="11"/>
        <v>11</v>
      </c>
      <c r="L26" s="1145" t="s">
        <v>7580</v>
      </c>
      <c r="M26" s="1132"/>
      <c r="N26" s="1132"/>
      <c r="O26" s="1002" t="s">
        <v>3618</v>
      </c>
      <c r="P26" s="1132" t="s">
        <v>5192</v>
      </c>
      <c r="Q26" s="1315" t="str">
        <f>IFERROR(VLOOKUP(O26,CARGOS!A:E,2,0),"")</f>
        <v>65001</v>
      </c>
      <c r="R26" s="1316" t="s">
        <v>7274</v>
      </c>
      <c r="S26" s="1135" t="s">
        <v>2835</v>
      </c>
      <c r="T26" s="1107">
        <f>IFERROR(VLOOKUP(S26,'TAB EMP'!A:B,2,0),0)</f>
        <v>348</v>
      </c>
      <c r="U26" s="1108">
        <v>0</v>
      </c>
      <c r="V26" s="1107">
        <f t="shared" si="12"/>
        <v>348</v>
      </c>
      <c r="W26" s="1108">
        <f t="shared" si="13"/>
        <v>174</v>
      </c>
      <c r="X26" s="1135" t="s">
        <v>2885</v>
      </c>
      <c r="Y26" s="1135"/>
      <c r="Z26" s="1135">
        <v>2</v>
      </c>
      <c r="AA26" s="1107">
        <f>ROUND(IF(H26&lt;&gt;"",VLOOKUP(SUM(I26+J26),'CONCEPTOS Y PARAMETROS'!F:G,2,0)*V26,0),2)</f>
        <v>43.15</v>
      </c>
      <c r="AB26" s="1107">
        <f>IF(S26&lt;&gt;"",IF(M26="",'CONCEPTOS Y PARAMETROS'!$C$4,0),0)</f>
        <v>130</v>
      </c>
      <c r="AC26" s="1107">
        <f>IF(S26&lt;&gt;"",IF(M26="",'CONCEPTOS Y PARAMETROS'!$C$7*Z26,0),0)</f>
        <v>25</v>
      </c>
      <c r="AD26" s="1107">
        <f>IFERROR(ROUND(VLOOKUP($X26,'CONCEPTOS Y PARAMETROS'!H:I,2,0)*($V26+AA26+AB26+AC26),2),0)</f>
        <v>136.54</v>
      </c>
      <c r="AE26" s="1107">
        <f t="shared" si="14"/>
        <v>334.69</v>
      </c>
      <c r="AF26" s="1107">
        <f t="shared" si="15"/>
        <v>21.58</v>
      </c>
      <c r="AG26" s="1107">
        <f t="shared" si="16"/>
        <v>21.57</v>
      </c>
      <c r="AH26" s="1107">
        <f t="shared" si="17"/>
        <v>65</v>
      </c>
      <c r="AI26" s="1107">
        <f t="shared" si="18"/>
        <v>65</v>
      </c>
      <c r="AJ26" s="1107">
        <f t="shared" si="19"/>
        <v>68.27</v>
      </c>
      <c r="AK26" s="1107">
        <f t="shared" si="20"/>
        <v>68.27</v>
      </c>
      <c r="AL26" s="1108">
        <f t="shared" si="21"/>
        <v>179.85</v>
      </c>
      <c r="AM26" s="1108">
        <f t="shared" si="22"/>
        <v>154.84</v>
      </c>
      <c r="AN26" s="1453">
        <v>1</v>
      </c>
      <c r="AO26" s="1147">
        <f>'CONCEPTOS Y PARAMETROS'!$C$18*AN26</f>
        <v>12.5</v>
      </c>
      <c r="AP26" s="990">
        <v>0</v>
      </c>
      <c r="AQ26" s="1147">
        <f>'CONCEPTOS Y PARAMETROS'!$C$21*AP26</f>
        <v>0</v>
      </c>
      <c r="AR26" s="1318">
        <v>0</v>
      </c>
      <c r="AS26" s="1318">
        <v>0</v>
      </c>
      <c r="AT26" s="1318">
        <f t="shared" si="23"/>
        <v>12.5</v>
      </c>
      <c r="AU26" s="1108">
        <f t="shared" si="24"/>
        <v>682.69</v>
      </c>
      <c r="AV26" s="1133">
        <v>0</v>
      </c>
      <c r="AW26" s="1108">
        <f t="shared" si="25"/>
        <v>0</v>
      </c>
      <c r="AX26" s="1107">
        <f>IF(T26&lt;&gt;"0",(ROUND(IF(A26="EMPLEADO",eval_formula('CONCEPTOS Y PARAMETROS'!$C$8,NOMINA!V26,NOMINA!$AU26,NOMINA!I26+NOMINA!J26),eval_formula('CONCEPTOS Y PARAMETROS'!$D$8,NOMINA!V26,NOMINA!$AU26,NOMINA!I26+NOMINA!J26)),2))*IF(H26&lt;&gt;"",IF(MONTH(H26)=$BR$8,IF(YEAR(H26)&lt;$BT$7,1,0),0)))</f>
        <v>0</v>
      </c>
      <c r="AY26" s="1108">
        <v>180</v>
      </c>
      <c r="AZ26" s="1107">
        <f>IFERROR(VLOOKUP(AY26,'CONCEPTOS Y PARAMETROS'!Y:Z,2,0),0)</f>
        <v>150</v>
      </c>
      <c r="BA26" s="1107">
        <f t="shared" si="26"/>
        <v>5120.18</v>
      </c>
      <c r="BB26" s="1107">
        <f t="shared" si="27"/>
        <v>0</v>
      </c>
      <c r="BC26" s="990">
        <v>0</v>
      </c>
      <c r="BD26" s="1107" t="str">
        <f t="shared" si="28"/>
        <v>0</v>
      </c>
      <c r="BE26" s="990">
        <v>0</v>
      </c>
      <c r="BF26" s="1107">
        <f t="shared" si="29"/>
        <v>0</v>
      </c>
      <c r="BG26" s="1108">
        <v>320</v>
      </c>
      <c r="BH26" s="1108">
        <v>0</v>
      </c>
      <c r="BI26" s="1132">
        <v>0</v>
      </c>
      <c r="BJ26" s="798">
        <v>12.5</v>
      </c>
      <c r="BK26" s="1108">
        <v>0</v>
      </c>
      <c r="BL26" s="1107">
        <f t="shared" si="30"/>
        <v>31.51</v>
      </c>
      <c r="BM26" s="1107">
        <f t="shared" si="31"/>
        <v>3.94</v>
      </c>
      <c r="BN26" s="1107">
        <f t="shared" si="32"/>
        <v>6.83</v>
      </c>
      <c r="BO26" s="1107">
        <v>0</v>
      </c>
      <c r="BP26" s="1107">
        <v>0</v>
      </c>
      <c r="BQ26" s="1320">
        <f t="shared" si="4"/>
        <v>42.28</v>
      </c>
      <c r="BR26" s="1107">
        <f t="shared" si="33"/>
        <v>70.89</v>
      </c>
      <c r="BS26" s="1107">
        <f t="shared" si="34"/>
        <v>15.75</v>
      </c>
      <c r="BT26" s="1107">
        <f t="shared" si="35"/>
        <v>13.66</v>
      </c>
      <c r="BU26" s="1107">
        <v>0</v>
      </c>
      <c r="BV26" s="1108">
        <f t="shared" si="0"/>
        <v>100.3</v>
      </c>
      <c r="BW26" s="1112">
        <f t="shared" si="1"/>
        <v>142.57999999999998</v>
      </c>
      <c r="BX26" s="1112">
        <f t="shared" si="36"/>
        <v>1280.05</v>
      </c>
      <c r="BY26" s="1112">
        <v>0</v>
      </c>
      <c r="BZ26" s="1112">
        <f t="shared" si="37"/>
        <v>1280.05</v>
      </c>
      <c r="CA26" s="1321">
        <f>'CONCEPTOS Y PARAMETROS'!$A$102</f>
        <v>6255</v>
      </c>
      <c r="CB26" s="1112">
        <f t="shared" si="38"/>
        <v>311.57000000000005</v>
      </c>
      <c r="CC26" s="1113">
        <f t="shared" si="39"/>
        <v>673.84</v>
      </c>
      <c r="CD26" s="512"/>
      <c r="CE26" s="512"/>
      <c r="CF26" s="470">
        <f t="shared" si="40"/>
        <v>968.84</v>
      </c>
      <c r="CG26" s="495">
        <f t="shared" si="41"/>
        <v>311.57000000000005</v>
      </c>
      <c r="CH26" s="498">
        <f t="shared" si="42"/>
        <v>25</v>
      </c>
      <c r="CI26" s="1490">
        <f t="shared" si="43"/>
        <v>320</v>
      </c>
      <c r="CJ26" s="1500">
        <v>2</v>
      </c>
      <c r="CK26" s="495">
        <f t="shared" si="44"/>
        <v>648.84</v>
      </c>
      <c r="CL26" s="1689">
        <f t="shared" si="45"/>
        <v>311.44</v>
      </c>
      <c r="CM26" s="1689">
        <f t="shared" si="46"/>
        <v>337.40000000000003</v>
      </c>
      <c r="CN26" s="496">
        <f t="shared" si="47"/>
        <v>0</v>
      </c>
      <c r="CO26" s="497">
        <v>0</v>
      </c>
      <c r="CP26" s="496">
        <f t="shared" si="48"/>
        <v>0</v>
      </c>
      <c r="CQ26" s="496">
        <f t="shared" si="49"/>
        <v>0</v>
      </c>
      <c r="CR26" s="496">
        <f t="shared" si="50"/>
        <v>1297.68</v>
      </c>
      <c r="CS26" s="496">
        <f t="shared" si="51"/>
        <v>142.57999999999998</v>
      </c>
      <c r="CT26" s="496">
        <f t="shared" si="52"/>
        <v>6255</v>
      </c>
      <c r="CU26" s="470"/>
      <c r="CV26" s="470"/>
      <c r="CW26" s="470"/>
      <c r="CX26" s="470"/>
      <c r="CY26" s="1149" t="s">
        <v>6806</v>
      </c>
      <c r="CZ26" s="1149" t="s">
        <v>6947</v>
      </c>
      <c r="DA26" s="480"/>
      <c r="DB26" s="1642" t="s">
        <v>6148</v>
      </c>
      <c r="DC26" s="1642"/>
      <c r="DD26" s="1642" t="s">
        <v>6135</v>
      </c>
      <c r="DE26" s="1642" t="s">
        <v>6247</v>
      </c>
      <c r="DF26" s="1642" t="s">
        <v>7542</v>
      </c>
      <c r="DG26" s="1642"/>
      <c r="DH26" s="470"/>
      <c r="DI26" s="470"/>
      <c r="DJ26" s="470"/>
      <c r="DK26" s="470"/>
      <c r="DL26" s="470"/>
      <c r="DN26" s="471" t="str">
        <f>VLOOKUP(X26,Hoja1!$A$4:$B$10,2,0)</f>
        <v>PROFESIONAL</v>
      </c>
      <c r="DO26" s="471" t="str">
        <f>VLOOKUP(S26,Hoja1!$D$4:$F$77,3,0)</f>
        <v>COORDINADOR DE ÁREA</v>
      </c>
      <c r="DP26" s="1156" t="str">
        <f t="shared" si="53"/>
        <v>0</v>
      </c>
      <c r="DQ26" s="1484">
        <f>IF(T26&lt;&gt;"0",(ROUND(IF(A26="EMPLEADO",eval_formula('CONCEPTOS Y PARAMETROS'!$C$8,NOMINA!V26,AU26+BF26,NOMINA!I26+NOMINA!J26),eval_formula('CONCEPTOS Y PARAMETROS'!$D$8,NOMINA!V26,AU26+BF26,NOMINA!I26+NOMINA!J26)),2))*IF(H26&lt;&gt;"",IF(MONTH(H26)=$BR$8,IF(YEAR(H26)&lt;$BT$7,1,0),0)))</f>
        <v>0</v>
      </c>
      <c r="DR26" s="1801" t="str">
        <f t="shared" si="54"/>
        <v>M</v>
      </c>
      <c r="DS26" s="1801"/>
    </row>
    <row r="27" spans="1:123" s="476" customFormat="1" ht="21.95" customHeight="1" x14ac:dyDescent="0.25">
      <c r="A27" s="508" t="s">
        <v>2846</v>
      </c>
      <c r="B27" s="1314">
        <f t="shared" ca="1" si="2"/>
        <v>11</v>
      </c>
      <c r="C27" s="1148">
        <v>11895772</v>
      </c>
      <c r="D27" s="1149" t="s">
        <v>4677</v>
      </c>
      <c r="E27" s="1135" t="s">
        <v>4622</v>
      </c>
      <c r="F27" s="1118">
        <v>26733</v>
      </c>
      <c r="G27" s="1135" t="s">
        <v>4621</v>
      </c>
      <c r="H27" s="1118">
        <v>44743</v>
      </c>
      <c r="I27" s="1140">
        <f t="shared" si="10"/>
        <v>3</v>
      </c>
      <c r="J27" s="1132">
        <v>0</v>
      </c>
      <c r="K27" s="1140">
        <f t="shared" si="11"/>
        <v>3</v>
      </c>
      <c r="L27" s="1132" t="s">
        <v>5532</v>
      </c>
      <c r="M27" s="1132"/>
      <c r="N27" s="1132"/>
      <c r="O27" s="1002" t="s">
        <v>3618</v>
      </c>
      <c r="P27" s="1132" t="s">
        <v>5194</v>
      </c>
      <c r="Q27" s="1315" t="str">
        <f>IFERROR(VLOOKUP(O27,CARGOS!A:E,2,0),"")</f>
        <v>65001</v>
      </c>
      <c r="R27" s="1316" t="s">
        <v>7284</v>
      </c>
      <c r="S27" s="1135" t="s">
        <v>2835</v>
      </c>
      <c r="T27" s="1107">
        <f>IFERROR(VLOOKUP(S27,'TAB EMP'!A:B,2,0),0)</f>
        <v>348</v>
      </c>
      <c r="U27" s="1108">
        <v>0</v>
      </c>
      <c r="V27" s="1107">
        <f t="shared" si="12"/>
        <v>348</v>
      </c>
      <c r="W27" s="1108">
        <f t="shared" si="13"/>
        <v>174</v>
      </c>
      <c r="X27" s="1135" t="s">
        <v>2844</v>
      </c>
      <c r="Y27" s="1135"/>
      <c r="Z27" s="1135">
        <v>1</v>
      </c>
      <c r="AA27" s="1107">
        <f>ROUND(IF(H27&lt;&gt;"",VLOOKUP(SUM(I27+J27),'CONCEPTOS Y PARAMETROS'!F:G,2,0)*V27,0),2)</f>
        <v>10.44</v>
      </c>
      <c r="AB27" s="1107">
        <f>IF(S27&lt;&gt;"",IF(M27="",'CONCEPTOS Y PARAMETROS'!$C$4,0),0)</f>
        <v>130</v>
      </c>
      <c r="AC27" s="1107">
        <f>IF(S27&lt;&gt;"",IF(M27="",'CONCEPTOS Y PARAMETROS'!$C$7*Z27,0),0)</f>
        <v>12.5</v>
      </c>
      <c r="AD27" s="1107">
        <f>IFERROR(ROUND(VLOOKUP($X27,'CONCEPTOS Y PARAMETROS'!H:I,2,0)*($V27+AA27+AB27+AC27),2),0)</f>
        <v>100.19</v>
      </c>
      <c r="AE27" s="1107">
        <f t="shared" si="14"/>
        <v>253.13</v>
      </c>
      <c r="AF27" s="1107">
        <f t="shared" si="15"/>
        <v>5.22</v>
      </c>
      <c r="AG27" s="1107">
        <f t="shared" si="16"/>
        <v>5.22</v>
      </c>
      <c r="AH27" s="1107">
        <f t="shared" si="17"/>
        <v>65</v>
      </c>
      <c r="AI27" s="1107">
        <f t="shared" si="18"/>
        <v>65</v>
      </c>
      <c r="AJ27" s="1107">
        <f t="shared" si="19"/>
        <v>50.1</v>
      </c>
      <c r="AK27" s="1107">
        <f t="shared" si="20"/>
        <v>50.09</v>
      </c>
      <c r="AL27" s="1108">
        <f t="shared" si="21"/>
        <v>132.82</v>
      </c>
      <c r="AM27" s="1108">
        <f t="shared" si="22"/>
        <v>120.31</v>
      </c>
      <c r="AN27" s="1453">
        <v>1</v>
      </c>
      <c r="AO27" s="1147">
        <f>'CONCEPTOS Y PARAMETROS'!$C$18*AN27</f>
        <v>12.5</v>
      </c>
      <c r="AP27" s="990">
        <v>0</v>
      </c>
      <c r="AQ27" s="1147">
        <f>'CONCEPTOS Y PARAMETROS'!$C$21*AP27</f>
        <v>0</v>
      </c>
      <c r="AR27" s="1318">
        <v>0</v>
      </c>
      <c r="AS27" s="1318">
        <v>0</v>
      </c>
      <c r="AT27" s="1318">
        <f t="shared" si="23"/>
        <v>12.5</v>
      </c>
      <c r="AU27" s="1108">
        <f t="shared" si="24"/>
        <v>601.13</v>
      </c>
      <c r="AV27" s="1133">
        <v>0</v>
      </c>
      <c r="AW27" s="1108">
        <f t="shared" si="25"/>
        <v>0</v>
      </c>
      <c r="AX27" s="1107">
        <f>IF(T27&lt;&gt;"0",(ROUND(IF(A27="EMPLEADO",eval_formula('CONCEPTOS Y PARAMETROS'!$C$8,NOMINA!V27,NOMINA!$AU27,NOMINA!I27+NOMINA!J27),eval_formula('CONCEPTOS Y PARAMETROS'!$D$8,NOMINA!V27,NOMINA!$AU27,NOMINA!I27+NOMINA!J27)),2))*IF(H27&lt;&gt;"",IF(MONTH(H27)=$BR$8,IF(YEAR(H27)&lt;$BT$7,1,0),0)))</f>
        <v>0</v>
      </c>
      <c r="AY27" s="1108">
        <v>180</v>
      </c>
      <c r="AZ27" s="1107">
        <f>IFERROR(VLOOKUP(AY27,'CONCEPTOS Y PARAMETROS'!Y:Z,2,0),0)</f>
        <v>150</v>
      </c>
      <c r="BA27" s="1107">
        <f t="shared" si="26"/>
        <v>4508.4799999999996</v>
      </c>
      <c r="BB27" s="1107">
        <f t="shared" si="27"/>
        <v>0</v>
      </c>
      <c r="BC27" s="990">
        <v>0</v>
      </c>
      <c r="BD27" s="1107" t="str">
        <f t="shared" si="28"/>
        <v>0</v>
      </c>
      <c r="BE27" s="990">
        <v>0</v>
      </c>
      <c r="BF27" s="1107">
        <f t="shared" si="29"/>
        <v>0</v>
      </c>
      <c r="BG27" s="1108">
        <v>320</v>
      </c>
      <c r="BH27" s="1108">
        <v>0</v>
      </c>
      <c r="BI27" s="1132">
        <v>0</v>
      </c>
      <c r="BJ27" s="798">
        <v>12.5</v>
      </c>
      <c r="BK27" s="1108">
        <v>0</v>
      </c>
      <c r="BL27" s="1107">
        <f t="shared" si="30"/>
        <v>27.74</v>
      </c>
      <c r="BM27" s="1107">
        <f t="shared" si="31"/>
        <v>3.47</v>
      </c>
      <c r="BN27" s="1107">
        <f t="shared" si="32"/>
        <v>6.01</v>
      </c>
      <c r="BO27" s="1107">
        <v>0</v>
      </c>
      <c r="BP27" s="1107">
        <v>0</v>
      </c>
      <c r="BQ27" s="1320">
        <f t="shared" si="4"/>
        <v>37.22</v>
      </c>
      <c r="BR27" s="1107">
        <f t="shared" si="33"/>
        <v>62.43</v>
      </c>
      <c r="BS27" s="1107">
        <f t="shared" si="34"/>
        <v>13.87</v>
      </c>
      <c r="BT27" s="1107">
        <f t="shared" si="35"/>
        <v>12.02</v>
      </c>
      <c r="BU27" s="1107">
        <v>0</v>
      </c>
      <c r="BV27" s="1108">
        <f t="shared" si="0"/>
        <v>88.32</v>
      </c>
      <c r="BW27" s="1112">
        <f t="shared" si="1"/>
        <v>125.53999999999999</v>
      </c>
      <c r="BX27" s="1112">
        <f t="shared" si="36"/>
        <v>1127.1199999999999</v>
      </c>
      <c r="BY27" s="1112">
        <v>0</v>
      </c>
      <c r="BZ27" s="1112">
        <f t="shared" si="37"/>
        <v>1127.1199999999999</v>
      </c>
      <c r="CA27" s="1321">
        <f>'CONCEPTOS Y PARAMETROS'!$A$102</f>
        <v>6255</v>
      </c>
      <c r="CB27" s="1112">
        <f t="shared" si="38"/>
        <v>269.60000000000002</v>
      </c>
      <c r="CC27" s="1113">
        <f t="shared" si="39"/>
        <v>639.30999999999995</v>
      </c>
      <c r="CD27" s="512"/>
      <c r="CE27" s="512"/>
      <c r="CF27" s="470">
        <f t="shared" si="40"/>
        <v>934.31</v>
      </c>
      <c r="CG27" s="509">
        <f t="shared" si="41"/>
        <v>269.60000000000002</v>
      </c>
      <c r="CH27" s="498">
        <f t="shared" si="42"/>
        <v>25</v>
      </c>
      <c r="CI27" s="1491">
        <f t="shared" si="43"/>
        <v>320</v>
      </c>
      <c r="CJ27" s="1500">
        <v>1</v>
      </c>
      <c r="CK27" s="509">
        <f t="shared" si="44"/>
        <v>614.30999999999995</v>
      </c>
      <c r="CL27" s="1689">
        <f t="shared" si="45"/>
        <v>294.87</v>
      </c>
      <c r="CM27" s="1689">
        <f t="shared" si="46"/>
        <v>319.43999999999994</v>
      </c>
      <c r="CN27" s="510">
        <f t="shared" si="47"/>
        <v>0</v>
      </c>
      <c r="CO27" s="511">
        <v>0</v>
      </c>
      <c r="CP27" s="510">
        <f t="shared" si="48"/>
        <v>0</v>
      </c>
      <c r="CQ27" s="510">
        <f t="shared" si="49"/>
        <v>0</v>
      </c>
      <c r="CR27" s="496">
        <f t="shared" si="50"/>
        <v>1228.6199999999999</v>
      </c>
      <c r="CS27" s="510">
        <f t="shared" si="51"/>
        <v>125.53999999999999</v>
      </c>
      <c r="CT27" s="510">
        <f t="shared" si="52"/>
        <v>6255</v>
      </c>
      <c r="CU27" s="470"/>
      <c r="CV27" s="470"/>
      <c r="CW27" s="470"/>
      <c r="CX27" s="470"/>
      <c r="CY27" s="1149" t="s">
        <v>6807</v>
      </c>
      <c r="CZ27" s="1149" t="s">
        <v>6808</v>
      </c>
      <c r="DA27" s="1152"/>
      <c r="DB27" s="1642" t="s">
        <v>6149</v>
      </c>
      <c r="DC27" s="1642"/>
      <c r="DD27" s="1642" t="s">
        <v>6150</v>
      </c>
      <c r="DE27" s="1642" t="s">
        <v>6132</v>
      </c>
      <c r="DF27" s="1642" t="s">
        <v>6531</v>
      </c>
      <c r="DG27" s="1642"/>
      <c r="DH27" s="512"/>
      <c r="DI27" s="512"/>
      <c r="DJ27" s="512"/>
      <c r="DK27" s="512"/>
      <c r="DL27" s="512"/>
      <c r="DN27" s="476" t="str">
        <f>VLOOKUP(X27,Hoja1!$A$4:$B$10,2,0)</f>
        <v>TÉCNICO SUPERIOR UNIVERSITARIO</v>
      </c>
      <c r="DO27" s="476" t="str">
        <f>VLOOKUP(S27,Hoja1!$D$4:$F$77,3,0)</f>
        <v>COORDINADOR DE ÁREA</v>
      </c>
      <c r="DP27" s="1158" t="str">
        <f t="shared" si="53"/>
        <v>0</v>
      </c>
      <c r="DQ27" s="1484">
        <f>IF(T27&lt;&gt;"0",(ROUND(IF(A27="EMPLEADO",eval_formula('CONCEPTOS Y PARAMETROS'!$C$8,NOMINA!V27,AU27+BF27,NOMINA!I27+NOMINA!J27),eval_formula('CONCEPTOS Y PARAMETROS'!$D$8,NOMINA!V27,AU27+BF27,NOMINA!I27+NOMINA!J27)),2))*IF(H27&lt;&gt;"",IF(MONTH(H27)=$BR$8,IF(YEAR(H27)&lt;$BT$7,1,0),0)))</f>
        <v>0</v>
      </c>
      <c r="DR27" s="1799" t="str">
        <f t="shared" si="54"/>
        <v>M</v>
      </c>
      <c r="DS27" s="1799"/>
    </row>
    <row r="28" spans="1:123" s="471" customFormat="1" ht="21.95" customHeight="1" x14ac:dyDescent="0.25">
      <c r="A28" s="508" t="s">
        <v>2846</v>
      </c>
      <c r="B28" s="1314">
        <f t="shared" ca="1" si="2"/>
        <v>12</v>
      </c>
      <c r="C28" s="1148">
        <v>9495661</v>
      </c>
      <c r="D28" s="1149" t="s">
        <v>5183</v>
      </c>
      <c r="E28" s="1135" t="s">
        <v>4622</v>
      </c>
      <c r="F28" s="1118">
        <v>23909</v>
      </c>
      <c r="G28" s="1135" t="s">
        <v>4620</v>
      </c>
      <c r="H28" s="1118">
        <v>39692</v>
      </c>
      <c r="I28" s="1140">
        <f t="shared" si="10"/>
        <v>17</v>
      </c>
      <c r="J28" s="1132">
        <v>0</v>
      </c>
      <c r="K28" s="1140">
        <f t="shared" si="11"/>
        <v>17</v>
      </c>
      <c r="L28" s="1145" t="s">
        <v>5536</v>
      </c>
      <c r="M28" s="1132"/>
      <c r="N28" s="1132"/>
      <c r="O28" s="1002" t="s">
        <v>3618</v>
      </c>
      <c r="P28" s="1132" t="s">
        <v>5196</v>
      </c>
      <c r="Q28" s="1315" t="str">
        <f>IFERROR(VLOOKUP(O28,CARGOS!A:E,2,0),"")</f>
        <v>65001</v>
      </c>
      <c r="R28" s="1316" t="s">
        <v>5949</v>
      </c>
      <c r="S28" s="1135" t="s">
        <v>2835</v>
      </c>
      <c r="T28" s="1107">
        <f>IFERROR(VLOOKUP(S28,'TAB EMP'!A:B,2,0),0)</f>
        <v>348</v>
      </c>
      <c r="U28" s="1108">
        <v>0</v>
      </c>
      <c r="V28" s="1107">
        <f t="shared" si="12"/>
        <v>348</v>
      </c>
      <c r="W28" s="1108">
        <f t="shared" si="13"/>
        <v>174</v>
      </c>
      <c r="X28" s="1135" t="s">
        <v>2884</v>
      </c>
      <c r="Y28" s="1135"/>
      <c r="Z28" s="1135">
        <v>0</v>
      </c>
      <c r="AA28" s="1107">
        <f>ROUND(IF(H28&lt;&gt;"",VLOOKUP(SUM(I28+J28),'CONCEPTOS Y PARAMETROS'!F:G,2,0)*V28,0),2)</f>
        <v>73.78</v>
      </c>
      <c r="AB28" s="1107">
        <f>IF(S28&lt;&gt;"",IF(M28="",'CONCEPTOS Y PARAMETROS'!$C$4,0),0)</f>
        <v>130</v>
      </c>
      <c r="AC28" s="1107">
        <f>IF(S28&lt;&gt;"",IF(M28="",'CONCEPTOS Y PARAMETROS'!$C$7*Z28,0),0)</f>
        <v>0</v>
      </c>
      <c r="AD28" s="1107">
        <f>IFERROR(ROUND(VLOOKUP($X28,'CONCEPTOS Y PARAMETROS'!H:I,2,0)*($V28+AA28+AB28+AC28),2),0)</f>
        <v>0</v>
      </c>
      <c r="AE28" s="1107">
        <f t="shared" si="14"/>
        <v>203.78</v>
      </c>
      <c r="AF28" s="1107">
        <f t="shared" si="15"/>
        <v>36.89</v>
      </c>
      <c r="AG28" s="1107">
        <f t="shared" si="16"/>
        <v>36.89</v>
      </c>
      <c r="AH28" s="1107">
        <f t="shared" si="17"/>
        <v>65</v>
      </c>
      <c r="AI28" s="1107">
        <f t="shared" si="18"/>
        <v>65</v>
      </c>
      <c r="AJ28" s="1107">
        <f t="shared" si="19"/>
        <v>0</v>
      </c>
      <c r="AK28" s="1107">
        <f t="shared" si="20"/>
        <v>0</v>
      </c>
      <c r="AL28" s="1108">
        <f t="shared" si="21"/>
        <v>101.89</v>
      </c>
      <c r="AM28" s="1108">
        <f t="shared" si="22"/>
        <v>101.89</v>
      </c>
      <c r="AN28" s="990">
        <v>0</v>
      </c>
      <c r="AO28" s="1147">
        <f>'CONCEPTOS Y PARAMETROS'!$C$18*AN28</f>
        <v>0</v>
      </c>
      <c r="AP28" s="990">
        <v>0</v>
      </c>
      <c r="AQ28" s="1147">
        <f>'CONCEPTOS Y PARAMETROS'!$C$21*AP28</f>
        <v>0</v>
      </c>
      <c r="AR28" s="1318">
        <v>0</v>
      </c>
      <c r="AS28" s="1318">
        <v>0</v>
      </c>
      <c r="AT28" s="1318">
        <f t="shared" si="23"/>
        <v>0</v>
      </c>
      <c r="AU28" s="1108">
        <f t="shared" si="24"/>
        <v>551.78</v>
      </c>
      <c r="AV28" s="1133">
        <v>0</v>
      </c>
      <c r="AW28" s="1108">
        <f t="shared" si="25"/>
        <v>0</v>
      </c>
      <c r="AX28" s="1107">
        <f>IF(T28&lt;&gt;"0",(ROUND(IF(A28="EMPLEADO",eval_formula('CONCEPTOS Y PARAMETROS'!$C$8,NOMINA!V28,NOMINA!$AU28,NOMINA!I28+NOMINA!J28),eval_formula('CONCEPTOS Y PARAMETROS'!$D$8,NOMINA!V28,NOMINA!$AU28,NOMINA!I28+NOMINA!J28)),2))*IF(H28&lt;&gt;"",IF(MONTH(H28)=$BR$8,IF(YEAR(H28)&lt;$BT$7,1,0),0)))</f>
        <v>4414.24</v>
      </c>
      <c r="AY28" s="1108">
        <v>180</v>
      </c>
      <c r="AZ28" s="1107">
        <f>IFERROR(VLOOKUP(AY28,'CONCEPTOS Y PARAMETROS'!Y:Z,2,0),0)</f>
        <v>150</v>
      </c>
      <c r="BA28" s="1107">
        <f t="shared" si="26"/>
        <v>4138.3500000000004</v>
      </c>
      <c r="BB28" s="1107">
        <f t="shared" si="27"/>
        <v>0</v>
      </c>
      <c r="BC28" s="990">
        <v>0</v>
      </c>
      <c r="BD28" s="1107" t="str">
        <f t="shared" si="28"/>
        <v>0</v>
      </c>
      <c r="BE28" s="990">
        <v>0</v>
      </c>
      <c r="BF28" s="1107">
        <f t="shared" si="29"/>
        <v>0</v>
      </c>
      <c r="BG28" s="1108">
        <v>320</v>
      </c>
      <c r="BH28" s="1108">
        <v>0</v>
      </c>
      <c r="BI28" s="1132">
        <v>0</v>
      </c>
      <c r="BJ28" s="798">
        <v>12.5</v>
      </c>
      <c r="BK28" s="1108">
        <v>0</v>
      </c>
      <c r="BL28" s="1107">
        <f t="shared" si="30"/>
        <v>25.47</v>
      </c>
      <c r="BM28" s="1107">
        <f t="shared" si="31"/>
        <v>3.18</v>
      </c>
      <c r="BN28" s="1107">
        <f t="shared" si="32"/>
        <v>5.52</v>
      </c>
      <c r="BO28" s="1107">
        <v>0</v>
      </c>
      <c r="BP28" s="1107">
        <v>0</v>
      </c>
      <c r="BQ28" s="1320">
        <f t="shared" si="4"/>
        <v>34.17</v>
      </c>
      <c r="BR28" s="1107">
        <f t="shared" si="33"/>
        <v>57.3</v>
      </c>
      <c r="BS28" s="1107">
        <f t="shared" si="34"/>
        <v>12.73</v>
      </c>
      <c r="BT28" s="1107">
        <f t="shared" si="35"/>
        <v>11.04</v>
      </c>
      <c r="BU28" s="1107">
        <v>0</v>
      </c>
      <c r="BV28" s="1108">
        <f t="shared" si="0"/>
        <v>81.069999999999993</v>
      </c>
      <c r="BW28" s="1112">
        <f t="shared" si="1"/>
        <v>115.24</v>
      </c>
      <c r="BX28" s="1112">
        <f t="shared" si="36"/>
        <v>1034.5899999999999</v>
      </c>
      <c r="BY28" s="1112">
        <v>0</v>
      </c>
      <c r="BZ28" s="1112">
        <f t="shared" si="37"/>
        <v>1034.5899999999999</v>
      </c>
      <c r="CA28" s="1321">
        <f>'CONCEPTOS Y PARAMETROS'!$A$102</f>
        <v>6255</v>
      </c>
      <c r="CB28" s="1112">
        <f t="shared" si="38"/>
        <v>241.71999999999997</v>
      </c>
      <c r="CC28" s="1113">
        <f t="shared" si="39"/>
        <v>5022.63</v>
      </c>
      <c r="CD28" s="512"/>
      <c r="CE28" s="512"/>
      <c r="CF28" s="470">
        <f t="shared" si="40"/>
        <v>915.89</v>
      </c>
      <c r="CG28" s="495">
        <f t="shared" si="41"/>
        <v>241.71999999999997</v>
      </c>
      <c r="CH28" s="498">
        <f t="shared" si="42"/>
        <v>12.5</v>
      </c>
      <c r="CI28" s="1490">
        <f t="shared" si="43"/>
        <v>320</v>
      </c>
      <c r="CJ28" s="1500">
        <v>1</v>
      </c>
      <c r="CK28" s="495">
        <f t="shared" si="44"/>
        <v>595.89</v>
      </c>
      <c r="CL28" s="1689">
        <f t="shared" si="45"/>
        <v>595.89</v>
      </c>
      <c r="CM28" s="1689">
        <f t="shared" si="46"/>
        <v>0</v>
      </c>
      <c r="CN28" s="496">
        <f t="shared" si="47"/>
        <v>0</v>
      </c>
      <c r="CO28" s="497">
        <v>0</v>
      </c>
      <c r="CP28" s="496">
        <f t="shared" si="48"/>
        <v>0</v>
      </c>
      <c r="CQ28" s="496">
        <f t="shared" si="49"/>
        <v>4414.24</v>
      </c>
      <c r="CR28" s="496">
        <f t="shared" si="50"/>
        <v>5606.0199999999995</v>
      </c>
      <c r="CS28" s="496">
        <f t="shared" si="51"/>
        <v>115.24</v>
      </c>
      <c r="CT28" s="496">
        <f t="shared" si="52"/>
        <v>6255</v>
      </c>
      <c r="CU28" s="470"/>
      <c r="CV28" s="470"/>
      <c r="CW28" s="470"/>
      <c r="CX28" s="470"/>
      <c r="CY28" s="1149" t="s">
        <v>6809</v>
      </c>
      <c r="CZ28" s="1149" t="s">
        <v>7039</v>
      </c>
      <c r="DA28" s="480"/>
      <c r="DB28" s="1642" t="s">
        <v>6163</v>
      </c>
      <c r="DC28" s="1642"/>
      <c r="DD28" s="1642" t="s">
        <v>6150</v>
      </c>
      <c r="DE28" s="1642" t="s">
        <v>6187</v>
      </c>
      <c r="DF28" s="1642" t="s">
        <v>6539</v>
      </c>
      <c r="DG28" s="1642"/>
      <c r="DH28" s="470"/>
      <c r="DI28" s="470"/>
      <c r="DJ28" s="470"/>
      <c r="DK28" s="470"/>
      <c r="DL28" s="470"/>
      <c r="DN28" s="471" t="str">
        <f>VLOOKUP(X28,Hoja1!$A$4:$B$10,2,0)</f>
        <v>BACHILLER</v>
      </c>
      <c r="DO28" s="471" t="str">
        <f>VLOOKUP(S28,Hoja1!$D$4:$F$77,3,0)</f>
        <v>COORDINADOR DE ÁREA</v>
      </c>
      <c r="DP28" s="1156" t="str">
        <f t="shared" si="53"/>
        <v>0</v>
      </c>
      <c r="DQ28" s="1484">
        <f>IF(T28&lt;&gt;"0",(ROUND(IF(A28="EMPLEADO",eval_formula('CONCEPTOS Y PARAMETROS'!$C$8,NOMINA!V28,AU28+BF28,NOMINA!I28+NOMINA!J28),eval_formula('CONCEPTOS Y PARAMETROS'!$D$8,NOMINA!V28,AU28+BF28,NOMINA!I28+NOMINA!J28)),2))*IF(H28&lt;&gt;"",IF(MONTH(H28)=$BR$8,IF(YEAR(H28)&lt;$BT$7,1,0),0)))</f>
        <v>4414.24</v>
      </c>
      <c r="DR28" s="1801" t="str">
        <f t="shared" si="54"/>
        <v>F</v>
      </c>
      <c r="DS28" s="1801"/>
    </row>
    <row r="29" spans="1:123" s="471" customFormat="1" ht="21.95" customHeight="1" x14ac:dyDescent="0.2">
      <c r="A29" s="508" t="s">
        <v>2846</v>
      </c>
      <c r="B29" s="1314">
        <f t="shared" ca="1" si="2"/>
        <v>13</v>
      </c>
      <c r="C29" s="1148">
        <v>5348397</v>
      </c>
      <c r="D29" s="1149" t="s">
        <v>4678</v>
      </c>
      <c r="E29" s="1135" t="s">
        <v>4622</v>
      </c>
      <c r="F29" s="1118">
        <v>21579</v>
      </c>
      <c r="G29" s="1135" t="s">
        <v>4621</v>
      </c>
      <c r="H29" s="1118">
        <v>43359</v>
      </c>
      <c r="I29" s="1140">
        <f t="shared" si="10"/>
        <v>7</v>
      </c>
      <c r="J29" s="1132">
        <v>0</v>
      </c>
      <c r="K29" s="1140">
        <f t="shared" si="11"/>
        <v>7</v>
      </c>
      <c r="L29" s="1145" t="s">
        <v>5526</v>
      </c>
      <c r="M29" s="1132"/>
      <c r="N29" s="1132"/>
      <c r="O29" s="1002" t="s">
        <v>3618</v>
      </c>
      <c r="P29" s="1132" t="s">
        <v>5197</v>
      </c>
      <c r="Q29" s="1315" t="str">
        <f>IFERROR(VLOOKUP(O29,CARGOS!A:E,2,0),"")</f>
        <v>65001</v>
      </c>
      <c r="R29" s="1327" t="s">
        <v>5050</v>
      </c>
      <c r="S29" s="1135" t="s">
        <v>2835</v>
      </c>
      <c r="T29" s="1107">
        <f>IFERROR(VLOOKUP(S29,'TAB EMP'!A:B,2,0),0)</f>
        <v>348</v>
      </c>
      <c r="U29" s="1108">
        <v>0</v>
      </c>
      <c r="V29" s="1107">
        <f t="shared" si="12"/>
        <v>348</v>
      </c>
      <c r="W29" s="1108">
        <f t="shared" si="13"/>
        <v>174</v>
      </c>
      <c r="X29" s="1135" t="s">
        <v>2887</v>
      </c>
      <c r="Y29" s="1135"/>
      <c r="Z29" s="1135">
        <v>1</v>
      </c>
      <c r="AA29" s="1107">
        <f>ROUND(IF(H29&lt;&gt;"",VLOOKUP(SUM(I29+J29),'CONCEPTOS Y PARAMETROS'!F:G,2,0)*V29,0),2)</f>
        <v>25.75</v>
      </c>
      <c r="AB29" s="1107">
        <f>IF(S29&lt;&gt;"",IF(M29="",'CONCEPTOS Y PARAMETROS'!$C$4,0),0)</f>
        <v>130</v>
      </c>
      <c r="AC29" s="1107">
        <f>IF(S29&lt;&gt;"",IF(M29="",'CONCEPTOS Y PARAMETROS'!$C$7*Z29,0),0)</f>
        <v>12.5</v>
      </c>
      <c r="AD29" s="1107">
        <f>IFERROR(ROUND(VLOOKUP($X29,'CONCEPTOS Y PARAMETROS'!H:I,2,0)*($V29+AA29+AB29+AC29),2),0)</f>
        <v>180.69</v>
      </c>
      <c r="AE29" s="1107">
        <f t="shared" si="14"/>
        <v>348.94</v>
      </c>
      <c r="AF29" s="1107">
        <f t="shared" si="15"/>
        <v>12.88</v>
      </c>
      <c r="AG29" s="1107">
        <f t="shared" si="16"/>
        <v>12.87</v>
      </c>
      <c r="AH29" s="1107">
        <f t="shared" si="17"/>
        <v>65</v>
      </c>
      <c r="AI29" s="1107">
        <f t="shared" si="18"/>
        <v>65</v>
      </c>
      <c r="AJ29" s="1107">
        <f t="shared" si="19"/>
        <v>90.35</v>
      </c>
      <c r="AK29" s="1107">
        <f t="shared" si="20"/>
        <v>90.34</v>
      </c>
      <c r="AL29" s="1108">
        <f t="shared" si="21"/>
        <v>180.73</v>
      </c>
      <c r="AM29" s="1108">
        <f t="shared" si="22"/>
        <v>168.21</v>
      </c>
      <c r="AN29" s="990">
        <v>0</v>
      </c>
      <c r="AO29" s="1147">
        <f>'CONCEPTOS Y PARAMETROS'!$C$18*AN29</f>
        <v>0</v>
      </c>
      <c r="AP29" s="990">
        <v>0</v>
      </c>
      <c r="AQ29" s="1147">
        <f>'CONCEPTOS Y PARAMETROS'!$C$21*AP29</f>
        <v>0</v>
      </c>
      <c r="AR29" s="1318">
        <v>0</v>
      </c>
      <c r="AS29" s="1318">
        <v>0</v>
      </c>
      <c r="AT29" s="1318">
        <f t="shared" si="23"/>
        <v>0</v>
      </c>
      <c r="AU29" s="1108">
        <f t="shared" si="24"/>
        <v>696.94</v>
      </c>
      <c r="AV29" s="1133">
        <v>0</v>
      </c>
      <c r="AW29" s="1108">
        <f t="shared" si="25"/>
        <v>0</v>
      </c>
      <c r="AX29" s="1107">
        <f>IF(T29&lt;&gt;"0",(ROUND(IF(A29="EMPLEADO",eval_formula('CONCEPTOS Y PARAMETROS'!$C$8,NOMINA!V29,NOMINA!$AU29,NOMINA!I29+NOMINA!J29),eval_formula('CONCEPTOS Y PARAMETROS'!$D$8,NOMINA!V29,NOMINA!$AU29,NOMINA!I29+NOMINA!J29)),2))*IF(H29&lt;&gt;"",IF(MONTH(H29)=$BR$8,IF(YEAR(H29)&lt;$BT$7,1,0),0)))</f>
        <v>5575.52</v>
      </c>
      <c r="AY29" s="1108">
        <v>180</v>
      </c>
      <c r="AZ29" s="1107">
        <f>IFERROR(VLOOKUP(AY29,'CONCEPTOS Y PARAMETROS'!Y:Z,2,0),0)</f>
        <v>150</v>
      </c>
      <c r="BA29" s="1107">
        <f t="shared" si="26"/>
        <v>5227.05</v>
      </c>
      <c r="BB29" s="1107">
        <f t="shared" si="27"/>
        <v>0</v>
      </c>
      <c r="BC29" s="990">
        <v>0</v>
      </c>
      <c r="BD29" s="1107" t="str">
        <f t="shared" si="28"/>
        <v>0</v>
      </c>
      <c r="BE29" s="990">
        <v>0</v>
      </c>
      <c r="BF29" s="1107">
        <f t="shared" si="29"/>
        <v>0</v>
      </c>
      <c r="BG29" s="1108">
        <v>320</v>
      </c>
      <c r="BH29" s="1108">
        <v>0</v>
      </c>
      <c r="BI29" s="1132">
        <v>0</v>
      </c>
      <c r="BJ29" s="798">
        <v>12.5</v>
      </c>
      <c r="BK29" s="1108">
        <v>0</v>
      </c>
      <c r="BL29" s="1107">
        <f t="shared" si="30"/>
        <v>32.17</v>
      </c>
      <c r="BM29" s="1107">
        <f t="shared" si="31"/>
        <v>4.0199999999999996</v>
      </c>
      <c r="BN29" s="1107">
        <f t="shared" si="32"/>
        <v>6.97</v>
      </c>
      <c r="BO29" s="1107">
        <v>0</v>
      </c>
      <c r="BP29" s="1107">
        <v>0</v>
      </c>
      <c r="BQ29" s="1320">
        <f t="shared" si="4"/>
        <v>43.16</v>
      </c>
      <c r="BR29" s="1107">
        <f t="shared" si="33"/>
        <v>72.37</v>
      </c>
      <c r="BS29" s="1107">
        <f t="shared" si="34"/>
        <v>16.079999999999998</v>
      </c>
      <c r="BT29" s="1107">
        <f t="shared" si="35"/>
        <v>13.94</v>
      </c>
      <c r="BU29" s="1107">
        <v>0</v>
      </c>
      <c r="BV29" s="1108">
        <f t="shared" si="0"/>
        <v>102.39</v>
      </c>
      <c r="BW29" s="1112">
        <f t="shared" si="1"/>
        <v>145.55000000000001</v>
      </c>
      <c r="BX29" s="1112">
        <f t="shared" si="36"/>
        <v>1306.76</v>
      </c>
      <c r="BY29" s="1112">
        <v>0</v>
      </c>
      <c r="BZ29" s="1112">
        <f t="shared" si="37"/>
        <v>1306.76</v>
      </c>
      <c r="CA29" s="1321">
        <f>'CONCEPTOS Y PARAMETROS'!$A$102</f>
        <v>6255</v>
      </c>
      <c r="CB29" s="1112">
        <f t="shared" si="38"/>
        <v>311.57000000000005</v>
      </c>
      <c r="CC29" s="1113">
        <f t="shared" si="39"/>
        <v>6250.23</v>
      </c>
      <c r="CD29" s="512"/>
      <c r="CE29" s="512"/>
      <c r="CF29" s="470">
        <f t="shared" si="40"/>
        <v>982.21</v>
      </c>
      <c r="CG29" s="495">
        <f t="shared" si="41"/>
        <v>311.57000000000005</v>
      </c>
      <c r="CH29" s="498">
        <f t="shared" si="42"/>
        <v>12.5</v>
      </c>
      <c r="CI29" s="1490">
        <f t="shared" si="43"/>
        <v>320</v>
      </c>
      <c r="CJ29" s="1500">
        <v>2</v>
      </c>
      <c r="CK29" s="495">
        <f t="shared" si="44"/>
        <v>662.21</v>
      </c>
      <c r="CL29" s="1689">
        <f t="shared" si="45"/>
        <v>317.86</v>
      </c>
      <c r="CM29" s="1689">
        <f t="shared" si="46"/>
        <v>344.35</v>
      </c>
      <c r="CN29" s="496">
        <f t="shared" si="47"/>
        <v>0</v>
      </c>
      <c r="CO29" s="497">
        <v>0</v>
      </c>
      <c r="CP29" s="496">
        <f t="shared" si="48"/>
        <v>0</v>
      </c>
      <c r="CQ29" s="496">
        <f t="shared" si="49"/>
        <v>5575.52</v>
      </c>
      <c r="CR29" s="496">
        <f t="shared" si="50"/>
        <v>6899.9400000000005</v>
      </c>
      <c r="CS29" s="496">
        <f t="shared" si="51"/>
        <v>145.55000000000001</v>
      </c>
      <c r="CT29" s="496">
        <f t="shared" si="52"/>
        <v>6255</v>
      </c>
      <c r="CU29" s="470"/>
      <c r="CV29" s="470"/>
      <c r="CW29" s="470"/>
      <c r="CX29" s="470"/>
      <c r="CY29" s="1149" t="s">
        <v>6817</v>
      </c>
      <c r="CZ29" s="1149" t="s">
        <v>7072</v>
      </c>
      <c r="DA29" s="480"/>
      <c r="DB29" s="1642" t="s">
        <v>7398</v>
      </c>
      <c r="DC29" s="1642"/>
      <c r="DD29" s="1642" t="s">
        <v>6153</v>
      </c>
      <c r="DE29" s="1642" t="s">
        <v>6154</v>
      </c>
      <c r="DF29" s="1642" t="s">
        <v>7399</v>
      </c>
      <c r="DG29" s="1643" t="s">
        <v>7400</v>
      </c>
      <c r="DH29" s="470"/>
      <c r="DI29" s="470"/>
      <c r="DJ29" s="470"/>
      <c r="DK29" s="470"/>
      <c r="DL29" s="470"/>
      <c r="DN29" s="471" t="str">
        <f>VLOOKUP(X29,Hoja1!$A$4:$B$10,2,0)</f>
        <v>MAGISTER</v>
      </c>
      <c r="DO29" s="471" t="str">
        <f>VLOOKUP(S29,Hoja1!$D$4:$F$77,3,0)</f>
        <v>COORDINADOR DE ÁREA</v>
      </c>
      <c r="DP29" s="1156" t="str">
        <f t="shared" si="53"/>
        <v>0</v>
      </c>
      <c r="DQ29" s="1484">
        <f>IF(T29&lt;&gt;"0",(ROUND(IF(A29="EMPLEADO",eval_formula('CONCEPTOS Y PARAMETROS'!$C$8,NOMINA!V29,AU29+BF29,NOMINA!I29+NOMINA!J29),eval_formula('CONCEPTOS Y PARAMETROS'!$D$8,NOMINA!V29,AU29+BF29,NOMINA!I29+NOMINA!J29)),2))*IF(H29&lt;&gt;"",IF(MONTH(H29)=$BR$8,IF(YEAR(H29)&lt;$BT$7,1,0),0)))</f>
        <v>5575.52</v>
      </c>
      <c r="DR29" s="1801" t="str">
        <f t="shared" si="54"/>
        <v>M</v>
      </c>
      <c r="DS29" s="1801"/>
    </row>
    <row r="30" spans="1:123" s="471" customFormat="1" ht="21.95" customHeight="1" x14ac:dyDescent="0.25">
      <c r="A30" s="508" t="s">
        <v>2846</v>
      </c>
      <c r="B30" s="1314">
        <f t="shared" ca="1" si="2"/>
        <v>14</v>
      </c>
      <c r="C30" s="1148">
        <v>9314132</v>
      </c>
      <c r="D30" s="1149" t="s">
        <v>4679</v>
      </c>
      <c r="E30" s="1135" t="s">
        <v>4622</v>
      </c>
      <c r="F30" s="1118">
        <v>25785</v>
      </c>
      <c r="G30" s="1135" t="s">
        <v>4621</v>
      </c>
      <c r="H30" s="1118">
        <v>44348</v>
      </c>
      <c r="I30" s="1140">
        <f t="shared" si="10"/>
        <v>4</v>
      </c>
      <c r="J30" s="1132">
        <v>0</v>
      </c>
      <c r="K30" s="1140">
        <f t="shared" si="11"/>
        <v>4</v>
      </c>
      <c r="L30" s="1145" t="s">
        <v>5539</v>
      </c>
      <c r="M30" s="1132"/>
      <c r="N30" s="1132"/>
      <c r="O30" s="1002" t="s">
        <v>3618</v>
      </c>
      <c r="P30" s="1132" t="s">
        <v>5198</v>
      </c>
      <c r="Q30" s="1315" t="str">
        <f>IFERROR(VLOOKUP(O30,CARGOS!A:E,2,0),"")</f>
        <v>65001</v>
      </c>
      <c r="R30" s="1327" t="s">
        <v>5050</v>
      </c>
      <c r="S30" s="1135" t="s">
        <v>2835</v>
      </c>
      <c r="T30" s="1107">
        <f>IFERROR(VLOOKUP(S30,'TAB EMP'!A:B,2,0),0)</f>
        <v>348</v>
      </c>
      <c r="U30" s="1108">
        <v>0</v>
      </c>
      <c r="V30" s="1107">
        <f t="shared" si="12"/>
        <v>348</v>
      </c>
      <c r="W30" s="1108">
        <f t="shared" si="13"/>
        <v>174</v>
      </c>
      <c r="X30" s="1135" t="s">
        <v>2887</v>
      </c>
      <c r="Y30" s="1135"/>
      <c r="Z30" s="1135">
        <v>0</v>
      </c>
      <c r="AA30" s="1107">
        <f>ROUND(IF(H30&lt;&gt;"",VLOOKUP(SUM(I30+J30),'CONCEPTOS Y PARAMETROS'!F:G,2,0)*V30,0),2)</f>
        <v>13.92</v>
      </c>
      <c r="AB30" s="1107">
        <f>IF(S30&lt;&gt;"",IF(M30="",'CONCEPTOS Y PARAMETROS'!$C$4,0),0)</f>
        <v>130</v>
      </c>
      <c r="AC30" s="1107">
        <f>IF(S30&lt;&gt;"",IF(M30="",'CONCEPTOS Y PARAMETROS'!$C$7*Z30,0),0)</f>
        <v>0</v>
      </c>
      <c r="AD30" s="1107">
        <f>IFERROR(ROUND(VLOOKUP($X30,'CONCEPTOS Y PARAMETROS'!H:I,2,0)*($V30+AA30+AB30+AC30),2),0)</f>
        <v>172.17</v>
      </c>
      <c r="AE30" s="1107">
        <f t="shared" si="14"/>
        <v>316.08999999999997</v>
      </c>
      <c r="AF30" s="1107">
        <f t="shared" si="15"/>
        <v>6.96</v>
      </c>
      <c r="AG30" s="1107">
        <f t="shared" si="16"/>
        <v>6.96</v>
      </c>
      <c r="AH30" s="1107">
        <f t="shared" si="17"/>
        <v>65</v>
      </c>
      <c r="AI30" s="1107">
        <f t="shared" si="18"/>
        <v>65</v>
      </c>
      <c r="AJ30" s="1107">
        <f t="shared" si="19"/>
        <v>86.09</v>
      </c>
      <c r="AK30" s="1107">
        <f t="shared" si="20"/>
        <v>86.08</v>
      </c>
      <c r="AL30" s="1108">
        <f t="shared" si="21"/>
        <v>158.05000000000001</v>
      </c>
      <c r="AM30" s="1108">
        <f t="shared" si="22"/>
        <v>158.04</v>
      </c>
      <c r="AN30" s="990">
        <v>0</v>
      </c>
      <c r="AO30" s="1147">
        <f>'CONCEPTOS Y PARAMETROS'!$C$18*AN30</f>
        <v>0</v>
      </c>
      <c r="AP30" s="990">
        <v>0</v>
      </c>
      <c r="AQ30" s="1147">
        <f>'CONCEPTOS Y PARAMETROS'!$C$21*AP30</f>
        <v>0</v>
      </c>
      <c r="AR30" s="1318">
        <v>0</v>
      </c>
      <c r="AS30" s="1318">
        <v>0</v>
      </c>
      <c r="AT30" s="1318">
        <f t="shared" si="23"/>
        <v>0</v>
      </c>
      <c r="AU30" s="1108">
        <f t="shared" si="24"/>
        <v>664.08999999999992</v>
      </c>
      <c r="AV30" s="1133">
        <v>0</v>
      </c>
      <c r="AW30" s="1108">
        <f t="shared" si="25"/>
        <v>0</v>
      </c>
      <c r="AX30" s="1107">
        <f>IF(T30&lt;&gt;"0",(ROUND(IF(A30="EMPLEADO",eval_formula('CONCEPTOS Y PARAMETROS'!$C$8,NOMINA!V30,NOMINA!$AU30,NOMINA!I30+NOMINA!J30),eval_formula('CONCEPTOS Y PARAMETROS'!$D$8,NOMINA!V30,NOMINA!$AU30,NOMINA!I30+NOMINA!J30)),2))*IF(H30&lt;&gt;"",IF(MONTH(H30)=$BR$8,IF(YEAR(H30)&lt;$BT$7,1,0),0)))</f>
        <v>0</v>
      </c>
      <c r="AY30" s="1108">
        <v>180</v>
      </c>
      <c r="AZ30" s="1107">
        <f>IFERROR(VLOOKUP(AY30,'CONCEPTOS Y PARAMETROS'!Y:Z,2,0),0)</f>
        <v>150</v>
      </c>
      <c r="BA30" s="1107">
        <f t="shared" si="26"/>
        <v>4980.68</v>
      </c>
      <c r="BB30" s="1107">
        <f t="shared" si="27"/>
        <v>0</v>
      </c>
      <c r="BC30" s="990">
        <v>0</v>
      </c>
      <c r="BD30" s="1107" t="str">
        <f t="shared" si="28"/>
        <v>0</v>
      </c>
      <c r="BE30" s="990">
        <v>0</v>
      </c>
      <c r="BF30" s="1107">
        <f t="shared" si="29"/>
        <v>0</v>
      </c>
      <c r="BG30" s="1108">
        <v>320</v>
      </c>
      <c r="BH30" s="1108">
        <v>0</v>
      </c>
      <c r="BI30" s="1132">
        <v>0</v>
      </c>
      <c r="BJ30" s="798">
        <v>12.5</v>
      </c>
      <c r="BK30" s="1108">
        <v>0</v>
      </c>
      <c r="BL30" s="1107">
        <f t="shared" si="30"/>
        <v>30.65</v>
      </c>
      <c r="BM30" s="1107">
        <f t="shared" si="31"/>
        <v>3.83</v>
      </c>
      <c r="BN30" s="1107">
        <f t="shared" si="32"/>
        <v>6.64</v>
      </c>
      <c r="BO30" s="1107">
        <v>0</v>
      </c>
      <c r="BP30" s="1107">
        <v>0</v>
      </c>
      <c r="BQ30" s="1320">
        <f t="shared" si="4"/>
        <v>41.12</v>
      </c>
      <c r="BR30" s="1107">
        <f t="shared" si="33"/>
        <v>68.959999999999994</v>
      </c>
      <c r="BS30" s="1107">
        <f t="shared" si="34"/>
        <v>15.33</v>
      </c>
      <c r="BT30" s="1107">
        <f t="shared" si="35"/>
        <v>13.28</v>
      </c>
      <c r="BU30" s="1107">
        <v>0</v>
      </c>
      <c r="BV30" s="1108">
        <f t="shared" si="0"/>
        <v>97.57</v>
      </c>
      <c r="BW30" s="1112">
        <f t="shared" si="1"/>
        <v>138.69</v>
      </c>
      <c r="BX30" s="1112">
        <f t="shared" si="36"/>
        <v>1245.17</v>
      </c>
      <c r="BY30" s="1112">
        <v>0</v>
      </c>
      <c r="BZ30" s="1112">
        <f t="shared" si="37"/>
        <v>1245.17</v>
      </c>
      <c r="CA30" s="1321">
        <f>'CONCEPTOS Y PARAMETROS'!$A$102</f>
        <v>6255</v>
      </c>
      <c r="CB30" s="1112">
        <f t="shared" si="38"/>
        <v>290.93</v>
      </c>
      <c r="CC30" s="1113">
        <f t="shared" si="39"/>
        <v>664.54</v>
      </c>
      <c r="CD30" s="512"/>
      <c r="CE30" s="512"/>
      <c r="CF30" s="470">
        <f t="shared" si="40"/>
        <v>972.04</v>
      </c>
      <c r="CG30" s="495">
        <f t="shared" si="41"/>
        <v>290.93</v>
      </c>
      <c r="CH30" s="498">
        <f t="shared" si="42"/>
        <v>12.5</v>
      </c>
      <c r="CI30" s="1490">
        <f t="shared" si="43"/>
        <v>320</v>
      </c>
      <c r="CJ30" s="1500">
        <v>2</v>
      </c>
      <c r="CK30" s="495">
        <f t="shared" si="44"/>
        <v>652.04</v>
      </c>
      <c r="CL30" s="1689">
        <f t="shared" si="45"/>
        <v>312.98</v>
      </c>
      <c r="CM30" s="1689">
        <f t="shared" si="46"/>
        <v>339.05999999999995</v>
      </c>
      <c r="CN30" s="496">
        <f t="shared" si="47"/>
        <v>0</v>
      </c>
      <c r="CO30" s="497">
        <v>0</v>
      </c>
      <c r="CP30" s="496">
        <f t="shared" si="48"/>
        <v>0</v>
      </c>
      <c r="CQ30" s="496">
        <f t="shared" si="49"/>
        <v>0</v>
      </c>
      <c r="CR30" s="496">
        <f t="shared" si="50"/>
        <v>1304.08</v>
      </c>
      <c r="CS30" s="496">
        <f t="shared" si="51"/>
        <v>138.69</v>
      </c>
      <c r="CT30" s="496">
        <f t="shared" si="52"/>
        <v>6255</v>
      </c>
      <c r="CU30" s="470"/>
      <c r="CV30" s="470"/>
      <c r="CW30" s="470"/>
      <c r="CX30" s="470"/>
      <c r="CY30" s="1149" t="s">
        <v>6886</v>
      </c>
      <c r="CZ30" s="1149" t="s">
        <v>6810</v>
      </c>
      <c r="DA30" s="480"/>
      <c r="DB30" s="1642" t="s">
        <v>6155</v>
      </c>
      <c r="DC30" s="1642"/>
      <c r="DD30" s="1642" t="s">
        <v>6156</v>
      </c>
      <c r="DE30" s="1642" t="s">
        <v>6138</v>
      </c>
      <c r="DF30" s="1642" t="s">
        <v>6540</v>
      </c>
      <c r="DG30" s="1152"/>
      <c r="DH30" s="470"/>
      <c r="DI30" s="470"/>
      <c r="DJ30" s="470"/>
      <c r="DK30" s="470"/>
      <c r="DL30" s="470"/>
      <c r="DN30" s="471" t="str">
        <f>VLOOKUP(X30,Hoja1!$A$4:$B$10,2,0)</f>
        <v>MAGISTER</v>
      </c>
      <c r="DO30" s="471" t="str">
        <f>VLOOKUP(S30,Hoja1!$D$4:$F$77,3,0)</f>
        <v>COORDINADOR DE ÁREA</v>
      </c>
      <c r="DP30" s="1156" t="str">
        <f t="shared" si="53"/>
        <v>0</v>
      </c>
      <c r="DQ30" s="1484">
        <f>IF(T30&lt;&gt;"0",(ROUND(IF(A30="EMPLEADO",eval_formula('CONCEPTOS Y PARAMETROS'!$C$8,NOMINA!V30,AU30+BF30,NOMINA!I30+NOMINA!J30),eval_formula('CONCEPTOS Y PARAMETROS'!$D$8,NOMINA!V30,AU30+BF30,NOMINA!I30+NOMINA!J30)),2))*IF(H30&lt;&gt;"",IF(MONTH(H30)=$BR$8,IF(YEAR(H30)&lt;$BT$7,1,0),0)))</f>
        <v>0</v>
      </c>
      <c r="DR30" s="1801" t="str">
        <f t="shared" si="54"/>
        <v>M</v>
      </c>
      <c r="DS30" s="1801"/>
    </row>
    <row r="31" spans="1:123" s="476" customFormat="1" ht="21.95" customHeight="1" x14ac:dyDescent="0.25">
      <c r="A31" s="508" t="s">
        <v>2846</v>
      </c>
      <c r="B31" s="1314">
        <f t="shared" ca="1" si="2"/>
        <v>15</v>
      </c>
      <c r="C31" s="1148">
        <v>11320533</v>
      </c>
      <c r="D31" s="1149" t="s">
        <v>4744</v>
      </c>
      <c r="E31" s="1135" t="s">
        <v>4622</v>
      </c>
      <c r="F31" s="1150">
        <v>26799</v>
      </c>
      <c r="G31" s="1135" t="s">
        <v>4620</v>
      </c>
      <c r="H31" s="1150">
        <v>37629</v>
      </c>
      <c r="I31" s="1140">
        <f t="shared" si="10"/>
        <v>22</v>
      </c>
      <c r="J31" s="1132">
        <v>0</v>
      </c>
      <c r="K31" s="1140">
        <f t="shared" si="11"/>
        <v>22</v>
      </c>
      <c r="L31" s="1145" t="s">
        <v>5526</v>
      </c>
      <c r="M31" s="1132"/>
      <c r="N31" s="1132"/>
      <c r="O31" s="1002" t="s">
        <v>3618</v>
      </c>
      <c r="P31" s="1132" t="s">
        <v>5319</v>
      </c>
      <c r="Q31" s="1315" t="str">
        <f>IFERROR(VLOOKUP(O31,CARGOS!A:E,2,0),"")</f>
        <v>65001</v>
      </c>
      <c r="R31" s="1316" t="s">
        <v>7600</v>
      </c>
      <c r="S31" s="1135" t="s">
        <v>2835</v>
      </c>
      <c r="T31" s="1107">
        <f>IFERROR(VLOOKUP(S31,'TAB EMP'!A:B,2,0),0)</f>
        <v>348</v>
      </c>
      <c r="U31" s="1108">
        <v>0</v>
      </c>
      <c r="V31" s="1107">
        <f t="shared" si="12"/>
        <v>348</v>
      </c>
      <c r="W31" s="1108">
        <f t="shared" si="13"/>
        <v>174</v>
      </c>
      <c r="X31" s="1135" t="s">
        <v>2885</v>
      </c>
      <c r="Y31" s="1135"/>
      <c r="Z31" s="1135">
        <v>1</v>
      </c>
      <c r="AA31" s="1107">
        <f>ROUND(IF(H31&lt;&gt;"",VLOOKUP(SUM(I31+J31),'CONCEPTOS Y PARAMETROS'!F:G,2,0)*V31,0),2)</f>
        <v>103.01</v>
      </c>
      <c r="AB31" s="1107">
        <f>IF(S31&lt;&gt;"",IF(M31="",'CONCEPTOS Y PARAMETROS'!$C$4,0),0)</f>
        <v>130</v>
      </c>
      <c r="AC31" s="1107">
        <f>IF(S31&lt;&gt;"",IF(M31="",'CONCEPTOS Y PARAMETROS'!$C$7*Z31,0),0)</f>
        <v>12.5</v>
      </c>
      <c r="AD31" s="1107">
        <f>IFERROR(ROUND(VLOOKUP($X31,'CONCEPTOS Y PARAMETROS'!H:I,2,0)*($V31+AA31+AB31+AC31),2),0)</f>
        <v>148.38</v>
      </c>
      <c r="AE31" s="1107">
        <f t="shared" si="14"/>
        <v>393.89</v>
      </c>
      <c r="AF31" s="1107">
        <f t="shared" si="15"/>
        <v>51.51</v>
      </c>
      <c r="AG31" s="1107">
        <f t="shared" si="16"/>
        <v>51.5</v>
      </c>
      <c r="AH31" s="1107">
        <f t="shared" si="17"/>
        <v>65</v>
      </c>
      <c r="AI31" s="1107">
        <f t="shared" si="18"/>
        <v>65</v>
      </c>
      <c r="AJ31" s="1107">
        <f t="shared" si="19"/>
        <v>74.19</v>
      </c>
      <c r="AK31" s="1107">
        <f t="shared" si="20"/>
        <v>74.19</v>
      </c>
      <c r="AL31" s="1108">
        <f t="shared" si="21"/>
        <v>203.2</v>
      </c>
      <c r="AM31" s="1108">
        <f t="shared" si="22"/>
        <v>190.69</v>
      </c>
      <c r="AN31" s="990">
        <v>0</v>
      </c>
      <c r="AO31" s="1147">
        <f>'CONCEPTOS Y PARAMETROS'!$C$18*AN31</f>
        <v>0</v>
      </c>
      <c r="AP31" s="990">
        <v>0</v>
      </c>
      <c r="AQ31" s="1147">
        <f>'CONCEPTOS Y PARAMETROS'!$C$21*AP31</f>
        <v>0</v>
      </c>
      <c r="AR31" s="1318">
        <v>0</v>
      </c>
      <c r="AS31" s="1318">
        <v>0</v>
      </c>
      <c r="AT31" s="1318">
        <f t="shared" si="23"/>
        <v>0</v>
      </c>
      <c r="AU31" s="1108">
        <f t="shared" si="24"/>
        <v>741.89</v>
      </c>
      <c r="AV31" s="1133">
        <v>0</v>
      </c>
      <c r="AW31" s="1108">
        <f>ROUND(IF(AV31="NOCTURN",(V31+AE31)*30%,0),2)</f>
        <v>0</v>
      </c>
      <c r="AX31" s="1107">
        <f>IF(T31&lt;&gt;"0",(ROUND(IF(A31="EMPLEADO",eval_formula('CONCEPTOS Y PARAMETROS'!$C$8,NOMINA!V31,NOMINA!$AU31,NOMINA!I31+NOMINA!J31),eval_formula('CONCEPTOS Y PARAMETROS'!$D$8,NOMINA!V31,NOMINA!$AU31,NOMINA!I31+NOMINA!J31)),2))*IF(H31&lt;&gt;"",IF(MONTH(H31)=$BR$8,IF(YEAR(H31)&lt;$BT$7,1,0),0)))</f>
        <v>0</v>
      </c>
      <c r="AY31" s="1108">
        <v>180</v>
      </c>
      <c r="AZ31" s="1107">
        <f>IFERROR(VLOOKUP(AY31,'CONCEPTOS Y PARAMETROS'!Y:Z,2,0),0)</f>
        <v>150</v>
      </c>
      <c r="BA31" s="1107">
        <f t="shared" si="26"/>
        <v>5564.18</v>
      </c>
      <c r="BB31" s="1107">
        <f t="shared" si="27"/>
        <v>0</v>
      </c>
      <c r="BC31" s="990">
        <v>0</v>
      </c>
      <c r="BD31" s="1107" t="str">
        <f t="shared" si="28"/>
        <v>0</v>
      </c>
      <c r="BE31" s="990">
        <v>0</v>
      </c>
      <c r="BF31" s="1107">
        <f t="shared" si="29"/>
        <v>0</v>
      </c>
      <c r="BG31" s="1108">
        <v>320</v>
      </c>
      <c r="BH31" s="1108">
        <v>0</v>
      </c>
      <c r="BI31" s="1132">
        <v>0</v>
      </c>
      <c r="BJ31" s="798">
        <v>12.5</v>
      </c>
      <c r="BK31" s="1108">
        <v>0</v>
      </c>
      <c r="BL31" s="1107">
        <f t="shared" si="30"/>
        <v>34.24</v>
      </c>
      <c r="BM31" s="1107">
        <f t="shared" si="31"/>
        <v>4.28</v>
      </c>
      <c r="BN31" s="1107">
        <f t="shared" si="32"/>
        <v>7.42</v>
      </c>
      <c r="BO31" s="1107">
        <v>0</v>
      </c>
      <c r="BP31" s="1107">
        <v>0</v>
      </c>
      <c r="BQ31" s="1320">
        <f t="shared" si="4"/>
        <v>45.94</v>
      </c>
      <c r="BR31" s="1107">
        <f t="shared" si="33"/>
        <v>77.040000000000006</v>
      </c>
      <c r="BS31" s="1107">
        <f t="shared" si="34"/>
        <v>17.12</v>
      </c>
      <c r="BT31" s="1107">
        <f t="shared" si="35"/>
        <v>14.84</v>
      </c>
      <c r="BU31" s="1107">
        <v>0</v>
      </c>
      <c r="BV31" s="1108">
        <f t="shared" si="0"/>
        <v>109</v>
      </c>
      <c r="BW31" s="1112">
        <f t="shared" si="1"/>
        <v>154.94</v>
      </c>
      <c r="BX31" s="1112">
        <f t="shared" si="36"/>
        <v>1391.05</v>
      </c>
      <c r="BY31" s="1112">
        <v>0</v>
      </c>
      <c r="BZ31" s="1112">
        <f t="shared" si="37"/>
        <v>1391.05</v>
      </c>
      <c r="CA31" s="1321">
        <f>'CONCEPTOS Y PARAMETROS'!$A$102</f>
        <v>6255</v>
      </c>
      <c r="CB31" s="1112">
        <f t="shared" si="38"/>
        <v>331.26</v>
      </c>
      <c r="CC31" s="1113">
        <f t="shared" si="39"/>
        <v>697.19</v>
      </c>
      <c r="CD31" s="512"/>
      <c r="CE31" s="512"/>
      <c r="CF31" s="470">
        <f t="shared" si="40"/>
        <v>1004.69</v>
      </c>
      <c r="CG31" s="509">
        <f t="shared" si="41"/>
        <v>331.26</v>
      </c>
      <c r="CH31" s="498">
        <f t="shared" si="42"/>
        <v>12.5</v>
      </c>
      <c r="CI31" s="1491">
        <f t="shared" si="43"/>
        <v>320</v>
      </c>
      <c r="CJ31" s="1500">
        <v>2</v>
      </c>
      <c r="CK31" s="509">
        <f t="shared" si="44"/>
        <v>684.69</v>
      </c>
      <c r="CL31" s="1689">
        <f t="shared" si="45"/>
        <v>328.65</v>
      </c>
      <c r="CM31" s="1689">
        <f t="shared" si="46"/>
        <v>356.04000000000008</v>
      </c>
      <c r="CN31" s="510">
        <f t="shared" si="47"/>
        <v>0</v>
      </c>
      <c r="CO31" s="511">
        <v>0</v>
      </c>
      <c r="CP31" s="510">
        <f t="shared" si="48"/>
        <v>0</v>
      </c>
      <c r="CQ31" s="510">
        <f t="shared" si="49"/>
        <v>0</v>
      </c>
      <c r="CR31" s="496">
        <f t="shared" si="50"/>
        <v>1369.38</v>
      </c>
      <c r="CS31" s="510">
        <f t="shared" si="51"/>
        <v>154.94</v>
      </c>
      <c r="CT31" s="510">
        <f t="shared" si="52"/>
        <v>6255</v>
      </c>
      <c r="CU31" s="470"/>
      <c r="CV31" s="470"/>
      <c r="CW31" s="470"/>
      <c r="CX31" s="470"/>
      <c r="CY31" s="1149" t="s">
        <v>6972</v>
      </c>
      <c r="CZ31" s="1149" t="s">
        <v>6811</v>
      </c>
      <c r="DA31" s="1152"/>
      <c r="DB31" s="1642" t="s">
        <v>6183</v>
      </c>
      <c r="DC31" s="1642"/>
      <c r="DD31" s="1642" t="s">
        <v>6133</v>
      </c>
      <c r="DE31" s="1642" t="s">
        <v>6393</v>
      </c>
      <c r="DF31" s="1642" t="s">
        <v>7391</v>
      </c>
      <c r="DG31" s="1642" t="s">
        <v>7392</v>
      </c>
      <c r="DH31" s="512"/>
      <c r="DI31" s="512"/>
      <c r="DJ31" s="512"/>
      <c r="DK31" s="512"/>
      <c r="DL31" s="512"/>
      <c r="DN31" s="471" t="str">
        <f>VLOOKUP(X31,Hoja1!$A$4:$B$10,2,0)</f>
        <v>PROFESIONAL</v>
      </c>
      <c r="DO31" s="471" t="str">
        <f>VLOOKUP(S31,Hoja1!$D$4:$F$77,3,0)</f>
        <v>COORDINADOR DE ÁREA</v>
      </c>
      <c r="DP31" s="1156" t="str">
        <f t="shared" si="53"/>
        <v>0</v>
      </c>
      <c r="DQ31" s="1484">
        <f>IF(T31&lt;&gt;"0",(ROUND(IF(A31="EMPLEADO",eval_formula('CONCEPTOS Y PARAMETROS'!$C$8,NOMINA!V31,AU31+BF31,NOMINA!I31+NOMINA!J31),eval_formula('CONCEPTOS Y PARAMETROS'!$D$8,NOMINA!V31,AU31+BF31,NOMINA!I31+NOMINA!J31)),2))*IF(H31&lt;&gt;"",IF(MONTH(H31)=$BR$8,IF(YEAR(H31)&lt;$BT$7,1,0),0)))</f>
        <v>0</v>
      </c>
      <c r="DR31" s="1801" t="str">
        <f t="shared" si="54"/>
        <v>F</v>
      </c>
      <c r="DS31" s="1801"/>
    </row>
    <row r="32" spans="1:123" s="471" customFormat="1" ht="21.95" customHeight="1" x14ac:dyDescent="0.25">
      <c r="A32" s="508" t="s">
        <v>2846</v>
      </c>
      <c r="B32" s="1314">
        <f t="shared" ca="1" si="2"/>
        <v>16</v>
      </c>
      <c r="C32" s="1148">
        <v>10912595</v>
      </c>
      <c r="D32" s="1149" t="s">
        <v>4681</v>
      </c>
      <c r="E32" s="1135" t="s">
        <v>4622</v>
      </c>
      <c r="F32" s="1118">
        <v>25224</v>
      </c>
      <c r="G32" s="1135" t="s">
        <v>4621</v>
      </c>
      <c r="H32" s="1118">
        <v>36039</v>
      </c>
      <c r="I32" s="1140">
        <f t="shared" si="10"/>
        <v>27</v>
      </c>
      <c r="J32" s="1132">
        <v>0</v>
      </c>
      <c r="K32" s="1140">
        <f t="shared" si="11"/>
        <v>27</v>
      </c>
      <c r="L32" s="1145" t="s">
        <v>5527</v>
      </c>
      <c r="M32" s="1132"/>
      <c r="N32" s="1132"/>
      <c r="O32" s="1002" t="s">
        <v>3618</v>
      </c>
      <c r="P32" s="1132" t="s">
        <v>5200</v>
      </c>
      <c r="Q32" s="1315" t="str">
        <f>IFERROR(VLOOKUP(O32,CARGOS!A:E,2,0),"")</f>
        <v>65001</v>
      </c>
      <c r="R32" s="1316" t="s">
        <v>5950</v>
      </c>
      <c r="S32" s="1135" t="s">
        <v>2835</v>
      </c>
      <c r="T32" s="1107">
        <f>IFERROR(VLOOKUP(S32,'TAB EMP'!A:B,2,0),0)</f>
        <v>348</v>
      </c>
      <c r="U32" s="1108">
        <v>0</v>
      </c>
      <c r="V32" s="1107">
        <f t="shared" si="12"/>
        <v>348</v>
      </c>
      <c r="W32" s="1108">
        <f t="shared" si="13"/>
        <v>174</v>
      </c>
      <c r="X32" s="1135" t="s">
        <v>2884</v>
      </c>
      <c r="Y32" s="1135"/>
      <c r="Z32" s="1135">
        <v>0</v>
      </c>
      <c r="AA32" s="1107">
        <f>ROUND(IF(H32&lt;&gt;"",VLOOKUP(SUM(I32+J32),'CONCEPTOS Y PARAMETROS'!F:G,2,0)*V32,0),2)</f>
        <v>104.4</v>
      </c>
      <c r="AB32" s="1107">
        <f>IF(S32&lt;&gt;"",IF(M32="",'CONCEPTOS Y PARAMETROS'!$C$4,0),0)</f>
        <v>130</v>
      </c>
      <c r="AC32" s="1107">
        <f>IF(S32&lt;&gt;"",IF(M32="",'CONCEPTOS Y PARAMETROS'!$C$7*Z32,0),0)</f>
        <v>0</v>
      </c>
      <c r="AD32" s="1107">
        <f>IFERROR(ROUND(VLOOKUP($X32,'CONCEPTOS Y PARAMETROS'!H:I,2,0)*($V32+AA32+AB32+AC32),2),0)</f>
        <v>0</v>
      </c>
      <c r="AE32" s="1107">
        <f t="shared" si="14"/>
        <v>234.4</v>
      </c>
      <c r="AF32" s="1107">
        <f t="shared" si="15"/>
        <v>52.2</v>
      </c>
      <c r="AG32" s="1107">
        <f t="shared" si="16"/>
        <v>52.2</v>
      </c>
      <c r="AH32" s="1107">
        <f t="shared" si="17"/>
        <v>65</v>
      </c>
      <c r="AI32" s="1107">
        <f t="shared" si="18"/>
        <v>65</v>
      </c>
      <c r="AJ32" s="1107">
        <f t="shared" si="19"/>
        <v>0</v>
      </c>
      <c r="AK32" s="1107">
        <f t="shared" si="20"/>
        <v>0</v>
      </c>
      <c r="AL32" s="1108">
        <f t="shared" si="21"/>
        <v>117.2</v>
      </c>
      <c r="AM32" s="1108">
        <f t="shared" si="22"/>
        <v>117.2</v>
      </c>
      <c r="AN32" s="990">
        <v>0</v>
      </c>
      <c r="AO32" s="1147">
        <f>'CONCEPTOS Y PARAMETROS'!$C$18*AN32</f>
        <v>0</v>
      </c>
      <c r="AP32" s="990">
        <v>0</v>
      </c>
      <c r="AQ32" s="1147">
        <f>'CONCEPTOS Y PARAMETROS'!$C$21*AP32</f>
        <v>0</v>
      </c>
      <c r="AR32" s="1318">
        <v>0</v>
      </c>
      <c r="AS32" s="1318">
        <v>0</v>
      </c>
      <c r="AT32" s="1318">
        <f t="shared" si="23"/>
        <v>0</v>
      </c>
      <c r="AU32" s="1108">
        <f t="shared" si="24"/>
        <v>582.4</v>
      </c>
      <c r="AV32" s="1133">
        <v>0</v>
      </c>
      <c r="AW32" s="1108">
        <f>ROUND(IF(O32="VIGILANTE",(V32+AE32)*30%,0),2)</f>
        <v>0</v>
      </c>
      <c r="AX32" s="1107">
        <f>IF(T32&lt;&gt;"0",(ROUND(IF(A32="EMPLEADO",eval_formula('CONCEPTOS Y PARAMETROS'!$C$8,NOMINA!V32,NOMINA!$AU32,NOMINA!I32+NOMINA!J32),eval_formula('CONCEPTOS Y PARAMETROS'!$D$8,NOMINA!V32,NOMINA!$AU32,NOMINA!I32+NOMINA!J32)),2))*IF(H32&lt;&gt;"",IF(MONTH(H32)=$BR$8,IF(YEAR(H32)&lt;$BT$7,1,0),0)))</f>
        <v>4659.2</v>
      </c>
      <c r="AY32" s="1108">
        <v>180</v>
      </c>
      <c r="AZ32" s="1107">
        <f>IFERROR(VLOOKUP(AY32,'CONCEPTOS Y PARAMETROS'!Y:Z,2,0),0)</f>
        <v>150</v>
      </c>
      <c r="BA32" s="1107">
        <f t="shared" si="26"/>
        <v>4368</v>
      </c>
      <c r="BB32" s="1107">
        <f t="shared" si="27"/>
        <v>0</v>
      </c>
      <c r="BC32" s="990">
        <v>0</v>
      </c>
      <c r="BD32" s="1107" t="str">
        <f t="shared" si="28"/>
        <v>0</v>
      </c>
      <c r="BE32" s="990">
        <v>0</v>
      </c>
      <c r="BF32" s="1107">
        <f t="shared" si="29"/>
        <v>0</v>
      </c>
      <c r="BG32" s="1108">
        <v>320</v>
      </c>
      <c r="BH32" s="1108">
        <v>0</v>
      </c>
      <c r="BI32" s="1132">
        <v>0</v>
      </c>
      <c r="BJ32" s="798">
        <v>12.5</v>
      </c>
      <c r="BK32" s="1108">
        <v>0</v>
      </c>
      <c r="BL32" s="1107">
        <f t="shared" si="30"/>
        <v>26.88</v>
      </c>
      <c r="BM32" s="1107">
        <f t="shared" si="31"/>
        <v>3.36</v>
      </c>
      <c r="BN32" s="1107">
        <f t="shared" si="32"/>
        <v>5.82</v>
      </c>
      <c r="BO32" s="1107">
        <v>0</v>
      </c>
      <c r="BP32" s="1107">
        <v>0</v>
      </c>
      <c r="BQ32" s="1320">
        <f t="shared" si="4"/>
        <v>36.06</v>
      </c>
      <c r="BR32" s="1107">
        <f t="shared" si="33"/>
        <v>60.48</v>
      </c>
      <c r="BS32" s="1107">
        <f t="shared" si="34"/>
        <v>13.44</v>
      </c>
      <c r="BT32" s="1107">
        <f t="shared" si="35"/>
        <v>11.64</v>
      </c>
      <c r="BU32" s="1107">
        <v>0</v>
      </c>
      <c r="BV32" s="1108">
        <f t="shared" si="0"/>
        <v>85.56</v>
      </c>
      <c r="BW32" s="1112">
        <f t="shared" si="1"/>
        <v>121.62</v>
      </c>
      <c r="BX32" s="1112">
        <f t="shared" si="36"/>
        <v>1092</v>
      </c>
      <c r="BY32" s="1112">
        <v>0</v>
      </c>
      <c r="BZ32" s="1112">
        <f t="shared" si="37"/>
        <v>1092</v>
      </c>
      <c r="CA32" s="1321">
        <f>'CONCEPTOS Y PARAMETROS'!$A$102</f>
        <v>6255</v>
      </c>
      <c r="CB32" s="1112">
        <f t="shared" si="38"/>
        <v>255.14</v>
      </c>
      <c r="CC32" s="1113">
        <f t="shared" si="39"/>
        <v>5282.9</v>
      </c>
      <c r="CD32" s="512"/>
      <c r="CE32" s="512"/>
      <c r="CF32" s="470">
        <f t="shared" si="40"/>
        <v>931.2</v>
      </c>
      <c r="CG32" s="495">
        <f t="shared" si="41"/>
        <v>255.14</v>
      </c>
      <c r="CH32" s="498">
        <f t="shared" si="42"/>
        <v>12.5</v>
      </c>
      <c r="CI32" s="1490">
        <f t="shared" si="43"/>
        <v>320</v>
      </c>
      <c r="CJ32" s="1500">
        <v>1</v>
      </c>
      <c r="CK32" s="495">
        <f t="shared" si="44"/>
        <v>611.20000000000005</v>
      </c>
      <c r="CL32" s="1689">
        <f t="shared" si="45"/>
        <v>293.38</v>
      </c>
      <c r="CM32" s="1689">
        <f t="shared" si="46"/>
        <v>317.82000000000005</v>
      </c>
      <c r="CN32" s="496">
        <f t="shared" si="47"/>
        <v>0</v>
      </c>
      <c r="CO32" s="497">
        <v>0</v>
      </c>
      <c r="CP32" s="496">
        <f t="shared" si="48"/>
        <v>0</v>
      </c>
      <c r="CQ32" s="496">
        <f t="shared" si="49"/>
        <v>4659.2</v>
      </c>
      <c r="CR32" s="496">
        <f t="shared" si="50"/>
        <v>5881.6</v>
      </c>
      <c r="CS32" s="496">
        <f t="shared" si="51"/>
        <v>121.62</v>
      </c>
      <c r="CT32" s="496">
        <f t="shared" si="52"/>
        <v>6255</v>
      </c>
      <c r="CU32" s="470"/>
      <c r="CV32" s="470"/>
      <c r="CW32" s="470"/>
      <c r="CX32" s="470"/>
      <c r="CY32" s="1149" t="s">
        <v>6812</v>
      </c>
      <c r="CZ32" s="1149" t="s">
        <v>6813</v>
      </c>
      <c r="DA32" s="480"/>
      <c r="DB32" s="1642" t="s">
        <v>6161</v>
      </c>
      <c r="DC32" s="1642"/>
      <c r="DD32" s="1642" t="s">
        <v>6135</v>
      </c>
      <c r="DE32" s="1642" t="s">
        <v>6162</v>
      </c>
      <c r="DF32" s="1642" t="s">
        <v>6524</v>
      </c>
      <c r="DG32" s="1642"/>
      <c r="DH32" s="470"/>
      <c r="DI32" s="470"/>
      <c r="DJ32" s="470"/>
      <c r="DK32" s="470"/>
      <c r="DL32" s="470"/>
      <c r="DN32" s="471" t="str">
        <f>VLOOKUP(X32,Hoja1!$A$4:$B$10,2,0)</f>
        <v>BACHILLER</v>
      </c>
      <c r="DO32" s="471" t="str">
        <f>VLOOKUP(S32,Hoja1!$D$4:$F$77,3,0)</f>
        <v>COORDINADOR DE ÁREA</v>
      </c>
      <c r="DP32" s="1156" t="str">
        <f t="shared" si="53"/>
        <v>0</v>
      </c>
      <c r="DQ32" s="1484">
        <f>IF(T32&lt;&gt;"0",(ROUND(IF(A32="EMPLEADO",eval_formula('CONCEPTOS Y PARAMETROS'!$C$8,NOMINA!V32,AU32+BF32,NOMINA!I32+NOMINA!J32),eval_formula('CONCEPTOS Y PARAMETROS'!$D$8,NOMINA!V32,AU32+BF32,NOMINA!I32+NOMINA!J32)),2))*IF(H32&lt;&gt;"",IF(MONTH(H32)=$BR$8,IF(YEAR(H32)&lt;$BT$7,1,0),0)))</f>
        <v>4659.2</v>
      </c>
      <c r="DR32" s="1801" t="str">
        <f t="shared" si="54"/>
        <v>M</v>
      </c>
      <c r="DS32" s="1801"/>
    </row>
    <row r="33" spans="1:123" s="471" customFormat="1" ht="21.95" customHeight="1" x14ac:dyDescent="0.25">
      <c r="A33" s="508" t="s">
        <v>2846</v>
      </c>
      <c r="B33" s="1314">
        <f t="shared" ca="1" si="2"/>
        <v>17</v>
      </c>
      <c r="C33" s="1148">
        <v>4306476</v>
      </c>
      <c r="D33" s="1149" t="s">
        <v>4683</v>
      </c>
      <c r="E33" s="1135" t="s">
        <v>4622</v>
      </c>
      <c r="F33" s="1118">
        <v>20781</v>
      </c>
      <c r="G33" s="1135" t="s">
        <v>4620</v>
      </c>
      <c r="H33" s="1118">
        <v>44409</v>
      </c>
      <c r="I33" s="1140">
        <f t="shared" si="10"/>
        <v>4</v>
      </c>
      <c r="J33" s="1132">
        <f>9*0+25</f>
        <v>25</v>
      </c>
      <c r="K33" s="1140">
        <f t="shared" si="11"/>
        <v>29</v>
      </c>
      <c r="L33" s="1145" t="s">
        <v>5528</v>
      </c>
      <c r="M33" s="1132"/>
      <c r="N33" s="1132"/>
      <c r="O33" s="1002" t="s">
        <v>3618</v>
      </c>
      <c r="P33" s="1132" t="s">
        <v>5201</v>
      </c>
      <c r="Q33" s="1315" t="str">
        <f>IFERROR(VLOOKUP(O33,CARGOS!A:E,2,0),"")</f>
        <v>65001</v>
      </c>
      <c r="R33" s="1327" t="s">
        <v>5050</v>
      </c>
      <c r="S33" s="1135" t="s">
        <v>2835</v>
      </c>
      <c r="T33" s="1107">
        <f>IFERROR(VLOOKUP(S33,'TAB EMP'!A:B,2,0),0)</f>
        <v>348</v>
      </c>
      <c r="U33" s="1108">
        <v>0</v>
      </c>
      <c r="V33" s="1107">
        <f t="shared" si="12"/>
        <v>348</v>
      </c>
      <c r="W33" s="1108">
        <f t="shared" si="13"/>
        <v>174</v>
      </c>
      <c r="X33" s="1135" t="s">
        <v>2887</v>
      </c>
      <c r="Y33" s="1135"/>
      <c r="Z33" s="1135">
        <v>0</v>
      </c>
      <c r="AA33" s="1107">
        <f>ROUND(IF(H33&lt;&gt;"",VLOOKUP(SUM(I33+J33),'CONCEPTOS Y PARAMETROS'!F:G,2,0)*V33,0),2)</f>
        <v>104.4</v>
      </c>
      <c r="AB33" s="1107">
        <f>IF(S33&lt;&gt;"",IF(M33="",'CONCEPTOS Y PARAMETROS'!$C$4,0),0)</f>
        <v>130</v>
      </c>
      <c r="AC33" s="1107">
        <f>IF(S33&lt;&gt;"",IF(M33="",'CONCEPTOS Y PARAMETROS'!$C$7*Z33,0),0)</f>
        <v>0</v>
      </c>
      <c r="AD33" s="1107">
        <f>IFERROR(ROUND(VLOOKUP($X33,'CONCEPTOS Y PARAMETROS'!H:I,2,0)*($V33+AA33+AB33+AC33),2),0)</f>
        <v>203.84</v>
      </c>
      <c r="AE33" s="1107">
        <f t="shared" si="14"/>
        <v>438.24</v>
      </c>
      <c r="AF33" s="1107">
        <f t="shared" si="15"/>
        <v>52.2</v>
      </c>
      <c r="AG33" s="1107">
        <f t="shared" si="16"/>
        <v>52.2</v>
      </c>
      <c r="AH33" s="1107">
        <f t="shared" si="17"/>
        <v>65</v>
      </c>
      <c r="AI33" s="1107">
        <f t="shared" si="18"/>
        <v>65</v>
      </c>
      <c r="AJ33" s="1107">
        <f t="shared" si="19"/>
        <v>101.92</v>
      </c>
      <c r="AK33" s="1107">
        <f t="shared" si="20"/>
        <v>101.92</v>
      </c>
      <c r="AL33" s="1108">
        <f t="shared" si="21"/>
        <v>219.12</v>
      </c>
      <c r="AM33" s="1108">
        <f t="shared" si="22"/>
        <v>219.12</v>
      </c>
      <c r="AN33" s="990">
        <v>0</v>
      </c>
      <c r="AO33" s="1147">
        <f>'CONCEPTOS Y PARAMETROS'!$C$18*AN33</f>
        <v>0</v>
      </c>
      <c r="AP33" s="990">
        <v>0</v>
      </c>
      <c r="AQ33" s="1147">
        <f>'CONCEPTOS Y PARAMETROS'!$C$21*AP33</f>
        <v>0</v>
      </c>
      <c r="AR33" s="1318">
        <v>0</v>
      </c>
      <c r="AS33" s="1318">
        <v>0</v>
      </c>
      <c r="AT33" s="1318">
        <f t="shared" si="23"/>
        <v>0</v>
      </c>
      <c r="AU33" s="1108">
        <f t="shared" si="24"/>
        <v>786.24</v>
      </c>
      <c r="AV33" s="1133">
        <v>0</v>
      </c>
      <c r="AW33" s="1108">
        <f>ROUND(IF(O33="VIGILANTE",(V33+AE33)*30%,0),2)</f>
        <v>0</v>
      </c>
      <c r="AX33" s="1107">
        <f>IF(T33&lt;&gt;"0",(ROUND(IF(A33="EMPLEADO",eval_formula('CONCEPTOS Y PARAMETROS'!$C$8,NOMINA!V33,NOMINA!$AU33,NOMINA!I33+NOMINA!J33),eval_formula('CONCEPTOS Y PARAMETROS'!$D$8,NOMINA!V33,NOMINA!$AU33,NOMINA!I33+NOMINA!J33)),2))*IF(H33&lt;&gt;"",IF(MONTH(H33)=$BR$8,IF(YEAR(H33)&lt;$BT$7,1,0),0)))</f>
        <v>0</v>
      </c>
      <c r="AY33" s="1108">
        <v>180</v>
      </c>
      <c r="AZ33" s="1107">
        <f>IFERROR(VLOOKUP(AY33,'CONCEPTOS Y PARAMETROS'!Y:Z,2,0),0)</f>
        <v>150</v>
      </c>
      <c r="BA33" s="1107">
        <f t="shared" si="26"/>
        <v>5896.8</v>
      </c>
      <c r="BB33" s="1107">
        <f t="shared" si="27"/>
        <v>0</v>
      </c>
      <c r="BC33" s="990">
        <v>0</v>
      </c>
      <c r="BD33" s="1107" t="str">
        <f t="shared" si="28"/>
        <v>0</v>
      </c>
      <c r="BE33" s="990">
        <v>0</v>
      </c>
      <c r="BF33" s="1107">
        <f t="shared" si="29"/>
        <v>0</v>
      </c>
      <c r="BG33" s="1108">
        <v>320</v>
      </c>
      <c r="BH33" s="1108">
        <v>0</v>
      </c>
      <c r="BI33" s="1132">
        <v>0</v>
      </c>
      <c r="BJ33" s="798">
        <v>12.5</v>
      </c>
      <c r="BK33" s="1108">
        <v>0</v>
      </c>
      <c r="BL33" s="1107">
        <f t="shared" si="30"/>
        <v>36.29</v>
      </c>
      <c r="BM33" s="1107">
        <f t="shared" si="31"/>
        <v>4.54</v>
      </c>
      <c r="BN33" s="1107">
        <f t="shared" si="32"/>
        <v>7.86</v>
      </c>
      <c r="BO33" s="1107">
        <v>0</v>
      </c>
      <c r="BP33" s="1107">
        <v>0</v>
      </c>
      <c r="BQ33" s="1320">
        <f t="shared" si="4"/>
        <v>48.69</v>
      </c>
      <c r="BR33" s="1107">
        <f t="shared" si="33"/>
        <v>81.650000000000006</v>
      </c>
      <c r="BS33" s="1107">
        <f t="shared" si="34"/>
        <v>18.14</v>
      </c>
      <c r="BT33" s="1107">
        <f t="shared" si="35"/>
        <v>15.72</v>
      </c>
      <c r="BU33" s="1107">
        <v>0</v>
      </c>
      <c r="BV33" s="1108">
        <f t="shared" si="0"/>
        <v>115.51</v>
      </c>
      <c r="BW33" s="1112">
        <f t="shared" si="1"/>
        <v>164.2</v>
      </c>
      <c r="BX33" s="1112">
        <f t="shared" si="36"/>
        <v>1474.2</v>
      </c>
      <c r="BY33" s="1112">
        <v>0</v>
      </c>
      <c r="BZ33" s="1112">
        <f t="shared" si="37"/>
        <v>1474.2</v>
      </c>
      <c r="CA33" s="1321">
        <f>'CONCEPTOS Y PARAMETROS'!$A$102</f>
        <v>6255</v>
      </c>
      <c r="CB33" s="1112">
        <f t="shared" si="38"/>
        <v>344.43</v>
      </c>
      <c r="CC33" s="1113">
        <f t="shared" si="39"/>
        <v>725.62</v>
      </c>
      <c r="CD33" s="512"/>
      <c r="CE33" s="512"/>
      <c r="CF33" s="470">
        <f t="shared" si="40"/>
        <v>1033.1199999999999</v>
      </c>
      <c r="CG33" s="495">
        <f t="shared" si="41"/>
        <v>344.43</v>
      </c>
      <c r="CH33" s="498">
        <f t="shared" si="42"/>
        <v>12.5</v>
      </c>
      <c r="CI33" s="1490">
        <f t="shared" si="43"/>
        <v>320</v>
      </c>
      <c r="CJ33" s="1500">
        <v>2</v>
      </c>
      <c r="CK33" s="495">
        <f t="shared" si="44"/>
        <v>713.12</v>
      </c>
      <c r="CL33" s="1689">
        <f t="shared" si="45"/>
        <v>342.3</v>
      </c>
      <c r="CM33" s="1689">
        <f t="shared" si="46"/>
        <v>370.82</v>
      </c>
      <c r="CN33" s="496">
        <f t="shared" si="47"/>
        <v>0</v>
      </c>
      <c r="CO33" s="497">
        <v>0</v>
      </c>
      <c r="CP33" s="496">
        <f t="shared" si="48"/>
        <v>0</v>
      </c>
      <c r="CQ33" s="496">
        <f t="shared" si="49"/>
        <v>0</v>
      </c>
      <c r="CR33" s="496">
        <f t="shared" si="50"/>
        <v>1426.24</v>
      </c>
      <c r="CS33" s="496">
        <f t="shared" si="51"/>
        <v>164.2</v>
      </c>
      <c r="CT33" s="496">
        <f t="shared" si="52"/>
        <v>6255</v>
      </c>
      <c r="CU33" s="470"/>
      <c r="CV33" s="470"/>
      <c r="CW33" s="470"/>
      <c r="CX33" s="470"/>
      <c r="CY33" s="1149" t="s">
        <v>6814</v>
      </c>
      <c r="CZ33" s="1149" t="s">
        <v>7073</v>
      </c>
      <c r="DA33" s="480"/>
      <c r="DB33" s="1642" t="s">
        <v>6169</v>
      </c>
      <c r="DC33" s="1642"/>
      <c r="DD33" s="1642" t="s">
        <v>6135</v>
      </c>
      <c r="DE33" s="1642" t="s">
        <v>6162</v>
      </c>
      <c r="DF33" s="1642" t="s">
        <v>7455</v>
      </c>
      <c r="DG33" s="1642"/>
      <c r="DH33" s="470"/>
      <c r="DI33" s="470"/>
      <c r="DJ33" s="470"/>
      <c r="DK33" s="470"/>
      <c r="DL33" s="470"/>
      <c r="DN33" s="471" t="str">
        <f>VLOOKUP(X33,Hoja1!$A$4:$B$10,2,0)</f>
        <v>MAGISTER</v>
      </c>
      <c r="DO33" s="471" t="str">
        <f>VLOOKUP(S33,Hoja1!$D$4:$F$77,3,0)</f>
        <v>COORDINADOR DE ÁREA</v>
      </c>
      <c r="DP33" s="1156" t="str">
        <f t="shared" si="53"/>
        <v>0</v>
      </c>
      <c r="DQ33" s="1484">
        <f>IF(T33&lt;&gt;"0",(ROUND(IF(A33="EMPLEADO",eval_formula('CONCEPTOS Y PARAMETROS'!$C$8,NOMINA!V33,AU33+BF33,NOMINA!I33+NOMINA!J33),eval_formula('CONCEPTOS Y PARAMETROS'!$D$8,NOMINA!V33,AU33+BF33,NOMINA!I33+NOMINA!J33)),2))*IF(H33&lt;&gt;"",IF(MONTH(H33)=$BR$8,IF(YEAR(H33)&lt;$BT$7,1,0),0)))</f>
        <v>0</v>
      </c>
      <c r="DR33" s="1801" t="str">
        <f t="shared" si="54"/>
        <v>F</v>
      </c>
      <c r="DS33" s="1801"/>
    </row>
    <row r="34" spans="1:123" s="471" customFormat="1" ht="21.95" customHeight="1" x14ac:dyDescent="0.25">
      <c r="A34" s="508" t="s">
        <v>2846</v>
      </c>
      <c r="B34" s="1314">
        <f t="shared" ca="1" si="2"/>
        <v>18</v>
      </c>
      <c r="C34" s="1148">
        <v>13568733</v>
      </c>
      <c r="D34" s="1149" t="s">
        <v>4685</v>
      </c>
      <c r="E34" s="1135" t="s">
        <v>4622</v>
      </c>
      <c r="F34" s="1118">
        <v>28384</v>
      </c>
      <c r="G34" s="1135" t="s">
        <v>4620</v>
      </c>
      <c r="H34" s="1118">
        <v>44805</v>
      </c>
      <c r="I34" s="1140">
        <f t="shared" si="10"/>
        <v>3</v>
      </c>
      <c r="J34" s="1132">
        <v>0</v>
      </c>
      <c r="K34" s="1140">
        <f t="shared" si="11"/>
        <v>3</v>
      </c>
      <c r="L34" s="1145" t="s">
        <v>5529</v>
      </c>
      <c r="M34" s="1132"/>
      <c r="N34" s="1132"/>
      <c r="O34" s="1002" t="s">
        <v>3618</v>
      </c>
      <c r="P34" s="1132" t="s">
        <v>5202</v>
      </c>
      <c r="Q34" s="1315" t="str">
        <f>IFERROR(VLOOKUP(O34,CARGOS!A:E,2,0),"")</f>
        <v>65001</v>
      </c>
      <c r="R34" s="1327" t="s">
        <v>5050</v>
      </c>
      <c r="S34" s="1135" t="s">
        <v>2835</v>
      </c>
      <c r="T34" s="1107">
        <f>IFERROR(VLOOKUP(S34,'TAB EMP'!A:B,2,0),0)</f>
        <v>348</v>
      </c>
      <c r="U34" s="1108">
        <v>0</v>
      </c>
      <c r="V34" s="1107">
        <f t="shared" si="12"/>
        <v>348</v>
      </c>
      <c r="W34" s="1108">
        <f t="shared" si="13"/>
        <v>174</v>
      </c>
      <c r="X34" s="1135" t="s">
        <v>2885</v>
      </c>
      <c r="Y34" s="1135"/>
      <c r="Z34" s="1135">
        <v>1</v>
      </c>
      <c r="AA34" s="1107">
        <f>ROUND(IF(H34&lt;&gt;"",VLOOKUP(SUM(I34+J34),'CONCEPTOS Y PARAMETROS'!F:G,2,0)*V34,0),2)</f>
        <v>10.44</v>
      </c>
      <c r="AB34" s="1107">
        <f>IF(S34&lt;&gt;"",IF(M34="",'CONCEPTOS Y PARAMETROS'!$C$4,0),0)</f>
        <v>130</v>
      </c>
      <c r="AC34" s="1107">
        <f>IF(S34&lt;&gt;"",IF(M34="",'CONCEPTOS Y PARAMETROS'!$C$7*Z34,0),0)</f>
        <v>12.5</v>
      </c>
      <c r="AD34" s="1107">
        <f>IFERROR(ROUND(VLOOKUP($X34,'CONCEPTOS Y PARAMETROS'!H:I,2,0)*($V34+AA34+AB34+AC34),2),0)</f>
        <v>125.24</v>
      </c>
      <c r="AE34" s="1107">
        <f t="shared" si="14"/>
        <v>278.18</v>
      </c>
      <c r="AF34" s="1107">
        <f t="shared" si="15"/>
        <v>5.22</v>
      </c>
      <c r="AG34" s="1107">
        <f t="shared" si="16"/>
        <v>5.22</v>
      </c>
      <c r="AH34" s="1107">
        <f t="shared" si="17"/>
        <v>65</v>
      </c>
      <c r="AI34" s="1107">
        <f t="shared" si="18"/>
        <v>65</v>
      </c>
      <c r="AJ34" s="1107">
        <f t="shared" si="19"/>
        <v>62.62</v>
      </c>
      <c r="AK34" s="1107">
        <f t="shared" si="20"/>
        <v>62.62</v>
      </c>
      <c r="AL34" s="1108">
        <f t="shared" si="21"/>
        <v>145.34</v>
      </c>
      <c r="AM34" s="1108">
        <f t="shared" si="22"/>
        <v>132.84</v>
      </c>
      <c r="AN34" s="1453">
        <v>1</v>
      </c>
      <c r="AO34" s="1147">
        <f>'CONCEPTOS Y PARAMETROS'!$C$18*AN34</f>
        <v>12.5</v>
      </c>
      <c r="AP34" s="990">
        <v>0</v>
      </c>
      <c r="AQ34" s="1147">
        <f>'CONCEPTOS Y PARAMETROS'!$C$21*AP34</f>
        <v>0</v>
      </c>
      <c r="AR34" s="1318">
        <v>0</v>
      </c>
      <c r="AS34" s="1318">
        <v>0</v>
      </c>
      <c r="AT34" s="1318">
        <f t="shared" si="23"/>
        <v>12.5</v>
      </c>
      <c r="AU34" s="1108">
        <f t="shared" si="24"/>
        <v>626.18000000000006</v>
      </c>
      <c r="AV34" s="1133">
        <v>0</v>
      </c>
      <c r="AW34" s="1108">
        <f>ROUND(IF(O34="VIGILANTE",(V34+AE34)*30%,0),2)</f>
        <v>0</v>
      </c>
      <c r="AX34" s="1107">
        <f>IF(T34&lt;&gt;"0",(ROUND(IF(A34="EMPLEADO",eval_formula('CONCEPTOS Y PARAMETROS'!$C$8,NOMINA!V34,NOMINA!$AU34,NOMINA!I34+NOMINA!J34),eval_formula('CONCEPTOS Y PARAMETROS'!$D$8,NOMINA!V34,NOMINA!$AU34,NOMINA!I34+NOMINA!J34)),2))*IF(H34&lt;&gt;"",IF(MONTH(H34)=$BR$8,IF(YEAR(H34)&lt;$BT$7,1,0),0)))</f>
        <v>5009.4399999999996</v>
      </c>
      <c r="AY34" s="1108">
        <v>180</v>
      </c>
      <c r="AZ34" s="1107">
        <f>IFERROR(VLOOKUP(AY34,'CONCEPTOS Y PARAMETROS'!Y:Z,2,0),0)</f>
        <v>150</v>
      </c>
      <c r="BA34" s="1107">
        <f t="shared" si="26"/>
        <v>4696.3500000000004</v>
      </c>
      <c r="BB34" s="1107">
        <f t="shared" si="27"/>
        <v>0</v>
      </c>
      <c r="BC34" s="990">
        <v>0</v>
      </c>
      <c r="BD34" s="1107" t="str">
        <f t="shared" si="28"/>
        <v>0</v>
      </c>
      <c r="BE34" s="990">
        <v>0</v>
      </c>
      <c r="BF34" s="1107">
        <f t="shared" si="29"/>
        <v>0</v>
      </c>
      <c r="BG34" s="1108">
        <v>320</v>
      </c>
      <c r="BH34" s="1108">
        <v>0</v>
      </c>
      <c r="BI34" s="1132">
        <v>0</v>
      </c>
      <c r="BJ34" s="798">
        <v>12.5</v>
      </c>
      <c r="BK34" s="1108">
        <v>0</v>
      </c>
      <c r="BL34" s="1107">
        <f t="shared" si="30"/>
        <v>28.9</v>
      </c>
      <c r="BM34" s="1107">
        <f t="shared" si="31"/>
        <v>3.61</v>
      </c>
      <c r="BN34" s="1107">
        <f t="shared" si="32"/>
        <v>6.26</v>
      </c>
      <c r="BO34" s="1107">
        <v>0</v>
      </c>
      <c r="BP34" s="1107">
        <v>0</v>
      </c>
      <c r="BQ34" s="1320">
        <f t="shared" si="4"/>
        <v>38.770000000000003</v>
      </c>
      <c r="BR34" s="1107">
        <f t="shared" si="33"/>
        <v>65.03</v>
      </c>
      <c r="BS34" s="1107">
        <f t="shared" si="34"/>
        <v>14.45</v>
      </c>
      <c r="BT34" s="1107">
        <f t="shared" si="35"/>
        <v>12.52</v>
      </c>
      <c r="BU34" s="1107">
        <v>0</v>
      </c>
      <c r="BV34" s="1108">
        <f t="shared" si="0"/>
        <v>92</v>
      </c>
      <c r="BW34" s="1112">
        <f t="shared" si="1"/>
        <v>130.77000000000001</v>
      </c>
      <c r="BX34" s="1112">
        <f t="shared" si="36"/>
        <v>1174.0899999999999</v>
      </c>
      <c r="BY34" s="1112">
        <v>0</v>
      </c>
      <c r="BZ34" s="1112">
        <f t="shared" si="37"/>
        <v>1174.0899999999999</v>
      </c>
      <c r="CA34" s="1321">
        <f>'CONCEPTOS Y PARAMETROS'!$A$102</f>
        <v>6255</v>
      </c>
      <c r="CB34" s="1112">
        <f t="shared" si="38"/>
        <v>280.57000000000005</v>
      </c>
      <c r="CC34" s="1113">
        <f t="shared" si="39"/>
        <v>5661.28</v>
      </c>
      <c r="CD34" s="512"/>
      <c r="CE34" s="512"/>
      <c r="CF34" s="470">
        <f t="shared" si="40"/>
        <v>946.84</v>
      </c>
      <c r="CG34" s="495">
        <f t="shared" si="41"/>
        <v>280.57000000000005</v>
      </c>
      <c r="CH34" s="498">
        <f t="shared" si="42"/>
        <v>25</v>
      </c>
      <c r="CI34" s="1490">
        <f t="shared" si="43"/>
        <v>320</v>
      </c>
      <c r="CJ34" s="1500">
        <v>2</v>
      </c>
      <c r="CK34" s="495">
        <f t="shared" si="44"/>
        <v>626.84</v>
      </c>
      <c r="CL34" s="1689">
        <f t="shared" si="45"/>
        <v>300.88</v>
      </c>
      <c r="CM34" s="1689">
        <f t="shared" si="46"/>
        <v>325.96000000000004</v>
      </c>
      <c r="CN34" s="496">
        <f t="shared" si="47"/>
        <v>0</v>
      </c>
      <c r="CO34" s="497">
        <v>0</v>
      </c>
      <c r="CP34" s="496">
        <f t="shared" si="48"/>
        <v>0</v>
      </c>
      <c r="CQ34" s="496">
        <f t="shared" si="49"/>
        <v>5009.4399999999996</v>
      </c>
      <c r="CR34" s="496">
        <f t="shared" si="50"/>
        <v>6263.12</v>
      </c>
      <c r="CS34" s="496">
        <f t="shared" si="51"/>
        <v>130.77000000000001</v>
      </c>
      <c r="CT34" s="496">
        <f t="shared" si="52"/>
        <v>6255</v>
      </c>
      <c r="CU34" s="470"/>
      <c r="CV34" s="470"/>
      <c r="CW34" s="470"/>
      <c r="CX34" s="470"/>
      <c r="CY34" s="1149" t="s">
        <v>7040</v>
      </c>
      <c r="CZ34" s="1149" t="s">
        <v>7074</v>
      </c>
      <c r="DA34" s="480"/>
      <c r="DB34" s="1642" t="s">
        <v>6173</v>
      </c>
      <c r="DC34" s="1642"/>
      <c r="DD34" s="1642" t="s">
        <v>6174</v>
      </c>
      <c r="DE34" s="1642" t="s">
        <v>6174</v>
      </c>
      <c r="DF34" s="1642" t="s">
        <v>6175</v>
      </c>
      <c r="DG34" s="1642"/>
      <c r="DH34" s="470"/>
      <c r="DI34" s="470"/>
      <c r="DJ34" s="470"/>
      <c r="DK34" s="470"/>
      <c r="DL34" s="470"/>
      <c r="DN34" s="471" t="str">
        <f>VLOOKUP(X34,Hoja1!$A$4:$B$10,2,0)</f>
        <v>PROFESIONAL</v>
      </c>
      <c r="DO34" s="471" t="str">
        <f>VLOOKUP(S34,Hoja1!$D$4:$F$77,3,0)</f>
        <v>COORDINADOR DE ÁREA</v>
      </c>
      <c r="DP34" s="1156" t="str">
        <f t="shared" si="53"/>
        <v>0</v>
      </c>
      <c r="DQ34" s="1484">
        <f>IF(T34&lt;&gt;"0",(ROUND(IF(A34="EMPLEADO",eval_formula('CONCEPTOS Y PARAMETROS'!$C$8,NOMINA!V34,AU34+BF34,NOMINA!I34+NOMINA!J34),eval_formula('CONCEPTOS Y PARAMETROS'!$D$8,NOMINA!V34,AU34+BF34,NOMINA!I34+NOMINA!J34)),2))*IF(H34&lt;&gt;"",IF(MONTH(H34)=$BR$8,IF(YEAR(H34)&lt;$BT$7,1,0),0)))</f>
        <v>5009.4399999999996</v>
      </c>
      <c r="DR34" s="1801" t="str">
        <f t="shared" si="54"/>
        <v>F</v>
      </c>
      <c r="DS34" s="1801"/>
    </row>
    <row r="35" spans="1:123" s="476" customFormat="1" ht="21.95" customHeight="1" x14ac:dyDescent="0.25">
      <c r="A35" s="508" t="s">
        <v>2846</v>
      </c>
      <c r="B35" s="1314">
        <f t="shared" ca="1" si="2"/>
        <v>19</v>
      </c>
      <c r="C35" s="1148">
        <v>20790947</v>
      </c>
      <c r="D35" s="1149" t="s">
        <v>4686</v>
      </c>
      <c r="E35" s="1135" t="s">
        <v>4622</v>
      </c>
      <c r="F35" s="1118">
        <v>33464</v>
      </c>
      <c r="G35" s="1135" t="s">
        <v>4620</v>
      </c>
      <c r="H35" s="1118">
        <v>43967</v>
      </c>
      <c r="I35" s="1140">
        <f t="shared" si="10"/>
        <v>5</v>
      </c>
      <c r="J35" s="1132">
        <v>0</v>
      </c>
      <c r="K35" s="1140">
        <f t="shared" si="11"/>
        <v>5</v>
      </c>
      <c r="L35" s="1145" t="s">
        <v>5530</v>
      </c>
      <c r="M35" s="1132"/>
      <c r="N35" s="1132"/>
      <c r="O35" s="1002" t="s">
        <v>3618</v>
      </c>
      <c r="P35" s="1132" t="s">
        <v>5203</v>
      </c>
      <c r="Q35" s="1315" t="str">
        <f>IFERROR(VLOOKUP(O35,CARGOS!A:E,2,0),"")</f>
        <v>65001</v>
      </c>
      <c r="R35" s="1316" t="s">
        <v>7279</v>
      </c>
      <c r="S35" s="1135" t="s">
        <v>2835</v>
      </c>
      <c r="T35" s="1107">
        <f>IFERROR(VLOOKUP(S35,'TAB EMP'!A:B,2,0),0)</f>
        <v>348</v>
      </c>
      <c r="U35" s="1108">
        <v>0</v>
      </c>
      <c r="V35" s="1107">
        <f t="shared" si="12"/>
        <v>348</v>
      </c>
      <c r="W35" s="1108">
        <f t="shared" si="13"/>
        <v>174</v>
      </c>
      <c r="X35" s="1135" t="s">
        <v>2885</v>
      </c>
      <c r="Y35" s="1135"/>
      <c r="Z35" s="1135">
        <v>1</v>
      </c>
      <c r="AA35" s="1107">
        <f>ROUND(IF(H35&lt;&gt;"",VLOOKUP(SUM(I35+J35),'CONCEPTOS Y PARAMETROS'!F:G,2,0)*V35,0),2)</f>
        <v>17.399999999999999</v>
      </c>
      <c r="AB35" s="1107">
        <f>IF(S35&lt;&gt;"",IF(M35="",'CONCEPTOS Y PARAMETROS'!$C$4,0),0)</f>
        <v>130</v>
      </c>
      <c r="AC35" s="1107">
        <f>IF(S35&lt;&gt;"",IF(M35="",'CONCEPTOS Y PARAMETROS'!$C$7*Z35,0),0)</f>
        <v>12.5</v>
      </c>
      <c r="AD35" s="1107">
        <f>IFERROR(ROUND(VLOOKUP($X35,'CONCEPTOS Y PARAMETROS'!H:I,2,0)*($V35+AA35+AB35+AC35),2),0)</f>
        <v>126.98</v>
      </c>
      <c r="AE35" s="1107">
        <f t="shared" si="14"/>
        <v>286.88</v>
      </c>
      <c r="AF35" s="1107">
        <f t="shared" si="15"/>
        <v>8.6999999999999993</v>
      </c>
      <c r="AG35" s="1107">
        <f t="shared" si="16"/>
        <v>8.6999999999999993</v>
      </c>
      <c r="AH35" s="1107">
        <f t="shared" si="17"/>
        <v>65</v>
      </c>
      <c r="AI35" s="1107">
        <f t="shared" si="18"/>
        <v>65</v>
      </c>
      <c r="AJ35" s="1107">
        <f t="shared" si="19"/>
        <v>63.49</v>
      </c>
      <c r="AK35" s="1107">
        <f t="shared" si="20"/>
        <v>63.49</v>
      </c>
      <c r="AL35" s="1108">
        <f t="shared" si="21"/>
        <v>149.69</v>
      </c>
      <c r="AM35" s="1108">
        <f t="shared" si="22"/>
        <v>137.19</v>
      </c>
      <c r="AN35" s="1453">
        <v>1</v>
      </c>
      <c r="AO35" s="1147">
        <f>'CONCEPTOS Y PARAMETROS'!$C$18*AN35</f>
        <v>12.5</v>
      </c>
      <c r="AP35" s="990">
        <v>0</v>
      </c>
      <c r="AQ35" s="1147">
        <f>'CONCEPTOS Y PARAMETROS'!$C$21*AP35</f>
        <v>0</v>
      </c>
      <c r="AR35" s="1318">
        <v>0</v>
      </c>
      <c r="AS35" s="1318">
        <v>0</v>
      </c>
      <c r="AT35" s="1318">
        <f t="shared" si="23"/>
        <v>12.5</v>
      </c>
      <c r="AU35" s="1108">
        <f t="shared" si="24"/>
        <v>634.88</v>
      </c>
      <c r="AV35" s="1133">
        <v>0</v>
      </c>
      <c r="AW35" s="1108">
        <f>ROUND(IF(O35="VIGILANTE",(V35+AE35)*30%,0),2)</f>
        <v>0</v>
      </c>
      <c r="AX35" s="1107">
        <f>IF(T35&lt;&gt;"0",(ROUND(IF(A35="EMPLEADO",eval_formula('CONCEPTOS Y PARAMETROS'!$C$8,NOMINA!V35,NOMINA!$AU35,NOMINA!I35+NOMINA!J35),eval_formula('CONCEPTOS Y PARAMETROS'!$D$8,NOMINA!V35,NOMINA!$AU35,NOMINA!I35+NOMINA!J35)),2))*IF(H35&lt;&gt;"",IF(MONTH(H35)=$BR$8,IF(YEAR(H35)&lt;$BT$7,1,0),0)))</f>
        <v>0</v>
      </c>
      <c r="AY35" s="1108">
        <v>180</v>
      </c>
      <c r="AZ35" s="1107">
        <f>IFERROR(VLOOKUP(AY35,'CONCEPTOS Y PARAMETROS'!Y:Z,2,0),0)</f>
        <v>150</v>
      </c>
      <c r="BA35" s="1107">
        <f t="shared" si="26"/>
        <v>4761.6000000000004</v>
      </c>
      <c r="BB35" s="1107">
        <f t="shared" si="27"/>
        <v>0</v>
      </c>
      <c r="BC35" s="990">
        <v>0</v>
      </c>
      <c r="BD35" s="1107" t="str">
        <f t="shared" si="28"/>
        <v>0</v>
      </c>
      <c r="BE35" s="990">
        <v>0</v>
      </c>
      <c r="BF35" s="1107">
        <f t="shared" si="29"/>
        <v>0</v>
      </c>
      <c r="BG35" s="1108">
        <v>320</v>
      </c>
      <c r="BH35" s="1108">
        <v>0</v>
      </c>
      <c r="BI35" s="1132">
        <v>0</v>
      </c>
      <c r="BJ35" s="798">
        <v>12.5</v>
      </c>
      <c r="BK35" s="1108">
        <v>0</v>
      </c>
      <c r="BL35" s="1107">
        <f t="shared" si="30"/>
        <v>29.3</v>
      </c>
      <c r="BM35" s="1107">
        <f t="shared" si="31"/>
        <v>3.66</v>
      </c>
      <c r="BN35" s="1107">
        <f t="shared" si="32"/>
        <v>6.35</v>
      </c>
      <c r="BO35" s="1107">
        <v>0</v>
      </c>
      <c r="BP35" s="1107">
        <v>0</v>
      </c>
      <c r="BQ35" s="1320">
        <f t="shared" si="4"/>
        <v>39.31</v>
      </c>
      <c r="BR35" s="1107">
        <f t="shared" si="33"/>
        <v>65.930000000000007</v>
      </c>
      <c r="BS35" s="1107">
        <f t="shared" si="34"/>
        <v>14.65</v>
      </c>
      <c r="BT35" s="1107">
        <f t="shared" si="35"/>
        <v>12.7</v>
      </c>
      <c r="BU35" s="1107">
        <v>0</v>
      </c>
      <c r="BV35" s="1108">
        <f t="shared" si="0"/>
        <v>93.28</v>
      </c>
      <c r="BW35" s="1112">
        <f t="shared" si="1"/>
        <v>132.59</v>
      </c>
      <c r="BX35" s="1112">
        <f t="shared" si="36"/>
        <v>1190.4000000000001</v>
      </c>
      <c r="BY35" s="1112">
        <v>0</v>
      </c>
      <c r="BZ35" s="1112">
        <f t="shared" si="37"/>
        <v>1190.4000000000001</v>
      </c>
      <c r="CA35" s="1321">
        <f>'CONCEPTOS Y PARAMETROS'!$A$102</f>
        <v>6255</v>
      </c>
      <c r="CB35" s="1112">
        <f t="shared" si="38"/>
        <v>284.38</v>
      </c>
      <c r="CC35" s="1113">
        <f t="shared" si="39"/>
        <v>656.19</v>
      </c>
      <c r="CD35" s="512"/>
      <c r="CE35" s="512"/>
      <c r="CF35" s="470">
        <f t="shared" si="40"/>
        <v>951.19</v>
      </c>
      <c r="CG35" s="509">
        <f t="shared" si="41"/>
        <v>284.38</v>
      </c>
      <c r="CH35" s="498">
        <f t="shared" si="42"/>
        <v>25</v>
      </c>
      <c r="CI35" s="1491">
        <f t="shared" si="43"/>
        <v>320</v>
      </c>
      <c r="CJ35" s="1500">
        <v>2</v>
      </c>
      <c r="CK35" s="509">
        <f t="shared" si="44"/>
        <v>631.19000000000005</v>
      </c>
      <c r="CL35" s="1689">
        <f t="shared" si="45"/>
        <v>302.97000000000003</v>
      </c>
      <c r="CM35" s="1689">
        <f t="shared" si="46"/>
        <v>328.22</v>
      </c>
      <c r="CN35" s="510">
        <f t="shared" si="47"/>
        <v>0</v>
      </c>
      <c r="CO35" s="511">
        <v>0</v>
      </c>
      <c r="CP35" s="510">
        <f t="shared" si="48"/>
        <v>0</v>
      </c>
      <c r="CQ35" s="510">
        <f t="shared" si="49"/>
        <v>0</v>
      </c>
      <c r="CR35" s="496">
        <f t="shared" si="50"/>
        <v>1262.3800000000001</v>
      </c>
      <c r="CS35" s="510">
        <f t="shared" si="51"/>
        <v>132.59</v>
      </c>
      <c r="CT35" s="510">
        <f t="shared" si="52"/>
        <v>6255</v>
      </c>
      <c r="CU35" s="470"/>
      <c r="CV35" s="470"/>
      <c r="CW35" s="470"/>
      <c r="CX35" s="470"/>
      <c r="CY35" s="1149" t="s">
        <v>6983</v>
      </c>
      <c r="CZ35" s="1149" t="s">
        <v>6984</v>
      </c>
      <c r="DA35" s="1152"/>
      <c r="DB35" s="1642" t="s">
        <v>6176</v>
      </c>
      <c r="DC35" s="1642"/>
      <c r="DD35" s="1642" t="s">
        <v>6135</v>
      </c>
      <c r="DE35" s="1642" t="s">
        <v>6177</v>
      </c>
      <c r="DF35" s="1642" t="s">
        <v>6488</v>
      </c>
      <c r="DG35" s="1152"/>
      <c r="DH35" s="512"/>
      <c r="DI35" s="512"/>
      <c r="DJ35" s="512"/>
      <c r="DK35" s="512"/>
      <c r="DL35" s="512"/>
      <c r="DN35" s="476" t="str">
        <f>VLOOKUP(X35,Hoja1!$A$4:$B$10,2,0)</f>
        <v>PROFESIONAL</v>
      </c>
      <c r="DO35" s="476" t="str">
        <f>VLOOKUP(S35,Hoja1!$D$4:$F$77,3,0)</f>
        <v>COORDINADOR DE ÁREA</v>
      </c>
      <c r="DP35" s="1303" t="str">
        <f t="shared" si="53"/>
        <v>0</v>
      </c>
      <c r="DQ35" s="1484">
        <f>IF(T35&lt;&gt;"0",(ROUND(IF(A35="EMPLEADO",eval_formula('CONCEPTOS Y PARAMETROS'!$C$8,NOMINA!V35,AU35+BF35,NOMINA!I35+NOMINA!J35),eval_formula('CONCEPTOS Y PARAMETROS'!$D$8,NOMINA!V35,AU35+BF35,NOMINA!I35+NOMINA!J35)),2))*IF(H35&lt;&gt;"",IF(MONTH(H35)=$BR$8,IF(YEAR(H35)&lt;$BT$7,1,0),0)))</f>
        <v>0</v>
      </c>
      <c r="DR35" s="1799" t="str">
        <f t="shared" si="54"/>
        <v>F</v>
      </c>
      <c r="DS35" s="1799"/>
    </row>
    <row r="36" spans="1:123" s="476" customFormat="1" ht="21.95" customHeight="1" x14ac:dyDescent="0.25">
      <c r="A36" s="508" t="s">
        <v>2846</v>
      </c>
      <c r="B36" s="1314">
        <f t="shared" ca="1" si="2"/>
        <v>20</v>
      </c>
      <c r="C36" s="1148">
        <v>15752183</v>
      </c>
      <c r="D36" s="1149" t="s">
        <v>7576</v>
      </c>
      <c r="E36" s="1135" t="s">
        <v>4622</v>
      </c>
      <c r="F36" s="1118">
        <v>30390</v>
      </c>
      <c r="G36" s="1135" t="s">
        <v>4620</v>
      </c>
      <c r="H36" s="1118">
        <v>38930</v>
      </c>
      <c r="I36" s="1140">
        <f t="shared" si="10"/>
        <v>19</v>
      </c>
      <c r="J36" s="1132">
        <v>0</v>
      </c>
      <c r="K36" s="1140">
        <f t="shared" si="11"/>
        <v>19</v>
      </c>
      <c r="L36" s="1326" t="s">
        <v>5524</v>
      </c>
      <c r="M36" s="1132"/>
      <c r="N36" s="1132"/>
      <c r="O36" s="1002" t="s">
        <v>3618</v>
      </c>
      <c r="P36" s="1132" t="s">
        <v>5361</v>
      </c>
      <c r="Q36" s="1315" t="str">
        <f>IFERROR(VLOOKUP(O36,CARGOS!A:E,2,0),"")</f>
        <v>65001</v>
      </c>
      <c r="R36" s="1316" t="s">
        <v>5952</v>
      </c>
      <c r="S36" s="1135" t="s">
        <v>2835</v>
      </c>
      <c r="T36" s="1107">
        <f>IFERROR(VLOOKUP(S36,'TAB EMP'!A:B,2,0),0)</f>
        <v>348</v>
      </c>
      <c r="U36" s="1108">
        <v>0</v>
      </c>
      <c r="V36" s="1107">
        <f t="shared" si="12"/>
        <v>348</v>
      </c>
      <c r="W36" s="1108">
        <f t="shared" si="13"/>
        <v>174</v>
      </c>
      <c r="X36" s="1135" t="s">
        <v>2884</v>
      </c>
      <c r="Y36" s="1135"/>
      <c r="Z36" s="1135">
        <v>2</v>
      </c>
      <c r="AA36" s="1107">
        <f>ROUND(IF(H36&lt;&gt;"",VLOOKUP(SUM(I36+J36),'CONCEPTOS Y PARAMETROS'!F:G,2,0)*V36,0),2)</f>
        <v>84.91</v>
      </c>
      <c r="AB36" s="1107">
        <f>IF(S36&lt;&gt;"",IF(M36="",'CONCEPTOS Y PARAMETROS'!$C$4,0),0)</f>
        <v>130</v>
      </c>
      <c r="AC36" s="1107">
        <f>IF(S36&lt;&gt;"",IF(M36="",'CONCEPTOS Y PARAMETROS'!$C$7*Z36,0),0)</f>
        <v>25</v>
      </c>
      <c r="AD36" s="1107">
        <f>IFERROR(ROUND(VLOOKUP($X36,'CONCEPTOS Y PARAMETROS'!H:I,2,0)*($V36+AA36+AB36+AC36),2),0)</f>
        <v>0</v>
      </c>
      <c r="AE36" s="1107">
        <f t="shared" si="14"/>
        <v>239.91</v>
      </c>
      <c r="AF36" s="1107">
        <f t="shared" si="15"/>
        <v>42.46</v>
      </c>
      <c r="AG36" s="1107">
        <f t="shared" si="16"/>
        <v>42.45</v>
      </c>
      <c r="AH36" s="1107">
        <f t="shared" si="17"/>
        <v>65</v>
      </c>
      <c r="AI36" s="1107">
        <f t="shared" si="18"/>
        <v>65</v>
      </c>
      <c r="AJ36" s="1107">
        <f t="shared" si="19"/>
        <v>0</v>
      </c>
      <c r="AK36" s="1107">
        <f t="shared" si="20"/>
        <v>0</v>
      </c>
      <c r="AL36" s="1108">
        <f t="shared" si="21"/>
        <v>132.46</v>
      </c>
      <c r="AM36" s="1108">
        <f t="shared" si="22"/>
        <v>107.45</v>
      </c>
      <c r="AN36" s="990">
        <v>0</v>
      </c>
      <c r="AO36" s="1147">
        <f>'CONCEPTOS Y PARAMETROS'!$C$18*AN36</f>
        <v>0</v>
      </c>
      <c r="AP36" s="990">
        <v>0</v>
      </c>
      <c r="AQ36" s="1147">
        <f>'CONCEPTOS Y PARAMETROS'!$C$21*AP36</f>
        <v>0</v>
      </c>
      <c r="AR36" s="1318">
        <v>0</v>
      </c>
      <c r="AS36" s="1318">
        <v>0</v>
      </c>
      <c r="AT36" s="1318">
        <f t="shared" si="23"/>
        <v>0</v>
      </c>
      <c r="AU36" s="1108">
        <f t="shared" si="24"/>
        <v>587.91</v>
      </c>
      <c r="AV36" s="1133">
        <v>0</v>
      </c>
      <c r="AW36" s="1108">
        <f>ROUND(IF(O36="VIGILANTE",(V36+AE36)*30%,0),2)</f>
        <v>0</v>
      </c>
      <c r="AX36" s="1107">
        <f>IF(T36&lt;&gt;"0",(ROUND(IF(A36="EMPLEADO",eval_formula('CONCEPTOS Y PARAMETROS'!$C$8,NOMINA!V36,NOMINA!$AU36,NOMINA!I36+NOMINA!J36),eval_formula('CONCEPTOS Y PARAMETROS'!$D$8,NOMINA!V36,NOMINA!$AU36,NOMINA!I36+NOMINA!J36)),2))*IF(H36&lt;&gt;"",IF(MONTH(H36)=$BR$8,IF(YEAR(H36)&lt;$BT$7,1,0),0)))</f>
        <v>0</v>
      </c>
      <c r="AY36" s="1108">
        <v>180</v>
      </c>
      <c r="AZ36" s="1107">
        <f>IFERROR(VLOOKUP(AY36,'CONCEPTOS Y PARAMETROS'!Y:Z,2,0),0)</f>
        <v>150</v>
      </c>
      <c r="BA36" s="1107">
        <f t="shared" si="26"/>
        <v>4409.33</v>
      </c>
      <c r="BB36" s="1107">
        <f t="shared" si="27"/>
        <v>0</v>
      </c>
      <c r="BC36" s="990">
        <v>0</v>
      </c>
      <c r="BD36" s="1107" t="str">
        <f t="shared" si="28"/>
        <v>0</v>
      </c>
      <c r="BE36" s="990">
        <v>0</v>
      </c>
      <c r="BF36" s="1107">
        <f t="shared" si="29"/>
        <v>0</v>
      </c>
      <c r="BG36" s="1108">
        <v>320</v>
      </c>
      <c r="BH36" s="1108">
        <v>0</v>
      </c>
      <c r="BI36" s="1132">
        <v>0</v>
      </c>
      <c r="BJ36" s="798">
        <v>12.5</v>
      </c>
      <c r="BK36" s="1108">
        <v>0</v>
      </c>
      <c r="BL36" s="1107">
        <f t="shared" si="30"/>
        <v>27.13</v>
      </c>
      <c r="BM36" s="1107">
        <f t="shared" si="31"/>
        <v>3.39</v>
      </c>
      <c r="BN36" s="1107">
        <f t="shared" si="32"/>
        <v>5.88</v>
      </c>
      <c r="BO36" s="1107">
        <v>0</v>
      </c>
      <c r="BP36" s="1107">
        <v>0</v>
      </c>
      <c r="BQ36" s="1320">
        <f t="shared" ref="BQ36:BQ37" si="62">ROUND(SUM(BL36:BP36),2)</f>
        <v>36.4</v>
      </c>
      <c r="BR36" s="1107">
        <f t="shared" si="33"/>
        <v>61.05</v>
      </c>
      <c r="BS36" s="1107">
        <f t="shared" si="34"/>
        <v>13.57</v>
      </c>
      <c r="BT36" s="1107">
        <f t="shared" si="35"/>
        <v>11.76</v>
      </c>
      <c r="BU36" s="1107">
        <v>0</v>
      </c>
      <c r="BV36" s="1108">
        <f t="shared" ref="BV36:BV37" si="63">ROUND(SUM(BR36:BT36),2)</f>
        <v>86.38</v>
      </c>
      <c r="BW36" s="1112">
        <f t="shared" ref="BW36:BW37" si="64">BQ36+BV36</f>
        <v>122.78</v>
      </c>
      <c r="BX36" s="1112">
        <f t="shared" si="36"/>
        <v>1102.33</v>
      </c>
      <c r="BY36" s="1112">
        <v>0</v>
      </c>
      <c r="BZ36" s="1112">
        <f t="shared" si="37"/>
        <v>1102.33</v>
      </c>
      <c r="CA36" s="1321">
        <f>'CONCEPTOS Y PARAMETROS'!$A$102</f>
        <v>6255</v>
      </c>
      <c r="CB36" s="1112">
        <f t="shared" si="38"/>
        <v>270.06000000000006</v>
      </c>
      <c r="CC36" s="1113">
        <f t="shared" si="39"/>
        <v>613.95000000000005</v>
      </c>
      <c r="CD36" s="512"/>
      <c r="CE36" s="512"/>
      <c r="CF36" s="470">
        <f t="shared" si="40"/>
        <v>921.45</v>
      </c>
      <c r="CG36" s="509">
        <f t="shared" si="41"/>
        <v>270.06000000000006</v>
      </c>
      <c r="CH36" s="498">
        <f t="shared" si="42"/>
        <v>12.5</v>
      </c>
      <c r="CI36" s="1491">
        <f t="shared" si="43"/>
        <v>320</v>
      </c>
      <c r="CJ36" s="1500">
        <v>1</v>
      </c>
      <c r="CK36" s="509">
        <f t="shared" si="44"/>
        <v>601.45000000000005</v>
      </c>
      <c r="CL36" s="1689">
        <f t="shared" si="45"/>
        <v>288.7</v>
      </c>
      <c r="CM36" s="1689">
        <f t="shared" si="46"/>
        <v>312.75000000000006</v>
      </c>
      <c r="CN36" s="510">
        <f t="shared" si="47"/>
        <v>0</v>
      </c>
      <c r="CO36" s="511">
        <v>0</v>
      </c>
      <c r="CP36" s="510">
        <f t="shared" si="48"/>
        <v>0</v>
      </c>
      <c r="CQ36" s="510">
        <f t="shared" si="49"/>
        <v>0</v>
      </c>
      <c r="CR36" s="496">
        <f t="shared" si="50"/>
        <v>1202.9000000000001</v>
      </c>
      <c r="CS36" s="510">
        <f t="shared" si="51"/>
        <v>122.78</v>
      </c>
      <c r="CT36" s="510">
        <f t="shared" si="52"/>
        <v>6255</v>
      </c>
      <c r="CU36" s="470"/>
      <c r="CV36" s="470"/>
      <c r="CW36" s="470"/>
      <c r="CX36" s="470"/>
      <c r="CY36" s="1149" t="s">
        <v>6864</v>
      </c>
      <c r="CZ36" s="1149" t="s">
        <v>7075</v>
      </c>
      <c r="DA36" s="1152"/>
      <c r="DB36" s="1642" t="s">
        <v>6170</v>
      </c>
      <c r="DC36" s="1642"/>
      <c r="DD36" s="1642" t="s">
        <v>6135</v>
      </c>
      <c r="DE36" s="1642" t="s">
        <v>6171</v>
      </c>
      <c r="DF36" s="1642" t="s">
        <v>6172</v>
      </c>
      <c r="DG36" s="1642"/>
      <c r="DH36" s="512"/>
      <c r="DI36" s="512"/>
      <c r="DJ36" s="512"/>
      <c r="DK36" s="512"/>
      <c r="DL36" s="512"/>
      <c r="DN36" s="476" t="str">
        <f>VLOOKUP(X36,Hoja1!$A$4:$B$10,2,0)</f>
        <v>BACHILLER</v>
      </c>
      <c r="DO36" s="476" t="str">
        <f>VLOOKUP(S36,Hoja1!$D$4:$F$77,3,0)</f>
        <v>COORDINADOR DE ÁREA</v>
      </c>
      <c r="DP36" s="1303" t="str">
        <f t="shared" si="53"/>
        <v>0</v>
      </c>
      <c r="DQ36" s="1484">
        <f>IF(T36&lt;&gt;"0",(ROUND(IF(A36="EMPLEADO",eval_formula('CONCEPTOS Y PARAMETROS'!$C$8,NOMINA!V36,AU36+BF36,NOMINA!I36+NOMINA!J36),eval_formula('CONCEPTOS Y PARAMETROS'!$D$8,NOMINA!V36,AU36+BF36,NOMINA!I36+NOMINA!J36)),2))*IF(H36&lt;&gt;"",IF(MONTH(H36)=$BR$8,IF(YEAR(H36)&lt;$BT$7,1,0),0)))</f>
        <v>0</v>
      </c>
      <c r="DR36" s="1799" t="str">
        <f t="shared" si="54"/>
        <v>F</v>
      </c>
      <c r="DS36" s="1799"/>
    </row>
    <row r="37" spans="1:123" s="476" customFormat="1" ht="21.95" customHeight="1" x14ac:dyDescent="0.25">
      <c r="A37" s="508" t="s">
        <v>2846</v>
      </c>
      <c r="B37" s="1314">
        <f t="shared" ca="1" si="2"/>
        <v>21</v>
      </c>
      <c r="C37" s="1148">
        <v>16739081</v>
      </c>
      <c r="D37" s="1149" t="s">
        <v>4828</v>
      </c>
      <c r="E37" s="1135" t="s">
        <v>4622</v>
      </c>
      <c r="F37" s="1150">
        <v>30771</v>
      </c>
      <c r="G37" s="1135" t="s">
        <v>4620</v>
      </c>
      <c r="H37" s="1150">
        <v>42948</v>
      </c>
      <c r="I37" s="1140">
        <f t="shared" si="10"/>
        <v>8</v>
      </c>
      <c r="J37" s="1132">
        <v>0</v>
      </c>
      <c r="K37" s="1140">
        <f t="shared" si="11"/>
        <v>8</v>
      </c>
      <c r="L37" s="1145" t="s">
        <v>6772</v>
      </c>
      <c r="M37" s="1132"/>
      <c r="N37" s="1132"/>
      <c r="O37" s="1002" t="s">
        <v>3618</v>
      </c>
      <c r="P37" s="1132" t="s">
        <v>5383</v>
      </c>
      <c r="Q37" s="1315" t="str">
        <f>IFERROR(VLOOKUP(O37,CARGOS!A:E,2,0),"")</f>
        <v>65001</v>
      </c>
      <c r="R37" s="1316" t="s">
        <v>5951</v>
      </c>
      <c r="S37" s="1135" t="s">
        <v>2835</v>
      </c>
      <c r="T37" s="1107">
        <f>IFERROR(VLOOKUP(S37,'TAB EMP'!A:B,2,0),0)</f>
        <v>348</v>
      </c>
      <c r="U37" s="1108">
        <v>0</v>
      </c>
      <c r="V37" s="1107">
        <f t="shared" si="12"/>
        <v>348</v>
      </c>
      <c r="W37" s="1108">
        <f t="shared" si="13"/>
        <v>174</v>
      </c>
      <c r="X37" s="1135" t="s">
        <v>2844</v>
      </c>
      <c r="Y37" s="1135"/>
      <c r="Z37" s="1135">
        <v>2</v>
      </c>
      <c r="AA37" s="1107">
        <f>ROUND(IF(H37&lt;&gt;"",VLOOKUP(SUM(I37+J37),'CONCEPTOS Y PARAMETROS'!F:G,2,0)*V37,0),2)</f>
        <v>29.93</v>
      </c>
      <c r="AB37" s="1107">
        <f>IF(S37&lt;&gt;"",IF(M37="",'CONCEPTOS Y PARAMETROS'!$C$4,0),0)</f>
        <v>130</v>
      </c>
      <c r="AC37" s="1107">
        <f>IF(S37&lt;&gt;"",IF(M37="",'CONCEPTOS Y PARAMETROS'!$C$7*Z37,0),0)</f>
        <v>25</v>
      </c>
      <c r="AD37" s="1107">
        <f>IFERROR(ROUND(VLOOKUP($X37,'CONCEPTOS Y PARAMETROS'!H:I,2,0)*($V37+AA37+AB37+AC37),2),0)</f>
        <v>106.59</v>
      </c>
      <c r="AE37" s="1107">
        <f t="shared" si="14"/>
        <v>291.52</v>
      </c>
      <c r="AF37" s="1107">
        <f t="shared" si="15"/>
        <v>14.97</v>
      </c>
      <c r="AG37" s="1107">
        <f t="shared" si="16"/>
        <v>14.96</v>
      </c>
      <c r="AH37" s="1107">
        <f t="shared" si="17"/>
        <v>65</v>
      </c>
      <c r="AI37" s="1107">
        <f t="shared" si="18"/>
        <v>65</v>
      </c>
      <c r="AJ37" s="1107">
        <f t="shared" si="19"/>
        <v>53.3</v>
      </c>
      <c r="AK37" s="1107">
        <f t="shared" si="20"/>
        <v>53.29</v>
      </c>
      <c r="AL37" s="1108">
        <f t="shared" si="21"/>
        <v>158.27000000000001</v>
      </c>
      <c r="AM37" s="1108">
        <f t="shared" si="22"/>
        <v>133.25</v>
      </c>
      <c r="AN37" s="990">
        <v>0</v>
      </c>
      <c r="AO37" s="1147">
        <f>'CONCEPTOS Y PARAMETROS'!$C$18*AN37</f>
        <v>0</v>
      </c>
      <c r="AP37" s="990">
        <v>0</v>
      </c>
      <c r="AQ37" s="1147">
        <f>'CONCEPTOS Y PARAMETROS'!$C$21*AP37</f>
        <v>0</v>
      </c>
      <c r="AR37" s="1318">
        <v>0</v>
      </c>
      <c r="AS37" s="1318">
        <v>0</v>
      </c>
      <c r="AT37" s="1318">
        <f t="shared" si="23"/>
        <v>0</v>
      </c>
      <c r="AU37" s="1108">
        <f t="shared" si="24"/>
        <v>639.52</v>
      </c>
      <c r="AV37" s="1133">
        <v>0</v>
      </c>
      <c r="AW37" s="1108">
        <f>ROUND(IF(AV37="NOCTURN",(V37+AE37)*30%,0),2)</f>
        <v>0</v>
      </c>
      <c r="AX37" s="1107">
        <f>IF(T37&lt;&gt;"0",(ROUND(IF(A37="EMPLEADO",eval_formula('CONCEPTOS Y PARAMETROS'!$C$8,NOMINA!V37,NOMINA!$AU37,NOMINA!I37+NOMINA!J37),eval_formula('CONCEPTOS Y PARAMETROS'!$D$8,NOMINA!V37,NOMINA!$AU37,NOMINA!I37+NOMINA!J37)),2))*IF(H37&lt;&gt;"",IF(MONTH(H37)=$BR$8,IF(YEAR(H37)&lt;$BT$7,1,0),0)))</f>
        <v>0</v>
      </c>
      <c r="AY37" s="1108">
        <v>180</v>
      </c>
      <c r="AZ37" s="1107">
        <f>IFERROR(VLOOKUP(AY37,'CONCEPTOS Y PARAMETROS'!Y:Z,2,0),0)</f>
        <v>150</v>
      </c>
      <c r="BA37" s="1107">
        <f t="shared" si="26"/>
        <v>4796.3999999999996</v>
      </c>
      <c r="BB37" s="1107">
        <f t="shared" si="27"/>
        <v>0</v>
      </c>
      <c r="BC37" s="990">
        <v>0</v>
      </c>
      <c r="BD37" s="1107" t="str">
        <f t="shared" si="28"/>
        <v>0</v>
      </c>
      <c r="BE37" s="990">
        <v>0</v>
      </c>
      <c r="BF37" s="1107">
        <f t="shared" si="29"/>
        <v>0</v>
      </c>
      <c r="BG37" s="1108">
        <v>320</v>
      </c>
      <c r="BH37" s="1108">
        <v>0</v>
      </c>
      <c r="BI37" s="1132">
        <v>0</v>
      </c>
      <c r="BJ37" s="798">
        <v>12.5</v>
      </c>
      <c r="BK37" s="1108">
        <v>0</v>
      </c>
      <c r="BL37" s="1107">
        <f t="shared" si="30"/>
        <v>29.52</v>
      </c>
      <c r="BM37" s="1107">
        <f t="shared" si="31"/>
        <v>3.69</v>
      </c>
      <c r="BN37" s="1107">
        <f t="shared" si="32"/>
        <v>6.4</v>
      </c>
      <c r="BO37" s="1107">
        <v>0</v>
      </c>
      <c r="BP37" s="1107">
        <v>0</v>
      </c>
      <c r="BQ37" s="1320">
        <f t="shared" si="62"/>
        <v>39.61</v>
      </c>
      <c r="BR37" s="1107">
        <f t="shared" si="33"/>
        <v>66.41</v>
      </c>
      <c r="BS37" s="1107">
        <f t="shared" si="34"/>
        <v>14.76</v>
      </c>
      <c r="BT37" s="1107">
        <f t="shared" si="35"/>
        <v>12.8</v>
      </c>
      <c r="BU37" s="1107">
        <v>0</v>
      </c>
      <c r="BV37" s="1108">
        <f t="shared" si="63"/>
        <v>93.97</v>
      </c>
      <c r="BW37" s="1112">
        <f t="shared" si="64"/>
        <v>133.57999999999998</v>
      </c>
      <c r="BX37" s="1112">
        <f t="shared" si="36"/>
        <v>1199.0999999999999</v>
      </c>
      <c r="BY37" s="1112">
        <v>0</v>
      </c>
      <c r="BZ37" s="1112">
        <f t="shared" si="37"/>
        <v>1199.0999999999999</v>
      </c>
      <c r="CA37" s="1321">
        <f>'CONCEPTOS Y PARAMETROS'!$A$102</f>
        <v>6255</v>
      </c>
      <c r="CB37" s="1112">
        <f t="shared" si="38"/>
        <v>292.65999999999997</v>
      </c>
      <c r="CC37" s="1113">
        <f t="shared" si="39"/>
        <v>639.75</v>
      </c>
      <c r="CD37" s="512"/>
      <c r="CE37" s="512"/>
      <c r="CF37" s="470">
        <f t="shared" si="40"/>
        <v>947.25</v>
      </c>
      <c r="CG37" s="509">
        <f t="shared" si="41"/>
        <v>292.65999999999997</v>
      </c>
      <c r="CH37" s="498">
        <f t="shared" si="42"/>
        <v>12.5</v>
      </c>
      <c r="CI37" s="1491">
        <f t="shared" si="43"/>
        <v>320</v>
      </c>
      <c r="CJ37" s="1500">
        <v>2</v>
      </c>
      <c r="CK37" s="509">
        <f t="shared" si="44"/>
        <v>627.25</v>
      </c>
      <c r="CL37" s="1689">
        <f t="shared" si="45"/>
        <v>301.08</v>
      </c>
      <c r="CM37" s="1689">
        <f t="shared" si="46"/>
        <v>326.17</v>
      </c>
      <c r="CN37" s="510">
        <f t="shared" si="47"/>
        <v>0</v>
      </c>
      <c r="CO37" s="511">
        <v>0</v>
      </c>
      <c r="CP37" s="510">
        <f t="shared" si="48"/>
        <v>0</v>
      </c>
      <c r="CQ37" s="510">
        <f t="shared" si="49"/>
        <v>0</v>
      </c>
      <c r="CR37" s="496">
        <f t="shared" si="50"/>
        <v>1254.5</v>
      </c>
      <c r="CS37" s="510">
        <f t="shared" si="51"/>
        <v>133.57999999999998</v>
      </c>
      <c r="CT37" s="510">
        <f t="shared" si="52"/>
        <v>6255</v>
      </c>
      <c r="CU37" s="470"/>
      <c r="CV37" s="470"/>
      <c r="CW37" s="470"/>
      <c r="CX37" s="470"/>
      <c r="CY37" s="1149" t="s">
        <v>6881</v>
      </c>
      <c r="CZ37" s="1149" t="s">
        <v>6815</v>
      </c>
      <c r="DA37" s="1152"/>
      <c r="DB37" s="1642" t="s">
        <v>6246</v>
      </c>
      <c r="DC37" s="1642"/>
      <c r="DD37" s="1642" t="s">
        <v>6135</v>
      </c>
      <c r="DE37" s="1642" t="s">
        <v>6247</v>
      </c>
      <c r="DF37" s="1642" t="s">
        <v>6328</v>
      </c>
      <c r="DG37" s="1642"/>
      <c r="DH37" s="512"/>
      <c r="DI37" s="512"/>
      <c r="DJ37" s="512"/>
      <c r="DK37" s="512"/>
      <c r="DL37" s="512"/>
      <c r="DN37" s="476" t="str">
        <f>VLOOKUP(X37,Hoja1!$A$4:$B$10,2,0)</f>
        <v>TÉCNICO SUPERIOR UNIVERSITARIO</v>
      </c>
      <c r="DO37" s="476" t="str">
        <f>VLOOKUP(S37,Hoja1!$D$4:$F$77,3,0)</f>
        <v>COORDINADOR DE ÁREA</v>
      </c>
      <c r="DP37" s="1303" t="str">
        <f t="shared" si="53"/>
        <v>0</v>
      </c>
      <c r="DQ37" s="1484">
        <f>IF(T37&lt;&gt;"0",(ROUND(IF(A37="EMPLEADO",eval_formula('CONCEPTOS Y PARAMETROS'!$C$8,NOMINA!V37,AU37+BF37,NOMINA!I37+NOMINA!J37),eval_formula('CONCEPTOS Y PARAMETROS'!$D$8,NOMINA!V37,AU37+BF37,NOMINA!I37+NOMINA!J37)),2))*IF(H37&lt;&gt;"",IF(MONTH(H37)=$BR$8,IF(YEAR(H37)&lt;$BT$7,1,0),0)))</f>
        <v>0</v>
      </c>
      <c r="DR37" s="1799" t="str">
        <f t="shared" si="54"/>
        <v>F</v>
      </c>
      <c r="DS37" s="1799"/>
    </row>
    <row r="38" spans="1:123" s="476" customFormat="1" ht="21.95" customHeight="1" x14ac:dyDescent="0.25">
      <c r="A38" s="508" t="s">
        <v>2846</v>
      </c>
      <c r="B38" s="1314">
        <f t="shared" ca="1" si="2"/>
        <v>22</v>
      </c>
      <c r="C38" s="1148">
        <v>18349553</v>
      </c>
      <c r="D38" s="1149" t="s">
        <v>6769</v>
      </c>
      <c r="E38" s="1135" t="s">
        <v>4622</v>
      </c>
      <c r="F38" s="1150">
        <v>32114</v>
      </c>
      <c r="G38" s="1135" t="s">
        <v>4620</v>
      </c>
      <c r="H38" s="1150">
        <v>45566</v>
      </c>
      <c r="I38" s="1140">
        <f t="shared" si="10"/>
        <v>0</v>
      </c>
      <c r="J38" s="1132">
        <v>0</v>
      </c>
      <c r="K38" s="1140">
        <f t="shared" ref="K38:K40" si="65">I38+J38</f>
        <v>0</v>
      </c>
      <c r="L38" s="1145" t="s">
        <v>5525</v>
      </c>
      <c r="M38" s="1132"/>
      <c r="N38" s="1132"/>
      <c r="O38" s="1002" t="s">
        <v>3618</v>
      </c>
      <c r="P38" s="1132" t="s">
        <v>6770</v>
      </c>
      <c r="Q38" s="1315" t="str">
        <f>IFERROR(VLOOKUP(O38,CARGOS!A:E,2,0),"")</f>
        <v>65001</v>
      </c>
      <c r="R38" s="1327" t="s">
        <v>7328</v>
      </c>
      <c r="S38" s="1135" t="s">
        <v>2835</v>
      </c>
      <c r="T38" s="1107">
        <f>IFERROR(VLOOKUP(S38,'TAB EMP'!A:B,2,0),0)</f>
        <v>348</v>
      </c>
      <c r="U38" s="1108">
        <v>0</v>
      </c>
      <c r="V38" s="1107">
        <f t="shared" ref="V38:V40" si="66">T38-U38</f>
        <v>348</v>
      </c>
      <c r="W38" s="1108">
        <f t="shared" ref="W38:W40" si="67">ROUND(V38/2,2)</f>
        <v>174</v>
      </c>
      <c r="X38" s="1135" t="s">
        <v>2885</v>
      </c>
      <c r="Y38" s="1135"/>
      <c r="Z38" s="1135">
        <v>0</v>
      </c>
      <c r="AA38" s="1107">
        <f>ROUND(IF(H38&lt;&gt;"",VLOOKUP(SUM(I38+J38),'CONCEPTOS Y PARAMETROS'!F:G,2,0)*V38,0),2)</f>
        <v>0</v>
      </c>
      <c r="AB38" s="1107">
        <f>IF(S38&lt;&gt;"",IF(M38="",'CONCEPTOS Y PARAMETROS'!$C$4,0),0)</f>
        <v>130</v>
      </c>
      <c r="AC38" s="1107">
        <f>IF(S38&lt;&gt;"",IF(M38="",'CONCEPTOS Y PARAMETROS'!$C$7*Z38,0),0)</f>
        <v>0</v>
      </c>
      <c r="AD38" s="1107">
        <f>IFERROR(ROUND(VLOOKUP($X38,'CONCEPTOS Y PARAMETROS'!H:I,2,0)*($V38+AA38+AB38+AC38),2),0)</f>
        <v>119.5</v>
      </c>
      <c r="AE38" s="1107">
        <f t="shared" ref="AE38:AE40" si="68">SUM(AA38:AD38)</f>
        <v>249.5</v>
      </c>
      <c r="AF38" s="1107">
        <f t="shared" ref="AF38:AF40" si="69">ROUND(AA38/2,2)</f>
        <v>0</v>
      </c>
      <c r="AG38" s="1107">
        <f t="shared" ref="AG38:AG40" si="70">ROUND(AA38-AF38,2)</f>
        <v>0</v>
      </c>
      <c r="AH38" s="1107">
        <f t="shared" ref="AH38:AH40" si="71">ROUND(AB38/2,2)</f>
        <v>65</v>
      </c>
      <c r="AI38" s="1107">
        <f t="shared" ref="AI38:AI40" si="72">ROUND(AB38-AH38,2)</f>
        <v>65</v>
      </c>
      <c r="AJ38" s="1107">
        <f t="shared" ref="AJ38:AJ40" si="73">ROUND(AD38/2,2)</f>
        <v>59.75</v>
      </c>
      <c r="AK38" s="1107">
        <f t="shared" ref="AK38:AK40" si="74">ROUND(AD38-AJ38,2)</f>
        <v>59.75</v>
      </c>
      <c r="AL38" s="1108">
        <f t="shared" ref="AL38:AL40" si="75">ROUND(AF38+AH38+AJ38+AC38,2)</f>
        <v>124.75</v>
      </c>
      <c r="AM38" s="1108">
        <f t="shared" ref="AM38:AM40" si="76">ROUND(AG38+AI38+AK38,2)</f>
        <v>124.75</v>
      </c>
      <c r="AN38" s="990">
        <v>0</v>
      </c>
      <c r="AO38" s="1147">
        <f>'CONCEPTOS Y PARAMETROS'!$C$18*AN38</f>
        <v>0</v>
      </c>
      <c r="AP38" s="990">
        <v>0</v>
      </c>
      <c r="AQ38" s="1147">
        <f>'CONCEPTOS Y PARAMETROS'!$C$21*AP38</f>
        <v>0</v>
      </c>
      <c r="AR38" s="1318">
        <v>0</v>
      </c>
      <c r="AS38" s="1318">
        <v>0</v>
      </c>
      <c r="AT38" s="1318">
        <f t="shared" ref="AT38:AT40" si="77">+AO38+AQ38+AR38+AS38</f>
        <v>0</v>
      </c>
      <c r="AU38" s="1108">
        <f t="shared" si="24"/>
        <v>597.5</v>
      </c>
      <c r="AV38" s="1133">
        <v>0</v>
      </c>
      <c r="AW38" s="1108">
        <f>ROUND(IF(AV38="NOCTURN",(V38+AE38)*30%,0),2)</f>
        <v>0</v>
      </c>
      <c r="AX38" s="1107">
        <f>IF(T38&lt;&gt;"0",(ROUND(IF(A38="EMPLEADO",eval_formula('CONCEPTOS Y PARAMETROS'!$C$8,NOMINA!V38,NOMINA!$AU38,NOMINA!I38+NOMINA!J38),eval_formula('CONCEPTOS Y PARAMETROS'!$D$8,NOMINA!V38,NOMINA!$AU38,NOMINA!I38+NOMINA!J38)),2))*IF(H38&lt;&gt;"",IF(MONTH(H38)=$BR$8,IF(YEAR(H38)&lt;$BT$7,1,0),0)))</f>
        <v>0</v>
      </c>
      <c r="AY38" s="1108">
        <v>180</v>
      </c>
      <c r="AZ38" s="1107">
        <f>IFERROR(VLOOKUP(AY38,'CONCEPTOS Y PARAMETROS'!Y:Z,2,0),0)</f>
        <v>150</v>
      </c>
      <c r="BA38" s="1107">
        <f t="shared" ref="BA38:BA40" si="78">ROUND((((AU38))/30*AY38/12+(AU38))/30*AZ38,2)</f>
        <v>4481.25</v>
      </c>
      <c r="BB38" s="1107">
        <f t="shared" ref="BB38:BB40" si="79">ROUND(AU38/30*$BB$10,2)</f>
        <v>0</v>
      </c>
      <c r="BC38" s="990">
        <v>0</v>
      </c>
      <c r="BD38" s="1107" t="str">
        <f t="shared" si="28"/>
        <v>0</v>
      </c>
      <c r="BE38" s="990">
        <v>0</v>
      </c>
      <c r="BF38" s="1107">
        <f t="shared" si="29"/>
        <v>0</v>
      </c>
      <c r="BG38" s="1108">
        <v>320</v>
      </c>
      <c r="BH38" s="1108">
        <v>0</v>
      </c>
      <c r="BI38" s="1132">
        <v>0</v>
      </c>
      <c r="BJ38" s="798">
        <v>12.5</v>
      </c>
      <c r="BK38" s="1108">
        <v>0</v>
      </c>
      <c r="BL38" s="1107">
        <f t="shared" si="30"/>
        <v>27.58</v>
      </c>
      <c r="BM38" s="1107">
        <f t="shared" si="31"/>
        <v>3.45</v>
      </c>
      <c r="BN38" s="1107">
        <f t="shared" si="32"/>
        <v>5.98</v>
      </c>
      <c r="BO38" s="1107">
        <v>0</v>
      </c>
      <c r="BP38" s="1107">
        <v>0</v>
      </c>
      <c r="BQ38" s="1320">
        <f t="shared" ref="BQ38" si="80">ROUND(SUM(BL38:BP38),2)</f>
        <v>37.01</v>
      </c>
      <c r="BR38" s="1107">
        <f t="shared" si="33"/>
        <v>62.05</v>
      </c>
      <c r="BS38" s="1107">
        <f t="shared" si="34"/>
        <v>13.79</v>
      </c>
      <c r="BT38" s="1107">
        <f t="shared" si="35"/>
        <v>11.96</v>
      </c>
      <c r="BU38" s="1107">
        <v>0</v>
      </c>
      <c r="BV38" s="1108">
        <f t="shared" ref="BV38:BV40" si="81">ROUND(SUM(BR38:BT38),2)</f>
        <v>87.8</v>
      </c>
      <c r="BW38" s="1112">
        <f t="shared" ref="BW38:BW40" si="82">BQ38+BV38</f>
        <v>124.81</v>
      </c>
      <c r="BX38" s="1112">
        <f t="shared" si="36"/>
        <v>1120.31</v>
      </c>
      <c r="BY38" s="1112">
        <v>0</v>
      </c>
      <c r="BZ38" s="1112">
        <f t="shared" ref="BZ38:BZ40" si="83">+BX38+BY38</f>
        <v>1120.31</v>
      </c>
      <c r="CA38" s="1321">
        <f>'CONCEPTOS Y PARAMETROS'!$A$102</f>
        <v>6255</v>
      </c>
      <c r="CB38" s="1112">
        <f t="shared" si="38"/>
        <v>261.74</v>
      </c>
      <c r="CC38" s="1113">
        <f t="shared" si="39"/>
        <v>631.25</v>
      </c>
      <c r="CD38" s="512"/>
      <c r="CE38" s="512"/>
      <c r="CF38" s="470">
        <f t="shared" si="40"/>
        <v>938.75</v>
      </c>
      <c r="CG38" s="509">
        <f t="shared" si="41"/>
        <v>261.74</v>
      </c>
      <c r="CH38" s="1603">
        <f t="shared" si="42"/>
        <v>12.5</v>
      </c>
      <c r="CI38" s="1491">
        <f t="shared" si="43"/>
        <v>320</v>
      </c>
      <c r="CJ38" s="1502">
        <v>1</v>
      </c>
      <c r="CK38" s="509">
        <f t="shared" si="44"/>
        <v>618.75</v>
      </c>
      <c r="CL38" s="1689">
        <f t="shared" si="45"/>
        <v>297</v>
      </c>
      <c r="CM38" s="1689">
        <f t="shared" si="46"/>
        <v>321.75</v>
      </c>
      <c r="CN38" s="510">
        <f t="shared" si="47"/>
        <v>0</v>
      </c>
      <c r="CO38" s="511">
        <v>0</v>
      </c>
      <c r="CP38" s="510">
        <f t="shared" si="48"/>
        <v>0</v>
      </c>
      <c r="CQ38" s="510">
        <f t="shared" si="49"/>
        <v>0</v>
      </c>
      <c r="CR38" s="510">
        <f t="shared" si="50"/>
        <v>1237.5</v>
      </c>
      <c r="CS38" s="510">
        <f t="shared" si="51"/>
        <v>124.81</v>
      </c>
      <c r="CT38" s="510">
        <f t="shared" si="52"/>
        <v>6255</v>
      </c>
      <c r="CU38" s="512"/>
      <c r="CV38" s="512"/>
      <c r="CW38" s="512"/>
      <c r="CX38" s="512"/>
      <c r="CY38" s="1149" t="s">
        <v>6938</v>
      </c>
      <c r="CZ38" s="1149" t="s">
        <v>6939</v>
      </c>
      <c r="DA38" s="1152"/>
      <c r="DB38" s="1642" t="s">
        <v>6771</v>
      </c>
      <c r="DC38" s="1642"/>
      <c r="DD38" s="1642" t="s">
        <v>7493</v>
      </c>
      <c r="DE38" s="1642"/>
      <c r="DF38" s="1642" t="s">
        <v>7492</v>
      </c>
      <c r="DG38" s="1642"/>
      <c r="DH38" s="512"/>
      <c r="DI38" s="512"/>
      <c r="DJ38" s="512"/>
      <c r="DK38" s="512"/>
      <c r="DL38" s="512"/>
      <c r="DN38" s="476" t="str">
        <f>VLOOKUP(X38,Hoja1!$A$4:$B$10,2,0)</f>
        <v>PROFESIONAL</v>
      </c>
      <c r="DO38" s="476" t="str">
        <f>VLOOKUP(S38,Hoja1!$D$4:$F$77,3,0)</f>
        <v>COORDINADOR DE ÁREA</v>
      </c>
      <c r="DP38" s="1619" t="str">
        <f t="shared" si="53"/>
        <v>0</v>
      </c>
      <c r="DQ38" s="1484">
        <f>IF(T38&lt;&gt;"0",(ROUND(IF(A38="EMPLEADO",eval_formula('CONCEPTOS Y PARAMETROS'!$C$8,NOMINA!V38,AU38+BF38,NOMINA!I38+NOMINA!J38),eval_formula('CONCEPTOS Y PARAMETROS'!$D$8,NOMINA!V38,AU38+BF38,NOMINA!I38+NOMINA!J38)),2))*IF(H38&lt;&gt;"",IF(MONTH(H38)=$BR$8,IF(YEAR(H38)&lt;$BT$7,1,0),0)))</f>
        <v>0</v>
      </c>
      <c r="DR38" s="1799" t="str">
        <f t="shared" si="54"/>
        <v>F</v>
      </c>
      <c r="DS38" s="1799"/>
    </row>
    <row r="39" spans="1:123" s="476" customFormat="1" ht="21.95" customHeight="1" x14ac:dyDescent="0.25">
      <c r="A39" s="508" t="s">
        <v>2846</v>
      </c>
      <c r="B39" s="1314">
        <f t="shared" ca="1" si="2"/>
        <v>23</v>
      </c>
      <c r="C39" s="1148">
        <v>16066524</v>
      </c>
      <c r="D39" s="1149" t="s">
        <v>4814</v>
      </c>
      <c r="E39" s="1135" t="s">
        <v>4622</v>
      </c>
      <c r="F39" s="1150">
        <v>30061</v>
      </c>
      <c r="G39" s="1135" t="s">
        <v>4620</v>
      </c>
      <c r="H39" s="1150">
        <v>41456</v>
      </c>
      <c r="I39" s="1140">
        <f t="shared" si="10"/>
        <v>12</v>
      </c>
      <c r="J39" s="1132">
        <v>0</v>
      </c>
      <c r="K39" s="1140">
        <f t="shared" si="65"/>
        <v>12</v>
      </c>
      <c r="L39" s="1145" t="s">
        <v>5543</v>
      </c>
      <c r="M39" s="1132"/>
      <c r="N39" s="1132"/>
      <c r="O39" s="1002" t="s">
        <v>3618</v>
      </c>
      <c r="P39" s="1132" t="s">
        <v>5371</v>
      </c>
      <c r="Q39" s="1315" t="str">
        <f>IFERROR(VLOOKUP(O39,CARGOS!A:E,2,0),"")</f>
        <v>65001</v>
      </c>
      <c r="R39" s="1316" t="s">
        <v>7599</v>
      </c>
      <c r="S39" s="1135" t="s">
        <v>2835</v>
      </c>
      <c r="T39" s="1107">
        <f>IFERROR(VLOOKUP(S39,'TAB EMP'!A:B,2,0),0)</f>
        <v>348</v>
      </c>
      <c r="U39" s="1108">
        <v>0</v>
      </c>
      <c r="V39" s="1107">
        <f t="shared" si="66"/>
        <v>348</v>
      </c>
      <c r="W39" s="1108">
        <f t="shared" si="67"/>
        <v>174</v>
      </c>
      <c r="X39" s="1135" t="s">
        <v>2844</v>
      </c>
      <c r="Y39" s="1135"/>
      <c r="Z39" s="1135">
        <v>2</v>
      </c>
      <c r="AA39" s="1107">
        <f>ROUND(IF(H39&lt;&gt;"",VLOOKUP(SUM(I39+J39),'CONCEPTOS Y PARAMETROS'!F:G,2,0)*V39,0),2)</f>
        <v>48.02</v>
      </c>
      <c r="AB39" s="1107">
        <f>IF(S39&lt;&gt;"",IF(M39="",'CONCEPTOS Y PARAMETROS'!$C$4,0),0)</f>
        <v>130</v>
      </c>
      <c r="AC39" s="1107">
        <f>IF(S39&lt;&gt;"",IF(M39="",'CONCEPTOS Y PARAMETROS'!$C$7*Z39,0),0)</f>
        <v>25</v>
      </c>
      <c r="AD39" s="1107">
        <f>IFERROR(ROUND(VLOOKUP($X39,'CONCEPTOS Y PARAMETROS'!H:I,2,0)*($V39+AA39+AB39+AC39),2),0)</f>
        <v>110.2</v>
      </c>
      <c r="AE39" s="1107">
        <f t="shared" si="68"/>
        <v>313.22000000000003</v>
      </c>
      <c r="AF39" s="1107">
        <f t="shared" si="69"/>
        <v>24.01</v>
      </c>
      <c r="AG39" s="1107">
        <f t="shared" si="70"/>
        <v>24.01</v>
      </c>
      <c r="AH39" s="1107">
        <f t="shared" si="71"/>
        <v>65</v>
      </c>
      <c r="AI39" s="1107">
        <f t="shared" si="72"/>
        <v>65</v>
      </c>
      <c r="AJ39" s="1107">
        <f t="shared" si="73"/>
        <v>55.1</v>
      </c>
      <c r="AK39" s="1107">
        <f t="shared" si="74"/>
        <v>55.1</v>
      </c>
      <c r="AL39" s="1108">
        <f t="shared" si="75"/>
        <v>169.11</v>
      </c>
      <c r="AM39" s="1108">
        <f t="shared" si="76"/>
        <v>144.11000000000001</v>
      </c>
      <c r="AN39" s="990">
        <v>2</v>
      </c>
      <c r="AO39" s="1147">
        <f>'CONCEPTOS Y PARAMETROS'!$C$18*AN39</f>
        <v>25</v>
      </c>
      <c r="AP39" s="990">
        <v>0</v>
      </c>
      <c r="AQ39" s="1147">
        <f>'CONCEPTOS Y PARAMETROS'!$C$21*AP39</f>
        <v>0</v>
      </c>
      <c r="AR39" s="1318">
        <v>0</v>
      </c>
      <c r="AS39" s="1318">
        <v>0</v>
      </c>
      <c r="AT39" s="1318">
        <f t="shared" si="77"/>
        <v>25</v>
      </c>
      <c r="AU39" s="1108">
        <f t="shared" si="24"/>
        <v>661.22</v>
      </c>
      <c r="AV39" s="1133">
        <v>0</v>
      </c>
      <c r="AW39" s="1108">
        <f t="shared" ref="AW39:AW40" si="84">ROUND(IF(AV39="NOCTURN",(V39+AE39)*30%,0),2)</f>
        <v>0</v>
      </c>
      <c r="AX39" s="1107">
        <f>IF(T39&lt;&gt;"0",(ROUND(IF(A39="EMPLEADO",eval_formula('CONCEPTOS Y PARAMETROS'!$C$8,NOMINA!V39,NOMINA!$AU39,NOMINA!I39+NOMINA!J39),eval_formula('CONCEPTOS Y PARAMETROS'!$D$8,NOMINA!V39,NOMINA!$AU39,NOMINA!I39+NOMINA!J39)),2))*IF(H39&lt;&gt;"",IF(MONTH(H39)=$BR$8,IF(YEAR(H39)&lt;$BT$7,1,0),0)))</f>
        <v>0</v>
      </c>
      <c r="AY39" s="1108">
        <v>180</v>
      </c>
      <c r="AZ39" s="1107">
        <f>IFERROR(VLOOKUP(AY39,'CONCEPTOS Y PARAMETROS'!Y:Z,2,0),0)</f>
        <v>150</v>
      </c>
      <c r="BA39" s="1107">
        <f t="shared" si="78"/>
        <v>4959.1499999999996</v>
      </c>
      <c r="BB39" s="1107">
        <f t="shared" si="79"/>
        <v>0</v>
      </c>
      <c r="BC39" s="990">
        <v>0</v>
      </c>
      <c r="BD39" s="1107" t="str">
        <f t="shared" si="28"/>
        <v>0</v>
      </c>
      <c r="BE39" s="990">
        <v>0</v>
      </c>
      <c r="BF39" s="1107">
        <f t="shared" ref="BF39:BF40" si="85">ROUND(IF(BE39&gt;0,(((V39+AA39+AB39+AC39+AD39+AW39)/30)*50%+((V39+AA39+AB39+AC39+AD39+AW39)/30))*BE39,"0"),2)</f>
        <v>0</v>
      </c>
      <c r="BG39" s="1108">
        <v>320</v>
      </c>
      <c r="BH39" s="1108">
        <v>0</v>
      </c>
      <c r="BI39" s="1132">
        <v>0</v>
      </c>
      <c r="BJ39" s="1108">
        <v>12.5</v>
      </c>
      <c r="BK39" s="1108">
        <v>0</v>
      </c>
      <c r="BL39" s="1107">
        <f t="shared" si="30"/>
        <v>30.52</v>
      </c>
      <c r="BM39" s="1107">
        <f t="shared" si="31"/>
        <v>3.81</v>
      </c>
      <c r="BN39" s="1107">
        <f t="shared" si="32"/>
        <v>6.61</v>
      </c>
      <c r="BO39" s="1107">
        <v>0</v>
      </c>
      <c r="BP39" s="1107">
        <v>0</v>
      </c>
      <c r="BQ39" s="1320">
        <f t="shared" ref="BQ39:BQ40" si="86">ROUND(SUM(BL39:BP39),2)</f>
        <v>40.94</v>
      </c>
      <c r="BR39" s="1107">
        <f t="shared" si="33"/>
        <v>68.67</v>
      </c>
      <c r="BS39" s="1107">
        <f t="shared" si="34"/>
        <v>15.26</v>
      </c>
      <c r="BT39" s="1107">
        <f t="shared" si="35"/>
        <v>13.22</v>
      </c>
      <c r="BU39" s="1107">
        <v>0</v>
      </c>
      <c r="BV39" s="1108">
        <f t="shared" si="81"/>
        <v>97.15</v>
      </c>
      <c r="BW39" s="1112">
        <f t="shared" si="82"/>
        <v>138.09</v>
      </c>
      <c r="BX39" s="1112">
        <f t="shared" si="36"/>
        <v>1239.79</v>
      </c>
      <c r="BY39" s="1108">
        <v>0</v>
      </c>
      <c r="BZ39" s="1108">
        <f t="shared" si="83"/>
        <v>1239.79</v>
      </c>
      <c r="CA39" s="1321">
        <f>'CONCEPTOS Y PARAMETROS'!$A$102</f>
        <v>6255</v>
      </c>
      <c r="CB39" s="1112">
        <f t="shared" si="38"/>
        <v>302.17</v>
      </c>
      <c r="CC39" s="1113">
        <f t="shared" si="39"/>
        <v>675.61</v>
      </c>
      <c r="CD39" s="512"/>
      <c r="CE39" s="512"/>
      <c r="CF39" s="512">
        <f t="shared" si="40"/>
        <v>958.11</v>
      </c>
      <c r="CG39" s="509">
        <f t="shared" si="41"/>
        <v>302.17</v>
      </c>
      <c r="CH39" s="1603">
        <f t="shared" si="42"/>
        <v>37.5</v>
      </c>
      <c r="CI39" s="1491">
        <f t="shared" si="43"/>
        <v>320</v>
      </c>
      <c r="CJ39" s="1502">
        <v>2</v>
      </c>
      <c r="CK39" s="509">
        <f t="shared" si="44"/>
        <v>638.11</v>
      </c>
      <c r="CL39" s="1689">
        <f t="shared" si="45"/>
        <v>306.29000000000002</v>
      </c>
      <c r="CM39" s="1689">
        <f t="shared" si="46"/>
        <v>331.82</v>
      </c>
      <c r="CN39" s="510">
        <f t="shared" si="47"/>
        <v>0</v>
      </c>
      <c r="CO39" s="511">
        <v>0</v>
      </c>
      <c r="CP39" s="510">
        <f t="shared" si="48"/>
        <v>0</v>
      </c>
      <c r="CQ39" s="510">
        <f t="shared" si="49"/>
        <v>0</v>
      </c>
      <c r="CR39" s="510">
        <f t="shared" si="50"/>
        <v>1276.22</v>
      </c>
      <c r="CS39" s="510">
        <f t="shared" si="51"/>
        <v>138.09</v>
      </c>
      <c r="CT39" s="510">
        <f t="shared" si="52"/>
        <v>6255</v>
      </c>
      <c r="CU39" s="512"/>
      <c r="CV39" s="512"/>
      <c r="CW39" s="512"/>
      <c r="CX39" s="512"/>
      <c r="CY39" s="1149" t="s">
        <v>7070</v>
      </c>
      <c r="CZ39" s="1149" t="s">
        <v>6869</v>
      </c>
      <c r="DA39" s="1152"/>
      <c r="DB39" s="1152" t="s">
        <v>6229</v>
      </c>
      <c r="DC39" s="1152"/>
      <c r="DD39" s="1152" t="s">
        <v>6560</v>
      </c>
      <c r="DE39" s="1152" t="s">
        <v>6230</v>
      </c>
      <c r="DF39" s="1152" t="s">
        <v>7495</v>
      </c>
      <c r="DG39" s="1152"/>
      <c r="DH39" s="512"/>
      <c r="DI39" s="512"/>
      <c r="DJ39" s="512"/>
      <c r="DK39" s="512"/>
      <c r="DL39" s="512"/>
      <c r="DN39" s="476" t="str">
        <f>VLOOKUP(X39,Hoja1!$A$4:$B$10,2,0)</f>
        <v>TÉCNICO SUPERIOR UNIVERSITARIO</v>
      </c>
      <c r="DO39" s="476" t="str">
        <f>VLOOKUP(S39,Hoja1!$D$4:$F$77,3,0)</f>
        <v>COORDINADOR DE ÁREA</v>
      </c>
      <c r="DP39" s="1688" t="str">
        <f t="shared" si="53"/>
        <v>0</v>
      </c>
      <c r="DQ39" s="1484">
        <f>IF(T39&lt;&gt;"0",(ROUND(IF(A39="EMPLEADO",eval_formula('CONCEPTOS Y PARAMETROS'!$C$8,NOMINA!V39,AU39+BF39,NOMINA!I39+NOMINA!J39),eval_formula('CONCEPTOS Y PARAMETROS'!$D$8,NOMINA!V39,AU39+BF39,NOMINA!I39+NOMINA!J39)),2))*IF(H39&lt;&gt;"",IF(MONTH(H39)=$BR$8,IF(YEAR(H39)&lt;$BT$7,1,0),0)))</f>
        <v>0</v>
      </c>
      <c r="DR39" s="1799" t="str">
        <f t="shared" si="54"/>
        <v>F</v>
      </c>
      <c r="DS39" s="1799"/>
    </row>
    <row r="40" spans="1:123" s="476" customFormat="1" ht="21.95" customHeight="1" x14ac:dyDescent="0.25">
      <c r="A40" s="508" t="s">
        <v>2846</v>
      </c>
      <c r="B40" s="1314">
        <f t="shared" ca="1" si="2"/>
        <v>24</v>
      </c>
      <c r="C40" s="1148">
        <v>27889180</v>
      </c>
      <c r="D40" s="1149" t="s">
        <v>4924</v>
      </c>
      <c r="E40" s="1135" t="s">
        <v>4622</v>
      </c>
      <c r="F40" s="1150">
        <v>36692</v>
      </c>
      <c r="G40" s="1135" t="s">
        <v>4620</v>
      </c>
      <c r="H40" s="1150">
        <v>44393</v>
      </c>
      <c r="I40" s="1140">
        <f t="shared" si="10"/>
        <v>4</v>
      </c>
      <c r="J40" s="1132">
        <v>0</v>
      </c>
      <c r="K40" s="1140">
        <f t="shared" si="65"/>
        <v>4</v>
      </c>
      <c r="L40" s="1145" t="s">
        <v>6113</v>
      </c>
      <c r="M40" s="1132"/>
      <c r="N40" s="1132"/>
      <c r="O40" s="1002" t="s">
        <v>3618</v>
      </c>
      <c r="P40" s="1132" t="s">
        <v>5451</v>
      </c>
      <c r="Q40" s="1315" t="str">
        <f>IFERROR(VLOOKUP(O40,CARGOS!A:E,2,0),"")</f>
        <v>65001</v>
      </c>
      <c r="R40" s="1316" t="s">
        <v>7581</v>
      </c>
      <c r="S40" s="1135" t="s">
        <v>2835</v>
      </c>
      <c r="T40" s="1107">
        <f>IFERROR(VLOOKUP(S40,'TAB EMP'!A:B,2,0),0)</f>
        <v>348</v>
      </c>
      <c r="U40" s="1108">
        <v>0</v>
      </c>
      <c r="V40" s="1107">
        <f t="shared" si="66"/>
        <v>348</v>
      </c>
      <c r="W40" s="1108">
        <f t="shared" si="67"/>
        <v>174</v>
      </c>
      <c r="X40" s="1135" t="s">
        <v>2884</v>
      </c>
      <c r="Y40" s="1135"/>
      <c r="Z40" s="1135">
        <v>1</v>
      </c>
      <c r="AA40" s="1107">
        <f>ROUND(IF(H40&lt;&gt;"",VLOOKUP(SUM(I40+J40),'CONCEPTOS Y PARAMETROS'!F:G,2,0)*V40,0),2)</f>
        <v>13.92</v>
      </c>
      <c r="AB40" s="1107">
        <f>IF(S40&lt;&gt;"",IF(M40="",'CONCEPTOS Y PARAMETROS'!$C$4,0),0)</f>
        <v>130</v>
      </c>
      <c r="AC40" s="1107">
        <f>IF(S40&lt;&gt;"",IF(M40="",'CONCEPTOS Y PARAMETROS'!$C$7*Z40,0),0)</f>
        <v>12.5</v>
      </c>
      <c r="AD40" s="1107">
        <f>IFERROR(ROUND(VLOOKUP($X40,'CONCEPTOS Y PARAMETROS'!H:I,2,0)*($V40+AA40+AB40+AC40),2),0)</f>
        <v>0</v>
      </c>
      <c r="AE40" s="1107">
        <f t="shared" si="68"/>
        <v>156.41999999999999</v>
      </c>
      <c r="AF40" s="1107">
        <f t="shared" si="69"/>
        <v>6.96</v>
      </c>
      <c r="AG40" s="1107">
        <f t="shared" si="70"/>
        <v>6.96</v>
      </c>
      <c r="AH40" s="1107">
        <f t="shared" si="71"/>
        <v>65</v>
      </c>
      <c r="AI40" s="1107">
        <f t="shared" si="72"/>
        <v>65</v>
      </c>
      <c r="AJ40" s="1107">
        <f t="shared" si="73"/>
        <v>0</v>
      </c>
      <c r="AK40" s="1107">
        <f t="shared" si="74"/>
        <v>0</v>
      </c>
      <c r="AL40" s="1108">
        <f t="shared" si="75"/>
        <v>84.46</v>
      </c>
      <c r="AM40" s="1108">
        <f t="shared" si="76"/>
        <v>71.959999999999994</v>
      </c>
      <c r="AN40" s="990">
        <v>0</v>
      </c>
      <c r="AO40" s="1147">
        <f>'CONCEPTOS Y PARAMETROS'!$C$18*AN40</f>
        <v>0</v>
      </c>
      <c r="AP40" s="990">
        <v>0</v>
      </c>
      <c r="AQ40" s="1147">
        <f>'CONCEPTOS Y PARAMETROS'!$C$21*AP40</f>
        <v>0</v>
      </c>
      <c r="AR40" s="1318">
        <v>0</v>
      </c>
      <c r="AS40" s="1318">
        <v>0</v>
      </c>
      <c r="AT40" s="1318">
        <f t="shared" si="77"/>
        <v>0</v>
      </c>
      <c r="AU40" s="1108">
        <f t="shared" si="24"/>
        <v>504.41999999999996</v>
      </c>
      <c r="AV40" s="1133">
        <v>0</v>
      </c>
      <c r="AW40" s="1108">
        <f t="shared" si="84"/>
        <v>0</v>
      </c>
      <c r="AX40" s="1107">
        <f>IF(T40&lt;&gt;"0",(ROUND(IF(A40="EMPLEADO",eval_formula('CONCEPTOS Y PARAMETROS'!$C$8,NOMINA!V40,NOMINA!$AU40,NOMINA!I40+NOMINA!J40),eval_formula('CONCEPTOS Y PARAMETROS'!$D$8,NOMINA!V40,NOMINA!$AU40,NOMINA!I40+NOMINA!J40)),2))*IF(H40&lt;&gt;"",IF(MONTH(H40)=$BR$8,IF(YEAR(H40)&lt;$BT$7,1,0),0)))</f>
        <v>0</v>
      </c>
      <c r="AY40" s="1108">
        <v>180</v>
      </c>
      <c r="AZ40" s="1107">
        <f>IFERROR(VLOOKUP(AY40,'CONCEPTOS Y PARAMETROS'!Y:Z,2,0),0)</f>
        <v>150</v>
      </c>
      <c r="BA40" s="1107">
        <f t="shared" si="78"/>
        <v>3783.15</v>
      </c>
      <c r="BB40" s="1107">
        <f t="shared" si="79"/>
        <v>0</v>
      </c>
      <c r="BC40" s="990">
        <v>0</v>
      </c>
      <c r="BD40" s="1107" t="str">
        <f t="shared" si="28"/>
        <v>0</v>
      </c>
      <c r="BE40" s="990">
        <v>0</v>
      </c>
      <c r="BF40" s="1107">
        <f t="shared" si="85"/>
        <v>0</v>
      </c>
      <c r="BG40" s="1108">
        <v>320</v>
      </c>
      <c r="BH40" s="1108">
        <v>0</v>
      </c>
      <c r="BI40" s="1132">
        <v>0</v>
      </c>
      <c r="BJ40" s="1108">
        <v>12.5</v>
      </c>
      <c r="BK40" s="1108">
        <v>0</v>
      </c>
      <c r="BL40" s="1107">
        <f t="shared" si="30"/>
        <v>23.28</v>
      </c>
      <c r="BM40" s="1107">
        <f t="shared" si="31"/>
        <v>2.91</v>
      </c>
      <c r="BN40" s="1107">
        <f t="shared" si="32"/>
        <v>5.04</v>
      </c>
      <c r="BO40" s="1107">
        <v>0</v>
      </c>
      <c r="BP40" s="1107">
        <v>0</v>
      </c>
      <c r="BQ40" s="1320">
        <f t="shared" si="86"/>
        <v>31.23</v>
      </c>
      <c r="BR40" s="1107">
        <f t="shared" si="33"/>
        <v>52.38</v>
      </c>
      <c r="BS40" s="1107">
        <f t="shared" si="34"/>
        <v>11.64</v>
      </c>
      <c r="BT40" s="1107">
        <f t="shared" si="35"/>
        <v>10.08</v>
      </c>
      <c r="BU40" s="1107">
        <v>0</v>
      </c>
      <c r="BV40" s="1108">
        <f t="shared" si="81"/>
        <v>74.099999999999994</v>
      </c>
      <c r="BW40" s="1112">
        <f t="shared" si="82"/>
        <v>105.33</v>
      </c>
      <c r="BX40" s="1112">
        <f t="shared" si="36"/>
        <v>945.79</v>
      </c>
      <c r="BY40" s="1108">
        <v>0</v>
      </c>
      <c r="BZ40" s="1108">
        <f t="shared" si="83"/>
        <v>945.79</v>
      </c>
      <c r="CA40" s="1321">
        <f>'CONCEPTOS Y PARAMETROS'!$A$102</f>
        <v>6255</v>
      </c>
      <c r="CB40" s="1112">
        <f t="shared" si="38"/>
        <v>227.23</v>
      </c>
      <c r="CC40" s="1113">
        <f t="shared" si="39"/>
        <v>578.46</v>
      </c>
      <c r="CD40" s="512"/>
      <c r="CE40" s="512"/>
      <c r="CF40" s="512">
        <f t="shared" si="40"/>
        <v>885.96</v>
      </c>
      <c r="CG40" s="509">
        <f t="shared" si="41"/>
        <v>227.23</v>
      </c>
      <c r="CH40" s="1603">
        <f t="shared" si="42"/>
        <v>12.5</v>
      </c>
      <c r="CI40" s="1491">
        <f t="shared" si="43"/>
        <v>320</v>
      </c>
      <c r="CJ40" s="1502">
        <v>1</v>
      </c>
      <c r="CK40" s="509">
        <f t="shared" si="44"/>
        <v>565.96</v>
      </c>
      <c r="CL40" s="1689">
        <f t="shared" si="45"/>
        <v>565.96</v>
      </c>
      <c r="CM40" s="1689">
        <f t="shared" si="46"/>
        <v>0</v>
      </c>
      <c r="CN40" s="510">
        <f t="shared" si="47"/>
        <v>0</v>
      </c>
      <c r="CO40" s="511">
        <v>0</v>
      </c>
      <c r="CP40" s="510">
        <f t="shared" si="48"/>
        <v>0</v>
      </c>
      <c r="CQ40" s="510">
        <f t="shared" si="49"/>
        <v>0</v>
      </c>
      <c r="CR40" s="510">
        <f t="shared" si="50"/>
        <v>1131.92</v>
      </c>
      <c r="CS40" s="510">
        <f t="shared" si="51"/>
        <v>105.33</v>
      </c>
      <c r="CT40" s="510">
        <f t="shared" si="52"/>
        <v>6255</v>
      </c>
      <c r="CU40" s="512"/>
      <c r="CV40" s="512"/>
      <c r="CW40" s="512"/>
      <c r="CX40" s="512"/>
      <c r="CY40" s="1149" t="s">
        <v>6998</v>
      </c>
      <c r="CZ40" s="1149" t="s">
        <v>7029</v>
      </c>
      <c r="DA40" s="1152"/>
      <c r="DB40" s="1152" t="s">
        <v>6348</v>
      </c>
      <c r="DC40" s="1152"/>
      <c r="DD40" s="1152" t="s">
        <v>6158</v>
      </c>
      <c r="DE40" s="1152" t="s">
        <v>6222</v>
      </c>
      <c r="DF40" s="1152" t="s">
        <v>7462</v>
      </c>
      <c r="DG40" s="1152"/>
      <c r="DH40" s="512"/>
      <c r="DI40" s="512"/>
      <c r="DJ40" s="512"/>
      <c r="DK40" s="512"/>
      <c r="DL40" s="512"/>
      <c r="DN40" s="476" t="str">
        <f>VLOOKUP(X40,Hoja1!$A$4:$B$10,2,0)</f>
        <v>BACHILLER</v>
      </c>
      <c r="DO40" s="476" t="str">
        <f>VLOOKUP(S40,Hoja1!$D$4:$F$77,3,0)</f>
        <v>COORDINADOR DE ÁREA</v>
      </c>
      <c r="DP40" s="1688" t="str">
        <f t="shared" si="53"/>
        <v>0</v>
      </c>
      <c r="DQ40" s="1484">
        <f>IF(T40&lt;&gt;"0",(ROUND(IF(A40="EMPLEADO",eval_formula('CONCEPTOS Y PARAMETROS'!$C$8,NOMINA!V40,AU40+BF40,NOMINA!I40+NOMINA!J40),eval_formula('CONCEPTOS Y PARAMETROS'!$D$8,NOMINA!V40,AU40+BF40,NOMINA!I40+NOMINA!J40)),2))*IF(H40&lt;&gt;"",IF(MONTH(H40)=$BR$8,IF(YEAR(H40)&lt;$BT$7,1,0),0)))</f>
        <v>0</v>
      </c>
      <c r="DR40" s="1799" t="str">
        <f t="shared" si="54"/>
        <v>F</v>
      </c>
      <c r="DS40" s="1799"/>
    </row>
    <row r="41" spans="1:123" s="471" customFormat="1" ht="21.95" customHeight="1" x14ac:dyDescent="0.25">
      <c r="A41" s="508" t="s">
        <v>2846</v>
      </c>
      <c r="B41" s="1314">
        <f ca="1">OFFSET(B41,-1,0)+1</f>
        <v>25</v>
      </c>
      <c r="C41" s="1148">
        <v>12781930</v>
      </c>
      <c r="D41" s="1149" t="s">
        <v>4687</v>
      </c>
      <c r="E41" s="1135" t="s">
        <v>4622</v>
      </c>
      <c r="F41" s="1118">
        <v>27754</v>
      </c>
      <c r="G41" s="1135" t="s">
        <v>4620</v>
      </c>
      <c r="H41" s="1118">
        <v>44652</v>
      </c>
      <c r="I41" s="1140">
        <f t="shared" si="10"/>
        <v>3</v>
      </c>
      <c r="J41" s="1132">
        <v>0</v>
      </c>
      <c r="K41" s="1140">
        <f t="shared" si="11"/>
        <v>3</v>
      </c>
      <c r="L41" s="1145" t="s">
        <v>5542</v>
      </c>
      <c r="M41" s="1132"/>
      <c r="N41" s="1132"/>
      <c r="O41" s="1002" t="s">
        <v>3618</v>
      </c>
      <c r="P41" s="1132" t="s">
        <v>5204</v>
      </c>
      <c r="Q41" s="1315" t="str">
        <f>IFERROR(VLOOKUP(O41,CARGOS!A:E,2,0),"")</f>
        <v>65001</v>
      </c>
      <c r="R41" s="1327" t="s">
        <v>5050</v>
      </c>
      <c r="S41" s="1135" t="s">
        <v>2835</v>
      </c>
      <c r="T41" s="1107">
        <f>IFERROR(VLOOKUP(S41,'TAB EMP'!A:B,2,0),0)</f>
        <v>348</v>
      </c>
      <c r="U41" s="1108">
        <v>0</v>
      </c>
      <c r="V41" s="1107">
        <f t="shared" si="12"/>
        <v>348</v>
      </c>
      <c r="W41" s="1108">
        <f t="shared" si="13"/>
        <v>174</v>
      </c>
      <c r="X41" s="1135" t="s">
        <v>2885</v>
      </c>
      <c r="Y41" s="1135"/>
      <c r="Z41" s="1135">
        <v>0</v>
      </c>
      <c r="AA41" s="1107">
        <f>ROUND(IF(H41&lt;&gt;"",VLOOKUP(SUM(I41+J41),'CONCEPTOS Y PARAMETROS'!F:G,2,0)*V41,0),2)</f>
        <v>10.44</v>
      </c>
      <c r="AB41" s="1107">
        <f>IF(S41&lt;&gt;"",IF(M41="",'CONCEPTOS Y PARAMETROS'!$C$4,0),0)</f>
        <v>130</v>
      </c>
      <c r="AC41" s="1107">
        <f>IF(S41&lt;&gt;"",IF(M41="",'CONCEPTOS Y PARAMETROS'!$C$7*Z41,0),0)</f>
        <v>0</v>
      </c>
      <c r="AD41" s="1107">
        <f>IFERROR(ROUND(VLOOKUP($X41,'CONCEPTOS Y PARAMETROS'!H:I,2,0)*($V41+AA41+AB41+AC41),2),0)</f>
        <v>122.11</v>
      </c>
      <c r="AE41" s="1107">
        <f t="shared" si="14"/>
        <v>262.55</v>
      </c>
      <c r="AF41" s="1107">
        <f t="shared" si="15"/>
        <v>5.22</v>
      </c>
      <c r="AG41" s="1107">
        <f t="shared" si="16"/>
        <v>5.22</v>
      </c>
      <c r="AH41" s="1107">
        <f t="shared" si="17"/>
        <v>65</v>
      </c>
      <c r="AI41" s="1107">
        <f t="shared" si="18"/>
        <v>65</v>
      </c>
      <c r="AJ41" s="1107">
        <f t="shared" si="19"/>
        <v>61.06</v>
      </c>
      <c r="AK41" s="1107">
        <f t="shared" si="20"/>
        <v>61.05</v>
      </c>
      <c r="AL41" s="1108">
        <f t="shared" si="21"/>
        <v>131.28</v>
      </c>
      <c r="AM41" s="1108">
        <f t="shared" si="22"/>
        <v>131.27000000000001</v>
      </c>
      <c r="AN41" s="990">
        <v>0</v>
      </c>
      <c r="AO41" s="1147">
        <f>'CONCEPTOS Y PARAMETROS'!$C$18*AN41</f>
        <v>0</v>
      </c>
      <c r="AP41" s="990">
        <v>0</v>
      </c>
      <c r="AQ41" s="1147">
        <f>'CONCEPTOS Y PARAMETROS'!$C$21*AP41</f>
        <v>0</v>
      </c>
      <c r="AR41" s="1318">
        <v>0</v>
      </c>
      <c r="AS41" s="1318">
        <v>0</v>
      </c>
      <c r="AT41" s="1318">
        <f t="shared" si="23"/>
        <v>0</v>
      </c>
      <c r="AU41" s="1108">
        <f t="shared" si="24"/>
        <v>610.54999999999995</v>
      </c>
      <c r="AV41" s="1133">
        <v>0</v>
      </c>
      <c r="AW41" s="1108">
        <f>ROUND(IF(O41="VIGILANTE",(V41+AE41)*30%,0),2)</f>
        <v>0</v>
      </c>
      <c r="AX41" s="1107">
        <f>IF(T41&lt;&gt;"0",(ROUND(IF(A41="EMPLEADO",eval_formula('CONCEPTOS Y PARAMETROS'!$C$8,NOMINA!V41,NOMINA!$AU41,NOMINA!I41+NOMINA!J41),eval_formula('CONCEPTOS Y PARAMETROS'!$D$8,NOMINA!V41,NOMINA!$AU41,NOMINA!I41+NOMINA!J41)),2))*IF(H41&lt;&gt;"",IF(MONTH(H41)=$BR$8,IF(YEAR(H41)&lt;$BT$7,1,0),0)))</f>
        <v>0</v>
      </c>
      <c r="AY41" s="1108">
        <v>180</v>
      </c>
      <c r="AZ41" s="1107">
        <f>IFERROR(VLOOKUP(AY41,'CONCEPTOS Y PARAMETROS'!Y:Z,2,0),0)</f>
        <v>150</v>
      </c>
      <c r="BA41" s="1107">
        <f t="shared" si="26"/>
        <v>4579.13</v>
      </c>
      <c r="BB41" s="1107">
        <f t="shared" si="27"/>
        <v>0</v>
      </c>
      <c r="BC41" s="990">
        <v>0</v>
      </c>
      <c r="BD41" s="1107" t="str">
        <f t="shared" si="28"/>
        <v>0</v>
      </c>
      <c r="BE41" s="990">
        <v>0</v>
      </c>
      <c r="BF41" s="1107">
        <f t="shared" si="29"/>
        <v>0</v>
      </c>
      <c r="BG41" s="1108">
        <v>320</v>
      </c>
      <c r="BH41" s="1108">
        <v>0</v>
      </c>
      <c r="BI41" s="1132">
        <v>0</v>
      </c>
      <c r="BJ41" s="798">
        <v>12.5</v>
      </c>
      <c r="BK41" s="1108">
        <v>0</v>
      </c>
      <c r="BL41" s="1107">
        <f t="shared" si="30"/>
        <v>28.18</v>
      </c>
      <c r="BM41" s="1107">
        <f t="shared" si="31"/>
        <v>3.52</v>
      </c>
      <c r="BN41" s="1107">
        <f t="shared" si="32"/>
        <v>6.11</v>
      </c>
      <c r="BO41" s="1107">
        <v>0</v>
      </c>
      <c r="BP41" s="1107">
        <v>0</v>
      </c>
      <c r="BQ41" s="1320">
        <f t="shared" si="4"/>
        <v>37.81</v>
      </c>
      <c r="BR41" s="1107">
        <f t="shared" si="33"/>
        <v>63.4</v>
      </c>
      <c r="BS41" s="1107">
        <f t="shared" si="34"/>
        <v>14.09</v>
      </c>
      <c r="BT41" s="1107">
        <f t="shared" si="35"/>
        <v>12.22</v>
      </c>
      <c r="BU41" s="1107">
        <v>0</v>
      </c>
      <c r="BV41" s="1108">
        <f t="shared" si="0"/>
        <v>89.71</v>
      </c>
      <c r="BW41" s="1112">
        <f t="shared" si="1"/>
        <v>127.52</v>
      </c>
      <c r="BX41" s="1112">
        <f t="shared" si="36"/>
        <v>1144.78</v>
      </c>
      <c r="BY41" s="1112">
        <v>0</v>
      </c>
      <c r="BZ41" s="1112">
        <f t="shared" si="37"/>
        <v>1144.78</v>
      </c>
      <c r="CA41" s="1321">
        <f>'CONCEPTOS Y PARAMETROS'!$A$102</f>
        <v>6255</v>
      </c>
      <c r="CB41" s="1112">
        <f t="shared" si="38"/>
        <v>267.46999999999997</v>
      </c>
      <c r="CC41" s="1113">
        <f t="shared" si="39"/>
        <v>637.77</v>
      </c>
      <c r="CD41" s="512"/>
      <c r="CE41" s="512"/>
      <c r="CF41" s="470">
        <f t="shared" si="40"/>
        <v>945.27</v>
      </c>
      <c r="CG41" s="495">
        <f t="shared" si="41"/>
        <v>267.46999999999997</v>
      </c>
      <c r="CH41" s="498">
        <f t="shared" si="42"/>
        <v>12.5</v>
      </c>
      <c r="CI41" s="1490">
        <f t="shared" si="43"/>
        <v>320</v>
      </c>
      <c r="CJ41" s="1500">
        <v>2</v>
      </c>
      <c r="CK41" s="495">
        <f t="shared" si="44"/>
        <v>625.27</v>
      </c>
      <c r="CL41" s="1689">
        <f t="shared" si="45"/>
        <v>300.13</v>
      </c>
      <c r="CM41" s="1689">
        <f t="shared" si="46"/>
        <v>325.14</v>
      </c>
      <c r="CN41" s="496">
        <f t="shared" si="47"/>
        <v>0</v>
      </c>
      <c r="CO41" s="497">
        <v>0</v>
      </c>
      <c r="CP41" s="496">
        <f t="shared" si="48"/>
        <v>0</v>
      </c>
      <c r="CQ41" s="496">
        <f t="shared" si="49"/>
        <v>0</v>
      </c>
      <c r="CR41" s="496">
        <f t="shared" si="50"/>
        <v>1250.54</v>
      </c>
      <c r="CS41" s="496">
        <f t="shared" si="51"/>
        <v>127.52</v>
      </c>
      <c r="CT41" s="496">
        <f t="shared" si="52"/>
        <v>6255</v>
      </c>
      <c r="CU41" s="470"/>
      <c r="CV41" s="470"/>
      <c r="CW41" s="470"/>
      <c r="CX41" s="470"/>
      <c r="CY41" s="1149" t="s">
        <v>7041</v>
      </c>
      <c r="CZ41" s="1149" t="s">
        <v>6818</v>
      </c>
      <c r="DA41" s="480"/>
      <c r="DB41" s="1642" t="s">
        <v>6178</v>
      </c>
      <c r="DC41" s="1642"/>
      <c r="DD41" s="1642" t="s">
        <v>6179</v>
      </c>
      <c r="DE41" s="1642" t="s">
        <v>6180</v>
      </c>
      <c r="DF41" s="1642" t="s">
        <v>6181</v>
      </c>
      <c r="DG41" s="1152"/>
      <c r="DH41" s="470"/>
      <c r="DI41" s="470"/>
      <c r="DJ41" s="470"/>
      <c r="DK41" s="470"/>
      <c r="DL41" s="470"/>
      <c r="DN41" s="471" t="str">
        <f>VLOOKUP(X41,Hoja1!$A$4:$B$10,2,0)</f>
        <v>PROFESIONAL</v>
      </c>
      <c r="DO41" s="471" t="str">
        <f>VLOOKUP(S41,Hoja1!$D$4:$F$77,3,0)</f>
        <v>COORDINADOR DE ÁREA</v>
      </c>
      <c r="DP41" s="1156" t="str">
        <f t="shared" si="53"/>
        <v>0</v>
      </c>
      <c r="DQ41" s="1484">
        <f>IF(T41&lt;&gt;"0",(ROUND(IF(A41="EMPLEADO",eval_formula('CONCEPTOS Y PARAMETROS'!$C$8,NOMINA!V41,AU41+BF41,NOMINA!I41+NOMINA!J41),eval_formula('CONCEPTOS Y PARAMETROS'!$D$8,NOMINA!V41,AU41+BF41,NOMINA!I41+NOMINA!J41)),2))*IF(H41&lt;&gt;"",IF(MONTH(H41)=$BR$8,IF(YEAR(H41)&lt;$BT$7,1,0),0)))</f>
        <v>0</v>
      </c>
      <c r="DR41" s="1801" t="str">
        <f t="shared" si="54"/>
        <v>F</v>
      </c>
      <c r="DS41" s="1801"/>
    </row>
    <row r="42" spans="1:123" s="1515" customFormat="1" ht="27" customHeight="1" thickBot="1" x14ac:dyDescent="0.3">
      <c r="A42" s="513"/>
      <c r="B42" s="408">
        <f ca="1">COUNT(B17:B41)</f>
        <v>25</v>
      </c>
      <c r="C42" s="514" t="s">
        <v>5505</v>
      </c>
      <c r="D42" s="515"/>
      <c r="E42" s="515"/>
      <c r="F42" s="516"/>
      <c r="G42" s="515"/>
      <c r="H42" s="515"/>
      <c r="I42" s="382">
        <f>SUM(I17:I41)</f>
        <v>278</v>
      </c>
      <c r="J42" s="382">
        <f>SUM(J17:J41)</f>
        <v>67</v>
      </c>
      <c r="K42" s="382">
        <f>SUM(K17:K41)</f>
        <v>345</v>
      </c>
      <c r="L42" s="515"/>
      <c r="M42" s="515"/>
      <c r="N42" s="515"/>
      <c r="O42" s="515"/>
      <c r="P42" s="515"/>
      <c r="Q42" s="516"/>
      <c r="R42" s="517"/>
      <c r="S42" s="517"/>
      <c r="T42" s="382">
        <f>SUM(T17:T41)</f>
        <v>8790</v>
      </c>
      <c r="U42" s="382">
        <f>SUM(U17:U41)</f>
        <v>0</v>
      </c>
      <c r="V42" s="382">
        <f>SUM(V17:V41)</f>
        <v>8790</v>
      </c>
      <c r="W42" s="382">
        <f>SUM(W17:W41)</f>
        <v>4395</v>
      </c>
      <c r="X42" s="515"/>
      <c r="Y42" s="515"/>
      <c r="Z42" s="383">
        <f t="shared" ref="Z42:AU42" si="87">SUM(Z17:Z41)</f>
        <v>17</v>
      </c>
      <c r="AA42" s="382">
        <f t="shared" si="87"/>
        <v>1467.0900000000006</v>
      </c>
      <c r="AB42" s="382">
        <f t="shared" si="87"/>
        <v>3250</v>
      </c>
      <c r="AC42" s="382">
        <f t="shared" si="87"/>
        <v>212.5</v>
      </c>
      <c r="AD42" s="382">
        <f t="shared" si="87"/>
        <v>2631.13</v>
      </c>
      <c r="AE42" s="382">
        <f t="shared" si="87"/>
        <v>7560.7200000000012</v>
      </c>
      <c r="AF42" s="382">
        <f t="shared" si="87"/>
        <v>733.58000000000027</v>
      </c>
      <c r="AG42" s="382">
        <f t="shared" si="87"/>
        <v>733.51000000000022</v>
      </c>
      <c r="AH42" s="382">
        <f t="shared" si="87"/>
        <v>1625</v>
      </c>
      <c r="AI42" s="382">
        <f t="shared" si="87"/>
        <v>1625</v>
      </c>
      <c r="AJ42" s="382">
        <f t="shared" si="87"/>
        <v>1315.61</v>
      </c>
      <c r="AK42" s="382">
        <f t="shared" si="87"/>
        <v>1315.52</v>
      </c>
      <c r="AL42" s="382">
        <f t="shared" si="87"/>
        <v>3886.69</v>
      </c>
      <c r="AM42" s="382">
        <f t="shared" si="87"/>
        <v>3674.03</v>
      </c>
      <c r="AN42" s="382">
        <f t="shared" si="87"/>
        <v>8</v>
      </c>
      <c r="AO42" s="382">
        <f t="shared" si="87"/>
        <v>100</v>
      </c>
      <c r="AP42" s="382">
        <f t="shared" si="87"/>
        <v>0</v>
      </c>
      <c r="AQ42" s="382">
        <f t="shared" si="87"/>
        <v>0</v>
      </c>
      <c r="AR42" s="382">
        <f t="shared" si="87"/>
        <v>0</v>
      </c>
      <c r="AS42" s="382">
        <f t="shared" si="87"/>
        <v>0</v>
      </c>
      <c r="AT42" s="382">
        <f t="shared" si="87"/>
        <v>100</v>
      </c>
      <c r="AU42" s="382">
        <f t="shared" si="87"/>
        <v>16350.719999999998</v>
      </c>
      <c r="AV42" s="384"/>
      <c r="AW42" s="382">
        <f t="shared" ref="AW42:CC42" si="88">SUM(AW17:AW41)</f>
        <v>0</v>
      </c>
      <c r="AX42" s="382">
        <f t="shared" si="88"/>
        <v>19658.399999999998</v>
      </c>
      <c r="AY42" s="382">
        <f t="shared" si="88"/>
        <v>4500</v>
      </c>
      <c r="AZ42" s="585">
        <f t="shared" si="88"/>
        <v>3750</v>
      </c>
      <c r="BA42" s="585">
        <f t="shared" si="88"/>
        <v>122630.45999999999</v>
      </c>
      <c r="BB42" s="382">
        <f t="shared" si="88"/>
        <v>0</v>
      </c>
      <c r="BC42" s="382">
        <f t="shared" si="88"/>
        <v>0</v>
      </c>
      <c r="BD42" s="382">
        <f t="shared" si="88"/>
        <v>0</v>
      </c>
      <c r="BE42" s="382">
        <f t="shared" si="88"/>
        <v>0</v>
      </c>
      <c r="BF42" s="382">
        <f t="shared" si="88"/>
        <v>0</v>
      </c>
      <c r="BG42" s="382">
        <f t="shared" si="88"/>
        <v>8000</v>
      </c>
      <c r="BH42" s="382">
        <f t="shared" si="88"/>
        <v>0</v>
      </c>
      <c r="BI42" s="1671">
        <f t="shared" si="88"/>
        <v>0</v>
      </c>
      <c r="BJ42" s="382">
        <f t="shared" si="88"/>
        <v>312.5</v>
      </c>
      <c r="BK42" s="382">
        <f t="shared" si="88"/>
        <v>0</v>
      </c>
      <c r="BL42" s="382">
        <f t="shared" si="88"/>
        <v>754.64999999999986</v>
      </c>
      <c r="BM42" s="382">
        <f t="shared" si="88"/>
        <v>94.32</v>
      </c>
      <c r="BN42" s="382">
        <f t="shared" si="88"/>
        <v>163.50000000000003</v>
      </c>
      <c r="BO42" s="382">
        <f t="shared" si="88"/>
        <v>0</v>
      </c>
      <c r="BP42" s="382">
        <f t="shared" si="88"/>
        <v>0</v>
      </c>
      <c r="BQ42" s="382">
        <f t="shared" si="88"/>
        <v>1012.47</v>
      </c>
      <c r="BR42" s="382">
        <f t="shared" si="88"/>
        <v>1697.9500000000003</v>
      </c>
      <c r="BS42" s="382">
        <f t="shared" si="88"/>
        <v>377.30999999999995</v>
      </c>
      <c r="BT42" s="382">
        <f t="shared" si="88"/>
        <v>327.00000000000006</v>
      </c>
      <c r="BU42" s="382">
        <f t="shared" si="88"/>
        <v>0</v>
      </c>
      <c r="BV42" s="382">
        <f t="shared" si="88"/>
        <v>2402.2599999999998</v>
      </c>
      <c r="BW42" s="382">
        <f t="shared" si="88"/>
        <v>3414.73</v>
      </c>
      <c r="BX42" s="382">
        <f t="shared" si="88"/>
        <v>30657.63</v>
      </c>
      <c r="BY42" s="382">
        <f t="shared" si="88"/>
        <v>0</v>
      </c>
      <c r="BZ42" s="382">
        <f t="shared" si="88"/>
        <v>30657.63</v>
      </c>
      <c r="CA42" s="382">
        <f t="shared" si="88"/>
        <v>156375</v>
      </c>
      <c r="CB42" s="382">
        <f t="shared" si="88"/>
        <v>7269.22</v>
      </c>
      <c r="CC42" s="382">
        <f t="shared" si="88"/>
        <v>36139.929999999993</v>
      </c>
      <c r="CD42" s="468"/>
      <c r="CE42" s="1759"/>
      <c r="CF42" s="468"/>
      <c r="CG42" s="1511">
        <f t="shared" ref="CG42:CT42" si="89">SUM(CG17:CG41)</f>
        <v>7269.22</v>
      </c>
      <c r="CH42" s="1511">
        <f t="shared" si="89"/>
        <v>412.5</v>
      </c>
      <c r="CI42" s="1511">
        <f t="shared" si="89"/>
        <v>8000</v>
      </c>
      <c r="CJ42" s="1512">
        <f t="shared" si="89"/>
        <v>43</v>
      </c>
      <c r="CK42" s="1511">
        <f t="shared" si="89"/>
        <v>16069.030000000006</v>
      </c>
      <c r="CL42" s="1511">
        <f t="shared" si="89"/>
        <v>8317.2999999999993</v>
      </c>
      <c r="CM42" s="1511">
        <f t="shared" si="89"/>
        <v>7751.73</v>
      </c>
      <c r="CN42" s="1511">
        <f t="shared" si="89"/>
        <v>0</v>
      </c>
      <c r="CO42" s="1511">
        <f t="shared" si="89"/>
        <v>0</v>
      </c>
      <c r="CP42" s="1511">
        <f t="shared" si="89"/>
        <v>0</v>
      </c>
      <c r="CQ42" s="469">
        <f t="shared" si="89"/>
        <v>19658.399999999998</v>
      </c>
      <c r="CR42" s="469">
        <f t="shared" si="89"/>
        <v>51796.460000000006</v>
      </c>
      <c r="CS42" s="469">
        <f t="shared" si="89"/>
        <v>3414.73</v>
      </c>
      <c r="CT42" s="469">
        <f t="shared" si="89"/>
        <v>156375</v>
      </c>
      <c r="CU42" s="470"/>
      <c r="CV42" s="470"/>
      <c r="CW42" s="470"/>
      <c r="CX42" s="470"/>
      <c r="CY42" s="1433"/>
      <c r="CZ42" s="1433"/>
      <c r="DA42" s="480"/>
      <c r="DB42" s="1143"/>
      <c r="DC42" s="1143"/>
      <c r="DD42" s="1143"/>
      <c r="DE42" s="1143"/>
      <c r="DF42" s="1143"/>
      <c r="DG42" s="1143"/>
      <c r="DH42" s="1513"/>
      <c r="DI42" s="1513"/>
      <c r="DJ42" s="1513"/>
      <c r="DK42" s="1513"/>
      <c r="DL42" s="1513"/>
      <c r="DN42" s="468"/>
      <c r="DO42" s="468"/>
      <c r="DP42" s="1516"/>
      <c r="DQ42" s="1516"/>
    </row>
    <row r="43" spans="1:123" s="192" customFormat="1" ht="25.5" customHeight="1" thickBot="1" x14ac:dyDescent="0.3">
      <c r="A43" s="365" t="s">
        <v>4561</v>
      </c>
      <c r="B43" s="409"/>
      <c r="C43" s="419"/>
      <c r="D43" s="220"/>
      <c r="E43" s="184"/>
      <c r="F43" s="423"/>
      <c r="G43" s="185"/>
      <c r="H43" s="185"/>
      <c r="I43" s="186"/>
      <c r="J43" s="186"/>
      <c r="K43" s="186"/>
      <c r="L43" s="186"/>
      <c r="M43" s="186"/>
      <c r="N43" s="186"/>
      <c r="O43" s="187"/>
      <c r="P43" s="186"/>
      <c r="Q43" s="186"/>
      <c r="R43" s="273"/>
      <c r="S43" s="273"/>
      <c r="T43" s="188"/>
      <c r="U43" s="186"/>
      <c r="V43" s="186"/>
      <c r="W43" s="186"/>
      <c r="X43" s="186"/>
      <c r="Y43" s="186"/>
      <c r="Z43" s="372"/>
      <c r="AA43" s="189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90"/>
      <c r="AP43" s="190"/>
      <c r="AQ43" s="190"/>
      <c r="AR43" s="190"/>
      <c r="AS43" s="190"/>
      <c r="AT43" s="190"/>
      <c r="AU43" s="186"/>
      <c r="AV43" s="339"/>
      <c r="AW43" s="186"/>
      <c r="AX43" s="189"/>
      <c r="AY43" s="410"/>
      <c r="AZ43" s="587"/>
      <c r="BA43" s="588"/>
      <c r="BB43" s="186"/>
      <c r="BC43" s="186"/>
      <c r="BD43" s="186"/>
      <c r="BE43" s="186"/>
      <c r="BF43" s="186"/>
      <c r="BG43" s="189"/>
      <c r="BH43" s="189"/>
      <c r="BI43" s="189"/>
      <c r="BJ43" s="189"/>
      <c r="BK43" s="189"/>
      <c r="BL43" s="186"/>
      <c r="BM43" s="186"/>
      <c r="BN43" s="186"/>
      <c r="BO43" s="186"/>
      <c r="BP43" s="186"/>
      <c r="BQ43" s="186"/>
      <c r="BR43" s="189"/>
      <c r="BS43" s="189"/>
      <c r="BT43" s="189"/>
      <c r="BU43" s="189"/>
      <c r="BV43" s="189"/>
      <c r="BW43" s="189"/>
      <c r="BX43" s="189"/>
      <c r="BY43" s="189"/>
      <c r="BZ43" s="189"/>
      <c r="CA43" s="189"/>
      <c r="CB43" s="191"/>
      <c r="CC43" s="191"/>
      <c r="CD43" s="191"/>
      <c r="CE43" s="191"/>
      <c r="CF43" s="191"/>
      <c r="CG43" s="191"/>
      <c r="CH43" s="191"/>
      <c r="CI43" s="191"/>
      <c r="CJ43" s="1503"/>
      <c r="CK43" s="191"/>
      <c r="CL43" s="191"/>
      <c r="CM43" s="191"/>
      <c r="CN43" s="191"/>
      <c r="CO43" s="191"/>
      <c r="CP43" s="191"/>
      <c r="CQ43" s="191"/>
      <c r="CR43" s="191"/>
      <c r="CS43" s="191"/>
      <c r="CT43" s="191"/>
      <c r="CU43" s="470"/>
      <c r="CV43" s="470"/>
      <c r="CW43" s="470"/>
      <c r="CX43" s="470"/>
      <c r="CY43" s="191"/>
      <c r="CZ43" s="191"/>
      <c r="DA43" s="191"/>
      <c r="DB43" s="683"/>
      <c r="DC43" s="683"/>
      <c r="DD43" s="683"/>
      <c r="DE43" s="683"/>
      <c r="DF43" s="683"/>
      <c r="DG43" s="683"/>
      <c r="DH43" s="191"/>
      <c r="DI43" s="191"/>
      <c r="DJ43" s="191"/>
      <c r="DK43" s="191"/>
      <c r="DL43" s="191"/>
      <c r="DN43" s="191"/>
      <c r="DO43" s="191"/>
      <c r="DP43" s="193"/>
      <c r="DQ43" s="193"/>
    </row>
    <row r="44" spans="1:123" s="476" customFormat="1" ht="21.95" customHeight="1" x14ac:dyDescent="0.25">
      <c r="A44" s="1396" t="s">
        <v>2846</v>
      </c>
      <c r="B44" s="194">
        <v>1</v>
      </c>
      <c r="C44" s="377">
        <v>4324055</v>
      </c>
      <c r="D44" s="378" t="s">
        <v>4689</v>
      </c>
      <c r="E44" s="366" t="s">
        <v>4622</v>
      </c>
      <c r="F44" s="1600">
        <v>20249</v>
      </c>
      <c r="G44" s="366" t="s">
        <v>4621</v>
      </c>
      <c r="H44" s="1600">
        <v>44470</v>
      </c>
      <c r="I44" s="1397">
        <f t="shared" ref="I44:I107" si="90">IF(AND(YEAR(H44)&lt;YEAR($H$10),MONTH(H44)&gt;$BR$8),YEAR($H$10)-YEAR(H44)-1,IF(OR(H44="",YEAR(H44)&gt;YEAR($H$10)),0,YEAR($H$10)-YEAR(H44)))</f>
        <v>3</v>
      </c>
      <c r="J44" s="379">
        <v>0</v>
      </c>
      <c r="K44" s="1397">
        <f t="shared" ref="K44:K108" si="91">I44+J44</f>
        <v>3</v>
      </c>
      <c r="L44" s="1131" t="s">
        <v>5522</v>
      </c>
      <c r="M44" s="379"/>
      <c r="N44" s="379"/>
      <c r="O44" s="380" t="s">
        <v>7258</v>
      </c>
      <c r="P44" s="379" t="s">
        <v>5270</v>
      </c>
      <c r="Q44" s="1398" t="str">
        <f>IFERROR(VLOOKUP(O44,CARGOS!A:E,2,0),"")</f>
        <v>35122</v>
      </c>
      <c r="R44" s="1601" t="s">
        <v>7258</v>
      </c>
      <c r="S44" s="1602" t="s">
        <v>5467</v>
      </c>
      <c r="T44" s="831">
        <f>IFERROR(VLOOKUP(S44,'TAB EMP'!A:B,2,0),0)</f>
        <v>277</v>
      </c>
      <c r="U44" s="343">
        <v>0</v>
      </c>
      <c r="V44" s="831">
        <f t="shared" ref="V44:V111" si="92">T44-U44</f>
        <v>277</v>
      </c>
      <c r="W44" s="343">
        <f t="shared" ref="W44:W111" si="93">ROUND(V44/2,2)</f>
        <v>138.5</v>
      </c>
      <c r="X44" s="366" t="s">
        <v>2885</v>
      </c>
      <c r="Y44" s="366"/>
      <c r="Z44" s="366">
        <v>0</v>
      </c>
      <c r="AA44" s="831">
        <f>ROUND(IF(H44&lt;&gt;"",VLOOKUP(SUM(I44+J44),'CONCEPTOS Y PARAMETROS'!F:G,2,0)*V44,0),2)</f>
        <v>8.31</v>
      </c>
      <c r="AB44" s="831">
        <f>IF(S44&lt;&gt;"",IF(M44="",'CONCEPTOS Y PARAMETROS'!$C$4,0),0)</f>
        <v>130</v>
      </c>
      <c r="AC44" s="831">
        <f>IF(S44&lt;&gt;"",IF(M44="",'CONCEPTOS Y PARAMETROS'!$C$7*Z44,0),0)</f>
        <v>0</v>
      </c>
      <c r="AD44" s="831">
        <f>IFERROR(ROUND(VLOOKUP($X44,'CONCEPTOS Y PARAMETROS'!H:I,2,0)*($V44+AA44+AB44+AC44),2),0)</f>
        <v>103.83</v>
      </c>
      <c r="AE44" s="831">
        <f t="shared" ref="AE44:AE110" si="94">SUM(AA44:AD44)</f>
        <v>242.14</v>
      </c>
      <c r="AF44" s="831">
        <f t="shared" ref="AF44:AF111" si="95">ROUND(AA44/2,2)</f>
        <v>4.16</v>
      </c>
      <c r="AG44" s="831">
        <f t="shared" ref="AG44:AG111" si="96">ROUND(AA44-AF44,2)</f>
        <v>4.1500000000000004</v>
      </c>
      <c r="AH44" s="831">
        <f t="shared" ref="AH44:AH111" si="97">ROUND(AB44/2,2)</f>
        <v>65</v>
      </c>
      <c r="AI44" s="831">
        <f t="shared" ref="AI44:AI111" si="98">ROUND(AB44-AH44,2)</f>
        <v>65</v>
      </c>
      <c r="AJ44" s="831">
        <f t="shared" ref="AJ44:AJ111" si="99">ROUND(AD44/2,2)</f>
        <v>51.92</v>
      </c>
      <c r="AK44" s="831">
        <f t="shared" ref="AK44:AK111" si="100">ROUND(AD44-AJ44,2)</f>
        <v>51.91</v>
      </c>
      <c r="AL44" s="343">
        <f t="shared" ref="AL44:AL111" si="101">ROUND(AF44+AH44+AJ44+AC44,2)</f>
        <v>121.08</v>
      </c>
      <c r="AM44" s="343">
        <f t="shared" ref="AM44:AM111" si="102">ROUND(AG44+AI44+AK44,2)</f>
        <v>121.06</v>
      </c>
      <c r="AN44" s="344">
        <v>0</v>
      </c>
      <c r="AO44" s="1401">
        <f>'CONCEPTOS Y PARAMETROS'!$C$18*AN44</f>
        <v>0</v>
      </c>
      <c r="AP44" s="344">
        <v>0</v>
      </c>
      <c r="AQ44" s="1401">
        <f>'CONCEPTOS Y PARAMETROS'!$C$21*AP44</f>
        <v>0</v>
      </c>
      <c r="AR44" s="1402">
        <v>0</v>
      </c>
      <c r="AS44" s="1402">
        <v>0</v>
      </c>
      <c r="AT44" s="1402">
        <f t="shared" ref="AT44:AT78" si="103">+AO44+AQ44+AR44+AS44</f>
        <v>0</v>
      </c>
      <c r="AU44" s="343">
        <f t="shared" ref="AU44:AU108" si="104">V44+AE44+AW44</f>
        <v>519.14</v>
      </c>
      <c r="AV44" s="1403">
        <v>0</v>
      </c>
      <c r="AW44" s="343">
        <f t="shared" ref="AW44:AW50" si="105">ROUND(IF(AV44="NOCTURN",(V44+AE44)*30%,0),2)</f>
        <v>0</v>
      </c>
      <c r="AX44" s="831">
        <f>IF(T44&lt;&gt;"0",(ROUND(IF(A44="EMPLEADO",eval_formula('CONCEPTOS Y PARAMETROS'!$C$8,NOMINA!V44,NOMINA!$AU44,NOMINA!I44+NOMINA!J44),eval_formula('CONCEPTOS Y PARAMETROS'!$D$8,NOMINA!V44,NOMINA!$AU44,NOMINA!I44+NOMINA!J44)),2))*IF(H44&lt;&gt;"",IF(MONTH(H44)=$BR$8,IF(YEAR(H44)&lt;$BT$7,1,0),0)))</f>
        <v>0</v>
      </c>
      <c r="AY44" s="343">
        <v>180</v>
      </c>
      <c r="AZ44" s="831">
        <f>IFERROR(VLOOKUP(AY44,'CONCEPTOS Y PARAMETROS'!Y:Z,2,0),0)</f>
        <v>150</v>
      </c>
      <c r="BA44" s="831">
        <f t="shared" ref="BA44:BA111" si="106">ROUND((((AU44))/30*AY44/12+(AU44))/30*AZ44,2)</f>
        <v>3893.55</v>
      </c>
      <c r="BB44" s="831">
        <f>ROUND(AU44/30*$BB$10,2)</f>
        <v>0</v>
      </c>
      <c r="BC44" s="344">
        <v>0</v>
      </c>
      <c r="BD44" s="831" t="str">
        <f t="shared" ref="BD44:BD108" si="107">IF(BC44&gt;0,((((((V44+AA44+AB44+AC44+AD44)/30)/8)*50%)+((((V44+AA44+AB44+AC44+AD44)/30)/8)))*30%+(((((V44+AA44+AB44+AC44+AD44)/30)/8)*50%)+((((V44+AA44+AB44+AC44+AD44)/30)/8))))*BC44,"0")</f>
        <v>0</v>
      </c>
      <c r="BE44" s="344">
        <v>0</v>
      </c>
      <c r="BF44" s="831">
        <f t="shared" ref="BF44:BF50" si="108">ROUND(IF(BE44&gt;0,(((V44+AA44+AB44+AC44+AD44+AW44)/30)*50%+((V44+AA44+AB44+AC44+AD44+AW44)/30))*BE44,"0"),2)</f>
        <v>0</v>
      </c>
      <c r="BG44" s="343">
        <v>320</v>
      </c>
      <c r="BH44" s="343">
        <v>0</v>
      </c>
      <c r="BI44" s="379">
        <v>0</v>
      </c>
      <c r="BJ44" s="343">
        <v>12.5</v>
      </c>
      <c r="BK44" s="343">
        <v>0</v>
      </c>
      <c r="BL44" s="831">
        <f>ROUND(IF(M44="", (((AU44*12)/52)*4%)*$BS$8,0),2)</f>
        <v>23.96</v>
      </c>
      <c r="BM44" s="831">
        <f>ROUND(IF(M44="",(((AU44*12)/52)*0.5%)*$BS$8,0),2)</f>
        <v>3</v>
      </c>
      <c r="BN44" s="831">
        <f t="shared" ref="BN44:BN107" si="109">ROUND(IF(M44="",(AU44*1%),0),2)</f>
        <v>5.19</v>
      </c>
      <c r="BO44" s="831">
        <v>0</v>
      </c>
      <c r="BP44" s="831">
        <v>0</v>
      </c>
      <c r="BQ44" s="1405">
        <f t="shared" ref="BQ44:BQ111" si="110">ROUND(SUM(BL44:BP44),2)</f>
        <v>32.15</v>
      </c>
      <c r="BR44" s="831">
        <f>ROUND(IF(M44="", (((AU44*12)/52)*9%)*$BS$8,0),2)</f>
        <v>53.91</v>
      </c>
      <c r="BS44" s="831">
        <f>ROUND(IF(M44="",(((AU44*12)/52)*2%)*$BS$8,0),2)</f>
        <v>11.98</v>
      </c>
      <c r="BT44" s="831">
        <f t="shared" ref="BT44:BT107" si="111">ROUND(IF(M44="",(BN44*2),0),2)</f>
        <v>10.38</v>
      </c>
      <c r="BU44" s="831">
        <v>0</v>
      </c>
      <c r="BV44" s="343">
        <f t="shared" ref="BV44:BV111" si="112">ROUND(SUM(BR44:BT44),2)</f>
        <v>76.27</v>
      </c>
      <c r="BW44" s="664">
        <f t="shared" ref="BW44:BW111" si="113">BQ44+BV44</f>
        <v>108.41999999999999</v>
      </c>
      <c r="BX44" s="664">
        <f t="shared" ref="BX44:BX57" si="114">ROUND(BA44/4,2)</f>
        <v>973.39</v>
      </c>
      <c r="BY44" s="664">
        <v>0</v>
      </c>
      <c r="BZ44" s="664">
        <f t="shared" ref="BZ44:BZ108" si="115">+BX44+BY44</f>
        <v>973.39</v>
      </c>
      <c r="CA44" s="1406">
        <f>'CONCEPTOS Y PARAMETROS'!$A$102</f>
        <v>6255</v>
      </c>
      <c r="CB44" s="664">
        <f t="shared" ref="CB44:CB107" si="116">W44+AL44-BQ44</f>
        <v>227.42999999999998</v>
      </c>
      <c r="CC44" s="665">
        <f t="shared" ref="CC44:CC107" si="117">ROUND((W44+AM44+AW44+AX44+BB44+BD44+BF44+BK44+BG44+BH44+BJ44+AT44),2)</f>
        <v>592.05999999999995</v>
      </c>
      <c r="CD44" s="512"/>
      <c r="CE44" s="512"/>
      <c r="CF44" s="470">
        <f t="shared" ref="CF44:CF107" si="118">+CI44+CK44</f>
        <v>899.56</v>
      </c>
      <c r="CG44" s="509">
        <f t="shared" ref="CG44:CG108" si="119">W44+AL44-BQ44</f>
        <v>227.42999999999998</v>
      </c>
      <c r="CH44" s="1603">
        <f t="shared" ref="CH44:CH107" si="120">AT44+BJ44</f>
        <v>12.5</v>
      </c>
      <c r="CI44" s="1491">
        <f t="shared" ref="CI44:CI108" si="121">BG44</f>
        <v>320</v>
      </c>
      <c r="CJ44" s="1502">
        <v>1</v>
      </c>
      <c r="CK44" s="509">
        <f t="shared" ref="CK44:CK107" si="122">W44+AM44+BG44</f>
        <v>579.55999999999995</v>
      </c>
      <c r="CL44" s="1689">
        <f t="shared" ref="CL44:CL107" si="123">ROUND(IF(CK44&gt;600,CK44*48%,CK44),2)</f>
        <v>579.55999999999995</v>
      </c>
      <c r="CM44" s="1689">
        <f t="shared" ref="CM44:CM107" si="124">+CK44-CL44</f>
        <v>0</v>
      </c>
      <c r="CN44" s="510">
        <f t="shared" ref="CN44:CN107" si="125">BF44+BB44</f>
        <v>0</v>
      </c>
      <c r="CO44" s="511">
        <v>0</v>
      </c>
      <c r="CP44" s="510">
        <f t="shared" ref="CP44:CP107" si="126">AW44</f>
        <v>0</v>
      </c>
      <c r="CQ44" s="510">
        <f t="shared" ref="CQ44:CQ107" si="127">AX44</f>
        <v>0</v>
      </c>
      <c r="CR44" s="510">
        <f t="shared" ref="CR44:CR107" si="128">SUM(CK44:CQ44)</f>
        <v>1159.1199999999999</v>
      </c>
      <c r="CS44" s="510">
        <f t="shared" ref="CS44:CS107" si="129">BQ44+BV44</f>
        <v>108.41999999999999</v>
      </c>
      <c r="CT44" s="510">
        <f t="shared" ref="CT44:CT107" si="130">CA44</f>
        <v>6255</v>
      </c>
      <c r="CU44" s="512"/>
      <c r="CV44" s="512"/>
      <c r="CW44" s="512"/>
      <c r="CX44" s="512"/>
      <c r="CY44" s="378" t="s">
        <v>6819</v>
      </c>
      <c r="CZ44" s="378" t="s">
        <v>7038</v>
      </c>
      <c r="DA44" s="1152"/>
      <c r="DB44" s="1642" t="s">
        <v>6305</v>
      </c>
      <c r="DC44" s="1642"/>
      <c r="DD44" s="1642" t="s">
        <v>6214</v>
      </c>
      <c r="DE44" s="1642" t="s">
        <v>6196</v>
      </c>
      <c r="DF44" s="1642" t="s">
        <v>6212</v>
      </c>
      <c r="DG44" s="1642" t="s">
        <v>7507</v>
      </c>
      <c r="DH44" s="512"/>
      <c r="DI44" s="512"/>
      <c r="DJ44" s="512"/>
      <c r="DK44" s="512"/>
      <c r="DL44" s="512"/>
      <c r="DN44" s="476" t="str">
        <f>VLOOKUP(X44,Hoja1!$A$4:$B$10,2,0)</f>
        <v>PROFESIONAL</v>
      </c>
      <c r="DO44" s="476" t="str">
        <f>VLOOKUP(S44,Hoja1!$D$4:$F$77,3,0)</f>
        <v>PII - II</v>
      </c>
      <c r="DP44" s="1594" t="str">
        <f t="shared" ref="DP44:DP107" si="131">IF(AV44="NOCTURN","SI","0")</f>
        <v>0</v>
      </c>
      <c r="DQ44" s="1484">
        <f>IF(T44&lt;&gt;"0",(ROUND(IF(A44="EMPLEADO",eval_formula('CONCEPTOS Y PARAMETROS'!$C$8,NOMINA!V44,AU44+BF44,NOMINA!I44+NOMINA!J44),eval_formula('CONCEPTOS Y PARAMETROS'!$D$8,NOMINA!V44,AU44+BF44,NOMINA!I44+NOMINA!J44)),2))*IF(H44&lt;&gt;"",IF(MONTH(H44)=$BR$8,IF(YEAR(H44)&lt;$BT$7,1,0),0)))</f>
        <v>0</v>
      </c>
      <c r="DR44" s="1799" t="str">
        <f t="shared" ref="DR44:DR107" si="132">+G44</f>
        <v>M</v>
      </c>
      <c r="DS44" s="1799"/>
    </row>
    <row r="45" spans="1:123" s="471" customFormat="1" ht="21.95" customHeight="1" x14ac:dyDescent="0.25">
      <c r="A45" s="508" t="s">
        <v>2846</v>
      </c>
      <c r="B45" s="1314">
        <f t="shared" ref="B45:B136" ca="1" si="133">OFFSET(B45,-1,0)+1</f>
        <v>2</v>
      </c>
      <c r="C45" s="1148">
        <v>4657974</v>
      </c>
      <c r="D45" s="1149" t="s">
        <v>4690</v>
      </c>
      <c r="E45" s="1135" t="s">
        <v>4622</v>
      </c>
      <c r="F45" s="1150">
        <v>19914</v>
      </c>
      <c r="G45" s="1135" t="s">
        <v>4621</v>
      </c>
      <c r="H45" s="1150">
        <v>39463</v>
      </c>
      <c r="I45" s="1140">
        <f t="shared" si="90"/>
        <v>17</v>
      </c>
      <c r="J45" s="1132">
        <v>0</v>
      </c>
      <c r="K45" s="1140">
        <f t="shared" si="91"/>
        <v>17</v>
      </c>
      <c r="L45" s="1145" t="s">
        <v>5532</v>
      </c>
      <c r="M45" s="1132"/>
      <c r="N45" s="1132"/>
      <c r="O45" s="1002" t="s">
        <v>5213</v>
      </c>
      <c r="P45" s="1132" t="s">
        <v>5271</v>
      </c>
      <c r="Q45" s="1315" t="str">
        <f>IFERROR(VLOOKUP(O45,CARGOS!A:E,2,0),"")</f>
        <v>37921</v>
      </c>
      <c r="R45" s="1327" t="s">
        <v>5213</v>
      </c>
      <c r="S45" s="1146" t="s">
        <v>5457</v>
      </c>
      <c r="T45" s="1107">
        <f>IFERROR(VLOOKUP(S45,'TAB EMP'!A:B,2,0),0)</f>
        <v>176</v>
      </c>
      <c r="U45" s="1108">
        <v>0</v>
      </c>
      <c r="V45" s="1107">
        <f t="shared" si="92"/>
        <v>176</v>
      </c>
      <c r="W45" s="1108">
        <f t="shared" si="93"/>
        <v>88</v>
      </c>
      <c r="X45" s="1135" t="s">
        <v>2884</v>
      </c>
      <c r="Y45" s="1135"/>
      <c r="Z45" s="1135">
        <v>0</v>
      </c>
      <c r="AA45" s="1107">
        <f>ROUND(IF(H45&lt;&gt;"",VLOOKUP(SUM(I45+J45),'CONCEPTOS Y PARAMETROS'!F:G,2,0)*V45,0),2)</f>
        <v>37.31</v>
      </c>
      <c r="AB45" s="1107">
        <f>IF(S45&lt;&gt;"",IF(M45="",'CONCEPTOS Y PARAMETROS'!$C$4,0),0)</f>
        <v>130</v>
      </c>
      <c r="AC45" s="1107">
        <f>IF(S45&lt;&gt;"",IF(M45="",'CONCEPTOS Y PARAMETROS'!$C$7*Z45,0),0)</f>
        <v>0</v>
      </c>
      <c r="AD45" s="1107">
        <f>IFERROR(ROUND(VLOOKUP($X45,'CONCEPTOS Y PARAMETROS'!H:I,2,0)*($V45+AA45+AB45+AC45),2),0)</f>
        <v>0</v>
      </c>
      <c r="AE45" s="1107">
        <f t="shared" si="94"/>
        <v>167.31</v>
      </c>
      <c r="AF45" s="1107">
        <f t="shared" si="95"/>
        <v>18.66</v>
      </c>
      <c r="AG45" s="1107">
        <f t="shared" si="96"/>
        <v>18.649999999999999</v>
      </c>
      <c r="AH45" s="1107">
        <f t="shared" si="97"/>
        <v>65</v>
      </c>
      <c r="AI45" s="1107">
        <f t="shared" si="98"/>
        <v>65</v>
      </c>
      <c r="AJ45" s="1107">
        <f t="shared" si="99"/>
        <v>0</v>
      </c>
      <c r="AK45" s="1107">
        <f t="shared" si="100"/>
        <v>0</v>
      </c>
      <c r="AL45" s="1108">
        <f t="shared" si="101"/>
        <v>83.66</v>
      </c>
      <c r="AM45" s="1108">
        <f t="shared" si="102"/>
        <v>83.65</v>
      </c>
      <c r="AN45" s="990">
        <v>0</v>
      </c>
      <c r="AO45" s="1147">
        <f>'CONCEPTOS Y PARAMETROS'!$C$18*AN45</f>
        <v>0</v>
      </c>
      <c r="AP45" s="990">
        <v>0</v>
      </c>
      <c r="AQ45" s="1147">
        <f>'CONCEPTOS Y PARAMETROS'!$C$21*AP45</f>
        <v>0</v>
      </c>
      <c r="AR45" s="1318">
        <v>0</v>
      </c>
      <c r="AS45" s="1318">
        <v>0</v>
      </c>
      <c r="AT45" s="1318">
        <f t="shared" si="103"/>
        <v>0</v>
      </c>
      <c r="AU45" s="1108">
        <f t="shared" si="104"/>
        <v>343.31</v>
      </c>
      <c r="AV45" s="1133">
        <v>0</v>
      </c>
      <c r="AW45" s="1108">
        <f t="shared" si="105"/>
        <v>0</v>
      </c>
      <c r="AX45" s="1107">
        <f>IF(T45&lt;&gt;"0",(ROUND(IF(A45="EMPLEADO",eval_formula('CONCEPTOS Y PARAMETROS'!$C$8,NOMINA!V45,NOMINA!$AU45,NOMINA!I45+NOMINA!J45),eval_formula('CONCEPTOS Y PARAMETROS'!$D$8,NOMINA!V45,NOMINA!$AU45,NOMINA!I45+NOMINA!J45)),2))*IF(H45&lt;&gt;"",IF(MONTH(H45)=$BR$8,IF(YEAR(H45)&lt;$BT$7,1,0),0)))</f>
        <v>0</v>
      </c>
      <c r="AY45" s="1108">
        <v>180</v>
      </c>
      <c r="AZ45" s="1107">
        <f>IFERROR(VLOOKUP(AY45,'CONCEPTOS Y PARAMETROS'!Y:Z,2,0),0)</f>
        <v>150</v>
      </c>
      <c r="BA45" s="1107">
        <f t="shared" si="106"/>
        <v>2574.83</v>
      </c>
      <c r="BB45" s="1107">
        <f>ROUND(AU45/30*$BB$10,2)</f>
        <v>0</v>
      </c>
      <c r="BC45" s="990">
        <v>0</v>
      </c>
      <c r="BD45" s="1107" t="str">
        <f t="shared" si="107"/>
        <v>0</v>
      </c>
      <c r="BE45" s="990">
        <v>0</v>
      </c>
      <c r="BF45" s="1107">
        <f t="shared" si="108"/>
        <v>0</v>
      </c>
      <c r="BG45" s="1108">
        <v>320</v>
      </c>
      <c r="BH45" s="1108">
        <v>0</v>
      </c>
      <c r="BI45" s="1132">
        <v>0</v>
      </c>
      <c r="BJ45" s="798">
        <v>12.5</v>
      </c>
      <c r="BK45" s="1108">
        <v>0</v>
      </c>
      <c r="BL45" s="1107">
        <f>ROUND(IF(M45="", (((AU45*12)/52)*4%)*$BS$8,0),2)</f>
        <v>15.85</v>
      </c>
      <c r="BM45" s="1107">
        <f>ROUND(IF(M45="",(((AU45*12)/52)*0.5%)*$BS$8,0),2)</f>
        <v>1.98</v>
      </c>
      <c r="BN45" s="1107">
        <f t="shared" si="109"/>
        <v>3.43</v>
      </c>
      <c r="BO45" s="1107">
        <v>0</v>
      </c>
      <c r="BP45" s="1107">
        <v>0</v>
      </c>
      <c r="BQ45" s="1320">
        <f t="shared" si="110"/>
        <v>21.26</v>
      </c>
      <c r="BR45" s="1107">
        <f>ROUND(IF(M45="", (((AU45*12)/52)*9%)*$BS$8,0),2)</f>
        <v>35.65</v>
      </c>
      <c r="BS45" s="1107">
        <f>ROUND(IF(M45="",(((AU45*12)/52)*2%)*$BS$8,0),2)</f>
        <v>7.92</v>
      </c>
      <c r="BT45" s="1107">
        <f t="shared" si="111"/>
        <v>6.86</v>
      </c>
      <c r="BU45" s="1107">
        <v>0</v>
      </c>
      <c r="BV45" s="1108">
        <f t="shared" si="112"/>
        <v>50.43</v>
      </c>
      <c r="BW45" s="1112">
        <f t="shared" si="113"/>
        <v>71.69</v>
      </c>
      <c r="BX45" s="1112">
        <f t="shared" si="114"/>
        <v>643.71</v>
      </c>
      <c r="BY45" s="1108">
        <v>0</v>
      </c>
      <c r="BZ45" s="1108">
        <f t="shared" si="115"/>
        <v>643.71</v>
      </c>
      <c r="CA45" s="1321">
        <f>'CONCEPTOS Y PARAMETROS'!$A$102</f>
        <v>6255</v>
      </c>
      <c r="CB45" s="1112">
        <f t="shared" si="116"/>
        <v>150.4</v>
      </c>
      <c r="CC45" s="1113">
        <f t="shared" si="117"/>
        <v>504.15</v>
      </c>
      <c r="CD45" s="512"/>
      <c r="CE45" s="512"/>
      <c r="CF45" s="470">
        <f t="shared" si="118"/>
        <v>811.65</v>
      </c>
      <c r="CG45" s="495">
        <f t="shared" si="119"/>
        <v>150.4</v>
      </c>
      <c r="CH45" s="498">
        <f t="shared" si="120"/>
        <v>12.5</v>
      </c>
      <c r="CI45" s="1490">
        <f t="shared" si="121"/>
        <v>320</v>
      </c>
      <c r="CJ45" s="1500">
        <v>1</v>
      </c>
      <c r="CK45" s="495">
        <f t="shared" si="122"/>
        <v>491.65</v>
      </c>
      <c r="CL45" s="1689">
        <f t="shared" si="123"/>
        <v>491.65</v>
      </c>
      <c r="CM45" s="1689">
        <f t="shared" si="124"/>
        <v>0</v>
      </c>
      <c r="CN45" s="496">
        <f t="shared" si="125"/>
        <v>0</v>
      </c>
      <c r="CO45" s="497">
        <v>0</v>
      </c>
      <c r="CP45" s="496">
        <f t="shared" si="126"/>
        <v>0</v>
      </c>
      <c r="CQ45" s="496">
        <f t="shared" si="127"/>
        <v>0</v>
      </c>
      <c r="CR45" s="496">
        <f t="shared" si="128"/>
        <v>983.3</v>
      </c>
      <c r="CS45" s="496">
        <f t="shared" si="129"/>
        <v>71.69</v>
      </c>
      <c r="CT45" s="496">
        <f t="shared" si="130"/>
        <v>6255</v>
      </c>
      <c r="CU45" s="470"/>
      <c r="CV45" s="470"/>
      <c r="CW45" s="470"/>
      <c r="CX45" s="470"/>
      <c r="CY45" s="1149" t="s">
        <v>7043</v>
      </c>
      <c r="CZ45" s="1149" t="s">
        <v>7076</v>
      </c>
      <c r="DA45" s="480"/>
      <c r="DB45" s="1642" t="s">
        <v>6321</v>
      </c>
      <c r="DC45" s="1642"/>
      <c r="DD45" s="1642" t="s">
        <v>6150</v>
      </c>
      <c r="DE45" s="1642" t="s">
        <v>6322</v>
      </c>
      <c r="DF45" s="1642" t="s">
        <v>6228</v>
      </c>
      <c r="DG45" s="1152"/>
      <c r="DH45" s="470"/>
      <c r="DI45" s="470"/>
      <c r="DJ45" s="470"/>
      <c r="DK45" s="470"/>
      <c r="DL45" s="470"/>
      <c r="DN45" s="471" t="str">
        <f>VLOOKUP(X45,Hoja1!$A$4:$B$10,2,0)</f>
        <v>BACHILLER</v>
      </c>
      <c r="DO45" s="471" t="str">
        <f>VLOOKUP(S45,Hoja1!$D$4:$F$77,3,0)</f>
        <v>BIII - VI</v>
      </c>
      <c r="DP45" s="1156" t="str">
        <f t="shared" si="131"/>
        <v>0</v>
      </c>
      <c r="DQ45" s="1484">
        <f>IF(T45&lt;&gt;"0",(ROUND(IF(A45="EMPLEADO",eval_formula('CONCEPTOS Y PARAMETROS'!$C$8,NOMINA!V45,AU45+BF45,NOMINA!I45+NOMINA!J45),eval_formula('CONCEPTOS Y PARAMETROS'!$D$8,NOMINA!V45,AU45+BF45,NOMINA!I45+NOMINA!J45)),2))*IF(H45&lt;&gt;"",IF(MONTH(H45)=$BR$8,IF(YEAR(H45)&lt;$BT$7,1,0),0)))</f>
        <v>0</v>
      </c>
      <c r="DR45" s="1801" t="str">
        <f t="shared" si="132"/>
        <v>M</v>
      </c>
      <c r="DS45" s="1801"/>
    </row>
    <row r="46" spans="1:123" s="471" customFormat="1" ht="21.95" customHeight="1" x14ac:dyDescent="0.25">
      <c r="A46" s="508" t="s">
        <v>2846</v>
      </c>
      <c r="B46" s="1314">
        <f t="shared" ca="1" si="133"/>
        <v>3</v>
      </c>
      <c r="C46" s="1148">
        <v>5762861</v>
      </c>
      <c r="D46" s="1149" t="s">
        <v>4691</v>
      </c>
      <c r="E46" s="1135" t="s">
        <v>4622</v>
      </c>
      <c r="F46" s="1150">
        <v>22691</v>
      </c>
      <c r="G46" s="1135" t="s">
        <v>4620</v>
      </c>
      <c r="H46" s="1150">
        <v>37851</v>
      </c>
      <c r="I46" s="1140">
        <f t="shared" si="90"/>
        <v>22</v>
      </c>
      <c r="J46" s="1132">
        <v>4</v>
      </c>
      <c r="K46" s="1140">
        <f t="shared" si="91"/>
        <v>26</v>
      </c>
      <c r="L46" s="1145" t="s">
        <v>5533</v>
      </c>
      <c r="M46" s="1132"/>
      <c r="N46" s="1653" t="s">
        <v>7554</v>
      </c>
      <c r="O46" s="1002" t="s">
        <v>5214</v>
      </c>
      <c r="P46" s="1132" t="s">
        <v>5272</v>
      </c>
      <c r="Q46" s="1315" t="str">
        <f>IFERROR(VLOOKUP(O46,CARGOS!A:E,2,0),"")</f>
        <v>79532</v>
      </c>
      <c r="R46" s="1327" t="s">
        <v>5214</v>
      </c>
      <c r="S46" s="1146" t="s">
        <v>5458</v>
      </c>
      <c r="T46" s="1107">
        <f>IFERROR(VLOOKUP(S46,'TAB EMP'!A:B,2,0),0)</f>
        <v>287</v>
      </c>
      <c r="U46" s="1108">
        <v>0</v>
      </c>
      <c r="V46" s="1107">
        <f t="shared" si="92"/>
        <v>287</v>
      </c>
      <c r="W46" s="1108">
        <f t="shared" si="93"/>
        <v>143.5</v>
      </c>
      <c r="X46" s="1135" t="s">
        <v>2885</v>
      </c>
      <c r="Y46" s="1135"/>
      <c r="Z46" s="1135">
        <v>0</v>
      </c>
      <c r="AA46" s="1107">
        <f>ROUND(IF(H46&lt;&gt;"",VLOOKUP(SUM(I46+J46),'CONCEPTOS Y PARAMETROS'!F:G,2,0)*V46,0),2)</f>
        <v>86.1</v>
      </c>
      <c r="AB46" s="1107">
        <f>IF(S46&lt;&gt;"",IF(M46="",'CONCEPTOS Y PARAMETROS'!$C$4,0),0)</f>
        <v>130</v>
      </c>
      <c r="AC46" s="1107">
        <f>IF(S46&lt;&gt;"",IF(M46="",'CONCEPTOS Y PARAMETROS'!$C$7*Z46,0),0)</f>
        <v>0</v>
      </c>
      <c r="AD46" s="1107">
        <f>IFERROR(ROUND(VLOOKUP($X46,'CONCEPTOS Y PARAMETROS'!H:I,2,0)*($V46+AA46+AB46+AC46),2),0)</f>
        <v>125.78</v>
      </c>
      <c r="AE46" s="1107">
        <f t="shared" si="94"/>
        <v>341.88</v>
      </c>
      <c r="AF46" s="1107">
        <f t="shared" si="95"/>
        <v>43.05</v>
      </c>
      <c r="AG46" s="1107">
        <f t="shared" si="96"/>
        <v>43.05</v>
      </c>
      <c r="AH46" s="1107">
        <f t="shared" si="97"/>
        <v>65</v>
      </c>
      <c r="AI46" s="1107">
        <f t="shared" si="98"/>
        <v>65</v>
      </c>
      <c r="AJ46" s="1107">
        <f t="shared" si="99"/>
        <v>62.89</v>
      </c>
      <c r="AK46" s="1107">
        <f t="shared" si="100"/>
        <v>62.89</v>
      </c>
      <c r="AL46" s="1108">
        <f t="shared" si="101"/>
        <v>170.94</v>
      </c>
      <c r="AM46" s="1108">
        <f t="shared" si="102"/>
        <v>170.94</v>
      </c>
      <c r="AN46" s="990">
        <v>0</v>
      </c>
      <c r="AO46" s="1147">
        <f>'CONCEPTOS Y PARAMETROS'!$C$18*AN46</f>
        <v>0</v>
      </c>
      <c r="AP46" s="990">
        <v>0</v>
      </c>
      <c r="AQ46" s="1147">
        <f>'CONCEPTOS Y PARAMETROS'!$C$21*AP46</f>
        <v>0</v>
      </c>
      <c r="AR46" s="1318">
        <v>0</v>
      </c>
      <c r="AS46" s="1318">
        <v>0</v>
      </c>
      <c r="AT46" s="1318">
        <f t="shared" si="103"/>
        <v>0</v>
      </c>
      <c r="AU46" s="1108">
        <f t="shared" si="104"/>
        <v>628.88</v>
      </c>
      <c r="AV46" s="1133">
        <v>0</v>
      </c>
      <c r="AW46" s="1108">
        <f t="shared" si="105"/>
        <v>0</v>
      </c>
      <c r="AX46" s="1107">
        <f>IF(T46&lt;&gt;"0",(ROUND(IF(A46="EMPLEADO",eval_formula('CONCEPTOS Y PARAMETROS'!$C$8,NOMINA!V46,NOMINA!$AU46,NOMINA!I46+NOMINA!J46),eval_formula('CONCEPTOS Y PARAMETROS'!$D$8,NOMINA!V46,NOMINA!$AU46,NOMINA!I46+NOMINA!J46)),2))*IF(H46&lt;&gt;"",IF(MONTH(H46)=$BR$8,IF(YEAR(H46)&lt;$BT$7,1,0),0)))</f>
        <v>0</v>
      </c>
      <c r="AY46" s="1108">
        <v>180</v>
      </c>
      <c r="AZ46" s="1107">
        <f>IFERROR(VLOOKUP(AY46,'CONCEPTOS Y PARAMETROS'!Y:Z,2,0),0)</f>
        <v>150</v>
      </c>
      <c r="BA46" s="1107">
        <f t="shared" si="106"/>
        <v>4716.6000000000004</v>
      </c>
      <c r="BB46" s="1107">
        <f t="shared" ref="BB46:BB110" si="134">ROUND(AU46/30*$BB$10,2)</f>
        <v>0</v>
      </c>
      <c r="BC46" s="990">
        <v>0</v>
      </c>
      <c r="BD46" s="1107" t="str">
        <f t="shared" si="107"/>
        <v>0</v>
      </c>
      <c r="BE46" s="990">
        <v>0</v>
      </c>
      <c r="BF46" s="1107">
        <f t="shared" si="108"/>
        <v>0</v>
      </c>
      <c r="BG46" s="1108">
        <v>320</v>
      </c>
      <c r="BH46" s="1108">
        <v>0</v>
      </c>
      <c r="BI46" s="1132">
        <v>0</v>
      </c>
      <c r="BJ46" s="798">
        <v>12.5</v>
      </c>
      <c r="BK46" s="1108">
        <v>0</v>
      </c>
      <c r="BL46" s="1107">
        <v>0</v>
      </c>
      <c r="BM46" s="1107">
        <v>0</v>
      </c>
      <c r="BN46" s="1107">
        <f t="shared" si="109"/>
        <v>6.29</v>
      </c>
      <c r="BO46" s="1107">
        <v>0</v>
      </c>
      <c r="BP46" s="1107">
        <v>0</v>
      </c>
      <c r="BQ46" s="1320">
        <f t="shared" si="110"/>
        <v>6.29</v>
      </c>
      <c r="BR46" s="1107">
        <v>0</v>
      </c>
      <c r="BS46" s="1107">
        <v>0</v>
      </c>
      <c r="BT46" s="1107">
        <f t="shared" si="111"/>
        <v>12.58</v>
      </c>
      <c r="BU46" s="1107">
        <v>0</v>
      </c>
      <c r="BV46" s="1108">
        <f t="shared" si="112"/>
        <v>12.58</v>
      </c>
      <c r="BW46" s="1112">
        <f t="shared" si="113"/>
        <v>18.87</v>
      </c>
      <c r="BX46" s="1112">
        <f t="shared" si="114"/>
        <v>1179.1500000000001</v>
      </c>
      <c r="BY46" s="1108">
        <v>0</v>
      </c>
      <c r="BZ46" s="1108">
        <f t="shared" si="115"/>
        <v>1179.1500000000001</v>
      </c>
      <c r="CA46" s="1321">
        <f>'CONCEPTOS Y PARAMETROS'!$A$102</f>
        <v>6255</v>
      </c>
      <c r="CB46" s="1112">
        <f t="shared" si="116"/>
        <v>308.14999999999998</v>
      </c>
      <c r="CC46" s="1113">
        <f t="shared" si="117"/>
        <v>646.94000000000005</v>
      </c>
      <c r="CD46" s="512"/>
      <c r="CE46" s="512"/>
      <c r="CF46" s="470">
        <f t="shared" si="118"/>
        <v>954.44</v>
      </c>
      <c r="CG46" s="495">
        <f t="shared" si="119"/>
        <v>308.14999999999998</v>
      </c>
      <c r="CH46" s="498">
        <f t="shared" si="120"/>
        <v>12.5</v>
      </c>
      <c r="CI46" s="1490">
        <f t="shared" si="121"/>
        <v>320</v>
      </c>
      <c r="CJ46" s="1500">
        <v>2</v>
      </c>
      <c r="CK46" s="495">
        <f t="shared" si="122"/>
        <v>634.44000000000005</v>
      </c>
      <c r="CL46" s="1689">
        <f t="shared" si="123"/>
        <v>304.52999999999997</v>
      </c>
      <c r="CM46" s="1689">
        <f t="shared" si="124"/>
        <v>329.91000000000008</v>
      </c>
      <c r="CN46" s="496">
        <f t="shared" si="125"/>
        <v>0</v>
      </c>
      <c r="CO46" s="497">
        <v>0</v>
      </c>
      <c r="CP46" s="496">
        <f t="shared" si="126"/>
        <v>0</v>
      </c>
      <c r="CQ46" s="496">
        <f t="shared" si="127"/>
        <v>0</v>
      </c>
      <c r="CR46" s="496">
        <f t="shared" si="128"/>
        <v>1268.8800000000001</v>
      </c>
      <c r="CS46" s="496">
        <f t="shared" si="129"/>
        <v>18.87</v>
      </c>
      <c r="CT46" s="496">
        <f t="shared" si="130"/>
        <v>6255</v>
      </c>
      <c r="CU46" s="470"/>
      <c r="CV46" s="470"/>
      <c r="CW46" s="470"/>
      <c r="CX46" s="470"/>
      <c r="CY46" s="1149" t="s">
        <v>6820</v>
      </c>
      <c r="CZ46" s="1149" t="s">
        <v>7077</v>
      </c>
      <c r="DA46" s="480"/>
      <c r="DB46" s="1152" t="s">
        <v>6399</v>
      </c>
      <c r="DC46" s="1152" t="s">
        <v>7545</v>
      </c>
      <c r="DD46" s="1152" t="s">
        <v>6199</v>
      </c>
      <c r="DE46" s="1152" t="s">
        <v>6195</v>
      </c>
      <c r="DF46" s="1152" t="s">
        <v>6210</v>
      </c>
      <c r="DG46" s="1152"/>
      <c r="DH46" s="470"/>
      <c r="DI46" s="470"/>
      <c r="DJ46" s="470"/>
      <c r="DK46" s="470"/>
      <c r="DL46" s="470"/>
      <c r="DN46" s="471" t="str">
        <f>VLOOKUP(X46,Hoja1!$A$4:$B$10,2,0)</f>
        <v>PROFESIONAL</v>
      </c>
      <c r="DO46" s="471" t="str">
        <f>VLOOKUP(S46,Hoja1!$D$4:$F$77,3,0)</f>
        <v>PII - VII</v>
      </c>
      <c r="DP46" s="1156" t="str">
        <f t="shared" si="131"/>
        <v>0</v>
      </c>
      <c r="DQ46" s="1484">
        <f>IF(T46&lt;&gt;"0",(ROUND(IF(A46="EMPLEADO",eval_formula('CONCEPTOS Y PARAMETROS'!$C$8,NOMINA!V46,AU46+BF46,NOMINA!I46+NOMINA!J46),eval_formula('CONCEPTOS Y PARAMETROS'!$D$8,NOMINA!V46,AU46+BF46,NOMINA!I46+NOMINA!J46)),2))*IF(H46&lt;&gt;"",IF(MONTH(H46)=$BR$8,IF(YEAR(H46)&lt;$BT$7,1,0),0)))</f>
        <v>0</v>
      </c>
      <c r="DR46" s="1801" t="str">
        <f t="shared" si="132"/>
        <v>F</v>
      </c>
      <c r="DS46" s="1801"/>
    </row>
    <row r="47" spans="1:123" s="471" customFormat="1" ht="21.95" customHeight="1" x14ac:dyDescent="0.25">
      <c r="A47" s="508" t="s">
        <v>2846</v>
      </c>
      <c r="B47" s="1314">
        <f t="shared" ca="1" si="133"/>
        <v>4</v>
      </c>
      <c r="C47" s="1148">
        <v>5782060</v>
      </c>
      <c r="D47" s="1149" t="s">
        <v>4692</v>
      </c>
      <c r="E47" s="1135" t="s">
        <v>4622</v>
      </c>
      <c r="F47" s="1150">
        <v>23100</v>
      </c>
      <c r="G47" s="1135" t="s">
        <v>4621</v>
      </c>
      <c r="H47" s="1150">
        <v>39539</v>
      </c>
      <c r="I47" s="1140">
        <f t="shared" si="90"/>
        <v>17</v>
      </c>
      <c r="J47" s="1132">
        <v>0</v>
      </c>
      <c r="K47" s="1140">
        <f t="shared" si="91"/>
        <v>17</v>
      </c>
      <c r="L47" s="1145" t="s">
        <v>5529</v>
      </c>
      <c r="M47" s="1132"/>
      <c r="N47" s="1352" t="s">
        <v>7560</v>
      </c>
      <c r="O47" s="1002" t="s">
        <v>5215</v>
      </c>
      <c r="P47" s="1132" t="s">
        <v>5273</v>
      </c>
      <c r="Q47" s="1315" t="str">
        <f>IFERROR(VLOOKUP(O47,CARGOS!A:E,2,0),"")</f>
        <v>12113</v>
      </c>
      <c r="R47" s="1327" t="s">
        <v>5215</v>
      </c>
      <c r="S47" s="1146" t="s">
        <v>5461</v>
      </c>
      <c r="T47" s="1107">
        <f>IFERROR(VLOOKUP(S47,'TAB EMP'!A:B,2,0),0)</f>
        <v>226</v>
      </c>
      <c r="U47" s="1108">
        <v>0</v>
      </c>
      <c r="V47" s="1107">
        <f t="shared" si="92"/>
        <v>226</v>
      </c>
      <c r="W47" s="1108">
        <f t="shared" si="93"/>
        <v>113</v>
      </c>
      <c r="X47" s="1135" t="s">
        <v>2844</v>
      </c>
      <c r="Y47" s="1135"/>
      <c r="Z47" s="1135">
        <v>0</v>
      </c>
      <c r="AA47" s="1107">
        <f>ROUND(IF(H47&lt;&gt;"",VLOOKUP(SUM(I47+J47),'CONCEPTOS Y PARAMETROS'!F:G,2,0)*V47,0),2)</f>
        <v>47.91</v>
      </c>
      <c r="AB47" s="1107">
        <f>IF(S47&lt;&gt;"",IF(M47="",'CONCEPTOS Y PARAMETROS'!$C$4,0),0)</f>
        <v>130</v>
      </c>
      <c r="AC47" s="1107">
        <f>IF(S47&lt;&gt;"",IF(M47="",'CONCEPTOS Y PARAMETROS'!$C$7*Z47,0),0)</f>
        <v>0</v>
      </c>
      <c r="AD47" s="1107">
        <f>IFERROR(ROUND(VLOOKUP($X47,'CONCEPTOS Y PARAMETROS'!H:I,2,0)*($V47+AA47+AB47+AC47),2),0)</f>
        <v>80.78</v>
      </c>
      <c r="AE47" s="1107">
        <f t="shared" si="94"/>
        <v>258.69</v>
      </c>
      <c r="AF47" s="1107">
        <f t="shared" si="95"/>
        <v>23.96</v>
      </c>
      <c r="AG47" s="1107">
        <f t="shared" si="96"/>
        <v>23.95</v>
      </c>
      <c r="AH47" s="1107">
        <f t="shared" si="97"/>
        <v>65</v>
      </c>
      <c r="AI47" s="1107">
        <f t="shared" si="98"/>
        <v>65</v>
      </c>
      <c r="AJ47" s="1107">
        <f t="shared" si="99"/>
        <v>40.39</v>
      </c>
      <c r="AK47" s="1107">
        <f t="shared" si="100"/>
        <v>40.39</v>
      </c>
      <c r="AL47" s="1108">
        <f t="shared" si="101"/>
        <v>129.35</v>
      </c>
      <c r="AM47" s="1108">
        <f t="shared" si="102"/>
        <v>129.34</v>
      </c>
      <c r="AN47" s="990">
        <v>0</v>
      </c>
      <c r="AO47" s="1147">
        <f>'CONCEPTOS Y PARAMETROS'!$C$18*AN47</f>
        <v>0</v>
      </c>
      <c r="AP47" s="990">
        <v>0</v>
      </c>
      <c r="AQ47" s="1147">
        <f>'CONCEPTOS Y PARAMETROS'!$C$21*AP47</f>
        <v>0</v>
      </c>
      <c r="AR47" s="1318">
        <v>0</v>
      </c>
      <c r="AS47" s="1318">
        <v>0</v>
      </c>
      <c r="AT47" s="1318">
        <f t="shared" si="103"/>
        <v>0</v>
      </c>
      <c r="AU47" s="1108">
        <f t="shared" si="104"/>
        <v>484.69</v>
      </c>
      <c r="AV47" s="1133">
        <v>0</v>
      </c>
      <c r="AW47" s="1108">
        <f t="shared" si="105"/>
        <v>0</v>
      </c>
      <c r="AX47" s="1107">
        <f>IF(T47&lt;&gt;"0",(ROUND(IF(A47="EMPLEADO",eval_formula('CONCEPTOS Y PARAMETROS'!$C$8,NOMINA!V47,NOMINA!$AU47,NOMINA!I47+NOMINA!J47),eval_formula('CONCEPTOS Y PARAMETROS'!$D$8,NOMINA!V47,NOMINA!$AU47,NOMINA!I47+NOMINA!J47)),2))*IF(H47&lt;&gt;"",IF(MONTH(H47)=$BR$8,IF(YEAR(H47)&lt;$BT$7,1,0),0)))</f>
        <v>0</v>
      </c>
      <c r="AY47" s="1108">
        <v>180</v>
      </c>
      <c r="AZ47" s="1107">
        <f>IFERROR(VLOOKUP(AY47,'CONCEPTOS Y PARAMETROS'!Y:Z,2,0),0)</f>
        <v>150</v>
      </c>
      <c r="BA47" s="1107">
        <f t="shared" si="106"/>
        <v>3635.18</v>
      </c>
      <c r="BB47" s="1107">
        <f t="shared" si="134"/>
        <v>0</v>
      </c>
      <c r="BC47" s="990">
        <v>0</v>
      </c>
      <c r="BD47" s="1107" t="str">
        <f t="shared" si="107"/>
        <v>0</v>
      </c>
      <c r="BE47" s="990">
        <v>0</v>
      </c>
      <c r="BF47" s="1107">
        <f t="shared" si="108"/>
        <v>0</v>
      </c>
      <c r="BG47" s="1108">
        <v>320</v>
      </c>
      <c r="BH47" s="1108">
        <v>0</v>
      </c>
      <c r="BI47" s="1132">
        <v>0</v>
      </c>
      <c r="BJ47" s="798">
        <v>12.5</v>
      </c>
      <c r="BK47" s="1108">
        <v>0</v>
      </c>
      <c r="BL47" s="1107">
        <f t="shared" ref="BL47:BL55" si="135">ROUND(IF(M47="", (((AU47*12)/52)*4%)*$BS$8,0),2)</f>
        <v>22.37</v>
      </c>
      <c r="BM47" s="1107">
        <f t="shared" ref="BM47:BM55" si="136">ROUND(IF(M47="",(((AU47*12)/52)*0.5%)*$BS$8,0),2)</f>
        <v>2.8</v>
      </c>
      <c r="BN47" s="1107">
        <f t="shared" si="109"/>
        <v>4.8499999999999996</v>
      </c>
      <c r="BO47" s="1107">
        <v>0</v>
      </c>
      <c r="BP47" s="1107">
        <v>0</v>
      </c>
      <c r="BQ47" s="1320">
        <f t="shared" si="110"/>
        <v>30.02</v>
      </c>
      <c r="BR47" s="1107">
        <f t="shared" ref="BR47:BR55" si="137">ROUND(IF(M47="", (((AU47*12)/52)*9%)*$BS$8,0),2)</f>
        <v>50.33</v>
      </c>
      <c r="BS47" s="1107">
        <f t="shared" ref="BS47:BS55" si="138">ROUND(IF(M47="",(((AU47*12)/52)*2%)*$BS$8,0),2)</f>
        <v>11.19</v>
      </c>
      <c r="BT47" s="1107">
        <f t="shared" si="111"/>
        <v>9.6999999999999993</v>
      </c>
      <c r="BU47" s="1107">
        <v>0</v>
      </c>
      <c r="BV47" s="1108">
        <f t="shared" si="112"/>
        <v>71.22</v>
      </c>
      <c r="BW47" s="1112">
        <f t="shared" si="113"/>
        <v>101.24</v>
      </c>
      <c r="BX47" s="1112">
        <f t="shared" si="114"/>
        <v>908.8</v>
      </c>
      <c r="BY47" s="1108">
        <v>0</v>
      </c>
      <c r="BZ47" s="1108">
        <f t="shared" si="115"/>
        <v>908.8</v>
      </c>
      <c r="CA47" s="1321">
        <f>'CONCEPTOS Y PARAMETROS'!$A$102</f>
        <v>6255</v>
      </c>
      <c r="CB47" s="1112">
        <f t="shared" si="116"/>
        <v>212.32999999999998</v>
      </c>
      <c r="CC47" s="1113">
        <f t="shared" si="117"/>
        <v>574.84</v>
      </c>
      <c r="CD47" s="512"/>
      <c r="CE47" s="512"/>
      <c r="CF47" s="470">
        <f t="shared" si="118"/>
        <v>882.34</v>
      </c>
      <c r="CG47" s="495">
        <f t="shared" si="119"/>
        <v>212.32999999999998</v>
      </c>
      <c r="CH47" s="498">
        <f t="shared" si="120"/>
        <v>12.5</v>
      </c>
      <c r="CI47" s="1490">
        <f t="shared" si="121"/>
        <v>320</v>
      </c>
      <c r="CJ47" s="1500">
        <v>1</v>
      </c>
      <c r="CK47" s="495">
        <f t="shared" si="122"/>
        <v>562.34</v>
      </c>
      <c r="CL47" s="1689">
        <f t="shared" si="123"/>
        <v>562.34</v>
      </c>
      <c r="CM47" s="1689">
        <f t="shared" si="124"/>
        <v>0</v>
      </c>
      <c r="CN47" s="496">
        <f t="shared" si="125"/>
        <v>0</v>
      </c>
      <c r="CO47" s="497">
        <v>0</v>
      </c>
      <c r="CP47" s="496">
        <f t="shared" si="126"/>
        <v>0</v>
      </c>
      <c r="CQ47" s="496">
        <f t="shared" si="127"/>
        <v>0</v>
      </c>
      <c r="CR47" s="496">
        <f t="shared" si="128"/>
        <v>1124.68</v>
      </c>
      <c r="CS47" s="496">
        <f t="shared" si="129"/>
        <v>101.24</v>
      </c>
      <c r="CT47" s="496">
        <f t="shared" si="130"/>
        <v>6255</v>
      </c>
      <c r="CU47" s="470"/>
      <c r="CV47" s="470"/>
      <c r="CW47" s="470"/>
      <c r="CX47" s="470"/>
      <c r="CY47" s="1149" t="s">
        <v>6839</v>
      </c>
      <c r="CZ47" s="1149" t="s">
        <v>7078</v>
      </c>
      <c r="DA47" s="480"/>
      <c r="DB47" s="1152" t="s">
        <v>6564</v>
      </c>
      <c r="DC47" s="1152" t="s">
        <v>7547</v>
      </c>
      <c r="DD47" s="1152" t="s">
        <v>6123</v>
      </c>
      <c r="DE47" s="1152" t="s">
        <v>6361</v>
      </c>
      <c r="DF47" s="1152" t="s">
        <v>6362</v>
      </c>
      <c r="DG47" s="1152"/>
      <c r="DH47" s="470"/>
      <c r="DI47" s="470"/>
      <c r="DJ47" s="470"/>
      <c r="DK47" s="470"/>
      <c r="DL47" s="470"/>
      <c r="DN47" s="471" t="str">
        <f>VLOOKUP(X47,Hoja1!$A$4:$B$10,2,0)</f>
        <v>TÉCNICO SUPERIOR UNIVERSITARIO</v>
      </c>
      <c r="DO47" s="471" t="str">
        <f>VLOOKUP(S47,Hoja1!$D$4:$F$77,3,0)</f>
        <v>TII - VI</v>
      </c>
      <c r="DP47" s="1156" t="str">
        <f t="shared" si="131"/>
        <v>0</v>
      </c>
      <c r="DQ47" s="1484">
        <f>IF(T47&lt;&gt;"0",(ROUND(IF(A47="EMPLEADO",eval_formula('CONCEPTOS Y PARAMETROS'!$C$8,NOMINA!V47,AU47+BF47,NOMINA!I47+NOMINA!J47),eval_formula('CONCEPTOS Y PARAMETROS'!$D$8,NOMINA!V47,AU47+BF47,NOMINA!I47+NOMINA!J47)),2))*IF(H47&lt;&gt;"",IF(MONTH(H47)=$BR$8,IF(YEAR(H47)&lt;$BT$7,1,0),0)))</f>
        <v>0</v>
      </c>
      <c r="DR47" s="1801" t="str">
        <f t="shared" si="132"/>
        <v>M</v>
      </c>
      <c r="DS47" s="1801"/>
    </row>
    <row r="48" spans="1:123" s="471" customFormat="1" ht="21.95" customHeight="1" x14ac:dyDescent="0.25">
      <c r="A48" s="508" t="s">
        <v>2846</v>
      </c>
      <c r="B48" s="1314">
        <f t="shared" ca="1" si="133"/>
        <v>5</v>
      </c>
      <c r="C48" s="1148">
        <v>5790501</v>
      </c>
      <c r="D48" s="1149" t="s">
        <v>4694</v>
      </c>
      <c r="E48" s="1135" t="s">
        <v>4622</v>
      </c>
      <c r="F48" s="1150">
        <v>23094</v>
      </c>
      <c r="G48" s="1135" t="s">
        <v>4620</v>
      </c>
      <c r="H48" s="1150">
        <v>39707</v>
      </c>
      <c r="I48" s="1140">
        <f t="shared" si="90"/>
        <v>17</v>
      </c>
      <c r="J48" s="1132">
        <v>3</v>
      </c>
      <c r="K48" s="1140">
        <f t="shared" si="91"/>
        <v>20</v>
      </c>
      <c r="L48" s="1145" t="s">
        <v>5529</v>
      </c>
      <c r="M48" s="1132"/>
      <c r="N48" s="1132"/>
      <c r="O48" s="1002" t="s">
        <v>5216</v>
      </c>
      <c r="P48" s="1132" t="s">
        <v>5274</v>
      </c>
      <c r="Q48" s="1315" t="str">
        <f>IFERROR(VLOOKUP(O48,CARGOS!A:E,2,0),"")</f>
        <v>13313</v>
      </c>
      <c r="R48" s="1327" t="s">
        <v>5216</v>
      </c>
      <c r="S48" s="1146" t="s">
        <v>5471</v>
      </c>
      <c r="T48" s="1107">
        <f>IFERROR(VLOOKUP(S48,'TAB EMP'!A:B,2,0),0)</f>
        <v>228</v>
      </c>
      <c r="U48" s="1108">
        <v>0</v>
      </c>
      <c r="V48" s="1107">
        <f t="shared" si="92"/>
        <v>228</v>
      </c>
      <c r="W48" s="1108">
        <f t="shared" si="93"/>
        <v>114</v>
      </c>
      <c r="X48" s="1135" t="s">
        <v>2885</v>
      </c>
      <c r="Y48" s="1135"/>
      <c r="Z48" s="1135">
        <v>0</v>
      </c>
      <c r="AA48" s="1107">
        <f>ROUND(IF(H48&lt;&gt;"",VLOOKUP(SUM(I48+J48),'CONCEPTOS Y PARAMETROS'!F:G,2,0)*V48,0),2)</f>
        <v>59.28</v>
      </c>
      <c r="AB48" s="1107">
        <f>IF(S48&lt;&gt;"",IF(M48="",'CONCEPTOS Y PARAMETROS'!$C$4,0),0)</f>
        <v>130</v>
      </c>
      <c r="AC48" s="1107">
        <f>IF(S48&lt;&gt;"",IF(M48="",'CONCEPTOS Y PARAMETROS'!$C$7*Z48,0),0)</f>
        <v>0</v>
      </c>
      <c r="AD48" s="1107">
        <f>IFERROR(ROUND(VLOOKUP($X48,'CONCEPTOS Y PARAMETROS'!H:I,2,0)*($V48+AA48+AB48+AC48),2),0)</f>
        <v>104.32</v>
      </c>
      <c r="AE48" s="1107">
        <f t="shared" si="94"/>
        <v>293.60000000000002</v>
      </c>
      <c r="AF48" s="1107">
        <f t="shared" si="95"/>
        <v>29.64</v>
      </c>
      <c r="AG48" s="1107">
        <f t="shared" si="96"/>
        <v>29.64</v>
      </c>
      <c r="AH48" s="1107">
        <f t="shared" si="97"/>
        <v>65</v>
      </c>
      <c r="AI48" s="1107">
        <f t="shared" si="98"/>
        <v>65</v>
      </c>
      <c r="AJ48" s="1107">
        <f t="shared" si="99"/>
        <v>52.16</v>
      </c>
      <c r="AK48" s="1107">
        <f t="shared" si="100"/>
        <v>52.16</v>
      </c>
      <c r="AL48" s="1108">
        <f t="shared" si="101"/>
        <v>146.80000000000001</v>
      </c>
      <c r="AM48" s="1108">
        <f t="shared" si="102"/>
        <v>146.80000000000001</v>
      </c>
      <c r="AN48" s="990">
        <v>0</v>
      </c>
      <c r="AO48" s="1147">
        <f>'CONCEPTOS Y PARAMETROS'!$C$18*AN48</f>
        <v>0</v>
      </c>
      <c r="AP48" s="990">
        <v>0</v>
      </c>
      <c r="AQ48" s="1147">
        <f>'CONCEPTOS Y PARAMETROS'!$C$21*AP48</f>
        <v>0</v>
      </c>
      <c r="AR48" s="1318">
        <v>0</v>
      </c>
      <c r="AS48" s="1318">
        <v>0</v>
      </c>
      <c r="AT48" s="1318">
        <f t="shared" si="103"/>
        <v>0</v>
      </c>
      <c r="AU48" s="1108">
        <f t="shared" si="104"/>
        <v>521.6</v>
      </c>
      <c r="AV48" s="1133">
        <v>0</v>
      </c>
      <c r="AW48" s="1108">
        <f t="shared" si="105"/>
        <v>0</v>
      </c>
      <c r="AX48" s="1107">
        <f>IF(T48&lt;&gt;"0",(ROUND(IF(A48="EMPLEADO",eval_formula('CONCEPTOS Y PARAMETROS'!$C$8,NOMINA!V48,NOMINA!$AU48,NOMINA!I48+NOMINA!J48),eval_formula('CONCEPTOS Y PARAMETROS'!$D$8,NOMINA!V48,NOMINA!$AU48,NOMINA!I48+NOMINA!J48)),2))*IF(H48&lt;&gt;"",IF(MONTH(H48)=$BR$8,IF(YEAR(H48)&lt;$BT$7,1,0),0)))</f>
        <v>4172.8</v>
      </c>
      <c r="AY48" s="1108">
        <v>180</v>
      </c>
      <c r="AZ48" s="1107">
        <f>IFERROR(VLOOKUP(AY48,'CONCEPTOS Y PARAMETROS'!Y:Z,2,0),0)</f>
        <v>150</v>
      </c>
      <c r="BA48" s="1107">
        <f t="shared" si="106"/>
        <v>3912</v>
      </c>
      <c r="BB48" s="1107">
        <f t="shared" si="134"/>
        <v>0</v>
      </c>
      <c r="BC48" s="990">
        <v>0</v>
      </c>
      <c r="BD48" s="1107" t="str">
        <f t="shared" si="107"/>
        <v>0</v>
      </c>
      <c r="BE48" s="990">
        <v>0</v>
      </c>
      <c r="BF48" s="1107">
        <f t="shared" si="108"/>
        <v>0</v>
      </c>
      <c r="BG48" s="1108">
        <v>320</v>
      </c>
      <c r="BH48" s="1108">
        <v>0</v>
      </c>
      <c r="BI48" s="1132">
        <v>0</v>
      </c>
      <c r="BJ48" s="798">
        <v>12.5</v>
      </c>
      <c r="BK48" s="1108">
        <v>0</v>
      </c>
      <c r="BL48" s="1107">
        <f t="shared" si="135"/>
        <v>24.07</v>
      </c>
      <c r="BM48" s="1107">
        <f t="shared" si="136"/>
        <v>3.01</v>
      </c>
      <c r="BN48" s="1107">
        <f t="shared" si="109"/>
        <v>5.22</v>
      </c>
      <c r="BO48" s="1107">
        <v>0</v>
      </c>
      <c r="BP48" s="1107">
        <v>0</v>
      </c>
      <c r="BQ48" s="1320">
        <f t="shared" si="110"/>
        <v>32.299999999999997</v>
      </c>
      <c r="BR48" s="1107">
        <f t="shared" si="137"/>
        <v>54.17</v>
      </c>
      <c r="BS48" s="1107">
        <f t="shared" si="138"/>
        <v>12.04</v>
      </c>
      <c r="BT48" s="1107">
        <f t="shared" si="111"/>
        <v>10.44</v>
      </c>
      <c r="BU48" s="1107">
        <v>0</v>
      </c>
      <c r="BV48" s="1108">
        <f t="shared" si="112"/>
        <v>76.650000000000006</v>
      </c>
      <c r="BW48" s="1112">
        <f t="shared" si="113"/>
        <v>108.95</v>
      </c>
      <c r="BX48" s="1112">
        <f t="shared" si="114"/>
        <v>978</v>
      </c>
      <c r="BY48" s="1108">
        <v>0</v>
      </c>
      <c r="BZ48" s="1108">
        <f t="shared" si="115"/>
        <v>978</v>
      </c>
      <c r="CA48" s="1321">
        <f>'CONCEPTOS Y PARAMETROS'!$A$102</f>
        <v>6255</v>
      </c>
      <c r="CB48" s="1112">
        <f t="shared" si="116"/>
        <v>228.5</v>
      </c>
      <c r="CC48" s="1113">
        <f t="shared" si="117"/>
        <v>4766.1000000000004</v>
      </c>
      <c r="CD48" s="512"/>
      <c r="CE48" s="512"/>
      <c r="CF48" s="470">
        <f t="shared" si="118"/>
        <v>900.8</v>
      </c>
      <c r="CG48" s="495">
        <f t="shared" si="119"/>
        <v>228.5</v>
      </c>
      <c r="CH48" s="498">
        <f t="shared" si="120"/>
        <v>12.5</v>
      </c>
      <c r="CI48" s="1490">
        <f t="shared" si="121"/>
        <v>320</v>
      </c>
      <c r="CJ48" s="1500">
        <v>1</v>
      </c>
      <c r="CK48" s="495">
        <f t="shared" si="122"/>
        <v>580.79999999999995</v>
      </c>
      <c r="CL48" s="1689">
        <f t="shared" si="123"/>
        <v>580.79999999999995</v>
      </c>
      <c r="CM48" s="1689">
        <f t="shared" si="124"/>
        <v>0</v>
      </c>
      <c r="CN48" s="496">
        <f t="shared" si="125"/>
        <v>0</v>
      </c>
      <c r="CO48" s="497">
        <v>0</v>
      </c>
      <c r="CP48" s="496">
        <f t="shared" si="126"/>
        <v>0</v>
      </c>
      <c r="CQ48" s="496">
        <f t="shared" si="127"/>
        <v>4172.8</v>
      </c>
      <c r="CR48" s="496">
        <f t="shared" si="128"/>
        <v>5334.4</v>
      </c>
      <c r="CS48" s="496">
        <f t="shared" si="129"/>
        <v>108.95</v>
      </c>
      <c r="CT48" s="496">
        <f t="shared" si="130"/>
        <v>6255</v>
      </c>
      <c r="CU48" s="470"/>
      <c r="CV48" s="470"/>
      <c r="CW48" s="470"/>
      <c r="CX48" s="470"/>
      <c r="CY48" s="1149" t="s">
        <v>6995</v>
      </c>
      <c r="CZ48" s="1149" t="s">
        <v>6805</v>
      </c>
      <c r="DA48" s="480"/>
      <c r="DB48" s="1642" t="s">
        <v>6363</v>
      </c>
      <c r="DC48" s="1642"/>
      <c r="DD48" s="1642" t="s">
        <v>6123</v>
      </c>
      <c r="DE48" s="1642" t="s">
        <v>6364</v>
      </c>
      <c r="DF48" s="1642" t="s">
        <v>6365</v>
      </c>
      <c r="DG48" s="1152"/>
      <c r="DH48" s="512"/>
      <c r="DI48" s="470"/>
      <c r="DJ48" s="470"/>
      <c r="DK48" s="470"/>
      <c r="DL48" s="470"/>
      <c r="DN48" s="471" t="str">
        <f>VLOOKUP(X48,Hoja1!$A$4:$B$10,2,0)</f>
        <v>PROFESIONAL</v>
      </c>
      <c r="DO48" s="471" t="str">
        <f>VLOOKUP(S48,Hoja1!$D$4:$F$77,3,0)</f>
        <v>TII - VII</v>
      </c>
      <c r="DP48" s="1156" t="str">
        <f t="shared" si="131"/>
        <v>0</v>
      </c>
      <c r="DQ48" s="1484">
        <f>IF(T48&lt;&gt;"0",(ROUND(IF(A48="EMPLEADO",eval_formula('CONCEPTOS Y PARAMETROS'!$C$8,NOMINA!V48,AU48+BF48,NOMINA!I48+NOMINA!J48),eval_formula('CONCEPTOS Y PARAMETROS'!$D$8,NOMINA!V48,AU48+BF48,NOMINA!I48+NOMINA!J48)),2))*IF(H48&lt;&gt;"",IF(MONTH(H48)=$BR$8,IF(YEAR(H48)&lt;$BT$7,1,0),0)))</f>
        <v>4172.8</v>
      </c>
      <c r="DR48" s="1801" t="str">
        <f t="shared" si="132"/>
        <v>F</v>
      </c>
      <c r="DS48" s="1801"/>
    </row>
    <row r="49" spans="1:123" s="471" customFormat="1" ht="21.95" customHeight="1" x14ac:dyDescent="0.25">
      <c r="A49" s="508" t="s">
        <v>2846</v>
      </c>
      <c r="B49" s="1314">
        <f t="shared" ca="1" si="133"/>
        <v>6</v>
      </c>
      <c r="C49" s="1148">
        <v>7744688</v>
      </c>
      <c r="D49" s="1149" t="s">
        <v>4695</v>
      </c>
      <c r="E49" s="1135" t="s">
        <v>4622</v>
      </c>
      <c r="F49" s="1150">
        <v>23739</v>
      </c>
      <c r="G49" s="1135" t="s">
        <v>4621</v>
      </c>
      <c r="H49" s="1150">
        <v>44713</v>
      </c>
      <c r="I49" s="1140">
        <f t="shared" si="90"/>
        <v>3</v>
      </c>
      <c r="J49" s="1132">
        <v>0</v>
      </c>
      <c r="K49" s="1140">
        <f t="shared" si="91"/>
        <v>3</v>
      </c>
      <c r="L49" s="1145" t="s">
        <v>5524</v>
      </c>
      <c r="M49" s="1132"/>
      <c r="N49" s="1132"/>
      <c r="O49" s="1002" t="s">
        <v>5215</v>
      </c>
      <c r="P49" s="1132" t="s">
        <v>5275</v>
      </c>
      <c r="Q49" s="1315" t="str">
        <f>IFERROR(VLOOKUP(O49,CARGOS!A:E,2,0),"")</f>
        <v>12113</v>
      </c>
      <c r="R49" s="1327" t="s">
        <v>5215</v>
      </c>
      <c r="S49" s="1146" t="s">
        <v>5468</v>
      </c>
      <c r="T49" s="1107">
        <f>IFERROR(VLOOKUP(S49,'TAB EMP'!A:B,2,0),0)</f>
        <v>219</v>
      </c>
      <c r="U49" s="1108">
        <v>0</v>
      </c>
      <c r="V49" s="1107">
        <f t="shared" si="92"/>
        <v>219</v>
      </c>
      <c r="W49" s="1108">
        <f t="shared" si="93"/>
        <v>109.5</v>
      </c>
      <c r="X49" s="1135" t="s">
        <v>2844</v>
      </c>
      <c r="Y49" s="1135"/>
      <c r="Z49" s="1135">
        <v>0</v>
      </c>
      <c r="AA49" s="1107">
        <f>ROUND(IF(H49&lt;&gt;"",VLOOKUP(SUM(I49+J49),'CONCEPTOS Y PARAMETROS'!F:G,2,0)*V49,0),2)</f>
        <v>6.57</v>
      </c>
      <c r="AB49" s="1107">
        <f>IF(S49&lt;&gt;"",IF(M49="",'CONCEPTOS Y PARAMETROS'!$C$4,0),0)</f>
        <v>130</v>
      </c>
      <c r="AC49" s="1107">
        <f>IF(S49&lt;&gt;"",IF(M49="",'CONCEPTOS Y PARAMETROS'!$C$7*Z49,0),0)</f>
        <v>0</v>
      </c>
      <c r="AD49" s="1107">
        <f>IFERROR(ROUND(VLOOKUP($X49,'CONCEPTOS Y PARAMETROS'!H:I,2,0)*($V49+AA49+AB49+AC49),2),0)</f>
        <v>71.11</v>
      </c>
      <c r="AE49" s="1107">
        <f t="shared" si="94"/>
        <v>207.68</v>
      </c>
      <c r="AF49" s="1107">
        <f t="shared" si="95"/>
        <v>3.29</v>
      </c>
      <c r="AG49" s="1107">
        <f t="shared" si="96"/>
        <v>3.28</v>
      </c>
      <c r="AH49" s="1107">
        <f t="shared" si="97"/>
        <v>65</v>
      </c>
      <c r="AI49" s="1107">
        <f t="shared" si="98"/>
        <v>65</v>
      </c>
      <c r="AJ49" s="1107">
        <f t="shared" si="99"/>
        <v>35.56</v>
      </c>
      <c r="AK49" s="1107">
        <f t="shared" si="100"/>
        <v>35.549999999999997</v>
      </c>
      <c r="AL49" s="1108">
        <f t="shared" si="101"/>
        <v>103.85</v>
      </c>
      <c r="AM49" s="1108">
        <f t="shared" si="102"/>
        <v>103.83</v>
      </c>
      <c r="AN49" s="990">
        <v>0</v>
      </c>
      <c r="AO49" s="1147">
        <f>'CONCEPTOS Y PARAMETROS'!$C$18*AN49</f>
        <v>0</v>
      </c>
      <c r="AP49" s="990">
        <v>0</v>
      </c>
      <c r="AQ49" s="1147">
        <f>'CONCEPTOS Y PARAMETROS'!$C$21*AP49</f>
        <v>0</v>
      </c>
      <c r="AR49" s="1318">
        <v>0</v>
      </c>
      <c r="AS49" s="1318">
        <v>0</v>
      </c>
      <c r="AT49" s="1318">
        <f t="shared" si="103"/>
        <v>0</v>
      </c>
      <c r="AU49" s="1108">
        <f t="shared" si="104"/>
        <v>426.68</v>
      </c>
      <c r="AV49" s="1133">
        <v>0</v>
      </c>
      <c r="AW49" s="1108">
        <f t="shared" si="105"/>
        <v>0</v>
      </c>
      <c r="AX49" s="1107">
        <f>IF(T49&lt;&gt;"0",(ROUND(IF(A49="EMPLEADO",eval_formula('CONCEPTOS Y PARAMETROS'!$C$8,NOMINA!V49,NOMINA!$AU49,NOMINA!I49+NOMINA!J49),eval_formula('CONCEPTOS Y PARAMETROS'!$D$8,NOMINA!V49,NOMINA!$AU49,NOMINA!I49+NOMINA!J49)),2))*IF(H49&lt;&gt;"",IF(MONTH(H49)=$BR$8,IF(YEAR(H49)&lt;$BT$7,1,0),0)))</f>
        <v>0</v>
      </c>
      <c r="AY49" s="1108">
        <v>180</v>
      </c>
      <c r="AZ49" s="1107">
        <f>IFERROR(VLOOKUP(AY49,'CONCEPTOS Y PARAMETROS'!Y:Z,2,0),0)</f>
        <v>150</v>
      </c>
      <c r="BA49" s="1107">
        <f t="shared" si="106"/>
        <v>3200.1</v>
      </c>
      <c r="BB49" s="1107">
        <f t="shared" si="134"/>
        <v>0</v>
      </c>
      <c r="BC49" s="990">
        <v>0</v>
      </c>
      <c r="BD49" s="1107" t="str">
        <f t="shared" si="107"/>
        <v>0</v>
      </c>
      <c r="BE49" s="990">
        <v>0</v>
      </c>
      <c r="BF49" s="1107">
        <f t="shared" si="108"/>
        <v>0</v>
      </c>
      <c r="BG49" s="1108">
        <v>320</v>
      </c>
      <c r="BH49" s="1108">
        <v>0</v>
      </c>
      <c r="BI49" s="1132">
        <v>0</v>
      </c>
      <c r="BJ49" s="798">
        <v>12.5</v>
      </c>
      <c r="BK49" s="1108">
        <v>0</v>
      </c>
      <c r="BL49" s="1107">
        <f t="shared" si="135"/>
        <v>19.690000000000001</v>
      </c>
      <c r="BM49" s="1107">
        <f t="shared" si="136"/>
        <v>2.46</v>
      </c>
      <c r="BN49" s="1107">
        <f t="shared" si="109"/>
        <v>4.2699999999999996</v>
      </c>
      <c r="BO49" s="1107">
        <v>0</v>
      </c>
      <c r="BP49" s="1107">
        <v>0</v>
      </c>
      <c r="BQ49" s="1320">
        <f t="shared" si="110"/>
        <v>26.42</v>
      </c>
      <c r="BR49" s="1107">
        <f t="shared" si="137"/>
        <v>44.31</v>
      </c>
      <c r="BS49" s="1107">
        <f t="shared" si="138"/>
        <v>9.85</v>
      </c>
      <c r="BT49" s="1107">
        <f t="shared" si="111"/>
        <v>8.5399999999999991</v>
      </c>
      <c r="BU49" s="1107">
        <v>0</v>
      </c>
      <c r="BV49" s="1108">
        <f t="shared" si="112"/>
        <v>62.7</v>
      </c>
      <c r="BW49" s="1112">
        <f t="shared" si="113"/>
        <v>89.12</v>
      </c>
      <c r="BX49" s="1112">
        <f t="shared" si="114"/>
        <v>800.03</v>
      </c>
      <c r="BY49" s="1108">
        <v>0</v>
      </c>
      <c r="BZ49" s="1108">
        <f t="shared" si="115"/>
        <v>800.03</v>
      </c>
      <c r="CA49" s="1321">
        <f>'CONCEPTOS Y PARAMETROS'!$A$102</f>
        <v>6255</v>
      </c>
      <c r="CB49" s="1112">
        <f t="shared" si="116"/>
        <v>186.93</v>
      </c>
      <c r="CC49" s="1113">
        <f t="shared" si="117"/>
        <v>545.83000000000004</v>
      </c>
      <c r="CD49" s="512"/>
      <c r="CE49" s="512"/>
      <c r="CF49" s="470">
        <f t="shared" si="118"/>
        <v>853.32999999999993</v>
      </c>
      <c r="CG49" s="495">
        <f t="shared" si="119"/>
        <v>186.93</v>
      </c>
      <c r="CH49" s="498">
        <f t="shared" si="120"/>
        <v>12.5</v>
      </c>
      <c r="CI49" s="1490">
        <f t="shared" si="121"/>
        <v>320</v>
      </c>
      <c r="CJ49" s="1500">
        <v>1</v>
      </c>
      <c r="CK49" s="495">
        <f t="shared" si="122"/>
        <v>533.32999999999993</v>
      </c>
      <c r="CL49" s="1689">
        <f t="shared" si="123"/>
        <v>533.33000000000004</v>
      </c>
      <c r="CM49" s="1689">
        <f t="shared" si="124"/>
        <v>0</v>
      </c>
      <c r="CN49" s="496">
        <f t="shared" si="125"/>
        <v>0</v>
      </c>
      <c r="CO49" s="497">
        <v>0</v>
      </c>
      <c r="CP49" s="496">
        <f t="shared" si="126"/>
        <v>0</v>
      </c>
      <c r="CQ49" s="496">
        <f t="shared" si="127"/>
        <v>0</v>
      </c>
      <c r="CR49" s="496">
        <f t="shared" si="128"/>
        <v>1066.6599999999999</v>
      </c>
      <c r="CS49" s="496">
        <f t="shared" si="129"/>
        <v>89.12</v>
      </c>
      <c r="CT49" s="496">
        <f t="shared" si="130"/>
        <v>6255</v>
      </c>
      <c r="CU49" s="470"/>
      <c r="CV49" s="470"/>
      <c r="CW49" s="470"/>
      <c r="CX49" s="470"/>
      <c r="CY49" s="1149" t="s">
        <v>7044</v>
      </c>
      <c r="CZ49" s="1149" t="s">
        <v>6810</v>
      </c>
      <c r="DA49" s="480"/>
      <c r="DB49" s="1642" t="s">
        <v>6379</v>
      </c>
      <c r="DC49" s="1642"/>
      <c r="DD49" s="1642" t="s">
        <v>6135</v>
      </c>
      <c r="DE49" s="1642" t="s">
        <v>6247</v>
      </c>
      <c r="DF49" s="1642" t="s">
        <v>6489</v>
      </c>
      <c r="DG49" s="1152"/>
      <c r="DH49" s="915"/>
      <c r="DI49" s="470"/>
      <c r="DJ49" s="470"/>
      <c r="DK49" s="470"/>
      <c r="DL49" s="470"/>
      <c r="DN49" s="471" t="str">
        <f>VLOOKUP(X49,Hoja1!$A$4:$B$10,2,0)</f>
        <v>TÉCNICO SUPERIOR UNIVERSITARIO</v>
      </c>
      <c r="DO49" s="471" t="str">
        <f>VLOOKUP(S49,Hoja1!$D$4:$F$77,3,0)</f>
        <v>TII - II</v>
      </c>
      <c r="DP49" s="1156" t="str">
        <f t="shared" si="131"/>
        <v>0</v>
      </c>
      <c r="DQ49" s="1484">
        <f>IF(T49&lt;&gt;"0",(ROUND(IF(A49="EMPLEADO",eval_formula('CONCEPTOS Y PARAMETROS'!$C$8,NOMINA!V49,AU49+BF49,NOMINA!I49+NOMINA!J49),eval_formula('CONCEPTOS Y PARAMETROS'!$D$8,NOMINA!V49,AU49+BF49,NOMINA!I49+NOMINA!J49)),2))*IF(H49&lt;&gt;"",IF(MONTH(H49)=$BR$8,IF(YEAR(H49)&lt;$BT$7,1,0),0)))</f>
        <v>0</v>
      </c>
      <c r="DR49" s="1801" t="str">
        <f t="shared" si="132"/>
        <v>M</v>
      </c>
      <c r="DS49" s="1801"/>
    </row>
    <row r="50" spans="1:123" s="471" customFormat="1" ht="21.95" customHeight="1" x14ac:dyDescent="0.25">
      <c r="A50" s="508" t="s">
        <v>2846</v>
      </c>
      <c r="B50" s="1314">
        <f t="shared" ca="1" si="133"/>
        <v>7</v>
      </c>
      <c r="C50" s="1148">
        <v>7890070</v>
      </c>
      <c r="D50" s="1149" t="s">
        <v>4696</v>
      </c>
      <c r="E50" s="1135" t="s">
        <v>4622</v>
      </c>
      <c r="F50" s="1150">
        <v>24161</v>
      </c>
      <c r="G50" s="1135" t="s">
        <v>4620</v>
      </c>
      <c r="H50" s="1150">
        <v>38930</v>
      </c>
      <c r="I50" s="1140">
        <f t="shared" si="90"/>
        <v>19</v>
      </c>
      <c r="J50" s="1132">
        <v>5</v>
      </c>
      <c r="K50" s="1140">
        <f t="shared" si="91"/>
        <v>24</v>
      </c>
      <c r="L50" s="1145" t="s">
        <v>5525</v>
      </c>
      <c r="M50" s="1132"/>
      <c r="N50" s="1132"/>
      <c r="O50" s="1002" t="s">
        <v>5217</v>
      </c>
      <c r="P50" s="1132" t="s">
        <v>5276</v>
      </c>
      <c r="Q50" s="1315" t="str">
        <f>IFERROR(VLOOKUP(O50,CARGOS!A:E,2,0),"")</f>
        <v>79512</v>
      </c>
      <c r="R50" s="1327" t="s">
        <v>5217</v>
      </c>
      <c r="S50" s="1146" t="s">
        <v>5463</v>
      </c>
      <c r="T50" s="1107">
        <f>IFERROR(VLOOKUP(S50,'TAB EMP'!A:B,2,0),0)</f>
        <v>177</v>
      </c>
      <c r="U50" s="1108">
        <v>0</v>
      </c>
      <c r="V50" s="1107">
        <f t="shared" si="92"/>
        <v>177</v>
      </c>
      <c r="W50" s="1108">
        <f t="shared" si="93"/>
        <v>88.5</v>
      </c>
      <c r="X50" s="1135" t="s">
        <v>2884</v>
      </c>
      <c r="Y50" s="1135"/>
      <c r="Z50" s="1135">
        <v>0</v>
      </c>
      <c r="AA50" s="1107">
        <f>ROUND(IF(H50&lt;&gt;"",VLOOKUP(SUM(I50+J50),'CONCEPTOS Y PARAMETROS'!F:G,2,0)*V50,0),2)</f>
        <v>53.1</v>
      </c>
      <c r="AB50" s="1107">
        <f>IF(S50&lt;&gt;"",IF(M50="",'CONCEPTOS Y PARAMETROS'!$C$4,0),0)</f>
        <v>130</v>
      </c>
      <c r="AC50" s="1107">
        <f>IF(S50&lt;&gt;"",IF(M50="",'CONCEPTOS Y PARAMETROS'!$C$7*Z50,0),0)</f>
        <v>0</v>
      </c>
      <c r="AD50" s="1107">
        <f>IFERROR(ROUND(VLOOKUP($X50,'CONCEPTOS Y PARAMETROS'!H:I,2,0)*($V50+AA50+AB50+AC50),2),0)</f>
        <v>0</v>
      </c>
      <c r="AE50" s="1107">
        <f t="shared" si="94"/>
        <v>183.1</v>
      </c>
      <c r="AF50" s="1107">
        <f t="shared" si="95"/>
        <v>26.55</v>
      </c>
      <c r="AG50" s="1107">
        <f t="shared" si="96"/>
        <v>26.55</v>
      </c>
      <c r="AH50" s="1107">
        <f t="shared" si="97"/>
        <v>65</v>
      </c>
      <c r="AI50" s="1107">
        <f t="shared" si="98"/>
        <v>65</v>
      </c>
      <c r="AJ50" s="1107">
        <f t="shared" si="99"/>
        <v>0</v>
      </c>
      <c r="AK50" s="1107">
        <f t="shared" si="100"/>
        <v>0</v>
      </c>
      <c r="AL50" s="1108">
        <f t="shared" si="101"/>
        <v>91.55</v>
      </c>
      <c r="AM50" s="1108">
        <f t="shared" si="102"/>
        <v>91.55</v>
      </c>
      <c r="AN50" s="990">
        <v>0</v>
      </c>
      <c r="AO50" s="1147">
        <f>'CONCEPTOS Y PARAMETROS'!$C$18*AN50</f>
        <v>0</v>
      </c>
      <c r="AP50" s="990">
        <v>0</v>
      </c>
      <c r="AQ50" s="1147">
        <f>'CONCEPTOS Y PARAMETROS'!$C$21*AP50</f>
        <v>0</v>
      </c>
      <c r="AR50" s="1318">
        <v>0</v>
      </c>
      <c r="AS50" s="1318">
        <v>0</v>
      </c>
      <c r="AT50" s="1318">
        <f t="shared" si="103"/>
        <v>0</v>
      </c>
      <c r="AU50" s="1108">
        <f t="shared" si="104"/>
        <v>360.1</v>
      </c>
      <c r="AV50" s="1133">
        <v>0</v>
      </c>
      <c r="AW50" s="1108">
        <f t="shared" si="105"/>
        <v>0</v>
      </c>
      <c r="AX50" s="1107">
        <f>IF(T50&lt;&gt;"0",(ROUND(IF(A50="EMPLEADO",eval_formula('CONCEPTOS Y PARAMETROS'!$C$8,NOMINA!V50,NOMINA!$AU50,NOMINA!I50+NOMINA!J50),eval_formula('CONCEPTOS Y PARAMETROS'!$D$8,NOMINA!V50,NOMINA!$AU50,NOMINA!I50+NOMINA!J50)),2))*IF(H50&lt;&gt;"",IF(MONTH(H50)=$BR$8,IF(YEAR(H50)&lt;$BT$7,1,0),0)))</f>
        <v>0</v>
      </c>
      <c r="AY50" s="1108">
        <v>180</v>
      </c>
      <c r="AZ50" s="1107">
        <f>IFERROR(VLOOKUP(AY50,'CONCEPTOS Y PARAMETROS'!Y:Z,2,0),0)</f>
        <v>150</v>
      </c>
      <c r="BA50" s="1107">
        <f t="shared" si="106"/>
        <v>2700.75</v>
      </c>
      <c r="BB50" s="1107">
        <f t="shared" si="134"/>
        <v>0</v>
      </c>
      <c r="BC50" s="990">
        <v>0</v>
      </c>
      <c r="BD50" s="1107" t="str">
        <f t="shared" si="107"/>
        <v>0</v>
      </c>
      <c r="BE50" s="990">
        <v>0</v>
      </c>
      <c r="BF50" s="1107">
        <f t="shared" si="108"/>
        <v>0</v>
      </c>
      <c r="BG50" s="1108">
        <v>320</v>
      </c>
      <c r="BH50" s="1108">
        <v>0</v>
      </c>
      <c r="BI50" s="1132">
        <v>0</v>
      </c>
      <c r="BJ50" s="798">
        <v>12.5</v>
      </c>
      <c r="BK50" s="1108">
        <v>0</v>
      </c>
      <c r="BL50" s="1107">
        <f t="shared" si="135"/>
        <v>16.62</v>
      </c>
      <c r="BM50" s="1107">
        <f t="shared" si="136"/>
        <v>2.08</v>
      </c>
      <c r="BN50" s="1107">
        <f t="shared" si="109"/>
        <v>3.6</v>
      </c>
      <c r="BO50" s="1107">
        <v>0</v>
      </c>
      <c r="BP50" s="1107">
        <v>0</v>
      </c>
      <c r="BQ50" s="1320">
        <f t="shared" si="110"/>
        <v>22.3</v>
      </c>
      <c r="BR50" s="1107">
        <f t="shared" si="137"/>
        <v>37.4</v>
      </c>
      <c r="BS50" s="1107">
        <f t="shared" si="138"/>
        <v>8.31</v>
      </c>
      <c r="BT50" s="1107">
        <f t="shared" si="111"/>
        <v>7.2</v>
      </c>
      <c r="BU50" s="1107">
        <v>0</v>
      </c>
      <c r="BV50" s="1108">
        <f t="shared" si="112"/>
        <v>52.91</v>
      </c>
      <c r="BW50" s="1112">
        <f t="shared" si="113"/>
        <v>75.209999999999994</v>
      </c>
      <c r="BX50" s="1112">
        <f t="shared" si="114"/>
        <v>675.19</v>
      </c>
      <c r="BY50" s="1108">
        <v>0</v>
      </c>
      <c r="BZ50" s="1108">
        <f t="shared" si="115"/>
        <v>675.19</v>
      </c>
      <c r="CA50" s="1321">
        <f>'CONCEPTOS Y PARAMETROS'!$A$102</f>
        <v>6255</v>
      </c>
      <c r="CB50" s="1112">
        <f t="shared" si="116"/>
        <v>157.75</v>
      </c>
      <c r="CC50" s="1113">
        <f t="shared" si="117"/>
        <v>512.54999999999995</v>
      </c>
      <c r="CD50" s="512"/>
      <c r="CE50" s="512"/>
      <c r="CF50" s="470">
        <f t="shared" si="118"/>
        <v>820.05</v>
      </c>
      <c r="CG50" s="495">
        <f t="shared" si="119"/>
        <v>157.75</v>
      </c>
      <c r="CH50" s="498">
        <f t="shared" si="120"/>
        <v>12.5</v>
      </c>
      <c r="CI50" s="1490">
        <f t="shared" si="121"/>
        <v>320</v>
      </c>
      <c r="CJ50" s="1500">
        <v>1</v>
      </c>
      <c r="CK50" s="495">
        <f t="shared" si="122"/>
        <v>500.05</v>
      </c>
      <c r="CL50" s="1689">
        <f t="shared" si="123"/>
        <v>500.05</v>
      </c>
      <c r="CM50" s="1689">
        <f t="shared" si="124"/>
        <v>0</v>
      </c>
      <c r="CN50" s="496">
        <f t="shared" si="125"/>
        <v>0</v>
      </c>
      <c r="CO50" s="497">
        <v>0</v>
      </c>
      <c r="CP50" s="496">
        <f t="shared" si="126"/>
        <v>0</v>
      </c>
      <c r="CQ50" s="496">
        <f t="shared" si="127"/>
        <v>0</v>
      </c>
      <c r="CR50" s="496">
        <f t="shared" si="128"/>
        <v>1000.1</v>
      </c>
      <c r="CS50" s="496">
        <f t="shared" si="129"/>
        <v>75.209999999999994</v>
      </c>
      <c r="CT50" s="496">
        <f t="shared" si="130"/>
        <v>6255</v>
      </c>
      <c r="CU50" s="470"/>
      <c r="CV50" s="470"/>
      <c r="CW50" s="470"/>
      <c r="CX50" s="470"/>
      <c r="CY50" s="1149" t="s">
        <v>7045</v>
      </c>
      <c r="CZ50" s="1149" t="s">
        <v>7079</v>
      </c>
      <c r="DA50" s="480"/>
      <c r="DB50" s="1642" t="s">
        <v>6209</v>
      </c>
      <c r="DC50" s="1642"/>
      <c r="DD50" s="1642" t="s">
        <v>6199</v>
      </c>
      <c r="DE50" s="1642" t="s">
        <v>6195</v>
      </c>
      <c r="DF50" s="1642" t="s">
        <v>6210</v>
      </c>
      <c r="DG50" s="1642"/>
      <c r="DH50" s="470"/>
      <c r="DI50" s="470"/>
      <c r="DJ50" s="470"/>
      <c r="DK50" s="470"/>
      <c r="DL50" s="470"/>
      <c r="DN50" s="471" t="str">
        <f>VLOOKUP(X50,Hoja1!$A$4:$B$10,2,0)</f>
        <v>BACHILLER</v>
      </c>
      <c r="DO50" s="471" t="str">
        <f>VLOOKUP(S50,Hoja1!$D$4:$F$77,3,0)</f>
        <v>BIII - VII</v>
      </c>
      <c r="DP50" s="1156" t="str">
        <f t="shared" si="131"/>
        <v>0</v>
      </c>
      <c r="DQ50" s="1484">
        <f>IF(T50&lt;&gt;"0",(ROUND(IF(A50="EMPLEADO",eval_formula('CONCEPTOS Y PARAMETROS'!$C$8,NOMINA!V50,AU50+BF50,NOMINA!I50+NOMINA!J50),eval_formula('CONCEPTOS Y PARAMETROS'!$D$8,NOMINA!V50,AU50+BF50,NOMINA!I50+NOMINA!J50)),2))*IF(H50&lt;&gt;"",IF(MONTH(H50)=$BR$8,IF(YEAR(H50)&lt;$BT$7,1,0),0)))</f>
        <v>0</v>
      </c>
      <c r="DR50" s="1801" t="str">
        <f t="shared" si="132"/>
        <v>F</v>
      </c>
      <c r="DS50" s="1801"/>
    </row>
    <row r="51" spans="1:123" s="911" customFormat="1" ht="21.95" customHeight="1" x14ac:dyDescent="0.25">
      <c r="A51" s="910" t="s">
        <v>2846</v>
      </c>
      <c r="B51" s="1328">
        <f ca="1">OFFSET(B51,-1,0)+1</f>
        <v>8</v>
      </c>
      <c r="C51" s="1329">
        <v>8719807</v>
      </c>
      <c r="D51" s="1330" t="s">
        <v>4668</v>
      </c>
      <c r="E51" s="1331" t="s">
        <v>4622</v>
      </c>
      <c r="F51" s="1332">
        <v>25096</v>
      </c>
      <c r="G51" s="1331" t="s">
        <v>4620</v>
      </c>
      <c r="H51" s="1332">
        <v>39874</v>
      </c>
      <c r="I51" s="1333">
        <f t="shared" si="90"/>
        <v>16</v>
      </c>
      <c r="J51" s="1334">
        <v>4</v>
      </c>
      <c r="K51" s="1333">
        <f t="shared" si="91"/>
        <v>20</v>
      </c>
      <c r="L51" s="1335" t="s">
        <v>5518</v>
      </c>
      <c r="M51" s="1334"/>
      <c r="N51" s="1334"/>
      <c r="O51" s="1336" t="s">
        <v>5484</v>
      </c>
      <c r="P51" s="1334" t="s">
        <v>5185</v>
      </c>
      <c r="Q51" s="1337" t="str">
        <f>IFERROR(VLOOKUP(O51,CARGOS!A:E,2,0),"")</f>
        <v>35125</v>
      </c>
      <c r="R51" s="1336" t="s">
        <v>5484</v>
      </c>
      <c r="S51" s="1338" t="s">
        <v>5458</v>
      </c>
      <c r="T51" s="1339">
        <v>0</v>
      </c>
      <c r="U51" s="1307">
        <v>0</v>
      </c>
      <c r="V51" s="1339">
        <f>T51-U51</f>
        <v>0</v>
      </c>
      <c r="W51" s="1307">
        <f>ROUND(V51/2,2)</f>
        <v>0</v>
      </c>
      <c r="X51" s="1331" t="s">
        <v>2885</v>
      </c>
      <c r="Y51" s="1331"/>
      <c r="Z51" s="1331">
        <v>0</v>
      </c>
      <c r="AA51" s="1339">
        <f>ROUND(IF(H51&lt;&gt;"",VLOOKUP(SUM(I51+J51),'CONCEPTOS Y PARAMETROS'!F:G,2,0)*V51,0),2)</f>
        <v>0</v>
      </c>
      <c r="AB51" s="1339">
        <v>0</v>
      </c>
      <c r="AC51" s="1339">
        <v>0</v>
      </c>
      <c r="AD51" s="1339">
        <f>IFERROR(ROUND(VLOOKUP($X51,'CONCEPTOS Y PARAMETROS'!H:I,2,0)*($V51+AA51+AB51+AC51),2),0)</f>
        <v>0</v>
      </c>
      <c r="AE51" s="1339">
        <f>SUM(AA51:AD51)</f>
        <v>0</v>
      </c>
      <c r="AF51" s="1339">
        <f>ROUND(AA51/2,2)</f>
        <v>0</v>
      </c>
      <c r="AG51" s="1339">
        <f>ROUND(AA51-AF51,2)</f>
        <v>0</v>
      </c>
      <c r="AH51" s="1339">
        <f>ROUND(AB51/2,2)</f>
        <v>0</v>
      </c>
      <c r="AI51" s="1339">
        <f>ROUND(AB51-AH51,2)</f>
        <v>0</v>
      </c>
      <c r="AJ51" s="1339">
        <f>ROUND(AD51/2,2)</f>
        <v>0</v>
      </c>
      <c r="AK51" s="1339">
        <f>ROUND(AD51-AJ51,2)</f>
        <v>0</v>
      </c>
      <c r="AL51" s="1307">
        <f>ROUND(AF51+AH51+AJ51+AC51,2)</f>
        <v>0</v>
      </c>
      <c r="AM51" s="1307">
        <f>ROUND(AG51+AI51+AK51,2)</f>
        <v>0</v>
      </c>
      <c r="AN51" s="1340">
        <v>0</v>
      </c>
      <c r="AO51" s="1341">
        <v>0</v>
      </c>
      <c r="AP51" s="1340">
        <v>0</v>
      </c>
      <c r="AQ51" s="1341">
        <f>'CONCEPTOS Y PARAMETROS'!$C$21*AP51</f>
        <v>0</v>
      </c>
      <c r="AR51" s="1342">
        <v>0</v>
      </c>
      <c r="AS51" s="1342">
        <v>0</v>
      </c>
      <c r="AT51" s="1342">
        <f>+AO51+AQ51+AR51+AS51</f>
        <v>0</v>
      </c>
      <c r="AU51" s="1307">
        <f t="shared" si="104"/>
        <v>0</v>
      </c>
      <c r="AV51" s="1343">
        <v>0</v>
      </c>
      <c r="AW51" s="1307">
        <f>ROUND(IF(O51="VIGILANTE",(V51+AE51)*30%,0),2)</f>
        <v>0</v>
      </c>
      <c r="AX51" s="1339">
        <f>IF(T51&lt;&gt;"0",(ROUND(IF(A51="EMPLEADO",eval_formula('CONCEPTOS Y PARAMETROS'!$C$8,NOMINA!V51,NOMINA!$AU51,NOMINA!I51+NOMINA!J51),eval_formula('CONCEPTOS Y PARAMETROS'!$D$8,NOMINA!V51,NOMINA!$AU51,NOMINA!I51+NOMINA!J51)),2))*IF(H51&lt;&gt;"",IF(MONTH(H51)=$BR$8,IF(YEAR(H51)&lt;$BT$7,1,0),0)))</f>
        <v>0</v>
      </c>
      <c r="AY51" s="1307">
        <v>180</v>
      </c>
      <c r="AZ51" s="1339">
        <f>IFERROR(VLOOKUP(AY51,'CONCEPTOS Y PARAMETROS'!Y:Z,2,0),0)</f>
        <v>150</v>
      </c>
      <c r="BA51" s="1339">
        <f>ROUND((((AU51))/30*AY51/12+(AU51))/30*AZ51,2)</f>
        <v>0</v>
      </c>
      <c r="BB51" s="1339">
        <f t="shared" si="134"/>
        <v>0</v>
      </c>
      <c r="BC51" s="1340">
        <v>0</v>
      </c>
      <c r="BD51" s="1339" t="str">
        <f t="shared" si="107"/>
        <v>0</v>
      </c>
      <c r="BE51" s="1340">
        <v>0</v>
      </c>
      <c r="BF51" s="1339">
        <f>ROUND(IF(BE51&gt;0,(((V51+AA51+AB51+AC51+AD51)/30)*50%+((V51+AA51+AB51+AC51+AD51)/30))*BE51,"0"),2)</f>
        <v>0</v>
      </c>
      <c r="BG51" s="1307">
        <v>0</v>
      </c>
      <c r="BH51" s="1307">
        <v>0</v>
      </c>
      <c r="BI51" s="1334">
        <v>0</v>
      </c>
      <c r="BJ51" s="1307">
        <v>0</v>
      </c>
      <c r="BK51" s="1307">
        <v>0</v>
      </c>
      <c r="BL51" s="1339">
        <f t="shared" si="135"/>
        <v>0</v>
      </c>
      <c r="BM51" s="1339">
        <f t="shared" si="136"/>
        <v>0</v>
      </c>
      <c r="BN51" s="1339">
        <f t="shared" si="109"/>
        <v>0</v>
      </c>
      <c r="BO51" s="1339">
        <v>0</v>
      </c>
      <c r="BP51" s="1339">
        <v>0</v>
      </c>
      <c r="BQ51" s="1344">
        <f>ROUND(SUM(BL51:BP51),2)</f>
        <v>0</v>
      </c>
      <c r="BR51" s="1339">
        <f t="shared" si="137"/>
        <v>0</v>
      </c>
      <c r="BS51" s="1339">
        <f t="shared" si="138"/>
        <v>0</v>
      </c>
      <c r="BT51" s="1339">
        <f t="shared" si="111"/>
        <v>0</v>
      </c>
      <c r="BU51" s="1339">
        <v>0</v>
      </c>
      <c r="BV51" s="1307">
        <f>ROUND(SUM(BR51:BT51),2)</f>
        <v>0</v>
      </c>
      <c r="BW51" s="1305">
        <f>BQ51+BV51</f>
        <v>0</v>
      </c>
      <c r="BX51" s="1305">
        <f t="shared" si="114"/>
        <v>0</v>
      </c>
      <c r="BY51" s="1307">
        <v>0</v>
      </c>
      <c r="BZ51" s="1307">
        <f t="shared" si="115"/>
        <v>0</v>
      </c>
      <c r="CA51" s="1345">
        <v>0</v>
      </c>
      <c r="CB51" s="1305">
        <f t="shared" si="116"/>
        <v>0</v>
      </c>
      <c r="CC51" s="1346">
        <f t="shared" si="117"/>
        <v>0</v>
      </c>
      <c r="CD51" s="512"/>
      <c r="CE51" s="512"/>
      <c r="CF51" s="470">
        <f t="shared" si="118"/>
        <v>0</v>
      </c>
      <c r="CG51" s="912">
        <f t="shared" si="119"/>
        <v>0</v>
      </c>
      <c r="CH51" s="498">
        <f t="shared" si="120"/>
        <v>0</v>
      </c>
      <c r="CI51" s="1492">
        <f t="shared" si="121"/>
        <v>0</v>
      </c>
      <c r="CJ51" s="1504">
        <v>0</v>
      </c>
      <c r="CK51" s="912">
        <f t="shared" si="122"/>
        <v>0</v>
      </c>
      <c r="CL51" s="912">
        <f t="shared" si="123"/>
        <v>0</v>
      </c>
      <c r="CM51" s="912">
        <f t="shared" si="124"/>
        <v>0</v>
      </c>
      <c r="CN51" s="913">
        <f t="shared" si="125"/>
        <v>0</v>
      </c>
      <c r="CO51" s="914">
        <v>0</v>
      </c>
      <c r="CP51" s="913">
        <f t="shared" si="126"/>
        <v>0</v>
      </c>
      <c r="CQ51" s="913">
        <f t="shared" si="127"/>
        <v>0</v>
      </c>
      <c r="CR51" s="496">
        <f t="shared" si="128"/>
        <v>0</v>
      </c>
      <c r="CS51" s="913">
        <f t="shared" si="129"/>
        <v>0</v>
      </c>
      <c r="CT51" s="913">
        <f t="shared" si="130"/>
        <v>0</v>
      </c>
      <c r="CU51" s="470"/>
      <c r="CV51" s="470"/>
      <c r="CW51" s="470"/>
      <c r="CX51" s="470"/>
      <c r="CY51" s="1330" t="s">
        <v>6801</v>
      </c>
      <c r="CZ51" s="1330" t="s">
        <v>7035</v>
      </c>
      <c r="DA51" s="1613"/>
      <c r="DB51" s="1152"/>
      <c r="DC51" s="1152"/>
      <c r="DD51" s="1143"/>
      <c r="DE51" s="1143"/>
      <c r="DF51" s="1143"/>
      <c r="DG51" s="1143"/>
      <c r="DH51" s="470"/>
      <c r="DI51" s="915"/>
      <c r="DJ51" s="915"/>
      <c r="DK51" s="915"/>
      <c r="DL51" s="915"/>
      <c r="DN51" s="911" t="str">
        <f>VLOOKUP(X51,Hoja1!$A$4:$B$10,2,0)</f>
        <v>PROFESIONAL</v>
      </c>
      <c r="DO51" s="911" t="str">
        <f>VLOOKUP(S51,Hoja1!$D$4:$F$77,3,0)</f>
        <v>PII - VII</v>
      </c>
      <c r="DP51" s="1157" t="str">
        <f t="shared" si="131"/>
        <v>0</v>
      </c>
      <c r="DQ51" s="1484">
        <f>IF(T51&lt;&gt;"0",(ROUND(IF(A51="EMPLEADO",eval_formula('CONCEPTOS Y PARAMETROS'!$C$8,NOMINA!V51,AU51+BF51,NOMINA!I51+NOMINA!J51),eval_formula('CONCEPTOS Y PARAMETROS'!$D$8,NOMINA!V51,AU51+BF51,NOMINA!I51+NOMINA!J51)),2))*IF(H51&lt;&gt;"",IF(MONTH(H51)=$BR$8,IF(YEAR(H51)&lt;$BT$7,1,0),0)))</f>
        <v>0</v>
      </c>
      <c r="DR51" s="1800" t="str">
        <f t="shared" si="132"/>
        <v>F</v>
      </c>
      <c r="DS51" s="1800"/>
    </row>
    <row r="52" spans="1:123" s="476" customFormat="1" ht="21.95" customHeight="1" x14ac:dyDescent="0.25">
      <c r="A52" s="508" t="s">
        <v>2846</v>
      </c>
      <c r="B52" s="1314">
        <f ca="1">OFFSET(B52,-1,0)+1</f>
        <v>9</v>
      </c>
      <c r="C52" s="1148">
        <v>8266170</v>
      </c>
      <c r="D52" s="1149" t="s">
        <v>4938</v>
      </c>
      <c r="E52" s="1135" t="s">
        <v>4622</v>
      </c>
      <c r="F52" s="1150">
        <v>25913</v>
      </c>
      <c r="G52" s="1135" t="s">
        <v>4620</v>
      </c>
      <c r="H52" s="1150">
        <v>45323</v>
      </c>
      <c r="I52" s="1140">
        <f t="shared" si="90"/>
        <v>1</v>
      </c>
      <c r="J52" s="1132">
        <v>5</v>
      </c>
      <c r="K52" s="1140">
        <f t="shared" si="91"/>
        <v>6</v>
      </c>
      <c r="L52" s="1145" t="s">
        <v>5535</v>
      </c>
      <c r="M52" s="1132"/>
      <c r="N52" s="1132"/>
      <c r="O52" s="1002" t="s">
        <v>5218</v>
      </c>
      <c r="P52" s="1132" t="s">
        <v>5970</v>
      </c>
      <c r="Q52" s="1315" t="str">
        <f>IFERROR(VLOOKUP(O52,CARGOS!A:E,2,0),"")</f>
        <v>79511</v>
      </c>
      <c r="R52" s="1002" t="s">
        <v>5218</v>
      </c>
      <c r="S52" s="1146" t="s">
        <v>5478</v>
      </c>
      <c r="T52" s="1107">
        <f>IFERROR(VLOOKUP(S52,'TAB EMP'!A:B,2,0),0)</f>
        <v>221</v>
      </c>
      <c r="U52" s="1108">
        <v>0</v>
      </c>
      <c r="V52" s="1107">
        <f t="shared" ref="V52" si="139">T52-U52</f>
        <v>221</v>
      </c>
      <c r="W52" s="1108">
        <f t="shared" ref="W52" si="140">ROUND(V52/2,2)</f>
        <v>110.5</v>
      </c>
      <c r="X52" s="1135" t="s">
        <v>2885</v>
      </c>
      <c r="Y52" s="1135"/>
      <c r="Z52" s="1135">
        <v>1</v>
      </c>
      <c r="AA52" s="1107">
        <f>ROUND(IF(H52&lt;&gt;"",VLOOKUP(SUM(I52+J52),'CONCEPTOS Y PARAMETROS'!F:G,2,0)*V52,0),2)</f>
        <v>13.7</v>
      </c>
      <c r="AB52" s="1107">
        <f>IF(S52&lt;&gt;"",IF(M52="",'CONCEPTOS Y PARAMETROS'!$C$4,0),0)</f>
        <v>130</v>
      </c>
      <c r="AC52" s="1107">
        <f>IF(S52&lt;&gt;"",IF(M52="",'CONCEPTOS Y PARAMETROS'!$C$7*Z52,0),0)</f>
        <v>12.5</v>
      </c>
      <c r="AD52" s="1107">
        <f>IFERROR(ROUND(VLOOKUP($X52,'CONCEPTOS Y PARAMETROS'!H:I,2,0)*($V52+AA52+AB52+AC52),2),0)</f>
        <v>94.3</v>
      </c>
      <c r="AE52" s="1107">
        <f t="shared" ref="AE52" si="141">SUM(AA52:AD52)</f>
        <v>250.5</v>
      </c>
      <c r="AF52" s="1107">
        <f t="shared" ref="AF52" si="142">ROUND(AA52/2,2)</f>
        <v>6.85</v>
      </c>
      <c r="AG52" s="1107">
        <f t="shared" ref="AG52" si="143">ROUND(AA52-AF52,2)</f>
        <v>6.85</v>
      </c>
      <c r="AH52" s="1107">
        <f t="shared" ref="AH52" si="144">ROUND(AB52/2,2)</f>
        <v>65</v>
      </c>
      <c r="AI52" s="1107">
        <f t="shared" ref="AI52" si="145">ROUND(AB52-AH52,2)</f>
        <v>65</v>
      </c>
      <c r="AJ52" s="1107">
        <f t="shared" ref="AJ52" si="146">ROUND(AD52/2,2)</f>
        <v>47.15</v>
      </c>
      <c r="AK52" s="1107">
        <f t="shared" ref="AK52" si="147">ROUND(AD52-AJ52,2)</f>
        <v>47.15</v>
      </c>
      <c r="AL52" s="1108">
        <f t="shared" ref="AL52" si="148">ROUND(AF52+AH52+AJ52+AC52,2)</f>
        <v>131.5</v>
      </c>
      <c r="AM52" s="1108">
        <f t="shared" ref="AM52" si="149">ROUND(AG52+AI52+AK52,2)</f>
        <v>119</v>
      </c>
      <c r="AN52" s="990">
        <v>0</v>
      </c>
      <c r="AO52" s="1147">
        <f>'CONCEPTOS Y PARAMETROS'!$C$18*AN52</f>
        <v>0</v>
      </c>
      <c r="AP52" s="990">
        <v>0</v>
      </c>
      <c r="AQ52" s="1147">
        <f>'CONCEPTOS Y PARAMETROS'!$C$21*AP52</f>
        <v>0</v>
      </c>
      <c r="AR52" s="1318">
        <v>0</v>
      </c>
      <c r="AS52" s="1318">
        <v>0</v>
      </c>
      <c r="AT52" s="1318">
        <f t="shared" ref="AT52" si="150">+AO52+AQ52+AR52+AS52</f>
        <v>0</v>
      </c>
      <c r="AU52" s="1108">
        <f t="shared" si="104"/>
        <v>612.95000000000005</v>
      </c>
      <c r="AV52" s="1133" t="s">
        <v>5080</v>
      </c>
      <c r="AW52" s="1108">
        <f t="shared" ref="AW52:AW58" si="151">ROUND(IF(AV52="NOCTURN",(V52+AE52)*30%,0),2)</f>
        <v>141.44999999999999</v>
      </c>
      <c r="AX52" s="1107">
        <f>IF(T52&lt;&gt;"0",(ROUND(IF(A52="EMPLEADO",eval_formula('CONCEPTOS Y PARAMETROS'!$C$8,NOMINA!V52,NOMINA!$AU52,NOMINA!I52+NOMINA!J52),eval_formula('CONCEPTOS Y PARAMETROS'!$D$8,NOMINA!V52,NOMINA!$AU52,NOMINA!I52+NOMINA!J52)),2))*IF(H52&lt;&gt;"",IF(MONTH(H52)=$BR$8,IF(YEAR(H52)&lt;$BT$7,1,0),0)))</f>
        <v>0</v>
      </c>
      <c r="AY52" s="1108">
        <v>165</v>
      </c>
      <c r="AZ52" s="1107">
        <f>IFERROR(VLOOKUP(AY52,'CONCEPTOS Y PARAMETROS'!Y:Z,2,0),0)</f>
        <v>137.5</v>
      </c>
      <c r="BA52" s="1107">
        <f t="shared" ref="BA52" si="152">ROUND((((AU52))/30*AY52/12+(AU52))/30*AZ52,2)</f>
        <v>4096.97</v>
      </c>
      <c r="BB52" s="1107">
        <f t="shared" si="134"/>
        <v>0</v>
      </c>
      <c r="BC52" s="990">
        <v>0</v>
      </c>
      <c r="BD52" s="1107" t="str">
        <f t="shared" si="107"/>
        <v>0</v>
      </c>
      <c r="BE52" s="990">
        <v>3</v>
      </c>
      <c r="BF52" s="1107">
        <f t="shared" ref="BF52:BF58" si="153">ROUND(IF(BE52&gt;0,(((V52+AA52+AB52+AC52+AD52+AW52)/30)*50%+((V52+AA52+AB52+AC52+AD52+AW52)/30))*BE52,"0"),2)</f>
        <v>91.94</v>
      </c>
      <c r="BG52" s="1108">
        <v>320</v>
      </c>
      <c r="BH52" s="1108">
        <v>0</v>
      </c>
      <c r="BI52" s="1132">
        <v>0</v>
      </c>
      <c r="BJ52" s="1108">
        <v>12.5</v>
      </c>
      <c r="BK52" s="1108">
        <v>0</v>
      </c>
      <c r="BL52" s="1107">
        <f t="shared" si="135"/>
        <v>28.29</v>
      </c>
      <c r="BM52" s="1107">
        <f t="shared" si="136"/>
        <v>3.54</v>
      </c>
      <c r="BN52" s="1107">
        <f t="shared" si="109"/>
        <v>6.13</v>
      </c>
      <c r="BO52" s="1107">
        <v>0</v>
      </c>
      <c r="BP52" s="1107">
        <v>0</v>
      </c>
      <c r="BQ52" s="1320">
        <f t="shared" ref="BQ52" si="154">ROUND(SUM(BL52:BP52),2)</f>
        <v>37.96</v>
      </c>
      <c r="BR52" s="1107">
        <f t="shared" si="137"/>
        <v>63.65</v>
      </c>
      <c r="BS52" s="1107">
        <f t="shared" si="138"/>
        <v>14.15</v>
      </c>
      <c r="BT52" s="1107">
        <f t="shared" si="111"/>
        <v>12.26</v>
      </c>
      <c r="BU52" s="1107">
        <v>0</v>
      </c>
      <c r="BV52" s="1108">
        <f t="shared" ref="BV52" si="155">ROUND(SUM(BR52:BT52),2)</f>
        <v>90.06</v>
      </c>
      <c r="BW52" s="1112">
        <f t="shared" ref="BW52" si="156">BQ52+BV52</f>
        <v>128.02000000000001</v>
      </c>
      <c r="BX52" s="1112">
        <f t="shared" si="114"/>
        <v>1024.24</v>
      </c>
      <c r="BY52" s="1108">
        <v>0</v>
      </c>
      <c r="BZ52" s="1108">
        <f t="shared" si="115"/>
        <v>1024.24</v>
      </c>
      <c r="CA52" s="1321">
        <f>'CONCEPTOS Y PARAMETROS'!$A$102</f>
        <v>6255</v>
      </c>
      <c r="CB52" s="1112">
        <f t="shared" si="116"/>
        <v>204.04</v>
      </c>
      <c r="CC52" s="1113">
        <f t="shared" si="117"/>
        <v>795.39</v>
      </c>
      <c r="CD52" s="512"/>
      <c r="CE52" s="512"/>
      <c r="CF52" s="470">
        <f t="shared" si="118"/>
        <v>869.5</v>
      </c>
      <c r="CG52" s="509">
        <f t="shared" si="119"/>
        <v>204.04</v>
      </c>
      <c r="CH52" s="498">
        <f t="shared" si="120"/>
        <v>12.5</v>
      </c>
      <c r="CI52" s="1491">
        <f t="shared" si="121"/>
        <v>320</v>
      </c>
      <c r="CJ52" s="1502">
        <v>1</v>
      </c>
      <c r="CK52" s="509">
        <f t="shared" si="122"/>
        <v>549.5</v>
      </c>
      <c r="CL52" s="1689">
        <f t="shared" si="123"/>
        <v>549.5</v>
      </c>
      <c r="CM52" s="1689">
        <f t="shared" si="124"/>
        <v>0</v>
      </c>
      <c r="CN52" s="510">
        <f t="shared" si="125"/>
        <v>91.94</v>
      </c>
      <c r="CO52" s="511">
        <v>0</v>
      </c>
      <c r="CP52" s="510">
        <f t="shared" si="126"/>
        <v>141.44999999999999</v>
      </c>
      <c r="CQ52" s="510">
        <f t="shared" si="127"/>
        <v>0</v>
      </c>
      <c r="CR52" s="496">
        <f t="shared" si="128"/>
        <v>1332.39</v>
      </c>
      <c r="CS52" s="510">
        <f t="shared" si="129"/>
        <v>128.02000000000001</v>
      </c>
      <c r="CT52" s="510">
        <f t="shared" si="130"/>
        <v>6255</v>
      </c>
      <c r="CU52" s="470"/>
      <c r="CV52" s="470"/>
      <c r="CW52" s="470"/>
      <c r="CX52" s="470"/>
      <c r="CY52" s="1149" t="s">
        <v>6821</v>
      </c>
      <c r="CZ52" s="1149" t="s">
        <v>6822</v>
      </c>
      <c r="DA52" s="1152"/>
      <c r="DB52" s="1642" t="s">
        <v>7476</v>
      </c>
      <c r="DC52" s="1642" t="s">
        <v>7282</v>
      </c>
      <c r="DD52" s="1645" t="s">
        <v>6150</v>
      </c>
      <c r="DE52" s="1645" t="s">
        <v>6487</v>
      </c>
      <c r="DF52" s="1642" t="s">
        <v>6328</v>
      </c>
      <c r="DG52" s="1642"/>
      <c r="DH52" s="470"/>
      <c r="DI52" s="512"/>
      <c r="DJ52" s="512"/>
      <c r="DK52" s="512"/>
      <c r="DL52" s="512"/>
      <c r="DN52" s="476" t="str">
        <f>VLOOKUP(X52,Hoja1!$A$4:$B$10,2,0)</f>
        <v>PROFESIONAL</v>
      </c>
      <c r="DO52" s="476" t="str">
        <f>VLOOKUP(S52,Hoja1!$D$4:$F$77,3,0)</f>
        <v>TII - III</v>
      </c>
      <c r="DP52" s="1158" t="str">
        <f t="shared" si="131"/>
        <v>SI</v>
      </c>
      <c r="DQ52" s="1484">
        <f>IF(T52&lt;&gt;"0",(ROUND(IF(A52="EMPLEADO",eval_formula('CONCEPTOS Y PARAMETROS'!$C$8,NOMINA!V52,AU52+BF52,NOMINA!I52+NOMINA!J52),eval_formula('CONCEPTOS Y PARAMETROS'!$D$8,NOMINA!V52,AU52+BF52,NOMINA!I52+NOMINA!J52)),2))*IF(H52&lt;&gt;"",IF(MONTH(H52)=$BR$8,IF(YEAR(H52)&lt;$BT$7,1,0),0)))</f>
        <v>0</v>
      </c>
      <c r="DR52" s="1799" t="str">
        <f t="shared" si="132"/>
        <v>F</v>
      </c>
      <c r="DS52" s="1799"/>
    </row>
    <row r="53" spans="1:123" s="471" customFormat="1" ht="21.95" customHeight="1" x14ac:dyDescent="0.25">
      <c r="A53" s="508" t="s">
        <v>2846</v>
      </c>
      <c r="B53" s="1314">
        <f t="shared" ca="1" si="133"/>
        <v>10</v>
      </c>
      <c r="C53" s="1148">
        <v>9162178</v>
      </c>
      <c r="D53" s="1149" t="s">
        <v>7242</v>
      </c>
      <c r="E53" s="1135" t="s">
        <v>4622</v>
      </c>
      <c r="F53" s="1150">
        <v>22346</v>
      </c>
      <c r="G53" s="1135" t="s">
        <v>4620</v>
      </c>
      <c r="H53" s="1150">
        <v>39566</v>
      </c>
      <c r="I53" s="1140">
        <f t="shared" si="90"/>
        <v>17</v>
      </c>
      <c r="J53" s="1132">
        <v>4</v>
      </c>
      <c r="K53" s="1140">
        <f t="shared" si="91"/>
        <v>21</v>
      </c>
      <c r="L53" s="1145" t="s">
        <v>5528</v>
      </c>
      <c r="M53" s="1132"/>
      <c r="N53" s="1132"/>
      <c r="O53" s="1002" t="s">
        <v>5217</v>
      </c>
      <c r="P53" s="1132" t="s">
        <v>5277</v>
      </c>
      <c r="Q53" s="1315" t="str">
        <f>IFERROR(VLOOKUP(O53,CARGOS!A:E,2,0),"")</f>
        <v>79512</v>
      </c>
      <c r="R53" s="1327" t="s">
        <v>5217</v>
      </c>
      <c r="S53" s="1146" t="s">
        <v>5463</v>
      </c>
      <c r="T53" s="1107">
        <f>IFERROR(VLOOKUP(S53,'TAB EMP'!A:B,2,0),0)</f>
        <v>177</v>
      </c>
      <c r="U53" s="1108">
        <v>0</v>
      </c>
      <c r="V53" s="1107">
        <f t="shared" si="92"/>
        <v>177</v>
      </c>
      <c r="W53" s="1108">
        <f t="shared" si="93"/>
        <v>88.5</v>
      </c>
      <c r="X53" s="1135" t="s">
        <v>2884</v>
      </c>
      <c r="Y53" s="1135"/>
      <c r="Z53" s="1135">
        <v>0</v>
      </c>
      <c r="AA53" s="1107">
        <f>ROUND(IF(H53&lt;&gt;"",VLOOKUP(SUM(I53+J53),'CONCEPTOS Y PARAMETROS'!F:G,2,0)*V53,0),2)</f>
        <v>49.21</v>
      </c>
      <c r="AB53" s="1107">
        <f>IF(S53&lt;&gt;"",IF(M53="",'CONCEPTOS Y PARAMETROS'!$C$4,0),0)</f>
        <v>130</v>
      </c>
      <c r="AC53" s="1107">
        <f>IF(S53&lt;&gt;"",IF(M53="",'CONCEPTOS Y PARAMETROS'!$C$7*Z53,0),0)</f>
        <v>0</v>
      </c>
      <c r="AD53" s="1107">
        <f>IFERROR(ROUND(VLOOKUP($X53,'CONCEPTOS Y PARAMETROS'!H:I,2,0)*($V53+AA53+AB53+AC53),2),0)</f>
        <v>0</v>
      </c>
      <c r="AE53" s="1107">
        <f t="shared" si="94"/>
        <v>179.21</v>
      </c>
      <c r="AF53" s="1107">
        <f t="shared" si="95"/>
        <v>24.61</v>
      </c>
      <c r="AG53" s="1107">
        <f t="shared" si="96"/>
        <v>24.6</v>
      </c>
      <c r="AH53" s="1107">
        <f t="shared" si="97"/>
        <v>65</v>
      </c>
      <c r="AI53" s="1107">
        <f t="shared" si="98"/>
        <v>65</v>
      </c>
      <c r="AJ53" s="1107">
        <f t="shared" si="99"/>
        <v>0</v>
      </c>
      <c r="AK53" s="1107">
        <f t="shared" si="100"/>
        <v>0</v>
      </c>
      <c r="AL53" s="1108">
        <f t="shared" si="101"/>
        <v>89.61</v>
      </c>
      <c r="AM53" s="1108">
        <f t="shared" si="102"/>
        <v>89.6</v>
      </c>
      <c r="AN53" s="990">
        <v>0</v>
      </c>
      <c r="AO53" s="1147">
        <f>'CONCEPTOS Y PARAMETROS'!$C$18*AN53</f>
        <v>0</v>
      </c>
      <c r="AP53" s="990">
        <v>0</v>
      </c>
      <c r="AQ53" s="1147">
        <f>'CONCEPTOS Y PARAMETROS'!$C$21*AP53</f>
        <v>0</v>
      </c>
      <c r="AR53" s="1318">
        <v>0</v>
      </c>
      <c r="AS53" s="1318">
        <v>0</v>
      </c>
      <c r="AT53" s="1318">
        <f t="shared" si="103"/>
        <v>0</v>
      </c>
      <c r="AU53" s="1108">
        <f t="shared" si="104"/>
        <v>463.07000000000005</v>
      </c>
      <c r="AV53" s="1133" t="s">
        <v>5080</v>
      </c>
      <c r="AW53" s="1108">
        <f t="shared" si="151"/>
        <v>106.86</v>
      </c>
      <c r="AX53" s="1107">
        <f>IF(T53&lt;&gt;"0",(ROUND(IF(A53="EMPLEADO",eval_formula('CONCEPTOS Y PARAMETROS'!$C$8,NOMINA!V53,NOMINA!$AU53,NOMINA!I53+NOMINA!J53),eval_formula('CONCEPTOS Y PARAMETROS'!$D$8,NOMINA!V53,NOMINA!$AU53,NOMINA!I53+NOMINA!J53)),2))*IF(H53&lt;&gt;"",IF(MONTH(H53)=$BR$8,IF(YEAR(H53)&lt;$BT$7,1,0),0)))</f>
        <v>0</v>
      </c>
      <c r="AY53" s="1108">
        <v>180</v>
      </c>
      <c r="AZ53" s="1107">
        <f>IFERROR(VLOOKUP(AY53,'CONCEPTOS Y PARAMETROS'!Y:Z,2,0),0)</f>
        <v>150</v>
      </c>
      <c r="BA53" s="1107">
        <f t="shared" si="106"/>
        <v>3473.03</v>
      </c>
      <c r="BB53" s="1107">
        <f t="shared" si="134"/>
        <v>0</v>
      </c>
      <c r="BC53" s="990">
        <v>0</v>
      </c>
      <c r="BD53" s="1107" t="str">
        <f t="shared" si="107"/>
        <v>0</v>
      </c>
      <c r="BE53" s="990">
        <v>0</v>
      </c>
      <c r="BF53" s="1107">
        <f t="shared" si="153"/>
        <v>0</v>
      </c>
      <c r="BG53" s="1108">
        <v>320</v>
      </c>
      <c r="BH53" s="1108">
        <v>0</v>
      </c>
      <c r="BI53" s="1132">
        <v>0</v>
      </c>
      <c r="BJ53" s="1108">
        <v>12.5</v>
      </c>
      <c r="BK53" s="1108">
        <v>0</v>
      </c>
      <c r="BL53" s="1107">
        <f t="shared" si="135"/>
        <v>21.37</v>
      </c>
      <c r="BM53" s="1107">
        <f t="shared" si="136"/>
        <v>2.67</v>
      </c>
      <c r="BN53" s="1107">
        <f t="shared" si="109"/>
        <v>4.63</v>
      </c>
      <c r="BO53" s="1107">
        <v>0</v>
      </c>
      <c r="BP53" s="1107">
        <v>0</v>
      </c>
      <c r="BQ53" s="1320">
        <f t="shared" si="110"/>
        <v>28.67</v>
      </c>
      <c r="BR53" s="1107">
        <f t="shared" si="137"/>
        <v>48.09</v>
      </c>
      <c r="BS53" s="1107">
        <f t="shared" si="138"/>
        <v>10.69</v>
      </c>
      <c r="BT53" s="1107">
        <f t="shared" si="111"/>
        <v>9.26</v>
      </c>
      <c r="BU53" s="1107">
        <v>0</v>
      </c>
      <c r="BV53" s="1108">
        <f t="shared" si="112"/>
        <v>68.040000000000006</v>
      </c>
      <c r="BW53" s="1112">
        <f t="shared" si="113"/>
        <v>96.710000000000008</v>
      </c>
      <c r="BX53" s="1112">
        <f t="shared" si="114"/>
        <v>868.26</v>
      </c>
      <c r="BY53" s="1108">
        <v>0</v>
      </c>
      <c r="BZ53" s="1108">
        <f t="shared" si="115"/>
        <v>868.26</v>
      </c>
      <c r="CA53" s="1321">
        <f>'CONCEPTOS Y PARAMETROS'!$A$102</f>
        <v>6255</v>
      </c>
      <c r="CB53" s="1112">
        <f t="shared" si="116"/>
        <v>149.44</v>
      </c>
      <c r="CC53" s="1113">
        <f t="shared" si="117"/>
        <v>617.46</v>
      </c>
      <c r="CD53" s="512"/>
      <c r="CE53" s="512"/>
      <c r="CF53" s="470">
        <f t="shared" si="118"/>
        <v>818.1</v>
      </c>
      <c r="CG53" s="495">
        <f t="shared" si="119"/>
        <v>149.44</v>
      </c>
      <c r="CH53" s="498">
        <f t="shared" si="120"/>
        <v>12.5</v>
      </c>
      <c r="CI53" s="1490">
        <f t="shared" si="121"/>
        <v>320</v>
      </c>
      <c r="CJ53" s="1502">
        <v>1</v>
      </c>
      <c r="CK53" s="495">
        <f t="shared" si="122"/>
        <v>498.1</v>
      </c>
      <c r="CL53" s="1689">
        <f t="shared" si="123"/>
        <v>498.1</v>
      </c>
      <c r="CM53" s="1689">
        <f t="shared" si="124"/>
        <v>0</v>
      </c>
      <c r="CN53" s="496">
        <f t="shared" si="125"/>
        <v>0</v>
      </c>
      <c r="CO53" s="497">
        <v>0</v>
      </c>
      <c r="CP53" s="496">
        <f t="shared" si="126"/>
        <v>106.86</v>
      </c>
      <c r="CQ53" s="496">
        <f t="shared" si="127"/>
        <v>0</v>
      </c>
      <c r="CR53" s="496">
        <f t="shared" si="128"/>
        <v>1103.06</v>
      </c>
      <c r="CS53" s="496">
        <f t="shared" si="129"/>
        <v>96.710000000000008</v>
      </c>
      <c r="CT53" s="496">
        <f t="shared" si="130"/>
        <v>6255</v>
      </c>
      <c r="CU53" s="470"/>
      <c r="CV53" s="470"/>
      <c r="CW53" s="470"/>
      <c r="CX53" s="470"/>
      <c r="CY53" s="1149" t="s">
        <v>6823</v>
      </c>
      <c r="CZ53" s="1149" t="s">
        <v>6890</v>
      </c>
      <c r="DA53" s="480"/>
      <c r="DB53" s="1642" t="s">
        <v>6566</v>
      </c>
      <c r="DC53" s="1642"/>
      <c r="DD53" s="1642" t="s">
        <v>6150</v>
      </c>
      <c r="DE53" s="1642" t="s">
        <v>6257</v>
      </c>
      <c r="DF53" s="1642" t="s">
        <v>7445</v>
      </c>
      <c r="DG53" s="1642"/>
      <c r="DH53" s="470"/>
      <c r="DI53" s="470"/>
      <c r="DJ53" s="470"/>
      <c r="DK53" s="470"/>
      <c r="DL53" s="470"/>
      <c r="DN53" s="471" t="str">
        <f>VLOOKUP(X53,Hoja1!$A$4:$B$10,2,0)</f>
        <v>BACHILLER</v>
      </c>
      <c r="DO53" s="471" t="str">
        <f>VLOOKUP(S53,Hoja1!$D$4:$F$77,3,0)</f>
        <v>BIII - VII</v>
      </c>
      <c r="DP53" s="1156" t="str">
        <f t="shared" si="131"/>
        <v>SI</v>
      </c>
      <c r="DQ53" s="1484">
        <f>IF(T53&lt;&gt;"0",(ROUND(IF(A53="EMPLEADO",eval_formula('CONCEPTOS Y PARAMETROS'!$C$8,NOMINA!V53,AU53+BF53,NOMINA!I53+NOMINA!J53),eval_formula('CONCEPTOS Y PARAMETROS'!$D$8,NOMINA!V53,AU53+BF53,NOMINA!I53+NOMINA!J53)),2))*IF(H53&lt;&gt;"",IF(MONTH(H53)=$BR$8,IF(YEAR(H53)&lt;$BT$7,1,0),0)))</f>
        <v>0</v>
      </c>
      <c r="DR53" s="1801" t="str">
        <f t="shared" si="132"/>
        <v>F</v>
      </c>
      <c r="DS53" s="1801"/>
    </row>
    <row r="54" spans="1:123" s="471" customFormat="1" ht="21.95" customHeight="1" x14ac:dyDescent="0.25">
      <c r="A54" s="508" t="s">
        <v>2846</v>
      </c>
      <c r="B54" s="1314">
        <f t="shared" ca="1" si="133"/>
        <v>11</v>
      </c>
      <c r="C54" s="1148">
        <v>9162243</v>
      </c>
      <c r="D54" s="1149" t="s">
        <v>4698</v>
      </c>
      <c r="E54" s="1135" t="s">
        <v>4622</v>
      </c>
      <c r="F54" s="1150">
        <v>22457</v>
      </c>
      <c r="G54" s="1135" t="s">
        <v>4621</v>
      </c>
      <c r="H54" s="1150">
        <v>35535</v>
      </c>
      <c r="I54" s="1140">
        <f t="shared" si="90"/>
        <v>28</v>
      </c>
      <c r="J54" s="1132">
        <v>0</v>
      </c>
      <c r="K54" s="1140">
        <f t="shared" si="91"/>
        <v>28</v>
      </c>
      <c r="L54" s="1145" t="s">
        <v>5546</v>
      </c>
      <c r="M54" s="1132"/>
      <c r="N54" s="1132"/>
      <c r="O54" s="1002" t="s">
        <v>5217</v>
      </c>
      <c r="P54" s="1132" t="s">
        <v>5278</v>
      </c>
      <c r="Q54" s="1315" t="str">
        <f>IFERROR(VLOOKUP(O54,CARGOS!A:E,2,0),"")</f>
        <v>79512</v>
      </c>
      <c r="R54" s="1327" t="s">
        <v>5217</v>
      </c>
      <c r="S54" s="1146" t="s">
        <v>5463</v>
      </c>
      <c r="T54" s="1107">
        <f>IFERROR(VLOOKUP(S54,'TAB EMP'!A:B,2,0),0)</f>
        <v>177</v>
      </c>
      <c r="U54" s="1108">
        <v>0</v>
      </c>
      <c r="V54" s="1107">
        <f t="shared" si="92"/>
        <v>177</v>
      </c>
      <c r="W54" s="1108">
        <f t="shared" si="93"/>
        <v>88.5</v>
      </c>
      <c r="X54" s="1135" t="s">
        <v>2884</v>
      </c>
      <c r="Y54" s="1135"/>
      <c r="Z54" s="1135">
        <v>0</v>
      </c>
      <c r="AA54" s="1107">
        <f>ROUND(IF(H54&lt;&gt;"",VLOOKUP(SUM(I54+J54),'CONCEPTOS Y PARAMETROS'!F:G,2,0)*V54,0),2)</f>
        <v>53.1</v>
      </c>
      <c r="AB54" s="1107">
        <f>IF(S54&lt;&gt;"",IF(M54="",'CONCEPTOS Y PARAMETROS'!$C$4,0),0)</f>
        <v>130</v>
      </c>
      <c r="AC54" s="1107">
        <f>IF(S54&lt;&gt;"",IF(M54="",'CONCEPTOS Y PARAMETROS'!$C$7*Z54,0),0)</f>
        <v>0</v>
      </c>
      <c r="AD54" s="1107">
        <f>IFERROR(ROUND(VLOOKUP($X54,'CONCEPTOS Y PARAMETROS'!H:I,2,0)*($V54+AA54+AB54+AC54),2),0)</f>
        <v>0</v>
      </c>
      <c r="AE54" s="1107">
        <f t="shared" si="94"/>
        <v>183.1</v>
      </c>
      <c r="AF54" s="1107">
        <f t="shared" si="95"/>
        <v>26.55</v>
      </c>
      <c r="AG54" s="1107">
        <f t="shared" si="96"/>
        <v>26.55</v>
      </c>
      <c r="AH54" s="1107">
        <f t="shared" si="97"/>
        <v>65</v>
      </c>
      <c r="AI54" s="1107">
        <f t="shared" si="98"/>
        <v>65</v>
      </c>
      <c r="AJ54" s="1107">
        <f t="shared" si="99"/>
        <v>0</v>
      </c>
      <c r="AK54" s="1107">
        <f t="shared" si="100"/>
        <v>0</v>
      </c>
      <c r="AL54" s="1108">
        <f t="shared" si="101"/>
        <v>91.55</v>
      </c>
      <c r="AM54" s="1108">
        <f t="shared" si="102"/>
        <v>91.55</v>
      </c>
      <c r="AN54" s="990">
        <v>0</v>
      </c>
      <c r="AO54" s="1147">
        <f>'CONCEPTOS Y PARAMETROS'!$C$18*AN54</f>
        <v>0</v>
      </c>
      <c r="AP54" s="990">
        <v>0</v>
      </c>
      <c r="AQ54" s="1147">
        <f>'CONCEPTOS Y PARAMETROS'!$C$21*AP54</f>
        <v>0</v>
      </c>
      <c r="AR54" s="1318">
        <v>0</v>
      </c>
      <c r="AS54" s="1318">
        <v>0</v>
      </c>
      <c r="AT54" s="1318">
        <f t="shared" si="103"/>
        <v>0</v>
      </c>
      <c r="AU54" s="1108">
        <f t="shared" si="104"/>
        <v>360.1</v>
      </c>
      <c r="AV54" s="1133">
        <v>0</v>
      </c>
      <c r="AW54" s="1108">
        <f t="shared" si="151"/>
        <v>0</v>
      </c>
      <c r="AX54" s="1107">
        <f>IF(T54&lt;&gt;"0",(ROUND(IF(A54="EMPLEADO",eval_formula('CONCEPTOS Y PARAMETROS'!$C$8,NOMINA!V54,NOMINA!$AU54,NOMINA!I54+NOMINA!J54),eval_formula('CONCEPTOS Y PARAMETROS'!$D$8,NOMINA!V54,NOMINA!$AU54,NOMINA!I54+NOMINA!J54)),2))*IF(H54&lt;&gt;"",IF(MONTH(H54)=$BR$8,IF(YEAR(H54)&lt;$BT$7,1,0),0)))</f>
        <v>0</v>
      </c>
      <c r="AY54" s="1108">
        <v>180</v>
      </c>
      <c r="AZ54" s="1107">
        <f>IFERROR(VLOOKUP(AY54,'CONCEPTOS Y PARAMETROS'!Y:Z,2,0),0)</f>
        <v>150</v>
      </c>
      <c r="BA54" s="1107">
        <f t="shared" si="106"/>
        <v>2700.75</v>
      </c>
      <c r="BB54" s="1107">
        <f t="shared" si="134"/>
        <v>0</v>
      </c>
      <c r="BC54" s="990">
        <v>0</v>
      </c>
      <c r="BD54" s="1107" t="str">
        <f t="shared" si="107"/>
        <v>0</v>
      </c>
      <c r="BE54" s="990">
        <v>0</v>
      </c>
      <c r="BF54" s="1107">
        <f t="shared" si="153"/>
        <v>0</v>
      </c>
      <c r="BG54" s="1108">
        <v>320</v>
      </c>
      <c r="BH54" s="1108">
        <v>0</v>
      </c>
      <c r="BI54" s="1132">
        <v>0</v>
      </c>
      <c r="BJ54" s="1108">
        <v>12.5</v>
      </c>
      <c r="BK54" s="1108">
        <v>0</v>
      </c>
      <c r="BL54" s="1107">
        <f t="shared" si="135"/>
        <v>16.62</v>
      </c>
      <c r="BM54" s="1107">
        <f t="shared" si="136"/>
        <v>2.08</v>
      </c>
      <c r="BN54" s="1107">
        <f t="shared" si="109"/>
        <v>3.6</v>
      </c>
      <c r="BO54" s="1107">
        <v>0</v>
      </c>
      <c r="BP54" s="1107">
        <v>0</v>
      </c>
      <c r="BQ54" s="1320">
        <f t="shared" si="110"/>
        <v>22.3</v>
      </c>
      <c r="BR54" s="1107">
        <f t="shared" si="137"/>
        <v>37.4</v>
      </c>
      <c r="BS54" s="1107">
        <f t="shared" si="138"/>
        <v>8.31</v>
      </c>
      <c r="BT54" s="1107">
        <f t="shared" si="111"/>
        <v>7.2</v>
      </c>
      <c r="BU54" s="1107">
        <v>0</v>
      </c>
      <c r="BV54" s="1108">
        <f t="shared" si="112"/>
        <v>52.91</v>
      </c>
      <c r="BW54" s="1112">
        <f t="shared" si="113"/>
        <v>75.209999999999994</v>
      </c>
      <c r="BX54" s="1112">
        <f t="shared" si="114"/>
        <v>675.19</v>
      </c>
      <c r="BY54" s="1108">
        <v>0</v>
      </c>
      <c r="BZ54" s="1108">
        <f t="shared" si="115"/>
        <v>675.19</v>
      </c>
      <c r="CA54" s="1321">
        <v>0</v>
      </c>
      <c r="CB54" s="1112">
        <f t="shared" si="116"/>
        <v>157.75</v>
      </c>
      <c r="CC54" s="1113">
        <f t="shared" si="117"/>
        <v>512.54999999999995</v>
      </c>
      <c r="CD54" s="512"/>
      <c r="CE54" s="512"/>
      <c r="CF54" s="470">
        <f t="shared" si="118"/>
        <v>820.05</v>
      </c>
      <c r="CG54" s="495">
        <f t="shared" si="119"/>
        <v>157.75</v>
      </c>
      <c r="CH54" s="498">
        <f t="shared" si="120"/>
        <v>12.5</v>
      </c>
      <c r="CI54" s="1490">
        <f t="shared" si="121"/>
        <v>320</v>
      </c>
      <c r="CJ54" s="1502">
        <v>1</v>
      </c>
      <c r="CK54" s="495">
        <f t="shared" si="122"/>
        <v>500.05</v>
      </c>
      <c r="CL54" s="1689">
        <f t="shared" si="123"/>
        <v>500.05</v>
      </c>
      <c r="CM54" s="1689">
        <f t="shared" si="124"/>
        <v>0</v>
      </c>
      <c r="CN54" s="496">
        <f t="shared" si="125"/>
        <v>0</v>
      </c>
      <c r="CO54" s="497">
        <v>0</v>
      </c>
      <c r="CP54" s="496">
        <f t="shared" si="126"/>
        <v>0</v>
      </c>
      <c r="CQ54" s="496">
        <f t="shared" si="127"/>
        <v>0</v>
      </c>
      <c r="CR54" s="496">
        <f t="shared" si="128"/>
        <v>1000.1</v>
      </c>
      <c r="CS54" s="496">
        <f t="shared" si="129"/>
        <v>75.209999999999994</v>
      </c>
      <c r="CT54" s="496">
        <f t="shared" si="130"/>
        <v>0</v>
      </c>
      <c r="CU54" s="470"/>
      <c r="CV54" s="470"/>
      <c r="CW54" s="470"/>
      <c r="CX54" s="470"/>
      <c r="CY54" s="1149" t="s">
        <v>6150</v>
      </c>
      <c r="CZ54" s="1149" t="s">
        <v>7080</v>
      </c>
      <c r="DA54" s="480"/>
      <c r="DB54" s="1152" t="s">
        <v>6306</v>
      </c>
      <c r="DC54" s="1152" t="s">
        <v>7548</v>
      </c>
      <c r="DD54" s="1152" t="s">
        <v>6135</v>
      </c>
      <c r="DE54" s="1152" t="s">
        <v>6171</v>
      </c>
      <c r="DF54" s="1152" t="s">
        <v>6307</v>
      </c>
      <c r="DG54" s="1152"/>
      <c r="DH54" s="470"/>
      <c r="DI54" s="470"/>
      <c r="DJ54" s="470"/>
      <c r="DK54" s="470"/>
      <c r="DL54" s="470"/>
      <c r="DN54" s="471" t="str">
        <f>VLOOKUP(X54,Hoja1!$A$4:$B$10,2,0)</f>
        <v>BACHILLER</v>
      </c>
      <c r="DO54" s="471" t="str">
        <f>VLOOKUP(S54,Hoja1!$D$4:$F$77,3,0)</f>
        <v>BIII - VII</v>
      </c>
      <c r="DP54" s="1156" t="str">
        <f t="shared" si="131"/>
        <v>0</v>
      </c>
      <c r="DQ54" s="1484">
        <f>IF(T54&lt;&gt;"0",(ROUND(IF(A54="EMPLEADO",eval_formula('CONCEPTOS Y PARAMETROS'!$C$8,NOMINA!V54,AU54+BF54,NOMINA!I54+NOMINA!J54),eval_formula('CONCEPTOS Y PARAMETROS'!$D$8,NOMINA!V54,AU54+BF54,NOMINA!I54+NOMINA!J54)),2))*IF(H54&lt;&gt;"",IF(MONTH(H54)=$BR$8,IF(YEAR(H54)&lt;$BT$7,1,0),0)))</f>
        <v>0</v>
      </c>
      <c r="DR54" s="1801" t="str">
        <f t="shared" si="132"/>
        <v>M</v>
      </c>
      <c r="DS54" s="1801"/>
    </row>
    <row r="55" spans="1:123" s="471" customFormat="1" ht="21.95" customHeight="1" x14ac:dyDescent="0.25">
      <c r="A55" s="508" t="s">
        <v>2846</v>
      </c>
      <c r="B55" s="1314">
        <f t="shared" ca="1" si="133"/>
        <v>12</v>
      </c>
      <c r="C55" s="1148">
        <v>9170647</v>
      </c>
      <c r="D55" s="1149" t="s">
        <v>7564</v>
      </c>
      <c r="E55" s="1135" t="s">
        <v>4622</v>
      </c>
      <c r="F55" s="1150">
        <v>23104</v>
      </c>
      <c r="G55" s="1135" t="s">
        <v>4620</v>
      </c>
      <c r="H55" s="1150">
        <v>39238</v>
      </c>
      <c r="I55" s="1140">
        <f t="shared" si="90"/>
        <v>18</v>
      </c>
      <c r="J55" s="1132">
        <v>0</v>
      </c>
      <c r="K55" s="1140">
        <f t="shared" si="91"/>
        <v>18</v>
      </c>
      <c r="L55" s="1145" t="s">
        <v>5535</v>
      </c>
      <c r="M55" s="1132"/>
      <c r="N55" s="1132"/>
      <c r="O55" s="1002" t="s">
        <v>5217</v>
      </c>
      <c r="P55" s="1132" t="s">
        <v>5279</v>
      </c>
      <c r="Q55" s="1315" t="str">
        <f>IFERROR(VLOOKUP(O55,CARGOS!A:E,2,0),"")</f>
        <v>79512</v>
      </c>
      <c r="R55" s="1327" t="s">
        <v>5217</v>
      </c>
      <c r="S55" s="1146" t="s">
        <v>5471</v>
      </c>
      <c r="T55" s="1107">
        <f>IFERROR(VLOOKUP(S55,'TAB EMP'!A:B,2,0),0)</f>
        <v>228</v>
      </c>
      <c r="U55" s="1108">
        <v>0</v>
      </c>
      <c r="V55" s="1107">
        <f t="shared" si="92"/>
        <v>228</v>
      </c>
      <c r="W55" s="1108">
        <f t="shared" si="93"/>
        <v>114</v>
      </c>
      <c r="X55" s="1135" t="s">
        <v>2844</v>
      </c>
      <c r="Y55" s="1135"/>
      <c r="Z55" s="1135">
        <v>0</v>
      </c>
      <c r="AA55" s="1107">
        <f>ROUND(IF(H55&lt;&gt;"",VLOOKUP(SUM(I55+J55),'CONCEPTOS Y PARAMETROS'!F:G,2,0)*V55,0),2)</f>
        <v>51.98</v>
      </c>
      <c r="AB55" s="1107">
        <f>IF(S55&lt;&gt;"",IF(M55="",'CONCEPTOS Y PARAMETROS'!$C$4,0),0)</f>
        <v>130</v>
      </c>
      <c r="AC55" s="1107">
        <f>IF(S55&lt;&gt;"",IF(M55="",'CONCEPTOS Y PARAMETROS'!$C$7*Z55,0),0)</f>
        <v>0</v>
      </c>
      <c r="AD55" s="1107">
        <f>IFERROR(ROUND(VLOOKUP($X55,'CONCEPTOS Y PARAMETROS'!H:I,2,0)*($V55+AA55+AB55+AC55),2),0)</f>
        <v>82</v>
      </c>
      <c r="AE55" s="1107">
        <f t="shared" si="94"/>
        <v>263.98</v>
      </c>
      <c r="AF55" s="1107">
        <f t="shared" si="95"/>
        <v>25.99</v>
      </c>
      <c r="AG55" s="1107">
        <f t="shared" si="96"/>
        <v>25.99</v>
      </c>
      <c r="AH55" s="1107">
        <f t="shared" si="97"/>
        <v>65</v>
      </c>
      <c r="AI55" s="1107">
        <f t="shared" si="98"/>
        <v>65</v>
      </c>
      <c r="AJ55" s="1107">
        <f t="shared" si="99"/>
        <v>41</v>
      </c>
      <c r="AK55" s="1107">
        <f t="shared" si="100"/>
        <v>41</v>
      </c>
      <c r="AL55" s="1108">
        <f t="shared" si="101"/>
        <v>131.99</v>
      </c>
      <c r="AM55" s="1108">
        <f t="shared" si="102"/>
        <v>131.99</v>
      </c>
      <c r="AN55" s="990">
        <v>0</v>
      </c>
      <c r="AO55" s="1147">
        <f>'CONCEPTOS Y PARAMETROS'!$C$18*AN55</f>
        <v>0</v>
      </c>
      <c r="AP55" s="990">
        <v>0</v>
      </c>
      <c r="AQ55" s="1147">
        <f>'CONCEPTOS Y PARAMETROS'!$C$21*AP55</f>
        <v>0</v>
      </c>
      <c r="AR55" s="1318">
        <v>0</v>
      </c>
      <c r="AS55" s="1318">
        <v>0</v>
      </c>
      <c r="AT55" s="1318">
        <f t="shared" si="103"/>
        <v>0</v>
      </c>
      <c r="AU55" s="1108">
        <f t="shared" si="104"/>
        <v>639.57000000000005</v>
      </c>
      <c r="AV55" s="1133" t="s">
        <v>5080</v>
      </c>
      <c r="AW55" s="1108">
        <f t="shared" si="151"/>
        <v>147.59</v>
      </c>
      <c r="AX55" s="1107">
        <f>IF(T55&lt;&gt;"0",(ROUND(IF(A55="EMPLEADO",eval_formula('CONCEPTOS Y PARAMETROS'!$C$8,NOMINA!V55,NOMINA!$AU55,NOMINA!I55+NOMINA!J55),eval_formula('CONCEPTOS Y PARAMETROS'!$D$8,NOMINA!V55,NOMINA!$AU55,NOMINA!I55+NOMINA!J55)),2))*IF(H55&lt;&gt;"",IF(MONTH(H55)=$BR$8,IF(YEAR(H55)&lt;$BT$7,1,0),0)))</f>
        <v>0</v>
      </c>
      <c r="AY55" s="1108">
        <v>180</v>
      </c>
      <c r="AZ55" s="1107">
        <f>IFERROR(VLOOKUP(AY55,'CONCEPTOS Y PARAMETROS'!Y:Z,2,0),0)</f>
        <v>150</v>
      </c>
      <c r="BA55" s="1107">
        <f t="shared" si="106"/>
        <v>4796.78</v>
      </c>
      <c r="BB55" s="1107">
        <f t="shared" si="134"/>
        <v>0</v>
      </c>
      <c r="BC55" s="990">
        <v>0</v>
      </c>
      <c r="BD55" s="1107" t="str">
        <f t="shared" si="107"/>
        <v>0</v>
      </c>
      <c r="BE55" s="990">
        <v>0</v>
      </c>
      <c r="BF55" s="1107">
        <f t="shared" si="153"/>
        <v>0</v>
      </c>
      <c r="BG55" s="1108">
        <v>320</v>
      </c>
      <c r="BH55" s="1108">
        <v>0</v>
      </c>
      <c r="BI55" s="1132">
        <v>0</v>
      </c>
      <c r="BJ55" s="1108">
        <v>12.5</v>
      </c>
      <c r="BK55" s="1108">
        <v>0</v>
      </c>
      <c r="BL55" s="1107">
        <f t="shared" si="135"/>
        <v>29.52</v>
      </c>
      <c r="BM55" s="1107">
        <f t="shared" si="136"/>
        <v>3.69</v>
      </c>
      <c r="BN55" s="1107">
        <f t="shared" si="109"/>
        <v>6.4</v>
      </c>
      <c r="BO55" s="1107">
        <v>0</v>
      </c>
      <c r="BP55" s="1107">
        <v>0</v>
      </c>
      <c r="BQ55" s="1320">
        <f t="shared" si="110"/>
        <v>39.61</v>
      </c>
      <c r="BR55" s="1107">
        <f t="shared" si="137"/>
        <v>66.42</v>
      </c>
      <c r="BS55" s="1107">
        <f t="shared" si="138"/>
        <v>14.76</v>
      </c>
      <c r="BT55" s="1107">
        <f t="shared" si="111"/>
        <v>12.8</v>
      </c>
      <c r="BU55" s="1107">
        <v>0</v>
      </c>
      <c r="BV55" s="1108">
        <f t="shared" si="112"/>
        <v>93.98</v>
      </c>
      <c r="BW55" s="1112">
        <f t="shared" si="113"/>
        <v>133.59</v>
      </c>
      <c r="BX55" s="1112">
        <f t="shared" si="114"/>
        <v>1199.2</v>
      </c>
      <c r="BY55" s="1108">
        <v>0</v>
      </c>
      <c r="BZ55" s="1108">
        <f t="shared" si="115"/>
        <v>1199.2</v>
      </c>
      <c r="CA55" s="1321">
        <f>'CONCEPTOS Y PARAMETROS'!$A$102</f>
        <v>6255</v>
      </c>
      <c r="CB55" s="1112">
        <f t="shared" si="116"/>
        <v>206.38</v>
      </c>
      <c r="CC55" s="1113">
        <f t="shared" si="117"/>
        <v>726.08</v>
      </c>
      <c r="CD55" s="512"/>
      <c r="CE55" s="512"/>
      <c r="CF55" s="470">
        <f t="shared" si="118"/>
        <v>885.99</v>
      </c>
      <c r="CG55" s="495">
        <f t="shared" si="119"/>
        <v>206.38</v>
      </c>
      <c r="CH55" s="498">
        <f t="shared" si="120"/>
        <v>12.5</v>
      </c>
      <c r="CI55" s="1490">
        <f t="shared" si="121"/>
        <v>320</v>
      </c>
      <c r="CJ55" s="1502">
        <v>1</v>
      </c>
      <c r="CK55" s="495">
        <f t="shared" si="122"/>
        <v>565.99</v>
      </c>
      <c r="CL55" s="1689">
        <f t="shared" si="123"/>
        <v>565.99</v>
      </c>
      <c r="CM55" s="1689">
        <f t="shared" si="124"/>
        <v>0</v>
      </c>
      <c r="CN55" s="496">
        <f t="shared" si="125"/>
        <v>0</v>
      </c>
      <c r="CO55" s="497">
        <v>0</v>
      </c>
      <c r="CP55" s="496">
        <f t="shared" si="126"/>
        <v>147.59</v>
      </c>
      <c r="CQ55" s="496">
        <f t="shared" si="127"/>
        <v>0</v>
      </c>
      <c r="CR55" s="496">
        <f t="shared" si="128"/>
        <v>1279.57</v>
      </c>
      <c r="CS55" s="496">
        <f t="shared" si="129"/>
        <v>133.59</v>
      </c>
      <c r="CT55" s="496">
        <f t="shared" si="130"/>
        <v>6255</v>
      </c>
      <c r="CU55" s="470"/>
      <c r="CV55" s="470"/>
      <c r="CW55" s="470"/>
      <c r="CX55" s="470"/>
      <c r="CY55" s="1149" t="s">
        <v>6827</v>
      </c>
      <c r="CZ55" s="1149" t="s">
        <v>7081</v>
      </c>
      <c r="DA55" s="480"/>
      <c r="DB55" s="1642" t="s">
        <v>6312</v>
      </c>
      <c r="DC55" s="1642" t="s">
        <v>7512</v>
      </c>
      <c r="DD55" s="1642" t="s">
        <v>6135</v>
      </c>
      <c r="DE55" s="1642" t="s">
        <v>6247</v>
      </c>
      <c r="DF55" s="1642" t="s">
        <v>7522</v>
      </c>
      <c r="DG55" s="1642" t="s">
        <v>7521</v>
      </c>
      <c r="DH55" s="470"/>
      <c r="DI55" s="470"/>
      <c r="DJ55" s="470"/>
      <c r="DK55" s="470"/>
      <c r="DL55" s="470"/>
      <c r="DN55" s="471" t="str">
        <f>VLOOKUP(X55,Hoja1!$A$4:$B$10,2,0)</f>
        <v>TÉCNICO SUPERIOR UNIVERSITARIO</v>
      </c>
      <c r="DO55" s="471" t="str">
        <f>VLOOKUP(S55,Hoja1!$D$4:$F$77,3,0)</f>
        <v>TII - VII</v>
      </c>
      <c r="DP55" s="1156" t="str">
        <f t="shared" si="131"/>
        <v>SI</v>
      </c>
      <c r="DQ55" s="1484">
        <f>IF(T55&lt;&gt;"0",(ROUND(IF(A55="EMPLEADO",eval_formula('CONCEPTOS Y PARAMETROS'!$C$8,NOMINA!V55,AU55+BF55,NOMINA!I55+NOMINA!J55),eval_formula('CONCEPTOS Y PARAMETROS'!$D$8,NOMINA!V55,AU55+BF55,NOMINA!I55+NOMINA!J55)),2))*IF(H55&lt;&gt;"",IF(MONTH(H55)=$BR$8,IF(YEAR(H55)&lt;$BT$7,1,0),0)))</f>
        <v>0</v>
      </c>
      <c r="DR55" s="1801" t="str">
        <f t="shared" si="132"/>
        <v>F</v>
      </c>
      <c r="DS55" s="1801"/>
    </row>
    <row r="56" spans="1:123" s="471" customFormat="1" ht="21.95" customHeight="1" x14ac:dyDescent="0.25">
      <c r="A56" s="508" t="s">
        <v>2846</v>
      </c>
      <c r="B56" s="1314">
        <f t="shared" ca="1" si="133"/>
        <v>13</v>
      </c>
      <c r="C56" s="1148">
        <v>9177323</v>
      </c>
      <c r="D56" s="1149" t="s">
        <v>7565</v>
      </c>
      <c r="E56" s="1135" t="s">
        <v>4622</v>
      </c>
      <c r="F56" s="1150">
        <v>22286</v>
      </c>
      <c r="G56" s="1135" t="s">
        <v>4620</v>
      </c>
      <c r="H56" s="1150">
        <v>37879</v>
      </c>
      <c r="I56" s="1140">
        <f t="shared" si="90"/>
        <v>22</v>
      </c>
      <c r="J56" s="1132">
        <v>0</v>
      </c>
      <c r="K56" s="1140">
        <f t="shared" si="91"/>
        <v>22</v>
      </c>
      <c r="L56" s="1145" t="s">
        <v>5525</v>
      </c>
      <c r="M56" s="1132"/>
      <c r="N56" s="1132"/>
      <c r="O56" s="1002" t="s">
        <v>5215</v>
      </c>
      <c r="P56" s="1132" t="s">
        <v>5280</v>
      </c>
      <c r="Q56" s="1315" t="str">
        <f>IFERROR(VLOOKUP(O56,CARGOS!A:E,2,0),"")</f>
        <v>12113</v>
      </c>
      <c r="R56" s="1327" t="s">
        <v>5215</v>
      </c>
      <c r="S56" s="1146" t="s">
        <v>5463</v>
      </c>
      <c r="T56" s="1107">
        <f>IFERROR(VLOOKUP(S56,'TAB EMP'!A:B,2,0),0)</f>
        <v>177</v>
      </c>
      <c r="U56" s="1108">
        <v>0</v>
      </c>
      <c r="V56" s="1107">
        <f t="shared" si="92"/>
        <v>177</v>
      </c>
      <c r="W56" s="1108">
        <f t="shared" si="93"/>
        <v>88.5</v>
      </c>
      <c r="X56" s="1135" t="s">
        <v>2884</v>
      </c>
      <c r="Y56" s="1135"/>
      <c r="Z56" s="1135">
        <v>0</v>
      </c>
      <c r="AA56" s="1107">
        <f>ROUND(IF(H56&lt;&gt;"",VLOOKUP(SUM(I56+J56),'CONCEPTOS Y PARAMETROS'!F:G,2,0)*V56,0),2)</f>
        <v>52.39</v>
      </c>
      <c r="AB56" s="1107">
        <f>IF(S56&lt;&gt;"",IF(M56="",'CONCEPTOS Y PARAMETROS'!$C$4,0),0)</f>
        <v>130</v>
      </c>
      <c r="AC56" s="1107">
        <f>IF(S56&lt;&gt;"",IF(M56="",'CONCEPTOS Y PARAMETROS'!$C$7*Z56,0),0)</f>
        <v>0</v>
      </c>
      <c r="AD56" s="1107">
        <f>IFERROR(ROUND(VLOOKUP($X56,'CONCEPTOS Y PARAMETROS'!H:I,2,0)*($V56+AA56+AB56+AC56),2),0)</f>
        <v>0</v>
      </c>
      <c r="AE56" s="1107">
        <f t="shared" si="94"/>
        <v>182.39</v>
      </c>
      <c r="AF56" s="1107">
        <f t="shared" si="95"/>
        <v>26.2</v>
      </c>
      <c r="AG56" s="1107">
        <f t="shared" si="96"/>
        <v>26.19</v>
      </c>
      <c r="AH56" s="1107">
        <f t="shared" si="97"/>
        <v>65</v>
      </c>
      <c r="AI56" s="1107">
        <f t="shared" si="98"/>
        <v>65</v>
      </c>
      <c r="AJ56" s="1107">
        <f t="shared" si="99"/>
        <v>0</v>
      </c>
      <c r="AK56" s="1107">
        <f t="shared" si="100"/>
        <v>0</v>
      </c>
      <c r="AL56" s="1108">
        <f t="shared" si="101"/>
        <v>91.2</v>
      </c>
      <c r="AM56" s="1108">
        <f t="shared" si="102"/>
        <v>91.19</v>
      </c>
      <c r="AN56" s="990">
        <v>0</v>
      </c>
      <c r="AO56" s="1147">
        <f>'CONCEPTOS Y PARAMETROS'!$C$18*AN56</f>
        <v>0</v>
      </c>
      <c r="AP56" s="990">
        <v>0</v>
      </c>
      <c r="AQ56" s="1147">
        <f>'CONCEPTOS Y PARAMETROS'!$C$21*AP56</f>
        <v>0</v>
      </c>
      <c r="AR56" s="1318">
        <v>0</v>
      </c>
      <c r="AS56" s="1318">
        <v>0</v>
      </c>
      <c r="AT56" s="1318">
        <f t="shared" si="103"/>
        <v>0</v>
      </c>
      <c r="AU56" s="1108">
        <f t="shared" si="104"/>
        <v>359.39</v>
      </c>
      <c r="AV56" s="1133">
        <v>0</v>
      </c>
      <c r="AW56" s="1108">
        <f t="shared" si="151"/>
        <v>0</v>
      </c>
      <c r="AX56" s="1107">
        <f>IF(T56&lt;&gt;"0",(ROUND(IF(A56="EMPLEADO",eval_formula('CONCEPTOS Y PARAMETROS'!$C$8,NOMINA!V56,NOMINA!$AU56,NOMINA!I56+NOMINA!J56),eval_formula('CONCEPTOS Y PARAMETROS'!$D$8,NOMINA!V56,NOMINA!$AU56,NOMINA!I56+NOMINA!J56)),2))*IF(H56&lt;&gt;"",IF(MONTH(H56)=$BR$8,IF(YEAR(H56)&lt;$BT$7,1,0),0)))</f>
        <v>2875.12</v>
      </c>
      <c r="AY56" s="1108">
        <v>180</v>
      </c>
      <c r="AZ56" s="1107">
        <f>IFERROR(VLOOKUP(AY56,'CONCEPTOS Y PARAMETROS'!Y:Z,2,0),0)</f>
        <v>150</v>
      </c>
      <c r="BA56" s="1107">
        <f t="shared" si="106"/>
        <v>2695.43</v>
      </c>
      <c r="BB56" s="1107">
        <f t="shared" si="134"/>
        <v>0</v>
      </c>
      <c r="BC56" s="990">
        <v>0</v>
      </c>
      <c r="BD56" s="1107" t="str">
        <f t="shared" si="107"/>
        <v>0</v>
      </c>
      <c r="BE56" s="990">
        <v>0</v>
      </c>
      <c r="BF56" s="1107">
        <f t="shared" si="153"/>
        <v>0</v>
      </c>
      <c r="BG56" s="1108">
        <v>320</v>
      </c>
      <c r="BH56" s="1108">
        <v>0</v>
      </c>
      <c r="BI56" s="1132">
        <v>0</v>
      </c>
      <c r="BJ56" s="1108">
        <v>12.5</v>
      </c>
      <c r="BK56" s="1108">
        <v>0</v>
      </c>
      <c r="BL56" s="1107">
        <v>0</v>
      </c>
      <c r="BM56" s="1107">
        <v>0</v>
      </c>
      <c r="BN56" s="1107">
        <f t="shared" si="109"/>
        <v>3.59</v>
      </c>
      <c r="BO56" s="1107">
        <v>0</v>
      </c>
      <c r="BP56" s="1107">
        <v>0</v>
      </c>
      <c r="BQ56" s="1320">
        <f t="shared" si="110"/>
        <v>3.59</v>
      </c>
      <c r="BR56" s="1107">
        <f>ROUND(IF(M56="", (((AU56*12)/52)*9%)*$BS$8,0),2)*0</f>
        <v>0</v>
      </c>
      <c r="BS56" s="1107">
        <v>0</v>
      </c>
      <c r="BT56" s="1107">
        <f t="shared" si="111"/>
        <v>7.18</v>
      </c>
      <c r="BU56" s="1107">
        <v>0</v>
      </c>
      <c r="BV56" s="1108">
        <f t="shared" si="112"/>
        <v>7.18</v>
      </c>
      <c r="BW56" s="1112">
        <f t="shared" si="113"/>
        <v>10.77</v>
      </c>
      <c r="BX56" s="1112">
        <f t="shared" si="114"/>
        <v>673.86</v>
      </c>
      <c r="BY56" s="1108">
        <v>0</v>
      </c>
      <c r="BZ56" s="1108">
        <f t="shared" si="115"/>
        <v>673.86</v>
      </c>
      <c r="CA56" s="1321">
        <f>'CONCEPTOS Y PARAMETROS'!$A$102</f>
        <v>6255</v>
      </c>
      <c r="CB56" s="1112">
        <f t="shared" si="116"/>
        <v>176.10999999999999</v>
      </c>
      <c r="CC56" s="1113">
        <f t="shared" si="117"/>
        <v>3387.31</v>
      </c>
      <c r="CD56" s="512"/>
      <c r="CE56" s="512"/>
      <c r="CF56" s="470">
        <f t="shared" si="118"/>
        <v>819.69</v>
      </c>
      <c r="CG56" s="495">
        <f t="shared" si="119"/>
        <v>176.10999999999999</v>
      </c>
      <c r="CH56" s="498">
        <f t="shared" si="120"/>
        <v>12.5</v>
      </c>
      <c r="CI56" s="1490">
        <f t="shared" si="121"/>
        <v>320</v>
      </c>
      <c r="CJ56" s="1502">
        <v>1</v>
      </c>
      <c r="CK56" s="495">
        <f t="shared" si="122"/>
        <v>499.69</v>
      </c>
      <c r="CL56" s="1689">
        <f t="shared" si="123"/>
        <v>499.69</v>
      </c>
      <c r="CM56" s="1689">
        <f t="shared" si="124"/>
        <v>0</v>
      </c>
      <c r="CN56" s="496">
        <f t="shared" si="125"/>
        <v>0</v>
      </c>
      <c r="CO56" s="497">
        <v>0</v>
      </c>
      <c r="CP56" s="496">
        <f t="shared" si="126"/>
        <v>0</v>
      </c>
      <c r="CQ56" s="496">
        <f t="shared" si="127"/>
        <v>2875.12</v>
      </c>
      <c r="CR56" s="496">
        <f t="shared" si="128"/>
        <v>3874.5</v>
      </c>
      <c r="CS56" s="496">
        <f t="shared" si="129"/>
        <v>10.77</v>
      </c>
      <c r="CT56" s="496">
        <f t="shared" si="130"/>
        <v>6255</v>
      </c>
      <c r="CU56" s="470"/>
      <c r="CV56" s="470"/>
      <c r="CW56" s="470"/>
      <c r="CX56" s="470"/>
      <c r="CY56" s="1149" t="s">
        <v>7046</v>
      </c>
      <c r="CZ56" s="1149" t="s">
        <v>7082</v>
      </c>
      <c r="DA56" s="480"/>
      <c r="DB56" s="1642" t="s">
        <v>6291</v>
      </c>
      <c r="DC56" s="1642"/>
      <c r="DD56" s="1642" t="s">
        <v>6150</v>
      </c>
      <c r="DE56" s="1642" t="s">
        <v>6192</v>
      </c>
      <c r="DF56" s="1642" t="s">
        <v>6542</v>
      </c>
      <c r="DG56" s="1152"/>
      <c r="DH56" s="915"/>
      <c r="DI56" s="470"/>
      <c r="DJ56" s="470"/>
      <c r="DK56" s="470"/>
      <c r="DL56" s="470"/>
      <c r="DN56" s="471" t="str">
        <f>VLOOKUP(X56,Hoja1!$A$4:$B$10,2,0)</f>
        <v>BACHILLER</v>
      </c>
      <c r="DO56" s="471" t="str">
        <f>VLOOKUP(S56,Hoja1!$D$4:$F$77,3,0)</f>
        <v>BIII - VII</v>
      </c>
      <c r="DP56" s="1156" t="str">
        <f t="shared" si="131"/>
        <v>0</v>
      </c>
      <c r="DQ56" s="1484">
        <f>IF(T56&lt;&gt;"0",(ROUND(IF(A56="EMPLEADO",eval_formula('CONCEPTOS Y PARAMETROS'!$C$8,NOMINA!V56,AU56+BF56,NOMINA!I56+NOMINA!J56),eval_formula('CONCEPTOS Y PARAMETROS'!$D$8,NOMINA!V56,AU56+BF56,NOMINA!I56+NOMINA!J56)),2))*IF(H56&lt;&gt;"",IF(MONTH(H56)=$BR$8,IF(YEAR(H56)&lt;$BT$7,1,0),0)))</f>
        <v>2875.12</v>
      </c>
      <c r="DR56" s="1801" t="str">
        <f t="shared" si="132"/>
        <v>F</v>
      </c>
      <c r="DS56" s="1801"/>
    </row>
    <row r="57" spans="1:123" s="471" customFormat="1" ht="21.95" customHeight="1" x14ac:dyDescent="0.25">
      <c r="A57" s="508" t="s">
        <v>2846</v>
      </c>
      <c r="B57" s="1314">
        <f t="shared" ca="1" si="133"/>
        <v>14</v>
      </c>
      <c r="C57" s="1148">
        <v>9178087</v>
      </c>
      <c r="D57" s="1149" t="s">
        <v>4701</v>
      </c>
      <c r="E57" s="1135" t="s">
        <v>4622</v>
      </c>
      <c r="F57" s="1150">
        <v>21373</v>
      </c>
      <c r="G57" s="1135" t="s">
        <v>4621</v>
      </c>
      <c r="H57" s="1150">
        <v>37622</v>
      </c>
      <c r="I57" s="1140">
        <f t="shared" si="90"/>
        <v>22</v>
      </c>
      <c r="J57" s="1132">
        <v>0</v>
      </c>
      <c r="K57" s="1140">
        <f t="shared" si="91"/>
        <v>22</v>
      </c>
      <c r="L57" s="1145" t="s">
        <v>5529</v>
      </c>
      <c r="M57" s="1132"/>
      <c r="N57" s="1132"/>
      <c r="O57" s="1002" t="s">
        <v>5215</v>
      </c>
      <c r="P57" s="1132" t="s">
        <v>5281</v>
      </c>
      <c r="Q57" s="1315" t="str">
        <f>IFERROR(VLOOKUP(O57,CARGOS!A:E,2,0),"")</f>
        <v>12113</v>
      </c>
      <c r="R57" s="1327" t="s">
        <v>5215</v>
      </c>
      <c r="S57" s="1146" t="s">
        <v>5463</v>
      </c>
      <c r="T57" s="1107">
        <f>IFERROR(VLOOKUP(S57,'TAB EMP'!A:B,2,0),0)</f>
        <v>177</v>
      </c>
      <c r="U57" s="1108">
        <v>0</v>
      </c>
      <c r="V57" s="1107">
        <f t="shared" si="92"/>
        <v>177</v>
      </c>
      <c r="W57" s="1108">
        <f t="shared" si="93"/>
        <v>88.5</v>
      </c>
      <c r="X57" s="1135" t="s">
        <v>2884</v>
      </c>
      <c r="Y57" s="1135"/>
      <c r="Z57" s="1135">
        <v>0</v>
      </c>
      <c r="AA57" s="1107">
        <f>ROUND(IF(H57&lt;&gt;"",VLOOKUP(SUM(I57+J57),'CONCEPTOS Y PARAMETROS'!F:G,2,0)*V57,0),2)</f>
        <v>52.39</v>
      </c>
      <c r="AB57" s="1107">
        <f>IF(S57&lt;&gt;"",IF(M57="",'CONCEPTOS Y PARAMETROS'!$C$4,0),0)</f>
        <v>130</v>
      </c>
      <c r="AC57" s="1107">
        <f>IF(S57&lt;&gt;"",IF(M57="",'CONCEPTOS Y PARAMETROS'!$C$7*Z57,0),0)</f>
        <v>0</v>
      </c>
      <c r="AD57" s="1107">
        <f>IFERROR(ROUND(VLOOKUP($X57,'CONCEPTOS Y PARAMETROS'!H:I,2,0)*($V57+AA57+AB57+AC57),2),0)</f>
        <v>0</v>
      </c>
      <c r="AE57" s="1107">
        <f t="shared" si="94"/>
        <v>182.39</v>
      </c>
      <c r="AF57" s="1107">
        <f t="shared" si="95"/>
        <v>26.2</v>
      </c>
      <c r="AG57" s="1107">
        <f t="shared" si="96"/>
        <v>26.19</v>
      </c>
      <c r="AH57" s="1107">
        <f t="shared" si="97"/>
        <v>65</v>
      </c>
      <c r="AI57" s="1107">
        <f t="shared" si="98"/>
        <v>65</v>
      </c>
      <c r="AJ57" s="1107">
        <f t="shared" si="99"/>
        <v>0</v>
      </c>
      <c r="AK57" s="1107">
        <f t="shared" si="100"/>
        <v>0</v>
      </c>
      <c r="AL57" s="1108">
        <f t="shared" si="101"/>
        <v>91.2</v>
      </c>
      <c r="AM57" s="1108">
        <f t="shared" si="102"/>
        <v>91.19</v>
      </c>
      <c r="AN57" s="990">
        <v>0</v>
      </c>
      <c r="AO57" s="1147">
        <f>'CONCEPTOS Y PARAMETROS'!$C$18*AN57</f>
        <v>0</v>
      </c>
      <c r="AP57" s="990">
        <v>0</v>
      </c>
      <c r="AQ57" s="1147">
        <f>'CONCEPTOS Y PARAMETROS'!$C$21*AP57</f>
        <v>0</v>
      </c>
      <c r="AR57" s="1318">
        <v>0</v>
      </c>
      <c r="AS57" s="1318">
        <v>0</v>
      </c>
      <c r="AT57" s="1318">
        <f t="shared" si="103"/>
        <v>0</v>
      </c>
      <c r="AU57" s="1108">
        <f t="shared" si="104"/>
        <v>359.39</v>
      </c>
      <c r="AV57" s="1133">
        <v>0</v>
      </c>
      <c r="AW57" s="1108">
        <f t="shared" si="151"/>
        <v>0</v>
      </c>
      <c r="AX57" s="1107">
        <f>IF(T57&lt;&gt;"0",(ROUND(IF(A57="EMPLEADO",eval_formula('CONCEPTOS Y PARAMETROS'!$C$8,NOMINA!V57,NOMINA!$AU57,NOMINA!I57+NOMINA!J57),eval_formula('CONCEPTOS Y PARAMETROS'!$D$8,NOMINA!V57,NOMINA!$AU57,NOMINA!I57+NOMINA!J57)),2))*IF(H57&lt;&gt;"",IF(MONTH(H57)=$BR$8,IF(YEAR(H57)&lt;$BT$7,1,0),0)))</f>
        <v>0</v>
      </c>
      <c r="AY57" s="1108">
        <v>180</v>
      </c>
      <c r="AZ57" s="1107">
        <f>IFERROR(VLOOKUP(AY57,'CONCEPTOS Y PARAMETROS'!Y:Z,2,0),0)</f>
        <v>150</v>
      </c>
      <c r="BA57" s="1107">
        <f t="shared" si="106"/>
        <v>2695.43</v>
      </c>
      <c r="BB57" s="1107">
        <f t="shared" si="134"/>
        <v>0</v>
      </c>
      <c r="BC57" s="990">
        <v>0</v>
      </c>
      <c r="BD57" s="1107" t="str">
        <f t="shared" si="107"/>
        <v>0</v>
      </c>
      <c r="BE57" s="990">
        <v>0</v>
      </c>
      <c r="BF57" s="1107">
        <f t="shared" si="153"/>
        <v>0</v>
      </c>
      <c r="BG57" s="1108">
        <v>320</v>
      </c>
      <c r="BH57" s="1108">
        <v>0</v>
      </c>
      <c r="BI57" s="1132">
        <v>0</v>
      </c>
      <c r="BJ57" s="1108">
        <v>12.5</v>
      </c>
      <c r="BK57" s="1108">
        <v>0</v>
      </c>
      <c r="BL57" s="1107">
        <f t="shared" ref="BL57:BL120" si="157">ROUND(IF(M57="", (((AU57*12)/52)*4%)*$BS$8,0),2)</f>
        <v>16.59</v>
      </c>
      <c r="BM57" s="1107">
        <f t="shared" ref="BM57:BM120" si="158">ROUND(IF(M57="",(((AU57*12)/52)*0.5%)*$BS$8,0),2)</f>
        <v>2.0699999999999998</v>
      </c>
      <c r="BN57" s="1107">
        <f t="shared" si="109"/>
        <v>3.59</v>
      </c>
      <c r="BO57" s="1107">
        <v>0</v>
      </c>
      <c r="BP57" s="1107">
        <v>0</v>
      </c>
      <c r="BQ57" s="1320">
        <f t="shared" si="110"/>
        <v>22.25</v>
      </c>
      <c r="BR57" s="1107">
        <f t="shared" ref="BR57:BR120" si="159">ROUND(IF(M57="", (((AU57*12)/52)*9%)*$BS$8,0),2)</f>
        <v>37.32</v>
      </c>
      <c r="BS57" s="1107">
        <f t="shared" ref="BS57:BS120" si="160">ROUND(IF(M57="",(((AU57*12)/52)*2%)*$BS$8,0),2)</f>
        <v>8.2899999999999991</v>
      </c>
      <c r="BT57" s="1107">
        <f t="shared" si="111"/>
        <v>7.18</v>
      </c>
      <c r="BU57" s="1107">
        <v>0</v>
      </c>
      <c r="BV57" s="1108">
        <f t="shared" si="112"/>
        <v>52.79</v>
      </c>
      <c r="BW57" s="1112">
        <f t="shared" si="113"/>
        <v>75.039999999999992</v>
      </c>
      <c r="BX57" s="1112">
        <f t="shared" si="114"/>
        <v>673.86</v>
      </c>
      <c r="BY57" s="1108">
        <v>0</v>
      </c>
      <c r="BZ57" s="1108">
        <f t="shared" si="115"/>
        <v>673.86</v>
      </c>
      <c r="CA57" s="1321">
        <f>'CONCEPTOS Y PARAMETROS'!$A$102</f>
        <v>6255</v>
      </c>
      <c r="CB57" s="1112">
        <f t="shared" si="116"/>
        <v>157.44999999999999</v>
      </c>
      <c r="CC57" s="1113">
        <f t="shared" si="117"/>
        <v>512.19000000000005</v>
      </c>
      <c r="CD57" s="512"/>
      <c r="CE57" s="512"/>
      <c r="CF57" s="470">
        <f t="shared" si="118"/>
        <v>819.69</v>
      </c>
      <c r="CG57" s="495">
        <f t="shared" si="119"/>
        <v>157.44999999999999</v>
      </c>
      <c r="CH57" s="498">
        <f t="shared" si="120"/>
        <v>12.5</v>
      </c>
      <c r="CI57" s="1490">
        <f t="shared" si="121"/>
        <v>320</v>
      </c>
      <c r="CJ57" s="1502">
        <v>1</v>
      </c>
      <c r="CK57" s="495">
        <f t="shared" si="122"/>
        <v>499.69</v>
      </c>
      <c r="CL57" s="1689">
        <f t="shared" si="123"/>
        <v>499.69</v>
      </c>
      <c r="CM57" s="1689">
        <f t="shared" si="124"/>
        <v>0</v>
      </c>
      <c r="CN57" s="496">
        <f t="shared" si="125"/>
        <v>0</v>
      </c>
      <c r="CO57" s="497">
        <v>0</v>
      </c>
      <c r="CP57" s="496">
        <f t="shared" si="126"/>
        <v>0</v>
      </c>
      <c r="CQ57" s="496">
        <f t="shared" si="127"/>
        <v>0</v>
      </c>
      <c r="CR57" s="496">
        <f t="shared" si="128"/>
        <v>999.38</v>
      </c>
      <c r="CS57" s="496">
        <f t="shared" si="129"/>
        <v>75.039999999999992</v>
      </c>
      <c r="CT57" s="496">
        <f t="shared" si="130"/>
        <v>6255</v>
      </c>
      <c r="CU57" s="470"/>
      <c r="CV57" s="470"/>
      <c r="CW57" s="470"/>
      <c r="CX57" s="470"/>
      <c r="CY57" s="1149" t="s">
        <v>6824</v>
      </c>
      <c r="CZ57" s="1149" t="s">
        <v>7083</v>
      </c>
      <c r="DA57" s="480"/>
      <c r="DB57" s="1642" t="s">
        <v>6567</v>
      </c>
      <c r="DC57" s="1642"/>
      <c r="DD57" s="1642" t="s">
        <v>6142</v>
      </c>
      <c r="DE57" s="1642" t="s">
        <v>6142</v>
      </c>
      <c r="DF57" s="1642" t="s">
        <v>6394</v>
      </c>
      <c r="DG57" s="1152"/>
      <c r="DH57" s="915"/>
      <c r="DI57" s="470"/>
      <c r="DJ57" s="470"/>
      <c r="DK57" s="470"/>
      <c r="DL57" s="470"/>
      <c r="DN57" s="471" t="str">
        <f>VLOOKUP(X57,Hoja1!$A$4:$B$10,2,0)</f>
        <v>BACHILLER</v>
      </c>
      <c r="DO57" s="471" t="str">
        <f>VLOOKUP(S57,Hoja1!$D$4:$F$77,3,0)</f>
        <v>BIII - VII</v>
      </c>
      <c r="DP57" s="1156" t="str">
        <f t="shared" si="131"/>
        <v>0</v>
      </c>
      <c r="DQ57" s="1484">
        <f>IF(T57&lt;&gt;"0",(ROUND(IF(A57="EMPLEADO",eval_formula('CONCEPTOS Y PARAMETROS'!$C$8,NOMINA!V57,AU57+BF57,NOMINA!I57+NOMINA!J57),eval_formula('CONCEPTOS Y PARAMETROS'!$D$8,NOMINA!V57,AU57+BF57,NOMINA!I57+NOMINA!J57)),2))*IF(H57&lt;&gt;"",IF(MONTH(H57)=$BR$8,IF(YEAR(H57)&lt;$BT$7,1,0),0)))</f>
        <v>0</v>
      </c>
      <c r="DR57" s="1801" t="str">
        <f t="shared" si="132"/>
        <v>M</v>
      </c>
      <c r="DS57" s="1801"/>
    </row>
    <row r="58" spans="1:123" s="476" customFormat="1" ht="21.95" customHeight="1" x14ac:dyDescent="0.25">
      <c r="A58" s="508" t="s">
        <v>2846</v>
      </c>
      <c r="B58" s="1314">
        <f t="shared" ca="1" si="133"/>
        <v>15</v>
      </c>
      <c r="C58" s="1148">
        <v>9179981</v>
      </c>
      <c r="D58" s="1149" t="s">
        <v>4702</v>
      </c>
      <c r="E58" s="1135" t="s">
        <v>4622</v>
      </c>
      <c r="F58" s="1150">
        <v>23294</v>
      </c>
      <c r="G58" s="1135" t="s">
        <v>4621</v>
      </c>
      <c r="H58" s="1150">
        <v>45597</v>
      </c>
      <c r="I58" s="1140">
        <f t="shared" si="90"/>
        <v>0</v>
      </c>
      <c r="J58" s="1132">
        <f>11+7</f>
        <v>18</v>
      </c>
      <c r="K58" s="1140">
        <f t="shared" si="91"/>
        <v>18</v>
      </c>
      <c r="L58" s="1145" t="s">
        <v>5531</v>
      </c>
      <c r="M58" s="1132"/>
      <c r="N58" s="1132"/>
      <c r="O58" s="1002" t="s">
        <v>5258</v>
      </c>
      <c r="P58" s="1132" t="s">
        <v>6793</v>
      </c>
      <c r="Q58" s="1315" t="str">
        <f>IFERROR(VLOOKUP(O58,CARGOS!A:E,2,0),"")</f>
        <v>41413</v>
      </c>
      <c r="R58" s="1327" t="s">
        <v>5258</v>
      </c>
      <c r="S58" s="1146" t="s">
        <v>5463</v>
      </c>
      <c r="T58" s="1107">
        <f>IFERROR(VLOOKUP(S58,'TAB EMP'!A:B,2,0),0)</f>
        <v>177</v>
      </c>
      <c r="U58" s="1108">
        <v>0</v>
      </c>
      <c r="V58" s="1107">
        <f t="shared" ref="V58" si="161">T58-U58</f>
        <v>177</v>
      </c>
      <c r="W58" s="1108">
        <f t="shared" ref="W58" si="162">ROUND(V58/2,2)</f>
        <v>88.5</v>
      </c>
      <c r="X58" s="1135" t="s">
        <v>2885</v>
      </c>
      <c r="Y58" s="1135"/>
      <c r="Z58" s="1135">
        <v>0</v>
      </c>
      <c r="AA58" s="1107">
        <f>ROUND(IF(H58&lt;&gt;"",VLOOKUP(SUM(I58+J58),'CONCEPTOS Y PARAMETROS'!F:G,2,0)*V58,0),2)</f>
        <v>40.36</v>
      </c>
      <c r="AB58" s="1107">
        <f>IF(S58&lt;&gt;"",IF(M58="",'CONCEPTOS Y PARAMETROS'!$C$4,0),0)</f>
        <v>130</v>
      </c>
      <c r="AC58" s="1107">
        <f>IF(S58&lt;&gt;"",IF(M58="",'CONCEPTOS Y PARAMETROS'!$C$7*Z58,0),0)</f>
        <v>0</v>
      </c>
      <c r="AD58" s="1107">
        <f>IFERROR(ROUND(VLOOKUP($X58,'CONCEPTOS Y PARAMETROS'!H:I,2,0)*($V58+AA58+AB58+AC58),2),0)</f>
        <v>86.84</v>
      </c>
      <c r="AE58" s="1107">
        <f t="shared" ref="AE58" si="163">SUM(AA58:AD58)</f>
        <v>257.20000000000005</v>
      </c>
      <c r="AF58" s="1107">
        <f t="shared" ref="AF58" si="164">ROUND(AA58/2,2)</f>
        <v>20.18</v>
      </c>
      <c r="AG58" s="1107">
        <f t="shared" ref="AG58" si="165">ROUND(AA58-AF58,2)</f>
        <v>20.18</v>
      </c>
      <c r="AH58" s="1107">
        <f t="shared" ref="AH58" si="166">ROUND(AB58/2,2)</f>
        <v>65</v>
      </c>
      <c r="AI58" s="1107">
        <f t="shared" ref="AI58" si="167">ROUND(AB58-AH58,2)</f>
        <v>65</v>
      </c>
      <c r="AJ58" s="1107">
        <f t="shared" ref="AJ58" si="168">ROUND(AD58/2,2)</f>
        <v>43.42</v>
      </c>
      <c r="AK58" s="1107">
        <f t="shared" ref="AK58" si="169">ROUND(AD58-AJ58,2)</f>
        <v>43.42</v>
      </c>
      <c r="AL58" s="1108">
        <f t="shared" ref="AL58" si="170">ROUND(AF58+AH58+AJ58+AC58,2)</f>
        <v>128.6</v>
      </c>
      <c r="AM58" s="1108">
        <f t="shared" ref="AM58" si="171">ROUND(AG58+AI58+AK58,2)</f>
        <v>128.6</v>
      </c>
      <c r="AN58" s="990">
        <v>0</v>
      </c>
      <c r="AO58" s="1147">
        <f>'CONCEPTOS Y PARAMETROS'!$C$18*AN58</f>
        <v>0</v>
      </c>
      <c r="AP58" s="990">
        <v>0</v>
      </c>
      <c r="AQ58" s="1147">
        <f>'CONCEPTOS Y PARAMETROS'!$C$21*AP58</f>
        <v>0</v>
      </c>
      <c r="AR58" s="1318">
        <v>0</v>
      </c>
      <c r="AS58" s="1318">
        <v>0</v>
      </c>
      <c r="AT58" s="1318">
        <f t="shared" ref="AT58" si="172">+AO58+AQ58+AR58+AS58</f>
        <v>0</v>
      </c>
      <c r="AU58" s="1108">
        <f t="shared" si="104"/>
        <v>434.20000000000005</v>
      </c>
      <c r="AV58" s="1133">
        <v>0</v>
      </c>
      <c r="AW58" s="1108">
        <f t="shared" si="151"/>
        <v>0</v>
      </c>
      <c r="AX58" s="1107">
        <f>IF(T58&lt;&gt;"0",(ROUND(IF(A58="EMPLEADO",eval_formula('CONCEPTOS Y PARAMETROS'!$C$8,NOMINA!V58,NOMINA!$AU58,NOMINA!I58+NOMINA!J58),eval_formula('CONCEPTOS Y PARAMETROS'!$D$8,NOMINA!V58,NOMINA!$AU58,NOMINA!I58+NOMINA!J58)),2))*IF(H58&lt;&gt;"",IF(MONTH(H58)=$BR$8,IF(YEAR(H58)&lt;$BT$7,1,0),0)))</f>
        <v>0</v>
      </c>
      <c r="AY58" s="1108">
        <v>30</v>
      </c>
      <c r="AZ58" s="1107">
        <f>IFERROR(VLOOKUP(AY58,'CONCEPTOS Y PARAMETROS'!Y:Z,2,0),0)</f>
        <v>25</v>
      </c>
      <c r="BA58" s="1107">
        <f t="shared" ref="BA58" si="173">ROUND((((AU58))/30*AY58/12+(AU58))/30*AZ58,2)</f>
        <v>391.99</v>
      </c>
      <c r="BB58" s="1107">
        <f t="shared" ref="BB58" si="174">ROUND(AU58/30*$BB$10,2)</f>
        <v>0</v>
      </c>
      <c r="BC58" s="990">
        <v>0</v>
      </c>
      <c r="BD58" s="1107" t="str">
        <f t="shared" si="107"/>
        <v>0</v>
      </c>
      <c r="BE58" s="990">
        <v>0</v>
      </c>
      <c r="BF58" s="1107">
        <f t="shared" si="153"/>
        <v>0</v>
      </c>
      <c r="BG58" s="1108">
        <v>320</v>
      </c>
      <c r="BH58" s="1108">
        <v>0</v>
      </c>
      <c r="BI58" s="1132">
        <v>0</v>
      </c>
      <c r="BJ58" s="1108">
        <v>12.5</v>
      </c>
      <c r="BK58" s="1108">
        <v>0</v>
      </c>
      <c r="BL58" s="1107">
        <f t="shared" si="157"/>
        <v>20.04</v>
      </c>
      <c r="BM58" s="1107">
        <f t="shared" si="158"/>
        <v>2.5099999999999998</v>
      </c>
      <c r="BN58" s="1107">
        <f t="shared" si="109"/>
        <v>4.34</v>
      </c>
      <c r="BO58" s="1107">
        <v>0</v>
      </c>
      <c r="BP58" s="1107">
        <v>0</v>
      </c>
      <c r="BQ58" s="1320">
        <f t="shared" ref="BQ58" si="175">ROUND(SUM(BL58:BP58),2)</f>
        <v>26.89</v>
      </c>
      <c r="BR58" s="1107">
        <f t="shared" si="159"/>
        <v>45.09</v>
      </c>
      <c r="BS58" s="1107">
        <f t="shared" si="160"/>
        <v>10.02</v>
      </c>
      <c r="BT58" s="1107">
        <f t="shared" si="111"/>
        <v>8.68</v>
      </c>
      <c r="BU58" s="1107">
        <v>0</v>
      </c>
      <c r="BV58" s="1108">
        <f t="shared" ref="BV58" si="176">ROUND(SUM(BR58:BT58),2)</f>
        <v>63.79</v>
      </c>
      <c r="BW58" s="1112">
        <f t="shared" ref="BW58" si="177">BQ58+BV58</f>
        <v>90.68</v>
      </c>
      <c r="BX58" s="1112">
        <f>ROUND(BA58/3,2)</f>
        <v>130.66</v>
      </c>
      <c r="BY58" s="1108">
        <v>0</v>
      </c>
      <c r="BZ58" s="1108">
        <f t="shared" si="115"/>
        <v>130.66</v>
      </c>
      <c r="CA58" s="1321">
        <f>'CONCEPTOS Y PARAMETROS'!$A$102</f>
        <v>6255</v>
      </c>
      <c r="CB58" s="1112">
        <f t="shared" si="116"/>
        <v>190.20999999999998</v>
      </c>
      <c r="CC58" s="1113">
        <f t="shared" si="117"/>
        <v>549.6</v>
      </c>
      <c r="CD58" s="1452"/>
      <c r="CE58" s="512"/>
      <c r="CF58" s="470">
        <f t="shared" si="118"/>
        <v>857.1</v>
      </c>
      <c r="CG58" s="509">
        <f t="shared" si="119"/>
        <v>190.20999999999998</v>
      </c>
      <c r="CH58" s="498">
        <f t="shared" si="120"/>
        <v>12.5</v>
      </c>
      <c r="CI58" s="1491">
        <f t="shared" si="121"/>
        <v>320</v>
      </c>
      <c r="CJ58" s="1502">
        <v>1</v>
      </c>
      <c r="CK58" s="509">
        <f t="shared" si="122"/>
        <v>537.1</v>
      </c>
      <c r="CL58" s="1689">
        <f t="shared" si="123"/>
        <v>537.1</v>
      </c>
      <c r="CM58" s="1689">
        <f t="shared" si="124"/>
        <v>0</v>
      </c>
      <c r="CN58" s="510">
        <f t="shared" si="125"/>
        <v>0</v>
      </c>
      <c r="CO58" s="511">
        <v>0</v>
      </c>
      <c r="CP58" s="510">
        <f t="shared" si="126"/>
        <v>0</v>
      </c>
      <c r="CQ58" s="510">
        <f t="shared" si="127"/>
        <v>0</v>
      </c>
      <c r="CR58" s="496">
        <f t="shared" si="128"/>
        <v>1074.2</v>
      </c>
      <c r="CS58" s="510">
        <f t="shared" si="129"/>
        <v>90.68</v>
      </c>
      <c r="CT58" s="510">
        <f t="shared" si="130"/>
        <v>6255</v>
      </c>
      <c r="CU58" s="470"/>
      <c r="CV58" s="470"/>
      <c r="CW58" s="470"/>
      <c r="CX58" s="470"/>
      <c r="CY58" s="1149" t="s">
        <v>6897</v>
      </c>
      <c r="CZ58" s="1149" t="s">
        <v>7084</v>
      </c>
      <c r="DA58" s="1152"/>
      <c r="DB58" s="1642" t="s">
        <v>6795</v>
      </c>
      <c r="DC58" s="1642"/>
      <c r="DD58" s="1642" t="s">
        <v>6135</v>
      </c>
      <c r="DE58" s="1642" t="s">
        <v>6162</v>
      </c>
      <c r="DF58" s="1642" t="s">
        <v>6543</v>
      </c>
      <c r="DG58" s="1642"/>
      <c r="DH58" s="512"/>
      <c r="DI58" s="512"/>
      <c r="DJ58" s="512"/>
      <c r="DK58" s="512"/>
      <c r="DL58" s="512"/>
      <c r="DN58" s="476" t="str">
        <f>VLOOKUP(X58,Hoja1!$A$4:$B$10,2,0)</f>
        <v>PROFESIONAL</v>
      </c>
      <c r="DO58" s="476" t="str">
        <f>VLOOKUP(S58,Hoja1!$D$4:$F$77,3,0)</f>
        <v>BIII - VII</v>
      </c>
      <c r="DP58" s="1451" t="str">
        <f t="shared" si="131"/>
        <v>0</v>
      </c>
      <c r="DQ58" s="1484">
        <f>IF(T58&lt;&gt;"0",(ROUND(IF(A58="EMPLEADO",eval_formula('CONCEPTOS Y PARAMETROS'!$C$8,NOMINA!V58,AU58+BF58,NOMINA!I58+NOMINA!J58),eval_formula('CONCEPTOS Y PARAMETROS'!$D$8,NOMINA!V58,AU58+BF58,NOMINA!I58+NOMINA!J58)),2))*IF(H58&lt;&gt;"",IF(MONTH(H58)=$BR$8,IF(YEAR(H58)&lt;$BT$7,1,0),0)))</f>
        <v>0</v>
      </c>
      <c r="DR58" s="1799" t="str">
        <f t="shared" si="132"/>
        <v>M</v>
      </c>
      <c r="DS58" s="1799"/>
    </row>
    <row r="59" spans="1:123" s="911" customFormat="1" ht="21.95" customHeight="1" x14ac:dyDescent="0.25">
      <c r="A59" s="910" t="s">
        <v>2846</v>
      </c>
      <c r="B59" s="1328">
        <f t="shared" ca="1" si="133"/>
        <v>16</v>
      </c>
      <c r="C59" s="1329">
        <v>9311822</v>
      </c>
      <c r="D59" s="1330" t="s">
        <v>7566</v>
      </c>
      <c r="E59" s="1331" t="s">
        <v>4622</v>
      </c>
      <c r="F59" s="1332">
        <v>23743</v>
      </c>
      <c r="G59" s="1331" t="s">
        <v>4621</v>
      </c>
      <c r="H59" s="1332">
        <v>37662</v>
      </c>
      <c r="I59" s="1333">
        <f t="shared" si="90"/>
        <v>22</v>
      </c>
      <c r="J59" s="1334">
        <v>0</v>
      </c>
      <c r="K59" s="1333">
        <f t="shared" si="91"/>
        <v>22</v>
      </c>
      <c r="L59" s="1335" t="s">
        <v>5520</v>
      </c>
      <c r="M59" s="1334"/>
      <c r="N59" s="1334"/>
      <c r="O59" s="1336" t="s">
        <v>5215</v>
      </c>
      <c r="P59" s="1334" t="s">
        <v>5187</v>
      </c>
      <c r="Q59" s="1337" t="str">
        <f>IFERROR(VLOOKUP(O59,CARGOS!A:E,2,0),"")</f>
        <v>12113</v>
      </c>
      <c r="R59" s="1336" t="s">
        <v>5215</v>
      </c>
      <c r="S59" s="1338" t="s">
        <v>5463</v>
      </c>
      <c r="T59" s="1339">
        <v>0</v>
      </c>
      <c r="U59" s="1307">
        <v>0</v>
      </c>
      <c r="V59" s="1339">
        <f t="shared" si="92"/>
        <v>0</v>
      </c>
      <c r="W59" s="1307">
        <f t="shared" si="93"/>
        <v>0</v>
      </c>
      <c r="X59" s="1331" t="s">
        <v>2884</v>
      </c>
      <c r="Y59" s="1331"/>
      <c r="Z59" s="1331">
        <v>0</v>
      </c>
      <c r="AA59" s="1339">
        <f>ROUND(IF(H59&lt;&gt;"",VLOOKUP(SUM(I59+J59),'CONCEPTOS Y PARAMETROS'!F:G,2,0)*V59,0),2)</f>
        <v>0</v>
      </c>
      <c r="AB59" s="1339">
        <v>0</v>
      </c>
      <c r="AC59" s="1339">
        <v>0</v>
      </c>
      <c r="AD59" s="1339">
        <f>IFERROR(ROUND(VLOOKUP($X59,'CONCEPTOS Y PARAMETROS'!H:I,2,0)*($V59+AA59+AB59+AC59),2),0)</f>
        <v>0</v>
      </c>
      <c r="AE59" s="1339">
        <f t="shared" si="94"/>
        <v>0</v>
      </c>
      <c r="AF59" s="1339">
        <f t="shared" si="95"/>
        <v>0</v>
      </c>
      <c r="AG59" s="1339">
        <f t="shared" si="96"/>
        <v>0</v>
      </c>
      <c r="AH59" s="1339">
        <f t="shared" si="97"/>
        <v>0</v>
      </c>
      <c r="AI59" s="1339">
        <f t="shared" si="98"/>
        <v>0</v>
      </c>
      <c r="AJ59" s="1339">
        <f t="shared" si="99"/>
        <v>0</v>
      </c>
      <c r="AK59" s="1339">
        <f t="shared" si="100"/>
        <v>0</v>
      </c>
      <c r="AL59" s="1307">
        <f t="shared" si="101"/>
        <v>0</v>
      </c>
      <c r="AM59" s="1307">
        <f t="shared" si="102"/>
        <v>0</v>
      </c>
      <c r="AN59" s="1340">
        <v>0</v>
      </c>
      <c r="AO59" s="1341">
        <v>0</v>
      </c>
      <c r="AP59" s="1340">
        <v>0</v>
      </c>
      <c r="AQ59" s="1341">
        <f>'CONCEPTOS Y PARAMETROS'!$C$21*AP59</f>
        <v>0</v>
      </c>
      <c r="AR59" s="1342">
        <v>0</v>
      </c>
      <c r="AS59" s="1342">
        <v>0</v>
      </c>
      <c r="AT59" s="1342">
        <f t="shared" si="103"/>
        <v>0</v>
      </c>
      <c r="AU59" s="1307">
        <f t="shared" si="104"/>
        <v>0</v>
      </c>
      <c r="AV59" s="1343">
        <v>0</v>
      </c>
      <c r="AW59" s="1307">
        <f>ROUND(IF(O59="VIGILANTE",(V59+AE59)*30%,0),2)</f>
        <v>0</v>
      </c>
      <c r="AX59" s="1339">
        <f>IF(T59&lt;&gt;"0",(ROUND(IF(A59="EMPLEADO",eval_formula('CONCEPTOS Y PARAMETROS'!$C$8,NOMINA!V59,NOMINA!$AU59,NOMINA!I59+NOMINA!J59),eval_formula('CONCEPTOS Y PARAMETROS'!$D$8,NOMINA!V59,NOMINA!$AU59,NOMINA!I59+NOMINA!J59)),2))*IF(H59&lt;&gt;"",IF(MONTH(H59)=$BR$8,IF(YEAR(H59)&lt;$BT$7,1,0),0)))</f>
        <v>0</v>
      </c>
      <c r="AY59" s="1307">
        <v>180</v>
      </c>
      <c r="AZ59" s="1339">
        <f>IFERROR(VLOOKUP(AY59,'CONCEPTOS Y PARAMETROS'!Y:Z,2,0),0)</f>
        <v>150</v>
      </c>
      <c r="BA59" s="1339">
        <f t="shared" si="106"/>
        <v>0</v>
      </c>
      <c r="BB59" s="1339">
        <f t="shared" si="134"/>
        <v>0</v>
      </c>
      <c r="BC59" s="1340">
        <v>0</v>
      </c>
      <c r="BD59" s="1339" t="str">
        <f t="shared" si="107"/>
        <v>0</v>
      </c>
      <c r="BE59" s="1340">
        <v>0</v>
      </c>
      <c r="BF59" s="1339">
        <f>ROUND(IF(BE59&gt;0,(((V59+AA59+AB59+AC59+AD59)/30)*50%+((V59+AA59+AB59+AC59+AD59)/30))*BE59,"0"),2)</f>
        <v>0</v>
      </c>
      <c r="BG59" s="1307">
        <v>0</v>
      </c>
      <c r="BH59" s="1307">
        <v>0</v>
      </c>
      <c r="BI59" s="1334">
        <v>0</v>
      </c>
      <c r="BJ59" s="1307">
        <v>0</v>
      </c>
      <c r="BK59" s="1307">
        <v>0</v>
      </c>
      <c r="BL59" s="1339">
        <f t="shared" si="157"/>
        <v>0</v>
      </c>
      <c r="BM59" s="1339">
        <f t="shared" si="158"/>
        <v>0</v>
      </c>
      <c r="BN59" s="1339">
        <f t="shared" si="109"/>
        <v>0</v>
      </c>
      <c r="BO59" s="1339">
        <v>0</v>
      </c>
      <c r="BP59" s="1339">
        <v>0</v>
      </c>
      <c r="BQ59" s="1344">
        <f t="shared" si="110"/>
        <v>0</v>
      </c>
      <c r="BR59" s="1339">
        <f t="shared" si="159"/>
        <v>0</v>
      </c>
      <c r="BS59" s="1339">
        <f t="shared" si="160"/>
        <v>0</v>
      </c>
      <c r="BT59" s="1339">
        <f t="shared" si="111"/>
        <v>0</v>
      </c>
      <c r="BU59" s="1339">
        <v>0</v>
      </c>
      <c r="BV59" s="1307">
        <f t="shared" si="112"/>
        <v>0</v>
      </c>
      <c r="BW59" s="1305">
        <f t="shared" si="113"/>
        <v>0</v>
      </c>
      <c r="BX59" s="1305">
        <f t="shared" ref="BX59:BX91" si="178">ROUND(BA59/4,2)</f>
        <v>0</v>
      </c>
      <c r="BY59" s="1307">
        <v>0</v>
      </c>
      <c r="BZ59" s="1307">
        <f t="shared" si="115"/>
        <v>0</v>
      </c>
      <c r="CA59" s="1345">
        <v>0</v>
      </c>
      <c r="CB59" s="1305">
        <f t="shared" si="116"/>
        <v>0</v>
      </c>
      <c r="CC59" s="1346">
        <f t="shared" si="117"/>
        <v>0</v>
      </c>
      <c r="CD59" s="512"/>
      <c r="CE59" s="512"/>
      <c r="CF59" s="470">
        <f t="shared" si="118"/>
        <v>0</v>
      </c>
      <c r="CG59" s="912">
        <f t="shared" si="119"/>
        <v>0</v>
      </c>
      <c r="CH59" s="498">
        <f t="shared" si="120"/>
        <v>0</v>
      </c>
      <c r="CI59" s="1492">
        <f t="shared" si="121"/>
        <v>0</v>
      </c>
      <c r="CJ59" s="1504">
        <v>0</v>
      </c>
      <c r="CK59" s="912">
        <f t="shared" si="122"/>
        <v>0</v>
      </c>
      <c r="CL59" s="912">
        <f t="shared" si="123"/>
        <v>0</v>
      </c>
      <c r="CM59" s="912">
        <f t="shared" si="124"/>
        <v>0</v>
      </c>
      <c r="CN59" s="913">
        <f t="shared" si="125"/>
        <v>0</v>
      </c>
      <c r="CO59" s="914">
        <v>0</v>
      </c>
      <c r="CP59" s="913">
        <f t="shared" si="126"/>
        <v>0</v>
      </c>
      <c r="CQ59" s="913">
        <f t="shared" si="127"/>
        <v>0</v>
      </c>
      <c r="CR59" s="496">
        <f t="shared" si="128"/>
        <v>0</v>
      </c>
      <c r="CS59" s="913">
        <f t="shared" si="129"/>
        <v>0</v>
      </c>
      <c r="CT59" s="913">
        <f t="shared" si="130"/>
        <v>0</v>
      </c>
      <c r="CU59" s="470"/>
      <c r="CV59" s="470"/>
      <c r="CW59" s="470"/>
      <c r="CX59" s="470"/>
      <c r="CY59" s="1330" t="s">
        <v>7037</v>
      </c>
      <c r="CZ59" s="1330" t="s">
        <v>7038</v>
      </c>
      <c r="DA59" s="1613"/>
      <c r="DB59" s="1152"/>
      <c r="DC59" s="1152"/>
      <c r="DD59" s="1143"/>
      <c r="DE59" s="1143"/>
      <c r="DF59" s="1143"/>
      <c r="DG59" s="1143"/>
      <c r="DI59" s="915"/>
      <c r="DJ59" s="915"/>
      <c r="DK59" s="915"/>
      <c r="DL59" s="915"/>
      <c r="DN59" s="911" t="str">
        <f>VLOOKUP(X59,Hoja1!$A$4:$B$10,2,0)</f>
        <v>BACHILLER</v>
      </c>
      <c r="DO59" s="911" t="str">
        <f>VLOOKUP(S59,Hoja1!$D$4:$F$77,3,0)</f>
        <v>BIII - VII</v>
      </c>
      <c r="DP59" s="1157" t="str">
        <f t="shared" si="131"/>
        <v>0</v>
      </c>
      <c r="DQ59" s="1484">
        <f>IF(T59&lt;&gt;"0",(ROUND(IF(A59="EMPLEADO",eval_formula('CONCEPTOS Y PARAMETROS'!$C$8,NOMINA!V59,AU59+BF59,NOMINA!I59+NOMINA!J59),eval_formula('CONCEPTOS Y PARAMETROS'!$D$8,NOMINA!V59,AU59+BF59,NOMINA!I59+NOMINA!J59)),2))*IF(H59&lt;&gt;"",IF(MONTH(H59)=$BR$8,IF(YEAR(H59)&lt;$BT$7,1,0),0)))</f>
        <v>0</v>
      </c>
      <c r="DR59" s="1800" t="str">
        <f t="shared" si="132"/>
        <v>M</v>
      </c>
      <c r="DS59" s="1800"/>
    </row>
    <row r="60" spans="1:123" s="471" customFormat="1" ht="21.95" customHeight="1" x14ac:dyDescent="0.25">
      <c r="A60" s="508" t="s">
        <v>2846</v>
      </c>
      <c r="B60" s="1314">
        <f t="shared" ca="1" si="133"/>
        <v>17</v>
      </c>
      <c r="C60" s="1148">
        <v>9315117</v>
      </c>
      <c r="D60" s="1149" t="s">
        <v>4703</v>
      </c>
      <c r="E60" s="1135" t="s">
        <v>4622</v>
      </c>
      <c r="F60" s="1150">
        <v>23716</v>
      </c>
      <c r="G60" s="1135" t="s">
        <v>4620</v>
      </c>
      <c r="H60" s="1150">
        <v>38412</v>
      </c>
      <c r="I60" s="1140">
        <f t="shared" si="90"/>
        <v>20</v>
      </c>
      <c r="J60" s="1132">
        <v>0</v>
      </c>
      <c r="K60" s="1140">
        <f t="shared" si="91"/>
        <v>20</v>
      </c>
      <c r="L60" s="1145" t="s">
        <v>5537</v>
      </c>
      <c r="M60" s="1132"/>
      <c r="N60" s="1132"/>
      <c r="O60" s="1002" t="s">
        <v>5255</v>
      </c>
      <c r="P60" s="1132" t="s">
        <v>5282</v>
      </c>
      <c r="Q60" s="1315" t="str">
        <f>IFERROR(VLOOKUP(O60,CARGOS!A:E,2,0),"")</f>
        <v>15125</v>
      </c>
      <c r="R60" s="1327" t="s">
        <v>5255</v>
      </c>
      <c r="S60" s="1146" t="s">
        <v>5458</v>
      </c>
      <c r="T60" s="1107">
        <f>IFERROR(VLOOKUP(S60,'TAB EMP'!A:B,2,0),0)</f>
        <v>287</v>
      </c>
      <c r="U60" s="1108">
        <v>0</v>
      </c>
      <c r="V60" s="1107">
        <f t="shared" si="92"/>
        <v>287</v>
      </c>
      <c r="W60" s="1108">
        <f t="shared" si="93"/>
        <v>143.5</v>
      </c>
      <c r="X60" s="1135" t="s">
        <v>2885</v>
      </c>
      <c r="Y60" s="1135"/>
      <c r="Z60" s="1135">
        <v>0</v>
      </c>
      <c r="AA60" s="1107">
        <f>ROUND(IF(H60&lt;&gt;"",VLOOKUP(SUM(I60+J60),'CONCEPTOS Y PARAMETROS'!F:G,2,0)*V60,0),2)</f>
        <v>74.62</v>
      </c>
      <c r="AB60" s="1107">
        <f>IF(S60&lt;&gt;"",IF(M60="",'CONCEPTOS Y PARAMETROS'!$C$4,0),0)</f>
        <v>130</v>
      </c>
      <c r="AC60" s="1107">
        <f>IF(S60&lt;&gt;"",IF(M60="",'CONCEPTOS Y PARAMETROS'!$C$7*Z60,0),0)</f>
        <v>0</v>
      </c>
      <c r="AD60" s="1107">
        <f>IFERROR(ROUND(VLOOKUP($X60,'CONCEPTOS Y PARAMETROS'!H:I,2,0)*($V60+AA60+AB60+AC60),2),0)</f>
        <v>122.91</v>
      </c>
      <c r="AE60" s="1107">
        <f t="shared" si="94"/>
        <v>327.52999999999997</v>
      </c>
      <c r="AF60" s="1107">
        <f t="shared" si="95"/>
        <v>37.31</v>
      </c>
      <c r="AG60" s="1107">
        <f t="shared" si="96"/>
        <v>37.31</v>
      </c>
      <c r="AH60" s="1107">
        <f t="shared" si="97"/>
        <v>65</v>
      </c>
      <c r="AI60" s="1107">
        <f t="shared" si="98"/>
        <v>65</v>
      </c>
      <c r="AJ60" s="1107">
        <f t="shared" si="99"/>
        <v>61.46</v>
      </c>
      <c r="AK60" s="1107">
        <f t="shared" si="100"/>
        <v>61.45</v>
      </c>
      <c r="AL60" s="1108">
        <f t="shared" si="101"/>
        <v>163.77000000000001</v>
      </c>
      <c r="AM60" s="1108">
        <f t="shared" si="102"/>
        <v>163.76</v>
      </c>
      <c r="AN60" s="990">
        <v>0</v>
      </c>
      <c r="AO60" s="1147">
        <f>'CONCEPTOS Y PARAMETROS'!$C$18*AN60</f>
        <v>0</v>
      </c>
      <c r="AP60" s="990">
        <v>0</v>
      </c>
      <c r="AQ60" s="1147">
        <f>'CONCEPTOS Y PARAMETROS'!$C$21*AP60</f>
        <v>0</v>
      </c>
      <c r="AR60" s="1318">
        <v>0</v>
      </c>
      <c r="AS60" s="1318">
        <v>0</v>
      </c>
      <c r="AT60" s="1318">
        <f t="shared" si="103"/>
        <v>0</v>
      </c>
      <c r="AU60" s="1108">
        <f t="shared" si="104"/>
        <v>614.53</v>
      </c>
      <c r="AV60" s="1133">
        <v>0</v>
      </c>
      <c r="AW60" s="1108">
        <f t="shared" ref="AW60:AW66" si="179">ROUND(IF(AV60="NOCTURN",(V60+AE60)*30%,0),2)</f>
        <v>0</v>
      </c>
      <c r="AX60" s="1107">
        <f>IF(T60&lt;&gt;"0",(ROUND(IF(A60="EMPLEADO",eval_formula('CONCEPTOS Y PARAMETROS'!$C$8,NOMINA!V60,NOMINA!$AU60,NOMINA!I60+NOMINA!J60),eval_formula('CONCEPTOS Y PARAMETROS'!$D$8,NOMINA!V60,NOMINA!$AU60,NOMINA!I60+NOMINA!J60)),2))*IF(H60&lt;&gt;"",IF(MONTH(H60)=$BR$8,IF(YEAR(H60)&lt;$BT$7,1,0),0)))</f>
        <v>0</v>
      </c>
      <c r="AY60" s="1108">
        <v>180</v>
      </c>
      <c r="AZ60" s="1107">
        <f>IFERROR(VLOOKUP(AY60,'CONCEPTOS Y PARAMETROS'!Y:Z,2,0),0)</f>
        <v>150</v>
      </c>
      <c r="BA60" s="1107">
        <f t="shared" si="106"/>
        <v>4608.9799999999996</v>
      </c>
      <c r="BB60" s="1107">
        <f t="shared" si="134"/>
        <v>0</v>
      </c>
      <c r="BC60" s="990">
        <v>0</v>
      </c>
      <c r="BD60" s="1107" t="str">
        <f t="shared" si="107"/>
        <v>0</v>
      </c>
      <c r="BE60" s="990">
        <v>0</v>
      </c>
      <c r="BF60" s="1107">
        <f t="shared" ref="BF60:BF66" si="180">ROUND(IF(BE60&gt;0,(((V60+AA60+AB60+AC60+AD60+AW60)/30)*50%+((V60+AA60+AB60+AC60+AD60+AW60)/30))*BE60,"0"),2)</f>
        <v>0</v>
      </c>
      <c r="BG60" s="1108">
        <v>320</v>
      </c>
      <c r="BH60" s="1108">
        <v>0</v>
      </c>
      <c r="BI60" s="1132">
        <v>0</v>
      </c>
      <c r="BJ60" s="1108">
        <v>12.5</v>
      </c>
      <c r="BK60" s="1108">
        <v>0</v>
      </c>
      <c r="BL60" s="1107">
        <f t="shared" si="157"/>
        <v>28.36</v>
      </c>
      <c r="BM60" s="1107">
        <f t="shared" si="158"/>
        <v>3.55</v>
      </c>
      <c r="BN60" s="1107">
        <f t="shared" si="109"/>
        <v>6.15</v>
      </c>
      <c r="BO60" s="1107">
        <v>0</v>
      </c>
      <c r="BP60" s="1107">
        <v>0</v>
      </c>
      <c r="BQ60" s="1320">
        <f t="shared" si="110"/>
        <v>38.06</v>
      </c>
      <c r="BR60" s="1107">
        <f t="shared" si="159"/>
        <v>63.82</v>
      </c>
      <c r="BS60" s="1107">
        <f t="shared" si="160"/>
        <v>14.18</v>
      </c>
      <c r="BT60" s="1107">
        <f t="shared" si="111"/>
        <v>12.3</v>
      </c>
      <c r="BU60" s="1107">
        <v>0</v>
      </c>
      <c r="BV60" s="1108">
        <f t="shared" si="112"/>
        <v>90.3</v>
      </c>
      <c r="BW60" s="1112">
        <f t="shared" si="113"/>
        <v>128.36000000000001</v>
      </c>
      <c r="BX60" s="1112">
        <f t="shared" si="178"/>
        <v>1152.25</v>
      </c>
      <c r="BY60" s="1108">
        <v>0</v>
      </c>
      <c r="BZ60" s="1108">
        <f t="shared" si="115"/>
        <v>1152.25</v>
      </c>
      <c r="CA60" s="1321">
        <f>'CONCEPTOS Y PARAMETROS'!$A$102</f>
        <v>6255</v>
      </c>
      <c r="CB60" s="1112">
        <f t="shared" si="116"/>
        <v>269.20999999999998</v>
      </c>
      <c r="CC60" s="1113">
        <f t="shared" si="117"/>
        <v>639.76</v>
      </c>
      <c r="CD60" s="512"/>
      <c r="CE60" s="512"/>
      <c r="CF60" s="470">
        <f t="shared" si="118"/>
        <v>947.26</v>
      </c>
      <c r="CG60" s="509">
        <f t="shared" si="119"/>
        <v>269.20999999999998</v>
      </c>
      <c r="CH60" s="498">
        <f t="shared" si="120"/>
        <v>12.5</v>
      </c>
      <c r="CI60" s="1491">
        <f t="shared" si="121"/>
        <v>320</v>
      </c>
      <c r="CJ60" s="1500">
        <v>2</v>
      </c>
      <c r="CK60" s="495">
        <f t="shared" si="122"/>
        <v>627.26</v>
      </c>
      <c r="CL60" s="1689">
        <f t="shared" si="123"/>
        <v>301.08</v>
      </c>
      <c r="CM60" s="1689">
        <f t="shared" si="124"/>
        <v>326.18</v>
      </c>
      <c r="CN60" s="510">
        <f t="shared" si="125"/>
        <v>0</v>
      </c>
      <c r="CO60" s="511">
        <v>0</v>
      </c>
      <c r="CP60" s="510">
        <f t="shared" si="126"/>
        <v>0</v>
      </c>
      <c r="CQ60" s="510">
        <f t="shared" si="127"/>
        <v>0</v>
      </c>
      <c r="CR60" s="496">
        <f t="shared" si="128"/>
        <v>1254.52</v>
      </c>
      <c r="CS60" s="496">
        <f t="shared" si="129"/>
        <v>128.36000000000001</v>
      </c>
      <c r="CT60" s="510">
        <f t="shared" si="130"/>
        <v>6255</v>
      </c>
      <c r="CU60" s="470"/>
      <c r="CV60" s="470"/>
      <c r="CW60" s="470"/>
      <c r="CX60" s="470"/>
      <c r="CY60" s="1149" t="s">
        <v>6825</v>
      </c>
      <c r="CZ60" s="1149" t="s">
        <v>7085</v>
      </c>
      <c r="DA60" s="1152"/>
      <c r="DB60" s="1642" t="s">
        <v>6404</v>
      </c>
      <c r="DC60" s="1642"/>
      <c r="DD60" s="1642" t="s">
        <v>6135</v>
      </c>
      <c r="DE60" s="1642" t="s">
        <v>6162</v>
      </c>
      <c r="DF60" s="1644" t="s">
        <v>7416</v>
      </c>
      <c r="DG60" s="1642" t="s">
        <v>7417</v>
      </c>
      <c r="DH60" s="470"/>
      <c r="DI60" s="512"/>
      <c r="DJ60" s="512"/>
      <c r="DK60" s="512"/>
      <c r="DL60" s="512"/>
      <c r="DM60" s="476"/>
      <c r="DN60" s="471" t="str">
        <f>VLOOKUP(X60,Hoja1!$A$4:$B$10,2,0)</f>
        <v>PROFESIONAL</v>
      </c>
      <c r="DO60" s="471" t="str">
        <f>VLOOKUP(S60,Hoja1!$D$4:$F$77,3,0)</f>
        <v>PII - VII</v>
      </c>
      <c r="DP60" s="1156" t="str">
        <f t="shared" si="131"/>
        <v>0</v>
      </c>
      <c r="DQ60" s="1484">
        <f>IF(T60&lt;&gt;"0",(ROUND(IF(A60="EMPLEADO",eval_formula('CONCEPTOS Y PARAMETROS'!$C$8,NOMINA!V60,AU60+BF60,NOMINA!I60+NOMINA!J60),eval_formula('CONCEPTOS Y PARAMETROS'!$D$8,NOMINA!V60,AU60+BF60,NOMINA!I60+NOMINA!J60)),2))*IF(H60&lt;&gt;"",IF(MONTH(H60)=$BR$8,IF(YEAR(H60)&lt;$BT$7,1,0),0)))</f>
        <v>0</v>
      </c>
      <c r="DR60" s="1801" t="str">
        <f t="shared" si="132"/>
        <v>F</v>
      </c>
      <c r="DS60" s="1801"/>
    </row>
    <row r="61" spans="1:123" s="471" customFormat="1" ht="21.95" customHeight="1" x14ac:dyDescent="0.25">
      <c r="A61" s="508" t="s">
        <v>2846</v>
      </c>
      <c r="B61" s="1314">
        <f t="shared" ca="1" si="133"/>
        <v>18</v>
      </c>
      <c r="C61" s="1148">
        <v>9315325</v>
      </c>
      <c r="D61" s="1149" t="s">
        <v>4704</v>
      </c>
      <c r="E61" s="1135" t="s">
        <v>4622</v>
      </c>
      <c r="F61" s="1150">
        <v>24079</v>
      </c>
      <c r="G61" s="1135" t="s">
        <v>4620</v>
      </c>
      <c r="H61" s="1150">
        <v>39678</v>
      </c>
      <c r="I61" s="1140">
        <f t="shared" si="90"/>
        <v>17</v>
      </c>
      <c r="J61" s="1132">
        <v>2</v>
      </c>
      <c r="K61" s="1140">
        <f t="shared" si="91"/>
        <v>19</v>
      </c>
      <c r="L61" s="1145" t="s">
        <v>5546</v>
      </c>
      <c r="M61" s="1132"/>
      <c r="N61" s="1132"/>
      <c r="O61" s="1002" t="s">
        <v>5219</v>
      </c>
      <c r="P61" s="1132" t="s">
        <v>5283</v>
      </c>
      <c r="Q61" s="1315" t="str">
        <f>IFERROR(VLOOKUP(O61,CARGOS!A:E,2,0),"")</f>
        <v>12114</v>
      </c>
      <c r="R61" s="1327" t="s">
        <v>5219</v>
      </c>
      <c r="S61" s="1146" t="s">
        <v>5471</v>
      </c>
      <c r="T61" s="1107">
        <f>IFERROR(VLOOKUP(S61,'TAB EMP'!A:B,2,0),0)</f>
        <v>228</v>
      </c>
      <c r="U61" s="1108">
        <v>0</v>
      </c>
      <c r="V61" s="1107">
        <f t="shared" si="92"/>
        <v>228</v>
      </c>
      <c r="W61" s="1108">
        <f t="shared" si="93"/>
        <v>114</v>
      </c>
      <c r="X61" s="1135" t="s">
        <v>2844</v>
      </c>
      <c r="Y61" s="1135"/>
      <c r="Z61" s="1135">
        <v>0</v>
      </c>
      <c r="AA61" s="1107">
        <f>ROUND(IF(H61&lt;&gt;"",VLOOKUP(SUM(I61+J61),'CONCEPTOS Y PARAMETROS'!F:G,2,0)*V61,0),2)</f>
        <v>55.63</v>
      </c>
      <c r="AB61" s="1107">
        <f>IF(S61&lt;&gt;"",IF(M61="",'CONCEPTOS Y PARAMETROS'!$C$4,0),0)</f>
        <v>130</v>
      </c>
      <c r="AC61" s="1107">
        <f>IF(S61&lt;&gt;"",IF(M61="",'CONCEPTOS Y PARAMETROS'!$C$7*Z61,0),0)</f>
        <v>0</v>
      </c>
      <c r="AD61" s="1107">
        <f>IFERROR(ROUND(VLOOKUP($X61,'CONCEPTOS Y PARAMETROS'!H:I,2,0)*($V61+AA61+AB61+AC61),2),0)</f>
        <v>82.73</v>
      </c>
      <c r="AE61" s="1107">
        <f t="shared" si="94"/>
        <v>268.36</v>
      </c>
      <c r="AF61" s="1107">
        <f t="shared" si="95"/>
        <v>27.82</v>
      </c>
      <c r="AG61" s="1107">
        <f t="shared" si="96"/>
        <v>27.81</v>
      </c>
      <c r="AH61" s="1107">
        <f t="shared" si="97"/>
        <v>65</v>
      </c>
      <c r="AI61" s="1107">
        <f t="shared" si="98"/>
        <v>65</v>
      </c>
      <c r="AJ61" s="1107">
        <f t="shared" si="99"/>
        <v>41.37</v>
      </c>
      <c r="AK61" s="1107">
        <f t="shared" si="100"/>
        <v>41.36</v>
      </c>
      <c r="AL61" s="1108">
        <f t="shared" si="101"/>
        <v>134.19</v>
      </c>
      <c r="AM61" s="1108">
        <f t="shared" si="102"/>
        <v>134.16999999999999</v>
      </c>
      <c r="AN61" s="990">
        <v>0</v>
      </c>
      <c r="AO61" s="1147">
        <f>'CONCEPTOS Y PARAMETROS'!$C$18*AN61</f>
        <v>0</v>
      </c>
      <c r="AP61" s="990">
        <v>0</v>
      </c>
      <c r="AQ61" s="1147">
        <f>'CONCEPTOS Y PARAMETROS'!$C$21*AP61</f>
        <v>0</v>
      </c>
      <c r="AR61" s="1318">
        <v>0</v>
      </c>
      <c r="AS61" s="1318">
        <v>0</v>
      </c>
      <c r="AT61" s="1318">
        <f t="shared" si="103"/>
        <v>0</v>
      </c>
      <c r="AU61" s="1108">
        <f t="shared" si="104"/>
        <v>496.36</v>
      </c>
      <c r="AV61" s="1133">
        <v>0</v>
      </c>
      <c r="AW61" s="1108">
        <f t="shared" si="179"/>
        <v>0</v>
      </c>
      <c r="AX61" s="1107">
        <f>IF(T61&lt;&gt;"0",(ROUND(IF(A61="EMPLEADO",eval_formula('CONCEPTOS Y PARAMETROS'!$C$8,NOMINA!V61,NOMINA!$AU61,NOMINA!I61+NOMINA!J61),eval_formula('CONCEPTOS Y PARAMETROS'!$D$8,NOMINA!V61,NOMINA!$AU61,NOMINA!I61+NOMINA!J61)),2))*IF(H61&lt;&gt;"",IF(MONTH(H61)=$BR$8,IF(YEAR(H61)&lt;$BT$7,1,0),0)))</f>
        <v>0</v>
      </c>
      <c r="AY61" s="1108">
        <v>180</v>
      </c>
      <c r="AZ61" s="1107">
        <f>IFERROR(VLOOKUP(AY61,'CONCEPTOS Y PARAMETROS'!Y:Z,2,0),0)</f>
        <v>150</v>
      </c>
      <c r="BA61" s="1107">
        <f t="shared" si="106"/>
        <v>3722.7</v>
      </c>
      <c r="BB61" s="1107">
        <f t="shared" si="134"/>
        <v>0</v>
      </c>
      <c r="BC61" s="990">
        <v>0</v>
      </c>
      <c r="BD61" s="1107" t="str">
        <f t="shared" si="107"/>
        <v>0</v>
      </c>
      <c r="BE61" s="990">
        <v>0</v>
      </c>
      <c r="BF61" s="1107">
        <f t="shared" si="180"/>
        <v>0</v>
      </c>
      <c r="BG61" s="1108">
        <v>320</v>
      </c>
      <c r="BH61" s="1108">
        <v>0</v>
      </c>
      <c r="BI61" s="1132">
        <v>0</v>
      </c>
      <c r="BJ61" s="1108">
        <v>12.5</v>
      </c>
      <c r="BK61" s="1108">
        <v>0</v>
      </c>
      <c r="BL61" s="1107">
        <f t="shared" si="157"/>
        <v>22.91</v>
      </c>
      <c r="BM61" s="1107">
        <f t="shared" si="158"/>
        <v>2.86</v>
      </c>
      <c r="BN61" s="1107">
        <f t="shared" si="109"/>
        <v>4.96</v>
      </c>
      <c r="BO61" s="1107">
        <v>0</v>
      </c>
      <c r="BP61" s="1107">
        <v>0</v>
      </c>
      <c r="BQ61" s="1320">
        <f t="shared" si="110"/>
        <v>30.73</v>
      </c>
      <c r="BR61" s="1107">
        <f t="shared" si="159"/>
        <v>51.55</v>
      </c>
      <c r="BS61" s="1107">
        <f t="shared" si="160"/>
        <v>11.45</v>
      </c>
      <c r="BT61" s="1107">
        <f t="shared" si="111"/>
        <v>9.92</v>
      </c>
      <c r="BU61" s="1107">
        <v>0</v>
      </c>
      <c r="BV61" s="1108">
        <f t="shared" si="112"/>
        <v>72.92</v>
      </c>
      <c r="BW61" s="1112">
        <f t="shared" si="113"/>
        <v>103.65</v>
      </c>
      <c r="BX61" s="1112">
        <f t="shared" si="178"/>
        <v>930.68</v>
      </c>
      <c r="BY61" s="1108">
        <v>0</v>
      </c>
      <c r="BZ61" s="1108">
        <f t="shared" si="115"/>
        <v>930.68</v>
      </c>
      <c r="CA61" s="1321">
        <f>'CONCEPTOS Y PARAMETROS'!$A$102</f>
        <v>6255</v>
      </c>
      <c r="CB61" s="1112">
        <f t="shared" si="116"/>
        <v>217.46</v>
      </c>
      <c r="CC61" s="1113">
        <f t="shared" si="117"/>
        <v>580.66999999999996</v>
      </c>
      <c r="CD61" s="512"/>
      <c r="CE61" s="512"/>
      <c r="CF61" s="470">
        <f t="shared" si="118"/>
        <v>888.17</v>
      </c>
      <c r="CG61" s="495">
        <f t="shared" si="119"/>
        <v>217.46</v>
      </c>
      <c r="CH61" s="498">
        <f t="shared" si="120"/>
        <v>12.5</v>
      </c>
      <c r="CI61" s="1490">
        <f t="shared" si="121"/>
        <v>320</v>
      </c>
      <c r="CJ61" s="1500">
        <v>1</v>
      </c>
      <c r="CK61" s="495">
        <f t="shared" si="122"/>
        <v>568.16999999999996</v>
      </c>
      <c r="CL61" s="1689">
        <f t="shared" si="123"/>
        <v>568.16999999999996</v>
      </c>
      <c r="CM61" s="1689">
        <f t="shared" si="124"/>
        <v>0</v>
      </c>
      <c r="CN61" s="496">
        <f t="shared" si="125"/>
        <v>0</v>
      </c>
      <c r="CO61" s="497">
        <v>0</v>
      </c>
      <c r="CP61" s="496">
        <f t="shared" si="126"/>
        <v>0</v>
      </c>
      <c r="CQ61" s="496">
        <f t="shared" si="127"/>
        <v>0</v>
      </c>
      <c r="CR61" s="496">
        <f t="shared" si="128"/>
        <v>1136.3399999999999</v>
      </c>
      <c r="CS61" s="496">
        <f t="shared" si="129"/>
        <v>103.65</v>
      </c>
      <c r="CT61" s="496">
        <f t="shared" si="130"/>
        <v>6255</v>
      </c>
      <c r="CU61" s="470"/>
      <c r="CV61" s="470"/>
      <c r="CW61" s="470"/>
      <c r="CX61" s="470"/>
      <c r="CY61" s="1149" t="s">
        <v>6865</v>
      </c>
      <c r="CZ61" s="1149" t="s">
        <v>6826</v>
      </c>
      <c r="DA61" s="480"/>
      <c r="DB61" s="1642" t="s">
        <v>7413</v>
      </c>
      <c r="DC61" s="1642"/>
      <c r="DD61" s="1642" t="s">
        <v>6199</v>
      </c>
      <c r="DE61" s="1642" t="s">
        <v>6195</v>
      </c>
      <c r="DF61" s="1642" t="s">
        <v>6544</v>
      </c>
      <c r="DG61" s="1642"/>
      <c r="DH61" s="470"/>
      <c r="DI61" s="470"/>
      <c r="DJ61" s="470"/>
      <c r="DK61" s="470"/>
      <c r="DL61" s="470"/>
      <c r="DN61" s="471" t="str">
        <f>VLOOKUP(X61,Hoja1!$A$4:$B$10,2,0)</f>
        <v>TÉCNICO SUPERIOR UNIVERSITARIO</v>
      </c>
      <c r="DO61" s="471" t="str">
        <f>VLOOKUP(S61,Hoja1!$D$4:$F$77,3,0)</f>
        <v>TII - VII</v>
      </c>
      <c r="DP61" s="1156" t="str">
        <f t="shared" si="131"/>
        <v>0</v>
      </c>
      <c r="DQ61" s="1484">
        <f>IF(T61&lt;&gt;"0",(ROUND(IF(A61="EMPLEADO",eval_formula('CONCEPTOS Y PARAMETROS'!$C$8,NOMINA!V61,AU61+BF61,NOMINA!I61+NOMINA!J61),eval_formula('CONCEPTOS Y PARAMETROS'!$D$8,NOMINA!V61,AU61+BF61,NOMINA!I61+NOMINA!J61)),2))*IF(H61&lt;&gt;"",IF(MONTH(H61)=$BR$8,IF(YEAR(H61)&lt;$BT$7,1,0),0)))</f>
        <v>0</v>
      </c>
      <c r="DR61" s="1801" t="str">
        <f t="shared" si="132"/>
        <v>F</v>
      </c>
      <c r="DS61" s="1801"/>
    </row>
    <row r="62" spans="1:123" s="476" customFormat="1" ht="21.95" customHeight="1" x14ac:dyDescent="0.25">
      <c r="A62" s="508" t="s">
        <v>2846</v>
      </c>
      <c r="B62" s="1314">
        <f t="shared" ca="1" si="133"/>
        <v>19</v>
      </c>
      <c r="C62" s="1148">
        <v>9316224</v>
      </c>
      <c r="D62" s="1149" t="s">
        <v>4705</v>
      </c>
      <c r="E62" s="1135" t="s">
        <v>4622</v>
      </c>
      <c r="F62" s="1150">
        <v>23981</v>
      </c>
      <c r="G62" s="1135" t="s">
        <v>4620</v>
      </c>
      <c r="H62" s="1150">
        <v>44317</v>
      </c>
      <c r="I62" s="1140">
        <f t="shared" si="90"/>
        <v>4</v>
      </c>
      <c r="J62" s="1132">
        <v>0</v>
      </c>
      <c r="K62" s="1140">
        <f t="shared" si="91"/>
        <v>4</v>
      </c>
      <c r="L62" s="1145" t="s">
        <v>5548</v>
      </c>
      <c r="M62" s="1132"/>
      <c r="N62" s="1132"/>
      <c r="O62" s="1002" t="s">
        <v>5250</v>
      </c>
      <c r="P62" s="1132" t="s">
        <v>5284</v>
      </c>
      <c r="Q62" s="1315" t="str">
        <f>IFERROR(VLOOKUP(O62,CARGOS!A:E,2,0),"")</f>
        <v>79342</v>
      </c>
      <c r="R62" s="1327" t="s">
        <v>5250</v>
      </c>
      <c r="S62" s="1146" t="s">
        <v>5468</v>
      </c>
      <c r="T62" s="1107">
        <f>IFERROR(VLOOKUP(S62,'TAB EMP'!A:B,2,0),0)</f>
        <v>219</v>
      </c>
      <c r="U62" s="1108">
        <v>0</v>
      </c>
      <c r="V62" s="1107">
        <f t="shared" si="92"/>
        <v>219</v>
      </c>
      <c r="W62" s="1108">
        <f t="shared" si="93"/>
        <v>109.5</v>
      </c>
      <c r="X62" s="1135" t="s">
        <v>2844</v>
      </c>
      <c r="Y62" s="1135"/>
      <c r="Z62" s="1135">
        <v>0</v>
      </c>
      <c r="AA62" s="1107">
        <f>ROUND(IF(H62&lt;&gt;"",VLOOKUP(SUM(I62+J62),'CONCEPTOS Y PARAMETROS'!F:G,2,0)*V62,0),2)</f>
        <v>8.76</v>
      </c>
      <c r="AB62" s="1107">
        <f>IF(S62&lt;&gt;"",IF(M62="",'CONCEPTOS Y PARAMETROS'!$C$4,0),0)</f>
        <v>130</v>
      </c>
      <c r="AC62" s="1107">
        <f>IF(S62&lt;&gt;"",IF(M62="",'CONCEPTOS Y PARAMETROS'!$C$7*Z62,0),0)</f>
        <v>0</v>
      </c>
      <c r="AD62" s="1107">
        <f>IFERROR(ROUND(VLOOKUP($X62,'CONCEPTOS Y PARAMETROS'!H:I,2,0)*($V62+AA62+AB62+AC62),2),0)</f>
        <v>71.55</v>
      </c>
      <c r="AE62" s="1107">
        <f t="shared" si="94"/>
        <v>210.31</v>
      </c>
      <c r="AF62" s="1107">
        <f t="shared" si="95"/>
        <v>4.38</v>
      </c>
      <c r="AG62" s="1107">
        <f t="shared" si="96"/>
        <v>4.38</v>
      </c>
      <c r="AH62" s="1107">
        <f t="shared" si="97"/>
        <v>65</v>
      </c>
      <c r="AI62" s="1107">
        <f t="shared" si="98"/>
        <v>65</v>
      </c>
      <c r="AJ62" s="1107">
        <f t="shared" si="99"/>
        <v>35.78</v>
      </c>
      <c r="AK62" s="1107">
        <f t="shared" si="100"/>
        <v>35.770000000000003</v>
      </c>
      <c r="AL62" s="1108">
        <f t="shared" si="101"/>
        <v>105.16</v>
      </c>
      <c r="AM62" s="1108">
        <f t="shared" si="102"/>
        <v>105.15</v>
      </c>
      <c r="AN62" s="990">
        <v>0</v>
      </c>
      <c r="AO62" s="1147">
        <f>'CONCEPTOS Y PARAMETROS'!$C$18*AN62</f>
        <v>0</v>
      </c>
      <c r="AP62" s="990">
        <v>0</v>
      </c>
      <c r="AQ62" s="1147">
        <f>'CONCEPTOS Y PARAMETROS'!$C$21*AP62</f>
        <v>0</v>
      </c>
      <c r="AR62" s="1318">
        <v>0</v>
      </c>
      <c r="AS62" s="1318">
        <v>0</v>
      </c>
      <c r="AT62" s="1318">
        <f t="shared" si="103"/>
        <v>0</v>
      </c>
      <c r="AU62" s="1108">
        <f t="shared" si="104"/>
        <v>429.31</v>
      </c>
      <c r="AV62" s="1133">
        <v>0</v>
      </c>
      <c r="AW62" s="1108">
        <f t="shared" si="179"/>
        <v>0</v>
      </c>
      <c r="AX62" s="1107">
        <f>IF(T62&lt;&gt;"0",(ROUND(IF(A62="EMPLEADO",eval_formula('CONCEPTOS Y PARAMETROS'!$C$8,NOMINA!V62,NOMINA!$AU62,NOMINA!I62+NOMINA!J62),eval_formula('CONCEPTOS Y PARAMETROS'!$D$8,NOMINA!V62,NOMINA!$AU62,NOMINA!I62+NOMINA!J62)),2))*IF(H62&lt;&gt;"",IF(MONTH(H62)=$BR$8,IF(YEAR(H62)&lt;$BT$7,1,0),0)))</f>
        <v>0</v>
      </c>
      <c r="AY62" s="1108">
        <v>180</v>
      </c>
      <c r="AZ62" s="1107">
        <f>IFERROR(VLOOKUP(AY62,'CONCEPTOS Y PARAMETROS'!Y:Z,2,0),0)</f>
        <v>150</v>
      </c>
      <c r="BA62" s="1107">
        <f t="shared" si="106"/>
        <v>3219.83</v>
      </c>
      <c r="BB62" s="1107">
        <f t="shared" si="134"/>
        <v>0</v>
      </c>
      <c r="BC62" s="990">
        <v>0</v>
      </c>
      <c r="BD62" s="1107" t="str">
        <f t="shared" si="107"/>
        <v>0</v>
      </c>
      <c r="BE62" s="990">
        <v>0</v>
      </c>
      <c r="BF62" s="1107">
        <f t="shared" si="180"/>
        <v>0</v>
      </c>
      <c r="BG62" s="1108">
        <v>320</v>
      </c>
      <c r="BH62" s="1108">
        <v>0</v>
      </c>
      <c r="BI62" s="1132">
        <v>0</v>
      </c>
      <c r="BJ62" s="1108">
        <v>12.5</v>
      </c>
      <c r="BK62" s="1108">
        <v>0</v>
      </c>
      <c r="BL62" s="1107">
        <f t="shared" si="157"/>
        <v>19.809999999999999</v>
      </c>
      <c r="BM62" s="1107">
        <f t="shared" si="158"/>
        <v>2.48</v>
      </c>
      <c r="BN62" s="1107">
        <f t="shared" si="109"/>
        <v>4.29</v>
      </c>
      <c r="BO62" s="1107">
        <v>0</v>
      </c>
      <c r="BP62" s="1107">
        <v>0</v>
      </c>
      <c r="BQ62" s="1320">
        <f t="shared" si="110"/>
        <v>26.58</v>
      </c>
      <c r="BR62" s="1107">
        <f t="shared" si="159"/>
        <v>44.58</v>
      </c>
      <c r="BS62" s="1107">
        <f t="shared" si="160"/>
        <v>9.91</v>
      </c>
      <c r="BT62" s="1107">
        <f t="shared" si="111"/>
        <v>8.58</v>
      </c>
      <c r="BU62" s="1107">
        <v>0</v>
      </c>
      <c r="BV62" s="1108">
        <f t="shared" si="112"/>
        <v>63.07</v>
      </c>
      <c r="BW62" s="1112">
        <f t="shared" si="113"/>
        <v>89.65</v>
      </c>
      <c r="BX62" s="1112">
        <f t="shared" si="178"/>
        <v>804.96</v>
      </c>
      <c r="BY62" s="1108">
        <v>0</v>
      </c>
      <c r="BZ62" s="1108">
        <f t="shared" si="115"/>
        <v>804.96</v>
      </c>
      <c r="CA62" s="1321">
        <f>'CONCEPTOS Y PARAMETROS'!$A$102</f>
        <v>6255</v>
      </c>
      <c r="CB62" s="1112">
        <f t="shared" si="116"/>
        <v>188.07999999999998</v>
      </c>
      <c r="CC62" s="1113">
        <f t="shared" si="117"/>
        <v>547.15</v>
      </c>
      <c r="CD62" s="512"/>
      <c r="CE62" s="512"/>
      <c r="CF62" s="470">
        <f t="shared" si="118"/>
        <v>854.65</v>
      </c>
      <c r="CG62" s="509">
        <f t="shared" si="119"/>
        <v>188.07999999999998</v>
      </c>
      <c r="CH62" s="1603">
        <f t="shared" si="120"/>
        <v>12.5</v>
      </c>
      <c r="CI62" s="1491">
        <f t="shared" si="121"/>
        <v>320</v>
      </c>
      <c r="CJ62" s="1502">
        <v>1</v>
      </c>
      <c r="CK62" s="509">
        <f t="shared" si="122"/>
        <v>534.65</v>
      </c>
      <c r="CL62" s="1689">
        <f t="shared" si="123"/>
        <v>534.65</v>
      </c>
      <c r="CM62" s="1689">
        <f t="shared" si="124"/>
        <v>0</v>
      </c>
      <c r="CN62" s="510">
        <f t="shared" si="125"/>
        <v>0</v>
      </c>
      <c r="CO62" s="511">
        <v>0</v>
      </c>
      <c r="CP62" s="510">
        <f t="shared" si="126"/>
        <v>0</v>
      </c>
      <c r="CQ62" s="510">
        <f t="shared" si="127"/>
        <v>0</v>
      </c>
      <c r="CR62" s="510">
        <f t="shared" si="128"/>
        <v>1069.3</v>
      </c>
      <c r="CS62" s="510">
        <f t="shared" si="129"/>
        <v>89.65</v>
      </c>
      <c r="CT62" s="510">
        <f t="shared" si="130"/>
        <v>6255</v>
      </c>
      <c r="CU62" s="512"/>
      <c r="CV62" s="512"/>
      <c r="CW62" s="512"/>
      <c r="CX62" s="512"/>
      <c r="CY62" s="1149" t="s">
        <v>7047</v>
      </c>
      <c r="CZ62" s="1149" t="s">
        <v>7086</v>
      </c>
      <c r="DA62" s="1152"/>
      <c r="DB62" s="1642" t="s">
        <v>6259</v>
      </c>
      <c r="DC62" s="1642"/>
      <c r="DD62" s="1642" t="s">
        <v>6150</v>
      </c>
      <c r="DE62" s="1642" t="s">
        <v>6257</v>
      </c>
      <c r="DF62" s="1642" t="s">
        <v>6228</v>
      </c>
      <c r="DG62" s="1152"/>
      <c r="DH62" s="512"/>
      <c r="DI62" s="512"/>
      <c r="DJ62" s="512"/>
      <c r="DK62" s="512"/>
      <c r="DL62" s="512"/>
      <c r="DN62" s="476" t="str">
        <f>VLOOKUP(X62,Hoja1!$A$4:$B$10,2,0)</f>
        <v>TÉCNICO SUPERIOR UNIVERSITARIO</v>
      </c>
      <c r="DO62" s="476" t="str">
        <f>VLOOKUP(S62,Hoja1!$D$4:$F$77,3,0)</f>
        <v>TII - II</v>
      </c>
      <c r="DP62" s="1594" t="str">
        <f t="shared" si="131"/>
        <v>0</v>
      </c>
      <c r="DQ62" s="1484">
        <f>IF(T62&lt;&gt;"0",(ROUND(IF(A62="EMPLEADO",eval_formula('CONCEPTOS Y PARAMETROS'!$C$8,NOMINA!V62,AU62+BF62,NOMINA!I62+NOMINA!J62),eval_formula('CONCEPTOS Y PARAMETROS'!$D$8,NOMINA!V62,AU62+BF62,NOMINA!I62+NOMINA!J62)),2))*IF(H62&lt;&gt;"",IF(MONTH(H62)=$BR$8,IF(YEAR(H62)&lt;$BT$7,1,0),0)))</f>
        <v>0</v>
      </c>
      <c r="DR62" s="1799" t="str">
        <f t="shared" si="132"/>
        <v>F</v>
      </c>
      <c r="DS62" s="1799"/>
    </row>
    <row r="63" spans="1:123" s="476" customFormat="1" ht="21.95" customHeight="1" x14ac:dyDescent="0.25">
      <c r="A63" s="508" t="s">
        <v>2846</v>
      </c>
      <c r="B63" s="1314">
        <f t="shared" ca="1" si="133"/>
        <v>20</v>
      </c>
      <c r="C63" s="1148">
        <v>9323927</v>
      </c>
      <c r="D63" s="1149" t="s">
        <v>4706</v>
      </c>
      <c r="E63" s="1135" t="s">
        <v>4622</v>
      </c>
      <c r="F63" s="1150">
        <v>23888</v>
      </c>
      <c r="G63" s="1135" t="s">
        <v>4621</v>
      </c>
      <c r="H63" s="1150">
        <v>35704</v>
      </c>
      <c r="I63" s="1140">
        <f t="shared" si="90"/>
        <v>27</v>
      </c>
      <c r="J63" s="1132">
        <v>0</v>
      </c>
      <c r="K63" s="1140">
        <f t="shared" si="91"/>
        <v>27</v>
      </c>
      <c r="L63" s="1145" t="s">
        <v>5527</v>
      </c>
      <c r="M63" s="1132"/>
      <c r="N63" s="1132"/>
      <c r="O63" s="1002" t="s">
        <v>5217</v>
      </c>
      <c r="P63" s="1132" t="s">
        <v>5285</v>
      </c>
      <c r="Q63" s="1315" t="str">
        <f>IFERROR(VLOOKUP(O63,CARGOS!A:E,2,0),"")</f>
        <v>79512</v>
      </c>
      <c r="R63" s="1327" t="s">
        <v>5217</v>
      </c>
      <c r="S63" s="1146" t="s">
        <v>5463</v>
      </c>
      <c r="T63" s="1107">
        <f>IFERROR(VLOOKUP(S63,'TAB EMP'!A:B,2,0),0)</f>
        <v>177</v>
      </c>
      <c r="U63" s="1108">
        <v>0</v>
      </c>
      <c r="V63" s="1107">
        <f t="shared" si="92"/>
        <v>177</v>
      </c>
      <c r="W63" s="1108">
        <f t="shared" si="93"/>
        <v>88.5</v>
      </c>
      <c r="X63" s="1135" t="s">
        <v>2884</v>
      </c>
      <c r="Y63" s="1135"/>
      <c r="Z63" s="1135">
        <v>0</v>
      </c>
      <c r="AA63" s="1107">
        <f>ROUND(IF(H63&lt;&gt;"",VLOOKUP(SUM(I63+J63),'CONCEPTOS Y PARAMETROS'!F:G,2,0)*V63,0),2)</f>
        <v>53.1</v>
      </c>
      <c r="AB63" s="1107">
        <f>IF(S63&lt;&gt;"",IF(M63="",'CONCEPTOS Y PARAMETROS'!$C$4,0),0)</f>
        <v>130</v>
      </c>
      <c r="AC63" s="1107">
        <f>IF(S63&lt;&gt;"",IF(M63="",'CONCEPTOS Y PARAMETROS'!$C$7*Z63,0),0)</f>
        <v>0</v>
      </c>
      <c r="AD63" s="1107">
        <f>IFERROR(ROUND(VLOOKUP($X63,'CONCEPTOS Y PARAMETROS'!H:I,2,0)*($V63+AA63+AB63+AC63),2),0)</f>
        <v>0</v>
      </c>
      <c r="AE63" s="1107">
        <f t="shared" si="94"/>
        <v>183.1</v>
      </c>
      <c r="AF63" s="1107">
        <f t="shared" si="95"/>
        <v>26.55</v>
      </c>
      <c r="AG63" s="1107">
        <f t="shared" si="96"/>
        <v>26.55</v>
      </c>
      <c r="AH63" s="1107">
        <f t="shared" si="97"/>
        <v>65</v>
      </c>
      <c r="AI63" s="1107">
        <f t="shared" si="98"/>
        <v>65</v>
      </c>
      <c r="AJ63" s="1107">
        <f t="shared" si="99"/>
        <v>0</v>
      </c>
      <c r="AK63" s="1107">
        <f t="shared" si="100"/>
        <v>0</v>
      </c>
      <c r="AL63" s="1108">
        <f t="shared" si="101"/>
        <v>91.55</v>
      </c>
      <c r="AM63" s="1108">
        <f t="shared" si="102"/>
        <v>91.55</v>
      </c>
      <c r="AN63" s="990">
        <v>0</v>
      </c>
      <c r="AO63" s="1147">
        <f>'CONCEPTOS Y PARAMETROS'!$C$18*AN63</f>
        <v>0</v>
      </c>
      <c r="AP63" s="990">
        <v>0</v>
      </c>
      <c r="AQ63" s="1147">
        <f>'CONCEPTOS Y PARAMETROS'!$C$21*AP63</f>
        <v>0</v>
      </c>
      <c r="AR63" s="1318">
        <v>0</v>
      </c>
      <c r="AS63" s="1318">
        <v>0</v>
      </c>
      <c r="AT63" s="1318">
        <f t="shared" si="103"/>
        <v>0</v>
      </c>
      <c r="AU63" s="1108">
        <f t="shared" si="104"/>
        <v>360.1</v>
      </c>
      <c r="AV63" s="1133">
        <v>0</v>
      </c>
      <c r="AW63" s="1108">
        <f t="shared" si="179"/>
        <v>0</v>
      </c>
      <c r="AX63" s="1107">
        <f>IF(T63&lt;&gt;"0",(ROUND(IF(A63="EMPLEADO",eval_formula('CONCEPTOS Y PARAMETROS'!$C$8,NOMINA!V63,NOMINA!$AU63,NOMINA!I63+NOMINA!J63),eval_formula('CONCEPTOS Y PARAMETROS'!$D$8,NOMINA!V63,NOMINA!$AU63,NOMINA!I63+NOMINA!J63)),2))*IF(H63&lt;&gt;"",IF(MONTH(H63)=$BR$8,IF(YEAR(H63)&lt;$BT$7,1,0),0)))</f>
        <v>0</v>
      </c>
      <c r="AY63" s="1108">
        <v>180</v>
      </c>
      <c r="AZ63" s="1107">
        <f>IFERROR(VLOOKUP(AY63,'CONCEPTOS Y PARAMETROS'!Y:Z,2,0),0)</f>
        <v>150</v>
      </c>
      <c r="BA63" s="1107">
        <f t="shared" si="106"/>
        <v>2700.75</v>
      </c>
      <c r="BB63" s="1107">
        <f t="shared" si="134"/>
        <v>0</v>
      </c>
      <c r="BC63" s="990">
        <v>0</v>
      </c>
      <c r="BD63" s="1107" t="str">
        <f t="shared" si="107"/>
        <v>0</v>
      </c>
      <c r="BE63" s="990">
        <v>0</v>
      </c>
      <c r="BF63" s="1107">
        <f t="shared" si="180"/>
        <v>0</v>
      </c>
      <c r="BG63" s="1108">
        <v>320</v>
      </c>
      <c r="BH63" s="1108">
        <v>0</v>
      </c>
      <c r="BI63" s="1132">
        <v>0</v>
      </c>
      <c r="BJ63" s="1108">
        <v>12.5</v>
      </c>
      <c r="BK63" s="1108">
        <v>0</v>
      </c>
      <c r="BL63" s="1107">
        <f t="shared" si="157"/>
        <v>16.62</v>
      </c>
      <c r="BM63" s="1107">
        <f t="shared" si="158"/>
        <v>2.08</v>
      </c>
      <c r="BN63" s="1107">
        <f t="shared" si="109"/>
        <v>3.6</v>
      </c>
      <c r="BO63" s="1107">
        <v>0</v>
      </c>
      <c r="BP63" s="1107">
        <v>0</v>
      </c>
      <c r="BQ63" s="1320">
        <f t="shared" si="110"/>
        <v>22.3</v>
      </c>
      <c r="BR63" s="1107">
        <f t="shared" si="159"/>
        <v>37.4</v>
      </c>
      <c r="BS63" s="1107">
        <f t="shared" si="160"/>
        <v>8.31</v>
      </c>
      <c r="BT63" s="1107">
        <f t="shared" si="111"/>
        <v>7.2</v>
      </c>
      <c r="BU63" s="1107">
        <v>0</v>
      </c>
      <c r="BV63" s="1108">
        <f t="shared" si="112"/>
        <v>52.91</v>
      </c>
      <c r="BW63" s="1112">
        <f t="shared" si="113"/>
        <v>75.209999999999994</v>
      </c>
      <c r="BX63" s="1112">
        <f t="shared" si="178"/>
        <v>675.19</v>
      </c>
      <c r="BY63" s="1108">
        <v>0</v>
      </c>
      <c r="BZ63" s="1108">
        <f t="shared" si="115"/>
        <v>675.19</v>
      </c>
      <c r="CA63" s="1321">
        <f>'CONCEPTOS Y PARAMETROS'!$A$102</f>
        <v>6255</v>
      </c>
      <c r="CB63" s="1112">
        <f t="shared" si="116"/>
        <v>157.75</v>
      </c>
      <c r="CC63" s="1113">
        <f t="shared" si="117"/>
        <v>512.54999999999995</v>
      </c>
      <c r="CD63" s="512"/>
      <c r="CE63" s="512"/>
      <c r="CF63" s="470">
        <f t="shared" si="118"/>
        <v>820.05</v>
      </c>
      <c r="CG63" s="495">
        <f t="shared" si="119"/>
        <v>157.75</v>
      </c>
      <c r="CH63" s="498">
        <f t="shared" si="120"/>
        <v>12.5</v>
      </c>
      <c r="CI63" s="1490">
        <f t="shared" si="121"/>
        <v>320</v>
      </c>
      <c r="CJ63" s="1500">
        <v>1</v>
      </c>
      <c r="CK63" s="495">
        <f t="shared" si="122"/>
        <v>500.05</v>
      </c>
      <c r="CL63" s="1689">
        <f t="shared" si="123"/>
        <v>500.05</v>
      </c>
      <c r="CM63" s="1689">
        <f t="shared" si="124"/>
        <v>0</v>
      </c>
      <c r="CN63" s="496">
        <f t="shared" si="125"/>
        <v>0</v>
      </c>
      <c r="CO63" s="497">
        <v>0</v>
      </c>
      <c r="CP63" s="496">
        <f t="shared" si="126"/>
        <v>0</v>
      </c>
      <c r="CQ63" s="496">
        <f t="shared" si="127"/>
        <v>0</v>
      </c>
      <c r="CR63" s="496">
        <f t="shared" si="128"/>
        <v>1000.1</v>
      </c>
      <c r="CS63" s="496">
        <f t="shared" si="129"/>
        <v>75.209999999999994</v>
      </c>
      <c r="CT63" s="496">
        <f t="shared" si="130"/>
        <v>6255</v>
      </c>
      <c r="CU63" s="470"/>
      <c r="CV63" s="470"/>
      <c r="CW63" s="470"/>
      <c r="CX63" s="470"/>
      <c r="CY63" s="1149" t="s">
        <v>7048</v>
      </c>
      <c r="CZ63" s="1149" t="s">
        <v>6912</v>
      </c>
      <c r="DA63" s="480"/>
      <c r="DB63" s="1642" t="s">
        <v>6190</v>
      </c>
      <c r="DC63" s="1642"/>
      <c r="DD63" s="1642" t="s">
        <v>6135</v>
      </c>
      <c r="DE63" s="1642" t="s">
        <v>6162</v>
      </c>
      <c r="DF63" s="1642" t="s">
        <v>6545</v>
      </c>
      <c r="DG63" s="1642"/>
      <c r="DH63" s="470"/>
      <c r="DI63" s="470"/>
      <c r="DJ63" s="470"/>
      <c r="DK63" s="470"/>
      <c r="DL63" s="470"/>
      <c r="DM63" s="471"/>
      <c r="DN63" s="471" t="str">
        <f>VLOOKUP(X63,Hoja1!$A$4:$B$10,2,0)</f>
        <v>BACHILLER</v>
      </c>
      <c r="DO63" s="471" t="str">
        <f>VLOOKUP(S63,Hoja1!$D$4:$F$77,3,0)</f>
        <v>BIII - VII</v>
      </c>
      <c r="DP63" s="1156" t="str">
        <f t="shared" si="131"/>
        <v>0</v>
      </c>
      <c r="DQ63" s="1484">
        <f>IF(T63&lt;&gt;"0",(ROUND(IF(A63="EMPLEADO",eval_formula('CONCEPTOS Y PARAMETROS'!$C$8,NOMINA!V63,AU63+BF63,NOMINA!I63+NOMINA!J63),eval_formula('CONCEPTOS Y PARAMETROS'!$D$8,NOMINA!V63,AU63+BF63,NOMINA!I63+NOMINA!J63)),2))*IF(H63&lt;&gt;"",IF(MONTH(H63)=$BR$8,IF(YEAR(H63)&lt;$BT$7,1,0),0)))</f>
        <v>0</v>
      </c>
      <c r="DR63" s="1801" t="str">
        <f t="shared" si="132"/>
        <v>M</v>
      </c>
      <c r="DS63" s="1801"/>
    </row>
    <row r="64" spans="1:123" s="471" customFormat="1" ht="24" customHeight="1" x14ac:dyDescent="0.25">
      <c r="A64" s="508" t="s">
        <v>2846</v>
      </c>
      <c r="B64" s="1314">
        <f t="shared" ca="1" si="133"/>
        <v>21</v>
      </c>
      <c r="C64" s="1148">
        <v>9327253</v>
      </c>
      <c r="D64" s="1149" t="s">
        <v>4707</v>
      </c>
      <c r="E64" s="1135" t="s">
        <v>4622</v>
      </c>
      <c r="F64" s="1150">
        <v>23674</v>
      </c>
      <c r="G64" s="1135" t="s">
        <v>4621</v>
      </c>
      <c r="H64" s="1150">
        <v>38930</v>
      </c>
      <c r="I64" s="1140">
        <f t="shared" si="90"/>
        <v>19</v>
      </c>
      <c r="J64" s="1132">
        <v>0</v>
      </c>
      <c r="K64" s="1140">
        <f t="shared" si="91"/>
        <v>19</v>
      </c>
      <c r="L64" s="1145" t="s">
        <v>5524</v>
      </c>
      <c r="M64" s="1132"/>
      <c r="N64" s="1653" t="s">
        <v>7557</v>
      </c>
      <c r="O64" s="1002" t="s">
        <v>5221</v>
      </c>
      <c r="P64" s="1132" t="s">
        <v>5286</v>
      </c>
      <c r="Q64" s="1315" t="str">
        <f>IFERROR(VLOOKUP(O64,CARGOS!A:E,2,0),"")</f>
        <v>13413</v>
      </c>
      <c r="R64" s="1327" t="s">
        <v>5221</v>
      </c>
      <c r="S64" s="1146" t="s">
        <v>5458</v>
      </c>
      <c r="T64" s="1107">
        <f>IFERROR(VLOOKUP(S64,'TAB EMP'!A:B,2,0),0)</f>
        <v>287</v>
      </c>
      <c r="U64" s="1108">
        <v>0</v>
      </c>
      <c r="V64" s="1107">
        <f t="shared" si="92"/>
        <v>287</v>
      </c>
      <c r="W64" s="1108">
        <f t="shared" si="93"/>
        <v>143.5</v>
      </c>
      <c r="X64" s="1135" t="s">
        <v>2884</v>
      </c>
      <c r="Y64" s="1135"/>
      <c r="Z64" s="1135">
        <v>0</v>
      </c>
      <c r="AA64" s="1107">
        <f>ROUND(IF(H64&lt;&gt;"",VLOOKUP(SUM(I64+J64),'CONCEPTOS Y PARAMETROS'!F:G,2,0)*V64,0),2)</f>
        <v>70.03</v>
      </c>
      <c r="AB64" s="1107">
        <f>IF(S64&lt;&gt;"",IF(M64="",'CONCEPTOS Y PARAMETROS'!$C$4,0),0)</f>
        <v>130</v>
      </c>
      <c r="AC64" s="1107">
        <f>IF(S64&lt;&gt;"",IF(M64="",'CONCEPTOS Y PARAMETROS'!$C$7*Z64,0),0)</f>
        <v>0</v>
      </c>
      <c r="AD64" s="1107">
        <f>IFERROR(ROUND(VLOOKUP($X64,'CONCEPTOS Y PARAMETROS'!H:I,2,0)*($V64+AA64+AB64+AC64),2),0)</f>
        <v>0</v>
      </c>
      <c r="AE64" s="1107">
        <f t="shared" si="94"/>
        <v>200.03</v>
      </c>
      <c r="AF64" s="1107">
        <f t="shared" si="95"/>
        <v>35.020000000000003</v>
      </c>
      <c r="AG64" s="1107">
        <f t="shared" si="96"/>
        <v>35.01</v>
      </c>
      <c r="AH64" s="1107">
        <f t="shared" si="97"/>
        <v>65</v>
      </c>
      <c r="AI64" s="1107">
        <f t="shared" si="98"/>
        <v>65</v>
      </c>
      <c r="AJ64" s="1107">
        <f t="shared" si="99"/>
        <v>0</v>
      </c>
      <c r="AK64" s="1107">
        <f t="shared" si="100"/>
        <v>0</v>
      </c>
      <c r="AL64" s="1108">
        <f t="shared" si="101"/>
        <v>100.02</v>
      </c>
      <c r="AM64" s="1108">
        <f t="shared" si="102"/>
        <v>100.01</v>
      </c>
      <c r="AN64" s="990">
        <v>0</v>
      </c>
      <c r="AO64" s="1147">
        <f>'CONCEPTOS Y PARAMETROS'!$C$18*AN64</f>
        <v>0</v>
      </c>
      <c r="AP64" s="990">
        <v>0</v>
      </c>
      <c r="AQ64" s="1147">
        <f>'CONCEPTOS Y PARAMETROS'!$C$21*AP64</f>
        <v>0</v>
      </c>
      <c r="AR64" s="1318">
        <v>0</v>
      </c>
      <c r="AS64" s="1318">
        <v>0</v>
      </c>
      <c r="AT64" s="1318">
        <f t="shared" si="103"/>
        <v>0</v>
      </c>
      <c r="AU64" s="1108">
        <f t="shared" si="104"/>
        <v>487.03</v>
      </c>
      <c r="AV64" s="1133">
        <v>0</v>
      </c>
      <c r="AW64" s="1108">
        <f t="shared" si="179"/>
        <v>0</v>
      </c>
      <c r="AX64" s="1107">
        <f>IF(T64&lt;&gt;"0",(ROUND(IF(A64="EMPLEADO",eval_formula('CONCEPTOS Y PARAMETROS'!$C$8,NOMINA!V64,NOMINA!$AU64,NOMINA!I64+NOMINA!J64),eval_formula('CONCEPTOS Y PARAMETROS'!$D$8,NOMINA!V64,NOMINA!$AU64,NOMINA!I64+NOMINA!J64)),2))*IF(H64&lt;&gt;"",IF(MONTH(H64)=$BR$8,IF(YEAR(H64)&lt;$BT$7,1,0),0)))</f>
        <v>0</v>
      </c>
      <c r="AY64" s="1108">
        <v>180</v>
      </c>
      <c r="AZ64" s="1107">
        <f>IFERROR(VLOOKUP(AY64,'CONCEPTOS Y PARAMETROS'!Y:Z,2,0),0)</f>
        <v>150</v>
      </c>
      <c r="BA64" s="1107">
        <f t="shared" si="106"/>
        <v>3652.73</v>
      </c>
      <c r="BB64" s="1107">
        <f t="shared" si="134"/>
        <v>0</v>
      </c>
      <c r="BC64" s="990">
        <v>0</v>
      </c>
      <c r="BD64" s="1107" t="str">
        <f t="shared" si="107"/>
        <v>0</v>
      </c>
      <c r="BE64" s="990">
        <v>0</v>
      </c>
      <c r="BF64" s="1107">
        <f t="shared" si="180"/>
        <v>0</v>
      </c>
      <c r="BG64" s="1108">
        <v>320</v>
      </c>
      <c r="BH64" s="1108">
        <v>0</v>
      </c>
      <c r="BI64" s="1132">
        <v>0</v>
      </c>
      <c r="BJ64" s="1108">
        <v>12.5</v>
      </c>
      <c r="BK64" s="1108">
        <v>0</v>
      </c>
      <c r="BL64" s="1107">
        <f t="shared" si="157"/>
        <v>22.48</v>
      </c>
      <c r="BM64" s="1107">
        <f t="shared" si="158"/>
        <v>2.81</v>
      </c>
      <c r="BN64" s="1107">
        <f t="shared" si="109"/>
        <v>4.87</v>
      </c>
      <c r="BO64" s="1107">
        <v>0</v>
      </c>
      <c r="BP64" s="1107">
        <v>0</v>
      </c>
      <c r="BQ64" s="1320">
        <f t="shared" si="110"/>
        <v>30.16</v>
      </c>
      <c r="BR64" s="1107">
        <f t="shared" si="159"/>
        <v>50.58</v>
      </c>
      <c r="BS64" s="1107">
        <f t="shared" si="160"/>
        <v>11.24</v>
      </c>
      <c r="BT64" s="1107">
        <f t="shared" si="111"/>
        <v>9.74</v>
      </c>
      <c r="BU64" s="1107">
        <v>0</v>
      </c>
      <c r="BV64" s="1108">
        <f t="shared" si="112"/>
        <v>71.56</v>
      </c>
      <c r="BW64" s="1112">
        <f t="shared" si="113"/>
        <v>101.72</v>
      </c>
      <c r="BX64" s="1112">
        <f t="shared" si="178"/>
        <v>913.18</v>
      </c>
      <c r="BY64" s="1108">
        <v>0</v>
      </c>
      <c r="BZ64" s="1108">
        <f t="shared" si="115"/>
        <v>913.18</v>
      </c>
      <c r="CA64" s="1321">
        <f>'CONCEPTOS Y PARAMETROS'!$A$102</f>
        <v>6255</v>
      </c>
      <c r="CB64" s="1112">
        <f t="shared" si="116"/>
        <v>213.35999999999999</v>
      </c>
      <c r="CC64" s="1113">
        <f t="shared" si="117"/>
        <v>576.01</v>
      </c>
      <c r="CD64" s="512"/>
      <c r="CE64" s="512"/>
      <c r="CF64" s="470">
        <f t="shared" si="118"/>
        <v>883.51</v>
      </c>
      <c r="CG64" s="495">
        <f t="shared" si="119"/>
        <v>213.35999999999999</v>
      </c>
      <c r="CH64" s="498">
        <f t="shared" si="120"/>
        <v>12.5</v>
      </c>
      <c r="CI64" s="1490">
        <f t="shared" si="121"/>
        <v>320</v>
      </c>
      <c r="CJ64" s="1500">
        <v>1</v>
      </c>
      <c r="CK64" s="495">
        <f t="shared" si="122"/>
        <v>563.51</v>
      </c>
      <c r="CL64" s="1689">
        <f t="shared" si="123"/>
        <v>563.51</v>
      </c>
      <c r="CM64" s="1689">
        <f t="shared" si="124"/>
        <v>0</v>
      </c>
      <c r="CN64" s="496">
        <f t="shared" si="125"/>
        <v>0</v>
      </c>
      <c r="CO64" s="497">
        <v>0</v>
      </c>
      <c r="CP64" s="496">
        <f t="shared" si="126"/>
        <v>0</v>
      </c>
      <c r="CQ64" s="496">
        <f t="shared" si="127"/>
        <v>0</v>
      </c>
      <c r="CR64" s="496">
        <f t="shared" si="128"/>
        <v>1127.02</v>
      </c>
      <c r="CS64" s="496">
        <f t="shared" si="129"/>
        <v>101.72</v>
      </c>
      <c r="CT64" s="496">
        <f t="shared" si="130"/>
        <v>6255</v>
      </c>
      <c r="CU64" s="470"/>
      <c r="CV64" s="470"/>
      <c r="CW64" s="470"/>
      <c r="CX64" s="470"/>
      <c r="CY64" s="1149" t="s">
        <v>7049</v>
      </c>
      <c r="CZ64" s="1149" t="s">
        <v>6813</v>
      </c>
      <c r="DA64" s="480"/>
      <c r="DB64" s="1152" t="s">
        <v>6568</v>
      </c>
      <c r="DC64" s="1152" t="s">
        <v>7546</v>
      </c>
      <c r="DD64" s="1152" t="s">
        <v>6123</v>
      </c>
      <c r="DE64" s="1152" t="s">
        <v>6380</v>
      </c>
      <c r="DF64" s="1152" t="s">
        <v>6381</v>
      </c>
      <c r="DG64" s="1152"/>
      <c r="DH64" s="470"/>
      <c r="DI64" s="470"/>
      <c r="DJ64" s="470"/>
      <c r="DK64" s="470"/>
      <c r="DL64" s="470"/>
      <c r="DN64" s="471" t="str">
        <f>VLOOKUP(X64,Hoja1!$A$4:$B$10,2,0)</f>
        <v>BACHILLER</v>
      </c>
      <c r="DO64" s="471" t="str">
        <f>VLOOKUP(S64,Hoja1!$D$4:$F$77,3,0)</f>
        <v>PII - VII</v>
      </c>
      <c r="DP64" s="1156" t="str">
        <f t="shared" si="131"/>
        <v>0</v>
      </c>
      <c r="DQ64" s="1484">
        <f>IF(T64&lt;&gt;"0",(ROUND(IF(A64="EMPLEADO",eval_formula('CONCEPTOS Y PARAMETROS'!$C$8,NOMINA!V64,AU64+BF64,NOMINA!I64+NOMINA!J64),eval_formula('CONCEPTOS Y PARAMETROS'!$D$8,NOMINA!V64,AU64+BF64,NOMINA!I64+NOMINA!J64)),2))*IF(H64&lt;&gt;"",IF(MONTH(H64)=$BR$8,IF(YEAR(H64)&lt;$BT$7,1,0),0)))</f>
        <v>0</v>
      </c>
      <c r="DR64" s="1801" t="str">
        <f t="shared" si="132"/>
        <v>M</v>
      </c>
      <c r="DS64" s="1801"/>
    </row>
    <row r="65" spans="1:123" s="471" customFormat="1" ht="21.95" customHeight="1" x14ac:dyDescent="0.25">
      <c r="A65" s="508" t="s">
        <v>2846</v>
      </c>
      <c r="B65" s="1314">
        <f t="shared" ca="1" si="133"/>
        <v>22</v>
      </c>
      <c r="C65" s="1148">
        <v>9328157</v>
      </c>
      <c r="D65" s="1149" t="s">
        <v>4708</v>
      </c>
      <c r="E65" s="1135" t="s">
        <v>4622</v>
      </c>
      <c r="F65" s="1150">
        <v>24156</v>
      </c>
      <c r="G65" s="1135" t="s">
        <v>4620</v>
      </c>
      <c r="H65" s="1150">
        <v>41153</v>
      </c>
      <c r="I65" s="1140">
        <f t="shared" si="90"/>
        <v>13</v>
      </c>
      <c r="J65" s="1132">
        <v>0</v>
      </c>
      <c r="K65" s="1140">
        <f t="shared" si="91"/>
        <v>13</v>
      </c>
      <c r="L65" s="1145" t="s">
        <v>5539</v>
      </c>
      <c r="M65" s="1132"/>
      <c r="N65" s="1132"/>
      <c r="O65" s="1002" t="s">
        <v>5217</v>
      </c>
      <c r="P65" s="1132" t="s">
        <v>5287</v>
      </c>
      <c r="Q65" s="1315" t="str">
        <f>IFERROR(VLOOKUP(O65,CARGOS!A:E,2,0),"")</f>
        <v>79512</v>
      </c>
      <c r="R65" s="1327" t="s">
        <v>5217</v>
      </c>
      <c r="S65" s="1146" t="s">
        <v>5464</v>
      </c>
      <c r="T65" s="1107">
        <f>IFERROR(VLOOKUP(S65,'TAB EMP'!A:B,2,0),0)</f>
        <v>174</v>
      </c>
      <c r="U65" s="1108">
        <v>0</v>
      </c>
      <c r="V65" s="1107">
        <f t="shared" si="92"/>
        <v>174</v>
      </c>
      <c r="W65" s="1108">
        <f t="shared" si="93"/>
        <v>87</v>
      </c>
      <c r="X65" s="1135" t="s">
        <v>2884</v>
      </c>
      <c r="Y65" s="1135"/>
      <c r="Z65" s="1135">
        <v>0</v>
      </c>
      <c r="AA65" s="1107">
        <f>ROUND(IF(H65&lt;&gt;"",VLOOKUP(SUM(I65+J65),'CONCEPTOS Y PARAMETROS'!F:G,2,0)*V65,0),2)</f>
        <v>26.45</v>
      </c>
      <c r="AB65" s="1107">
        <f>IF(S65&lt;&gt;"",IF(M65="",'CONCEPTOS Y PARAMETROS'!$C$4,0),0)</f>
        <v>130</v>
      </c>
      <c r="AC65" s="1107">
        <f>IF(S65&lt;&gt;"",IF(M65="",'CONCEPTOS Y PARAMETROS'!$C$7*Z65,0),0)</f>
        <v>0</v>
      </c>
      <c r="AD65" s="1107">
        <f>IFERROR(ROUND(VLOOKUP($X65,'CONCEPTOS Y PARAMETROS'!H:I,2,0)*($V65+AA65+AB65+AC65),2),0)</f>
        <v>0</v>
      </c>
      <c r="AE65" s="1107">
        <f t="shared" si="94"/>
        <v>156.44999999999999</v>
      </c>
      <c r="AF65" s="1107">
        <f t="shared" si="95"/>
        <v>13.23</v>
      </c>
      <c r="AG65" s="1107">
        <f t="shared" si="96"/>
        <v>13.22</v>
      </c>
      <c r="AH65" s="1107">
        <f t="shared" si="97"/>
        <v>65</v>
      </c>
      <c r="AI65" s="1107">
        <f t="shared" si="98"/>
        <v>65</v>
      </c>
      <c r="AJ65" s="1107">
        <f t="shared" si="99"/>
        <v>0</v>
      </c>
      <c r="AK65" s="1107">
        <f t="shared" si="100"/>
        <v>0</v>
      </c>
      <c r="AL65" s="1108">
        <f t="shared" si="101"/>
        <v>78.23</v>
      </c>
      <c r="AM65" s="1108">
        <f t="shared" si="102"/>
        <v>78.22</v>
      </c>
      <c r="AN65" s="990">
        <v>0</v>
      </c>
      <c r="AO65" s="1147">
        <f>'CONCEPTOS Y PARAMETROS'!$C$18*AN65</f>
        <v>0</v>
      </c>
      <c r="AP65" s="990">
        <v>0</v>
      </c>
      <c r="AQ65" s="1147">
        <f>'CONCEPTOS Y PARAMETROS'!$C$21*AP65</f>
        <v>0</v>
      </c>
      <c r="AR65" s="1318">
        <v>0</v>
      </c>
      <c r="AS65" s="1318">
        <v>0</v>
      </c>
      <c r="AT65" s="1318">
        <f t="shared" si="103"/>
        <v>0</v>
      </c>
      <c r="AU65" s="1108">
        <f t="shared" si="104"/>
        <v>330.45</v>
      </c>
      <c r="AV65" s="1133">
        <v>0</v>
      </c>
      <c r="AW65" s="1108">
        <f t="shared" si="179"/>
        <v>0</v>
      </c>
      <c r="AX65" s="1107">
        <f>IF(T65&lt;&gt;"0",(ROUND(IF(A65="EMPLEADO",eval_formula('CONCEPTOS Y PARAMETROS'!$C$8,NOMINA!V65,NOMINA!$AU65,NOMINA!I65+NOMINA!J65),eval_formula('CONCEPTOS Y PARAMETROS'!$D$8,NOMINA!V65,NOMINA!$AU65,NOMINA!I65+NOMINA!J65)),2))*IF(H65&lt;&gt;"",IF(MONTH(H65)=$BR$8,IF(YEAR(H65)&lt;$BT$7,1,0),0)))</f>
        <v>2643.6</v>
      </c>
      <c r="AY65" s="1108">
        <v>180</v>
      </c>
      <c r="AZ65" s="1107">
        <f>IFERROR(VLOOKUP(AY65,'CONCEPTOS Y PARAMETROS'!Y:Z,2,0),0)</f>
        <v>150</v>
      </c>
      <c r="BA65" s="1107">
        <f t="shared" si="106"/>
        <v>2478.38</v>
      </c>
      <c r="BB65" s="1107">
        <f t="shared" si="134"/>
        <v>0</v>
      </c>
      <c r="BC65" s="990">
        <v>0</v>
      </c>
      <c r="BD65" s="1107" t="str">
        <f t="shared" si="107"/>
        <v>0</v>
      </c>
      <c r="BE65" s="990">
        <v>0</v>
      </c>
      <c r="BF65" s="1107">
        <f t="shared" si="180"/>
        <v>0</v>
      </c>
      <c r="BG65" s="1108">
        <v>320</v>
      </c>
      <c r="BH65" s="1108">
        <v>0</v>
      </c>
      <c r="BI65" s="1132">
        <v>0</v>
      </c>
      <c r="BJ65" s="1108">
        <v>12.5</v>
      </c>
      <c r="BK65" s="1108">
        <v>0</v>
      </c>
      <c r="BL65" s="1107">
        <f t="shared" si="157"/>
        <v>15.25</v>
      </c>
      <c r="BM65" s="1107">
        <f t="shared" si="158"/>
        <v>1.91</v>
      </c>
      <c r="BN65" s="1107">
        <f t="shared" si="109"/>
        <v>3.3</v>
      </c>
      <c r="BO65" s="1107">
        <v>0</v>
      </c>
      <c r="BP65" s="1107">
        <v>0</v>
      </c>
      <c r="BQ65" s="1320">
        <f t="shared" si="110"/>
        <v>20.46</v>
      </c>
      <c r="BR65" s="1107">
        <f t="shared" si="159"/>
        <v>34.32</v>
      </c>
      <c r="BS65" s="1107">
        <f t="shared" si="160"/>
        <v>7.63</v>
      </c>
      <c r="BT65" s="1107">
        <f t="shared" si="111"/>
        <v>6.6</v>
      </c>
      <c r="BU65" s="1107">
        <v>0</v>
      </c>
      <c r="BV65" s="1108">
        <f t="shared" si="112"/>
        <v>48.55</v>
      </c>
      <c r="BW65" s="1112">
        <f t="shared" si="113"/>
        <v>69.009999999999991</v>
      </c>
      <c r="BX65" s="1112">
        <f t="shared" si="178"/>
        <v>619.6</v>
      </c>
      <c r="BY65" s="1108">
        <v>0</v>
      </c>
      <c r="BZ65" s="1108">
        <f t="shared" si="115"/>
        <v>619.6</v>
      </c>
      <c r="CA65" s="1321">
        <v>0</v>
      </c>
      <c r="CB65" s="1112">
        <f t="shared" si="116"/>
        <v>144.77000000000001</v>
      </c>
      <c r="CC65" s="1113">
        <f t="shared" si="117"/>
        <v>3141.32</v>
      </c>
      <c r="CD65" s="512"/>
      <c r="CE65" s="512"/>
      <c r="CF65" s="470">
        <f t="shared" si="118"/>
        <v>805.22</v>
      </c>
      <c r="CG65" s="495">
        <f t="shared" si="119"/>
        <v>144.77000000000001</v>
      </c>
      <c r="CH65" s="498">
        <f t="shared" si="120"/>
        <v>12.5</v>
      </c>
      <c r="CI65" s="1490">
        <f t="shared" si="121"/>
        <v>320</v>
      </c>
      <c r="CJ65" s="1500">
        <v>1</v>
      </c>
      <c r="CK65" s="495">
        <f t="shared" si="122"/>
        <v>485.22</v>
      </c>
      <c r="CL65" s="1689">
        <f t="shared" si="123"/>
        <v>485.22</v>
      </c>
      <c r="CM65" s="1689">
        <f t="shared" si="124"/>
        <v>0</v>
      </c>
      <c r="CN65" s="496">
        <f t="shared" si="125"/>
        <v>0</v>
      </c>
      <c r="CO65" s="497">
        <v>0</v>
      </c>
      <c r="CP65" s="496">
        <f t="shared" si="126"/>
        <v>0</v>
      </c>
      <c r="CQ65" s="496">
        <f t="shared" si="127"/>
        <v>2643.6</v>
      </c>
      <c r="CR65" s="496">
        <f t="shared" si="128"/>
        <v>3614.04</v>
      </c>
      <c r="CS65" s="496">
        <f t="shared" si="129"/>
        <v>69.009999999999991</v>
      </c>
      <c r="CT65" s="496">
        <f t="shared" si="130"/>
        <v>0</v>
      </c>
      <c r="CU65" s="470"/>
      <c r="CV65" s="470"/>
      <c r="CW65" s="470"/>
      <c r="CX65" s="470"/>
      <c r="CY65" s="1149" t="s">
        <v>6801</v>
      </c>
      <c r="CZ65" s="1149" t="s">
        <v>7087</v>
      </c>
      <c r="DA65" s="480"/>
      <c r="DB65" s="1642" t="s">
        <v>6349</v>
      </c>
      <c r="DC65" s="1642"/>
      <c r="DD65" s="1642" t="s">
        <v>6137</v>
      </c>
      <c r="DE65" s="1642" t="s">
        <v>6358</v>
      </c>
      <c r="DF65" s="1642" t="s">
        <v>6359</v>
      </c>
      <c r="DG65" s="1152"/>
      <c r="DH65" s="470"/>
      <c r="DI65" s="470"/>
      <c r="DJ65" s="470"/>
      <c r="DK65" s="470"/>
      <c r="DL65" s="470"/>
      <c r="DN65" s="471" t="str">
        <f>VLOOKUP(X65,Hoja1!$A$4:$B$10,2,0)</f>
        <v>BACHILLER</v>
      </c>
      <c r="DO65" s="471" t="str">
        <f>VLOOKUP(S65,Hoja1!$D$4:$F$77,3,0)</f>
        <v>BIII - V</v>
      </c>
      <c r="DP65" s="1156" t="str">
        <f t="shared" si="131"/>
        <v>0</v>
      </c>
      <c r="DQ65" s="1484">
        <f>IF(T65&lt;&gt;"0",(ROUND(IF(A65="EMPLEADO",eval_formula('CONCEPTOS Y PARAMETROS'!$C$8,NOMINA!V65,AU65+BF65,NOMINA!I65+NOMINA!J65),eval_formula('CONCEPTOS Y PARAMETROS'!$D$8,NOMINA!V65,AU65+BF65,NOMINA!I65+NOMINA!J65)),2))*IF(H65&lt;&gt;"",IF(MONTH(H65)=$BR$8,IF(YEAR(H65)&lt;$BT$7,1,0),0)))</f>
        <v>2643.6</v>
      </c>
      <c r="DR65" s="1801" t="str">
        <f t="shared" si="132"/>
        <v>F</v>
      </c>
      <c r="DS65" s="1801"/>
    </row>
    <row r="66" spans="1:123" s="471" customFormat="1" ht="21.95" customHeight="1" x14ac:dyDescent="0.2">
      <c r="A66" s="508" t="s">
        <v>2846</v>
      </c>
      <c r="B66" s="1314">
        <f t="shared" ca="1" si="133"/>
        <v>23</v>
      </c>
      <c r="C66" s="1148">
        <v>9328224</v>
      </c>
      <c r="D66" s="1149" t="s">
        <v>4709</v>
      </c>
      <c r="E66" s="1135" t="s">
        <v>4622</v>
      </c>
      <c r="F66" s="1150">
        <v>24238</v>
      </c>
      <c r="G66" s="1135" t="s">
        <v>4621</v>
      </c>
      <c r="H66" s="1150">
        <v>39356</v>
      </c>
      <c r="I66" s="1140">
        <f t="shared" si="90"/>
        <v>17</v>
      </c>
      <c r="J66" s="1132">
        <v>2</v>
      </c>
      <c r="K66" s="1140">
        <f t="shared" si="91"/>
        <v>19</v>
      </c>
      <c r="L66" s="1145" t="s">
        <v>5526</v>
      </c>
      <c r="M66" s="1132"/>
      <c r="N66" s="1132"/>
      <c r="O66" s="1002" t="s">
        <v>5222</v>
      </c>
      <c r="P66" s="1132" t="s">
        <v>5288</v>
      </c>
      <c r="Q66" s="1315" t="str">
        <f>IFERROR(VLOOKUP(O66,CARGOS!A:E,2,0),"")</f>
        <v>41113</v>
      </c>
      <c r="R66" s="1327" t="s">
        <v>5222</v>
      </c>
      <c r="S66" s="1146" t="s">
        <v>5471</v>
      </c>
      <c r="T66" s="1107">
        <f>IFERROR(VLOOKUP(S66,'TAB EMP'!A:B,2,0),0)</f>
        <v>228</v>
      </c>
      <c r="U66" s="1108">
        <v>0</v>
      </c>
      <c r="V66" s="1107">
        <f t="shared" si="92"/>
        <v>228</v>
      </c>
      <c r="W66" s="1108">
        <f t="shared" si="93"/>
        <v>114</v>
      </c>
      <c r="X66" s="1135" t="s">
        <v>2884</v>
      </c>
      <c r="Y66" s="1135"/>
      <c r="Z66" s="1135">
        <v>0</v>
      </c>
      <c r="AA66" s="1107">
        <f>ROUND(IF(H66&lt;&gt;"",VLOOKUP(SUM(I66+J66),'CONCEPTOS Y PARAMETROS'!F:G,2,0)*V66,0),2)</f>
        <v>55.63</v>
      </c>
      <c r="AB66" s="1107">
        <f>IF(S66&lt;&gt;"",IF(M66="",'CONCEPTOS Y PARAMETROS'!$C$4,0),0)</f>
        <v>130</v>
      </c>
      <c r="AC66" s="1107">
        <f>IF(S66&lt;&gt;"",IF(M66="",'CONCEPTOS Y PARAMETROS'!$C$7*Z66,0),0)</f>
        <v>0</v>
      </c>
      <c r="AD66" s="1107">
        <f>IFERROR(ROUND(VLOOKUP($X66,'CONCEPTOS Y PARAMETROS'!H:I,2,0)*($V66+AA66+AB66+AC66),2),0)</f>
        <v>0</v>
      </c>
      <c r="AE66" s="1107">
        <f t="shared" si="94"/>
        <v>185.63</v>
      </c>
      <c r="AF66" s="1107">
        <f t="shared" si="95"/>
        <v>27.82</v>
      </c>
      <c r="AG66" s="1107">
        <f t="shared" si="96"/>
        <v>27.81</v>
      </c>
      <c r="AH66" s="1107">
        <f t="shared" si="97"/>
        <v>65</v>
      </c>
      <c r="AI66" s="1107">
        <f t="shared" si="98"/>
        <v>65</v>
      </c>
      <c r="AJ66" s="1107">
        <f t="shared" si="99"/>
        <v>0</v>
      </c>
      <c r="AK66" s="1107">
        <f t="shared" si="100"/>
        <v>0</v>
      </c>
      <c r="AL66" s="1108">
        <f t="shared" si="101"/>
        <v>92.82</v>
      </c>
      <c r="AM66" s="1108">
        <f t="shared" si="102"/>
        <v>92.81</v>
      </c>
      <c r="AN66" s="990">
        <v>0</v>
      </c>
      <c r="AO66" s="1147">
        <f>'CONCEPTOS Y PARAMETROS'!$C$18*AN66</f>
        <v>0</v>
      </c>
      <c r="AP66" s="990">
        <v>0</v>
      </c>
      <c r="AQ66" s="1147">
        <f>'CONCEPTOS Y PARAMETROS'!$C$21*AP66</f>
        <v>0</v>
      </c>
      <c r="AR66" s="1318">
        <v>0</v>
      </c>
      <c r="AS66" s="1318">
        <v>0</v>
      </c>
      <c r="AT66" s="1318">
        <f t="shared" si="103"/>
        <v>0</v>
      </c>
      <c r="AU66" s="1108">
        <f t="shared" si="104"/>
        <v>413.63</v>
      </c>
      <c r="AV66" s="1133">
        <v>0</v>
      </c>
      <c r="AW66" s="1108">
        <f t="shared" si="179"/>
        <v>0</v>
      </c>
      <c r="AX66" s="1107">
        <f>IF(T66&lt;&gt;"0",(ROUND(IF(A66="EMPLEADO",eval_formula('CONCEPTOS Y PARAMETROS'!$C$8,NOMINA!V66,NOMINA!$AU66,NOMINA!I66+NOMINA!J66),eval_formula('CONCEPTOS Y PARAMETROS'!$D$8,NOMINA!V66,NOMINA!$AU66,NOMINA!I66+NOMINA!J66)),2))*IF(H66&lt;&gt;"",IF(MONTH(H66)=$BR$8,IF(YEAR(H66)&lt;$BT$7,1,0),0)))</f>
        <v>0</v>
      </c>
      <c r="AY66" s="1108">
        <v>180</v>
      </c>
      <c r="AZ66" s="1107">
        <f>IFERROR(VLOOKUP(AY66,'CONCEPTOS Y PARAMETROS'!Y:Z,2,0),0)</f>
        <v>150</v>
      </c>
      <c r="BA66" s="1107">
        <f t="shared" si="106"/>
        <v>3102.23</v>
      </c>
      <c r="BB66" s="1107">
        <f t="shared" si="134"/>
        <v>0</v>
      </c>
      <c r="BC66" s="990">
        <v>0</v>
      </c>
      <c r="BD66" s="1107" t="str">
        <f t="shared" si="107"/>
        <v>0</v>
      </c>
      <c r="BE66" s="990">
        <v>0</v>
      </c>
      <c r="BF66" s="1107">
        <f t="shared" si="180"/>
        <v>0</v>
      </c>
      <c r="BG66" s="1108">
        <v>320</v>
      </c>
      <c r="BH66" s="1108">
        <v>0</v>
      </c>
      <c r="BI66" s="1132">
        <v>0</v>
      </c>
      <c r="BJ66" s="1108">
        <v>12.5</v>
      </c>
      <c r="BK66" s="1108">
        <v>0</v>
      </c>
      <c r="BL66" s="1107">
        <f t="shared" si="157"/>
        <v>19.09</v>
      </c>
      <c r="BM66" s="1107">
        <f t="shared" si="158"/>
        <v>2.39</v>
      </c>
      <c r="BN66" s="1107">
        <f t="shared" si="109"/>
        <v>4.1399999999999997</v>
      </c>
      <c r="BO66" s="1107">
        <v>0</v>
      </c>
      <c r="BP66" s="1107">
        <v>0</v>
      </c>
      <c r="BQ66" s="1320">
        <f t="shared" si="110"/>
        <v>25.62</v>
      </c>
      <c r="BR66" s="1107">
        <f t="shared" si="159"/>
        <v>42.95</v>
      </c>
      <c r="BS66" s="1107">
        <f t="shared" si="160"/>
        <v>9.5500000000000007</v>
      </c>
      <c r="BT66" s="1107">
        <f t="shared" si="111"/>
        <v>8.2799999999999994</v>
      </c>
      <c r="BU66" s="1107">
        <v>0</v>
      </c>
      <c r="BV66" s="1108">
        <f t="shared" si="112"/>
        <v>60.78</v>
      </c>
      <c r="BW66" s="1112">
        <f t="shared" si="113"/>
        <v>86.4</v>
      </c>
      <c r="BX66" s="1112">
        <f t="shared" si="178"/>
        <v>775.56</v>
      </c>
      <c r="BY66" s="1108">
        <v>0</v>
      </c>
      <c r="BZ66" s="1108">
        <f t="shared" si="115"/>
        <v>775.56</v>
      </c>
      <c r="CA66" s="1321">
        <f>'CONCEPTOS Y PARAMETROS'!$A$102</f>
        <v>6255</v>
      </c>
      <c r="CB66" s="1112">
        <f t="shared" si="116"/>
        <v>181.2</v>
      </c>
      <c r="CC66" s="1113">
        <f t="shared" si="117"/>
        <v>539.30999999999995</v>
      </c>
      <c r="CD66" s="512"/>
      <c r="CE66" s="512"/>
      <c r="CF66" s="470">
        <f t="shared" si="118"/>
        <v>846.81</v>
      </c>
      <c r="CG66" s="495">
        <f t="shared" si="119"/>
        <v>181.2</v>
      </c>
      <c r="CH66" s="498">
        <f t="shared" si="120"/>
        <v>12.5</v>
      </c>
      <c r="CI66" s="1490">
        <f t="shared" si="121"/>
        <v>320</v>
      </c>
      <c r="CJ66" s="1500">
        <v>1</v>
      </c>
      <c r="CK66" s="495">
        <f t="shared" si="122"/>
        <v>526.80999999999995</v>
      </c>
      <c r="CL66" s="1689">
        <f t="shared" si="123"/>
        <v>526.80999999999995</v>
      </c>
      <c r="CM66" s="1689">
        <f t="shared" si="124"/>
        <v>0</v>
      </c>
      <c r="CN66" s="496">
        <f t="shared" si="125"/>
        <v>0</v>
      </c>
      <c r="CO66" s="497">
        <v>0</v>
      </c>
      <c r="CP66" s="496">
        <f t="shared" si="126"/>
        <v>0</v>
      </c>
      <c r="CQ66" s="496">
        <f t="shared" si="127"/>
        <v>0</v>
      </c>
      <c r="CR66" s="496">
        <f t="shared" si="128"/>
        <v>1053.6199999999999</v>
      </c>
      <c r="CS66" s="496">
        <f t="shared" si="129"/>
        <v>86.4</v>
      </c>
      <c r="CT66" s="496">
        <f t="shared" si="130"/>
        <v>6255</v>
      </c>
      <c r="CU66" s="470"/>
      <c r="CV66" s="470"/>
      <c r="CW66" s="470"/>
      <c r="CX66" s="470"/>
      <c r="CY66" s="1149" t="s">
        <v>6934</v>
      </c>
      <c r="CZ66" s="1149" t="s">
        <v>7088</v>
      </c>
      <c r="DA66" s="480"/>
      <c r="DB66" s="1642" t="s">
        <v>6327</v>
      </c>
      <c r="DC66" s="1642"/>
      <c r="DD66" s="1642" t="s">
        <v>6150</v>
      </c>
      <c r="DE66" s="1642" t="s">
        <v>6244</v>
      </c>
      <c r="DF66" s="1643" t="s">
        <v>7384</v>
      </c>
      <c r="DG66" s="1642" t="s">
        <v>7385</v>
      </c>
      <c r="DH66" s="470"/>
      <c r="DI66" s="470"/>
      <c r="DJ66" s="470"/>
      <c r="DK66" s="470"/>
      <c r="DL66" s="470"/>
      <c r="DN66" s="471" t="str">
        <f>VLOOKUP(X66,Hoja1!$A$4:$B$10,2,0)</f>
        <v>BACHILLER</v>
      </c>
      <c r="DO66" s="471" t="str">
        <f>VLOOKUP(S66,Hoja1!$D$4:$F$77,3,0)</f>
        <v>TII - VII</v>
      </c>
      <c r="DP66" s="1156" t="str">
        <f t="shared" si="131"/>
        <v>0</v>
      </c>
      <c r="DQ66" s="1484">
        <f>IF(T66&lt;&gt;"0",(ROUND(IF(A66="EMPLEADO",eval_formula('CONCEPTOS Y PARAMETROS'!$C$8,NOMINA!V66,AU66+BF66,NOMINA!I66+NOMINA!J66),eval_formula('CONCEPTOS Y PARAMETROS'!$D$8,NOMINA!V66,AU66+BF66,NOMINA!I66+NOMINA!J66)),2))*IF(H66&lt;&gt;"",IF(MONTH(H66)=$BR$8,IF(YEAR(H66)&lt;$BT$7,1,0),0)))</f>
        <v>0</v>
      </c>
      <c r="DR66" s="1801" t="str">
        <f t="shared" si="132"/>
        <v>M</v>
      </c>
      <c r="DS66" s="1801"/>
    </row>
    <row r="67" spans="1:123" s="911" customFormat="1" ht="21.95" customHeight="1" x14ac:dyDescent="0.25">
      <c r="A67" s="910" t="s">
        <v>2846</v>
      </c>
      <c r="B67" s="1328">
        <f t="shared" ca="1" si="133"/>
        <v>24</v>
      </c>
      <c r="C67" s="1329">
        <v>9495661</v>
      </c>
      <c r="D67" s="1330" t="s">
        <v>5183</v>
      </c>
      <c r="E67" s="1331" t="s">
        <v>4622</v>
      </c>
      <c r="F67" s="1332">
        <v>23909</v>
      </c>
      <c r="G67" s="1331" t="s">
        <v>4620</v>
      </c>
      <c r="H67" s="1332">
        <v>39692</v>
      </c>
      <c r="I67" s="1333">
        <f t="shared" si="90"/>
        <v>17</v>
      </c>
      <c r="J67" s="1334">
        <v>0</v>
      </c>
      <c r="K67" s="1333">
        <f t="shared" si="91"/>
        <v>17</v>
      </c>
      <c r="L67" s="1335" t="s">
        <v>5536</v>
      </c>
      <c r="M67" s="1334"/>
      <c r="N67" s="1334"/>
      <c r="O67" s="996" t="s">
        <v>5214</v>
      </c>
      <c r="P67" s="1334" t="s">
        <v>5196</v>
      </c>
      <c r="Q67" s="1337" t="str">
        <f>IFERROR(VLOOKUP(O67,CARGOS!A:E,2,0),"")</f>
        <v>79532</v>
      </c>
      <c r="R67" s="1336" t="s">
        <v>5214</v>
      </c>
      <c r="S67" s="1338" t="s">
        <v>5457</v>
      </c>
      <c r="T67" s="1339">
        <v>0</v>
      </c>
      <c r="U67" s="1307">
        <v>0</v>
      </c>
      <c r="V67" s="1339">
        <f t="shared" si="92"/>
        <v>0</v>
      </c>
      <c r="W67" s="1307">
        <f t="shared" si="93"/>
        <v>0</v>
      </c>
      <c r="X67" s="1331" t="s">
        <v>2884</v>
      </c>
      <c r="Y67" s="1331"/>
      <c r="Z67" s="1331">
        <v>0</v>
      </c>
      <c r="AA67" s="1339">
        <f>ROUND(IF(H67&lt;&gt;"",VLOOKUP(SUM(I67+J67),'CONCEPTOS Y PARAMETROS'!F:G,2,0)*V67,0),2)</f>
        <v>0</v>
      </c>
      <c r="AB67" s="1339">
        <v>0</v>
      </c>
      <c r="AC67" s="1339">
        <f>IF(S67&lt;&gt;"",IF(M67="",'CONCEPTOS Y PARAMETROS'!$C$7*Z67,0),0)</f>
        <v>0</v>
      </c>
      <c r="AD67" s="1339">
        <f>IFERROR(ROUND(VLOOKUP($X67,'CONCEPTOS Y PARAMETROS'!H:I,2,0)*($V67+AA67+AB67+AC67),2),0)</f>
        <v>0</v>
      </c>
      <c r="AE67" s="1339">
        <f t="shared" si="94"/>
        <v>0</v>
      </c>
      <c r="AF67" s="1339">
        <f t="shared" si="95"/>
        <v>0</v>
      </c>
      <c r="AG67" s="1339">
        <f t="shared" si="96"/>
        <v>0</v>
      </c>
      <c r="AH67" s="1339">
        <f t="shared" si="97"/>
        <v>0</v>
      </c>
      <c r="AI67" s="1339">
        <f t="shared" si="98"/>
        <v>0</v>
      </c>
      <c r="AJ67" s="1339">
        <f t="shared" si="99"/>
        <v>0</v>
      </c>
      <c r="AK67" s="1339">
        <f t="shared" si="100"/>
        <v>0</v>
      </c>
      <c r="AL67" s="1307">
        <f t="shared" si="101"/>
        <v>0</v>
      </c>
      <c r="AM67" s="1307">
        <f t="shared" si="102"/>
        <v>0</v>
      </c>
      <c r="AN67" s="1340">
        <v>0</v>
      </c>
      <c r="AO67" s="1341">
        <f>'CONCEPTOS Y PARAMETROS'!$C$18*AN67</f>
        <v>0</v>
      </c>
      <c r="AP67" s="1340">
        <v>0</v>
      </c>
      <c r="AQ67" s="1341">
        <f>'CONCEPTOS Y PARAMETROS'!$C$21*AP67</f>
        <v>0</v>
      </c>
      <c r="AR67" s="1342">
        <v>0</v>
      </c>
      <c r="AS67" s="1342">
        <v>0</v>
      </c>
      <c r="AT67" s="1342">
        <f t="shared" si="103"/>
        <v>0</v>
      </c>
      <c r="AU67" s="1307">
        <f t="shared" si="104"/>
        <v>0</v>
      </c>
      <c r="AV67" s="1343">
        <v>0</v>
      </c>
      <c r="AW67" s="1307">
        <f>ROUND(IF(O67="VIGILANTE",(V67+AE67)*30%,0),2)</f>
        <v>0</v>
      </c>
      <c r="AX67" s="1339">
        <f>IF(T67&lt;&gt;"0",(ROUND(IF(A67="EMPLEADO",eval_formula('CONCEPTOS Y PARAMETROS'!$C$8,NOMINA!V67,NOMINA!$AU67,NOMINA!I67+NOMINA!J67),eval_formula('CONCEPTOS Y PARAMETROS'!$D$8,NOMINA!V67,NOMINA!$AU67,NOMINA!I67+NOMINA!J67)),2))*IF(H67&lt;&gt;"",IF(MONTH(H67)=$BR$8,IF(YEAR(H67)&lt;$BT$7,1,0),0)))</f>
        <v>0</v>
      </c>
      <c r="AY67" s="1307">
        <v>180</v>
      </c>
      <c r="AZ67" s="1339">
        <f>IFERROR(VLOOKUP(AY67,'CONCEPTOS Y PARAMETROS'!Y:Z,2,0),0)</f>
        <v>150</v>
      </c>
      <c r="BA67" s="1339">
        <f t="shared" si="106"/>
        <v>0</v>
      </c>
      <c r="BB67" s="1339">
        <f t="shared" si="134"/>
        <v>0</v>
      </c>
      <c r="BC67" s="1340">
        <v>0</v>
      </c>
      <c r="BD67" s="1339" t="str">
        <f t="shared" si="107"/>
        <v>0</v>
      </c>
      <c r="BE67" s="1340">
        <v>0</v>
      </c>
      <c r="BF67" s="1339">
        <f>ROUND(IF(BE67&gt;0,(((V67+AA67+AB67+AC67+AD67)/30)*50%+((V67+AA67+AB67+AC67+AD67)/30))*BE67,"0"),2)</f>
        <v>0</v>
      </c>
      <c r="BG67" s="1307">
        <v>0</v>
      </c>
      <c r="BH67" s="1307">
        <v>0</v>
      </c>
      <c r="BI67" s="1334">
        <v>0</v>
      </c>
      <c r="BJ67" s="1307">
        <v>0</v>
      </c>
      <c r="BK67" s="1307">
        <v>0</v>
      </c>
      <c r="BL67" s="1339">
        <f t="shared" si="157"/>
        <v>0</v>
      </c>
      <c r="BM67" s="1339">
        <f t="shared" si="158"/>
        <v>0</v>
      </c>
      <c r="BN67" s="1339">
        <f t="shared" si="109"/>
        <v>0</v>
      </c>
      <c r="BO67" s="1339">
        <v>0</v>
      </c>
      <c r="BP67" s="1339">
        <v>0</v>
      </c>
      <c r="BQ67" s="1344">
        <f t="shared" si="110"/>
        <v>0</v>
      </c>
      <c r="BR67" s="1339">
        <f t="shared" si="159"/>
        <v>0</v>
      </c>
      <c r="BS67" s="1339">
        <f t="shared" si="160"/>
        <v>0</v>
      </c>
      <c r="BT67" s="1339">
        <f t="shared" si="111"/>
        <v>0</v>
      </c>
      <c r="BU67" s="1339">
        <v>0</v>
      </c>
      <c r="BV67" s="1307">
        <f t="shared" si="112"/>
        <v>0</v>
      </c>
      <c r="BW67" s="1305">
        <f t="shared" si="113"/>
        <v>0</v>
      </c>
      <c r="BX67" s="1305">
        <f t="shared" si="178"/>
        <v>0</v>
      </c>
      <c r="BY67" s="1307">
        <v>0</v>
      </c>
      <c r="BZ67" s="1307">
        <f t="shared" si="115"/>
        <v>0</v>
      </c>
      <c r="CA67" s="1345">
        <v>0</v>
      </c>
      <c r="CB67" s="1305">
        <f t="shared" si="116"/>
        <v>0</v>
      </c>
      <c r="CC67" s="1346">
        <f t="shared" si="117"/>
        <v>0</v>
      </c>
      <c r="CD67" s="512"/>
      <c r="CE67" s="512"/>
      <c r="CF67" s="470">
        <f t="shared" si="118"/>
        <v>0</v>
      </c>
      <c r="CG67" s="912">
        <f t="shared" si="119"/>
        <v>0</v>
      </c>
      <c r="CH67" s="498">
        <f t="shared" si="120"/>
        <v>0</v>
      </c>
      <c r="CI67" s="1492">
        <f t="shared" si="121"/>
        <v>0</v>
      </c>
      <c r="CJ67" s="1504">
        <v>0</v>
      </c>
      <c r="CK67" s="912">
        <f t="shared" si="122"/>
        <v>0</v>
      </c>
      <c r="CL67" s="912">
        <f t="shared" si="123"/>
        <v>0</v>
      </c>
      <c r="CM67" s="912">
        <f t="shared" si="124"/>
        <v>0</v>
      </c>
      <c r="CN67" s="913">
        <f t="shared" si="125"/>
        <v>0</v>
      </c>
      <c r="CO67" s="914">
        <v>0</v>
      </c>
      <c r="CP67" s="913">
        <f t="shared" si="126"/>
        <v>0</v>
      </c>
      <c r="CQ67" s="913">
        <f t="shared" si="127"/>
        <v>0</v>
      </c>
      <c r="CR67" s="496">
        <f t="shared" si="128"/>
        <v>0</v>
      </c>
      <c r="CS67" s="913">
        <f t="shared" si="129"/>
        <v>0</v>
      </c>
      <c r="CT67" s="913">
        <f t="shared" si="130"/>
        <v>0</v>
      </c>
      <c r="CU67" s="470"/>
      <c r="CV67" s="470"/>
      <c r="CW67" s="470"/>
      <c r="CX67" s="470"/>
      <c r="CY67" s="1330" t="s">
        <v>6809</v>
      </c>
      <c r="CZ67" s="1330" t="s">
        <v>7039</v>
      </c>
      <c r="DA67" s="1613"/>
      <c r="DB67" s="1152"/>
      <c r="DC67" s="1152"/>
      <c r="DD67" s="1143"/>
      <c r="DE67" s="1143"/>
      <c r="DF67" s="1143"/>
      <c r="DG67" s="1143"/>
      <c r="DH67" s="470"/>
      <c r="DI67" s="915"/>
      <c r="DJ67" s="915"/>
      <c r="DK67" s="915"/>
      <c r="DL67" s="915"/>
      <c r="DN67" s="911" t="str">
        <f>VLOOKUP(X67,Hoja1!$A$4:$B$10,2,0)</f>
        <v>BACHILLER</v>
      </c>
      <c r="DO67" s="911" t="str">
        <f>VLOOKUP(S67,Hoja1!$D$4:$F$77,3,0)</f>
        <v>BIII - VI</v>
      </c>
      <c r="DP67" s="1157" t="str">
        <f t="shared" si="131"/>
        <v>0</v>
      </c>
      <c r="DQ67" s="1484">
        <f>IF(T67&lt;&gt;"0",(ROUND(IF(A67="EMPLEADO",eval_formula('CONCEPTOS Y PARAMETROS'!$C$8,NOMINA!V67,AU67+BF67,NOMINA!I67+NOMINA!J67),eval_formula('CONCEPTOS Y PARAMETROS'!$D$8,NOMINA!V67,AU67+BF67,NOMINA!I67+NOMINA!J67)),2))*IF(H67&lt;&gt;"",IF(MONTH(H67)=$BR$8,IF(YEAR(H67)&lt;$BT$7,1,0),0)))</f>
        <v>0</v>
      </c>
      <c r="DR67" s="1800" t="str">
        <f t="shared" si="132"/>
        <v>F</v>
      </c>
      <c r="DS67" s="1800"/>
    </row>
    <row r="68" spans="1:123" s="476" customFormat="1" ht="21.95" customHeight="1" x14ac:dyDescent="0.25">
      <c r="A68" s="508" t="s">
        <v>2846</v>
      </c>
      <c r="B68" s="1314">
        <f t="shared" ca="1" si="133"/>
        <v>25</v>
      </c>
      <c r="C68" s="1148">
        <v>9496860</v>
      </c>
      <c r="D68" s="1149" t="s">
        <v>4710</v>
      </c>
      <c r="E68" s="1135" t="s">
        <v>4622</v>
      </c>
      <c r="F68" s="1150">
        <v>23795</v>
      </c>
      <c r="G68" s="1135" t="s">
        <v>4621</v>
      </c>
      <c r="H68" s="1150">
        <v>43877</v>
      </c>
      <c r="I68" s="1140">
        <f t="shared" si="90"/>
        <v>5</v>
      </c>
      <c r="J68" s="1132">
        <f>1+8+3</f>
        <v>12</v>
      </c>
      <c r="K68" s="1140">
        <f t="shared" si="91"/>
        <v>17</v>
      </c>
      <c r="L68" s="1145" t="s">
        <v>5540</v>
      </c>
      <c r="M68" s="1132"/>
      <c r="N68" s="1132"/>
      <c r="O68" s="1002" t="s">
        <v>513</v>
      </c>
      <c r="P68" s="1132" t="s">
        <v>5289</v>
      </c>
      <c r="Q68" s="1315" t="str">
        <f>IFERROR(VLOOKUP(O68,CARGOS!A:E,2,0),"")</f>
        <v>21213</v>
      </c>
      <c r="R68" s="1327" t="s">
        <v>7283</v>
      </c>
      <c r="S68" s="1146" t="s">
        <v>5460</v>
      </c>
      <c r="T68" s="1107">
        <f>IFERROR(VLOOKUP(S68,'TAB EMP'!A:B,2,0),0)</f>
        <v>285</v>
      </c>
      <c r="U68" s="1108">
        <v>0</v>
      </c>
      <c r="V68" s="1107">
        <f t="shared" si="92"/>
        <v>285</v>
      </c>
      <c r="W68" s="1108">
        <f t="shared" si="93"/>
        <v>142.5</v>
      </c>
      <c r="X68" s="1135" t="s">
        <v>2885</v>
      </c>
      <c r="Y68" s="1135"/>
      <c r="Z68" s="1135">
        <v>0</v>
      </c>
      <c r="AA68" s="1107">
        <f>ROUND(IF(H68&lt;&gt;"",VLOOKUP(SUM(I68+J68),'CONCEPTOS Y PARAMETROS'!F:G,2,0)*V68,0),2)</f>
        <v>60.42</v>
      </c>
      <c r="AB68" s="1107">
        <f>IF(S68&lt;&gt;"",IF(M68="",'CONCEPTOS Y PARAMETROS'!$C$4,0),0)</f>
        <v>130</v>
      </c>
      <c r="AC68" s="1107">
        <f>IF(S68&lt;&gt;"",IF(M68="",'CONCEPTOS Y PARAMETROS'!$C$7*Z68,0),0)</f>
        <v>0</v>
      </c>
      <c r="AD68" s="1107">
        <f>IFERROR(ROUND(VLOOKUP($X68,'CONCEPTOS Y PARAMETROS'!H:I,2,0)*($V68+AA68+AB68+AC68),2),0)</f>
        <v>118.86</v>
      </c>
      <c r="AE68" s="1107">
        <f t="shared" si="94"/>
        <v>309.28000000000003</v>
      </c>
      <c r="AF68" s="1107">
        <f t="shared" si="95"/>
        <v>30.21</v>
      </c>
      <c r="AG68" s="1107">
        <f t="shared" si="96"/>
        <v>30.21</v>
      </c>
      <c r="AH68" s="1107">
        <f t="shared" si="97"/>
        <v>65</v>
      </c>
      <c r="AI68" s="1107">
        <f t="shared" si="98"/>
        <v>65</v>
      </c>
      <c r="AJ68" s="1107">
        <f t="shared" si="99"/>
        <v>59.43</v>
      </c>
      <c r="AK68" s="1107">
        <f t="shared" si="100"/>
        <v>59.43</v>
      </c>
      <c r="AL68" s="1108">
        <f t="shared" si="101"/>
        <v>154.63999999999999</v>
      </c>
      <c r="AM68" s="1108">
        <f t="shared" si="102"/>
        <v>154.63999999999999</v>
      </c>
      <c r="AN68" s="990">
        <v>0</v>
      </c>
      <c r="AO68" s="1147">
        <f>'CONCEPTOS Y PARAMETROS'!$C$18*AN68</f>
        <v>0</v>
      </c>
      <c r="AP68" s="990">
        <v>0</v>
      </c>
      <c r="AQ68" s="1147">
        <f>'CONCEPTOS Y PARAMETROS'!$C$21*AP68</f>
        <v>0</v>
      </c>
      <c r="AR68" s="1318">
        <v>0</v>
      </c>
      <c r="AS68" s="1318">
        <v>0</v>
      </c>
      <c r="AT68" s="1318">
        <f t="shared" si="103"/>
        <v>0</v>
      </c>
      <c r="AU68" s="1108">
        <f t="shared" si="104"/>
        <v>594.28</v>
      </c>
      <c r="AV68" s="1133">
        <v>0</v>
      </c>
      <c r="AW68" s="1108">
        <f t="shared" ref="AW68:AW83" si="181">ROUND(IF(AV68="NOCTURN",(V68+AE68)*30%,0),2)</f>
        <v>0</v>
      </c>
      <c r="AX68" s="1107">
        <f>IF(T68&lt;&gt;"0",(ROUND(IF(A68="EMPLEADO",eval_formula('CONCEPTOS Y PARAMETROS'!$C$8,NOMINA!V68,NOMINA!$AU68,NOMINA!I68+NOMINA!J68),eval_formula('CONCEPTOS Y PARAMETROS'!$D$8,NOMINA!V68,NOMINA!$AU68,NOMINA!I68+NOMINA!J68)),2))*IF(H68&lt;&gt;"",IF(MONTH(H68)=$BR$8,IF(YEAR(H68)&lt;$BT$7,1,0),0)))</f>
        <v>0</v>
      </c>
      <c r="AY68" s="1108">
        <v>180</v>
      </c>
      <c r="AZ68" s="1107">
        <f>IFERROR(VLOOKUP(AY68,'CONCEPTOS Y PARAMETROS'!Y:Z,2,0),0)</f>
        <v>150</v>
      </c>
      <c r="BA68" s="1107">
        <f t="shared" si="106"/>
        <v>4457.1000000000004</v>
      </c>
      <c r="BB68" s="1107">
        <f t="shared" si="134"/>
        <v>0</v>
      </c>
      <c r="BC68" s="990">
        <v>0</v>
      </c>
      <c r="BD68" s="1107" t="str">
        <f t="shared" si="107"/>
        <v>0</v>
      </c>
      <c r="BE68" s="990">
        <v>0</v>
      </c>
      <c r="BF68" s="1107">
        <f t="shared" ref="BF68:BF83" si="182">ROUND(IF(BE68&gt;0,(((V68+AA68+AB68+AC68+AD68+AW68)/30)*50%+((V68+AA68+AB68+AC68+AD68+AW68)/30))*BE68,"0"),2)</f>
        <v>0</v>
      </c>
      <c r="BG68" s="1108">
        <v>320</v>
      </c>
      <c r="BH68" s="1108">
        <v>0</v>
      </c>
      <c r="BI68" s="1132">
        <v>0</v>
      </c>
      <c r="BJ68" s="1108">
        <v>12.5</v>
      </c>
      <c r="BK68" s="1108">
        <v>0</v>
      </c>
      <c r="BL68" s="1107">
        <f t="shared" si="157"/>
        <v>27.43</v>
      </c>
      <c r="BM68" s="1107">
        <f t="shared" si="158"/>
        <v>3.43</v>
      </c>
      <c r="BN68" s="1107">
        <f t="shared" si="109"/>
        <v>5.94</v>
      </c>
      <c r="BO68" s="1107">
        <v>0</v>
      </c>
      <c r="BP68" s="1107">
        <v>0</v>
      </c>
      <c r="BQ68" s="1320">
        <f t="shared" si="110"/>
        <v>36.799999999999997</v>
      </c>
      <c r="BR68" s="1107">
        <f t="shared" si="159"/>
        <v>61.71</v>
      </c>
      <c r="BS68" s="1107">
        <f t="shared" si="160"/>
        <v>13.71</v>
      </c>
      <c r="BT68" s="1107">
        <f t="shared" si="111"/>
        <v>11.88</v>
      </c>
      <c r="BU68" s="1107">
        <v>0</v>
      </c>
      <c r="BV68" s="1108">
        <f t="shared" si="112"/>
        <v>87.3</v>
      </c>
      <c r="BW68" s="1112">
        <f t="shared" si="113"/>
        <v>124.1</v>
      </c>
      <c r="BX68" s="1112">
        <f t="shared" si="178"/>
        <v>1114.28</v>
      </c>
      <c r="BY68" s="1108">
        <v>0</v>
      </c>
      <c r="BZ68" s="1108">
        <f t="shared" si="115"/>
        <v>1114.28</v>
      </c>
      <c r="CA68" s="1321">
        <f>'CONCEPTOS Y PARAMETROS'!$A$102</f>
        <v>6255</v>
      </c>
      <c r="CB68" s="1112">
        <f t="shared" si="116"/>
        <v>260.33999999999997</v>
      </c>
      <c r="CC68" s="1113">
        <f t="shared" si="117"/>
        <v>629.64</v>
      </c>
      <c r="CD68" s="512"/>
      <c r="CE68" s="512"/>
      <c r="CF68" s="470">
        <f t="shared" si="118"/>
        <v>937.14</v>
      </c>
      <c r="CG68" s="509">
        <f t="shared" si="119"/>
        <v>260.33999999999997</v>
      </c>
      <c r="CH68" s="1603">
        <f t="shared" si="120"/>
        <v>12.5</v>
      </c>
      <c r="CI68" s="1491">
        <f t="shared" si="121"/>
        <v>320</v>
      </c>
      <c r="CJ68" s="1502">
        <v>1</v>
      </c>
      <c r="CK68" s="509">
        <f t="shared" si="122"/>
        <v>617.14</v>
      </c>
      <c r="CL68" s="1689">
        <f t="shared" si="123"/>
        <v>296.23</v>
      </c>
      <c r="CM68" s="1689">
        <f t="shared" si="124"/>
        <v>320.90999999999997</v>
      </c>
      <c r="CN68" s="510">
        <f t="shared" si="125"/>
        <v>0</v>
      </c>
      <c r="CO68" s="511">
        <v>0</v>
      </c>
      <c r="CP68" s="510">
        <f t="shared" si="126"/>
        <v>0</v>
      </c>
      <c r="CQ68" s="510">
        <f t="shared" si="127"/>
        <v>0</v>
      </c>
      <c r="CR68" s="510">
        <f t="shared" si="128"/>
        <v>1234.28</v>
      </c>
      <c r="CS68" s="510">
        <f t="shared" si="129"/>
        <v>124.1</v>
      </c>
      <c r="CT68" s="510">
        <f t="shared" si="130"/>
        <v>6255</v>
      </c>
      <c r="CU68" s="512"/>
      <c r="CV68" s="512"/>
      <c r="CW68" s="512"/>
      <c r="CX68" s="512"/>
      <c r="CY68" s="1149" t="s">
        <v>6959</v>
      </c>
      <c r="CZ68" s="1149" t="s">
        <v>6813</v>
      </c>
      <c r="DA68" s="1152"/>
      <c r="DB68" s="1645" t="s">
        <v>6501</v>
      </c>
      <c r="DC68" s="1645"/>
      <c r="DD68" s="1642" t="s">
        <v>6150</v>
      </c>
      <c r="DE68" s="1642" t="s">
        <v>6257</v>
      </c>
      <c r="DF68" s="1642" t="s">
        <v>6488</v>
      </c>
      <c r="DG68" s="1152"/>
      <c r="DH68" s="512"/>
      <c r="DI68" s="512"/>
      <c r="DJ68" s="512"/>
      <c r="DK68" s="512"/>
      <c r="DL68" s="512"/>
      <c r="DN68" s="476" t="str">
        <f>VLOOKUP(X68,Hoja1!$A$4:$B$10,2,0)</f>
        <v>PROFESIONAL</v>
      </c>
      <c r="DO68" s="476" t="str">
        <f>VLOOKUP(S68,Hoja1!$D$4:$F$77,3,0)</f>
        <v>PII - VI</v>
      </c>
      <c r="DP68" s="1594" t="str">
        <f t="shared" si="131"/>
        <v>0</v>
      </c>
      <c r="DQ68" s="1484">
        <f>IF(T68&lt;&gt;"0",(ROUND(IF(A68="EMPLEADO",eval_formula('CONCEPTOS Y PARAMETROS'!$C$8,NOMINA!V68,AU68+BF68,NOMINA!I68+NOMINA!J68),eval_formula('CONCEPTOS Y PARAMETROS'!$D$8,NOMINA!V68,AU68+BF68,NOMINA!I68+NOMINA!J68)),2))*IF(H68&lt;&gt;"",IF(MONTH(H68)=$BR$8,IF(YEAR(H68)&lt;$BT$7,1,0),0)))</f>
        <v>0</v>
      </c>
      <c r="DR68" s="1799" t="str">
        <f t="shared" si="132"/>
        <v>M</v>
      </c>
      <c r="DS68" s="1799"/>
    </row>
    <row r="69" spans="1:123" s="476" customFormat="1" ht="21.95" customHeight="1" x14ac:dyDescent="0.25">
      <c r="A69" s="508" t="s">
        <v>2846</v>
      </c>
      <c r="B69" s="1314">
        <f t="shared" ca="1" si="133"/>
        <v>26</v>
      </c>
      <c r="C69" s="1148">
        <v>9497151</v>
      </c>
      <c r="D69" s="1149" t="s">
        <v>4711</v>
      </c>
      <c r="E69" s="1135" t="s">
        <v>4622</v>
      </c>
      <c r="F69" s="1150">
        <v>24911</v>
      </c>
      <c r="G69" s="1135" t="s">
        <v>4621</v>
      </c>
      <c r="H69" s="1150">
        <v>36770</v>
      </c>
      <c r="I69" s="1140">
        <f t="shared" si="90"/>
        <v>25</v>
      </c>
      <c r="J69" s="1132">
        <v>0</v>
      </c>
      <c r="K69" s="1140">
        <f t="shared" si="91"/>
        <v>25</v>
      </c>
      <c r="L69" s="1145" t="s">
        <v>5526</v>
      </c>
      <c r="M69" s="1132"/>
      <c r="N69" s="1132"/>
      <c r="O69" s="1002" t="s">
        <v>5223</v>
      </c>
      <c r="P69" s="1132" t="s">
        <v>5290</v>
      </c>
      <c r="Q69" s="1315" t="str">
        <f>IFERROR(VLOOKUP(O69,CARGOS!A:E,2,0),"")</f>
        <v>46612</v>
      </c>
      <c r="R69" s="1327" t="s">
        <v>5223</v>
      </c>
      <c r="S69" s="1146" t="s">
        <v>5458</v>
      </c>
      <c r="T69" s="1107">
        <f>IFERROR(VLOOKUP(S69,'TAB EMP'!A:B,2,0),0)</f>
        <v>287</v>
      </c>
      <c r="U69" s="1108">
        <v>0</v>
      </c>
      <c r="V69" s="1107">
        <f t="shared" si="92"/>
        <v>287</v>
      </c>
      <c r="W69" s="1108">
        <f t="shared" si="93"/>
        <v>143.5</v>
      </c>
      <c r="X69" s="1135" t="s">
        <v>2885</v>
      </c>
      <c r="Y69" s="1135"/>
      <c r="Z69" s="1135">
        <v>0</v>
      </c>
      <c r="AA69" s="1107">
        <f>ROUND(IF(H69&lt;&gt;"",VLOOKUP(SUM(I69+J69),'CONCEPTOS Y PARAMETROS'!F:G,2,0)*V69,0),2)</f>
        <v>86.1</v>
      </c>
      <c r="AB69" s="1107">
        <f>IF(S69&lt;&gt;"",IF(M69="",'CONCEPTOS Y PARAMETROS'!$C$4,0),0)</f>
        <v>130</v>
      </c>
      <c r="AC69" s="1107">
        <f>IF(S69&lt;&gt;"",IF(M69="",'CONCEPTOS Y PARAMETROS'!$C$7*Z69,0),0)</f>
        <v>0</v>
      </c>
      <c r="AD69" s="1107">
        <f>IFERROR(ROUND(VLOOKUP($X69,'CONCEPTOS Y PARAMETROS'!H:I,2,0)*($V69+AA69+AB69+AC69),2),0)</f>
        <v>125.78</v>
      </c>
      <c r="AE69" s="1107">
        <f t="shared" si="94"/>
        <v>341.88</v>
      </c>
      <c r="AF69" s="1107">
        <f t="shared" si="95"/>
        <v>43.05</v>
      </c>
      <c r="AG69" s="1107">
        <f t="shared" si="96"/>
        <v>43.05</v>
      </c>
      <c r="AH69" s="1107">
        <f t="shared" si="97"/>
        <v>65</v>
      </c>
      <c r="AI69" s="1107">
        <f t="shared" si="98"/>
        <v>65</v>
      </c>
      <c r="AJ69" s="1107">
        <f t="shared" si="99"/>
        <v>62.89</v>
      </c>
      <c r="AK69" s="1107">
        <f t="shared" si="100"/>
        <v>62.89</v>
      </c>
      <c r="AL69" s="1108">
        <f t="shared" si="101"/>
        <v>170.94</v>
      </c>
      <c r="AM69" s="1108">
        <f t="shared" si="102"/>
        <v>170.94</v>
      </c>
      <c r="AN69" s="990">
        <v>0</v>
      </c>
      <c r="AO69" s="1147">
        <f>'CONCEPTOS Y PARAMETROS'!$C$18*AN69</f>
        <v>0</v>
      </c>
      <c r="AP69" s="990">
        <v>0</v>
      </c>
      <c r="AQ69" s="1147">
        <f>'CONCEPTOS Y PARAMETROS'!$C$21*AP69</f>
        <v>0</v>
      </c>
      <c r="AR69" s="1318">
        <v>0</v>
      </c>
      <c r="AS69" s="1318">
        <v>0</v>
      </c>
      <c r="AT69" s="1318">
        <f t="shared" si="103"/>
        <v>0</v>
      </c>
      <c r="AU69" s="1108">
        <f t="shared" si="104"/>
        <v>628.88</v>
      </c>
      <c r="AV69" s="1133">
        <v>0</v>
      </c>
      <c r="AW69" s="1108">
        <f t="shared" si="181"/>
        <v>0</v>
      </c>
      <c r="AX69" s="1107">
        <f>IF(T69&lt;&gt;"0",(ROUND(IF(A69="EMPLEADO",eval_formula('CONCEPTOS Y PARAMETROS'!$C$8,NOMINA!V69,NOMINA!$AU69,NOMINA!I69+NOMINA!J69),eval_formula('CONCEPTOS Y PARAMETROS'!$D$8,NOMINA!V69,NOMINA!$AU69,NOMINA!I69+NOMINA!J69)),2))*IF(H69&lt;&gt;"",IF(MONTH(H69)=$BR$8,IF(YEAR(H69)&lt;$BT$7,1,0),0)))</f>
        <v>5031.04</v>
      </c>
      <c r="AY69" s="1108">
        <v>180</v>
      </c>
      <c r="AZ69" s="1107">
        <f>IFERROR(VLOOKUP(AY69,'CONCEPTOS Y PARAMETROS'!Y:Z,2,0),0)</f>
        <v>150</v>
      </c>
      <c r="BA69" s="1107">
        <f t="shared" si="106"/>
        <v>4716.6000000000004</v>
      </c>
      <c r="BB69" s="1107">
        <f t="shared" si="134"/>
        <v>0</v>
      </c>
      <c r="BC69" s="990">
        <v>0</v>
      </c>
      <c r="BD69" s="1107" t="str">
        <f t="shared" si="107"/>
        <v>0</v>
      </c>
      <c r="BE69" s="990">
        <v>0</v>
      </c>
      <c r="BF69" s="1107">
        <f t="shared" si="182"/>
        <v>0</v>
      </c>
      <c r="BG69" s="1108">
        <v>320</v>
      </c>
      <c r="BH69" s="1108">
        <v>0</v>
      </c>
      <c r="BI69" s="1132">
        <v>0</v>
      </c>
      <c r="BJ69" s="1108">
        <v>12.5</v>
      </c>
      <c r="BK69" s="1108">
        <v>0</v>
      </c>
      <c r="BL69" s="1107">
        <f t="shared" si="157"/>
        <v>29.03</v>
      </c>
      <c r="BM69" s="1107">
        <f t="shared" si="158"/>
        <v>3.63</v>
      </c>
      <c r="BN69" s="1107">
        <f t="shared" si="109"/>
        <v>6.29</v>
      </c>
      <c r="BO69" s="1107">
        <v>0</v>
      </c>
      <c r="BP69" s="1107">
        <v>0</v>
      </c>
      <c r="BQ69" s="1320">
        <f t="shared" si="110"/>
        <v>38.950000000000003</v>
      </c>
      <c r="BR69" s="1107">
        <f t="shared" si="159"/>
        <v>65.31</v>
      </c>
      <c r="BS69" s="1107">
        <f t="shared" si="160"/>
        <v>14.51</v>
      </c>
      <c r="BT69" s="1107">
        <f t="shared" si="111"/>
        <v>12.58</v>
      </c>
      <c r="BU69" s="1107">
        <v>0</v>
      </c>
      <c r="BV69" s="1108">
        <f t="shared" si="112"/>
        <v>92.4</v>
      </c>
      <c r="BW69" s="1112">
        <f t="shared" si="113"/>
        <v>131.35000000000002</v>
      </c>
      <c r="BX69" s="1112">
        <f t="shared" si="178"/>
        <v>1179.1500000000001</v>
      </c>
      <c r="BY69" s="1108">
        <v>0</v>
      </c>
      <c r="BZ69" s="1108">
        <f t="shared" si="115"/>
        <v>1179.1500000000001</v>
      </c>
      <c r="CA69" s="1321">
        <f>'CONCEPTOS Y PARAMETROS'!$A$102</f>
        <v>6255</v>
      </c>
      <c r="CB69" s="1112">
        <f t="shared" si="116"/>
        <v>275.49</v>
      </c>
      <c r="CC69" s="1113">
        <f t="shared" si="117"/>
        <v>5677.98</v>
      </c>
      <c r="CD69" s="512"/>
      <c r="CE69" s="512"/>
      <c r="CF69" s="470">
        <f t="shared" si="118"/>
        <v>954.44</v>
      </c>
      <c r="CG69" s="509">
        <f t="shared" si="119"/>
        <v>275.49</v>
      </c>
      <c r="CH69" s="1603">
        <f t="shared" si="120"/>
        <v>12.5</v>
      </c>
      <c r="CI69" s="1491">
        <f t="shared" si="121"/>
        <v>320</v>
      </c>
      <c r="CJ69" s="1502">
        <v>2</v>
      </c>
      <c r="CK69" s="509">
        <f t="shared" si="122"/>
        <v>634.44000000000005</v>
      </c>
      <c r="CL69" s="1689">
        <f t="shared" si="123"/>
        <v>304.52999999999997</v>
      </c>
      <c r="CM69" s="1689">
        <f t="shared" si="124"/>
        <v>329.91000000000008</v>
      </c>
      <c r="CN69" s="510">
        <f t="shared" si="125"/>
        <v>0</v>
      </c>
      <c r="CO69" s="511">
        <v>0</v>
      </c>
      <c r="CP69" s="510">
        <f t="shared" si="126"/>
        <v>0</v>
      </c>
      <c r="CQ69" s="510">
        <f t="shared" si="127"/>
        <v>5031.04</v>
      </c>
      <c r="CR69" s="510">
        <f t="shared" si="128"/>
        <v>6299.92</v>
      </c>
      <c r="CS69" s="510">
        <f t="shared" si="129"/>
        <v>131.35000000000002</v>
      </c>
      <c r="CT69" s="510">
        <f t="shared" si="130"/>
        <v>6255</v>
      </c>
      <c r="CU69" s="512"/>
      <c r="CV69" s="512"/>
      <c r="CW69" s="512"/>
      <c r="CX69" s="512"/>
      <c r="CY69" s="1149" t="s">
        <v>6345</v>
      </c>
      <c r="CZ69" s="1149" t="s">
        <v>7089</v>
      </c>
      <c r="DA69" s="1152"/>
      <c r="DB69" s="1645" t="s">
        <v>7393</v>
      </c>
      <c r="DC69" s="1645"/>
      <c r="DD69" s="1642" t="s">
        <v>6135</v>
      </c>
      <c r="DE69" s="1642" t="s">
        <v>6247</v>
      </c>
      <c r="DF69" s="1642" t="s">
        <v>7394</v>
      </c>
      <c r="DG69" s="1642" t="s">
        <v>7381</v>
      </c>
      <c r="DH69" s="512"/>
      <c r="DI69" s="512"/>
      <c r="DJ69" s="512"/>
      <c r="DK69" s="512"/>
      <c r="DL69" s="512"/>
      <c r="DN69" s="476" t="str">
        <f>VLOOKUP(X69,Hoja1!$A$4:$B$10,2,0)</f>
        <v>PROFESIONAL</v>
      </c>
      <c r="DO69" s="476" t="str">
        <f>VLOOKUP(S69,Hoja1!$D$4:$F$77,3,0)</f>
        <v>PII - VII</v>
      </c>
      <c r="DP69" s="1594" t="str">
        <f t="shared" si="131"/>
        <v>0</v>
      </c>
      <c r="DQ69" s="1484">
        <f>IF(T69&lt;&gt;"0",(ROUND(IF(A69="EMPLEADO",eval_formula('CONCEPTOS Y PARAMETROS'!$C$8,NOMINA!V69,AU69+BF69,NOMINA!I69+NOMINA!J69),eval_formula('CONCEPTOS Y PARAMETROS'!$D$8,NOMINA!V69,AU69+BF69,NOMINA!I69+NOMINA!J69)),2))*IF(H69&lt;&gt;"",IF(MONTH(H69)=$BR$8,IF(YEAR(H69)&lt;$BT$7,1,0),0)))</f>
        <v>5031.04</v>
      </c>
      <c r="DR69" s="1799" t="str">
        <f t="shared" si="132"/>
        <v>M</v>
      </c>
      <c r="DS69" s="1799"/>
    </row>
    <row r="70" spans="1:123" s="476" customFormat="1" ht="21.95" customHeight="1" x14ac:dyDescent="0.25">
      <c r="A70" s="508" t="s">
        <v>2846</v>
      </c>
      <c r="B70" s="1314">
        <f t="shared" ca="1" si="133"/>
        <v>27</v>
      </c>
      <c r="C70" s="1148">
        <v>9497349</v>
      </c>
      <c r="D70" s="1149" t="s">
        <v>7587</v>
      </c>
      <c r="E70" s="1135" t="s">
        <v>4622</v>
      </c>
      <c r="F70" s="1150">
        <v>24273</v>
      </c>
      <c r="G70" s="1135" t="s">
        <v>4621</v>
      </c>
      <c r="H70" s="1150">
        <v>45809</v>
      </c>
      <c r="I70" s="1140">
        <f t="shared" si="90"/>
        <v>0</v>
      </c>
      <c r="J70" s="1132">
        <v>0</v>
      </c>
      <c r="K70" s="1140">
        <f t="shared" ref="K70" si="183">I70+J70</f>
        <v>0</v>
      </c>
      <c r="L70" s="1145" t="s">
        <v>5546</v>
      </c>
      <c r="M70" s="1132"/>
      <c r="N70" s="1132"/>
      <c r="O70" s="1002" t="s">
        <v>5218</v>
      </c>
      <c r="P70" s="1132" t="s">
        <v>7588</v>
      </c>
      <c r="Q70" s="1315" t="str">
        <f>IFERROR(VLOOKUP(O70,CARGOS!A:E,2,0),"")</f>
        <v>79511</v>
      </c>
      <c r="R70" s="1327" t="s">
        <v>5218</v>
      </c>
      <c r="S70" s="1146" t="s">
        <v>5470</v>
      </c>
      <c r="T70" s="1107">
        <f>IFERROR(VLOOKUP(S70,'TAB EMP'!A:B,2,0),0)</f>
        <v>130</v>
      </c>
      <c r="U70" s="1108">
        <v>0</v>
      </c>
      <c r="V70" s="1107">
        <f t="shared" ref="V70" si="184">T70-U70</f>
        <v>130</v>
      </c>
      <c r="W70" s="1108">
        <f t="shared" ref="W70" si="185">ROUND(V70/2,2)</f>
        <v>65</v>
      </c>
      <c r="X70" s="1135" t="s">
        <v>2884</v>
      </c>
      <c r="Y70" s="1135"/>
      <c r="Z70" s="1135">
        <v>0</v>
      </c>
      <c r="AA70" s="1107">
        <f>ROUND(IF(H70&lt;&gt;"",VLOOKUP(SUM(I70+J70),'CONCEPTOS Y PARAMETROS'!F:G,2,0)*V70,0),2)</f>
        <v>0</v>
      </c>
      <c r="AB70" s="1107">
        <f>IF(S70&lt;&gt;"",IF(M70="",'CONCEPTOS Y PARAMETROS'!$C$4,0),0)</f>
        <v>130</v>
      </c>
      <c r="AC70" s="1107">
        <f>IF(S70&lt;&gt;"",IF(M70="",'CONCEPTOS Y PARAMETROS'!$C$7*Z70,0),0)</f>
        <v>0</v>
      </c>
      <c r="AD70" s="1107">
        <f>IFERROR(ROUND(VLOOKUP($X70,'CONCEPTOS Y PARAMETROS'!H:I,2,0)*($V70+AA70+AB70+AC70),2),0)</f>
        <v>0</v>
      </c>
      <c r="AE70" s="1107">
        <f t="shared" ref="AE70" si="186">SUM(AA70:AD70)</f>
        <v>130</v>
      </c>
      <c r="AF70" s="1107">
        <f t="shared" ref="AF70" si="187">ROUND(AA70/2,2)</f>
        <v>0</v>
      </c>
      <c r="AG70" s="1107">
        <f t="shared" ref="AG70" si="188">ROUND(AA70-AF70,2)</f>
        <v>0</v>
      </c>
      <c r="AH70" s="1107">
        <f t="shared" ref="AH70" si="189">ROUND(AB70/2,2)</f>
        <v>65</v>
      </c>
      <c r="AI70" s="1107">
        <f t="shared" ref="AI70" si="190">ROUND(AB70-AH70,2)</f>
        <v>65</v>
      </c>
      <c r="AJ70" s="1107">
        <f t="shared" ref="AJ70" si="191">ROUND(AD70/2,2)</f>
        <v>0</v>
      </c>
      <c r="AK70" s="1107">
        <f t="shared" ref="AK70" si="192">ROUND(AD70-AJ70,2)</f>
        <v>0</v>
      </c>
      <c r="AL70" s="1108">
        <f t="shared" ref="AL70" si="193">ROUND(AF70+AH70+AJ70+AC70,2)</f>
        <v>65</v>
      </c>
      <c r="AM70" s="1108">
        <f t="shared" ref="AM70" si="194">ROUND(AG70+AI70+AK70,2)</f>
        <v>65</v>
      </c>
      <c r="AN70" s="990">
        <v>0</v>
      </c>
      <c r="AO70" s="1147">
        <f>'CONCEPTOS Y PARAMETROS'!$C$18*AN70</f>
        <v>0</v>
      </c>
      <c r="AP70" s="990">
        <v>0</v>
      </c>
      <c r="AQ70" s="1147">
        <f>'CONCEPTOS Y PARAMETROS'!$C$21*AP70</f>
        <v>0</v>
      </c>
      <c r="AR70" s="1318">
        <v>0</v>
      </c>
      <c r="AS70" s="1318">
        <v>0</v>
      </c>
      <c r="AT70" s="1318">
        <f t="shared" si="103"/>
        <v>0</v>
      </c>
      <c r="AU70" s="1108">
        <f t="shared" ref="AU70" si="195">V70+AE70+AW70</f>
        <v>338</v>
      </c>
      <c r="AV70" s="1133" t="s">
        <v>5080</v>
      </c>
      <c r="AW70" s="1108">
        <f t="shared" ref="AW70" si="196">ROUND(IF(AV70="NOCTURN",(V70+AE70)*30%,0),2)</f>
        <v>78</v>
      </c>
      <c r="AX70" s="1107">
        <f>IF(T70&lt;&gt;"0",(ROUND(IF(A70="EMPLEADO",eval_formula('CONCEPTOS Y PARAMETROS'!$C$8,NOMINA!V70,NOMINA!$AU70,NOMINA!I70+NOMINA!J70),eval_formula('CONCEPTOS Y PARAMETROS'!$D$8,NOMINA!V70,NOMINA!$AU70,NOMINA!I70+NOMINA!J70)),2))*IF(H70&lt;&gt;"",IF(MONTH(H70)=$BR$8,IF(YEAR(H70)&lt;$BT$7,1,0),0)))</f>
        <v>0</v>
      </c>
      <c r="AY70" s="1108">
        <v>180</v>
      </c>
      <c r="AZ70" s="1107">
        <f>IFERROR(VLOOKUP(AY70,'CONCEPTOS Y PARAMETROS'!Y:Z,2,0),0)</f>
        <v>150</v>
      </c>
      <c r="BA70" s="1107">
        <f t="shared" ref="BA70" si="197">ROUND((((AU70))/30*AY70/12+(AU70))/30*AZ70,2)</f>
        <v>2535</v>
      </c>
      <c r="BB70" s="1107">
        <f t="shared" ref="BB70" si="198">ROUND(AU70/30*$BB$10,2)</f>
        <v>0</v>
      </c>
      <c r="BC70" s="990">
        <v>0</v>
      </c>
      <c r="BD70" s="1107" t="str">
        <f t="shared" ref="BD70" si="199">IF(BC70&gt;0,((((((V70+AA70+AB70+AC70+AD70)/30)/8)*50%)+((((V70+AA70+AB70+AC70+AD70)/30)/8)))*30%+(((((V70+AA70+AB70+AC70+AD70)/30)/8)*50%)+((((V70+AA70+AB70+AC70+AD70)/30)/8))))*BC70,"0")</f>
        <v>0</v>
      </c>
      <c r="BE70" s="990">
        <v>3</v>
      </c>
      <c r="BF70" s="1107">
        <f t="shared" ref="BF70" si="200">ROUND(IF(BE70&gt;0,(((V70+AA70+AB70+AC70+AD70+AW70)/30)*50%+((V70+AA70+AB70+AC70+AD70+AW70)/30))*BE70,"0"),2)</f>
        <v>50.7</v>
      </c>
      <c r="BG70" s="1108">
        <v>320</v>
      </c>
      <c r="BH70" s="1108">
        <v>0</v>
      </c>
      <c r="BI70" s="1132">
        <v>0</v>
      </c>
      <c r="BJ70" s="1108">
        <v>12.5</v>
      </c>
      <c r="BK70" s="1108">
        <v>0</v>
      </c>
      <c r="BL70" s="1107">
        <f t="shared" si="157"/>
        <v>15.6</v>
      </c>
      <c r="BM70" s="1107">
        <f t="shared" si="158"/>
        <v>1.95</v>
      </c>
      <c r="BN70" s="1107">
        <f t="shared" si="109"/>
        <v>3.38</v>
      </c>
      <c r="BO70" s="1107">
        <v>0</v>
      </c>
      <c r="BP70" s="1107">
        <v>0</v>
      </c>
      <c r="BQ70" s="1320">
        <f t="shared" ref="BQ70" si="201">ROUND(SUM(BL70:BP70),2)</f>
        <v>20.93</v>
      </c>
      <c r="BR70" s="1107">
        <f t="shared" si="159"/>
        <v>35.1</v>
      </c>
      <c r="BS70" s="1107">
        <f t="shared" si="160"/>
        <v>7.8</v>
      </c>
      <c r="BT70" s="1107">
        <f t="shared" si="111"/>
        <v>6.76</v>
      </c>
      <c r="BU70" s="1107">
        <v>0</v>
      </c>
      <c r="BV70" s="1108">
        <f t="shared" ref="BV70" si="202">ROUND(SUM(BR70:BT70),2)</f>
        <v>49.66</v>
      </c>
      <c r="BW70" s="1112">
        <f t="shared" ref="BW70" si="203">BQ70+BV70</f>
        <v>70.59</v>
      </c>
      <c r="BX70" s="1112">
        <f t="shared" ref="BX70" si="204">ROUND(BA70/4,2)</f>
        <v>633.75</v>
      </c>
      <c r="BY70" s="1108">
        <v>0</v>
      </c>
      <c r="BZ70" s="1108">
        <f t="shared" ref="BZ70" si="205">+BX70+BY70</f>
        <v>633.75</v>
      </c>
      <c r="CA70" s="1321">
        <f>'CONCEPTOS Y PARAMETROS'!$A$102</f>
        <v>6255</v>
      </c>
      <c r="CB70" s="1112">
        <f t="shared" si="116"/>
        <v>109.07</v>
      </c>
      <c r="CC70" s="1113">
        <f t="shared" si="117"/>
        <v>591.20000000000005</v>
      </c>
      <c r="CD70" s="512"/>
      <c r="CE70" s="512"/>
      <c r="CF70" s="512">
        <f t="shared" si="118"/>
        <v>770</v>
      </c>
      <c r="CG70" s="509">
        <f t="shared" ref="CG70" si="206">W70+AL70-BQ70</f>
        <v>109.07</v>
      </c>
      <c r="CH70" s="1603">
        <f t="shared" si="120"/>
        <v>12.5</v>
      </c>
      <c r="CI70" s="1491">
        <f t="shared" ref="CI70" si="207">BG70</f>
        <v>320</v>
      </c>
      <c r="CJ70" s="1502">
        <v>1</v>
      </c>
      <c r="CK70" s="509">
        <f t="shared" si="122"/>
        <v>450</v>
      </c>
      <c r="CL70" s="1689">
        <f t="shared" si="123"/>
        <v>450</v>
      </c>
      <c r="CM70" s="1689">
        <f t="shared" si="124"/>
        <v>0</v>
      </c>
      <c r="CN70" s="510">
        <f t="shared" si="125"/>
        <v>50.7</v>
      </c>
      <c r="CO70" s="511">
        <v>0</v>
      </c>
      <c r="CP70" s="510">
        <f t="shared" si="126"/>
        <v>78</v>
      </c>
      <c r="CQ70" s="510">
        <f t="shared" si="127"/>
        <v>0</v>
      </c>
      <c r="CR70" s="510">
        <f t="shared" si="128"/>
        <v>1028.7</v>
      </c>
      <c r="CS70" s="510">
        <f t="shared" si="129"/>
        <v>70.59</v>
      </c>
      <c r="CT70" s="510">
        <f t="shared" si="130"/>
        <v>6255</v>
      </c>
      <c r="CU70" s="512"/>
      <c r="CV70" s="512"/>
      <c r="CW70" s="512"/>
      <c r="CX70" s="512"/>
      <c r="CY70" s="1149" t="s">
        <v>7589</v>
      </c>
      <c r="CZ70" s="1149" t="s">
        <v>7083</v>
      </c>
      <c r="DA70" s="1152"/>
      <c r="DB70" s="1152" t="s">
        <v>7590</v>
      </c>
      <c r="DC70" s="1152"/>
      <c r="DD70" s="1152" t="s">
        <v>6135</v>
      </c>
      <c r="DE70" s="1152" t="s">
        <v>6192</v>
      </c>
      <c r="DF70" s="1152"/>
      <c r="DG70" s="1152"/>
      <c r="DH70" s="512"/>
      <c r="DI70" s="512"/>
      <c r="DJ70" s="512"/>
      <c r="DK70" s="512"/>
      <c r="DL70" s="512"/>
      <c r="DN70" s="476" t="str">
        <f>VLOOKUP(X70,Hoja1!$A$4:$B$10,2,0)</f>
        <v>BACHILLER</v>
      </c>
      <c r="DO70" s="476" t="str">
        <f>VLOOKUP(S70,Hoja1!$D$4:$F$77,3,0)</f>
        <v>BI</v>
      </c>
      <c r="DP70" s="1687" t="str">
        <f t="shared" si="131"/>
        <v>SI</v>
      </c>
      <c r="DQ70" s="1484">
        <f>IF(T70&lt;&gt;"0",(ROUND(IF(A70="EMPLEADO",eval_formula('CONCEPTOS Y PARAMETROS'!$C$8,NOMINA!V70,AU70+BF70,NOMINA!I70+NOMINA!J70),eval_formula('CONCEPTOS Y PARAMETROS'!$D$8,NOMINA!V70,AU70+BF70,NOMINA!I70+NOMINA!J70)),2))*IF(H70&lt;&gt;"",IF(MONTH(H70)=$BR$8,IF(YEAR(H70)&lt;$BT$7,1,0),0)))</f>
        <v>0</v>
      </c>
      <c r="DR70" s="1799" t="str">
        <f t="shared" si="132"/>
        <v>M</v>
      </c>
      <c r="DS70" s="1799"/>
    </row>
    <row r="71" spans="1:123" s="476" customFormat="1" ht="21.95" customHeight="1" x14ac:dyDescent="0.25">
      <c r="A71" s="508" t="s">
        <v>2846</v>
      </c>
      <c r="B71" s="1314">
        <f t="shared" ca="1" si="133"/>
        <v>28</v>
      </c>
      <c r="C71" s="1148">
        <v>10033119</v>
      </c>
      <c r="D71" s="1149" t="s">
        <v>4712</v>
      </c>
      <c r="E71" s="1135" t="s">
        <v>4622</v>
      </c>
      <c r="F71" s="1150">
        <v>25282</v>
      </c>
      <c r="G71" s="1135" t="s">
        <v>4620</v>
      </c>
      <c r="H71" s="1150">
        <v>43359</v>
      </c>
      <c r="I71" s="1140">
        <f t="shared" si="90"/>
        <v>7</v>
      </c>
      <c r="J71" s="1132">
        <v>0</v>
      </c>
      <c r="K71" s="1140">
        <f t="shared" si="91"/>
        <v>7</v>
      </c>
      <c r="L71" s="1145" t="s">
        <v>5526</v>
      </c>
      <c r="M71" s="1132"/>
      <c r="N71" s="1132"/>
      <c r="O71" s="1002" t="s">
        <v>5233</v>
      </c>
      <c r="P71" s="1132" t="s">
        <v>5291</v>
      </c>
      <c r="Q71" s="1315" t="str">
        <f>IFERROR(VLOOKUP(O71,CARGOS!A:E,2,0),"")</f>
        <v>79523</v>
      </c>
      <c r="R71" s="1327" t="s">
        <v>5233</v>
      </c>
      <c r="S71" s="1146" t="s">
        <v>5475</v>
      </c>
      <c r="T71" s="1107">
        <f>IFERROR(VLOOKUP(S71,'TAB EMP'!A:B,2,0),0)</f>
        <v>279</v>
      </c>
      <c r="U71" s="1108">
        <v>0</v>
      </c>
      <c r="V71" s="1107">
        <f t="shared" si="92"/>
        <v>279</v>
      </c>
      <c r="W71" s="1108">
        <f t="shared" si="93"/>
        <v>139.5</v>
      </c>
      <c r="X71" s="1135" t="s">
        <v>2885</v>
      </c>
      <c r="Y71" s="1135"/>
      <c r="Z71" s="1135">
        <v>0</v>
      </c>
      <c r="AA71" s="1107">
        <f>ROUND(IF(H71&lt;&gt;"",VLOOKUP(SUM(I71+J71),'CONCEPTOS Y PARAMETROS'!F:G,2,0)*V71,0),2)</f>
        <v>20.65</v>
      </c>
      <c r="AB71" s="1107">
        <f>IF(S71&lt;&gt;"",IF(M71="",'CONCEPTOS Y PARAMETROS'!$C$4,0),0)</f>
        <v>130</v>
      </c>
      <c r="AC71" s="1107">
        <f>IF(S71&lt;&gt;"",IF(M71="",'CONCEPTOS Y PARAMETROS'!$C$7*Z71,0),0)</f>
        <v>0</v>
      </c>
      <c r="AD71" s="1107">
        <f>IFERROR(ROUND(VLOOKUP($X71,'CONCEPTOS Y PARAMETROS'!H:I,2,0)*($V71+AA71+AB71+AC71),2),0)</f>
        <v>107.41</v>
      </c>
      <c r="AE71" s="1107">
        <f t="shared" si="94"/>
        <v>258.06</v>
      </c>
      <c r="AF71" s="1107">
        <f t="shared" si="95"/>
        <v>10.33</v>
      </c>
      <c r="AG71" s="1107">
        <f t="shared" si="96"/>
        <v>10.32</v>
      </c>
      <c r="AH71" s="1107">
        <f t="shared" si="97"/>
        <v>65</v>
      </c>
      <c r="AI71" s="1107">
        <f t="shared" si="98"/>
        <v>65</v>
      </c>
      <c r="AJ71" s="1107">
        <f t="shared" si="99"/>
        <v>53.71</v>
      </c>
      <c r="AK71" s="1107">
        <f t="shared" si="100"/>
        <v>53.7</v>
      </c>
      <c r="AL71" s="1108">
        <f t="shared" si="101"/>
        <v>129.04</v>
      </c>
      <c r="AM71" s="1108">
        <f t="shared" si="102"/>
        <v>129.02000000000001</v>
      </c>
      <c r="AN71" s="990">
        <v>0</v>
      </c>
      <c r="AO71" s="1147">
        <f>'CONCEPTOS Y PARAMETROS'!$C$18*AN71</f>
        <v>0</v>
      </c>
      <c r="AP71" s="990">
        <v>0</v>
      </c>
      <c r="AQ71" s="1147">
        <f>'CONCEPTOS Y PARAMETROS'!$C$21*AP71</f>
        <v>0</v>
      </c>
      <c r="AR71" s="1318">
        <v>0</v>
      </c>
      <c r="AS71" s="1318">
        <v>0</v>
      </c>
      <c r="AT71" s="1318">
        <f t="shared" si="103"/>
        <v>0</v>
      </c>
      <c r="AU71" s="1108">
        <f t="shared" si="104"/>
        <v>537.05999999999995</v>
      </c>
      <c r="AV71" s="1133">
        <v>0</v>
      </c>
      <c r="AW71" s="1108">
        <f t="shared" si="181"/>
        <v>0</v>
      </c>
      <c r="AX71" s="1107">
        <f>IF(T71&lt;&gt;"0",(ROUND(IF(A71="EMPLEADO",eval_formula('CONCEPTOS Y PARAMETROS'!$C$8,NOMINA!V71,NOMINA!$AU71,NOMINA!I71+NOMINA!J71),eval_formula('CONCEPTOS Y PARAMETROS'!$D$8,NOMINA!V71,NOMINA!$AU71,NOMINA!I71+NOMINA!J71)),2))*IF(H71&lt;&gt;"",IF(MONTH(H71)=$BR$8,IF(YEAR(H71)&lt;$BT$7,1,0),0)))</f>
        <v>4296.4799999999996</v>
      </c>
      <c r="AY71" s="1108">
        <v>180</v>
      </c>
      <c r="AZ71" s="1107">
        <f>IFERROR(VLOOKUP(AY71,'CONCEPTOS Y PARAMETROS'!Y:Z,2,0),0)</f>
        <v>150</v>
      </c>
      <c r="BA71" s="1107">
        <f t="shared" si="106"/>
        <v>4027.95</v>
      </c>
      <c r="BB71" s="1107">
        <f t="shared" si="134"/>
        <v>0</v>
      </c>
      <c r="BC71" s="990">
        <v>0</v>
      </c>
      <c r="BD71" s="1107" t="str">
        <f t="shared" si="107"/>
        <v>0</v>
      </c>
      <c r="BE71" s="990">
        <v>0</v>
      </c>
      <c r="BF71" s="1107">
        <f t="shared" si="182"/>
        <v>0</v>
      </c>
      <c r="BG71" s="1108">
        <v>320</v>
      </c>
      <c r="BH71" s="1108">
        <v>0</v>
      </c>
      <c r="BI71" s="1132">
        <v>0</v>
      </c>
      <c r="BJ71" s="1108">
        <v>12.5</v>
      </c>
      <c r="BK71" s="1108">
        <v>0</v>
      </c>
      <c r="BL71" s="1107">
        <f t="shared" si="157"/>
        <v>24.79</v>
      </c>
      <c r="BM71" s="1107">
        <f t="shared" si="158"/>
        <v>3.1</v>
      </c>
      <c r="BN71" s="1107">
        <f t="shared" si="109"/>
        <v>5.37</v>
      </c>
      <c r="BO71" s="1107">
        <v>0</v>
      </c>
      <c r="BP71" s="1107">
        <v>0</v>
      </c>
      <c r="BQ71" s="1320">
        <f t="shared" si="110"/>
        <v>33.26</v>
      </c>
      <c r="BR71" s="1107">
        <f t="shared" si="159"/>
        <v>55.77</v>
      </c>
      <c r="BS71" s="1107">
        <f t="shared" si="160"/>
        <v>12.39</v>
      </c>
      <c r="BT71" s="1107">
        <f t="shared" si="111"/>
        <v>10.74</v>
      </c>
      <c r="BU71" s="1107">
        <v>0</v>
      </c>
      <c r="BV71" s="1108">
        <f t="shared" si="112"/>
        <v>78.900000000000006</v>
      </c>
      <c r="BW71" s="1112">
        <f t="shared" si="113"/>
        <v>112.16</v>
      </c>
      <c r="BX71" s="1112">
        <f t="shared" si="178"/>
        <v>1006.99</v>
      </c>
      <c r="BY71" s="1108">
        <v>0</v>
      </c>
      <c r="BZ71" s="1108">
        <f t="shared" si="115"/>
        <v>1006.99</v>
      </c>
      <c r="CA71" s="1321">
        <f>'CONCEPTOS Y PARAMETROS'!$A$102</f>
        <v>6255</v>
      </c>
      <c r="CB71" s="1112">
        <f t="shared" si="116"/>
        <v>235.27999999999997</v>
      </c>
      <c r="CC71" s="1113">
        <f t="shared" si="117"/>
        <v>4897.5</v>
      </c>
      <c r="CD71" s="512"/>
      <c r="CE71" s="512"/>
      <c r="CF71" s="470">
        <f t="shared" si="118"/>
        <v>908.52</v>
      </c>
      <c r="CG71" s="509">
        <f t="shared" si="119"/>
        <v>235.27999999999997</v>
      </c>
      <c r="CH71" s="1603">
        <f t="shared" si="120"/>
        <v>12.5</v>
      </c>
      <c r="CI71" s="1491">
        <f t="shared" si="121"/>
        <v>320</v>
      </c>
      <c r="CJ71" s="1502">
        <v>1</v>
      </c>
      <c r="CK71" s="509">
        <f t="shared" si="122"/>
        <v>588.52</v>
      </c>
      <c r="CL71" s="1689">
        <f t="shared" si="123"/>
        <v>588.52</v>
      </c>
      <c r="CM71" s="1689">
        <f t="shared" si="124"/>
        <v>0</v>
      </c>
      <c r="CN71" s="510">
        <f t="shared" si="125"/>
        <v>0</v>
      </c>
      <c r="CO71" s="511">
        <v>0</v>
      </c>
      <c r="CP71" s="510">
        <f t="shared" si="126"/>
        <v>0</v>
      </c>
      <c r="CQ71" s="510">
        <f t="shared" si="127"/>
        <v>4296.4799999999996</v>
      </c>
      <c r="CR71" s="510">
        <f t="shared" si="128"/>
        <v>5473.5199999999995</v>
      </c>
      <c r="CS71" s="510">
        <f t="shared" si="129"/>
        <v>112.16</v>
      </c>
      <c r="CT71" s="510">
        <f t="shared" si="130"/>
        <v>6255</v>
      </c>
      <c r="CU71" s="512"/>
      <c r="CV71" s="512"/>
      <c r="CW71" s="512"/>
      <c r="CX71" s="512"/>
      <c r="CY71" s="1149" t="s">
        <v>7050</v>
      </c>
      <c r="CZ71" s="1149" t="s">
        <v>6857</v>
      </c>
      <c r="DA71" s="1152"/>
      <c r="DB71" s="1642" t="s">
        <v>6329</v>
      </c>
      <c r="DC71" s="1642"/>
      <c r="DD71" s="1642" t="s">
        <v>6150</v>
      </c>
      <c r="DE71" s="1642" t="s">
        <v>6187</v>
      </c>
      <c r="DF71" s="1642" t="s">
        <v>7379</v>
      </c>
      <c r="DG71" s="1642" t="s">
        <v>7378</v>
      </c>
      <c r="DH71" s="512"/>
      <c r="DI71" s="512"/>
      <c r="DJ71" s="512"/>
      <c r="DK71" s="512"/>
      <c r="DL71" s="512"/>
      <c r="DN71" s="476" t="str">
        <f>VLOOKUP(X71,Hoja1!$A$4:$B$10,2,0)</f>
        <v>PROFESIONAL</v>
      </c>
      <c r="DO71" s="476" t="str">
        <f>VLOOKUP(S71,Hoja1!$D$4:$F$77,3,0)</f>
        <v>PII - III</v>
      </c>
      <c r="DP71" s="1594" t="str">
        <f t="shared" si="131"/>
        <v>0</v>
      </c>
      <c r="DQ71" s="1484">
        <f>IF(T71&lt;&gt;"0",(ROUND(IF(A71="EMPLEADO",eval_formula('CONCEPTOS Y PARAMETROS'!$C$8,NOMINA!V71,AU71+BF71,NOMINA!I71+NOMINA!J71),eval_formula('CONCEPTOS Y PARAMETROS'!$D$8,NOMINA!V71,AU71+BF71,NOMINA!I71+NOMINA!J71)),2))*IF(H71&lt;&gt;"",IF(MONTH(H71)=$BR$8,IF(YEAR(H71)&lt;$BT$7,1,0),0)))</f>
        <v>4296.4799999999996</v>
      </c>
      <c r="DR71" s="1799" t="str">
        <f t="shared" si="132"/>
        <v>F</v>
      </c>
      <c r="DS71" s="1799"/>
    </row>
    <row r="72" spans="1:123" s="476" customFormat="1" ht="21.95" customHeight="1" x14ac:dyDescent="0.25">
      <c r="A72" s="508" t="s">
        <v>2846</v>
      </c>
      <c r="B72" s="1314">
        <f t="shared" ca="1" si="133"/>
        <v>29</v>
      </c>
      <c r="C72" s="1148">
        <v>10035540</v>
      </c>
      <c r="D72" s="1149" t="s">
        <v>7351</v>
      </c>
      <c r="E72" s="1135" t="s">
        <v>4622</v>
      </c>
      <c r="F72" s="1150">
        <v>25221</v>
      </c>
      <c r="G72" s="1135" t="s">
        <v>4620</v>
      </c>
      <c r="H72" s="1150">
        <v>43236</v>
      </c>
      <c r="I72" s="1140">
        <f t="shared" si="90"/>
        <v>7</v>
      </c>
      <c r="J72" s="1132">
        <v>0</v>
      </c>
      <c r="K72" s="1140">
        <f t="shared" si="91"/>
        <v>7</v>
      </c>
      <c r="L72" s="1145" t="s">
        <v>5527</v>
      </c>
      <c r="M72" s="1132"/>
      <c r="N72" s="1132"/>
      <c r="O72" s="1002" t="s">
        <v>5250</v>
      </c>
      <c r="P72" s="1132" t="s">
        <v>5292</v>
      </c>
      <c r="Q72" s="1315" t="str">
        <f>IFERROR(VLOOKUP(O72,CARGOS!A:E,2,0),"")</f>
        <v>79342</v>
      </c>
      <c r="R72" s="1327" t="s">
        <v>5250</v>
      </c>
      <c r="S72" s="1146" t="s">
        <v>5478</v>
      </c>
      <c r="T72" s="1107">
        <f>IFERROR(VLOOKUP(S72,'TAB EMP'!A:B,2,0),0)</f>
        <v>221</v>
      </c>
      <c r="U72" s="1108">
        <v>0</v>
      </c>
      <c r="V72" s="1107">
        <f t="shared" si="92"/>
        <v>221</v>
      </c>
      <c r="W72" s="1108">
        <f t="shared" si="93"/>
        <v>110.5</v>
      </c>
      <c r="X72" s="1135" t="s">
        <v>2885</v>
      </c>
      <c r="Y72" s="1135"/>
      <c r="Z72" s="1135">
        <v>0</v>
      </c>
      <c r="AA72" s="1107">
        <f>ROUND(IF(H72&lt;&gt;"",VLOOKUP(SUM(I72+J72),'CONCEPTOS Y PARAMETROS'!F:G,2,0)*V72,0),2)</f>
        <v>16.350000000000001</v>
      </c>
      <c r="AB72" s="1107">
        <f>IF(S72&lt;&gt;"",IF(M72="",'CONCEPTOS Y PARAMETROS'!$C$4,0),0)</f>
        <v>130</v>
      </c>
      <c r="AC72" s="1107">
        <f>IF(S72&lt;&gt;"",IF(M72="",'CONCEPTOS Y PARAMETROS'!$C$7*Z72,0),0)</f>
        <v>0</v>
      </c>
      <c r="AD72" s="1107">
        <f>IFERROR(ROUND(VLOOKUP($X72,'CONCEPTOS Y PARAMETROS'!H:I,2,0)*($V72+AA72+AB72+AC72),2),0)</f>
        <v>91.84</v>
      </c>
      <c r="AE72" s="1107">
        <f t="shared" si="94"/>
        <v>238.19</v>
      </c>
      <c r="AF72" s="1107">
        <f t="shared" si="95"/>
        <v>8.18</v>
      </c>
      <c r="AG72" s="1107">
        <f t="shared" si="96"/>
        <v>8.17</v>
      </c>
      <c r="AH72" s="1107">
        <f t="shared" si="97"/>
        <v>65</v>
      </c>
      <c r="AI72" s="1107">
        <f t="shared" si="98"/>
        <v>65</v>
      </c>
      <c r="AJ72" s="1107">
        <f t="shared" si="99"/>
        <v>45.92</v>
      </c>
      <c r="AK72" s="1107">
        <f t="shared" si="100"/>
        <v>45.92</v>
      </c>
      <c r="AL72" s="1108">
        <f t="shared" si="101"/>
        <v>119.1</v>
      </c>
      <c r="AM72" s="1108">
        <f t="shared" si="102"/>
        <v>119.09</v>
      </c>
      <c r="AN72" s="990">
        <v>0</v>
      </c>
      <c r="AO72" s="1147">
        <f>'CONCEPTOS Y PARAMETROS'!$C$18*AN72</f>
        <v>0</v>
      </c>
      <c r="AP72" s="990">
        <v>1</v>
      </c>
      <c r="AQ72" s="1147">
        <f>'CONCEPTOS Y PARAMETROS'!$C$21*AP72</f>
        <v>12.5</v>
      </c>
      <c r="AR72" s="1318">
        <v>0</v>
      </c>
      <c r="AS72" s="1318">
        <v>0</v>
      </c>
      <c r="AT72" s="1318">
        <f t="shared" si="103"/>
        <v>12.5</v>
      </c>
      <c r="AU72" s="1108">
        <f t="shared" si="104"/>
        <v>459.19</v>
      </c>
      <c r="AV72" s="1133">
        <v>0</v>
      </c>
      <c r="AW72" s="1108">
        <f t="shared" si="181"/>
        <v>0</v>
      </c>
      <c r="AX72" s="1107">
        <f>IF(T72&lt;&gt;"0",(ROUND(IF(A72="EMPLEADO",eval_formula('CONCEPTOS Y PARAMETROS'!$C$8,NOMINA!V72,NOMINA!$AU72,NOMINA!I72+NOMINA!J72),eval_formula('CONCEPTOS Y PARAMETROS'!$D$8,NOMINA!V72,NOMINA!$AU72,NOMINA!I72+NOMINA!J72)),2))*IF(H72&lt;&gt;"",IF(MONTH(H72)=$BR$8,IF(YEAR(H72)&lt;$BT$7,1,0),0)))</f>
        <v>0</v>
      </c>
      <c r="AY72" s="1108">
        <v>180</v>
      </c>
      <c r="AZ72" s="1107">
        <f>IFERROR(VLOOKUP(AY72,'CONCEPTOS Y PARAMETROS'!Y:Z,2,0),0)</f>
        <v>150</v>
      </c>
      <c r="BA72" s="1107">
        <f t="shared" si="106"/>
        <v>3443.93</v>
      </c>
      <c r="BB72" s="1107">
        <f t="shared" si="134"/>
        <v>0</v>
      </c>
      <c r="BC72" s="990">
        <v>0</v>
      </c>
      <c r="BD72" s="1107" t="str">
        <f t="shared" si="107"/>
        <v>0</v>
      </c>
      <c r="BE72" s="990">
        <v>0</v>
      </c>
      <c r="BF72" s="1107">
        <f t="shared" si="182"/>
        <v>0</v>
      </c>
      <c r="BG72" s="1108">
        <v>320</v>
      </c>
      <c r="BH72" s="1108">
        <v>0</v>
      </c>
      <c r="BI72" s="1132">
        <v>0</v>
      </c>
      <c r="BJ72" s="1108">
        <v>12.5</v>
      </c>
      <c r="BK72" s="1108">
        <v>0</v>
      </c>
      <c r="BL72" s="1107">
        <f t="shared" si="157"/>
        <v>21.19</v>
      </c>
      <c r="BM72" s="1107">
        <f t="shared" si="158"/>
        <v>2.65</v>
      </c>
      <c r="BN72" s="1107">
        <f t="shared" si="109"/>
        <v>4.59</v>
      </c>
      <c r="BO72" s="1107">
        <v>0</v>
      </c>
      <c r="BP72" s="1107">
        <v>0</v>
      </c>
      <c r="BQ72" s="1320">
        <f t="shared" si="110"/>
        <v>28.43</v>
      </c>
      <c r="BR72" s="1107">
        <f t="shared" si="159"/>
        <v>47.69</v>
      </c>
      <c r="BS72" s="1107">
        <f t="shared" si="160"/>
        <v>10.6</v>
      </c>
      <c r="BT72" s="1107">
        <f t="shared" si="111"/>
        <v>9.18</v>
      </c>
      <c r="BU72" s="1107">
        <v>0</v>
      </c>
      <c r="BV72" s="1108">
        <f t="shared" si="112"/>
        <v>67.47</v>
      </c>
      <c r="BW72" s="1112">
        <f t="shared" si="113"/>
        <v>95.9</v>
      </c>
      <c r="BX72" s="1112">
        <f t="shared" si="178"/>
        <v>860.98</v>
      </c>
      <c r="BY72" s="1108">
        <v>0</v>
      </c>
      <c r="BZ72" s="1108">
        <f t="shared" si="115"/>
        <v>860.98</v>
      </c>
      <c r="CA72" s="1321">
        <f>'CONCEPTOS Y PARAMETROS'!$A$102</f>
        <v>6255</v>
      </c>
      <c r="CB72" s="1112">
        <f t="shared" si="116"/>
        <v>201.17</v>
      </c>
      <c r="CC72" s="1113">
        <f t="shared" si="117"/>
        <v>574.59</v>
      </c>
      <c r="CD72" s="512"/>
      <c r="CE72" s="512"/>
      <c r="CF72" s="470">
        <f t="shared" si="118"/>
        <v>869.59</v>
      </c>
      <c r="CG72" s="509">
        <f t="shared" si="119"/>
        <v>201.17</v>
      </c>
      <c r="CH72" s="1603">
        <f t="shared" si="120"/>
        <v>25</v>
      </c>
      <c r="CI72" s="1491">
        <f t="shared" si="121"/>
        <v>320</v>
      </c>
      <c r="CJ72" s="1502">
        <v>1</v>
      </c>
      <c r="CK72" s="509">
        <f t="shared" si="122"/>
        <v>549.59</v>
      </c>
      <c r="CL72" s="1689">
        <f t="shared" si="123"/>
        <v>549.59</v>
      </c>
      <c r="CM72" s="1689">
        <f t="shared" si="124"/>
        <v>0</v>
      </c>
      <c r="CN72" s="510">
        <f t="shared" si="125"/>
        <v>0</v>
      </c>
      <c r="CO72" s="511">
        <v>0</v>
      </c>
      <c r="CP72" s="510">
        <f t="shared" si="126"/>
        <v>0</v>
      </c>
      <c r="CQ72" s="510">
        <f t="shared" si="127"/>
        <v>0</v>
      </c>
      <c r="CR72" s="510">
        <f t="shared" si="128"/>
        <v>1099.18</v>
      </c>
      <c r="CS72" s="510">
        <f t="shared" si="129"/>
        <v>95.9</v>
      </c>
      <c r="CT72" s="510">
        <f t="shared" si="130"/>
        <v>6255</v>
      </c>
      <c r="CU72" s="512"/>
      <c r="CV72" s="512"/>
      <c r="CW72" s="512"/>
      <c r="CX72" s="512"/>
      <c r="CY72" s="1149" t="s">
        <v>6839</v>
      </c>
      <c r="CZ72" s="1149" t="s">
        <v>7090</v>
      </c>
      <c r="DA72" s="1152"/>
      <c r="DB72" s="1642" t="s">
        <v>6191</v>
      </c>
      <c r="DC72" s="1642"/>
      <c r="DD72" s="1642" t="s">
        <v>6135</v>
      </c>
      <c r="DE72" s="1642" t="s">
        <v>6192</v>
      </c>
      <c r="DF72" s="1642" t="s">
        <v>7427</v>
      </c>
      <c r="DG72" s="1642"/>
      <c r="DH72" s="512"/>
      <c r="DI72" s="512"/>
      <c r="DJ72" s="512"/>
      <c r="DK72" s="512"/>
      <c r="DL72" s="512"/>
      <c r="DN72" s="476" t="str">
        <f>VLOOKUP(X72,Hoja1!$A$4:$B$10,2,0)</f>
        <v>PROFESIONAL</v>
      </c>
      <c r="DO72" s="476" t="str">
        <f>VLOOKUP(S72,Hoja1!$D$4:$F$77,3,0)</f>
        <v>TII - III</v>
      </c>
      <c r="DP72" s="1594" t="str">
        <f t="shared" si="131"/>
        <v>0</v>
      </c>
      <c r="DQ72" s="1484">
        <f>IF(T72&lt;&gt;"0",(ROUND(IF(A72="EMPLEADO",eval_formula('CONCEPTOS Y PARAMETROS'!$C$8,NOMINA!V72,AU72+BF72,NOMINA!I72+NOMINA!J72),eval_formula('CONCEPTOS Y PARAMETROS'!$D$8,NOMINA!V72,AU72+BF72,NOMINA!I72+NOMINA!J72)),2))*IF(H72&lt;&gt;"",IF(MONTH(H72)=$BR$8,IF(YEAR(H72)&lt;$BT$7,1,0),0)))</f>
        <v>0</v>
      </c>
      <c r="DR72" s="1799" t="str">
        <f t="shared" si="132"/>
        <v>F</v>
      </c>
      <c r="DS72" s="1799"/>
    </row>
    <row r="73" spans="1:123" s="476" customFormat="1" ht="21.95" customHeight="1" x14ac:dyDescent="0.25">
      <c r="A73" s="508" t="s">
        <v>2846</v>
      </c>
      <c r="B73" s="1314">
        <f t="shared" ca="1" si="133"/>
        <v>30</v>
      </c>
      <c r="C73" s="1148">
        <v>10037054</v>
      </c>
      <c r="D73" s="1149" t="s">
        <v>7243</v>
      </c>
      <c r="E73" s="1135" t="s">
        <v>4622</v>
      </c>
      <c r="F73" s="1150">
        <v>25063</v>
      </c>
      <c r="G73" s="1135" t="s">
        <v>4620</v>
      </c>
      <c r="H73" s="1150">
        <v>39820</v>
      </c>
      <c r="I73" s="1140">
        <f t="shared" si="90"/>
        <v>16</v>
      </c>
      <c r="J73" s="1132">
        <v>0</v>
      </c>
      <c r="K73" s="1140">
        <f t="shared" si="91"/>
        <v>16</v>
      </c>
      <c r="L73" s="1145" t="s">
        <v>5535</v>
      </c>
      <c r="M73" s="1132"/>
      <c r="N73" s="1132"/>
      <c r="O73" s="1002" t="s">
        <v>5217</v>
      </c>
      <c r="P73" s="1132" t="s">
        <v>5293</v>
      </c>
      <c r="Q73" s="1315" t="str">
        <f>IFERROR(VLOOKUP(O73,CARGOS!A:E,2,0),"")</f>
        <v>79512</v>
      </c>
      <c r="R73" s="1327" t="s">
        <v>5217</v>
      </c>
      <c r="S73" s="1146" t="s">
        <v>5457</v>
      </c>
      <c r="T73" s="1107">
        <f>IFERROR(VLOOKUP(S73,'TAB EMP'!A:B,2,0),0)</f>
        <v>176</v>
      </c>
      <c r="U73" s="1108">
        <v>0</v>
      </c>
      <c r="V73" s="1107">
        <f t="shared" si="92"/>
        <v>176</v>
      </c>
      <c r="W73" s="1108">
        <f t="shared" si="93"/>
        <v>88</v>
      </c>
      <c r="X73" s="1135" t="s">
        <v>2884</v>
      </c>
      <c r="Y73" s="1135"/>
      <c r="Z73" s="1135">
        <v>0</v>
      </c>
      <c r="AA73" s="1107">
        <f>ROUND(IF(H73&lt;&gt;"",VLOOKUP(SUM(I73+J73),'CONCEPTOS Y PARAMETROS'!F:G,2,0)*V73,0),2)</f>
        <v>34.5</v>
      </c>
      <c r="AB73" s="1107">
        <f>IF(S73&lt;&gt;"",IF(M73="",'CONCEPTOS Y PARAMETROS'!$C$4,0),0)</f>
        <v>130</v>
      </c>
      <c r="AC73" s="1107">
        <f>IF(S73&lt;&gt;"",IF(M73="",'CONCEPTOS Y PARAMETROS'!$C$7*Z73,0),0)</f>
        <v>0</v>
      </c>
      <c r="AD73" s="1107">
        <f>IFERROR(ROUND(VLOOKUP($X73,'CONCEPTOS Y PARAMETROS'!H:I,2,0)*($V73+AA73+AB73+AC73),2),0)</f>
        <v>0</v>
      </c>
      <c r="AE73" s="1107">
        <f t="shared" si="94"/>
        <v>164.5</v>
      </c>
      <c r="AF73" s="1107">
        <f t="shared" si="95"/>
        <v>17.25</v>
      </c>
      <c r="AG73" s="1107">
        <f t="shared" si="96"/>
        <v>17.25</v>
      </c>
      <c r="AH73" s="1107">
        <f t="shared" si="97"/>
        <v>65</v>
      </c>
      <c r="AI73" s="1107">
        <f t="shared" si="98"/>
        <v>65</v>
      </c>
      <c r="AJ73" s="1107">
        <f t="shared" si="99"/>
        <v>0</v>
      </c>
      <c r="AK73" s="1107">
        <f t="shared" si="100"/>
        <v>0</v>
      </c>
      <c r="AL73" s="1108">
        <f t="shared" si="101"/>
        <v>82.25</v>
      </c>
      <c r="AM73" s="1108">
        <f t="shared" si="102"/>
        <v>82.25</v>
      </c>
      <c r="AN73" s="990">
        <v>0</v>
      </c>
      <c r="AO73" s="1147">
        <f>'CONCEPTOS Y PARAMETROS'!$C$18*AN73</f>
        <v>0</v>
      </c>
      <c r="AP73" s="990">
        <v>0</v>
      </c>
      <c r="AQ73" s="1147">
        <f>'CONCEPTOS Y PARAMETROS'!$C$21*AP73</f>
        <v>0</v>
      </c>
      <c r="AR73" s="1318">
        <v>0</v>
      </c>
      <c r="AS73" s="1318">
        <v>0</v>
      </c>
      <c r="AT73" s="1318">
        <f t="shared" si="103"/>
        <v>0</v>
      </c>
      <c r="AU73" s="1108">
        <f t="shared" si="104"/>
        <v>442.65</v>
      </c>
      <c r="AV73" s="1133" t="s">
        <v>5080</v>
      </c>
      <c r="AW73" s="1108">
        <f t="shared" si="181"/>
        <v>102.15</v>
      </c>
      <c r="AX73" s="1107">
        <f>IF(T73&lt;&gt;"0",(ROUND(IF(A73="EMPLEADO",eval_formula('CONCEPTOS Y PARAMETROS'!$C$8,NOMINA!V73,NOMINA!$AU73,NOMINA!I73+NOMINA!J73),eval_formula('CONCEPTOS Y PARAMETROS'!$D$8,NOMINA!V73,NOMINA!$AU73,NOMINA!I73+NOMINA!J73)),2))*IF(H73&lt;&gt;"",IF(MONTH(H73)=$BR$8,IF(YEAR(H73)&lt;$BT$7,1,0),0)))</f>
        <v>0</v>
      </c>
      <c r="AY73" s="1108">
        <v>180</v>
      </c>
      <c r="AZ73" s="1107">
        <f>IFERROR(VLOOKUP(AY73,'CONCEPTOS Y PARAMETROS'!Y:Z,2,0),0)</f>
        <v>150</v>
      </c>
      <c r="BA73" s="1107">
        <f t="shared" si="106"/>
        <v>3319.88</v>
      </c>
      <c r="BB73" s="1107">
        <f t="shared" si="134"/>
        <v>0</v>
      </c>
      <c r="BC73" s="990">
        <v>0</v>
      </c>
      <c r="BD73" s="1107" t="str">
        <f t="shared" si="107"/>
        <v>0</v>
      </c>
      <c r="BE73" s="990">
        <v>3</v>
      </c>
      <c r="BF73" s="1107">
        <f t="shared" si="182"/>
        <v>66.400000000000006</v>
      </c>
      <c r="BG73" s="1108">
        <v>320</v>
      </c>
      <c r="BH73" s="1108">
        <v>0</v>
      </c>
      <c r="BI73" s="1132">
        <v>0</v>
      </c>
      <c r="BJ73" s="1108">
        <v>12.5</v>
      </c>
      <c r="BK73" s="1108">
        <v>0</v>
      </c>
      <c r="BL73" s="1107">
        <f t="shared" si="157"/>
        <v>20.43</v>
      </c>
      <c r="BM73" s="1107">
        <f t="shared" si="158"/>
        <v>2.5499999999999998</v>
      </c>
      <c r="BN73" s="1107">
        <f t="shared" si="109"/>
        <v>4.43</v>
      </c>
      <c r="BO73" s="1107">
        <v>0</v>
      </c>
      <c r="BP73" s="1107">
        <v>0</v>
      </c>
      <c r="BQ73" s="1320">
        <f t="shared" si="110"/>
        <v>27.41</v>
      </c>
      <c r="BR73" s="1107">
        <f t="shared" si="159"/>
        <v>45.97</v>
      </c>
      <c r="BS73" s="1107">
        <f t="shared" si="160"/>
        <v>10.220000000000001</v>
      </c>
      <c r="BT73" s="1107">
        <f t="shared" si="111"/>
        <v>8.86</v>
      </c>
      <c r="BU73" s="1107">
        <v>0</v>
      </c>
      <c r="BV73" s="1108">
        <f t="shared" si="112"/>
        <v>65.05</v>
      </c>
      <c r="BW73" s="1112">
        <f t="shared" si="113"/>
        <v>92.46</v>
      </c>
      <c r="BX73" s="1112">
        <f t="shared" si="178"/>
        <v>829.97</v>
      </c>
      <c r="BY73" s="1108">
        <v>0</v>
      </c>
      <c r="BZ73" s="1108">
        <f t="shared" si="115"/>
        <v>829.97</v>
      </c>
      <c r="CA73" s="1321">
        <f>'CONCEPTOS Y PARAMETROS'!$A$102</f>
        <v>6255</v>
      </c>
      <c r="CB73" s="1112">
        <f t="shared" si="116"/>
        <v>142.84</v>
      </c>
      <c r="CC73" s="1113">
        <f t="shared" si="117"/>
        <v>671.3</v>
      </c>
      <c r="CD73" s="512"/>
      <c r="CE73" s="512"/>
      <c r="CF73" s="470">
        <f t="shared" si="118"/>
        <v>810.25</v>
      </c>
      <c r="CG73" s="509">
        <f t="shared" si="119"/>
        <v>142.84</v>
      </c>
      <c r="CH73" s="1603">
        <f t="shared" si="120"/>
        <v>12.5</v>
      </c>
      <c r="CI73" s="1491">
        <f t="shared" si="121"/>
        <v>320</v>
      </c>
      <c r="CJ73" s="1502">
        <v>1</v>
      </c>
      <c r="CK73" s="509">
        <f t="shared" si="122"/>
        <v>490.25</v>
      </c>
      <c r="CL73" s="1689">
        <f t="shared" si="123"/>
        <v>490.25</v>
      </c>
      <c r="CM73" s="1689">
        <f t="shared" si="124"/>
        <v>0</v>
      </c>
      <c r="CN73" s="510">
        <f t="shared" si="125"/>
        <v>66.400000000000006</v>
      </c>
      <c r="CO73" s="511">
        <v>0</v>
      </c>
      <c r="CP73" s="510">
        <f t="shared" si="126"/>
        <v>102.15</v>
      </c>
      <c r="CQ73" s="510">
        <f t="shared" si="127"/>
        <v>0</v>
      </c>
      <c r="CR73" s="510">
        <f t="shared" si="128"/>
        <v>1149.0500000000002</v>
      </c>
      <c r="CS73" s="510">
        <f t="shared" si="129"/>
        <v>92.46</v>
      </c>
      <c r="CT73" s="510">
        <f t="shared" si="130"/>
        <v>6255</v>
      </c>
      <c r="CU73" s="512"/>
      <c r="CV73" s="512"/>
      <c r="CW73" s="512"/>
      <c r="CX73" s="512"/>
      <c r="CY73" s="1149" t="s">
        <v>6809</v>
      </c>
      <c r="CZ73" s="1149" t="s">
        <v>7091</v>
      </c>
      <c r="DA73" s="1152"/>
      <c r="DB73" s="1642" t="s">
        <v>6241</v>
      </c>
      <c r="DC73" s="1642"/>
      <c r="DD73" s="1642" t="s">
        <v>6135</v>
      </c>
      <c r="DE73" s="1642" t="s">
        <v>6147</v>
      </c>
      <c r="DF73" s="1642" t="s">
        <v>6541</v>
      </c>
      <c r="DG73" s="1642"/>
      <c r="DH73" s="512"/>
      <c r="DI73" s="512"/>
      <c r="DJ73" s="512"/>
      <c r="DK73" s="512"/>
      <c r="DL73" s="512"/>
      <c r="DN73" s="476" t="str">
        <f>VLOOKUP(X73,Hoja1!$A$4:$B$10,2,0)</f>
        <v>BACHILLER</v>
      </c>
      <c r="DO73" s="476" t="str">
        <f>VLOOKUP(S73,Hoja1!$D$4:$F$77,3,0)</f>
        <v>BIII - VI</v>
      </c>
      <c r="DP73" s="1594" t="str">
        <f t="shared" si="131"/>
        <v>SI</v>
      </c>
      <c r="DQ73" s="1484">
        <f>IF(T73&lt;&gt;"0",(ROUND(IF(A73="EMPLEADO",eval_formula('CONCEPTOS Y PARAMETROS'!$C$8,NOMINA!V73,AU73+BF73,NOMINA!I73+NOMINA!J73),eval_formula('CONCEPTOS Y PARAMETROS'!$D$8,NOMINA!V73,AU73+BF73,NOMINA!I73+NOMINA!J73)),2))*IF(H73&lt;&gt;"",IF(MONTH(H73)=$BR$8,IF(YEAR(H73)&lt;$BT$7,1,0),0)))</f>
        <v>0</v>
      </c>
      <c r="DR73" s="1799" t="str">
        <f t="shared" si="132"/>
        <v>F</v>
      </c>
      <c r="DS73" s="1799"/>
    </row>
    <row r="74" spans="1:123" s="476" customFormat="1" ht="21.95" customHeight="1" x14ac:dyDescent="0.25">
      <c r="A74" s="508" t="s">
        <v>2846</v>
      </c>
      <c r="B74" s="1314">
        <f t="shared" ca="1" si="133"/>
        <v>31</v>
      </c>
      <c r="C74" s="1148">
        <v>10175616</v>
      </c>
      <c r="D74" s="1149" t="s">
        <v>4715</v>
      </c>
      <c r="E74" s="1135" t="s">
        <v>4622</v>
      </c>
      <c r="F74" s="1150">
        <v>26696</v>
      </c>
      <c r="G74" s="1135" t="s">
        <v>4620</v>
      </c>
      <c r="H74" s="1150">
        <v>44228</v>
      </c>
      <c r="I74" s="1140">
        <f t="shared" si="90"/>
        <v>4</v>
      </c>
      <c r="J74" s="1132">
        <v>0</v>
      </c>
      <c r="K74" s="1140">
        <f t="shared" si="91"/>
        <v>4</v>
      </c>
      <c r="L74" s="1145" t="s">
        <v>7257</v>
      </c>
      <c r="M74" s="1132"/>
      <c r="N74" s="1132"/>
      <c r="O74" s="1002" t="s">
        <v>5225</v>
      </c>
      <c r="P74" s="1132" t="s">
        <v>5294</v>
      </c>
      <c r="Q74" s="1315" t="str">
        <f>IFERROR(VLOOKUP(O74,CARGOS!A:E,2,0),"")</f>
        <v>75141</v>
      </c>
      <c r="R74" s="1327" t="s">
        <v>5225</v>
      </c>
      <c r="S74" s="1146" t="s">
        <v>5476</v>
      </c>
      <c r="T74" s="1107">
        <f>IFERROR(VLOOKUP(S74,'TAB EMP'!A:B,2,0),0)</f>
        <v>307</v>
      </c>
      <c r="U74" s="1108">
        <v>0</v>
      </c>
      <c r="V74" s="1107">
        <f t="shared" si="92"/>
        <v>307</v>
      </c>
      <c r="W74" s="1108">
        <f t="shared" si="93"/>
        <v>153.5</v>
      </c>
      <c r="X74" s="1135" t="s">
        <v>2886</v>
      </c>
      <c r="Y74" s="1135"/>
      <c r="Z74" s="1135">
        <v>0</v>
      </c>
      <c r="AA74" s="1107">
        <f>ROUND(IF(H74&lt;&gt;"",VLOOKUP(SUM(I74+J74),'CONCEPTOS Y PARAMETROS'!F:G,2,0)*V74,0),2)</f>
        <v>12.28</v>
      </c>
      <c r="AB74" s="1107">
        <f>IF(S74&lt;&gt;"",IF(M74="",'CONCEPTOS Y PARAMETROS'!$C$4,0),0)</f>
        <v>130</v>
      </c>
      <c r="AC74" s="1107">
        <f>IF(S74&lt;&gt;"",IF(M74="",'CONCEPTOS Y PARAMETROS'!$C$7*Z74,0),0)</f>
        <v>0</v>
      </c>
      <c r="AD74" s="1107">
        <f>IFERROR(ROUND(VLOOKUP($X74,'CONCEPTOS Y PARAMETROS'!H:I,2,0)*($V74+AA74+AB74+AC74),2),0)</f>
        <v>134.78</v>
      </c>
      <c r="AE74" s="1107">
        <f t="shared" si="94"/>
        <v>277.06</v>
      </c>
      <c r="AF74" s="1107">
        <f t="shared" si="95"/>
        <v>6.14</v>
      </c>
      <c r="AG74" s="1107">
        <f t="shared" si="96"/>
        <v>6.14</v>
      </c>
      <c r="AH74" s="1107">
        <f t="shared" si="97"/>
        <v>65</v>
      </c>
      <c r="AI74" s="1107">
        <f t="shared" si="98"/>
        <v>65</v>
      </c>
      <c r="AJ74" s="1107">
        <f t="shared" si="99"/>
        <v>67.39</v>
      </c>
      <c r="AK74" s="1107">
        <f t="shared" si="100"/>
        <v>67.39</v>
      </c>
      <c r="AL74" s="1108">
        <f t="shared" si="101"/>
        <v>138.53</v>
      </c>
      <c r="AM74" s="1108">
        <f t="shared" si="102"/>
        <v>138.53</v>
      </c>
      <c r="AN74" s="990">
        <v>0</v>
      </c>
      <c r="AO74" s="1147">
        <f>'CONCEPTOS Y PARAMETROS'!$C$18*AN74</f>
        <v>0</v>
      </c>
      <c r="AP74" s="990">
        <v>0</v>
      </c>
      <c r="AQ74" s="1147">
        <f>'CONCEPTOS Y PARAMETROS'!$C$21*AP74</f>
        <v>0</v>
      </c>
      <c r="AR74" s="1318">
        <v>0</v>
      </c>
      <c r="AS74" s="1318">
        <v>0</v>
      </c>
      <c r="AT74" s="1318">
        <f t="shared" si="103"/>
        <v>0</v>
      </c>
      <c r="AU74" s="1108">
        <f t="shared" si="104"/>
        <v>584.05999999999995</v>
      </c>
      <c r="AV74" s="1133">
        <v>0</v>
      </c>
      <c r="AW74" s="1108">
        <f t="shared" si="181"/>
        <v>0</v>
      </c>
      <c r="AX74" s="1107">
        <f>IF(T74&lt;&gt;"0",(ROUND(IF(A74="EMPLEADO",eval_formula('CONCEPTOS Y PARAMETROS'!$C$8,NOMINA!V74,NOMINA!$AU74,NOMINA!I74+NOMINA!J74),eval_formula('CONCEPTOS Y PARAMETROS'!$D$8,NOMINA!V74,NOMINA!$AU74,NOMINA!I74+NOMINA!J74)),2))*IF(H74&lt;&gt;"",IF(MONTH(H74)=$BR$8,IF(YEAR(H74)&lt;$BT$7,1,0),0)))</f>
        <v>0</v>
      </c>
      <c r="AY74" s="1108">
        <v>180</v>
      </c>
      <c r="AZ74" s="1107">
        <f>IFERROR(VLOOKUP(AY74,'CONCEPTOS Y PARAMETROS'!Y:Z,2,0),0)</f>
        <v>150</v>
      </c>
      <c r="BA74" s="1107">
        <f t="shared" si="106"/>
        <v>4380.45</v>
      </c>
      <c r="BB74" s="1107">
        <f t="shared" si="134"/>
        <v>0</v>
      </c>
      <c r="BC74" s="990">
        <v>0</v>
      </c>
      <c r="BD74" s="1107" t="str">
        <f t="shared" si="107"/>
        <v>0</v>
      </c>
      <c r="BE74" s="990">
        <v>0</v>
      </c>
      <c r="BF74" s="1107">
        <f t="shared" si="182"/>
        <v>0</v>
      </c>
      <c r="BG74" s="1108">
        <v>320</v>
      </c>
      <c r="BH74" s="1108">
        <v>0</v>
      </c>
      <c r="BI74" s="1132">
        <v>0</v>
      </c>
      <c r="BJ74" s="1108">
        <v>12.5</v>
      </c>
      <c r="BK74" s="1108">
        <v>0</v>
      </c>
      <c r="BL74" s="1107">
        <f t="shared" si="157"/>
        <v>26.96</v>
      </c>
      <c r="BM74" s="1107">
        <f t="shared" si="158"/>
        <v>3.37</v>
      </c>
      <c r="BN74" s="1107">
        <f t="shared" si="109"/>
        <v>5.84</v>
      </c>
      <c r="BO74" s="1107">
        <v>0</v>
      </c>
      <c r="BP74" s="1107">
        <v>0</v>
      </c>
      <c r="BQ74" s="1320">
        <f t="shared" si="110"/>
        <v>36.17</v>
      </c>
      <c r="BR74" s="1107">
        <f t="shared" si="159"/>
        <v>60.65</v>
      </c>
      <c r="BS74" s="1107">
        <f t="shared" si="160"/>
        <v>13.48</v>
      </c>
      <c r="BT74" s="1107">
        <f t="shared" si="111"/>
        <v>11.68</v>
      </c>
      <c r="BU74" s="1107">
        <v>0</v>
      </c>
      <c r="BV74" s="1108">
        <f t="shared" si="112"/>
        <v>85.81</v>
      </c>
      <c r="BW74" s="1112">
        <f t="shared" si="113"/>
        <v>121.98</v>
      </c>
      <c r="BX74" s="1112">
        <f t="shared" si="178"/>
        <v>1095.1099999999999</v>
      </c>
      <c r="BY74" s="1108">
        <v>0</v>
      </c>
      <c r="BZ74" s="1108">
        <f t="shared" si="115"/>
        <v>1095.1099999999999</v>
      </c>
      <c r="CA74" s="1321">
        <f>'CONCEPTOS Y PARAMETROS'!$A$102</f>
        <v>6255</v>
      </c>
      <c r="CB74" s="1112">
        <f t="shared" si="116"/>
        <v>255.85999999999996</v>
      </c>
      <c r="CC74" s="1113">
        <f t="shared" si="117"/>
        <v>624.53</v>
      </c>
      <c r="CD74" s="512"/>
      <c r="CE74" s="512"/>
      <c r="CF74" s="470">
        <f t="shared" si="118"/>
        <v>932.03</v>
      </c>
      <c r="CG74" s="509">
        <f t="shared" si="119"/>
        <v>255.85999999999996</v>
      </c>
      <c r="CH74" s="1603">
        <f t="shared" si="120"/>
        <v>12.5</v>
      </c>
      <c r="CI74" s="1491">
        <f t="shared" si="121"/>
        <v>320</v>
      </c>
      <c r="CJ74" s="1502">
        <v>1</v>
      </c>
      <c r="CK74" s="509">
        <f t="shared" si="122"/>
        <v>612.03</v>
      </c>
      <c r="CL74" s="1689">
        <f t="shared" si="123"/>
        <v>293.77</v>
      </c>
      <c r="CM74" s="1689">
        <f t="shared" si="124"/>
        <v>318.26</v>
      </c>
      <c r="CN74" s="510">
        <f t="shared" si="125"/>
        <v>0</v>
      </c>
      <c r="CO74" s="511">
        <v>0</v>
      </c>
      <c r="CP74" s="510">
        <f t="shared" si="126"/>
        <v>0</v>
      </c>
      <c r="CQ74" s="510">
        <f t="shared" si="127"/>
        <v>0</v>
      </c>
      <c r="CR74" s="510">
        <f t="shared" si="128"/>
        <v>1224.06</v>
      </c>
      <c r="CS74" s="510">
        <f t="shared" si="129"/>
        <v>121.98</v>
      </c>
      <c r="CT74" s="510">
        <f t="shared" si="130"/>
        <v>6255</v>
      </c>
      <c r="CU74" s="512"/>
      <c r="CV74" s="512"/>
      <c r="CW74" s="512"/>
      <c r="CX74" s="512"/>
      <c r="CY74" s="1149" t="s">
        <v>6872</v>
      </c>
      <c r="CZ74" s="1149" t="s">
        <v>7092</v>
      </c>
      <c r="DA74" s="1152"/>
      <c r="DB74" s="1152" t="s">
        <v>6346</v>
      </c>
      <c r="DC74" s="1152" t="s">
        <v>7546</v>
      </c>
      <c r="DD74" s="1152" t="s">
        <v>6150</v>
      </c>
      <c r="DE74" s="1152" t="s">
        <v>6244</v>
      </c>
      <c r="DF74" s="1152" t="s">
        <v>6347</v>
      </c>
      <c r="DG74" s="1152"/>
      <c r="DH74" s="512"/>
      <c r="DI74" s="512"/>
      <c r="DJ74" s="512"/>
      <c r="DK74" s="512"/>
      <c r="DL74" s="512"/>
      <c r="DN74" s="476" t="str">
        <f>VLOOKUP(X74,Hoja1!$A$4:$B$10,2,0)</f>
        <v>ESPECIALISTA</v>
      </c>
      <c r="DO74" s="476" t="str">
        <f>VLOOKUP(S74,Hoja1!$D$4:$F$77,3,0)</f>
        <v>PIII - II</v>
      </c>
      <c r="DP74" s="1594" t="str">
        <f t="shared" si="131"/>
        <v>0</v>
      </c>
      <c r="DQ74" s="1484">
        <f>IF(T74&lt;&gt;"0",(ROUND(IF(A74="EMPLEADO",eval_formula('CONCEPTOS Y PARAMETROS'!$C$8,NOMINA!V74,AU74+BF74,NOMINA!I74+NOMINA!J74),eval_formula('CONCEPTOS Y PARAMETROS'!$D$8,NOMINA!V74,AU74+BF74,NOMINA!I74+NOMINA!J74)),2))*IF(H74&lt;&gt;"",IF(MONTH(H74)=$BR$8,IF(YEAR(H74)&lt;$BT$7,1,0),0)))</f>
        <v>0</v>
      </c>
      <c r="DR74" s="1799" t="str">
        <f t="shared" si="132"/>
        <v>F</v>
      </c>
      <c r="DS74" s="1799"/>
    </row>
    <row r="75" spans="1:123" s="476" customFormat="1" ht="21.95" customHeight="1" x14ac:dyDescent="0.25">
      <c r="A75" s="508" t="s">
        <v>2846</v>
      </c>
      <c r="B75" s="1314">
        <f t="shared" ca="1" si="133"/>
        <v>32</v>
      </c>
      <c r="C75" s="1148">
        <v>10257016</v>
      </c>
      <c r="D75" s="1149" t="s">
        <v>4716</v>
      </c>
      <c r="E75" s="1135" t="s">
        <v>4622</v>
      </c>
      <c r="F75" s="1150">
        <v>25603</v>
      </c>
      <c r="G75" s="1135" t="s">
        <v>4620</v>
      </c>
      <c r="H75" s="1150">
        <v>35947</v>
      </c>
      <c r="I75" s="1140">
        <f t="shared" si="90"/>
        <v>27</v>
      </c>
      <c r="J75" s="1132">
        <v>0</v>
      </c>
      <c r="K75" s="1140">
        <f t="shared" si="91"/>
        <v>27</v>
      </c>
      <c r="L75" s="1145" t="s">
        <v>5542</v>
      </c>
      <c r="M75" s="1132"/>
      <c r="N75" s="1132"/>
      <c r="O75" s="1002" t="s">
        <v>5233</v>
      </c>
      <c r="P75" s="1132" t="s">
        <v>5295</v>
      </c>
      <c r="Q75" s="1315" t="str">
        <f>IFERROR(VLOOKUP(O75,CARGOS!A:E,2,0),"")</f>
        <v>79523</v>
      </c>
      <c r="R75" s="1327" t="s">
        <v>5233</v>
      </c>
      <c r="S75" s="1146" t="s">
        <v>5458</v>
      </c>
      <c r="T75" s="1107">
        <f>IFERROR(VLOOKUP(S75,'TAB EMP'!A:B,2,0),0)</f>
        <v>287</v>
      </c>
      <c r="U75" s="1108">
        <v>0</v>
      </c>
      <c r="V75" s="1107">
        <f t="shared" si="92"/>
        <v>287</v>
      </c>
      <c r="W75" s="1108">
        <f t="shared" si="93"/>
        <v>143.5</v>
      </c>
      <c r="X75" s="1135" t="s">
        <v>2885</v>
      </c>
      <c r="Y75" s="1135"/>
      <c r="Z75" s="1135">
        <v>0</v>
      </c>
      <c r="AA75" s="1107">
        <f>ROUND(IF(H75&lt;&gt;"",VLOOKUP(SUM(I75+J75),'CONCEPTOS Y PARAMETROS'!F:G,2,0)*V75,0),2)</f>
        <v>86.1</v>
      </c>
      <c r="AB75" s="1107">
        <f>IF(S75&lt;&gt;"",IF(M75="",'CONCEPTOS Y PARAMETROS'!$C$4,0),0)</f>
        <v>130</v>
      </c>
      <c r="AC75" s="1107">
        <f>IF(S75&lt;&gt;"",IF(M75="",'CONCEPTOS Y PARAMETROS'!$C$7*Z75,0),0)</f>
        <v>0</v>
      </c>
      <c r="AD75" s="1107">
        <f>IFERROR(ROUND(VLOOKUP($X75,'CONCEPTOS Y PARAMETROS'!H:I,2,0)*($V75+AA75+AB75+AC75),2),0)</f>
        <v>125.78</v>
      </c>
      <c r="AE75" s="1107">
        <f t="shared" si="94"/>
        <v>341.88</v>
      </c>
      <c r="AF75" s="1107">
        <f t="shared" si="95"/>
        <v>43.05</v>
      </c>
      <c r="AG75" s="1107">
        <f t="shared" si="96"/>
        <v>43.05</v>
      </c>
      <c r="AH75" s="1107">
        <f t="shared" si="97"/>
        <v>65</v>
      </c>
      <c r="AI75" s="1107">
        <f t="shared" si="98"/>
        <v>65</v>
      </c>
      <c r="AJ75" s="1107">
        <f t="shared" si="99"/>
        <v>62.89</v>
      </c>
      <c r="AK75" s="1107">
        <f t="shared" si="100"/>
        <v>62.89</v>
      </c>
      <c r="AL75" s="1108">
        <f t="shared" si="101"/>
        <v>170.94</v>
      </c>
      <c r="AM75" s="1108">
        <f t="shared" si="102"/>
        <v>170.94</v>
      </c>
      <c r="AN75" s="990">
        <v>0</v>
      </c>
      <c r="AO75" s="1147">
        <f>'CONCEPTOS Y PARAMETROS'!$C$18*AN75</f>
        <v>0</v>
      </c>
      <c r="AP75" s="990">
        <v>0</v>
      </c>
      <c r="AQ75" s="1147">
        <f>'CONCEPTOS Y PARAMETROS'!$C$21*AP75</f>
        <v>0</v>
      </c>
      <c r="AR75" s="1318">
        <v>0</v>
      </c>
      <c r="AS75" s="1318">
        <v>0</v>
      </c>
      <c r="AT75" s="1318">
        <f t="shared" si="103"/>
        <v>0</v>
      </c>
      <c r="AU75" s="1108">
        <f t="shared" si="104"/>
        <v>628.88</v>
      </c>
      <c r="AV75" s="1133">
        <v>0</v>
      </c>
      <c r="AW75" s="1108">
        <f t="shared" si="181"/>
        <v>0</v>
      </c>
      <c r="AX75" s="1107">
        <f>IF(T75&lt;&gt;"0",(ROUND(IF(A75="EMPLEADO",eval_formula('CONCEPTOS Y PARAMETROS'!$C$8,NOMINA!V75,NOMINA!$AU75,NOMINA!I75+NOMINA!J75),eval_formula('CONCEPTOS Y PARAMETROS'!$D$8,NOMINA!V75,NOMINA!$AU75,NOMINA!I75+NOMINA!J75)),2))*IF(H75&lt;&gt;"",IF(MONTH(H75)=$BR$8,IF(YEAR(H75)&lt;$BT$7,1,0),0)))</f>
        <v>0</v>
      </c>
      <c r="AY75" s="1108">
        <v>180</v>
      </c>
      <c r="AZ75" s="1107">
        <f>IFERROR(VLOOKUP(AY75,'CONCEPTOS Y PARAMETROS'!Y:Z,2,0),0)</f>
        <v>150</v>
      </c>
      <c r="BA75" s="1107">
        <f t="shared" si="106"/>
        <v>4716.6000000000004</v>
      </c>
      <c r="BB75" s="1107">
        <f t="shared" si="134"/>
        <v>0</v>
      </c>
      <c r="BC75" s="990">
        <v>0</v>
      </c>
      <c r="BD75" s="1107" t="str">
        <f t="shared" si="107"/>
        <v>0</v>
      </c>
      <c r="BE75" s="990">
        <v>0</v>
      </c>
      <c r="BF75" s="1107">
        <f t="shared" si="182"/>
        <v>0</v>
      </c>
      <c r="BG75" s="1108">
        <v>320</v>
      </c>
      <c r="BH75" s="1108">
        <v>0</v>
      </c>
      <c r="BI75" s="1132">
        <v>0</v>
      </c>
      <c r="BJ75" s="1108">
        <v>12.5</v>
      </c>
      <c r="BK75" s="1108">
        <v>0</v>
      </c>
      <c r="BL75" s="1107">
        <f t="shared" si="157"/>
        <v>29.03</v>
      </c>
      <c r="BM75" s="1107">
        <f t="shared" si="158"/>
        <v>3.63</v>
      </c>
      <c r="BN75" s="1107">
        <f t="shared" si="109"/>
        <v>6.29</v>
      </c>
      <c r="BO75" s="1107">
        <v>0</v>
      </c>
      <c r="BP75" s="1107">
        <v>0</v>
      </c>
      <c r="BQ75" s="1320">
        <f t="shared" si="110"/>
        <v>38.950000000000003</v>
      </c>
      <c r="BR75" s="1107">
        <f t="shared" si="159"/>
        <v>65.31</v>
      </c>
      <c r="BS75" s="1107">
        <f t="shared" si="160"/>
        <v>14.51</v>
      </c>
      <c r="BT75" s="1107">
        <f t="shared" si="111"/>
        <v>12.58</v>
      </c>
      <c r="BU75" s="1107">
        <v>0</v>
      </c>
      <c r="BV75" s="1108">
        <f t="shared" si="112"/>
        <v>92.4</v>
      </c>
      <c r="BW75" s="1112">
        <f t="shared" si="113"/>
        <v>131.35000000000002</v>
      </c>
      <c r="BX75" s="1112">
        <f t="shared" si="178"/>
        <v>1179.1500000000001</v>
      </c>
      <c r="BY75" s="1108">
        <v>0</v>
      </c>
      <c r="BZ75" s="1108">
        <f t="shared" si="115"/>
        <v>1179.1500000000001</v>
      </c>
      <c r="CA75" s="1321">
        <f>'CONCEPTOS Y PARAMETROS'!$A$102</f>
        <v>6255</v>
      </c>
      <c r="CB75" s="1112">
        <f t="shared" si="116"/>
        <v>275.49</v>
      </c>
      <c r="CC75" s="1113">
        <f t="shared" si="117"/>
        <v>646.94000000000005</v>
      </c>
      <c r="CD75" s="512"/>
      <c r="CE75" s="512"/>
      <c r="CF75" s="470">
        <f t="shared" si="118"/>
        <v>954.44</v>
      </c>
      <c r="CG75" s="509">
        <f t="shared" si="119"/>
        <v>275.49</v>
      </c>
      <c r="CH75" s="1603">
        <f t="shared" si="120"/>
        <v>12.5</v>
      </c>
      <c r="CI75" s="1491">
        <f t="shared" si="121"/>
        <v>320</v>
      </c>
      <c r="CJ75" s="1502">
        <v>2</v>
      </c>
      <c r="CK75" s="509">
        <f t="shared" si="122"/>
        <v>634.44000000000005</v>
      </c>
      <c r="CL75" s="1689">
        <f t="shared" si="123"/>
        <v>304.52999999999997</v>
      </c>
      <c r="CM75" s="1689">
        <f t="shared" si="124"/>
        <v>329.91000000000008</v>
      </c>
      <c r="CN75" s="510">
        <f t="shared" si="125"/>
        <v>0</v>
      </c>
      <c r="CO75" s="511">
        <v>0</v>
      </c>
      <c r="CP75" s="510">
        <f t="shared" si="126"/>
        <v>0</v>
      </c>
      <c r="CQ75" s="510">
        <f t="shared" si="127"/>
        <v>0</v>
      </c>
      <c r="CR75" s="510">
        <f t="shared" si="128"/>
        <v>1268.8800000000001</v>
      </c>
      <c r="CS75" s="510">
        <f t="shared" si="129"/>
        <v>131.35000000000002</v>
      </c>
      <c r="CT75" s="510">
        <f t="shared" si="130"/>
        <v>6255</v>
      </c>
      <c r="CU75" s="512"/>
      <c r="CV75" s="512"/>
      <c r="CW75" s="512"/>
      <c r="CX75" s="512"/>
      <c r="CY75" s="1149" t="s">
        <v>6827</v>
      </c>
      <c r="CZ75" s="1149" t="s">
        <v>7093</v>
      </c>
      <c r="DA75" s="1152"/>
      <c r="DB75" s="1645" t="s">
        <v>6184</v>
      </c>
      <c r="DC75" s="1645"/>
      <c r="DD75" s="1645" t="s">
        <v>6179</v>
      </c>
      <c r="DE75" s="1645" t="s">
        <v>6185</v>
      </c>
      <c r="DF75" s="1642" t="s">
        <v>6546</v>
      </c>
      <c r="DG75" s="1152"/>
      <c r="DH75" s="512"/>
      <c r="DI75" s="512"/>
      <c r="DJ75" s="512"/>
      <c r="DK75" s="512"/>
      <c r="DL75" s="512"/>
      <c r="DN75" s="476" t="str">
        <f>VLOOKUP(X75,Hoja1!$A$4:$B$10,2,0)</f>
        <v>PROFESIONAL</v>
      </c>
      <c r="DO75" s="476" t="str">
        <f>VLOOKUP(S75,Hoja1!$D$4:$F$77,3,0)</f>
        <v>PII - VII</v>
      </c>
      <c r="DP75" s="1594" t="str">
        <f t="shared" si="131"/>
        <v>0</v>
      </c>
      <c r="DQ75" s="1484">
        <f>IF(T75&lt;&gt;"0",(ROUND(IF(A75="EMPLEADO",eval_formula('CONCEPTOS Y PARAMETROS'!$C$8,NOMINA!V75,AU75+BF75,NOMINA!I75+NOMINA!J75),eval_formula('CONCEPTOS Y PARAMETROS'!$D$8,NOMINA!V75,AU75+BF75,NOMINA!I75+NOMINA!J75)),2))*IF(H75&lt;&gt;"",IF(MONTH(H75)=$BR$8,IF(YEAR(H75)&lt;$BT$7,1,0),0)))</f>
        <v>0</v>
      </c>
      <c r="DR75" s="1799" t="str">
        <f t="shared" si="132"/>
        <v>F</v>
      </c>
      <c r="DS75" s="1799"/>
    </row>
    <row r="76" spans="1:123" s="476" customFormat="1" ht="21.95" customHeight="1" x14ac:dyDescent="0.25">
      <c r="A76" s="508" t="s">
        <v>2846</v>
      </c>
      <c r="B76" s="1314">
        <f t="shared" ca="1" si="133"/>
        <v>33</v>
      </c>
      <c r="C76" s="1148">
        <v>10315803</v>
      </c>
      <c r="D76" s="1149" t="s">
        <v>4717</v>
      </c>
      <c r="E76" s="1135" t="s">
        <v>4622</v>
      </c>
      <c r="F76" s="1150">
        <v>25431</v>
      </c>
      <c r="G76" s="1135" t="s">
        <v>4621</v>
      </c>
      <c r="H76" s="1150">
        <v>35415</v>
      </c>
      <c r="I76" s="1140">
        <f t="shared" si="90"/>
        <v>28</v>
      </c>
      <c r="J76" s="1132">
        <v>0</v>
      </c>
      <c r="K76" s="1140">
        <f t="shared" si="91"/>
        <v>28</v>
      </c>
      <c r="L76" s="1145" t="s">
        <v>5546</v>
      </c>
      <c r="M76" s="1132"/>
      <c r="N76" s="1132"/>
      <c r="O76" s="1002" t="s">
        <v>5217</v>
      </c>
      <c r="P76" s="1132" t="s">
        <v>5296</v>
      </c>
      <c r="Q76" s="1315" t="str">
        <f>IFERROR(VLOOKUP(O76,CARGOS!A:E,2,0),"")</f>
        <v>79512</v>
      </c>
      <c r="R76" s="1327" t="s">
        <v>5217</v>
      </c>
      <c r="S76" s="1146" t="s">
        <v>5463</v>
      </c>
      <c r="T76" s="1107">
        <f>IFERROR(VLOOKUP(S76,'TAB EMP'!A:B,2,0),0)</f>
        <v>177</v>
      </c>
      <c r="U76" s="1108">
        <v>0</v>
      </c>
      <c r="V76" s="1107">
        <f t="shared" si="92"/>
        <v>177</v>
      </c>
      <c r="W76" s="1108">
        <f t="shared" si="93"/>
        <v>88.5</v>
      </c>
      <c r="X76" s="1135" t="s">
        <v>2884</v>
      </c>
      <c r="Y76" s="1135"/>
      <c r="Z76" s="1135">
        <v>0</v>
      </c>
      <c r="AA76" s="1107">
        <f>ROUND(IF(H76&lt;&gt;"",VLOOKUP(SUM(I76+J76),'CONCEPTOS Y PARAMETROS'!F:G,2,0)*V76,0),2)</f>
        <v>53.1</v>
      </c>
      <c r="AB76" s="1107">
        <f>IF(S76&lt;&gt;"",IF(M76="",'CONCEPTOS Y PARAMETROS'!$C$4,0),0)</f>
        <v>130</v>
      </c>
      <c r="AC76" s="1107">
        <f>IF(S76&lt;&gt;"",IF(M76="",'CONCEPTOS Y PARAMETROS'!$C$7*Z76,0),0)</f>
        <v>0</v>
      </c>
      <c r="AD76" s="1107">
        <f>IFERROR(ROUND(VLOOKUP($X76,'CONCEPTOS Y PARAMETROS'!H:I,2,0)*($V76+AA76+AB76+AC76),2),0)</f>
        <v>0</v>
      </c>
      <c r="AE76" s="1107">
        <f t="shared" si="94"/>
        <v>183.1</v>
      </c>
      <c r="AF76" s="1107">
        <f t="shared" si="95"/>
        <v>26.55</v>
      </c>
      <c r="AG76" s="1107">
        <f t="shared" si="96"/>
        <v>26.55</v>
      </c>
      <c r="AH76" s="1107">
        <f t="shared" si="97"/>
        <v>65</v>
      </c>
      <c r="AI76" s="1107">
        <f t="shared" si="98"/>
        <v>65</v>
      </c>
      <c r="AJ76" s="1107">
        <f t="shared" si="99"/>
        <v>0</v>
      </c>
      <c r="AK76" s="1107">
        <f t="shared" si="100"/>
        <v>0</v>
      </c>
      <c r="AL76" s="1108">
        <f t="shared" si="101"/>
        <v>91.55</v>
      </c>
      <c r="AM76" s="1108">
        <f t="shared" si="102"/>
        <v>91.55</v>
      </c>
      <c r="AN76" s="990">
        <v>0</v>
      </c>
      <c r="AO76" s="1147">
        <f>'CONCEPTOS Y PARAMETROS'!$C$18*AN76</f>
        <v>0</v>
      </c>
      <c r="AP76" s="990">
        <v>0</v>
      </c>
      <c r="AQ76" s="1147">
        <f>'CONCEPTOS Y PARAMETROS'!$C$21*AP76</f>
        <v>0</v>
      </c>
      <c r="AR76" s="1318">
        <v>0</v>
      </c>
      <c r="AS76" s="1318">
        <v>0</v>
      </c>
      <c r="AT76" s="1318">
        <f t="shared" si="103"/>
        <v>0</v>
      </c>
      <c r="AU76" s="1108">
        <f t="shared" si="104"/>
        <v>468.13</v>
      </c>
      <c r="AV76" s="1133" t="s">
        <v>5080</v>
      </c>
      <c r="AW76" s="1108">
        <f t="shared" si="181"/>
        <v>108.03</v>
      </c>
      <c r="AX76" s="1107">
        <f>IF(T76&lt;&gt;"0",(ROUND(IF(A76="EMPLEADO",eval_formula('CONCEPTOS Y PARAMETROS'!$C$8,NOMINA!V76,NOMINA!$AU76,NOMINA!I76+NOMINA!J76),eval_formula('CONCEPTOS Y PARAMETROS'!$D$8,NOMINA!V76,NOMINA!$AU76,NOMINA!I76+NOMINA!J76)),2))*IF(H76&lt;&gt;"",IF(MONTH(H76)=$BR$8,IF(YEAR(H76)&lt;$BT$7,1,0),0)))</f>
        <v>0</v>
      </c>
      <c r="AY76" s="1108">
        <v>180</v>
      </c>
      <c r="AZ76" s="1107">
        <f>IFERROR(VLOOKUP(AY76,'CONCEPTOS Y PARAMETROS'!Y:Z,2,0),0)</f>
        <v>150</v>
      </c>
      <c r="BA76" s="1107">
        <f t="shared" si="106"/>
        <v>3510.98</v>
      </c>
      <c r="BB76" s="1107">
        <f t="shared" si="134"/>
        <v>0</v>
      </c>
      <c r="BC76" s="990">
        <v>0</v>
      </c>
      <c r="BD76" s="1107" t="str">
        <f t="shared" si="107"/>
        <v>0</v>
      </c>
      <c r="BE76" s="990">
        <v>3</v>
      </c>
      <c r="BF76" s="1107">
        <f t="shared" si="182"/>
        <v>70.22</v>
      </c>
      <c r="BG76" s="1108">
        <v>320</v>
      </c>
      <c r="BH76" s="1108">
        <v>0</v>
      </c>
      <c r="BI76" s="1132">
        <v>0</v>
      </c>
      <c r="BJ76" s="1108">
        <v>12.5</v>
      </c>
      <c r="BK76" s="1108">
        <v>0</v>
      </c>
      <c r="BL76" s="1107">
        <f t="shared" si="157"/>
        <v>21.61</v>
      </c>
      <c r="BM76" s="1107">
        <f t="shared" si="158"/>
        <v>2.7</v>
      </c>
      <c r="BN76" s="1107">
        <f t="shared" si="109"/>
        <v>4.68</v>
      </c>
      <c r="BO76" s="1107">
        <v>0</v>
      </c>
      <c r="BP76" s="1107">
        <v>0</v>
      </c>
      <c r="BQ76" s="1320">
        <f t="shared" si="110"/>
        <v>28.99</v>
      </c>
      <c r="BR76" s="1107">
        <f t="shared" si="159"/>
        <v>48.61</v>
      </c>
      <c r="BS76" s="1107">
        <f t="shared" si="160"/>
        <v>10.8</v>
      </c>
      <c r="BT76" s="1107">
        <f t="shared" si="111"/>
        <v>9.36</v>
      </c>
      <c r="BU76" s="1107">
        <v>0</v>
      </c>
      <c r="BV76" s="1108">
        <f t="shared" si="112"/>
        <v>68.77</v>
      </c>
      <c r="BW76" s="1112">
        <f t="shared" si="113"/>
        <v>97.759999999999991</v>
      </c>
      <c r="BX76" s="1112">
        <f t="shared" si="178"/>
        <v>877.75</v>
      </c>
      <c r="BY76" s="1108">
        <v>0</v>
      </c>
      <c r="BZ76" s="1108">
        <f t="shared" si="115"/>
        <v>877.75</v>
      </c>
      <c r="CA76" s="1321">
        <f>'CONCEPTOS Y PARAMETROS'!$A$102</f>
        <v>6255</v>
      </c>
      <c r="CB76" s="1112">
        <f t="shared" si="116"/>
        <v>151.06</v>
      </c>
      <c r="CC76" s="1113">
        <f t="shared" si="117"/>
        <v>690.8</v>
      </c>
      <c r="CD76" s="512"/>
      <c r="CE76" s="512"/>
      <c r="CF76" s="470">
        <f t="shared" si="118"/>
        <v>820.05</v>
      </c>
      <c r="CG76" s="509">
        <f t="shared" si="119"/>
        <v>151.06</v>
      </c>
      <c r="CH76" s="1603">
        <f t="shared" si="120"/>
        <v>12.5</v>
      </c>
      <c r="CI76" s="1491">
        <f t="shared" si="121"/>
        <v>320</v>
      </c>
      <c r="CJ76" s="1502">
        <v>1</v>
      </c>
      <c r="CK76" s="509">
        <f t="shared" si="122"/>
        <v>500.05</v>
      </c>
      <c r="CL76" s="1689">
        <f t="shared" si="123"/>
        <v>500.05</v>
      </c>
      <c r="CM76" s="1689">
        <f t="shared" si="124"/>
        <v>0</v>
      </c>
      <c r="CN76" s="510">
        <f t="shared" si="125"/>
        <v>70.22</v>
      </c>
      <c r="CO76" s="511">
        <v>0</v>
      </c>
      <c r="CP76" s="510">
        <f t="shared" si="126"/>
        <v>108.03</v>
      </c>
      <c r="CQ76" s="510">
        <f t="shared" si="127"/>
        <v>0</v>
      </c>
      <c r="CR76" s="510">
        <f t="shared" si="128"/>
        <v>1178.3499999999999</v>
      </c>
      <c r="CS76" s="510">
        <f t="shared" si="129"/>
        <v>97.759999999999991</v>
      </c>
      <c r="CT76" s="510">
        <f t="shared" si="130"/>
        <v>6255</v>
      </c>
      <c r="CU76" s="512"/>
      <c r="CV76" s="512"/>
      <c r="CW76" s="512"/>
      <c r="CX76" s="512"/>
      <c r="CY76" s="1149" t="s">
        <v>6804</v>
      </c>
      <c r="CZ76" s="1149" t="s">
        <v>7094</v>
      </c>
      <c r="DA76" s="1152"/>
      <c r="DB76" s="1642" t="s">
        <v>6366</v>
      </c>
      <c r="DC76" s="1642"/>
      <c r="DD76" s="1642" t="s">
        <v>6367</v>
      </c>
      <c r="DE76" s="1642" t="s">
        <v>6237</v>
      </c>
      <c r="DF76" s="1642" t="s">
        <v>6547</v>
      </c>
      <c r="DG76" s="1642" t="s">
        <v>6237</v>
      </c>
      <c r="DH76" s="512"/>
      <c r="DI76" s="512"/>
      <c r="DJ76" s="512"/>
      <c r="DK76" s="512"/>
      <c r="DL76" s="512"/>
      <c r="DN76" s="476" t="str">
        <f>VLOOKUP(X76,Hoja1!$A$4:$B$10,2,0)</f>
        <v>BACHILLER</v>
      </c>
      <c r="DO76" s="476" t="str">
        <f>VLOOKUP(S76,Hoja1!$D$4:$F$77,3,0)</f>
        <v>BIII - VII</v>
      </c>
      <c r="DP76" s="1594" t="str">
        <f t="shared" si="131"/>
        <v>SI</v>
      </c>
      <c r="DQ76" s="1484">
        <f>IF(T76&lt;&gt;"0",(ROUND(IF(A76="EMPLEADO",eval_formula('CONCEPTOS Y PARAMETROS'!$C$8,NOMINA!V76,AU76+BF76,NOMINA!I76+NOMINA!J76),eval_formula('CONCEPTOS Y PARAMETROS'!$D$8,NOMINA!V76,AU76+BF76,NOMINA!I76+NOMINA!J76)),2))*IF(H76&lt;&gt;"",IF(MONTH(H76)=$BR$8,IF(YEAR(H76)&lt;$BT$7,1,0),0)))</f>
        <v>0</v>
      </c>
      <c r="DR76" s="1799" t="str">
        <f t="shared" si="132"/>
        <v>M</v>
      </c>
      <c r="DS76" s="1799"/>
    </row>
    <row r="77" spans="1:123" s="476" customFormat="1" ht="21.95" customHeight="1" x14ac:dyDescent="0.25">
      <c r="A77" s="508" t="s">
        <v>2846</v>
      </c>
      <c r="B77" s="1314">
        <f t="shared" ca="1" si="133"/>
        <v>34</v>
      </c>
      <c r="C77" s="1148">
        <v>10319457</v>
      </c>
      <c r="D77" s="1149" t="s">
        <v>4718</v>
      </c>
      <c r="E77" s="1135" t="s">
        <v>4622</v>
      </c>
      <c r="F77" s="1150">
        <v>26255</v>
      </c>
      <c r="G77" s="1135" t="s">
        <v>4620</v>
      </c>
      <c r="H77" s="1150">
        <v>38831</v>
      </c>
      <c r="I77" s="1140">
        <f t="shared" si="90"/>
        <v>19</v>
      </c>
      <c r="J77" s="1132">
        <v>0</v>
      </c>
      <c r="K77" s="1140">
        <f t="shared" si="91"/>
        <v>19</v>
      </c>
      <c r="L77" s="1145" t="s">
        <v>5534</v>
      </c>
      <c r="M77" s="1132"/>
      <c r="N77" s="1132"/>
      <c r="O77" s="1002" t="s">
        <v>7260</v>
      </c>
      <c r="P77" s="1132" t="s">
        <v>5297</v>
      </c>
      <c r="Q77" s="1315" t="str">
        <f>IFERROR(VLOOKUP(O77,CARGOS!A:E,2,0),"")</f>
        <v>24343</v>
      </c>
      <c r="R77" s="1327" t="s">
        <v>7259</v>
      </c>
      <c r="S77" s="1146" t="s">
        <v>5463</v>
      </c>
      <c r="T77" s="1107">
        <f>IFERROR(VLOOKUP(S77,'TAB EMP'!A:B,2,0),0)</f>
        <v>177</v>
      </c>
      <c r="U77" s="1108">
        <v>0</v>
      </c>
      <c r="V77" s="1107">
        <f t="shared" si="92"/>
        <v>177</v>
      </c>
      <c r="W77" s="1108">
        <f t="shared" si="93"/>
        <v>88.5</v>
      </c>
      <c r="X77" s="1135" t="s">
        <v>2884</v>
      </c>
      <c r="Y77" s="1135"/>
      <c r="Z77" s="1135">
        <v>1</v>
      </c>
      <c r="AA77" s="1107">
        <f>ROUND(IF(H77&lt;&gt;"",VLOOKUP(SUM(I77+J77),'CONCEPTOS Y PARAMETROS'!F:G,2,0)*V77,0),2)</f>
        <v>43.19</v>
      </c>
      <c r="AB77" s="1107">
        <f>IF(S77&lt;&gt;"",IF(M77="",'CONCEPTOS Y PARAMETROS'!$C$4,0),0)</f>
        <v>130</v>
      </c>
      <c r="AC77" s="1107">
        <f>IF(S77&lt;&gt;"",IF(M77="",'CONCEPTOS Y PARAMETROS'!$C$7*Z77,0),0)</f>
        <v>12.5</v>
      </c>
      <c r="AD77" s="1107">
        <f>IFERROR(ROUND(VLOOKUP($X77,'CONCEPTOS Y PARAMETROS'!H:I,2,0)*($V77+AA77+AB77+AC77),2),0)</f>
        <v>0</v>
      </c>
      <c r="AE77" s="1107">
        <f t="shared" si="94"/>
        <v>185.69</v>
      </c>
      <c r="AF77" s="1107">
        <f t="shared" si="95"/>
        <v>21.6</v>
      </c>
      <c r="AG77" s="1107">
        <f t="shared" si="96"/>
        <v>21.59</v>
      </c>
      <c r="AH77" s="1107">
        <f t="shared" si="97"/>
        <v>65</v>
      </c>
      <c r="AI77" s="1107">
        <f t="shared" si="98"/>
        <v>65</v>
      </c>
      <c r="AJ77" s="1107">
        <f t="shared" si="99"/>
        <v>0</v>
      </c>
      <c r="AK77" s="1107">
        <f t="shared" si="100"/>
        <v>0</v>
      </c>
      <c r="AL77" s="1108">
        <f t="shared" si="101"/>
        <v>99.1</v>
      </c>
      <c r="AM77" s="1108">
        <f t="shared" si="102"/>
        <v>86.59</v>
      </c>
      <c r="AN77" s="990">
        <v>0</v>
      </c>
      <c r="AO77" s="1147">
        <f>'CONCEPTOS Y PARAMETROS'!$C$18*AN77</f>
        <v>0</v>
      </c>
      <c r="AP77" s="990">
        <v>0</v>
      </c>
      <c r="AQ77" s="1147">
        <f>'CONCEPTOS Y PARAMETROS'!$C$21*AP77</f>
        <v>0</v>
      </c>
      <c r="AR77" s="1318">
        <v>0</v>
      </c>
      <c r="AS77" s="1318">
        <v>0</v>
      </c>
      <c r="AT77" s="1318">
        <f t="shared" si="103"/>
        <v>0</v>
      </c>
      <c r="AU77" s="1108">
        <f t="shared" si="104"/>
        <v>362.69</v>
      </c>
      <c r="AV77" s="1133">
        <v>0</v>
      </c>
      <c r="AW77" s="1108">
        <f t="shared" si="181"/>
        <v>0</v>
      </c>
      <c r="AX77" s="1107">
        <f>IF(T77&lt;&gt;"0",(ROUND(IF(A77="EMPLEADO",eval_formula('CONCEPTOS Y PARAMETROS'!$C$8,NOMINA!V77,NOMINA!$AU77,NOMINA!I77+NOMINA!J77),eval_formula('CONCEPTOS Y PARAMETROS'!$D$8,NOMINA!V77,NOMINA!$AU77,NOMINA!I77+NOMINA!J77)),2))*IF(H77&lt;&gt;"",IF(MONTH(H77)=$BR$8,IF(YEAR(H77)&lt;$BT$7,1,0),0)))</f>
        <v>0</v>
      </c>
      <c r="AY77" s="1108">
        <v>180</v>
      </c>
      <c r="AZ77" s="1107">
        <f>IFERROR(VLOOKUP(AY77,'CONCEPTOS Y PARAMETROS'!Y:Z,2,0),0)</f>
        <v>150</v>
      </c>
      <c r="BA77" s="1107">
        <f t="shared" si="106"/>
        <v>2720.18</v>
      </c>
      <c r="BB77" s="1107">
        <f t="shared" si="134"/>
        <v>0</v>
      </c>
      <c r="BC77" s="990">
        <v>0</v>
      </c>
      <c r="BD77" s="1107" t="str">
        <f t="shared" si="107"/>
        <v>0</v>
      </c>
      <c r="BE77" s="990">
        <v>0</v>
      </c>
      <c r="BF77" s="1107">
        <f t="shared" si="182"/>
        <v>0</v>
      </c>
      <c r="BG77" s="1108">
        <v>320</v>
      </c>
      <c r="BH77" s="1108">
        <v>0</v>
      </c>
      <c r="BI77" s="1132">
        <v>0</v>
      </c>
      <c r="BJ77" s="1108">
        <v>12.5</v>
      </c>
      <c r="BK77" s="1108">
        <v>0</v>
      </c>
      <c r="BL77" s="1107">
        <f t="shared" si="157"/>
        <v>16.739999999999998</v>
      </c>
      <c r="BM77" s="1107">
        <f t="shared" si="158"/>
        <v>2.09</v>
      </c>
      <c r="BN77" s="1107">
        <f t="shared" si="109"/>
        <v>3.63</v>
      </c>
      <c r="BO77" s="1107">
        <v>0</v>
      </c>
      <c r="BP77" s="1107">
        <v>0</v>
      </c>
      <c r="BQ77" s="1320">
        <f t="shared" si="110"/>
        <v>22.46</v>
      </c>
      <c r="BR77" s="1107">
        <f t="shared" si="159"/>
        <v>37.659999999999997</v>
      </c>
      <c r="BS77" s="1107">
        <f t="shared" si="160"/>
        <v>8.3699999999999992</v>
      </c>
      <c r="BT77" s="1107">
        <f t="shared" si="111"/>
        <v>7.26</v>
      </c>
      <c r="BU77" s="1107">
        <v>0</v>
      </c>
      <c r="BV77" s="1108">
        <f t="shared" si="112"/>
        <v>53.29</v>
      </c>
      <c r="BW77" s="1112">
        <f t="shared" si="113"/>
        <v>75.75</v>
      </c>
      <c r="BX77" s="1112">
        <f t="shared" si="178"/>
        <v>680.05</v>
      </c>
      <c r="BY77" s="1108">
        <v>0</v>
      </c>
      <c r="BZ77" s="1108">
        <f t="shared" si="115"/>
        <v>680.05</v>
      </c>
      <c r="CA77" s="1321">
        <f>'CONCEPTOS Y PARAMETROS'!$A$102</f>
        <v>6255</v>
      </c>
      <c r="CB77" s="1112">
        <f t="shared" si="116"/>
        <v>165.14</v>
      </c>
      <c r="CC77" s="1113">
        <f t="shared" si="117"/>
        <v>507.59</v>
      </c>
      <c r="CD77" s="512"/>
      <c r="CE77" s="512"/>
      <c r="CF77" s="470">
        <f t="shared" si="118"/>
        <v>815.09</v>
      </c>
      <c r="CG77" s="509">
        <f t="shared" si="119"/>
        <v>165.14</v>
      </c>
      <c r="CH77" s="1603">
        <f t="shared" si="120"/>
        <v>12.5</v>
      </c>
      <c r="CI77" s="1491">
        <f t="shared" si="121"/>
        <v>320</v>
      </c>
      <c r="CJ77" s="1502">
        <v>1</v>
      </c>
      <c r="CK77" s="509">
        <f t="shared" si="122"/>
        <v>495.09000000000003</v>
      </c>
      <c r="CL77" s="1689">
        <f t="shared" si="123"/>
        <v>495.09</v>
      </c>
      <c r="CM77" s="1689">
        <f t="shared" si="124"/>
        <v>0</v>
      </c>
      <c r="CN77" s="510">
        <f t="shared" si="125"/>
        <v>0</v>
      </c>
      <c r="CO77" s="511">
        <v>0</v>
      </c>
      <c r="CP77" s="510">
        <f t="shared" si="126"/>
        <v>0</v>
      </c>
      <c r="CQ77" s="510">
        <f t="shared" si="127"/>
        <v>0</v>
      </c>
      <c r="CR77" s="510">
        <f t="shared" si="128"/>
        <v>990.18000000000006</v>
      </c>
      <c r="CS77" s="510">
        <f t="shared" si="129"/>
        <v>75.75</v>
      </c>
      <c r="CT77" s="510">
        <f t="shared" si="130"/>
        <v>6255</v>
      </c>
      <c r="CU77" s="512"/>
      <c r="CV77" s="512"/>
      <c r="CW77" s="512"/>
      <c r="CX77" s="512"/>
      <c r="CY77" s="1149" t="s">
        <v>7051</v>
      </c>
      <c r="CZ77" s="1149" t="s">
        <v>7095</v>
      </c>
      <c r="DA77" s="1152"/>
      <c r="DB77" s="1642" t="s">
        <v>6368</v>
      </c>
      <c r="DC77" s="1642"/>
      <c r="DD77" s="1642" t="s">
        <v>6143</v>
      </c>
      <c r="DE77" s="1642" t="s">
        <v>6142</v>
      </c>
      <c r="DF77" s="1642" t="s">
        <v>6369</v>
      </c>
      <c r="DG77" s="1152"/>
      <c r="DH77" s="512"/>
      <c r="DI77" s="512"/>
      <c r="DJ77" s="512"/>
      <c r="DK77" s="512"/>
      <c r="DL77" s="512"/>
      <c r="DN77" s="476" t="str">
        <f>VLOOKUP(X77,Hoja1!$A$4:$B$10,2,0)</f>
        <v>BACHILLER</v>
      </c>
      <c r="DO77" s="476" t="str">
        <f>VLOOKUP(S77,Hoja1!$D$4:$F$77,3,0)</f>
        <v>BIII - VII</v>
      </c>
      <c r="DP77" s="1594" t="str">
        <f t="shared" si="131"/>
        <v>0</v>
      </c>
      <c r="DQ77" s="1484">
        <f>IF(T77&lt;&gt;"0",(ROUND(IF(A77="EMPLEADO",eval_formula('CONCEPTOS Y PARAMETROS'!$C$8,NOMINA!V77,AU77+BF77,NOMINA!I77+NOMINA!J77),eval_formula('CONCEPTOS Y PARAMETROS'!$D$8,NOMINA!V77,AU77+BF77,NOMINA!I77+NOMINA!J77)),2))*IF(H77&lt;&gt;"",IF(MONTH(H77)=$BR$8,IF(YEAR(H77)&lt;$BT$7,1,0),0)))</f>
        <v>0</v>
      </c>
      <c r="DR77" s="1799" t="str">
        <f t="shared" si="132"/>
        <v>F</v>
      </c>
      <c r="DS77" s="1799"/>
    </row>
    <row r="78" spans="1:123" s="476" customFormat="1" ht="21.95" customHeight="1" x14ac:dyDescent="0.25">
      <c r="A78" s="508" t="s">
        <v>2846</v>
      </c>
      <c r="B78" s="1314">
        <f t="shared" ca="1" si="133"/>
        <v>35</v>
      </c>
      <c r="C78" s="1148">
        <v>10396379</v>
      </c>
      <c r="D78" s="1149" t="s">
        <v>4719</v>
      </c>
      <c r="E78" s="1135" t="s">
        <v>4622</v>
      </c>
      <c r="F78" s="1150">
        <v>25168</v>
      </c>
      <c r="G78" s="1135" t="s">
        <v>4621</v>
      </c>
      <c r="H78" s="1150">
        <v>44743</v>
      </c>
      <c r="I78" s="1140">
        <f t="shared" si="90"/>
        <v>3</v>
      </c>
      <c r="J78" s="1132">
        <v>0</v>
      </c>
      <c r="K78" s="1140">
        <f t="shared" si="91"/>
        <v>3</v>
      </c>
      <c r="L78" s="1145" t="s">
        <v>5530</v>
      </c>
      <c r="M78" s="1132"/>
      <c r="N78" s="1132"/>
      <c r="O78" s="1002" t="s">
        <v>4956</v>
      </c>
      <c r="P78" s="1132" t="s">
        <v>5298</v>
      </c>
      <c r="Q78" s="1315" t="str">
        <f>IFERROR(VLOOKUP(O78,CARGOS!A:E,2,0),"")</f>
        <v>34232</v>
      </c>
      <c r="R78" s="1327" t="s">
        <v>5266</v>
      </c>
      <c r="S78" s="1146" t="s">
        <v>5477</v>
      </c>
      <c r="T78" s="1107">
        <f>IFERROR(VLOOKUP(S78,'TAB EMP'!A:B,2,0),0)</f>
        <v>150</v>
      </c>
      <c r="U78" s="1108">
        <v>0</v>
      </c>
      <c r="V78" s="1107">
        <f t="shared" si="92"/>
        <v>150</v>
      </c>
      <c r="W78" s="1108">
        <f t="shared" si="93"/>
        <v>75</v>
      </c>
      <c r="X78" s="1135" t="s">
        <v>2884</v>
      </c>
      <c r="Y78" s="1135"/>
      <c r="Z78" s="1135">
        <v>0</v>
      </c>
      <c r="AA78" s="1107">
        <f>ROUND(IF(H78&lt;&gt;"",VLOOKUP(SUM(I78+J78),'CONCEPTOS Y PARAMETROS'!F:G,2,0)*V78,0),2)</f>
        <v>4.5</v>
      </c>
      <c r="AB78" s="1107">
        <f>IF(S78&lt;&gt;"",IF(M78="",'CONCEPTOS Y PARAMETROS'!$C$4,0),0)</f>
        <v>130</v>
      </c>
      <c r="AC78" s="1107">
        <f>IF(S78&lt;&gt;"",IF(M78="",'CONCEPTOS Y PARAMETROS'!$C$7*Z78,0),0)</f>
        <v>0</v>
      </c>
      <c r="AD78" s="1107">
        <f>IFERROR(ROUND(VLOOKUP($X78,'CONCEPTOS Y PARAMETROS'!H:I,2,0)*($V78+AA78+AB78+AC78),2),0)</f>
        <v>0</v>
      </c>
      <c r="AE78" s="1107">
        <f t="shared" si="94"/>
        <v>134.5</v>
      </c>
      <c r="AF78" s="1107">
        <f t="shared" si="95"/>
        <v>2.25</v>
      </c>
      <c r="AG78" s="1107">
        <f t="shared" si="96"/>
        <v>2.25</v>
      </c>
      <c r="AH78" s="1107">
        <f t="shared" si="97"/>
        <v>65</v>
      </c>
      <c r="AI78" s="1107">
        <f t="shared" si="98"/>
        <v>65</v>
      </c>
      <c r="AJ78" s="1107">
        <f t="shared" si="99"/>
        <v>0</v>
      </c>
      <c r="AK78" s="1107">
        <f t="shared" si="100"/>
        <v>0</v>
      </c>
      <c r="AL78" s="1108">
        <f t="shared" si="101"/>
        <v>67.25</v>
      </c>
      <c r="AM78" s="1108">
        <f t="shared" si="102"/>
        <v>67.25</v>
      </c>
      <c r="AN78" s="990">
        <v>0</v>
      </c>
      <c r="AO78" s="1147">
        <f>'CONCEPTOS Y PARAMETROS'!$C$18*AN78</f>
        <v>0</v>
      </c>
      <c r="AP78" s="990">
        <v>0</v>
      </c>
      <c r="AQ78" s="1147">
        <f>'CONCEPTOS Y PARAMETROS'!$C$21*AP78</f>
        <v>0</v>
      </c>
      <c r="AR78" s="1318">
        <v>0</v>
      </c>
      <c r="AS78" s="1318">
        <v>0</v>
      </c>
      <c r="AT78" s="1318">
        <f t="shared" si="103"/>
        <v>0</v>
      </c>
      <c r="AU78" s="1108">
        <f t="shared" si="104"/>
        <v>284.5</v>
      </c>
      <c r="AV78" s="1133">
        <v>0</v>
      </c>
      <c r="AW78" s="1108">
        <f t="shared" si="181"/>
        <v>0</v>
      </c>
      <c r="AX78" s="1107">
        <f>IF(T78&lt;&gt;"0",(ROUND(IF(A78="EMPLEADO",eval_formula('CONCEPTOS Y PARAMETROS'!$C$8,NOMINA!V78,NOMINA!$AU78,NOMINA!I78+NOMINA!J78),eval_formula('CONCEPTOS Y PARAMETROS'!$D$8,NOMINA!V78,NOMINA!$AU78,NOMINA!I78+NOMINA!J78)),2))*IF(H78&lt;&gt;"",IF(MONTH(H78)=$BR$8,IF(YEAR(H78)&lt;$BT$7,1,0),0)))</f>
        <v>0</v>
      </c>
      <c r="AY78" s="1108">
        <v>180</v>
      </c>
      <c r="AZ78" s="1107">
        <f>IFERROR(VLOOKUP(AY78,'CONCEPTOS Y PARAMETROS'!Y:Z,2,0),0)</f>
        <v>150</v>
      </c>
      <c r="BA78" s="1107">
        <f t="shared" si="106"/>
        <v>2133.75</v>
      </c>
      <c r="BB78" s="1107">
        <f t="shared" si="134"/>
        <v>0</v>
      </c>
      <c r="BC78" s="990">
        <v>0</v>
      </c>
      <c r="BD78" s="1107" t="str">
        <f t="shared" si="107"/>
        <v>0</v>
      </c>
      <c r="BE78" s="990">
        <v>0</v>
      </c>
      <c r="BF78" s="1107">
        <f t="shared" si="182"/>
        <v>0</v>
      </c>
      <c r="BG78" s="1108">
        <v>320</v>
      </c>
      <c r="BH78" s="1108">
        <v>0</v>
      </c>
      <c r="BI78" s="1132">
        <v>0</v>
      </c>
      <c r="BJ78" s="1108">
        <v>12.5</v>
      </c>
      <c r="BK78" s="1108">
        <v>0</v>
      </c>
      <c r="BL78" s="1107">
        <f t="shared" si="157"/>
        <v>13.13</v>
      </c>
      <c r="BM78" s="1107">
        <f t="shared" si="158"/>
        <v>1.64</v>
      </c>
      <c r="BN78" s="1107">
        <f t="shared" si="109"/>
        <v>2.85</v>
      </c>
      <c r="BO78" s="1107">
        <v>0</v>
      </c>
      <c r="BP78" s="1107">
        <v>0</v>
      </c>
      <c r="BQ78" s="1320">
        <f t="shared" si="110"/>
        <v>17.62</v>
      </c>
      <c r="BR78" s="1107">
        <f t="shared" si="159"/>
        <v>29.54</v>
      </c>
      <c r="BS78" s="1107">
        <f t="shared" si="160"/>
        <v>6.57</v>
      </c>
      <c r="BT78" s="1107">
        <f t="shared" si="111"/>
        <v>5.7</v>
      </c>
      <c r="BU78" s="1107">
        <v>0</v>
      </c>
      <c r="BV78" s="1108">
        <f t="shared" si="112"/>
        <v>41.81</v>
      </c>
      <c r="BW78" s="1112">
        <f t="shared" si="113"/>
        <v>59.430000000000007</v>
      </c>
      <c r="BX78" s="1112">
        <f t="shared" si="178"/>
        <v>533.44000000000005</v>
      </c>
      <c r="BY78" s="1108">
        <v>0</v>
      </c>
      <c r="BZ78" s="1108">
        <f t="shared" si="115"/>
        <v>533.44000000000005</v>
      </c>
      <c r="CA78" s="1321">
        <f>'CONCEPTOS Y PARAMETROS'!$A$102</f>
        <v>6255</v>
      </c>
      <c r="CB78" s="1112">
        <f t="shared" si="116"/>
        <v>124.63</v>
      </c>
      <c r="CC78" s="1113">
        <f t="shared" si="117"/>
        <v>474.75</v>
      </c>
      <c r="CD78" s="512"/>
      <c r="CE78" s="512"/>
      <c r="CF78" s="470">
        <f t="shared" si="118"/>
        <v>782.25</v>
      </c>
      <c r="CG78" s="509">
        <f t="shared" si="119"/>
        <v>124.63</v>
      </c>
      <c r="CH78" s="1603">
        <f t="shared" si="120"/>
        <v>12.5</v>
      </c>
      <c r="CI78" s="1491">
        <f t="shared" si="121"/>
        <v>320</v>
      </c>
      <c r="CJ78" s="1502">
        <v>1</v>
      </c>
      <c r="CK78" s="509">
        <f t="shared" si="122"/>
        <v>462.25</v>
      </c>
      <c r="CL78" s="1689">
        <f t="shared" si="123"/>
        <v>462.25</v>
      </c>
      <c r="CM78" s="1689">
        <f t="shared" si="124"/>
        <v>0</v>
      </c>
      <c r="CN78" s="510">
        <f t="shared" si="125"/>
        <v>0</v>
      </c>
      <c r="CO78" s="511">
        <v>0</v>
      </c>
      <c r="CP78" s="510">
        <f t="shared" si="126"/>
        <v>0</v>
      </c>
      <c r="CQ78" s="510">
        <f t="shared" si="127"/>
        <v>0</v>
      </c>
      <c r="CR78" s="510">
        <f t="shared" si="128"/>
        <v>924.5</v>
      </c>
      <c r="CS78" s="510">
        <f t="shared" si="129"/>
        <v>59.430000000000007</v>
      </c>
      <c r="CT78" s="510">
        <f t="shared" si="130"/>
        <v>6255</v>
      </c>
      <c r="CU78" s="512"/>
      <c r="CV78" s="512"/>
      <c r="CW78" s="512"/>
      <c r="CX78" s="512"/>
      <c r="CY78" s="1149" t="s">
        <v>6828</v>
      </c>
      <c r="CZ78" s="1149" t="s">
        <v>6996</v>
      </c>
      <c r="DA78" s="1152"/>
      <c r="DB78" s="1642" t="s">
        <v>6377</v>
      </c>
      <c r="DC78" s="1642"/>
      <c r="DD78" s="1642" t="s">
        <v>6150</v>
      </c>
      <c r="DE78" s="1642" t="s">
        <v>6257</v>
      </c>
      <c r="DF78" s="1642" t="s">
        <v>6543</v>
      </c>
      <c r="DG78" s="1152"/>
      <c r="DH78" s="512"/>
      <c r="DI78" s="512"/>
      <c r="DJ78" s="512"/>
      <c r="DK78" s="512"/>
      <c r="DL78" s="512"/>
      <c r="DN78" s="476" t="str">
        <f>VLOOKUP(X78,Hoja1!$A$4:$B$10,2,0)</f>
        <v>BACHILLER</v>
      </c>
      <c r="DO78" s="476" t="str">
        <f>VLOOKUP(S78,Hoja1!$D$4:$F$77,3,0)</f>
        <v>BII - II</v>
      </c>
      <c r="DP78" s="1594" t="str">
        <f t="shared" si="131"/>
        <v>0</v>
      </c>
      <c r="DQ78" s="1484">
        <f>IF(T78&lt;&gt;"0",(ROUND(IF(A78="EMPLEADO",eval_formula('CONCEPTOS Y PARAMETROS'!$C$8,NOMINA!V78,AU78+BF78,NOMINA!I78+NOMINA!J78),eval_formula('CONCEPTOS Y PARAMETROS'!$D$8,NOMINA!V78,AU78+BF78,NOMINA!I78+NOMINA!J78)),2))*IF(H78&lt;&gt;"",IF(MONTH(H78)=$BR$8,IF(YEAR(H78)&lt;$BT$7,1,0),0)))</f>
        <v>0</v>
      </c>
      <c r="DR78" s="1799" t="str">
        <f t="shared" si="132"/>
        <v>M</v>
      </c>
      <c r="DS78" s="1799"/>
    </row>
    <row r="79" spans="1:123" s="476" customFormat="1" ht="21.95" customHeight="1" x14ac:dyDescent="0.25">
      <c r="A79" s="508" t="s">
        <v>2846</v>
      </c>
      <c r="B79" s="1314">
        <f t="shared" ca="1" si="133"/>
        <v>36</v>
      </c>
      <c r="C79" s="1148">
        <v>10398694</v>
      </c>
      <c r="D79" s="1149" t="s">
        <v>4721</v>
      </c>
      <c r="E79" s="1135" t="s">
        <v>4622</v>
      </c>
      <c r="F79" s="1150">
        <v>25913</v>
      </c>
      <c r="G79" s="1135" t="s">
        <v>4621</v>
      </c>
      <c r="H79" s="1150">
        <v>44743</v>
      </c>
      <c r="I79" s="1140">
        <f t="shared" si="90"/>
        <v>3</v>
      </c>
      <c r="J79" s="1132">
        <f>19+4</f>
        <v>23</v>
      </c>
      <c r="K79" s="1140">
        <f t="shared" si="91"/>
        <v>26</v>
      </c>
      <c r="L79" s="1145" t="s">
        <v>5546</v>
      </c>
      <c r="M79" s="1132"/>
      <c r="N79" s="1132"/>
      <c r="O79" s="1002" t="s">
        <v>5218</v>
      </c>
      <c r="P79" s="1132" t="s">
        <v>5299</v>
      </c>
      <c r="Q79" s="1315" t="str">
        <f>IFERROR(VLOOKUP(O79,CARGOS!A:E,2,0),"")</f>
        <v>79511</v>
      </c>
      <c r="R79" s="1327" t="s">
        <v>5218</v>
      </c>
      <c r="S79" s="1146" t="s">
        <v>5471</v>
      </c>
      <c r="T79" s="1107">
        <f>IFERROR(VLOOKUP(S79,'TAB EMP'!A:B,2,0),0)</f>
        <v>228</v>
      </c>
      <c r="U79" s="1108">
        <v>0</v>
      </c>
      <c r="V79" s="1107">
        <f t="shared" si="92"/>
        <v>228</v>
      </c>
      <c r="W79" s="1108">
        <f t="shared" si="93"/>
        <v>114</v>
      </c>
      <c r="X79" s="1135" t="s">
        <v>2844</v>
      </c>
      <c r="Y79" s="1135"/>
      <c r="Z79" s="1135">
        <v>0</v>
      </c>
      <c r="AA79" s="1107">
        <f>ROUND(IF(H79&lt;&gt;"",VLOOKUP(SUM(I79+J79),'CONCEPTOS Y PARAMETROS'!F:G,2,0)*V79,0),2)</f>
        <v>68.400000000000006</v>
      </c>
      <c r="AB79" s="1107">
        <f>IF(S79&lt;&gt;"",IF(M79="",'CONCEPTOS Y PARAMETROS'!$C$4,0),0)</f>
        <v>130</v>
      </c>
      <c r="AC79" s="1107">
        <f>IF(S79&lt;&gt;"",IF(M79="",'CONCEPTOS Y PARAMETROS'!$C$7*Z79,0),0)</f>
        <v>0</v>
      </c>
      <c r="AD79" s="1107">
        <f>IFERROR(ROUND(VLOOKUP($X79,'CONCEPTOS Y PARAMETROS'!H:I,2,0)*($V79+AA79+AB79+AC79),2),0)</f>
        <v>85.28</v>
      </c>
      <c r="AE79" s="1107">
        <f t="shared" si="94"/>
        <v>283.68</v>
      </c>
      <c r="AF79" s="1107">
        <f t="shared" si="95"/>
        <v>34.200000000000003</v>
      </c>
      <c r="AG79" s="1107">
        <f t="shared" si="96"/>
        <v>34.200000000000003</v>
      </c>
      <c r="AH79" s="1107">
        <f t="shared" si="97"/>
        <v>65</v>
      </c>
      <c r="AI79" s="1107">
        <f t="shared" si="98"/>
        <v>65</v>
      </c>
      <c r="AJ79" s="1107">
        <f t="shared" si="99"/>
        <v>42.64</v>
      </c>
      <c r="AK79" s="1107">
        <f t="shared" si="100"/>
        <v>42.64</v>
      </c>
      <c r="AL79" s="1108">
        <f t="shared" si="101"/>
        <v>141.84</v>
      </c>
      <c r="AM79" s="1108">
        <f t="shared" si="102"/>
        <v>141.84</v>
      </c>
      <c r="AN79" s="990">
        <v>0</v>
      </c>
      <c r="AO79" s="1147">
        <f>'CONCEPTOS Y PARAMETROS'!$C$18*AN79</f>
        <v>0</v>
      </c>
      <c r="AP79" s="990">
        <v>0</v>
      </c>
      <c r="AQ79" s="1147">
        <f>'CONCEPTOS Y PARAMETROS'!$C$21*AP79</f>
        <v>0</v>
      </c>
      <c r="AR79" s="1318">
        <v>0</v>
      </c>
      <c r="AS79" s="1318">
        <v>0</v>
      </c>
      <c r="AT79" s="1318">
        <f t="shared" ref="AT79:AT110" si="208">+AO79+AQ79+AR79+AS79</f>
        <v>0</v>
      </c>
      <c r="AU79" s="1108">
        <f t="shared" si="104"/>
        <v>665.18000000000006</v>
      </c>
      <c r="AV79" s="1133" t="s">
        <v>5080</v>
      </c>
      <c r="AW79" s="1108">
        <f t="shared" si="181"/>
        <v>153.5</v>
      </c>
      <c r="AX79" s="1107">
        <f>IF(T79&lt;&gt;"0",(ROUND(IF(A79="EMPLEADO",eval_formula('CONCEPTOS Y PARAMETROS'!$C$8,NOMINA!V79,NOMINA!$AU79,NOMINA!I79+NOMINA!J79),eval_formula('CONCEPTOS Y PARAMETROS'!$D$8,NOMINA!V79,NOMINA!$AU79,NOMINA!I79+NOMINA!J79)),2))*IF(H79&lt;&gt;"",IF(MONTH(H79)=$BR$8,IF(YEAR(H79)&lt;$BT$7,1,0),0)))</f>
        <v>0</v>
      </c>
      <c r="AY79" s="1108">
        <v>180</v>
      </c>
      <c r="AZ79" s="1107">
        <f>IFERROR(VLOOKUP(AY79,'CONCEPTOS Y PARAMETROS'!Y:Z,2,0),0)</f>
        <v>150</v>
      </c>
      <c r="BA79" s="1107">
        <f t="shared" si="106"/>
        <v>4988.8500000000004</v>
      </c>
      <c r="BB79" s="1107">
        <f t="shared" si="134"/>
        <v>0</v>
      </c>
      <c r="BC79" s="990">
        <v>0</v>
      </c>
      <c r="BD79" s="1107" t="str">
        <f t="shared" si="107"/>
        <v>0</v>
      </c>
      <c r="BE79" s="990">
        <v>3</v>
      </c>
      <c r="BF79" s="1107">
        <f t="shared" si="182"/>
        <v>99.78</v>
      </c>
      <c r="BG79" s="1108">
        <v>320</v>
      </c>
      <c r="BH79" s="1108">
        <v>0</v>
      </c>
      <c r="BI79" s="1132">
        <v>0</v>
      </c>
      <c r="BJ79" s="1108">
        <v>12.5</v>
      </c>
      <c r="BK79" s="1108">
        <v>0</v>
      </c>
      <c r="BL79" s="1107">
        <f t="shared" si="157"/>
        <v>30.7</v>
      </c>
      <c r="BM79" s="1107">
        <f t="shared" si="158"/>
        <v>3.84</v>
      </c>
      <c r="BN79" s="1107">
        <f t="shared" si="109"/>
        <v>6.65</v>
      </c>
      <c r="BO79" s="1107">
        <v>0</v>
      </c>
      <c r="BP79" s="1107">
        <v>0</v>
      </c>
      <c r="BQ79" s="1320">
        <f t="shared" si="110"/>
        <v>41.19</v>
      </c>
      <c r="BR79" s="1107">
        <f t="shared" si="159"/>
        <v>69.08</v>
      </c>
      <c r="BS79" s="1107">
        <f t="shared" si="160"/>
        <v>15.35</v>
      </c>
      <c r="BT79" s="1107">
        <f t="shared" si="111"/>
        <v>13.3</v>
      </c>
      <c r="BU79" s="1107">
        <v>0</v>
      </c>
      <c r="BV79" s="1108">
        <f t="shared" si="112"/>
        <v>97.73</v>
      </c>
      <c r="BW79" s="1112">
        <f t="shared" si="113"/>
        <v>138.92000000000002</v>
      </c>
      <c r="BX79" s="1112">
        <f t="shared" si="178"/>
        <v>1247.21</v>
      </c>
      <c r="BY79" s="1108">
        <v>0</v>
      </c>
      <c r="BZ79" s="1108">
        <f t="shared" si="115"/>
        <v>1247.21</v>
      </c>
      <c r="CA79" s="1321">
        <f>'CONCEPTOS Y PARAMETROS'!$A$102</f>
        <v>6255</v>
      </c>
      <c r="CB79" s="1112">
        <f t="shared" si="116"/>
        <v>214.65</v>
      </c>
      <c r="CC79" s="1113">
        <f t="shared" si="117"/>
        <v>841.62</v>
      </c>
      <c r="CD79" s="512"/>
      <c r="CE79" s="512"/>
      <c r="CF79" s="470">
        <f t="shared" si="118"/>
        <v>895.84</v>
      </c>
      <c r="CG79" s="509">
        <f t="shared" si="119"/>
        <v>214.65</v>
      </c>
      <c r="CH79" s="1603">
        <f t="shared" si="120"/>
        <v>12.5</v>
      </c>
      <c r="CI79" s="1491">
        <f t="shared" si="121"/>
        <v>320</v>
      </c>
      <c r="CJ79" s="1502">
        <v>1</v>
      </c>
      <c r="CK79" s="509">
        <f t="shared" si="122"/>
        <v>575.84</v>
      </c>
      <c r="CL79" s="1689">
        <f t="shared" si="123"/>
        <v>575.84</v>
      </c>
      <c r="CM79" s="1689">
        <f t="shared" si="124"/>
        <v>0</v>
      </c>
      <c r="CN79" s="510">
        <f t="shared" si="125"/>
        <v>99.78</v>
      </c>
      <c r="CO79" s="511">
        <v>0</v>
      </c>
      <c r="CP79" s="510">
        <f t="shared" si="126"/>
        <v>153.5</v>
      </c>
      <c r="CQ79" s="510">
        <f t="shared" si="127"/>
        <v>0</v>
      </c>
      <c r="CR79" s="510">
        <f t="shared" si="128"/>
        <v>1404.96</v>
      </c>
      <c r="CS79" s="510">
        <f t="shared" si="129"/>
        <v>138.92000000000002</v>
      </c>
      <c r="CT79" s="510">
        <f t="shared" si="130"/>
        <v>6255</v>
      </c>
      <c r="CU79" s="512"/>
      <c r="CV79" s="512"/>
      <c r="CW79" s="512"/>
      <c r="CX79" s="512"/>
      <c r="CY79" s="1149" t="s">
        <v>7052</v>
      </c>
      <c r="CZ79" s="1149" t="s">
        <v>6813</v>
      </c>
      <c r="DA79" s="480"/>
      <c r="DB79" s="1642" t="s">
        <v>6308</v>
      </c>
      <c r="DC79" s="1642"/>
      <c r="DD79" s="1642" t="s">
        <v>6549</v>
      </c>
      <c r="DE79" s="1642" t="s">
        <v>6195</v>
      </c>
      <c r="DF79" s="1642" t="s">
        <v>6544</v>
      </c>
      <c r="DG79" s="1642"/>
      <c r="DH79" s="512"/>
      <c r="DI79" s="512"/>
      <c r="DJ79" s="512"/>
      <c r="DK79" s="512"/>
      <c r="DL79" s="512"/>
      <c r="DN79" s="476" t="str">
        <f>VLOOKUP(X79,Hoja1!$A$4:$B$10,2,0)</f>
        <v>TÉCNICO SUPERIOR UNIVERSITARIO</v>
      </c>
      <c r="DO79" s="476" t="str">
        <f>VLOOKUP(S79,Hoja1!$D$4:$F$77,3,0)</f>
        <v>TII - VII</v>
      </c>
      <c r="DP79" s="1594" t="str">
        <f t="shared" si="131"/>
        <v>SI</v>
      </c>
      <c r="DQ79" s="1484">
        <f>IF(T79&lt;&gt;"0",(ROUND(IF(A79="EMPLEADO",eval_formula('CONCEPTOS Y PARAMETROS'!$C$8,NOMINA!V79,AU79+BF79,NOMINA!I79+NOMINA!J79),eval_formula('CONCEPTOS Y PARAMETROS'!$D$8,NOMINA!V79,AU79+BF79,NOMINA!I79+NOMINA!J79)),2))*IF(H79&lt;&gt;"",IF(MONTH(H79)=$BR$8,IF(YEAR(H79)&lt;$BT$7,1,0),0)))</f>
        <v>0</v>
      </c>
      <c r="DR79" s="1799" t="str">
        <f t="shared" si="132"/>
        <v>M</v>
      </c>
      <c r="DS79" s="1799"/>
    </row>
    <row r="80" spans="1:123" s="471" customFormat="1" ht="21.95" customHeight="1" x14ac:dyDescent="0.25">
      <c r="A80" s="508" t="s">
        <v>2846</v>
      </c>
      <c r="B80" s="1314">
        <f t="shared" ca="1" si="133"/>
        <v>37</v>
      </c>
      <c r="C80" s="1148">
        <v>10399064</v>
      </c>
      <c r="D80" s="1149" t="s">
        <v>4722</v>
      </c>
      <c r="E80" s="1135" t="s">
        <v>4622</v>
      </c>
      <c r="F80" s="1150">
        <v>25081</v>
      </c>
      <c r="G80" s="1135" t="s">
        <v>4620</v>
      </c>
      <c r="H80" s="1150">
        <v>39328</v>
      </c>
      <c r="I80" s="1140">
        <f t="shared" si="90"/>
        <v>18</v>
      </c>
      <c r="J80" s="1132">
        <v>0</v>
      </c>
      <c r="K80" s="1140">
        <f t="shared" si="91"/>
        <v>18</v>
      </c>
      <c r="L80" s="1145" t="s">
        <v>5525</v>
      </c>
      <c r="M80" s="1132"/>
      <c r="N80" s="1132"/>
      <c r="O80" s="1002" t="s">
        <v>5217</v>
      </c>
      <c r="P80" s="1132" t="s">
        <v>5300</v>
      </c>
      <c r="Q80" s="1315" t="str">
        <f>IFERROR(VLOOKUP(O80,CARGOS!A:E,2,0),"")</f>
        <v>79512</v>
      </c>
      <c r="R80" s="1327" t="s">
        <v>5217</v>
      </c>
      <c r="S80" s="1146" t="s">
        <v>5471</v>
      </c>
      <c r="T80" s="1107">
        <f>IFERROR(VLOOKUP(S80,'TAB EMP'!A:B,2,0),0)</f>
        <v>228</v>
      </c>
      <c r="U80" s="1108">
        <v>0</v>
      </c>
      <c r="V80" s="1107">
        <f t="shared" si="92"/>
        <v>228</v>
      </c>
      <c r="W80" s="1108">
        <f t="shared" si="93"/>
        <v>114</v>
      </c>
      <c r="X80" s="1135" t="s">
        <v>2844</v>
      </c>
      <c r="Y80" s="1135"/>
      <c r="Z80" s="1135">
        <v>0</v>
      </c>
      <c r="AA80" s="1107">
        <f>ROUND(IF(H80&lt;&gt;"",VLOOKUP(SUM(I80+J80),'CONCEPTOS Y PARAMETROS'!F:G,2,0)*V80,0),2)</f>
        <v>51.98</v>
      </c>
      <c r="AB80" s="1107">
        <f>IF(S80&lt;&gt;"",IF(M80="",'CONCEPTOS Y PARAMETROS'!$C$4,0),0)</f>
        <v>130</v>
      </c>
      <c r="AC80" s="1107">
        <f>IF(S80&lt;&gt;"",IF(M80="",'CONCEPTOS Y PARAMETROS'!$C$7*Z80,0),0)</f>
        <v>0</v>
      </c>
      <c r="AD80" s="1107">
        <f>IFERROR(ROUND(VLOOKUP($X80,'CONCEPTOS Y PARAMETROS'!H:I,2,0)*($V80+AA80+AB80+AC80),2),0)</f>
        <v>82</v>
      </c>
      <c r="AE80" s="1107">
        <f t="shared" si="94"/>
        <v>263.98</v>
      </c>
      <c r="AF80" s="1107">
        <f t="shared" si="95"/>
        <v>25.99</v>
      </c>
      <c r="AG80" s="1107">
        <f t="shared" si="96"/>
        <v>25.99</v>
      </c>
      <c r="AH80" s="1107">
        <f t="shared" si="97"/>
        <v>65</v>
      </c>
      <c r="AI80" s="1107">
        <f t="shared" si="98"/>
        <v>65</v>
      </c>
      <c r="AJ80" s="1107">
        <f t="shared" si="99"/>
        <v>41</v>
      </c>
      <c r="AK80" s="1107">
        <f t="shared" si="100"/>
        <v>41</v>
      </c>
      <c r="AL80" s="1108">
        <f t="shared" si="101"/>
        <v>131.99</v>
      </c>
      <c r="AM80" s="1108">
        <f t="shared" si="102"/>
        <v>131.99</v>
      </c>
      <c r="AN80" s="990">
        <v>0</v>
      </c>
      <c r="AO80" s="1147">
        <f>'CONCEPTOS Y PARAMETROS'!$C$18*AN80</f>
        <v>0</v>
      </c>
      <c r="AP80" s="990">
        <v>0</v>
      </c>
      <c r="AQ80" s="1147">
        <f>'CONCEPTOS Y PARAMETROS'!$C$21*AP80</f>
        <v>0</v>
      </c>
      <c r="AR80" s="1318">
        <v>0</v>
      </c>
      <c r="AS80" s="1318">
        <v>0</v>
      </c>
      <c r="AT80" s="1318">
        <f t="shared" si="208"/>
        <v>0</v>
      </c>
      <c r="AU80" s="1108">
        <f t="shared" si="104"/>
        <v>639.57000000000005</v>
      </c>
      <c r="AV80" s="1133" t="s">
        <v>5080</v>
      </c>
      <c r="AW80" s="1108">
        <f t="shared" si="181"/>
        <v>147.59</v>
      </c>
      <c r="AX80" s="1107">
        <f>IF(T80&lt;&gt;"0",(ROUND(IF(A80="EMPLEADO",eval_formula('CONCEPTOS Y PARAMETROS'!$C$8,NOMINA!V80,NOMINA!$AU80,NOMINA!I80+NOMINA!J80),eval_formula('CONCEPTOS Y PARAMETROS'!$D$8,NOMINA!V80,NOMINA!$AU80,NOMINA!I80+NOMINA!J80)),2))*IF(H80&lt;&gt;"",IF(MONTH(H80)=$BR$8,IF(YEAR(H80)&lt;$BT$7,1,0),0)))</f>
        <v>5116.5600000000004</v>
      </c>
      <c r="AY80" s="1108">
        <v>180</v>
      </c>
      <c r="AZ80" s="1107">
        <f>IFERROR(VLOOKUP(AY80,'CONCEPTOS Y PARAMETROS'!Y:Z,2,0),0)</f>
        <v>150</v>
      </c>
      <c r="BA80" s="1107">
        <f t="shared" si="106"/>
        <v>4796.78</v>
      </c>
      <c r="BB80" s="1107">
        <f t="shared" si="134"/>
        <v>0</v>
      </c>
      <c r="BC80" s="990">
        <v>0</v>
      </c>
      <c r="BD80" s="1107" t="str">
        <f t="shared" si="107"/>
        <v>0</v>
      </c>
      <c r="BE80" s="990">
        <v>0</v>
      </c>
      <c r="BF80" s="1107">
        <f t="shared" si="182"/>
        <v>0</v>
      </c>
      <c r="BG80" s="1108">
        <v>320</v>
      </c>
      <c r="BH80" s="1108">
        <v>0</v>
      </c>
      <c r="BI80" s="1132">
        <v>0</v>
      </c>
      <c r="BJ80" s="1108">
        <v>12.5</v>
      </c>
      <c r="BK80" s="1108">
        <v>0</v>
      </c>
      <c r="BL80" s="1107">
        <f t="shared" si="157"/>
        <v>29.52</v>
      </c>
      <c r="BM80" s="1107">
        <f t="shared" si="158"/>
        <v>3.69</v>
      </c>
      <c r="BN80" s="1107">
        <f t="shared" si="109"/>
        <v>6.4</v>
      </c>
      <c r="BO80" s="1107">
        <v>0</v>
      </c>
      <c r="BP80" s="1107">
        <v>0</v>
      </c>
      <c r="BQ80" s="1320">
        <f t="shared" si="110"/>
        <v>39.61</v>
      </c>
      <c r="BR80" s="1107">
        <f t="shared" si="159"/>
        <v>66.42</v>
      </c>
      <c r="BS80" s="1107">
        <f t="shared" si="160"/>
        <v>14.76</v>
      </c>
      <c r="BT80" s="1107">
        <f t="shared" si="111"/>
        <v>12.8</v>
      </c>
      <c r="BU80" s="1107">
        <v>0</v>
      </c>
      <c r="BV80" s="1108">
        <f t="shared" si="112"/>
        <v>93.98</v>
      </c>
      <c r="BW80" s="1112">
        <f t="shared" si="113"/>
        <v>133.59</v>
      </c>
      <c r="BX80" s="1112">
        <f t="shared" si="178"/>
        <v>1199.2</v>
      </c>
      <c r="BY80" s="1108">
        <v>0</v>
      </c>
      <c r="BZ80" s="1108">
        <f t="shared" si="115"/>
        <v>1199.2</v>
      </c>
      <c r="CA80" s="1321">
        <f>'CONCEPTOS Y PARAMETROS'!$A$102</f>
        <v>6255</v>
      </c>
      <c r="CB80" s="1112">
        <f t="shared" si="116"/>
        <v>206.38</v>
      </c>
      <c r="CC80" s="1113">
        <f t="shared" si="117"/>
        <v>5842.64</v>
      </c>
      <c r="CD80" s="512"/>
      <c r="CE80" s="512"/>
      <c r="CF80" s="470">
        <f t="shared" si="118"/>
        <v>885.99</v>
      </c>
      <c r="CG80" s="495">
        <f t="shared" si="119"/>
        <v>206.38</v>
      </c>
      <c r="CH80" s="498">
        <f t="shared" si="120"/>
        <v>12.5</v>
      </c>
      <c r="CI80" s="1490">
        <f t="shared" si="121"/>
        <v>320</v>
      </c>
      <c r="CJ80" s="1500">
        <v>1</v>
      </c>
      <c r="CK80" s="495">
        <f t="shared" si="122"/>
        <v>565.99</v>
      </c>
      <c r="CL80" s="1689">
        <f t="shared" si="123"/>
        <v>565.99</v>
      </c>
      <c r="CM80" s="1689">
        <f t="shared" si="124"/>
        <v>0</v>
      </c>
      <c r="CN80" s="496">
        <f t="shared" si="125"/>
        <v>0</v>
      </c>
      <c r="CO80" s="497">
        <v>0</v>
      </c>
      <c r="CP80" s="496">
        <f t="shared" si="126"/>
        <v>147.59</v>
      </c>
      <c r="CQ80" s="496">
        <f t="shared" si="127"/>
        <v>5116.5600000000004</v>
      </c>
      <c r="CR80" s="496">
        <f t="shared" si="128"/>
        <v>6396.13</v>
      </c>
      <c r="CS80" s="496">
        <f t="shared" si="129"/>
        <v>133.59</v>
      </c>
      <c r="CT80" s="496">
        <f t="shared" si="130"/>
        <v>6255</v>
      </c>
      <c r="CU80" s="470"/>
      <c r="CV80" s="470"/>
      <c r="CW80" s="470"/>
      <c r="CX80" s="470"/>
      <c r="CY80" s="1149" t="s">
        <v>6873</v>
      </c>
      <c r="CZ80" s="1149" t="s">
        <v>6870</v>
      </c>
      <c r="DA80" s="480"/>
      <c r="DB80" s="1642" t="s">
        <v>6260</v>
      </c>
      <c r="DC80" s="1642"/>
      <c r="DD80" s="1642" t="s">
        <v>6133</v>
      </c>
      <c r="DE80" s="1642" t="s">
        <v>6133</v>
      </c>
      <c r="DF80" s="1642" t="s">
        <v>6261</v>
      </c>
      <c r="DG80" s="1152"/>
      <c r="DH80" s="512"/>
      <c r="DI80" s="470"/>
      <c r="DJ80" s="470"/>
      <c r="DK80" s="470"/>
      <c r="DL80" s="470"/>
      <c r="DN80" s="471" t="str">
        <f>VLOOKUP(X80,Hoja1!$A$4:$B$10,2,0)</f>
        <v>TÉCNICO SUPERIOR UNIVERSITARIO</v>
      </c>
      <c r="DO80" s="471" t="str">
        <f>VLOOKUP(S80,Hoja1!$D$4:$F$77,3,0)</f>
        <v>TII - VII</v>
      </c>
      <c r="DP80" s="1156" t="str">
        <f t="shared" si="131"/>
        <v>SI</v>
      </c>
      <c r="DQ80" s="1484">
        <f>IF(T80&lt;&gt;"0",(ROUND(IF(A80="EMPLEADO",eval_formula('CONCEPTOS Y PARAMETROS'!$C$8,NOMINA!V80,AU80+BF80,NOMINA!I80+NOMINA!J80),eval_formula('CONCEPTOS Y PARAMETROS'!$D$8,NOMINA!V80,AU80+BF80,NOMINA!I80+NOMINA!J80)),2))*IF(H80&lt;&gt;"",IF(MONTH(H80)=$BR$8,IF(YEAR(H80)&lt;$BT$7,1,0),0)))</f>
        <v>5116.5600000000004</v>
      </c>
      <c r="DR80" s="1801" t="str">
        <f t="shared" si="132"/>
        <v>F</v>
      </c>
      <c r="DS80" s="1801"/>
    </row>
    <row r="81" spans="1:123" s="471" customFormat="1" ht="21.95" customHeight="1" x14ac:dyDescent="0.25">
      <c r="A81" s="508" t="s">
        <v>2846</v>
      </c>
      <c r="B81" s="1314">
        <f t="shared" ca="1" si="133"/>
        <v>38</v>
      </c>
      <c r="C81" s="1148">
        <v>10400214</v>
      </c>
      <c r="D81" s="1149" t="s">
        <v>7567</v>
      </c>
      <c r="E81" s="1135" t="s">
        <v>4622</v>
      </c>
      <c r="F81" s="1150">
        <v>25947</v>
      </c>
      <c r="G81" s="1135" t="s">
        <v>4620</v>
      </c>
      <c r="H81" s="1150">
        <v>41153</v>
      </c>
      <c r="I81" s="1140">
        <f t="shared" si="90"/>
        <v>13</v>
      </c>
      <c r="J81" s="1132">
        <v>0</v>
      </c>
      <c r="K81" s="1140">
        <f t="shared" si="91"/>
        <v>13</v>
      </c>
      <c r="L81" s="1145" t="s">
        <v>5536</v>
      </c>
      <c r="M81" s="1132"/>
      <c r="N81" s="1132"/>
      <c r="O81" s="1002" t="s">
        <v>5217</v>
      </c>
      <c r="P81" s="1132" t="s">
        <v>5301</v>
      </c>
      <c r="Q81" s="1315" t="str">
        <f>IFERROR(VLOOKUP(O81,CARGOS!A:E,2,0),"")</f>
        <v>79512</v>
      </c>
      <c r="R81" s="1327" t="s">
        <v>5217</v>
      </c>
      <c r="S81" s="1146" t="s">
        <v>5459</v>
      </c>
      <c r="T81" s="1107">
        <f>IFERROR(VLOOKUP(S81,'TAB EMP'!A:B,2,0),0)</f>
        <v>225</v>
      </c>
      <c r="U81" s="1108">
        <v>0</v>
      </c>
      <c r="V81" s="1107">
        <f t="shared" si="92"/>
        <v>225</v>
      </c>
      <c r="W81" s="1108">
        <f t="shared" si="93"/>
        <v>112.5</v>
      </c>
      <c r="X81" s="1135" t="s">
        <v>2844</v>
      </c>
      <c r="Y81" s="1135"/>
      <c r="Z81" s="1135">
        <v>0</v>
      </c>
      <c r="AA81" s="1107">
        <f>ROUND(IF(H81&lt;&gt;"",VLOOKUP(SUM(I81+J81),'CONCEPTOS Y PARAMETROS'!F:G,2,0)*V81,0),2)</f>
        <v>34.200000000000003</v>
      </c>
      <c r="AB81" s="1107">
        <f>IF(S81&lt;&gt;"",IF(M81="",'CONCEPTOS Y PARAMETROS'!$C$4,0),0)</f>
        <v>130</v>
      </c>
      <c r="AC81" s="1107">
        <f>IF(S81&lt;&gt;"",IF(M81="",'CONCEPTOS Y PARAMETROS'!$C$7*Z81,0),0)</f>
        <v>0</v>
      </c>
      <c r="AD81" s="1107">
        <f>IFERROR(ROUND(VLOOKUP($X81,'CONCEPTOS Y PARAMETROS'!H:I,2,0)*($V81+AA81+AB81+AC81),2),0)</f>
        <v>77.84</v>
      </c>
      <c r="AE81" s="1107">
        <f t="shared" si="94"/>
        <v>242.04</v>
      </c>
      <c r="AF81" s="1107">
        <f t="shared" si="95"/>
        <v>17.100000000000001</v>
      </c>
      <c r="AG81" s="1107">
        <f t="shared" si="96"/>
        <v>17.100000000000001</v>
      </c>
      <c r="AH81" s="1107">
        <f t="shared" si="97"/>
        <v>65</v>
      </c>
      <c r="AI81" s="1107">
        <f t="shared" si="98"/>
        <v>65</v>
      </c>
      <c r="AJ81" s="1107">
        <f t="shared" si="99"/>
        <v>38.92</v>
      </c>
      <c r="AK81" s="1107">
        <f t="shared" si="100"/>
        <v>38.92</v>
      </c>
      <c r="AL81" s="1108">
        <f t="shared" si="101"/>
        <v>121.02</v>
      </c>
      <c r="AM81" s="1108">
        <f t="shared" si="102"/>
        <v>121.02</v>
      </c>
      <c r="AN81" s="990">
        <v>0</v>
      </c>
      <c r="AO81" s="1147">
        <f>'CONCEPTOS Y PARAMETROS'!$C$18*AN81</f>
        <v>0</v>
      </c>
      <c r="AP81" s="990">
        <v>0</v>
      </c>
      <c r="AQ81" s="1147">
        <f>'CONCEPTOS Y PARAMETROS'!$C$21*AP81</f>
        <v>0</v>
      </c>
      <c r="AR81" s="1318">
        <v>0</v>
      </c>
      <c r="AS81" s="1318">
        <v>0</v>
      </c>
      <c r="AT81" s="1318">
        <f t="shared" si="208"/>
        <v>0</v>
      </c>
      <c r="AU81" s="1108">
        <f t="shared" si="104"/>
        <v>607.15</v>
      </c>
      <c r="AV81" s="1133" t="s">
        <v>5080</v>
      </c>
      <c r="AW81" s="1108">
        <f t="shared" si="181"/>
        <v>140.11000000000001</v>
      </c>
      <c r="AX81" s="1107">
        <f>IF(T81&lt;&gt;"0",(ROUND(IF(A81="EMPLEADO",eval_formula('CONCEPTOS Y PARAMETROS'!$C$8,NOMINA!V81,NOMINA!$AU81,NOMINA!I81+NOMINA!J81),eval_formula('CONCEPTOS Y PARAMETROS'!$D$8,NOMINA!V81,NOMINA!$AU81,NOMINA!I81+NOMINA!J81)),2))*IF(H81&lt;&gt;"",IF(MONTH(H81)=$BR$8,IF(YEAR(H81)&lt;$BT$7,1,0),0)))</f>
        <v>4857.2</v>
      </c>
      <c r="AY81" s="1108">
        <v>180</v>
      </c>
      <c r="AZ81" s="1107">
        <f>IFERROR(VLOOKUP(AY81,'CONCEPTOS Y PARAMETROS'!Y:Z,2,0),0)</f>
        <v>150</v>
      </c>
      <c r="BA81" s="1107">
        <f t="shared" si="106"/>
        <v>4553.63</v>
      </c>
      <c r="BB81" s="1107">
        <f t="shared" si="134"/>
        <v>0</v>
      </c>
      <c r="BC81" s="990">
        <v>0</v>
      </c>
      <c r="BD81" s="1107" t="str">
        <f t="shared" si="107"/>
        <v>0</v>
      </c>
      <c r="BE81" s="990">
        <v>0</v>
      </c>
      <c r="BF81" s="1107">
        <f t="shared" si="182"/>
        <v>0</v>
      </c>
      <c r="BG81" s="1108">
        <v>320</v>
      </c>
      <c r="BH81" s="1108">
        <v>0</v>
      </c>
      <c r="BI81" s="1132">
        <v>0</v>
      </c>
      <c r="BJ81" s="1108">
        <v>12.5</v>
      </c>
      <c r="BK81" s="1108">
        <v>0</v>
      </c>
      <c r="BL81" s="1107">
        <f t="shared" si="157"/>
        <v>28.02</v>
      </c>
      <c r="BM81" s="1107">
        <f t="shared" si="158"/>
        <v>3.5</v>
      </c>
      <c r="BN81" s="1107">
        <f t="shared" si="109"/>
        <v>6.07</v>
      </c>
      <c r="BO81" s="1107">
        <v>0</v>
      </c>
      <c r="BP81" s="1107">
        <v>0</v>
      </c>
      <c r="BQ81" s="1320">
        <f t="shared" si="110"/>
        <v>37.590000000000003</v>
      </c>
      <c r="BR81" s="1107">
        <f t="shared" si="159"/>
        <v>63.05</v>
      </c>
      <c r="BS81" s="1107">
        <f t="shared" si="160"/>
        <v>14.01</v>
      </c>
      <c r="BT81" s="1107">
        <f t="shared" si="111"/>
        <v>12.14</v>
      </c>
      <c r="BU81" s="1107">
        <v>0</v>
      </c>
      <c r="BV81" s="1108">
        <f t="shared" si="112"/>
        <v>89.2</v>
      </c>
      <c r="BW81" s="1112">
        <f t="shared" si="113"/>
        <v>126.79</v>
      </c>
      <c r="BX81" s="1112">
        <f t="shared" si="178"/>
        <v>1138.4100000000001</v>
      </c>
      <c r="BY81" s="1108">
        <v>0</v>
      </c>
      <c r="BZ81" s="1108">
        <f t="shared" si="115"/>
        <v>1138.4100000000001</v>
      </c>
      <c r="CA81" s="1321">
        <f>'CONCEPTOS Y PARAMETROS'!$A$102</f>
        <v>6255</v>
      </c>
      <c r="CB81" s="1112">
        <f t="shared" si="116"/>
        <v>195.92999999999998</v>
      </c>
      <c r="CC81" s="1113">
        <f t="shared" si="117"/>
        <v>5563.33</v>
      </c>
      <c r="CD81" s="512"/>
      <c r="CE81" s="512"/>
      <c r="CF81" s="470">
        <f t="shared" si="118"/>
        <v>873.52</v>
      </c>
      <c r="CG81" s="495">
        <f t="shared" si="119"/>
        <v>195.92999999999998</v>
      </c>
      <c r="CH81" s="498">
        <f t="shared" si="120"/>
        <v>12.5</v>
      </c>
      <c r="CI81" s="1490">
        <f t="shared" si="121"/>
        <v>320</v>
      </c>
      <c r="CJ81" s="1500">
        <v>1</v>
      </c>
      <c r="CK81" s="495">
        <f t="shared" si="122"/>
        <v>553.52</v>
      </c>
      <c r="CL81" s="1689">
        <f t="shared" si="123"/>
        <v>553.52</v>
      </c>
      <c r="CM81" s="1689">
        <f t="shared" si="124"/>
        <v>0</v>
      </c>
      <c r="CN81" s="496">
        <f t="shared" si="125"/>
        <v>0</v>
      </c>
      <c r="CO81" s="497">
        <v>0</v>
      </c>
      <c r="CP81" s="496">
        <f t="shared" si="126"/>
        <v>140.11000000000001</v>
      </c>
      <c r="CQ81" s="496">
        <f t="shared" si="127"/>
        <v>4857.2</v>
      </c>
      <c r="CR81" s="496">
        <f t="shared" si="128"/>
        <v>6104.35</v>
      </c>
      <c r="CS81" s="496">
        <f t="shared" si="129"/>
        <v>126.79</v>
      </c>
      <c r="CT81" s="496">
        <f t="shared" si="130"/>
        <v>6255</v>
      </c>
      <c r="CU81" s="470"/>
      <c r="CV81" s="470"/>
      <c r="CW81" s="470"/>
      <c r="CX81" s="470"/>
      <c r="CY81" s="1149" t="s">
        <v>6816</v>
      </c>
      <c r="CZ81" s="1149" t="s">
        <v>7096</v>
      </c>
      <c r="DA81" s="480"/>
      <c r="DB81" s="1152" t="s">
        <v>6242</v>
      </c>
      <c r="DC81" s="1152"/>
      <c r="DD81" s="1152" t="s">
        <v>6137</v>
      </c>
      <c r="DE81" s="1152" t="s">
        <v>6138</v>
      </c>
      <c r="DF81" s="1152" t="s">
        <v>6360</v>
      </c>
      <c r="DG81" s="1152"/>
      <c r="DH81" s="470"/>
      <c r="DI81" s="470"/>
      <c r="DJ81" s="470"/>
      <c r="DK81" s="470"/>
      <c r="DL81" s="470"/>
      <c r="DN81" s="471" t="str">
        <f>VLOOKUP(X81,Hoja1!$A$4:$B$10,2,0)</f>
        <v>TÉCNICO SUPERIOR UNIVERSITARIO</v>
      </c>
      <c r="DO81" s="471" t="str">
        <f>VLOOKUP(S81,Hoja1!$D$4:$F$77,3,0)</f>
        <v>TII - V</v>
      </c>
      <c r="DP81" s="1156" t="str">
        <f t="shared" si="131"/>
        <v>SI</v>
      </c>
      <c r="DQ81" s="1484">
        <f>IF(T81&lt;&gt;"0",(ROUND(IF(A81="EMPLEADO",eval_formula('CONCEPTOS Y PARAMETROS'!$C$8,NOMINA!V81,AU81+BF81,NOMINA!I81+NOMINA!J81),eval_formula('CONCEPTOS Y PARAMETROS'!$D$8,NOMINA!V81,AU81+BF81,NOMINA!I81+NOMINA!J81)),2))*IF(H81&lt;&gt;"",IF(MONTH(H81)=$BR$8,IF(YEAR(H81)&lt;$BT$7,1,0),0)))</f>
        <v>4857.2</v>
      </c>
      <c r="DR81" s="1801" t="str">
        <f t="shared" si="132"/>
        <v>F</v>
      </c>
      <c r="DS81" s="1801"/>
    </row>
    <row r="82" spans="1:123" s="476" customFormat="1" ht="21.95" customHeight="1" x14ac:dyDescent="0.25">
      <c r="A82" s="508" t="s">
        <v>2846</v>
      </c>
      <c r="B82" s="1314">
        <f t="shared" ca="1" si="133"/>
        <v>39</v>
      </c>
      <c r="C82" s="1148">
        <v>10400365</v>
      </c>
      <c r="D82" s="1149" t="s">
        <v>4724</v>
      </c>
      <c r="E82" s="1135" t="s">
        <v>4622</v>
      </c>
      <c r="F82" s="1150">
        <v>26172</v>
      </c>
      <c r="G82" s="1135" t="s">
        <v>4620</v>
      </c>
      <c r="H82" s="1150">
        <v>39328</v>
      </c>
      <c r="I82" s="1140">
        <f t="shared" si="90"/>
        <v>18</v>
      </c>
      <c r="J82" s="1132">
        <v>0</v>
      </c>
      <c r="K82" s="1140">
        <f t="shared" si="91"/>
        <v>18</v>
      </c>
      <c r="L82" s="1145" t="s">
        <v>5536</v>
      </c>
      <c r="M82" s="1132"/>
      <c r="N82" s="1132"/>
      <c r="O82" s="1002" t="s">
        <v>5229</v>
      </c>
      <c r="P82" s="1132" t="s">
        <v>5302</v>
      </c>
      <c r="Q82" s="1315" t="str">
        <f>IFERROR(VLOOKUP(O82,CARGOS!A:E,2,0),"")</f>
        <v>22414</v>
      </c>
      <c r="R82" s="1327" t="s">
        <v>5229</v>
      </c>
      <c r="S82" s="1146" t="s">
        <v>5471</v>
      </c>
      <c r="T82" s="1107">
        <f>IFERROR(VLOOKUP(S82,'TAB EMP'!A:B,2,0),0)</f>
        <v>228</v>
      </c>
      <c r="U82" s="1108">
        <v>0</v>
      </c>
      <c r="V82" s="1107">
        <f t="shared" si="92"/>
        <v>228</v>
      </c>
      <c r="W82" s="1108">
        <f t="shared" si="93"/>
        <v>114</v>
      </c>
      <c r="X82" s="1135" t="s">
        <v>2844</v>
      </c>
      <c r="Y82" s="1135"/>
      <c r="Z82" s="1135">
        <v>0</v>
      </c>
      <c r="AA82" s="1107">
        <f>ROUND(IF(H82&lt;&gt;"",VLOOKUP(SUM(I82+J82),'CONCEPTOS Y PARAMETROS'!F:G,2,0)*V82,0),2)</f>
        <v>51.98</v>
      </c>
      <c r="AB82" s="1107">
        <f>IF(S82&lt;&gt;"",IF(M82="",'CONCEPTOS Y PARAMETROS'!$C$4,0),0)</f>
        <v>130</v>
      </c>
      <c r="AC82" s="1107">
        <f>IF(S82&lt;&gt;"",IF(M82="",'CONCEPTOS Y PARAMETROS'!$C$7*Z82,0),0)</f>
        <v>0</v>
      </c>
      <c r="AD82" s="1107">
        <f>IFERROR(ROUND(VLOOKUP($X82,'CONCEPTOS Y PARAMETROS'!H:I,2,0)*($V82+AA82+AB82+AC82),2),0)</f>
        <v>82</v>
      </c>
      <c r="AE82" s="1107">
        <f t="shared" si="94"/>
        <v>263.98</v>
      </c>
      <c r="AF82" s="1107">
        <f t="shared" si="95"/>
        <v>25.99</v>
      </c>
      <c r="AG82" s="1107">
        <f t="shared" si="96"/>
        <v>25.99</v>
      </c>
      <c r="AH82" s="1107">
        <f t="shared" si="97"/>
        <v>65</v>
      </c>
      <c r="AI82" s="1107">
        <f t="shared" si="98"/>
        <v>65</v>
      </c>
      <c r="AJ82" s="1107">
        <f t="shared" si="99"/>
        <v>41</v>
      </c>
      <c r="AK82" s="1107">
        <f t="shared" si="100"/>
        <v>41</v>
      </c>
      <c r="AL82" s="1108">
        <f t="shared" si="101"/>
        <v>131.99</v>
      </c>
      <c r="AM82" s="1108">
        <f t="shared" si="102"/>
        <v>131.99</v>
      </c>
      <c r="AN82" s="990">
        <v>0</v>
      </c>
      <c r="AO82" s="1147">
        <f>'CONCEPTOS Y PARAMETROS'!$C$18*AN82</f>
        <v>0</v>
      </c>
      <c r="AP82" s="990">
        <v>0</v>
      </c>
      <c r="AQ82" s="1147">
        <f>'CONCEPTOS Y PARAMETROS'!$C$21*AP82</f>
        <v>0</v>
      </c>
      <c r="AR82" s="1318">
        <v>0</v>
      </c>
      <c r="AS82" s="1318">
        <v>0</v>
      </c>
      <c r="AT82" s="1318">
        <f t="shared" si="208"/>
        <v>0</v>
      </c>
      <c r="AU82" s="1108">
        <f t="shared" si="104"/>
        <v>491.98</v>
      </c>
      <c r="AV82" s="1133">
        <v>0</v>
      </c>
      <c r="AW82" s="1108">
        <f t="shared" si="181"/>
        <v>0</v>
      </c>
      <c r="AX82" s="1107">
        <f>IF(T82&lt;&gt;"0",(ROUND(IF(A82="EMPLEADO",eval_formula('CONCEPTOS Y PARAMETROS'!$C$8,NOMINA!V82,NOMINA!$AU82,NOMINA!I82+NOMINA!J82),eval_formula('CONCEPTOS Y PARAMETROS'!$D$8,NOMINA!V82,NOMINA!$AU82,NOMINA!I82+NOMINA!J82)),2))*IF(H82&lt;&gt;"",IF(MONTH(H82)=$BR$8,IF(YEAR(H82)&lt;$BT$7,1,0),0)))</f>
        <v>3935.84</v>
      </c>
      <c r="AY82" s="1108">
        <v>180</v>
      </c>
      <c r="AZ82" s="1107">
        <f>IFERROR(VLOOKUP(AY82,'CONCEPTOS Y PARAMETROS'!Y:Z,2,0),0)</f>
        <v>150</v>
      </c>
      <c r="BA82" s="1107">
        <f t="shared" si="106"/>
        <v>3689.85</v>
      </c>
      <c r="BB82" s="1107">
        <f t="shared" si="134"/>
        <v>0</v>
      </c>
      <c r="BC82" s="990">
        <v>0</v>
      </c>
      <c r="BD82" s="1107" t="str">
        <f t="shared" si="107"/>
        <v>0</v>
      </c>
      <c r="BE82" s="990">
        <v>0</v>
      </c>
      <c r="BF82" s="1107">
        <f t="shared" si="182"/>
        <v>0</v>
      </c>
      <c r="BG82" s="1108">
        <v>320</v>
      </c>
      <c r="BH82" s="1108">
        <v>0</v>
      </c>
      <c r="BI82" s="1132">
        <v>0</v>
      </c>
      <c r="BJ82" s="1108">
        <v>12.5</v>
      </c>
      <c r="BK82" s="1108">
        <v>0</v>
      </c>
      <c r="BL82" s="1107">
        <f t="shared" si="157"/>
        <v>22.71</v>
      </c>
      <c r="BM82" s="1107">
        <f t="shared" si="158"/>
        <v>2.84</v>
      </c>
      <c r="BN82" s="1107">
        <f t="shared" si="109"/>
        <v>4.92</v>
      </c>
      <c r="BO82" s="1107">
        <v>0</v>
      </c>
      <c r="BP82" s="1107">
        <v>0</v>
      </c>
      <c r="BQ82" s="1320">
        <f t="shared" si="110"/>
        <v>30.47</v>
      </c>
      <c r="BR82" s="1107">
        <f t="shared" si="159"/>
        <v>51.09</v>
      </c>
      <c r="BS82" s="1107">
        <f t="shared" si="160"/>
        <v>11.35</v>
      </c>
      <c r="BT82" s="1107">
        <f t="shared" si="111"/>
        <v>9.84</v>
      </c>
      <c r="BU82" s="1107">
        <v>0</v>
      </c>
      <c r="BV82" s="1108">
        <f t="shared" si="112"/>
        <v>72.28</v>
      </c>
      <c r="BW82" s="1112">
        <f t="shared" si="113"/>
        <v>102.75</v>
      </c>
      <c r="BX82" s="1112">
        <f t="shared" si="178"/>
        <v>922.46</v>
      </c>
      <c r="BY82" s="1108">
        <v>0</v>
      </c>
      <c r="BZ82" s="1108">
        <f t="shared" si="115"/>
        <v>922.46</v>
      </c>
      <c r="CA82" s="1321">
        <f>'CONCEPTOS Y PARAMETROS'!$A$102</f>
        <v>6255</v>
      </c>
      <c r="CB82" s="1112">
        <f t="shared" si="116"/>
        <v>215.52</v>
      </c>
      <c r="CC82" s="1113">
        <f t="shared" si="117"/>
        <v>4514.33</v>
      </c>
      <c r="CD82" s="512"/>
      <c r="CE82" s="512"/>
      <c r="CF82" s="470">
        <f t="shared" si="118"/>
        <v>885.99</v>
      </c>
      <c r="CG82" s="495">
        <f t="shared" si="119"/>
        <v>215.52</v>
      </c>
      <c r="CH82" s="498">
        <f t="shared" si="120"/>
        <v>12.5</v>
      </c>
      <c r="CI82" s="1490">
        <f t="shared" si="121"/>
        <v>320</v>
      </c>
      <c r="CJ82" s="1500">
        <v>1</v>
      </c>
      <c r="CK82" s="495">
        <f t="shared" si="122"/>
        <v>565.99</v>
      </c>
      <c r="CL82" s="1689">
        <f t="shared" si="123"/>
        <v>565.99</v>
      </c>
      <c r="CM82" s="1689">
        <f t="shared" si="124"/>
        <v>0</v>
      </c>
      <c r="CN82" s="496">
        <f t="shared" si="125"/>
        <v>0</v>
      </c>
      <c r="CO82" s="497">
        <v>0</v>
      </c>
      <c r="CP82" s="496">
        <f t="shared" si="126"/>
        <v>0</v>
      </c>
      <c r="CQ82" s="496">
        <f t="shared" si="127"/>
        <v>3935.84</v>
      </c>
      <c r="CR82" s="496">
        <f t="shared" si="128"/>
        <v>5067.82</v>
      </c>
      <c r="CS82" s="496">
        <f t="shared" si="129"/>
        <v>102.75</v>
      </c>
      <c r="CT82" s="496">
        <f t="shared" si="130"/>
        <v>6255</v>
      </c>
      <c r="CU82" s="470"/>
      <c r="CV82" s="470"/>
      <c r="CW82" s="470"/>
      <c r="CX82" s="470"/>
      <c r="CY82" s="1149" t="s">
        <v>6829</v>
      </c>
      <c r="CZ82" s="1149" t="s">
        <v>7097</v>
      </c>
      <c r="DA82" s="480"/>
      <c r="DB82" s="1642" t="s">
        <v>6382</v>
      </c>
      <c r="DC82" s="1642"/>
      <c r="DD82" s="1642" t="s">
        <v>6135</v>
      </c>
      <c r="DE82" s="1642" t="s">
        <v>6192</v>
      </c>
      <c r="DF82" s="1642" t="s">
        <v>6383</v>
      </c>
      <c r="DG82" s="1642"/>
      <c r="DH82" s="470"/>
      <c r="DI82" s="470"/>
      <c r="DJ82" s="470"/>
      <c r="DK82" s="470"/>
      <c r="DL82" s="470"/>
      <c r="DM82" s="471"/>
      <c r="DN82" s="471" t="str">
        <f>VLOOKUP(X82,Hoja1!$A$4:$B$10,2,0)</f>
        <v>TÉCNICO SUPERIOR UNIVERSITARIO</v>
      </c>
      <c r="DO82" s="471" t="str">
        <f>VLOOKUP(S82,Hoja1!$D$4:$F$77,3,0)</f>
        <v>TII - VII</v>
      </c>
      <c r="DP82" s="1156" t="str">
        <f t="shared" si="131"/>
        <v>0</v>
      </c>
      <c r="DQ82" s="1484">
        <f>IF(T82&lt;&gt;"0",(ROUND(IF(A82="EMPLEADO",eval_formula('CONCEPTOS Y PARAMETROS'!$C$8,NOMINA!V82,AU82+BF82,NOMINA!I82+NOMINA!J82),eval_formula('CONCEPTOS Y PARAMETROS'!$D$8,NOMINA!V82,AU82+BF82,NOMINA!I82+NOMINA!J82)),2))*IF(H82&lt;&gt;"",IF(MONTH(H82)=$BR$8,IF(YEAR(H82)&lt;$BT$7,1,0),0)))</f>
        <v>3935.84</v>
      </c>
      <c r="DR82" s="1801" t="str">
        <f t="shared" si="132"/>
        <v>F</v>
      </c>
      <c r="DS82" s="1801"/>
    </row>
    <row r="83" spans="1:123" s="471" customFormat="1" ht="21.95" customHeight="1" x14ac:dyDescent="0.25">
      <c r="A83" s="508" t="s">
        <v>2846</v>
      </c>
      <c r="B83" s="1314">
        <f t="shared" ca="1" si="133"/>
        <v>40</v>
      </c>
      <c r="C83" s="1148">
        <v>10400876</v>
      </c>
      <c r="D83" s="1149" t="s">
        <v>7568</v>
      </c>
      <c r="E83" s="1135" t="s">
        <v>4622</v>
      </c>
      <c r="F83" s="1150">
        <v>25785</v>
      </c>
      <c r="G83" s="1135" t="s">
        <v>4620</v>
      </c>
      <c r="H83" s="1150">
        <v>43556</v>
      </c>
      <c r="I83" s="1140">
        <f t="shared" si="90"/>
        <v>6</v>
      </c>
      <c r="J83" s="1132">
        <v>10</v>
      </c>
      <c r="K83" s="1140">
        <f t="shared" si="91"/>
        <v>16</v>
      </c>
      <c r="L83" s="1145" t="s">
        <v>5527</v>
      </c>
      <c r="M83" s="1132"/>
      <c r="N83" s="1132"/>
      <c r="O83" s="1002" t="s">
        <v>5230</v>
      </c>
      <c r="P83" s="1132" t="s">
        <v>5303</v>
      </c>
      <c r="Q83" s="1315" t="str">
        <f>IFERROR(VLOOKUP(O83,CARGOS!A:E,2,0),"")</f>
        <v>23451</v>
      </c>
      <c r="R83" s="1327" t="s">
        <v>5230</v>
      </c>
      <c r="S83" s="1146" t="s">
        <v>5461</v>
      </c>
      <c r="T83" s="1107">
        <f>IFERROR(VLOOKUP(S83,'TAB EMP'!A:B,2,0),0)</f>
        <v>226</v>
      </c>
      <c r="U83" s="1108">
        <v>0</v>
      </c>
      <c r="V83" s="1107">
        <f t="shared" si="92"/>
        <v>226</v>
      </c>
      <c r="W83" s="1108">
        <f t="shared" si="93"/>
        <v>113</v>
      </c>
      <c r="X83" s="1135" t="s">
        <v>2844</v>
      </c>
      <c r="Y83" s="1135"/>
      <c r="Z83" s="1135">
        <v>0</v>
      </c>
      <c r="AA83" s="1107">
        <f>ROUND(IF(H83&lt;&gt;"",VLOOKUP(SUM(I83+J83),'CONCEPTOS Y PARAMETROS'!F:G,2,0)*V83,0),2)</f>
        <v>44.3</v>
      </c>
      <c r="AB83" s="1107">
        <f>IF(S83&lt;&gt;"",IF(M83="",'CONCEPTOS Y PARAMETROS'!$C$4,0),0)</f>
        <v>130</v>
      </c>
      <c r="AC83" s="1107">
        <f>IF(S83&lt;&gt;"",IF(M83="",'CONCEPTOS Y PARAMETROS'!$C$7*Z83,0),0)</f>
        <v>0</v>
      </c>
      <c r="AD83" s="1107">
        <f>IFERROR(ROUND(VLOOKUP($X83,'CONCEPTOS Y PARAMETROS'!H:I,2,0)*($V83+AA83+AB83+AC83),2),0)</f>
        <v>80.06</v>
      </c>
      <c r="AE83" s="1107">
        <f t="shared" si="94"/>
        <v>254.36</v>
      </c>
      <c r="AF83" s="1107">
        <f t="shared" si="95"/>
        <v>22.15</v>
      </c>
      <c r="AG83" s="1107">
        <f t="shared" si="96"/>
        <v>22.15</v>
      </c>
      <c r="AH83" s="1107">
        <f t="shared" si="97"/>
        <v>65</v>
      </c>
      <c r="AI83" s="1107">
        <f t="shared" si="98"/>
        <v>65</v>
      </c>
      <c r="AJ83" s="1107">
        <f t="shared" si="99"/>
        <v>40.03</v>
      </c>
      <c r="AK83" s="1107">
        <f t="shared" si="100"/>
        <v>40.03</v>
      </c>
      <c r="AL83" s="1108">
        <f t="shared" si="101"/>
        <v>127.18</v>
      </c>
      <c r="AM83" s="1108">
        <f t="shared" si="102"/>
        <v>127.18</v>
      </c>
      <c r="AN83" s="990">
        <v>0</v>
      </c>
      <c r="AO83" s="1147">
        <f>'CONCEPTOS Y PARAMETROS'!$C$18*AN83</f>
        <v>0</v>
      </c>
      <c r="AP83" s="990">
        <v>0</v>
      </c>
      <c r="AQ83" s="1147">
        <f>'CONCEPTOS Y PARAMETROS'!$C$21*AP83</f>
        <v>0</v>
      </c>
      <c r="AR83" s="1318">
        <v>0</v>
      </c>
      <c r="AS83" s="1318">
        <v>0</v>
      </c>
      <c r="AT83" s="1318">
        <f t="shared" si="208"/>
        <v>0</v>
      </c>
      <c r="AU83" s="1108">
        <f t="shared" si="104"/>
        <v>480.36</v>
      </c>
      <c r="AV83" s="1133">
        <v>0</v>
      </c>
      <c r="AW83" s="1108">
        <f t="shared" si="181"/>
        <v>0</v>
      </c>
      <c r="AX83" s="1107">
        <f>IF(T83&lt;&gt;"0",(ROUND(IF(A83="EMPLEADO",eval_formula('CONCEPTOS Y PARAMETROS'!$C$8,NOMINA!V83,NOMINA!$AU83,NOMINA!I83+NOMINA!J83),eval_formula('CONCEPTOS Y PARAMETROS'!$D$8,NOMINA!V83,NOMINA!$AU83,NOMINA!I83+NOMINA!J83)),2))*IF(H83&lt;&gt;"",IF(MONTH(H83)=$BR$8,IF(YEAR(H83)&lt;$BT$7,1,0),0)))</f>
        <v>0</v>
      </c>
      <c r="AY83" s="1108">
        <v>180</v>
      </c>
      <c r="AZ83" s="1107">
        <f>IFERROR(VLOOKUP(AY83,'CONCEPTOS Y PARAMETROS'!Y:Z,2,0),0)</f>
        <v>150</v>
      </c>
      <c r="BA83" s="1107">
        <f t="shared" si="106"/>
        <v>3602.7</v>
      </c>
      <c r="BB83" s="1107">
        <f t="shared" si="134"/>
        <v>0</v>
      </c>
      <c r="BC83" s="990">
        <v>0</v>
      </c>
      <c r="BD83" s="1107" t="str">
        <f t="shared" si="107"/>
        <v>0</v>
      </c>
      <c r="BE83" s="990">
        <v>0</v>
      </c>
      <c r="BF83" s="1107">
        <f t="shared" si="182"/>
        <v>0</v>
      </c>
      <c r="BG83" s="1108">
        <v>320</v>
      </c>
      <c r="BH83" s="1108">
        <v>0</v>
      </c>
      <c r="BI83" s="1132">
        <v>0</v>
      </c>
      <c r="BJ83" s="1108">
        <v>12.5</v>
      </c>
      <c r="BK83" s="1108">
        <v>0</v>
      </c>
      <c r="BL83" s="1107">
        <f t="shared" si="157"/>
        <v>22.17</v>
      </c>
      <c r="BM83" s="1107">
        <f t="shared" si="158"/>
        <v>2.77</v>
      </c>
      <c r="BN83" s="1107">
        <f t="shared" si="109"/>
        <v>4.8</v>
      </c>
      <c r="BO83" s="1107">
        <v>0</v>
      </c>
      <c r="BP83" s="1107">
        <v>0</v>
      </c>
      <c r="BQ83" s="1320">
        <f t="shared" si="110"/>
        <v>29.74</v>
      </c>
      <c r="BR83" s="1107">
        <f t="shared" si="159"/>
        <v>49.88</v>
      </c>
      <c r="BS83" s="1107">
        <f t="shared" si="160"/>
        <v>11.09</v>
      </c>
      <c r="BT83" s="1107">
        <f t="shared" si="111"/>
        <v>9.6</v>
      </c>
      <c r="BU83" s="1107">
        <v>0</v>
      </c>
      <c r="BV83" s="1108">
        <f t="shared" si="112"/>
        <v>70.569999999999993</v>
      </c>
      <c r="BW83" s="1112">
        <f t="shared" si="113"/>
        <v>100.30999999999999</v>
      </c>
      <c r="BX83" s="1112">
        <f t="shared" si="178"/>
        <v>900.68</v>
      </c>
      <c r="BY83" s="1108">
        <v>0</v>
      </c>
      <c r="BZ83" s="1108">
        <f t="shared" si="115"/>
        <v>900.68</v>
      </c>
      <c r="CA83" s="1321">
        <f>'CONCEPTOS Y PARAMETROS'!$A$102</f>
        <v>6255</v>
      </c>
      <c r="CB83" s="1112">
        <f t="shared" si="116"/>
        <v>210.44</v>
      </c>
      <c r="CC83" s="1113">
        <f t="shared" si="117"/>
        <v>572.67999999999995</v>
      </c>
      <c r="CD83" s="512"/>
      <c r="CE83" s="512"/>
      <c r="CF83" s="470">
        <f t="shared" si="118"/>
        <v>880.18000000000006</v>
      </c>
      <c r="CG83" s="495">
        <f t="shared" si="119"/>
        <v>210.44</v>
      </c>
      <c r="CH83" s="498">
        <f t="shared" si="120"/>
        <v>12.5</v>
      </c>
      <c r="CI83" s="1490">
        <f t="shared" si="121"/>
        <v>320</v>
      </c>
      <c r="CJ83" s="1500">
        <v>1</v>
      </c>
      <c r="CK83" s="495">
        <f t="shared" si="122"/>
        <v>560.18000000000006</v>
      </c>
      <c r="CL83" s="1689">
        <f t="shared" si="123"/>
        <v>560.17999999999995</v>
      </c>
      <c r="CM83" s="1689">
        <f t="shared" si="124"/>
        <v>0</v>
      </c>
      <c r="CN83" s="496">
        <f t="shared" si="125"/>
        <v>0</v>
      </c>
      <c r="CO83" s="497">
        <v>0</v>
      </c>
      <c r="CP83" s="496">
        <f t="shared" si="126"/>
        <v>0</v>
      </c>
      <c r="CQ83" s="496">
        <f t="shared" si="127"/>
        <v>0</v>
      </c>
      <c r="CR83" s="496">
        <f t="shared" si="128"/>
        <v>1120.3600000000001</v>
      </c>
      <c r="CS83" s="496">
        <f t="shared" si="129"/>
        <v>100.30999999999999</v>
      </c>
      <c r="CT83" s="496">
        <f t="shared" si="130"/>
        <v>6255</v>
      </c>
      <c r="CU83" s="470"/>
      <c r="CV83" s="470"/>
      <c r="CW83" s="470"/>
      <c r="CX83" s="470"/>
      <c r="CY83" s="1149" t="s">
        <v>6950</v>
      </c>
      <c r="CZ83" s="1149" t="s">
        <v>6830</v>
      </c>
      <c r="DA83" s="480"/>
      <c r="DB83" s="1642" t="s">
        <v>6194</v>
      </c>
      <c r="DC83" s="1642"/>
      <c r="DD83" s="1642" t="s">
        <v>6550</v>
      </c>
      <c r="DE83" s="1642" t="s">
        <v>6196</v>
      </c>
      <c r="DF83" s="1642" t="s">
        <v>6333</v>
      </c>
      <c r="DG83" s="1152"/>
      <c r="DH83" s="470"/>
      <c r="DI83" s="470"/>
      <c r="DJ83" s="470"/>
      <c r="DK83" s="470"/>
      <c r="DL83" s="470"/>
      <c r="DN83" s="471" t="str">
        <f>VLOOKUP(X83,Hoja1!$A$4:$B$10,2,0)</f>
        <v>TÉCNICO SUPERIOR UNIVERSITARIO</v>
      </c>
      <c r="DO83" s="471" t="str">
        <f>VLOOKUP(S83,Hoja1!$D$4:$F$77,3,0)</f>
        <v>TII - VI</v>
      </c>
      <c r="DP83" s="1156" t="str">
        <f t="shared" si="131"/>
        <v>0</v>
      </c>
      <c r="DQ83" s="1484">
        <f>IF(T83&lt;&gt;"0",(ROUND(IF(A83="EMPLEADO",eval_formula('CONCEPTOS Y PARAMETROS'!$C$8,NOMINA!V83,AU83+BF83,NOMINA!I83+NOMINA!J83),eval_formula('CONCEPTOS Y PARAMETROS'!$D$8,NOMINA!V83,AU83+BF83,NOMINA!I83+NOMINA!J83)),2))*IF(H83&lt;&gt;"",IF(MONTH(H83)=$BR$8,IF(YEAR(H83)&lt;$BT$7,1,0),0)))</f>
        <v>0</v>
      </c>
      <c r="DR83" s="1801" t="str">
        <f t="shared" si="132"/>
        <v>F</v>
      </c>
      <c r="DS83" s="1801"/>
    </row>
    <row r="84" spans="1:123" s="911" customFormat="1" ht="21.95" customHeight="1" x14ac:dyDescent="0.25">
      <c r="A84" s="910" t="s">
        <v>2846</v>
      </c>
      <c r="B84" s="1328">
        <f t="shared" ca="1" si="133"/>
        <v>41</v>
      </c>
      <c r="C84" s="1329">
        <v>10404528</v>
      </c>
      <c r="D84" s="1330" t="s">
        <v>4669</v>
      </c>
      <c r="E84" s="1331" t="s">
        <v>4622</v>
      </c>
      <c r="F84" s="1332">
        <v>25332</v>
      </c>
      <c r="G84" s="1331" t="s">
        <v>4621</v>
      </c>
      <c r="H84" s="1332">
        <v>37622</v>
      </c>
      <c r="I84" s="1333">
        <f t="shared" si="90"/>
        <v>22</v>
      </c>
      <c r="J84" s="1334">
        <v>0</v>
      </c>
      <c r="K84" s="1333">
        <f t="shared" si="91"/>
        <v>22</v>
      </c>
      <c r="L84" s="1335" t="s">
        <v>5519</v>
      </c>
      <c r="M84" s="1334"/>
      <c r="N84" s="1334"/>
      <c r="O84" s="1336" t="s">
        <v>5237</v>
      </c>
      <c r="P84" s="1334" t="s">
        <v>5186</v>
      </c>
      <c r="Q84" s="1337" t="str">
        <f>IFERROR(VLOOKUP(O84,CARGOS!A:E,2,0),"")</f>
        <v>12124</v>
      </c>
      <c r="R84" s="1336" t="s">
        <v>5237</v>
      </c>
      <c r="S84" s="1338" t="s">
        <v>5458</v>
      </c>
      <c r="T84" s="1339">
        <v>0</v>
      </c>
      <c r="U84" s="1307">
        <v>0</v>
      </c>
      <c r="V84" s="1339">
        <f t="shared" ref="V84:V85" si="209">T84-U84</f>
        <v>0</v>
      </c>
      <c r="W84" s="1307">
        <f t="shared" ref="W84:W85" si="210">ROUND(V84/2,2)</f>
        <v>0</v>
      </c>
      <c r="X84" s="1331" t="s">
        <v>2885</v>
      </c>
      <c r="Y84" s="1331"/>
      <c r="Z84" s="1331">
        <v>0</v>
      </c>
      <c r="AA84" s="1339">
        <f>ROUND(IF(H84&lt;&gt;"",VLOOKUP(SUM(I84+J84),'CONCEPTOS Y PARAMETROS'!F:G,2,0)*V84,0),2)</f>
        <v>0</v>
      </c>
      <c r="AB84" s="1339">
        <v>0</v>
      </c>
      <c r="AC84" s="1339">
        <v>0</v>
      </c>
      <c r="AD84" s="1339">
        <f>IFERROR(ROUND(VLOOKUP($X84,'CONCEPTOS Y PARAMETROS'!H:I,2,0)*($V84+AA84+AB84+AC84),2),0)</f>
        <v>0</v>
      </c>
      <c r="AE84" s="1339">
        <f t="shared" ref="AE84:AE85" si="211">SUM(AA84:AD84)</f>
        <v>0</v>
      </c>
      <c r="AF84" s="1339">
        <f t="shared" ref="AF84:AF85" si="212">ROUND(AA84/2,2)</f>
        <v>0</v>
      </c>
      <c r="AG84" s="1339">
        <f t="shared" ref="AG84:AG85" si="213">ROUND(AA84-AF84,2)</f>
        <v>0</v>
      </c>
      <c r="AH84" s="1339">
        <f t="shared" ref="AH84:AH85" si="214">ROUND(AB84/2,2)</f>
        <v>0</v>
      </c>
      <c r="AI84" s="1339">
        <f t="shared" ref="AI84:AI85" si="215">ROUND(AB84-AH84,2)</f>
        <v>0</v>
      </c>
      <c r="AJ84" s="1339">
        <f t="shared" ref="AJ84:AJ85" si="216">ROUND(AD84/2,2)</f>
        <v>0</v>
      </c>
      <c r="AK84" s="1339">
        <f t="shared" ref="AK84:AK85" si="217">ROUND(AD84-AJ84,2)</f>
        <v>0</v>
      </c>
      <c r="AL84" s="1307">
        <f t="shared" ref="AL84:AL85" si="218">ROUND(AF84+AH84+AJ84+AC84,2)</f>
        <v>0</v>
      </c>
      <c r="AM84" s="1307">
        <f t="shared" ref="AM84:AM85" si="219">ROUND(AG84+AI84+AK84,2)</f>
        <v>0</v>
      </c>
      <c r="AN84" s="1340">
        <v>0</v>
      </c>
      <c r="AO84" s="1341">
        <v>0</v>
      </c>
      <c r="AP84" s="1340">
        <v>0</v>
      </c>
      <c r="AQ84" s="1341">
        <f>'CONCEPTOS Y PARAMETROS'!$C$21*AP84</f>
        <v>0</v>
      </c>
      <c r="AR84" s="1342">
        <v>0</v>
      </c>
      <c r="AS84" s="1342">
        <v>0</v>
      </c>
      <c r="AT84" s="1342">
        <f t="shared" ref="AT84:AT85" si="220">+AO84+AQ84+AR84+AS84</f>
        <v>0</v>
      </c>
      <c r="AU84" s="1307">
        <f t="shared" si="104"/>
        <v>0</v>
      </c>
      <c r="AV84" s="1343">
        <v>0</v>
      </c>
      <c r="AW84" s="1307">
        <f>ROUND(IF(O84="VIGILANTE",(V84+AE84)*30%,0),2)</f>
        <v>0</v>
      </c>
      <c r="AX84" s="1339">
        <f>IF(T84&lt;&gt;"0",(ROUND(IF(A84="EMPLEADO",eval_formula('CONCEPTOS Y PARAMETROS'!$C$8,NOMINA!V84,NOMINA!$AU84,NOMINA!I84+NOMINA!J84),eval_formula('CONCEPTOS Y PARAMETROS'!$D$8,NOMINA!V84,NOMINA!$AU84,NOMINA!I84+NOMINA!J84)),2))*IF(H84&lt;&gt;"",IF(MONTH(H84)=$BR$8,IF(YEAR(H84)&lt;$BT$7,1,0),0)))</f>
        <v>0</v>
      </c>
      <c r="AY84" s="1307">
        <v>180</v>
      </c>
      <c r="AZ84" s="1339">
        <f>IFERROR(VLOOKUP(AY84,'CONCEPTOS Y PARAMETROS'!Y:Z,2,0),0)</f>
        <v>150</v>
      </c>
      <c r="BA84" s="1339">
        <f t="shared" ref="BA84:BA85" si="221">ROUND((((AU84))/30*AY84/12+(AU84))/30*AZ84,2)</f>
        <v>0</v>
      </c>
      <c r="BB84" s="1339">
        <f t="shared" si="134"/>
        <v>0</v>
      </c>
      <c r="BC84" s="1340">
        <v>0</v>
      </c>
      <c r="BD84" s="1339" t="str">
        <f t="shared" si="107"/>
        <v>0</v>
      </c>
      <c r="BE84" s="1340">
        <v>0</v>
      </c>
      <c r="BF84" s="1339">
        <f>ROUND(IF(BE84&gt;0,(((V84+AA84+AB84+AC84+AD84)/30)*50%+((V84+AA84+AB84+AC84+AD84)/30))*BE84,"0"),2)</f>
        <v>0</v>
      </c>
      <c r="BG84" s="1307">
        <v>0</v>
      </c>
      <c r="BH84" s="1307">
        <v>0</v>
      </c>
      <c r="BI84" s="1334">
        <v>0</v>
      </c>
      <c r="BJ84" s="1307">
        <v>0</v>
      </c>
      <c r="BK84" s="1307">
        <v>0</v>
      </c>
      <c r="BL84" s="1339">
        <f t="shared" si="157"/>
        <v>0</v>
      </c>
      <c r="BM84" s="1339">
        <f t="shared" si="158"/>
        <v>0</v>
      </c>
      <c r="BN84" s="1339">
        <f t="shared" si="109"/>
        <v>0</v>
      </c>
      <c r="BO84" s="1339">
        <v>0</v>
      </c>
      <c r="BP84" s="1339">
        <v>0</v>
      </c>
      <c r="BQ84" s="1344">
        <f t="shared" ref="BQ84:BQ85" si="222">ROUND(SUM(BL84:BP84),2)</f>
        <v>0</v>
      </c>
      <c r="BR84" s="1339">
        <f t="shared" si="159"/>
        <v>0</v>
      </c>
      <c r="BS84" s="1339">
        <f t="shared" si="160"/>
        <v>0</v>
      </c>
      <c r="BT84" s="1339">
        <f t="shared" si="111"/>
        <v>0</v>
      </c>
      <c r="BU84" s="1339">
        <v>0</v>
      </c>
      <c r="BV84" s="1307">
        <f t="shared" ref="BV84:BV85" si="223">ROUND(SUM(BR84:BT84),2)</f>
        <v>0</v>
      </c>
      <c r="BW84" s="1305">
        <f t="shared" ref="BW84:BW85" si="224">BQ84+BV84</f>
        <v>0</v>
      </c>
      <c r="BX84" s="1305">
        <f t="shared" si="178"/>
        <v>0</v>
      </c>
      <c r="BY84" s="1307">
        <v>0</v>
      </c>
      <c r="BZ84" s="1307">
        <f t="shared" si="115"/>
        <v>0</v>
      </c>
      <c r="CA84" s="1345">
        <v>0</v>
      </c>
      <c r="CB84" s="1305">
        <f t="shared" si="116"/>
        <v>0</v>
      </c>
      <c r="CC84" s="1346">
        <f t="shared" si="117"/>
        <v>0</v>
      </c>
      <c r="CD84" s="512"/>
      <c r="CE84" s="512"/>
      <c r="CF84" s="470">
        <f t="shared" si="118"/>
        <v>0</v>
      </c>
      <c r="CG84" s="912">
        <f t="shared" si="119"/>
        <v>0</v>
      </c>
      <c r="CH84" s="498">
        <f t="shared" si="120"/>
        <v>0</v>
      </c>
      <c r="CI84" s="1492">
        <f t="shared" si="121"/>
        <v>0</v>
      </c>
      <c r="CJ84" s="1504">
        <v>0</v>
      </c>
      <c r="CK84" s="912">
        <f t="shared" si="122"/>
        <v>0</v>
      </c>
      <c r="CL84" s="912">
        <f t="shared" si="123"/>
        <v>0</v>
      </c>
      <c r="CM84" s="912">
        <f t="shared" si="124"/>
        <v>0</v>
      </c>
      <c r="CN84" s="913">
        <f t="shared" si="125"/>
        <v>0</v>
      </c>
      <c r="CO84" s="914">
        <v>0</v>
      </c>
      <c r="CP84" s="913">
        <f t="shared" si="126"/>
        <v>0</v>
      </c>
      <c r="CQ84" s="913">
        <f t="shared" si="127"/>
        <v>0</v>
      </c>
      <c r="CR84" s="496">
        <f t="shared" si="128"/>
        <v>0</v>
      </c>
      <c r="CS84" s="913">
        <f t="shared" si="129"/>
        <v>0</v>
      </c>
      <c r="CT84" s="913">
        <f t="shared" si="130"/>
        <v>0</v>
      </c>
      <c r="CU84" s="470"/>
      <c r="CV84" s="470"/>
      <c r="CW84" s="470"/>
      <c r="CX84" s="470"/>
      <c r="CY84" s="1330" t="s">
        <v>6801</v>
      </c>
      <c r="CZ84" s="1330" t="s">
        <v>6863</v>
      </c>
      <c r="DA84" s="1613"/>
      <c r="DB84" s="1152"/>
      <c r="DC84" s="1152"/>
      <c r="DD84" s="1143"/>
      <c r="DE84" s="1143"/>
      <c r="DF84" s="1143"/>
      <c r="DG84" s="1143"/>
      <c r="DH84" s="470"/>
      <c r="DI84" s="915"/>
      <c r="DJ84" s="915"/>
      <c r="DK84" s="915"/>
      <c r="DL84" s="915"/>
      <c r="DN84" s="911" t="str">
        <f>VLOOKUP(X84,Hoja1!$A$4:$B$10,2,0)</f>
        <v>PROFESIONAL</v>
      </c>
      <c r="DO84" s="911" t="str">
        <f>VLOOKUP(S84,Hoja1!$D$4:$F$77,3,0)</f>
        <v>PII - VII</v>
      </c>
      <c r="DP84" s="1157" t="str">
        <f t="shared" si="131"/>
        <v>0</v>
      </c>
      <c r="DQ84" s="1484">
        <f>IF(T84&lt;&gt;"0",(ROUND(IF(A84="EMPLEADO",eval_formula('CONCEPTOS Y PARAMETROS'!$C$8,NOMINA!V84,AU84+BF84,NOMINA!I84+NOMINA!J84),eval_formula('CONCEPTOS Y PARAMETROS'!$D$8,NOMINA!V84,AU84+BF84,NOMINA!I84+NOMINA!J84)),2))*IF(H84&lt;&gt;"",IF(MONTH(H84)=$BR$8,IF(YEAR(H84)&lt;$BT$7,1,0),0)))</f>
        <v>0</v>
      </c>
      <c r="DR84" s="1800" t="str">
        <f t="shared" si="132"/>
        <v>M</v>
      </c>
      <c r="DS84" s="1800"/>
    </row>
    <row r="85" spans="1:123" s="476" customFormat="1" ht="21.95" customHeight="1" x14ac:dyDescent="0.25">
      <c r="A85" s="508" t="s">
        <v>2846</v>
      </c>
      <c r="B85" s="1314">
        <f t="shared" ca="1" si="133"/>
        <v>42</v>
      </c>
      <c r="C85" s="1148">
        <v>10906110</v>
      </c>
      <c r="D85" s="1149" t="s">
        <v>5961</v>
      </c>
      <c r="E85" s="1135" t="s">
        <v>4622</v>
      </c>
      <c r="F85" s="1150">
        <v>26079</v>
      </c>
      <c r="G85" s="1135" t="s">
        <v>4620</v>
      </c>
      <c r="H85" s="1150">
        <v>45292</v>
      </c>
      <c r="I85" s="1140">
        <f t="shared" si="90"/>
        <v>1</v>
      </c>
      <c r="J85" s="1132">
        <v>0</v>
      </c>
      <c r="K85" s="1140">
        <f t="shared" si="91"/>
        <v>1</v>
      </c>
      <c r="L85" s="1145" t="s">
        <v>5528</v>
      </c>
      <c r="M85" s="1132"/>
      <c r="N85" s="1132"/>
      <c r="O85" s="1002" t="s">
        <v>5218</v>
      </c>
      <c r="P85" s="1151" t="s">
        <v>5962</v>
      </c>
      <c r="Q85" s="1315" t="str">
        <f>IFERROR(VLOOKUP(O85,CARGOS!A:E,2,0),"")</f>
        <v>79511</v>
      </c>
      <c r="R85" s="1327" t="s">
        <v>5218</v>
      </c>
      <c r="S85" s="1146" t="s">
        <v>5470</v>
      </c>
      <c r="T85" s="1107">
        <f>IFERROR(VLOOKUP(S85,'TAB EMP'!A:B,2,0),0)</f>
        <v>130</v>
      </c>
      <c r="U85" s="1108">
        <v>0</v>
      </c>
      <c r="V85" s="1107">
        <f t="shared" si="209"/>
        <v>130</v>
      </c>
      <c r="W85" s="1108">
        <f t="shared" si="210"/>
        <v>65</v>
      </c>
      <c r="X85" s="1135" t="s">
        <v>2884</v>
      </c>
      <c r="Y85" s="1135"/>
      <c r="Z85" s="1135">
        <v>0</v>
      </c>
      <c r="AA85" s="1107">
        <f>ROUND(IF(H85&lt;&gt;"",VLOOKUP(SUM(I85+J85),'CONCEPTOS Y PARAMETROS'!F:G,2,0)*V85,0),2)</f>
        <v>1.3</v>
      </c>
      <c r="AB85" s="1107">
        <f>IF(S85&lt;&gt;"",IF(M85="",'CONCEPTOS Y PARAMETROS'!$C$4,0),0)</f>
        <v>130</v>
      </c>
      <c r="AC85" s="1107">
        <f>IF(S85&lt;&gt;"",IF(M85="",'CONCEPTOS Y PARAMETROS'!$C$7*Z85,0),0)</f>
        <v>0</v>
      </c>
      <c r="AD85" s="1107">
        <f>IFERROR(ROUND(VLOOKUP($X85,'CONCEPTOS Y PARAMETROS'!H:I,2,0)*($V85+AA85+AB85+AC85),2),0)</f>
        <v>0</v>
      </c>
      <c r="AE85" s="1107">
        <f t="shared" si="211"/>
        <v>131.30000000000001</v>
      </c>
      <c r="AF85" s="1107">
        <f t="shared" si="212"/>
        <v>0.65</v>
      </c>
      <c r="AG85" s="1107">
        <f t="shared" si="213"/>
        <v>0.65</v>
      </c>
      <c r="AH85" s="1107">
        <f t="shared" si="214"/>
        <v>65</v>
      </c>
      <c r="AI85" s="1107">
        <f t="shared" si="215"/>
        <v>65</v>
      </c>
      <c r="AJ85" s="1107">
        <f t="shared" si="216"/>
        <v>0</v>
      </c>
      <c r="AK85" s="1107">
        <f t="shared" si="217"/>
        <v>0</v>
      </c>
      <c r="AL85" s="1108">
        <f t="shared" si="218"/>
        <v>65.650000000000006</v>
      </c>
      <c r="AM85" s="1108">
        <f t="shared" si="219"/>
        <v>65.650000000000006</v>
      </c>
      <c r="AN85" s="990">
        <v>0</v>
      </c>
      <c r="AO85" s="1147">
        <f>'CONCEPTOS Y PARAMETROS'!$C$18*AN85</f>
        <v>0</v>
      </c>
      <c r="AP85" s="990">
        <v>0</v>
      </c>
      <c r="AQ85" s="1147">
        <f>'CONCEPTOS Y PARAMETROS'!$C$21*AP85</f>
        <v>0</v>
      </c>
      <c r="AR85" s="1318">
        <v>0</v>
      </c>
      <c r="AS85" s="1318">
        <v>0</v>
      </c>
      <c r="AT85" s="1318">
        <f t="shared" si="220"/>
        <v>0</v>
      </c>
      <c r="AU85" s="1108">
        <f t="shared" si="104"/>
        <v>339.69</v>
      </c>
      <c r="AV85" s="1133" t="s">
        <v>5080</v>
      </c>
      <c r="AW85" s="1108">
        <f>ROUND(IF(AV85="NOCTURN",(V85+AE85)*30%,0),2)</f>
        <v>78.39</v>
      </c>
      <c r="AX85" s="1107">
        <f>IF(T85&lt;&gt;"0",(ROUND(IF(A85="EMPLEADO",eval_formula('CONCEPTOS Y PARAMETROS'!$C$8,NOMINA!V85,NOMINA!$AU85,NOMINA!I85+NOMINA!J85),eval_formula('CONCEPTOS Y PARAMETROS'!$D$8,NOMINA!V85,NOMINA!$AU85,NOMINA!I85+NOMINA!J85)),2))*IF(H85&lt;&gt;"",IF(MONTH(H85)=$BR$8,IF(YEAR(H85)&lt;$BT$7,1,0),0)))</f>
        <v>0</v>
      </c>
      <c r="AY85" s="1108">
        <v>180</v>
      </c>
      <c r="AZ85" s="1107">
        <f>IFERROR(VLOOKUP(AY85,'CONCEPTOS Y PARAMETROS'!Y:Z,2,0),0)</f>
        <v>150</v>
      </c>
      <c r="BA85" s="1107">
        <f t="shared" si="221"/>
        <v>2547.6799999999998</v>
      </c>
      <c r="BB85" s="1107">
        <f t="shared" si="134"/>
        <v>0</v>
      </c>
      <c r="BC85" s="990">
        <v>0</v>
      </c>
      <c r="BD85" s="1107" t="str">
        <f t="shared" si="107"/>
        <v>0</v>
      </c>
      <c r="BE85" s="990">
        <v>3</v>
      </c>
      <c r="BF85" s="1107">
        <f>ROUND(IF(BE85&gt;0,(((V85+AA85+AB85+AC85+AD85+AW85)/30)*50%+((V85+AA85+AB85+AC85+AD85+AW85)/30))*BE85,"0"),2)</f>
        <v>50.95</v>
      </c>
      <c r="BG85" s="1108">
        <v>320</v>
      </c>
      <c r="BH85" s="1108">
        <v>0</v>
      </c>
      <c r="BI85" s="1132">
        <v>0</v>
      </c>
      <c r="BJ85" s="1108">
        <v>12.5</v>
      </c>
      <c r="BK85" s="1108">
        <v>0</v>
      </c>
      <c r="BL85" s="1107">
        <f t="shared" si="157"/>
        <v>15.68</v>
      </c>
      <c r="BM85" s="1107">
        <f t="shared" si="158"/>
        <v>1.96</v>
      </c>
      <c r="BN85" s="1107">
        <f t="shared" si="109"/>
        <v>3.4</v>
      </c>
      <c r="BO85" s="1107">
        <v>0</v>
      </c>
      <c r="BP85" s="1107">
        <v>0</v>
      </c>
      <c r="BQ85" s="1320">
        <f t="shared" si="222"/>
        <v>21.04</v>
      </c>
      <c r="BR85" s="1107">
        <f t="shared" si="159"/>
        <v>35.28</v>
      </c>
      <c r="BS85" s="1107">
        <f t="shared" si="160"/>
        <v>7.84</v>
      </c>
      <c r="BT85" s="1107">
        <f t="shared" si="111"/>
        <v>6.8</v>
      </c>
      <c r="BU85" s="1107">
        <v>0</v>
      </c>
      <c r="BV85" s="1108">
        <f t="shared" si="223"/>
        <v>49.92</v>
      </c>
      <c r="BW85" s="1112">
        <f t="shared" si="224"/>
        <v>70.960000000000008</v>
      </c>
      <c r="BX85" s="1112">
        <f t="shared" si="178"/>
        <v>636.91999999999996</v>
      </c>
      <c r="BY85" s="1108">
        <v>0</v>
      </c>
      <c r="BZ85" s="1108">
        <f t="shared" si="115"/>
        <v>636.91999999999996</v>
      </c>
      <c r="CA85" s="1321">
        <f>'CONCEPTOS Y PARAMETROS'!$A$102</f>
        <v>6255</v>
      </c>
      <c r="CB85" s="1112">
        <f t="shared" si="116"/>
        <v>109.61000000000001</v>
      </c>
      <c r="CC85" s="1113">
        <f t="shared" si="117"/>
        <v>592.49</v>
      </c>
      <c r="CD85" s="512"/>
      <c r="CE85" s="512"/>
      <c r="CF85" s="470">
        <f t="shared" si="118"/>
        <v>770.65</v>
      </c>
      <c r="CG85" s="509">
        <f t="shared" si="119"/>
        <v>109.61000000000001</v>
      </c>
      <c r="CH85" s="498">
        <f t="shared" si="120"/>
        <v>12.5</v>
      </c>
      <c r="CI85" s="1491">
        <f t="shared" si="121"/>
        <v>320</v>
      </c>
      <c r="CJ85" s="1502">
        <v>1</v>
      </c>
      <c r="CK85" s="509">
        <f t="shared" si="122"/>
        <v>450.65</v>
      </c>
      <c r="CL85" s="1689">
        <f t="shared" si="123"/>
        <v>450.65</v>
      </c>
      <c r="CM85" s="1689">
        <f t="shared" si="124"/>
        <v>0</v>
      </c>
      <c r="CN85" s="510">
        <f t="shared" si="125"/>
        <v>50.95</v>
      </c>
      <c r="CO85" s="511">
        <v>0</v>
      </c>
      <c r="CP85" s="510">
        <f t="shared" si="126"/>
        <v>78.39</v>
      </c>
      <c r="CQ85" s="510">
        <f t="shared" si="127"/>
        <v>0</v>
      </c>
      <c r="CR85" s="496">
        <f t="shared" si="128"/>
        <v>1030.6400000000001</v>
      </c>
      <c r="CS85" s="510">
        <f t="shared" si="129"/>
        <v>70.960000000000008</v>
      </c>
      <c r="CT85" s="510">
        <f t="shared" si="130"/>
        <v>6255</v>
      </c>
      <c r="CU85" s="470"/>
      <c r="CV85" s="470"/>
      <c r="CW85" s="470"/>
      <c r="CX85" s="470"/>
      <c r="CY85" s="1149" t="s">
        <v>6839</v>
      </c>
      <c r="CZ85" s="1149" t="s">
        <v>6831</v>
      </c>
      <c r="DA85" s="1152"/>
      <c r="DB85" s="1642" t="s">
        <v>6565</v>
      </c>
      <c r="DC85" s="1642"/>
      <c r="DD85" s="1645" t="s">
        <v>6150</v>
      </c>
      <c r="DE85" s="1645" t="s">
        <v>6345</v>
      </c>
      <c r="DF85" s="1642" t="s">
        <v>7434</v>
      </c>
      <c r="DG85" s="1642" t="s">
        <v>7435</v>
      </c>
      <c r="DH85" s="470"/>
      <c r="DI85" s="512"/>
      <c r="DJ85" s="512"/>
      <c r="DK85" s="512"/>
      <c r="DL85" s="512"/>
      <c r="DN85" s="476" t="str">
        <f>VLOOKUP(X85,Hoja1!$A$4:$B$10,2,0)</f>
        <v>BACHILLER</v>
      </c>
      <c r="DO85" s="476" t="str">
        <f>VLOOKUP(S85,Hoja1!$D$4:$F$77,3,0)</f>
        <v>BI</v>
      </c>
      <c r="DP85" s="1158" t="str">
        <f t="shared" si="131"/>
        <v>SI</v>
      </c>
      <c r="DQ85" s="1484">
        <f>IF(T85&lt;&gt;"0",(ROUND(IF(A85="EMPLEADO",eval_formula('CONCEPTOS Y PARAMETROS'!$C$8,NOMINA!V85,AU85+BF85,NOMINA!I85+NOMINA!J85),eval_formula('CONCEPTOS Y PARAMETROS'!$D$8,NOMINA!V85,AU85+BF85,NOMINA!I85+NOMINA!J85)),2))*IF(H85&lt;&gt;"",IF(MONTH(H85)=$BR$8,IF(YEAR(H85)&lt;$BT$7,1,0),0)))</f>
        <v>0</v>
      </c>
      <c r="DR85" s="1799" t="str">
        <f t="shared" si="132"/>
        <v>F</v>
      </c>
      <c r="DS85" s="1799"/>
    </row>
    <row r="86" spans="1:123" s="471" customFormat="1" ht="21.95" customHeight="1" x14ac:dyDescent="0.25">
      <c r="A86" s="508" t="s">
        <v>2846</v>
      </c>
      <c r="B86" s="1314">
        <f t="shared" ca="1" si="133"/>
        <v>43</v>
      </c>
      <c r="C86" s="1148">
        <v>10906923</v>
      </c>
      <c r="D86" s="1149" t="s">
        <v>4727</v>
      </c>
      <c r="E86" s="1135" t="s">
        <v>4622</v>
      </c>
      <c r="F86" s="1150">
        <v>26149</v>
      </c>
      <c r="G86" s="1135" t="s">
        <v>4620</v>
      </c>
      <c r="H86" s="1150">
        <v>44636</v>
      </c>
      <c r="I86" s="1140">
        <f t="shared" si="90"/>
        <v>3</v>
      </c>
      <c r="J86" s="1132">
        <v>0</v>
      </c>
      <c r="K86" s="1140">
        <f t="shared" si="91"/>
        <v>3</v>
      </c>
      <c r="L86" s="1145" t="s">
        <v>5530</v>
      </c>
      <c r="M86" s="1132"/>
      <c r="N86" s="1132"/>
      <c r="O86" s="1002" t="s">
        <v>5218</v>
      </c>
      <c r="P86" s="1132" t="s">
        <v>5304</v>
      </c>
      <c r="Q86" s="1315" t="str">
        <f>IFERROR(VLOOKUP(O86,CARGOS!A:E,2,0),"")</f>
        <v>79511</v>
      </c>
      <c r="R86" s="1327" t="s">
        <v>5218</v>
      </c>
      <c r="S86" s="1146" t="s">
        <v>5468</v>
      </c>
      <c r="T86" s="1107">
        <f>IFERROR(VLOOKUP(S86,'TAB EMP'!A:B,2,0),0)</f>
        <v>219</v>
      </c>
      <c r="U86" s="1108">
        <v>0</v>
      </c>
      <c r="V86" s="1107">
        <f t="shared" si="92"/>
        <v>219</v>
      </c>
      <c r="W86" s="1108">
        <f t="shared" si="93"/>
        <v>109.5</v>
      </c>
      <c r="X86" s="1135" t="s">
        <v>2844</v>
      </c>
      <c r="Y86" s="1135"/>
      <c r="Z86" s="1135">
        <v>1</v>
      </c>
      <c r="AA86" s="1107">
        <f>ROUND(IF(H86&lt;&gt;"",VLOOKUP(SUM(I86+J86),'CONCEPTOS Y PARAMETROS'!F:G,2,0)*V86,0),2)</f>
        <v>6.57</v>
      </c>
      <c r="AB86" s="1107">
        <f>IF(S86&lt;&gt;"",IF(M86="",'CONCEPTOS Y PARAMETROS'!$C$4,0),0)</f>
        <v>130</v>
      </c>
      <c r="AC86" s="1107">
        <f>IF(S86&lt;&gt;"",IF(M86="",'CONCEPTOS Y PARAMETROS'!$C$7*Z86,0),0)</f>
        <v>12.5</v>
      </c>
      <c r="AD86" s="1107">
        <f>IFERROR(ROUND(VLOOKUP($X86,'CONCEPTOS Y PARAMETROS'!H:I,2,0)*($V86+AA86+AB86+AC86),2),0)</f>
        <v>73.61</v>
      </c>
      <c r="AE86" s="1107">
        <f t="shared" si="94"/>
        <v>222.68</v>
      </c>
      <c r="AF86" s="1107">
        <f t="shared" si="95"/>
        <v>3.29</v>
      </c>
      <c r="AG86" s="1107">
        <f t="shared" si="96"/>
        <v>3.28</v>
      </c>
      <c r="AH86" s="1107">
        <f t="shared" si="97"/>
        <v>65</v>
      </c>
      <c r="AI86" s="1107">
        <f t="shared" si="98"/>
        <v>65</v>
      </c>
      <c r="AJ86" s="1107">
        <f t="shared" si="99"/>
        <v>36.81</v>
      </c>
      <c r="AK86" s="1107">
        <f t="shared" si="100"/>
        <v>36.799999999999997</v>
      </c>
      <c r="AL86" s="1108">
        <f t="shared" si="101"/>
        <v>117.6</v>
      </c>
      <c r="AM86" s="1108">
        <f t="shared" si="102"/>
        <v>105.08</v>
      </c>
      <c r="AN86" s="1453">
        <v>1</v>
      </c>
      <c r="AO86" s="1147">
        <f>'CONCEPTOS Y PARAMETROS'!$C$18*AN86</f>
        <v>12.5</v>
      </c>
      <c r="AP86" s="990">
        <v>0</v>
      </c>
      <c r="AQ86" s="1147">
        <f>'CONCEPTOS Y PARAMETROS'!$C$21*AP86</f>
        <v>0</v>
      </c>
      <c r="AR86" s="1318">
        <v>0</v>
      </c>
      <c r="AS86" s="1318">
        <v>0</v>
      </c>
      <c r="AT86" s="1318">
        <f t="shared" si="208"/>
        <v>12.5</v>
      </c>
      <c r="AU86" s="1108">
        <f t="shared" si="104"/>
        <v>441.68</v>
      </c>
      <c r="AV86" s="1133">
        <v>0</v>
      </c>
      <c r="AW86" s="1108">
        <f>ROUND(IF(AV86="NOCTURN",(V86+AE86)*30%,0),2)</f>
        <v>0</v>
      </c>
      <c r="AX86" s="1107">
        <f>IF(T86&lt;&gt;"0",(ROUND(IF(A86="EMPLEADO",eval_formula('CONCEPTOS Y PARAMETROS'!$C$8,NOMINA!V86,NOMINA!$AU86,NOMINA!I86+NOMINA!J86),eval_formula('CONCEPTOS Y PARAMETROS'!$D$8,NOMINA!V86,NOMINA!$AU86,NOMINA!I86+NOMINA!J86)),2))*IF(H86&lt;&gt;"",IF(MONTH(H86)=$BR$8,IF(YEAR(H86)&lt;$BT$7,1,0),0)))</f>
        <v>0</v>
      </c>
      <c r="AY86" s="1108">
        <v>180</v>
      </c>
      <c r="AZ86" s="1107">
        <f>IFERROR(VLOOKUP(AY86,'CONCEPTOS Y PARAMETROS'!Y:Z,2,0),0)</f>
        <v>150</v>
      </c>
      <c r="BA86" s="1107">
        <f t="shared" si="106"/>
        <v>3312.6</v>
      </c>
      <c r="BB86" s="1107">
        <f t="shared" si="134"/>
        <v>0</v>
      </c>
      <c r="BC86" s="990">
        <v>0</v>
      </c>
      <c r="BD86" s="1107" t="str">
        <f t="shared" si="107"/>
        <v>0</v>
      </c>
      <c r="BE86" s="990">
        <v>0</v>
      </c>
      <c r="BF86" s="1107">
        <f>ROUND(IF(BE86&gt;0,(((V86+AA86+AB86+AC86+AD86+AW86)/30)*50%+((V86+AA86+AB86+AC86+AD86+AW86)/30))*BE86,"0"),2)</f>
        <v>0</v>
      </c>
      <c r="BG86" s="1108">
        <v>320</v>
      </c>
      <c r="BH86" s="1108">
        <v>0</v>
      </c>
      <c r="BI86" s="1132">
        <v>0</v>
      </c>
      <c r="BJ86" s="1108">
        <v>12.5</v>
      </c>
      <c r="BK86" s="1108">
        <v>0</v>
      </c>
      <c r="BL86" s="1107">
        <f t="shared" si="157"/>
        <v>20.39</v>
      </c>
      <c r="BM86" s="1107">
        <f t="shared" si="158"/>
        <v>2.5499999999999998</v>
      </c>
      <c r="BN86" s="1107">
        <f t="shared" si="109"/>
        <v>4.42</v>
      </c>
      <c r="BO86" s="1107">
        <v>0</v>
      </c>
      <c r="BP86" s="1107">
        <v>0</v>
      </c>
      <c r="BQ86" s="1320">
        <f t="shared" si="110"/>
        <v>27.36</v>
      </c>
      <c r="BR86" s="1107">
        <f t="shared" si="159"/>
        <v>45.87</v>
      </c>
      <c r="BS86" s="1107">
        <f t="shared" si="160"/>
        <v>10.19</v>
      </c>
      <c r="BT86" s="1107">
        <f t="shared" si="111"/>
        <v>8.84</v>
      </c>
      <c r="BU86" s="1107">
        <v>0</v>
      </c>
      <c r="BV86" s="1108">
        <f t="shared" si="112"/>
        <v>64.900000000000006</v>
      </c>
      <c r="BW86" s="1112">
        <f t="shared" si="113"/>
        <v>92.26</v>
      </c>
      <c r="BX86" s="1112">
        <f t="shared" si="178"/>
        <v>828.15</v>
      </c>
      <c r="BY86" s="1108">
        <v>0</v>
      </c>
      <c r="BZ86" s="1108">
        <f t="shared" si="115"/>
        <v>828.15</v>
      </c>
      <c r="CA86" s="1321">
        <f>'CONCEPTOS Y PARAMETROS'!$A$102</f>
        <v>6255</v>
      </c>
      <c r="CB86" s="1112">
        <f t="shared" si="116"/>
        <v>199.74</v>
      </c>
      <c r="CC86" s="1113">
        <f t="shared" si="117"/>
        <v>559.58000000000004</v>
      </c>
      <c r="CD86" s="512"/>
      <c r="CE86" s="512"/>
      <c r="CF86" s="470">
        <f t="shared" si="118"/>
        <v>854.57999999999993</v>
      </c>
      <c r="CG86" s="495">
        <f t="shared" si="119"/>
        <v>199.74</v>
      </c>
      <c r="CH86" s="498">
        <f t="shared" si="120"/>
        <v>25</v>
      </c>
      <c r="CI86" s="1490">
        <f t="shared" si="121"/>
        <v>320</v>
      </c>
      <c r="CJ86" s="1502">
        <v>1</v>
      </c>
      <c r="CK86" s="495">
        <f t="shared" si="122"/>
        <v>534.57999999999993</v>
      </c>
      <c r="CL86" s="1689">
        <f t="shared" si="123"/>
        <v>534.58000000000004</v>
      </c>
      <c r="CM86" s="1689">
        <f t="shared" si="124"/>
        <v>0</v>
      </c>
      <c r="CN86" s="496">
        <f t="shared" si="125"/>
        <v>0</v>
      </c>
      <c r="CO86" s="497">
        <v>0</v>
      </c>
      <c r="CP86" s="496">
        <f t="shared" si="126"/>
        <v>0</v>
      </c>
      <c r="CQ86" s="496">
        <f t="shared" si="127"/>
        <v>0</v>
      </c>
      <c r="CR86" s="496">
        <f t="shared" si="128"/>
        <v>1069.1599999999999</v>
      </c>
      <c r="CS86" s="496">
        <f t="shared" si="129"/>
        <v>92.26</v>
      </c>
      <c r="CT86" s="496">
        <f t="shared" si="130"/>
        <v>6255</v>
      </c>
      <c r="CU86" s="470"/>
      <c r="CV86" s="470"/>
      <c r="CW86" s="470"/>
      <c r="CX86" s="470"/>
      <c r="CY86" s="1149" t="s">
        <v>6832</v>
      </c>
      <c r="CZ86" s="1149" t="s">
        <v>7098</v>
      </c>
      <c r="DA86" s="480"/>
      <c r="DB86" s="1642" t="s">
        <v>6535</v>
      </c>
      <c r="DC86" s="1642"/>
      <c r="DD86" s="1642" t="s">
        <v>6135</v>
      </c>
      <c r="DE86" s="1642" t="s">
        <v>6177</v>
      </c>
      <c r="DF86" s="1642" t="s">
        <v>6384</v>
      </c>
      <c r="DG86" s="1152"/>
      <c r="DH86" s="470"/>
      <c r="DI86" s="470"/>
      <c r="DJ86" s="470"/>
      <c r="DK86" s="470"/>
      <c r="DL86" s="470"/>
      <c r="DN86" s="471" t="str">
        <f>VLOOKUP(X86,Hoja1!$A$4:$B$10,2,0)</f>
        <v>TÉCNICO SUPERIOR UNIVERSITARIO</v>
      </c>
      <c r="DO86" s="471" t="str">
        <f>VLOOKUP(S86,Hoja1!$D$4:$F$77,3,0)</f>
        <v>TII - II</v>
      </c>
      <c r="DP86" s="1156" t="str">
        <f t="shared" si="131"/>
        <v>0</v>
      </c>
      <c r="DQ86" s="1484">
        <f>IF(T86&lt;&gt;"0",(ROUND(IF(A86="EMPLEADO",eval_formula('CONCEPTOS Y PARAMETROS'!$C$8,NOMINA!V86,AU86+BF86,NOMINA!I86+NOMINA!J86),eval_formula('CONCEPTOS Y PARAMETROS'!$D$8,NOMINA!V86,AU86+BF86,NOMINA!I86+NOMINA!J86)),2))*IF(H86&lt;&gt;"",IF(MONTH(H86)=$BR$8,IF(YEAR(H86)&lt;$BT$7,1,0),0)))</f>
        <v>0</v>
      </c>
      <c r="DR86" s="1801" t="str">
        <f t="shared" si="132"/>
        <v>F</v>
      </c>
      <c r="DS86" s="1801"/>
    </row>
    <row r="87" spans="1:123" s="471" customFormat="1" ht="21.95" customHeight="1" x14ac:dyDescent="0.25">
      <c r="A87" s="508" t="s">
        <v>2846</v>
      </c>
      <c r="B87" s="1314">
        <f t="shared" ca="1" si="133"/>
        <v>44</v>
      </c>
      <c r="C87" s="1148">
        <v>10908510</v>
      </c>
      <c r="D87" s="1149" t="s">
        <v>4728</v>
      </c>
      <c r="E87" s="1135" t="s">
        <v>4622</v>
      </c>
      <c r="F87" s="1150">
        <v>25808</v>
      </c>
      <c r="G87" s="1135" t="s">
        <v>4620</v>
      </c>
      <c r="H87" s="1150">
        <v>39874</v>
      </c>
      <c r="I87" s="1140">
        <f t="shared" si="90"/>
        <v>16</v>
      </c>
      <c r="J87" s="1132">
        <v>6</v>
      </c>
      <c r="K87" s="1140">
        <f t="shared" si="91"/>
        <v>22</v>
      </c>
      <c r="L87" s="1145" t="s">
        <v>5539</v>
      </c>
      <c r="M87" s="1132"/>
      <c r="N87" s="1132"/>
      <c r="O87" s="1002" t="s">
        <v>5214</v>
      </c>
      <c r="P87" s="1132" t="s">
        <v>5305</v>
      </c>
      <c r="Q87" s="1315" t="str">
        <f>IFERROR(VLOOKUP(O87,CARGOS!A:E,2,0),"")</f>
        <v>79532</v>
      </c>
      <c r="R87" s="1327" t="s">
        <v>5214</v>
      </c>
      <c r="S87" s="1146" t="s">
        <v>5458</v>
      </c>
      <c r="T87" s="1107">
        <f>IFERROR(VLOOKUP(S87,'TAB EMP'!A:B,2,0),0)</f>
        <v>287</v>
      </c>
      <c r="U87" s="1108">
        <v>0</v>
      </c>
      <c r="V87" s="1107">
        <f t="shared" si="92"/>
        <v>287</v>
      </c>
      <c r="W87" s="1108">
        <f t="shared" si="93"/>
        <v>143.5</v>
      </c>
      <c r="X87" s="1135" t="s">
        <v>2885</v>
      </c>
      <c r="Y87" s="1135"/>
      <c r="Z87" s="1135">
        <v>0</v>
      </c>
      <c r="AA87" s="1107">
        <f>ROUND(IF(H87&lt;&gt;"",VLOOKUP(SUM(I87+J87),'CONCEPTOS Y PARAMETROS'!F:G,2,0)*V87,0),2)</f>
        <v>84.95</v>
      </c>
      <c r="AB87" s="1107">
        <f>IF(S87&lt;&gt;"",IF(M87="",'CONCEPTOS Y PARAMETROS'!$C$4,0),0)</f>
        <v>130</v>
      </c>
      <c r="AC87" s="1107">
        <f>IF(S87&lt;&gt;"",IF(M87="",'CONCEPTOS Y PARAMETROS'!$C$7*Z87,0),0)</f>
        <v>0</v>
      </c>
      <c r="AD87" s="1107">
        <f>IFERROR(ROUND(VLOOKUP($X87,'CONCEPTOS Y PARAMETROS'!H:I,2,0)*($V87+AA87+AB87+AC87),2),0)</f>
        <v>125.49</v>
      </c>
      <c r="AE87" s="1107">
        <f t="shared" si="94"/>
        <v>340.44</v>
      </c>
      <c r="AF87" s="1107">
        <f t="shared" si="95"/>
        <v>42.48</v>
      </c>
      <c r="AG87" s="1107">
        <f t="shared" si="96"/>
        <v>42.47</v>
      </c>
      <c r="AH87" s="1107">
        <f t="shared" si="97"/>
        <v>65</v>
      </c>
      <c r="AI87" s="1107">
        <f t="shared" si="98"/>
        <v>65</v>
      </c>
      <c r="AJ87" s="1107">
        <f t="shared" si="99"/>
        <v>62.75</v>
      </c>
      <c r="AK87" s="1107">
        <f t="shared" si="100"/>
        <v>62.74</v>
      </c>
      <c r="AL87" s="1108">
        <f t="shared" si="101"/>
        <v>170.23</v>
      </c>
      <c r="AM87" s="1108">
        <f t="shared" si="102"/>
        <v>170.21</v>
      </c>
      <c r="AN87" s="990">
        <v>0</v>
      </c>
      <c r="AO87" s="1147">
        <f>'CONCEPTOS Y PARAMETROS'!$C$18*AN87</f>
        <v>0</v>
      </c>
      <c r="AP87" s="990">
        <v>0</v>
      </c>
      <c r="AQ87" s="1147">
        <f>'CONCEPTOS Y PARAMETROS'!$C$21*AP87</f>
        <v>0</v>
      </c>
      <c r="AR87" s="1318">
        <v>0</v>
      </c>
      <c r="AS87" s="1318">
        <v>0</v>
      </c>
      <c r="AT87" s="1318">
        <f t="shared" si="208"/>
        <v>0</v>
      </c>
      <c r="AU87" s="1108">
        <f t="shared" si="104"/>
        <v>627.44000000000005</v>
      </c>
      <c r="AV87" s="1133">
        <v>0</v>
      </c>
      <c r="AW87" s="1108">
        <f>ROUND(IF(AV87="NOCTURN",(V87+AE87)*30%,0),2)</f>
        <v>0</v>
      </c>
      <c r="AX87" s="1107">
        <f>IF(T87&lt;&gt;"0",(ROUND(IF(A87="EMPLEADO",eval_formula('CONCEPTOS Y PARAMETROS'!$C$8,NOMINA!V87,NOMINA!$AU87,NOMINA!I87+NOMINA!J87),eval_formula('CONCEPTOS Y PARAMETROS'!$D$8,NOMINA!V87,NOMINA!$AU87,NOMINA!I87+NOMINA!J87)),2))*IF(H87&lt;&gt;"",IF(MONTH(H87)=$BR$8,IF(YEAR(H87)&lt;$BT$7,1,0),0)))</f>
        <v>0</v>
      </c>
      <c r="AY87" s="1108">
        <v>180</v>
      </c>
      <c r="AZ87" s="1107">
        <f>IFERROR(VLOOKUP(AY87,'CONCEPTOS Y PARAMETROS'!Y:Z,2,0),0)</f>
        <v>150</v>
      </c>
      <c r="BA87" s="1107">
        <f t="shared" si="106"/>
        <v>4705.8</v>
      </c>
      <c r="BB87" s="1107">
        <f t="shared" si="134"/>
        <v>0</v>
      </c>
      <c r="BC87" s="990">
        <v>0</v>
      </c>
      <c r="BD87" s="1107" t="str">
        <f t="shared" si="107"/>
        <v>0</v>
      </c>
      <c r="BE87" s="990">
        <v>0</v>
      </c>
      <c r="BF87" s="1107">
        <f>ROUND(IF(BE87&gt;0,(((V87+AA87+AB87+AC87+AD87+AW87)/30)*50%+((V87+AA87+AB87+AC87+AD87+AW87)/30))*BE87,"0"),2)</f>
        <v>0</v>
      </c>
      <c r="BG87" s="1108">
        <v>320</v>
      </c>
      <c r="BH87" s="1108">
        <v>0</v>
      </c>
      <c r="BI87" s="1132">
        <v>0</v>
      </c>
      <c r="BJ87" s="1108">
        <v>12.5</v>
      </c>
      <c r="BK87" s="1108">
        <v>0</v>
      </c>
      <c r="BL87" s="1107">
        <f t="shared" si="157"/>
        <v>28.96</v>
      </c>
      <c r="BM87" s="1107">
        <f t="shared" si="158"/>
        <v>3.62</v>
      </c>
      <c r="BN87" s="1107">
        <f t="shared" si="109"/>
        <v>6.27</v>
      </c>
      <c r="BO87" s="1107">
        <v>0</v>
      </c>
      <c r="BP87" s="1107">
        <v>0</v>
      </c>
      <c r="BQ87" s="1320">
        <f t="shared" si="110"/>
        <v>38.85</v>
      </c>
      <c r="BR87" s="1107">
        <f t="shared" si="159"/>
        <v>65.16</v>
      </c>
      <c r="BS87" s="1107">
        <f t="shared" si="160"/>
        <v>14.48</v>
      </c>
      <c r="BT87" s="1107">
        <f t="shared" si="111"/>
        <v>12.54</v>
      </c>
      <c r="BU87" s="1107">
        <v>0</v>
      </c>
      <c r="BV87" s="1108">
        <f t="shared" si="112"/>
        <v>92.18</v>
      </c>
      <c r="BW87" s="1112">
        <f t="shared" si="113"/>
        <v>131.03</v>
      </c>
      <c r="BX87" s="1112">
        <f t="shared" si="178"/>
        <v>1176.45</v>
      </c>
      <c r="BY87" s="1108">
        <v>0</v>
      </c>
      <c r="BZ87" s="1108">
        <f t="shared" si="115"/>
        <v>1176.45</v>
      </c>
      <c r="CA87" s="1321">
        <f>'CONCEPTOS Y PARAMETROS'!$A$102</f>
        <v>6255</v>
      </c>
      <c r="CB87" s="1112">
        <f t="shared" si="116"/>
        <v>274.88</v>
      </c>
      <c r="CC87" s="1113">
        <f t="shared" si="117"/>
        <v>646.21</v>
      </c>
      <c r="CD87" s="512"/>
      <c r="CE87" s="512"/>
      <c r="CF87" s="470">
        <f t="shared" si="118"/>
        <v>953.71</v>
      </c>
      <c r="CG87" s="495">
        <f t="shared" si="119"/>
        <v>274.88</v>
      </c>
      <c r="CH87" s="498">
        <f t="shared" si="120"/>
        <v>12.5</v>
      </c>
      <c r="CI87" s="1490">
        <f t="shared" si="121"/>
        <v>320</v>
      </c>
      <c r="CJ87" s="1500">
        <v>2</v>
      </c>
      <c r="CK87" s="495">
        <f t="shared" si="122"/>
        <v>633.71</v>
      </c>
      <c r="CL87" s="1689">
        <f t="shared" si="123"/>
        <v>304.18</v>
      </c>
      <c r="CM87" s="1689">
        <f t="shared" si="124"/>
        <v>329.53000000000003</v>
      </c>
      <c r="CN87" s="496">
        <f t="shared" si="125"/>
        <v>0</v>
      </c>
      <c r="CO87" s="497">
        <v>0</v>
      </c>
      <c r="CP87" s="496">
        <f t="shared" si="126"/>
        <v>0</v>
      </c>
      <c r="CQ87" s="496">
        <f t="shared" si="127"/>
        <v>0</v>
      </c>
      <c r="CR87" s="496">
        <f t="shared" si="128"/>
        <v>1267.42</v>
      </c>
      <c r="CS87" s="496">
        <f t="shared" si="129"/>
        <v>131.03</v>
      </c>
      <c r="CT87" s="496">
        <f t="shared" si="130"/>
        <v>6255</v>
      </c>
      <c r="CU87" s="470"/>
      <c r="CV87" s="470"/>
      <c r="CW87" s="470"/>
      <c r="CX87" s="470"/>
      <c r="CY87" s="1149" t="s">
        <v>7053</v>
      </c>
      <c r="CZ87" s="1149" t="s">
        <v>7099</v>
      </c>
      <c r="DA87" s="480"/>
      <c r="DB87" s="1642" t="s">
        <v>6350</v>
      </c>
      <c r="DC87" s="1642"/>
      <c r="DD87" s="1642" t="s">
        <v>6156</v>
      </c>
      <c r="DE87" s="1642" t="s">
        <v>6351</v>
      </c>
      <c r="DF87" s="1642" t="s">
        <v>6551</v>
      </c>
      <c r="DG87" s="1152"/>
      <c r="DH87" s="470"/>
      <c r="DI87" s="470"/>
      <c r="DJ87" s="470"/>
      <c r="DK87" s="470"/>
      <c r="DL87" s="470"/>
      <c r="DN87" s="471" t="str">
        <f>VLOOKUP(X87,Hoja1!$A$4:$B$10,2,0)</f>
        <v>PROFESIONAL</v>
      </c>
      <c r="DO87" s="471" t="str">
        <f>VLOOKUP(S87,Hoja1!$D$4:$F$77,3,0)</f>
        <v>PII - VII</v>
      </c>
      <c r="DP87" s="1156" t="str">
        <f t="shared" si="131"/>
        <v>0</v>
      </c>
      <c r="DQ87" s="1484">
        <f>IF(T87&lt;&gt;"0",(ROUND(IF(A87="EMPLEADO",eval_formula('CONCEPTOS Y PARAMETROS'!$C$8,NOMINA!V87,AU87+BF87,NOMINA!I87+NOMINA!J87),eval_formula('CONCEPTOS Y PARAMETROS'!$D$8,NOMINA!V87,AU87+BF87,NOMINA!I87+NOMINA!J87)),2))*IF(H87&lt;&gt;"",IF(MONTH(H87)=$BR$8,IF(YEAR(H87)&lt;$BT$7,1,0),0)))</f>
        <v>0</v>
      </c>
      <c r="DR87" s="1801" t="str">
        <f t="shared" si="132"/>
        <v>F</v>
      </c>
      <c r="DS87" s="1801"/>
    </row>
    <row r="88" spans="1:123" s="471" customFormat="1" ht="21.95" customHeight="1" x14ac:dyDescent="0.25">
      <c r="A88" s="508" t="s">
        <v>2846</v>
      </c>
      <c r="B88" s="1314">
        <f t="shared" ca="1" si="133"/>
        <v>45</v>
      </c>
      <c r="C88" s="1148">
        <v>10909245</v>
      </c>
      <c r="D88" s="1149" t="s">
        <v>4729</v>
      </c>
      <c r="E88" s="1135" t="s">
        <v>4622</v>
      </c>
      <c r="F88" s="1150">
        <v>25503</v>
      </c>
      <c r="G88" s="1135" t="s">
        <v>4620</v>
      </c>
      <c r="H88" s="1150">
        <v>36054</v>
      </c>
      <c r="I88" s="1140">
        <f t="shared" si="90"/>
        <v>27</v>
      </c>
      <c r="J88" s="1132">
        <v>0</v>
      </c>
      <c r="K88" s="1140">
        <f t="shared" si="91"/>
        <v>27</v>
      </c>
      <c r="L88" s="1145" t="s">
        <v>5536</v>
      </c>
      <c r="M88" s="1132"/>
      <c r="N88" s="1132"/>
      <c r="O88" s="1002" t="s">
        <v>5217</v>
      </c>
      <c r="P88" s="1132" t="s">
        <v>5306</v>
      </c>
      <c r="Q88" s="1315" t="str">
        <f>IFERROR(VLOOKUP(O88,CARGOS!A:E,2,0),"")</f>
        <v>79512</v>
      </c>
      <c r="R88" s="1327" t="s">
        <v>5217</v>
      </c>
      <c r="S88" s="1146" t="s">
        <v>5471</v>
      </c>
      <c r="T88" s="1107">
        <f>IFERROR(VLOOKUP(S88,'TAB EMP'!A:B,2,0),0)</f>
        <v>228</v>
      </c>
      <c r="U88" s="1108">
        <v>0</v>
      </c>
      <c r="V88" s="1107">
        <f t="shared" si="92"/>
        <v>228</v>
      </c>
      <c r="W88" s="1108">
        <f t="shared" si="93"/>
        <v>114</v>
      </c>
      <c r="X88" s="1135" t="s">
        <v>2844</v>
      </c>
      <c r="Y88" s="1135"/>
      <c r="Z88" s="1135">
        <v>0</v>
      </c>
      <c r="AA88" s="1107">
        <f>ROUND(IF(H88&lt;&gt;"",VLOOKUP(SUM(I88+J88),'CONCEPTOS Y PARAMETROS'!F:G,2,0)*V88,0),2)</f>
        <v>68.400000000000006</v>
      </c>
      <c r="AB88" s="1107">
        <f>IF(S88&lt;&gt;"",IF(M88="",'CONCEPTOS Y PARAMETROS'!$C$4,0),0)</f>
        <v>130</v>
      </c>
      <c r="AC88" s="1107">
        <f>IF(S88&lt;&gt;"",IF(M88="",'CONCEPTOS Y PARAMETROS'!$C$7*Z88,0),0)</f>
        <v>0</v>
      </c>
      <c r="AD88" s="1107">
        <f>IFERROR(ROUND(VLOOKUP($X88,'CONCEPTOS Y PARAMETROS'!H:I,2,0)*($V88+AA88+AB88+AC88),2),0)</f>
        <v>85.28</v>
      </c>
      <c r="AE88" s="1107">
        <f t="shared" si="94"/>
        <v>283.68</v>
      </c>
      <c r="AF88" s="1107">
        <f t="shared" si="95"/>
        <v>34.200000000000003</v>
      </c>
      <c r="AG88" s="1107">
        <f t="shared" si="96"/>
        <v>34.200000000000003</v>
      </c>
      <c r="AH88" s="1107">
        <f t="shared" si="97"/>
        <v>65</v>
      </c>
      <c r="AI88" s="1107">
        <f t="shared" si="98"/>
        <v>65</v>
      </c>
      <c r="AJ88" s="1107">
        <f t="shared" si="99"/>
        <v>42.64</v>
      </c>
      <c r="AK88" s="1107">
        <f t="shared" si="100"/>
        <v>42.64</v>
      </c>
      <c r="AL88" s="1108">
        <f t="shared" si="101"/>
        <v>141.84</v>
      </c>
      <c r="AM88" s="1108">
        <f t="shared" si="102"/>
        <v>141.84</v>
      </c>
      <c r="AN88" s="990">
        <v>0</v>
      </c>
      <c r="AO88" s="1147">
        <f>'CONCEPTOS Y PARAMETROS'!$C$18*AN88</f>
        <v>0</v>
      </c>
      <c r="AP88" s="990">
        <v>0</v>
      </c>
      <c r="AQ88" s="1147">
        <f>'CONCEPTOS Y PARAMETROS'!$C$21*AP88</f>
        <v>0</v>
      </c>
      <c r="AR88" s="1318">
        <v>0</v>
      </c>
      <c r="AS88" s="1318">
        <v>0</v>
      </c>
      <c r="AT88" s="1318">
        <f t="shared" si="208"/>
        <v>0</v>
      </c>
      <c r="AU88" s="1108">
        <f t="shared" si="104"/>
        <v>665.18000000000006</v>
      </c>
      <c r="AV88" s="1133" t="s">
        <v>5080</v>
      </c>
      <c r="AW88" s="1108">
        <f>ROUND(IF(AV88="NOCTURN",(V88+AE88)*30%,0),2)</f>
        <v>153.5</v>
      </c>
      <c r="AX88" s="1107">
        <f>IF(T88&lt;&gt;"0",(ROUND(IF(A88="EMPLEADO",eval_formula('CONCEPTOS Y PARAMETROS'!$C$8,NOMINA!V88,NOMINA!$AU88,NOMINA!I88+NOMINA!J88),eval_formula('CONCEPTOS Y PARAMETROS'!$D$8,NOMINA!V88,NOMINA!$AU88,NOMINA!I88+NOMINA!J88)),2))*IF(H88&lt;&gt;"",IF(MONTH(H88)=$BR$8,IF(YEAR(H88)&lt;$BT$7,1,0),0)))</f>
        <v>5321.44</v>
      </c>
      <c r="AY88" s="1108">
        <v>180</v>
      </c>
      <c r="AZ88" s="1107">
        <f>IFERROR(VLOOKUP(AY88,'CONCEPTOS Y PARAMETROS'!Y:Z,2,0),0)</f>
        <v>150</v>
      </c>
      <c r="BA88" s="1107">
        <f t="shared" si="106"/>
        <v>4988.8500000000004</v>
      </c>
      <c r="BB88" s="1107">
        <f t="shared" si="134"/>
        <v>0</v>
      </c>
      <c r="BC88" s="990">
        <v>0</v>
      </c>
      <c r="BD88" s="1107" t="str">
        <f t="shared" si="107"/>
        <v>0</v>
      </c>
      <c r="BE88" s="990">
        <v>3</v>
      </c>
      <c r="BF88" s="1107">
        <f>ROUND(IF(BE88&gt;0,(((V88+AA88+AB88+AC88+AD88+AW88)/30)*50%+((V88+AA88+AB88+AC88+AD88+AW88)/30))*BE88,"0"),2)</f>
        <v>99.78</v>
      </c>
      <c r="BG88" s="1108">
        <v>320</v>
      </c>
      <c r="BH88" s="1108">
        <v>0</v>
      </c>
      <c r="BI88" s="1132">
        <v>0</v>
      </c>
      <c r="BJ88" s="1108">
        <v>12.5</v>
      </c>
      <c r="BK88" s="1108">
        <v>0</v>
      </c>
      <c r="BL88" s="1107">
        <f t="shared" si="157"/>
        <v>30.7</v>
      </c>
      <c r="BM88" s="1107">
        <f t="shared" si="158"/>
        <v>3.84</v>
      </c>
      <c r="BN88" s="1107">
        <f t="shared" si="109"/>
        <v>6.65</v>
      </c>
      <c r="BO88" s="1107">
        <v>0</v>
      </c>
      <c r="BP88" s="1107">
        <v>0</v>
      </c>
      <c r="BQ88" s="1320">
        <f t="shared" si="110"/>
        <v>41.19</v>
      </c>
      <c r="BR88" s="1107">
        <f t="shared" si="159"/>
        <v>69.08</v>
      </c>
      <c r="BS88" s="1107">
        <f t="shared" si="160"/>
        <v>15.35</v>
      </c>
      <c r="BT88" s="1107">
        <f t="shared" si="111"/>
        <v>13.3</v>
      </c>
      <c r="BU88" s="1107">
        <v>0</v>
      </c>
      <c r="BV88" s="1108">
        <f t="shared" si="112"/>
        <v>97.73</v>
      </c>
      <c r="BW88" s="1112">
        <f t="shared" si="113"/>
        <v>138.92000000000002</v>
      </c>
      <c r="BX88" s="1112">
        <f t="shared" si="178"/>
        <v>1247.21</v>
      </c>
      <c r="BY88" s="1108">
        <v>0</v>
      </c>
      <c r="BZ88" s="1108">
        <f t="shared" si="115"/>
        <v>1247.21</v>
      </c>
      <c r="CA88" s="1321">
        <f>'CONCEPTOS Y PARAMETROS'!$A$102</f>
        <v>6255</v>
      </c>
      <c r="CB88" s="1112">
        <f t="shared" si="116"/>
        <v>214.65</v>
      </c>
      <c r="CC88" s="1113">
        <f t="shared" si="117"/>
        <v>6163.06</v>
      </c>
      <c r="CD88" s="512"/>
      <c r="CE88" s="512"/>
      <c r="CF88" s="470">
        <f t="shared" si="118"/>
        <v>895.84</v>
      </c>
      <c r="CG88" s="495">
        <f t="shared" si="119"/>
        <v>214.65</v>
      </c>
      <c r="CH88" s="498">
        <f t="shared" si="120"/>
        <v>12.5</v>
      </c>
      <c r="CI88" s="1490">
        <f t="shared" si="121"/>
        <v>320</v>
      </c>
      <c r="CJ88" s="1502">
        <v>1</v>
      </c>
      <c r="CK88" s="495">
        <f t="shared" si="122"/>
        <v>575.84</v>
      </c>
      <c r="CL88" s="1689">
        <f t="shared" si="123"/>
        <v>575.84</v>
      </c>
      <c r="CM88" s="1689">
        <f t="shared" si="124"/>
        <v>0</v>
      </c>
      <c r="CN88" s="496">
        <f t="shared" si="125"/>
        <v>99.78</v>
      </c>
      <c r="CO88" s="497">
        <v>0</v>
      </c>
      <c r="CP88" s="496">
        <f t="shared" si="126"/>
        <v>153.5</v>
      </c>
      <c r="CQ88" s="496">
        <f t="shared" si="127"/>
        <v>5321.44</v>
      </c>
      <c r="CR88" s="496">
        <f t="shared" si="128"/>
        <v>6726.4</v>
      </c>
      <c r="CS88" s="496">
        <f t="shared" si="129"/>
        <v>138.92000000000002</v>
      </c>
      <c r="CT88" s="496">
        <f t="shared" si="130"/>
        <v>6255</v>
      </c>
      <c r="CU88" s="470"/>
      <c r="CV88" s="470"/>
      <c r="CW88" s="470"/>
      <c r="CX88" s="470"/>
      <c r="CY88" s="1149" t="s">
        <v>6864</v>
      </c>
      <c r="CZ88" s="1149" t="s">
        <v>6833</v>
      </c>
      <c r="DA88" s="480"/>
      <c r="DB88" s="1642" t="s">
        <v>7481</v>
      </c>
      <c r="DC88" s="1642"/>
      <c r="DD88" s="1642" t="s">
        <v>6135</v>
      </c>
      <c r="DE88" s="1642" t="s">
        <v>6171</v>
      </c>
      <c r="DF88" s="1642" t="s">
        <v>6307</v>
      </c>
      <c r="DG88" s="1642"/>
      <c r="DH88" s="512"/>
      <c r="DI88" s="470"/>
      <c r="DJ88" s="470"/>
      <c r="DK88" s="470"/>
      <c r="DL88" s="470"/>
      <c r="DN88" s="471" t="str">
        <f>VLOOKUP(X88,Hoja1!$A$4:$B$10,2,0)</f>
        <v>TÉCNICO SUPERIOR UNIVERSITARIO</v>
      </c>
      <c r="DO88" s="471" t="str">
        <f>VLOOKUP(S88,Hoja1!$D$4:$F$77,3,0)</f>
        <v>TII - VII</v>
      </c>
      <c r="DP88" s="1156" t="str">
        <f t="shared" si="131"/>
        <v>SI</v>
      </c>
      <c r="DQ88" s="1484">
        <f>IF(T88&lt;&gt;"0",(ROUND(IF(A88="EMPLEADO",eval_formula('CONCEPTOS Y PARAMETROS'!$C$8,NOMINA!V88,AU88+BF88,NOMINA!I88+NOMINA!J88),eval_formula('CONCEPTOS Y PARAMETROS'!$D$8,NOMINA!V88,AU88+BF88,NOMINA!I88+NOMINA!J88)),2))*IF(H88&lt;&gt;"",IF(MONTH(H88)=$BR$8,IF(YEAR(H88)&lt;$BT$7,1,0),0)))</f>
        <v>6119.68</v>
      </c>
      <c r="DR88" s="1801" t="str">
        <f t="shared" si="132"/>
        <v>F</v>
      </c>
      <c r="DS88" s="1801"/>
    </row>
    <row r="89" spans="1:123" s="476" customFormat="1" ht="21.95" customHeight="1" x14ac:dyDescent="0.25">
      <c r="A89" s="508" t="s">
        <v>2846</v>
      </c>
      <c r="B89" s="1314">
        <f t="shared" ca="1" si="133"/>
        <v>46</v>
      </c>
      <c r="C89" s="1148">
        <v>10910698</v>
      </c>
      <c r="D89" s="1149" t="s">
        <v>4730</v>
      </c>
      <c r="E89" s="1135" t="s">
        <v>4622</v>
      </c>
      <c r="F89" s="1150">
        <v>26146</v>
      </c>
      <c r="G89" s="1135" t="s">
        <v>4621</v>
      </c>
      <c r="H89" s="1150">
        <v>43891</v>
      </c>
      <c r="I89" s="1140">
        <f t="shared" si="90"/>
        <v>5</v>
      </c>
      <c r="J89" s="1132">
        <v>0</v>
      </c>
      <c r="K89" s="1140">
        <f t="shared" si="91"/>
        <v>5</v>
      </c>
      <c r="L89" s="1145" t="s">
        <v>5534</v>
      </c>
      <c r="M89" s="1132"/>
      <c r="N89" s="1132"/>
      <c r="O89" s="1002" t="s">
        <v>7261</v>
      </c>
      <c r="P89" s="1132" t="s">
        <v>5307</v>
      </c>
      <c r="Q89" s="1315" t="str">
        <f>IFERROR(VLOOKUP(O89,CARGOS!A:E,2,0),"")</f>
        <v>12112</v>
      </c>
      <c r="R89" s="1327" t="s">
        <v>5215</v>
      </c>
      <c r="S89" s="1146" t="s">
        <v>5477</v>
      </c>
      <c r="T89" s="1107">
        <f>IFERROR(VLOOKUP(S89,'TAB EMP'!A:B,2,0),0)</f>
        <v>150</v>
      </c>
      <c r="U89" s="1108">
        <v>0</v>
      </c>
      <c r="V89" s="1107">
        <f t="shared" si="92"/>
        <v>150</v>
      </c>
      <c r="W89" s="1108">
        <f t="shared" si="93"/>
        <v>75</v>
      </c>
      <c r="X89" s="1135" t="s">
        <v>2884</v>
      </c>
      <c r="Y89" s="1135"/>
      <c r="Z89" s="1135">
        <v>0</v>
      </c>
      <c r="AA89" s="1107">
        <f>ROUND(IF(H89&lt;&gt;"",VLOOKUP(SUM(I89+J89),'CONCEPTOS Y PARAMETROS'!F:G,2,0)*V89,0),2)</f>
        <v>7.5</v>
      </c>
      <c r="AB89" s="1107">
        <f>IF(S89&lt;&gt;"",IF(M89="",'CONCEPTOS Y PARAMETROS'!$C$4,0),0)</f>
        <v>130</v>
      </c>
      <c r="AC89" s="1107">
        <f>IF(S89&lt;&gt;"",IF(M89="",'CONCEPTOS Y PARAMETROS'!$C$7*Z89,0),0)</f>
        <v>0</v>
      </c>
      <c r="AD89" s="1107">
        <f>IFERROR(ROUND(VLOOKUP($X89,'CONCEPTOS Y PARAMETROS'!H:I,2,0)*($V89+AA89+AB89+AC89),2),0)</f>
        <v>0</v>
      </c>
      <c r="AE89" s="1107">
        <f t="shared" si="94"/>
        <v>137.5</v>
      </c>
      <c r="AF89" s="1107">
        <f t="shared" si="95"/>
        <v>3.75</v>
      </c>
      <c r="AG89" s="1107">
        <f t="shared" si="96"/>
        <v>3.75</v>
      </c>
      <c r="AH89" s="1107">
        <f t="shared" si="97"/>
        <v>65</v>
      </c>
      <c r="AI89" s="1107">
        <f t="shared" si="98"/>
        <v>65</v>
      </c>
      <c r="AJ89" s="1107">
        <f t="shared" si="99"/>
        <v>0</v>
      </c>
      <c r="AK89" s="1107">
        <f t="shared" si="100"/>
        <v>0</v>
      </c>
      <c r="AL89" s="1108">
        <f t="shared" si="101"/>
        <v>68.75</v>
      </c>
      <c r="AM89" s="1108">
        <f t="shared" si="102"/>
        <v>68.75</v>
      </c>
      <c r="AN89" s="990">
        <v>0</v>
      </c>
      <c r="AO89" s="1147">
        <f>'CONCEPTOS Y PARAMETROS'!$C$18*AN89</f>
        <v>0</v>
      </c>
      <c r="AP89" s="990">
        <v>0</v>
      </c>
      <c r="AQ89" s="1147">
        <f>'CONCEPTOS Y PARAMETROS'!$C$21*AP89</f>
        <v>0</v>
      </c>
      <c r="AR89" s="1318">
        <v>0</v>
      </c>
      <c r="AS89" s="1318">
        <v>0</v>
      </c>
      <c r="AT89" s="1318">
        <f t="shared" si="208"/>
        <v>0</v>
      </c>
      <c r="AU89" s="1108">
        <f t="shared" si="104"/>
        <v>287.5</v>
      </c>
      <c r="AV89" s="1133">
        <v>0</v>
      </c>
      <c r="AW89" s="1108">
        <f>ROUND(IF(AV89="NOCTURN",(V89+AE89)*30%,0),2)</f>
        <v>0</v>
      </c>
      <c r="AX89" s="1107">
        <f>IF(T89&lt;&gt;"0",(ROUND(IF(A89="EMPLEADO",eval_formula('CONCEPTOS Y PARAMETROS'!$C$8,NOMINA!V89,NOMINA!$AU89,NOMINA!I89+NOMINA!J89),eval_formula('CONCEPTOS Y PARAMETROS'!$D$8,NOMINA!V89,NOMINA!$AU89,NOMINA!I89+NOMINA!J89)),2))*IF(H89&lt;&gt;"",IF(MONTH(H89)=$BR$8,IF(YEAR(H89)&lt;$BT$7,1,0),0)))</f>
        <v>0</v>
      </c>
      <c r="AY89" s="1108">
        <v>180</v>
      </c>
      <c r="AZ89" s="1107">
        <f>IFERROR(VLOOKUP(AY89,'CONCEPTOS Y PARAMETROS'!Y:Z,2,0),0)</f>
        <v>150</v>
      </c>
      <c r="BA89" s="1107">
        <f t="shared" si="106"/>
        <v>2156.25</v>
      </c>
      <c r="BB89" s="1107">
        <f t="shared" si="134"/>
        <v>0</v>
      </c>
      <c r="BC89" s="990">
        <v>0</v>
      </c>
      <c r="BD89" s="1107" t="str">
        <f t="shared" si="107"/>
        <v>0</v>
      </c>
      <c r="BE89" s="990">
        <v>0</v>
      </c>
      <c r="BF89" s="1107">
        <f>ROUND(IF(BE89&gt;0,(((V89+AA89+AB89+AC89+AD89+AW89)/30)*50%+((V89+AA89+AB89+AC89+AD89+AW89)/30))*BE89,"0"),2)</f>
        <v>0</v>
      </c>
      <c r="BG89" s="1108">
        <v>320</v>
      </c>
      <c r="BH89" s="1108">
        <v>0</v>
      </c>
      <c r="BI89" s="1132">
        <v>0</v>
      </c>
      <c r="BJ89" s="1108">
        <v>12.5</v>
      </c>
      <c r="BK89" s="1108">
        <v>0</v>
      </c>
      <c r="BL89" s="1107">
        <f t="shared" si="157"/>
        <v>13.27</v>
      </c>
      <c r="BM89" s="1107">
        <f t="shared" si="158"/>
        <v>1.66</v>
      </c>
      <c r="BN89" s="1107">
        <f t="shared" si="109"/>
        <v>2.88</v>
      </c>
      <c r="BO89" s="1107">
        <v>0</v>
      </c>
      <c r="BP89" s="1107">
        <v>0</v>
      </c>
      <c r="BQ89" s="1320">
        <f t="shared" si="110"/>
        <v>17.809999999999999</v>
      </c>
      <c r="BR89" s="1107">
        <f t="shared" si="159"/>
        <v>29.86</v>
      </c>
      <c r="BS89" s="1107">
        <f t="shared" si="160"/>
        <v>6.63</v>
      </c>
      <c r="BT89" s="1107">
        <f t="shared" si="111"/>
        <v>5.76</v>
      </c>
      <c r="BU89" s="1107">
        <v>0</v>
      </c>
      <c r="BV89" s="1108">
        <f t="shared" si="112"/>
        <v>42.25</v>
      </c>
      <c r="BW89" s="1112">
        <f t="shared" si="113"/>
        <v>60.06</v>
      </c>
      <c r="BX89" s="1112">
        <f t="shared" si="178"/>
        <v>539.05999999999995</v>
      </c>
      <c r="BY89" s="1108">
        <v>0</v>
      </c>
      <c r="BZ89" s="1108">
        <f t="shared" si="115"/>
        <v>539.05999999999995</v>
      </c>
      <c r="CA89" s="1321">
        <f>'CONCEPTOS Y PARAMETROS'!$A$102</f>
        <v>6255</v>
      </c>
      <c r="CB89" s="1112">
        <f t="shared" si="116"/>
        <v>125.94</v>
      </c>
      <c r="CC89" s="1113">
        <f t="shared" si="117"/>
        <v>476.25</v>
      </c>
      <c r="CD89" s="512"/>
      <c r="CE89" s="512"/>
      <c r="CF89" s="470">
        <f t="shared" si="118"/>
        <v>783.75</v>
      </c>
      <c r="CG89" s="509">
        <f t="shared" si="119"/>
        <v>125.94</v>
      </c>
      <c r="CH89" s="1603">
        <f t="shared" si="120"/>
        <v>12.5</v>
      </c>
      <c r="CI89" s="1491">
        <f t="shared" si="121"/>
        <v>320</v>
      </c>
      <c r="CJ89" s="1502">
        <v>1</v>
      </c>
      <c r="CK89" s="509">
        <f t="shared" si="122"/>
        <v>463.75</v>
      </c>
      <c r="CL89" s="1689">
        <f t="shared" si="123"/>
        <v>463.75</v>
      </c>
      <c r="CM89" s="1689">
        <f t="shared" si="124"/>
        <v>0</v>
      </c>
      <c r="CN89" s="510">
        <f t="shared" si="125"/>
        <v>0</v>
      </c>
      <c r="CO89" s="511">
        <v>0</v>
      </c>
      <c r="CP89" s="510">
        <f t="shared" si="126"/>
        <v>0</v>
      </c>
      <c r="CQ89" s="510">
        <f t="shared" si="127"/>
        <v>0</v>
      </c>
      <c r="CR89" s="510">
        <f t="shared" si="128"/>
        <v>927.5</v>
      </c>
      <c r="CS89" s="510">
        <f t="shared" si="129"/>
        <v>60.06</v>
      </c>
      <c r="CT89" s="510">
        <f t="shared" si="130"/>
        <v>6255</v>
      </c>
      <c r="CU89" s="512"/>
      <c r="CV89" s="512"/>
      <c r="CW89" s="512"/>
      <c r="CX89" s="512"/>
      <c r="CY89" s="1149" t="s">
        <v>6807</v>
      </c>
      <c r="CZ89" s="1149" t="s">
        <v>7100</v>
      </c>
      <c r="DA89" s="1152"/>
      <c r="DB89" s="1642" t="s">
        <v>6395</v>
      </c>
      <c r="DC89" s="1642"/>
      <c r="DD89" s="1642" t="s">
        <v>6131</v>
      </c>
      <c r="DE89" s="1642" t="s">
        <v>6132</v>
      </c>
      <c r="DF89" s="1642" t="s">
        <v>6531</v>
      </c>
      <c r="DG89" s="1152"/>
      <c r="DH89" s="512"/>
      <c r="DI89" s="512"/>
      <c r="DJ89" s="512"/>
      <c r="DK89" s="512"/>
      <c r="DL89" s="512"/>
      <c r="DN89" s="476" t="str">
        <f>VLOOKUP(X89,Hoja1!$A$4:$B$10,2,0)</f>
        <v>BACHILLER</v>
      </c>
      <c r="DO89" s="476" t="str">
        <f>VLOOKUP(S89,Hoja1!$D$4:$F$77,3,0)</f>
        <v>BII - II</v>
      </c>
      <c r="DP89" s="1594" t="str">
        <f t="shared" si="131"/>
        <v>0</v>
      </c>
      <c r="DQ89" s="1484">
        <f>IF(T89&lt;&gt;"0",(ROUND(IF(A89="EMPLEADO",eval_formula('CONCEPTOS Y PARAMETROS'!$C$8,NOMINA!V89,AU89+BF89,NOMINA!I89+NOMINA!J89),eval_formula('CONCEPTOS Y PARAMETROS'!$D$8,NOMINA!V89,AU89+BF89,NOMINA!I89+NOMINA!J89)),2))*IF(H89&lt;&gt;"",IF(MONTH(H89)=$BR$8,IF(YEAR(H89)&lt;$BT$7,1,0),0)))</f>
        <v>0</v>
      </c>
      <c r="DR89" s="1799" t="str">
        <f t="shared" si="132"/>
        <v>M</v>
      </c>
      <c r="DS89" s="1799"/>
    </row>
    <row r="90" spans="1:123" s="911" customFormat="1" ht="21.95" customHeight="1" x14ac:dyDescent="0.25">
      <c r="A90" s="910" t="s">
        <v>2846</v>
      </c>
      <c r="B90" s="1328">
        <f ca="1">OFFSET(B90,-1,0)+1</f>
        <v>47</v>
      </c>
      <c r="C90" s="1329">
        <v>10912595</v>
      </c>
      <c r="D90" s="1330" t="s">
        <v>4681</v>
      </c>
      <c r="E90" s="1331" t="s">
        <v>4622</v>
      </c>
      <c r="F90" s="1332">
        <v>25224</v>
      </c>
      <c r="G90" s="1331" t="s">
        <v>4621</v>
      </c>
      <c r="H90" s="1332">
        <v>36039</v>
      </c>
      <c r="I90" s="1333">
        <f t="shared" si="90"/>
        <v>27</v>
      </c>
      <c r="J90" s="1334">
        <v>0</v>
      </c>
      <c r="K90" s="1333">
        <f t="shared" si="91"/>
        <v>27</v>
      </c>
      <c r="L90" s="1335" t="s">
        <v>5527</v>
      </c>
      <c r="M90" s="1334"/>
      <c r="N90" s="1334"/>
      <c r="O90" s="1336" t="s">
        <v>5217</v>
      </c>
      <c r="P90" s="1334" t="s">
        <v>5200</v>
      </c>
      <c r="Q90" s="1337" t="str">
        <f>IFERROR(VLOOKUP(O90,CARGOS!A:E,2,0),"")</f>
        <v>79512</v>
      </c>
      <c r="R90" s="1336" t="s">
        <v>5217</v>
      </c>
      <c r="S90" s="1338" t="s">
        <v>5463</v>
      </c>
      <c r="T90" s="1339">
        <v>0</v>
      </c>
      <c r="U90" s="1307">
        <v>0</v>
      </c>
      <c r="V90" s="1339">
        <f>T90-U90</f>
        <v>0</v>
      </c>
      <c r="W90" s="1307">
        <f>ROUND(V90/2,2)</f>
        <v>0</v>
      </c>
      <c r="X90" s="1331" t="s">
        <v>2884</v>
      </c>
      <c r="Y90" s="1331"/>
      <c r="Z90" s="1331">
        <v>0</v>
      </c>
      <c r="AA90" s="1339">
        <f>ROUND(IF(H90&lt;&gt;"",VLOOKUP(SUM(I90+J90),'CONCEPTOS Y PARAMETROS'!F:G,2,0)*V90,0),2)</f>
        <v>0</v>
      </c>
      <c r="AB90" s="1339">
        <v>0</v>
      </c>
      <c r="AC90" s="1339">
        <v>0</v>
      </c>
      <c r="AD90" s="1339">
        <f>IFERROR(ROUND(VLOOKUP($X90,'CONCEPTOS Y PARAMETROS'!H:I,2,0)*($V90+AA90+AB90+AC90),2),0)</f>
        <v>0</v>
      </c>
      <c r="AE90" s="1339">
        <f>SUM(AA90:AD90)</f>
        <v>0</v>
      </c>
      <c r="AF90" s="1339">
        <f>ROUND(AA90/2,2)</f>
        <v>0</v>
      </c>
      <c r="AG90" s="1339">
        <f>ROUND(AA90-AF90,2)</f>
        <v>0</v>
      </c>
      <c r="AH90" s="1339">
        <f>ROUND(AB90/2,2)</f>
        <v>0</v>
      </c>
      <c r="AI90" s="1339">
        <f>ROUND(AB90-AH90,2)</f>
        <v>0</v>
      </c>
      <c r="AJ90" s="1339">
        <f>ROUND(AD90/2,2)</f>
        <v>0</v>
      </c>
      <c r="AK90" s="1339">
        <f>ROUND(AD90-AJ90,2)</f>
        <v>0</v>
      </c>
      <c r="AL90" s="1307">
        <f>ROUND(AF90+AH90+AJ90+AC90,2)</f>
        <v>0</v>
      </c>
      <c r="AM90" s="1307">
        <f>ROUND(AG90+AI90+AK90,2)</f>
        <v>0</v>
      </c>
      <c r="AN90" s="1340">
        <v>0</v>
      </c>
      <c r="AO90" s="1341">
        <v>0</v>
      </c>
      <c r="AP90" s="1340">
        <v>0</v>
      </c>
      <c r="AQ90" s="1341">
        <f>'CONCEPTOS Y PARAMETROS'!$C$21*AP90</f>
        <v>0</v>
      </c>
      <c r="AR90" s="1342">
        <v>0</v>
      </c>
      <c r="AS90" s="1342">
        <v>0</v>
      </c>
      <c r="AT90" s="1342">
        <f>+AO90+AQ90+AR90+AS90</f>
        <v>0</v>
      </c>
      <c r="AU90" s="1307">
        <f t="shared" si="104"/>
        <v>0</v>
      </c>
      <c r="AV90" s="1343">
        <v>0</v>
      </c>
      <c r="AW90" s="1307">
        <f>ROUND(IF(O90="VIGILANTE",(V90+AE90)*30%,0),2)</f>
        <v>0</v>
      </c>
      <c r="AX90" s="1339">
        <f>IF(T90&lt;&gt;"0",(ROUND(IF(A90="EMPLEADO",eval_formula('CONCEPTOS Y PARAMETROS'!$C$8,NOMINA!V90,NOMINA!$AU90,NOMINA!I90+NOMINA!J90),eval_formula('CONCEPTOS Y PARAMETROS'!$D$8,NOMINA!V90,NOMINA!$AU90,NOMINA!I90+NOMINA!J90)),2))*IF(H90&lt;&gt;"",IF(MONTH(H90)=$BR$8,IF(YEAR(H90)&lt;$BT$7,1,0),0)))</f>
        <v>0</v>
      </c>
      <c r="AY90" s="1307">
        <v>180</v>
      </c>
      <c r="AZ90" s="1339">
        <f>IFERROR(VLOOKUP(AY90,'CONCEPTOS Y PARAMETROS'!Y:Z,2,0),0)</f>
        <v>150</v>
      </c>
      <c r="BA90" s="1339">
        <f>ROUND((((AU90))/30*AY90/12+(AU90))/30*AZ90,2)</f>
        <v>0</v>
      </c>
      <c r="BB90" s="1339">
        <f t="shared" si="134"/>
        <v>0</v>
      </c>
      <c r="BC90" s="1340">
        <v>0</v>
      </c>
      <c r="BD90" s="1339" t="str">
        <f t="shared" si="107"/>
        <v>0</v>
      </c>
      <c r="BE90" s="1340">
        <v>0</v>
      </c>
      <c r="BF90" s="1339">
        <f>ROUND(IF(BE90&gt;0,(((V90+AA90+AB90+AC90+AD90)/30)*50%+((V90+AA90+AB90+AC90+AD90)/30))*BE90,"0"),2)</f>
        <v>0</v>
      </c>
      <c r="BG90" s="1307">
        <v>0</v>
      </c>
      <c r="BH90" s="1307">
        <v>0</v>
      </c>
      <c r="BI90" s="1334">
        <v>0</v>
      </c>
      <c r="BJ90" s="1307">
        <v>0</v>
      </c>
      <c r="BK90" s="1307">
        <v>0</v>
      </c>
      <c r="BL90" s="1339">
        <f t="shared" si="157"/>
        <v>0</v>
      </c>
      <c r="BM90" s="1339">
        <f t="shared" si="158"/>
        <v>0</v>
      </c>
      <c r="BN90" s="1339">
        <f t="shared" si="109"/>
        <v>0</v>
      </c>
      <c r="BO90" s="1339">
        <v>0</v>
      </c>
      <c r="BP90" s="1339">
        <v>0</v>
      </c>
      <c r="BQ90" s="1344">
        <f>ROUND(SUM(BL90:BP90),2)</f>
        <v>0</v>
      </c>
      <c r="BR90" s="1339">
        <f t="shared" si="159"/>
        <v>0</v>
      </c>
      <c r="BS90" s="1339">
        <f t="shared" si="160"/>
        <v>0</v>
      </c>
      <c r="BT90" s="1339">
        <f t="shared" si="111"/>
        <v>0</v>
      </c>
      <c r="BU90" s="1339">
        <v>0</v>
      </c>
      <c r="BV90" s="1307">
        <f>ROUND(SUM(BR90:BT90),2)</f>
        <v>0</v>
      </c>
      <c r="BW90" s="1305">
        <f>BQ90+BV90</f>
        <v>0</v>
      </c>
      <c r="BX90" s="1305">
        <f t="shared" si="178"/>
        <v>0</v>
      </c>
      <c r="BY90" s="1307">
        <v>0</v>
      </c>
      <c r="BZ90" s="1307">
        <f t="shared" si="115"/>
        <v>0</v>
      </c>
      <c r="CA90" s="1345">
        <v>0</v>
      </c>
      <c r="CB90" s="1305">
        <f t="shared" si="116"/>
        <v>0</v>
      </c>
      <c r="CC90" s="1346">
        <f t="shared" si="117"/>
        <v>0</v>
      </c>
      <c r="CD90" s="512"/>
      <c r="CE90" s="512"/>
      <c r="CF90" s="470">
        <f t="shared" si="118"/>
        <v>0</v>
      </c>
      <c r="CG90" s="912">
        <f t="shared" si="119"/>
        <v>0</v>
      </c>
      <c r="CH90" s="498">
        <f t="shared" si="120"/>
        <v>0</v>
      </c>
      <c r="CI90" s="1492">
        <f t="shared" si="121"/>
        <v>0</v>
      </c>
      <c r="CJ90" s="1504">
        <v>0</v>
      </c>
      <c r="CK90" s="912">
        <f t="shared" si="122"/>
        <v>0</v>
      </c>
      <c r="CL90" s="912">
        <f t="shared" si="123"/>
        <v>0</v>
      </c>
      <c r="CM90" s="912">
        <f t="shared" si="124"/>
        <v>0</v>
      </c>
      <c r="CN90" s="913">
        <f t="shared" si="125"/>
        <v>0</v>
      </c>
      <c r="CO90" s="914">
        <v>0</v>
      </c>
      <c r="CP90" s="913">
        <f t="shared" si="126"/>
        <v>0</v>
      </c>
      <c r="CQ90" s="913">
        <f t="shared" si="127"/>
        <v>0</v>
      </c>
      <c r="CR90" s="496">
        <f t="shared" si="128"/>
        <v>0</v>
      </c>
      <c r="CS90" s="913">
        <f t="shared" si="129"/>
        <v>0</v>
      </c>
      <c r="CT90" s="913">
        <f t="shared" si="130"/>
        <v>0</v>
      </c>
      <c r="CU90" s="470"/>
      <c r="CV90" s="470"/>
      <c r="CW90" s="470"/>
      <c r="CX90" s="470"/>
      <c r="CY90" s="1330" t="s">
        <v>6812</v>
      </c>
      <c r="CZ90" s="1330" t="s">
        <v>6813</v>
      </c>
      <c r="DA90" s="1613"/>
      <c r="DB90" s="1152"/>
      <c r="DC90" s="1152"/>
      <c r="DD90" s="1143"/>
      <c r="DE90" s="1152"/>
      <c r="DF90" s="1152"/>
      <c r="DG90" s="1152"/>
      <c r="DH90" s="915"/>
      <c r="DI90" s="915"/>
      <c r="DJ90" s="915"/>
      <c r="DK90" s="915"/>
      <c r="DL90" s="915"/>
      <c r="DN90" s="911" t="str">
        <f>VLOOKUP(X90,Hoja1!$A$4:$B$10,2,0)</f>
        <v>BACHILLER</v>
      </c>
      <c r="DO90" s="911" t="str">
        <f>VLOOKUP(S90,Hoja1!$D$4:$F$77,3,0)</f>
        <v>BIII - VII</v>
      </c>
      <c r="DP90" s="1157" t="str">
        <f t="shared" si="131"/>
        <v>0</v>
      </c>
      <c r="DQ90" s="1484">
        <f>IF(T90&lt;&gt;"0",(ROUND(IF(A90="EMPLEADO",eval_formula('CONCEPTOS Y PARAMETROS'!$C$8,NOMINA!V90,AU90+BF90,NOMINA!I90+NOMINA!J90),eval_formula('CONCEPTOS Y PARAMETROS'!$D$8,NOMINA!V90,AU90+BF90,NOMINA!I90+NOMINA!J90)),2))*IF(H90&lt;&gt;"",IF(MONTH(H90)=$BR$8,IF(YEAR(H90)&lt;$BT$7,1,0),0)))</f>
        <v>0</v>
      </c>
      <c r="DR90" s="1800" t="str">
        <f t="shared" si="132"/>
        <v>M</v>
      </c>
      <c r="DS90" s="1800"/>
    </row>
    <row r="91" spans="1:123" s="471" customFormat="1" ht="21.95" customHeight="1" x14ac:dyDescent="0.25">
      <c r="A91" s="508" t="s">
        <v>2846</v>
      </c>
      <c r="B91" s="1314">
        <f t="shared" ca="1" si="133"/>
        <v>48</v>
      </c>
      <c r="C91" s="1148">
        <v>10913178</v>
      </c>
      <c r="D91" s="1149" t="s">
        <v>4733</v>
      </c>
      <c r="E91" s="1135" t="s">
        <v>4622</v>
      </c>
      <c r="F91" s="1150">
        <v>25604</v>
      </c>
      <c r="G91" s="1135" t="s">
        <v>4620</v>
      </c>
      <c r="H91" s="1150">
        <v>44805</v>
      </c>
      <c r="I91" s="1140">
        <f t="shared" si="90"/>
        <v>3</v>
      </c>
      <c r="J91" s="1132">
        <v>9</v>
      </c>
      <c r="K91" s="1140">
        <f t="shared" si="91"/>
        <v>12</v>
      </c>
      <c r="L91" s="1145" t="s">
        <v>5539</v>
      </c>
      <c r="M91" s="1132"/>
      <c r="N91" s="1132"/>
      <c r="O91" s="1002" t="s">
        <v>5232</v>
      </c>
      <c r="P91" s="1132" t="s">
        <v>5309</v>
      </c>
      <c r="Q91" s="1315" t="str">
        <f>IFERROR(VLOOKUP(O91,CARGOS!A:E,2,0),"")</f>
        <v>79330</v>
      </c>
      <c r="R91" s="1327" t="s">
        <v>5232</v>
      </c>
      <c r="S91" s="1146" t="s">
        <v>5464</v>
      </c>
      <c r="T91" s="1107">
        <f>IFERROR(VLOOKUP(S91,'TAB EMP'!A:B,2,0),0)</f>
        <v>174</v>
      </c>
      <c r="U91" s="1108">
        <v>0</v>
      </c>
      <c r="V91" s="1107">
        <f t="shared" si="92"/>
        <v>174</v>
      </c>
      <c r="W91" s="1108">
        <f t="shared" si="93"/>
        <v>87</v>
      </c>
      <c r="X91" s="1135" t="s">
        <v>2884</v>
      </c>
      <c r="Y91" s="1135"/>
      <c r="Z91" s="1135">
        <v>0</v>
      </c>
      <c r="AA91" s="1107">
        <f>ROUND(IF(H91&lt;&gt;"",VLOOKUP(SUM(I91+J91),'CONCEPTOS Y PARAMETROS'!F:G,2,0)*V91,0),2)</f>
        <v>24.01</v>
      </c>
      <c r="AB91" s="1107">
        <f>IF(S91&lt;&gt;"",IF(M91="",'CONCEPTOS Y PARAMETROS'!$C$4,0),0)</f>
        <v>130</v>
      </c>
      <c r="AC91" s="1107">
        <f>IF(S91&lt;&gt;"",IF(M91="",'CONCEPTOS Y PARAMETROS'!$C$7*Z91,0),0)</f>
        <v>0</v>
      </c>
      <c r="AD91" s="1107">
        <f>IFERROR(ROUND(VLOOKUP($X91,'CONCEPTOS Y PARAMETROS'!H:I,2,0)*($V91+AA91+AB91+AC91),2),0)</f>
        <v>0</v>
      </c>
      <c r="AE91" s="1107">
        <f t="shared" si="94"/>
        <v>154.01</v>
      </c>
      <c r="AF91" s="1107">
        <f t="shared" si="95"/>
        <v>12.01</v>
      </c>
      <c r="AG91" s="1107">
        <f t="shared" si="96"/>
        <v>12</v>
      </c>
      <c r="AH91" s="1107">
        <f t="shared" si="97"/>
        <v>65</v>
      </c>
      <c r="AI91" s="1107">
        <f t="shared" si="98"/>
        <v>65</v>
      </c>
      <c r="AJ91" s="1107">
        <f t="shared" si="99"/>
        <v>0</v>
      </c>
      <c r="AK91" s="1107">
        <f t="shared" si="100"/>
        <v>0</v>
      </c>
      <c r="AL91" s="1108">
        <f t="shared" si="101"/>
        <v>77.010000000000005</v>
      </c>
      <c r="AM91" s="1108">
        <f t="shared" si="102"/>
        <v>77</v>
      </c>
      <c r="AN91" s="990">
        <v>0</v>
      </c>
      <c r="AO91" s="1147">
        <f>'CONCEPTOS Y PARAMETROS'!$C$18*AN91</f>
        <v>0</v>
      </c>
      <c r="AP91" s="990">
        <v>0</v>
      </c>
      <c r="AQ91" s="1147">
        <f>'CONCEPTOS Y PARAMETROS'!$C$21*AP91</f>
        <v>0</v>
      </c>
      <c r="AR91" s="1318">
        <v>0</v>
      </c>
      <c r="AS91" s="1318">
        <v>0</v>
      </c>
      <c r="AT91" s="1318">
        <f t="shared" si="208"/>
        <v>0</v>
      </c>
      <c r="AU91" s="1108">
        <f t="shared" si="104"/>
        <v>328.01</v>
      </c>
      <c r="AV91" s="1133">
        <v>0</v>
      </c>
      <c r="AW91" s="1108">
        <f t="shared" ref="AW91:AW107" si="225">ROUND(IF(AV91="NOCTURN",(V91+AE91)*30%,0),2)</f>
        <v>0</v>
      </c>
      <c r="AX91" s="1107">
        <f>IF(T91&lt;&gt;"0",(ROUND(IF(A91="EMPLEADO",eval_formula('CONCEPTOS Y PARAMETROS'!$C$8,NOMINA!V91,NOMINA!$AU91,NOMINA!I91+NOMINA!J91),eval_formula('CONCEPTOS Y PARAMETROS'!$D$8,NOMINA!V91,NOMINA!$AU91,NOMINA!I91+NOMINA!J91)),2))*IF(H91&lt;&gt;"",IF(MONTH(H91)=$BR$8,IF(YEAR(H91)&lt;$BT$7,1,0),0)))</f>
        <v>2624.08</v>
      </c>
      <c r="AY91" s="1108">
        <v>180</v>
      </c>
      <c r="AZ91" s="1107">
        <f>IFERROR(VLOOKUP(AY91,'CONCEPTOS Y PARAMETROS'!Y:Z,2,0),0)</f>
        <v>150</v>
      </c>
      <c r="BA91" s="1107">
        <f t="shared" si="106"/>
        <v>2460.08</v>
      </c>
      <c r="BB91" s="1107">
        <f t="shared" si="134"/>
        <v>0</v>
      </c>
      <c r="BC91" s="990">
        <v>0</v>
      </c>
      <c r="BD91" s="1107" t="str">
        <f t="shared" si="107"/>
        <v>0</v>
      </c>
      <c r="BE91" s="990">
        <v>0</v>
      </c>
      <c r="BF91" s="1107">
        <f t="shared" ref="BF91:BF103" si="226">ROUND(IF(BE91&gt;0,(((V91+AA91+AB91+AC91+AD91+AW91)/30)*50%+((V91+AA91+AB91+AC91+AD91+AW91)/30))*BE91,"0"),2)</f>
        <v>0</v>
      </c>
      <c r="BG91" s="1108">
        <v>320</v>
      </c>
      <c r="BH91" s="1108">
        <v>0</v>
      </c>
      <c r="BI91" s="1132">
        <v>0</v>
      </c>
      <c r="BJ91" s="1108">
        <v>12.5</v>
      </c>
      <c r="BK91" s="1108">
        <v>0</v>
      </c>
      <c r="BL91" s="1107">
        <f t="shared" si="157"/>
        <v>15.14</v>
      </c>
      <c r="BM91" s="1107">
        <f t="shared" si="158"/>
        <v>1.89</v>
      </c>
      <c r="BN91" s="1107">
        <f t="shared" si="109"/>
        <v>3.28</v>
      </c>
      <c r="BO91" s="1107">
        <v>0</v>
      </c>
      <c r="BP91" s="1107">
        <v>0</v>
      </c>
      <c r="BQ91" s="1320">
        <f t="shared" si="110"/>
        <v>20.309999999999999</v>
      </c>
      <c r="BR91" s="1107">
        <f t="shared" si="159"/>
        <v>34.06</v>
      </c>
      <c r="BS91" s="1107">
        <f t="shared" si="160"/>
        <v>7.57</v>
      </c>
      <c r="BT91" s="1107">
        <f t="shared" si="111"/>
        <v>6.56</v>
      </c>
      <c r="BU91" s="1107">
        <v>0</v>
      </c>
      <c r="BV91" s="1108">
        <f t="shared" si="112"/>
        <v>48.19</v>
      </c>
      <c r="BW91" s="1112">
        <f t="shared" si="113"/>
        <v>68.5</v>
      </c>
      <c r="BX91" s="1112">
        <f t="shared" si="178"/>
        <v>615.02</v>
      </c>
      <c r="BY91" s="1108">
        <v>0</v>
      </c>
      <c r="BZ91" s="1108">
        <f t="shared" si="115"/>
        <v>615.02</v>
      </c>
      <c r="CA91" s="1321">
        <f>'CONCEPTOS Y PARAMETROS'!$A$102</f>
        <v>6255</v>
      </c>
      <c r="CB91" s="1112">
        <f t="shared" si="116"/>
        <v>143.69999999999999</v>
      </c>
      <c r="CC91" s="1113">
        <f t="shared" si="117"/>
        <v>3120.58</v>
      </c>
      <c r="CD91" s="512"/>
      <c r="CE91" s="512"/>
      <c r="CF91" s="470">
        <f t="shared" si="118"/>
        <v>804</v>
      </c>
      <c r="CG91" s="495">
        <f t="shared" si="119"/>
        <v>143.69999999999999</v>
      </c>
      <c r="CH91" s="498">
        <f t="shared" si="120"/>
        <v>12.5</v>
      </c>
      <c r="CI91" s="1490">
        <f t="shared" si="121"/>
        <v>320</v>
      </c>
      <c r="CJ91" s="1500">
        <v>1</v>
      </c>
      <c r="CK91" s="495">
        <f t="shared" si="122"/>
        <v>484</v>
      </c>
      <c r="CL91" s="1689">
        <f t="shared" si="123"/>
        <v>484</v>
      </c>
      <c r="CM91" s="1689">
        <f t="shared" si="124"/>
        <v>0</v>
      </c>
      <c r="CN91" s="496">
        <f t="shared" si="125"/>
        <v>0</v>
      </c>
      <c r="CO91" s="497">
        <v>0</v>
      </c>
      <c r="CP91" s="496">
        <f t="shared" si="126"/>
        <v>0</v>
      </c>
      <c r="CQ91" s="496">
        <f t="shared" si="127"/>
        <v>2624.08</v>
      </c>
      <c r="CR91" s="496">
        <f t="shared" si="128"/>
        <v>3592.08</v>
      </c>
      <c r="CS91" s="496">
        <f t="shared" si="129"/>
        <v>68.5</v>
      </c>
      <c r="CT91" s="496">
        <f t="shared" si="130"/>
        <v>6255</v>
      </c>
      <c r="CU91" s="470"/>
      <c r="CV91" s="470"/>
      <c r="CW91" s="470"/>
      <c r="CX91" s="470"/>
      <c r="CY91" s="1149" t="s">
        <v>7049</v>
      </c>
      <c r="CZ91" s="1149" t="s">
        <v>7101</v>
      </c>
      <c r="DA91" s="480"/>
      <c r="DB91" s="1642" t="s">
        <v>6570</v>
      </c>
      <c r="DC91" s="1642"/>
      <c r="DD91" s="1642" t="s">
        <v>6137</v>
      </c>
      <c r="DE91" s="1642" t="s">
        <v>6217</v>
      </c>
      <c r="DF91" s="1642" t="s">
        <v>7538</v>
      </c>
      <c r="DG91" s="1152"/>
      <c r="DH91" s="470"/>
      <c r="DI91" s="470"/>
      <c r="DJ91" s="470"/>
      <c r="DK91" s="470"/>
      <c r="DL91" s="470"/>
      <c r="DN91" s="471" t="str">
        <f>VLOOKUP(X91,Hoja1!$A$4:$B$10,2,0)</f>
        <v>BACHILLER</v>
      </c>
      <c r="DO91" s="471" t="str">
        <f>VLOOKUP(S91,Hoja1!$D$4:$F$77,3,0)</f>
        <v>BIII - V</v>
      </c>
      <c r="DP91" s="1156" t="str">
        <f t="shared" si="131"/>
        <v>0</v>
      </c>
      <c r="DQ91" s="1484">
        <f>IF(T91&lt;&gt;"0",(ROUND(IF(A91="EMPLEADO",eval_formula('CONCEPTOS Y PARAMETROS'!$C$8,NOMINA!V91,AU91+BF91,NOMINA!I91+NOMINA!J91),eval_formula('CONCEPTOS Y PARAMETROS'!$D$8,NOMINA!V91,AU91+BF91,NOMINA!I91+NOMINA!J91)),2))*IF(H91&lt;&gt;"",IF(MONTH(H91)=$BR$8,IF(YEAR(H91)&lt;$BT$7,1,0),0)))</f>
        <v>2624.08</v>
      </c>
      <c r="DR91" s="1801" t="str">
        <f t="shared" si="132"/>
        <v>F</v>
      </c>
      <c r="DS91" s="1801"/>
    </row>
    <row r="92" spans="1:123" s="471" customFormat="1" ht="21.95" customHeight="1" x14ac:dyDescent="0.25">
      <c r="A92" s="508" t="s">
        <v>2846</v>
      </c>
      <c r="B92" s="1314">
        <f t="shared" ca="1" si="133"/>
        <v>49</v>
      </c>
      <c r="C92" s="1148">
        <v>10913637</v>
      </c>
      <c r="D92" s="1149" t="s">
        <v>7569</v>
      </c>
      <c r="E92" s="1135" t="s">
        <v>4622</v>
      </c>
      <c r="F92" s="1150">
        <v>26095</v>
      </c>
      <c r="G92" s="1135" t="s">
        <v>4620</v>
      </c>
      <c r="H92" s="1150">
        <v>40664</v>
      </c>
      <c r="I92" s="1140">
        <f t="shared" si="90"/>
        <v>14</v>
      </c>
      <c r="J92" s="1132">
        <v>0</v>
      </c>
      <c r="K92" s="1140">
        <f t="shared" si="91"/>
        <v>14</v>
      </c>
      <c r="L92" s="1145" t="s">
        <v>5528</v>
      </c>
      <c r="M92" s="1132"/>
      <c r="N92" s="1132"/>
      <c r="O92" s="1002" t="s">
        <v>5217</v>
      </c>
      <c r="P92" s="1132" t="s">
        <v>5308</v>
      </c>
      <c r="Q92" s="1315" t="str">
        <f>IFERROR(VLOOKUP(O92,CARGOS!A:E,2,0),"")</f>
        <v>79512</v>
      </c>
      <c r="R92" s="1327" t="s">
        <v>5217</v>
      </c>
      <c r="S92" s="1146" t="s">
        <v>5466</v>
      </c>
      <c r="T92" s="1107">
        <f>IFERROR(VLOOKUP(S92,'TAB EMP'!A:B,2,0),0)</f>
        <v>283</v>
      </c>
      <c r="U92" s="1108">
        <v>0</v>
      </c>
      <c r="V92" s="1107">
        <f t="shared" ref="V92" si="227">T92-U92</f>
        <v>283</v>
      </c>
      <c r="W92" s="1108">
        <f t="shared" ref="W92" si="228">ROUND(V92/2,2)</f>
        <v>141.5</v>
      </c>
      <c r="X92" s="1135" t="s">
        <v>2885</v>
      </c>
      <c r="Y92" s="1135"/>
      <c r="Z92" s="1135">
        <v>0</v>
      </c>
      <c r="AA92" s="1107">
        <f>ROUND(IF(H92&lt;&gt;"",VLOOKUP(SUM(I92+J92),'CONCEPTOS Y PARAMETROS'!F:G,2,0)*V92,0),2)</f>
        <v>46.98</v>
      </c>
      <c r="AB92" s="1107">
        <f>IF(S92&lt;&gt;"",IF(M92="",'CONCEPTOS Y PARAMETROS'!$C$4,0),0)</f>
        <v>130</v>
      </c>
      <c r="AC92" s="1107">
        <f>IF(S92&lt;&gt;"",IF(M92="",'CONCEPTOS Y PARAMETROS'!$C$7*Z92,0),0)</f>
        <v>0</v>
      </c>
      <c r="AD92" s="1107">
        <f>IFERROR(ROUND(VLOOKUP($X92,'CONCEPTOS Y PARAMETROS'!H:I,2,0)*($V92+AA92+AB92+AC92),2),0)</f>
        <v>115</v>
      </c>
      <c r="AE92" s="1107">
        <f t="shared" ref="AE92" si="229">SUM(AA92:AD92)</f>
        <v>291.98</v>
      </c>
      <c r="AF92" s="1107">
        <f t="shared" ref="AF92" si="230">ROUND(AA92/2,2)</f>
        <v>23.49</v>
      </c>
      <c r="AG92" s="1107">
        <f t="shared" ref="AG92" si="231">ROUND(AA92-AF92,2)</f>
        <v>23.49</v>
      </c>
      <c r="AH92" s="1107">
        <f t="shared" ref="AH92" si="232">ROUND(AB92/2,2)</f>
        <v>65</v>
      </c>
      <c r="AI92" s="1107">
        <f t="shared" ref="AI92" si="233">ROUND(AB92-AH92,2)</f>
        <v>65</v>
      </c>
      <c r="AJ92" s="1107">
        <f t="shared" ref="AJ92" si="234">ROUND(AD92/2,2)</f>
        <v>57.5</v>
      </c>
      <c r="AK92" s="1107">
        <f t="shared" ref="AK92" si="235">ROUND(AD92-AJ92,2)</f>
        <v>57.5</v>
      </c>
      <c r="AL92" s="1108">
        <f t="shared" ref="AL92" si="236">ROUND(AF92+AH92+AJ92+AC92,2)</f>
        <v>145.99</v>
      </c>
      <c r="AM92" s="1108">
        <f t="shared" ref="AM92" si="237">ROUND(AG92+AI92+AK92,2)</f>
        <v>145.99</v>
      </c>
      <c r="AN92" s="990">
        <v>0</v>
      </c>
      <c r="AO92" s="1147">
        <f>'CONCEPTOS Y PARAMETROS'!$C$18*AN92</f>
        <v>0</v>
      </c>
      <c r="AP92" s="990">
        <v>0</v>
      </c>
      <c r="AQ92" s="1147">
        <f>'CONCEPTOS Y PARAMETROS'!$C$21*AP92</f>
        <v>0</v>
      </c>
      <c r="AR92" s="1318">
        <v>0</v>
      </c>
      <c r="AS92" s="1318">
        <v>0</v>
      </c>
      <c r="AT92" s="1318">
        <f t="shared" ref="AT92" si="238">+AO92+AQ92+AR92+AS92</f>
        <v>0</v>
      </c>
      <c r="AU92" s="1108">
        <f t="shared" si="104"/>
        <v>747.47</v>
      </c>
      <c r="AV92" s="1133" t="s">
        <v>5080</v>
      </c>
      <c r="AW92" s="1108">
        <f t="shared" si="225"/>
        <v>172.49</v>
      </c>
      <c r="AX92" s="1107">
        <f>IF(T92&lt;&gt;"0",(ROUND(IF(A92="EMPLEADO",eval_formula('CONCEPTOS Y PARAMETROS'!$C$8,NOMINA!V92,NOMINA!$AU92,NOMINA!I92+NOMINA!J92),eval_formula('CONCEPTOS Y PARAMETROS'!$D$8,NOMINA!V92,NOMINA!$AU92,NOMINA!I92+NOMINA!J92)),2))*IF(H92&lt;&gt;"",IF(MONTH(H92)=$BR$8,IF(YEAR(H92)&lt;$BT$7,1,0),0)))</f>
        <v>0</v>
      </c>
      <c r="AY92" s="1108">
        <v>180</v>
      </c>
      <c r="AZ92" s="1107">
        <f>IFERROR(VLOOKUP(AY92,'CONCEPTOS Y PARAMETROS'!Y:Z,2,0),0)</f>
        <v>150</v>
      </c>
      <c r="BA92" s="1107">
        <f t="shared" ref="BA92" si="239">ROUND((((AU92))/30*AY92/12+(AU92))/30*AZ92,2)</f>
        <v>5606.03</v>
      </c>
      <c r="BB92" s="1107">
        <f t="shared" ref="BB92" si="240">ROUND(AU92/30*$BB$10,2)</f>
        <v>0</v>
      </c>
      <c r="BC92" s="990">
        <v>0</v>
      </c>
      <c r="BD92" s="1107" t="str">
        <f t="shared" si="107"/>
        <v>0</v>
      </c>
      <c r="BE92" s="990">
        <v>3</v>
      </c>
      <c r="BF92" s="1107">
        <f t="shared" si="226"/>
        <v>112.12</v>
      </c>
      <c r="BG92" s="1108">
        <v>320</v>
      </c>
      <c r="BH92" s="1108">
        <v>0</v>
      </c>
      <c r="BI92" s="1132">
        <v>0</v>
      </c>
      <c r="BJ92" s="1108">
        <v>12.5</v>
      </c>
      <c r="BK92" s="1108">
        <v>0</v>
      </c>
      <c r="BL92" s="1107">
        <f t="shared" si="157"/>
        <v>34.5</v>
      </c>
      <c r="BM92" s="1107">
        <f t="shared" si="158"/>
        <v>4.3099999999999996</v>
      </c>
      <c r="BN92" s="1107">
        <f t="shared" si="109"/>
        <v>7.47</v>
      </c>
      <c r="BO92" s="1107">
        <v>0</v>
      </c>
      <c r="BP92" s="1107">
        <v>0</v>
      </c>
      <c r="BQ92" s="1320">
        <f t="shared" ref="BQ92" si="241">ROUND(SUM(BL92:BP92),2)</f>
        <v>46.28</v>
      </c>
      <c r="BR92" s="1107">
        <f t="shared" si="159"/>
        <v>77.62</v>
      </c>
      <c r="BS92" s="1107">
        <f t="shared" si="160"/>
        <v>17.25</v>
      </c>
      <c r="BT92" s="1107">
        <f t="shared" si="111"/>
        <v>14.94</v>
      </c>
      <c r="BU92" s="1107">
        <v>0</v>
      </c>
      <c r="BV92" s="1108">
        <f t="shared" ref="BV92" si="242">ROUND(SUM(BR92:BT92),2)</f>
        <v>109.81</v>
      </c>
      <c r="BW92" s="1112">
        <f t="shared" ref="BW92" si="243">BQ92+BV92</f>
        <v>156.09</v>
      </c>
      <c r="BX92" s="1112">
        <f t="shared" ref="BX92:BX119" si="244">ROUND(BA92/4,2)</f>
        <v>1401.51</v>
      </c>
      <c r="BY92" s="1108">
        <v>0</v>
      </c>
      <c r="BZ92" s="1108">
        <f t="shared" si="115"/>
        <v>1401.51</v>
      </c>
      <c r="CA92" s="1321">
        <f>'CONCEPTOS Y PARAMETROS'!$A$102</f>
        <v>6255</v>
      </c>
      <c r="CB92" s="1112">
        <f t="shared" si="116"/>
        <v>241.21</v>
      </c>
      <c r="CC92" s="1113">
        <f t="shared" si="117"/>
        <v>904.6</v>
      </c>
      <c r="CD92" s="512"/>
      <c r="CE92" s="512"/>
      <c r="CF92" s="470">
        <f t="shared" si="118"/>
        <v>927.49</v>
      </c>
      <c r="CG92" s="495">
        <f t="shared" si="119"/>
        <v>241.21</v>
      </c>
      <c r="CH92" s="498">
        <f t="shared" si="120"/>
        <v>12.5</v>
      </c>
      <c r="CI92" s="1490">
        <f t="shared" si="121"/>
        <v>320</v>
      </c>
      <c r="CJ92" s="1500">
        <v>1</v>
      </c>
      <c r="CK92" s="495">
        <f t="shared" si="122"/>
        <v>607.49</v>
      </c>
      <c r="CL92" s="1689">
        <f t="shared" si="123"/>
        <v>291.60000000000002</v>
      </c>
      <c r="CM92" s="1689">
        <f t="shared" si="124"/>
        <v>315.89</v>
      </c>
      <c r="CN92" s="496">
        <f t="shared" si="125"/>
        <v>112.12</v>
      </c>
      <c r="CO92" s="497">
        <v>0</v>
      </c>
      <c r="CP92" s="496">
        <f t="shared" si="126"/>
        <v>172.49</v>
      </c>
      <c r="CQ92" s="496">
        <f t="shared" si="127"/>
        <v>0</v>
      </c>
      <c r="CR92" s="496">
        <f t="shared" si="128"/>
        <v>1499.59</v>
      </c>
      <c r="CS92" s="496">
        <f t="shared" si="129"/>
        <v>156.09</v>
      </c>
      <c r="CT92" s="496">
        <f t="shared" si="130"/>
        <v>6255</v>
      </c>
      <c r="CU92" s="470"/>
      <c r="CV92" s="470"/>
      <c r="CW92" s="470"/>
      <c r="CX92" s="470"/>
      <c r="CY92" s="1149" t="s">
        <v>7054</v>
      </c>
      <c r="CZ92" s="1149" t="s">
        <v>6857</v>
      </c>
      <c r="DA92" s="480"/>
      <c r="DB92" s="1642" t="s">
        <v>6262</v>
      </c>
      <c r="DC92" s="1642"/>
      <c r="DD92" s="1642" t="s">
        <v>6158</v>
      </c>
      <c r="DE92" s="1642" t="s">
        <v>6553</v>
      </c>
      <c r="DF92" s="1642" t="s">
        <v>6552</v>
      </c>
      <c r="DG92" s="1642" t="s">
        <v>7439</v>
      </c>
      <c r="DI92" s="470"/>
      <c r="DJ92" s="470"/>
      <c r="DK92" s="470"/>
      <c r="DL92" s="470"/>
      <c r="DN92" s="471" t="str">
        <f>VLOOKUP(X92,Hoja1!$A$4:$B$10,2,0)</f>
        <v>PROFESIONAL</v>
      </c>
      <c r="DO92" s="471" t="str">
        <f>VLOOKUP(S92,Hoja1!$D$4:$F$77,3,0)</f>
        <v>PII - V</v>
      </c>
      <c r="DP92" s="1309" t="str">
        <f t="shared" si="131"/>
        <v>SI</v>
      </c>
      <c r="DQ92" s="1484">
        <f>IF(T92&lt;&gt;"0",(ROUND(IF(A92="EMPLEADO",eval_formula('CONCEPTOS Y PARAMETROS'!$C$8,NOMINA!V92,AU92+BF92,NOMINA!I92+NOMINA!J92),eval_formula('CONCEPTOS Y PARAMETROS'!$D$8,NOMINA!V92,AU92+BF92,NOMINA!I92+NOMINA!J92)),2))*IF(H92&lt;&gt;"",IF(MONTH(H92)=$BR$8,IF(YEAR(H92)&lt;$BT$7,1,0),0)))</f>
        <v>0</v>
      </c>
      <c r="DR92" s="1801" t="str">
        <f t="shared" si="132"/>
        <v>F</v>
      </c>
      <c r="DS92" s="1801"/>
    </row>
    <row r="93" spans="1:123" s="471" customFormat="1" ht="21.95" customHeight="1" x14ac:dyDescent="0.25">
      <c r="A93" s="508" t="s">
        <v>2846</v>
      </c>
      <c r="B93" s="1314">
        <f t="shared" ca="1" si="133"/>
        <v>50</v>
      </c>
      <c r="C93" s="1148">
        <v>10915223</v>
      </c>
      <c r="D93" s="1149" t="s">
        <v>4734</v>
      </c>
      <c r="E93" s="1135" t="s">
        <v>4622</v>
      </c>
      <c r="F93" s="1150">
        <v>26144</v>
      </c>
      <c r="G93" s="1135" t="s">
        <v>4621</v>
      </c>
      <c r="H93" s="1150">
        <v>35339</v>
      </c>
      <c r="I93" s="1140">
        <f t="shared" si="90"/>
        <v>28</v>
      </c>
      <c r="J93" s="1132">
        <v>0</v>
      </c>
      <c r="K93" s="1140">
        <f t="shared" si="91"/>
        <v>28</v>
      </c>
      <c r="L93" s="1145" t="s">
        <v>5530</v>
      </c>
      <c r="M93" s="1132"/>
      <c r="N93" s="1132"/>
      <c r="O93" s="1002" t="s">
        <v>5233</v>
      </c>
      <c r="P93" s="1132" t="s">
        <v>5310</v>
      </c>
      <c r="Q93" s="1315" t="str">
        <f>IFERROR(VLOOKUP(O93,CARGOS!A:E,2,0),"")</f>
        <v>79523</v>
      </c>
      <c r="R93" s="1327" t="s">
        <v>5233</v>
      </c>
      <c r="S93" s="1146" t="s">
        <v>5474</v>
      </c>
      <c r="T93" s="1107">
        <f>IFERROR(VLOOKUP(S93,'TAB EMP'!A:B,2,0),0)</f>
        <v>316</v>
      </c>
      <c r="U93" s="1108">
        <v>0</v>
      </c>
      <c r="V93" s="1107">
        <f t="shared" si="92"/>
        <v>316</v>
      </c>
      <c r="W93" s="1108">
        <f t="shared" si="93"/>
        <v>158</v>
      </c>
      <c r="X93" s="1135" t="s">
        <v>2887</v>
      </c>
      <c r="Y93" s="1135"/>
      <c r="Z93" s="1135">
        <v>0</v>
      </c>
      <c r="AA93" s="1107">
        <f>ROUND(IF(H93&lt;&gt;"",VLOOKUP(SUM(I93+J93),'CONCEPTOS Y PARAMETROS'!F:G,2,0)*V93,0),2)</f>
        <v>94.8</v>
      </c>
      <c r="AB93" s="1107">
        <f>IF(S93&lt;&gt;"",IF(M93="",'CONCEPTOS Y PARAMETROS'!$C$4,0),0)</f>
        <v>130</v>
      </c>
      <c r="AC93" s="1107">
        <f>IF(S93&lt;&gt;"",IF(M93="",'CONCEPTOS Y PARAMETROS'!$C$7*Z93,0),0)</f>
        <v>0</v>
      </c>
      <c r="AD93" s="1107">
        <f>IFERROR(ROUND(VLOOKUP($X93,'CONCEPTOS Y PARAMETROS'!H:I,2,0)*($V93+AA93+AB93+AC93),2),0)</f>
        <v>189.28</v>
      </c>
      <c r="AE93" s="1107">
        <f t="shared" si="94"/>
        <v>414.08000000000004</v>
      </c>
      <c r="AF93" s="1107">
        <f t="shared" si="95"/>
        <v>47.4</v>
      </c>
      <c r="AG93" s="1107">
        <f t="shared" si="96"/>
        <v>47.4</v>
      </c>
      <c r="AH93" s="1107">
        <f t="shared" si="97"/>
        <v>65</v>
      </c>
      <c r="AI93" s="1107">
        <f t="shared" si="98"/>
        <v>65</v>
      </c>
      <c r="AJ93" s="1107">
        <f t="shared" si="99"/>
        <v>94.64</v>
      </c>
      <c r="AK93" s="1107">
        <f t="shared" si="100"/>
        <v>94.64</v>
      </c>
      <c r="AL93" s="1108">
        <f t="shared" si="101"/>
        <v>207.04</v>
      </c>
      <c r="AM93" s="1108">
        <f t="shared" si="102"/>
        <v>207.04</v>
      </c>
      <c r="AN93" s="990">
        <v>0</v>
      </c>
      <c r="AO93" s="1147">
        <f>'CONCEPTOS Y PARAMETROS'!$C$18*AN93</f>
        <v>0</v>
      </c>
      <c r="AP93" s="990">
        <v>0</v>
      </c>
      <c r="AQ93" s="1147">
        <f>'CONCEPTOS Y PARAMETROS'!$C$21*AP93</f>
        <v>0</v>
      </c>
      <c r="AR93" s="1318">
        <v>0</v>
      </c>
      <c r="AS93" s="1318">
        <v>0</v>
      </c>
      <c r="AT93" s="1318">
        <f t="shared" si="208"/>
        <v>0</v>
      </c>
      <c r="AU93" s="1108">
        <f t="shared" si="104"/>
        <v>730.08</v>
      </c>
      <c r="AV93" s="1133">
        <v>0</v>
      </c>
      <c r="AW93" s="1108">
        <f t="shared" si="225"/>
        <v>0</v>
      </c>
      <c r="AX93" s="1107">
        <f>IF(T93&lt;&gt;"0",(ROUND(IF(A93="EMPLEADO",eval_formula('CONCEPTOS Y PARAMETROS'!$C$8,NOMINA!V93,NOMINA!$AU93,NOMINA!I93+NOMINA!J93),eval_formula('CONCEPTOS Y PARAMETROS'!$D$8,NOMINA!V93,NOMINA!$AU93,NOMINA!I93+NOMINA!J93)),2))*IF(H93&lt;&gt;"",IF(MONTH(H93)=$BR$8,IF(YEAR(H93)&lt;$BT$7,1,0),0)))</f>
        <v>0</v>
      </c>
      <c r="AY93" s="1108">
        <v>180</v>
      </c>
      <c r="AZ93" s="1107">
        <f>IFERROR(VLOOKUP(AY93,'CONCEPTOS Y PARAMETROS'!Y:Z,2,0),0)</f>
        <v>150</v>
      </c>
      <c r="BA93" s="1107">
        <f t="shared" si="106"/>
        <v>5475.6</v>
      </c>
      <c r="BB93" s="1107">
        <f t="shared" si="134"/>
        <v>0</v>
      </c>
      <c r="BC93" s="990">
        <v>0</v>
      </c>
      <c r="BD93" s="1107" t="str">
        <f t="shared" si="107"/>
        <v>0</v>
      </c>
      <c r="BE93" s="990">
        <v>0</v>
      </c>
      <c r="BF93" s="1107">
        <f t="shared" si="226"/>
        <v>0</v>
      </c>
      <c r="BG93" s="1108">
        <v>320</v>
      </c>
      <c r="BH93" s="1108">
        <v>0</v>
      </c>
      <c r="BI93" s="1132">
        <v>0</v>
      </c>
      <c r="BJ93" s="1108">
        <v>12.5</v>
      </c>
      <c r="BK93" s="1108">
        <v>0</v>
      </c>
      <c r="BL93" s="1107">
        <f t="shared" si="157"/>
        <v>33.700000000000003</v>
      </c>
      <c r="BM93" s="1107">
        <f t="shared" si="158"/>
        <v>4.21</v>
      </c>
      <c r="BN93" s="1107">
        <f t="shared" si="109"/>
        <v>7.3</v>
      </c>
      <c r="BO93" s="1107">
        <v>0</v>
      </c>
      <c r="BP93" s="1107">
        <v>0</v>
      </c>
      <c r="BQ93" s="1320">
        <f t="shared" si="110"/>
        <v>45.21</v>
      </c>
      <c r="BR93" s="1107">
        <f t="shared" si="159"/>
        <v>75.819999999999993</v>
      </c>
      <c r="BS93" s="1107">
        <f t="shared" si="160"/>
        <v>16.850000000000001</v>
      </c>
      <c r="BT93" s="1107">
        <f t="shared" si="111"/>
        <v>14.6</v>
      </c>
      <c r="BU93" s="1107">
        <v>0</v>
      </c>
      <c r="BV93" s="1108">
        <f t="shared" si="112"/>
        <v>107.27</v>
      </c>
      <c r="BW93" s="1112">
        <f t="shared" si="113"/>
        <v>152.47999999999999</v>
      </c>
      <c r="BX93" s="1112">
        <f t="shared" si="244"/>
        <v>1368.9</v>
      </c>
      <c r="BY93" s="1108">
        <v>0</v>
      </c>
      <c r="BZ93" s="1108">
        <f t="shared" si="115"/>
        <v>1368.9</v>
      </c>
      <c r="CA93" s="1321">
        <f>'CONCEPTOS Y PARAMETROS'!$A$102</f>
        <v>6255</v>
      </c>
      <c r="CB93" s="1112">
        <f t="shared" si="116"/>
        <v>319.83</v>
      </c>
      <c r="CC93" s="1113">
        <f t="shared" si="117"/>
        <v>697.54</v>
      </c>
      <c r="CD93" s="512"/>
      <c r="CE93" s="512"/>
      <c r="CF93" s="470">
        <f t="shared" si="118"/>
        <v>1005.04</v>
      </c>
      <c r="CG93" s="495">
        <f t="shared" si="119"/>
        <v>319.83</v>
      </c>
      <c r="CH93" s="498">
        <f t="shared" si="120"/>
        <v>12.5</v>
      </c>
      <c r="CI93" s="1490">
        <f t="shared" si="121"/>
        <v>320</v>
      </c>
      <c r="CJ93" s="1500">
        <v>2</v>
      </c>
      <c r="CK93" s="495">
        <f t="shared" si="122"/>
        <v>685.04</v>
      </c>
      <c r="CL93" s="1689">
        <f t="shared" si="123"/>
        <v>328.82</v>
      </c>
      <c r="CM93" s="1689">
        <f t="shared" si="124"/>
        <v>356.21999999999997</v>
      </c>
      <c r="CN93" s="496">
        <f t="shared" si="125"/>
        <v>0</v>
      </c>
      <c r="CO93" s="497">
        <v>0</v>
      </c>
      <c r="CP93" s="496">
        <f t="shared" si="126"/>
        <v>0</v>
      </c>
      <c r="CQ93" s="496">
        <f t="shared" si="127"/>
        <v>0</v>
      </c>
      <c r="CR93" s="496">
        <f t="shared" si="128"/>
        <v>1370.08</v>
      </c>
      <c r="CS93" s="496">
        <f t="shared" si="129"/>
        <v>152.47999999999999</v>
      </c>
      <c r="CT93" s="496">
        <f t="shared" si="130"/>
        <v>6255</v>
      </c>
      <c r="CU93" s="470"/>
      <c r="CV93" s="470"/>
      <c r="CW93" s="470"/>
      <c r="CX93" s="470"/>
      <c r="CY93" s="1149" t="s">
        <v>6834</v>
      </c>
      <c r="CZ93" s="1149" t="s">
        <v>6810</v>
      </c>
      <c r="DA93" s="480"/>
      <c r="DB93" s="1642" t="s">
        <v>6378</v>
      </c>
      <c r="DC93" s="1642"/>
      <c r="DD93" s="1642" t="s">
        <v>6199</v>
      </c>
      <c r="DE93" s="1642" t="s">
        <v>6196</v>
      </c>
      <c r="DF93" s="1642" t="s">
        <v>6333</v>
      </c>
      <c r="DG93" s="1152"/>
      <c r="DH93" s="915"/>
      <c r="DI93" s="470"/>
      <c r="DJ93" s="470"/>
      <c r="DK93" s="470"/>
      <c r="DL93" s="470"/>
      <c r="DN93" s="471" t="str">
        <f>VLOOKUP(X93,Hoja1!$A$4:$B$10,2,0)</f>
        <v>MAGISTER</v>
      </c>
      <c r="DO93" s="471" t="str">
        <f>VLOOKUP(S93,Hoja1!$D$4:$F$77,3,0)</f>
        <v>PIII - VII</v>
      </c>
      <c r="DP93" s="1156" t="str">
        <f t="shared" si="131"/>
        <v>0</v>
      </c>
      <c r="DQ93" s="1484">
        <f>IF(T93&lt;&gt;"0",(ROUND(IF(A93="EMPLEADO",eval_formula('CONCEPTOS Y PARAMETROS'!$C$8,NOMINA!V93,AU93+BF93,NOMINA!I93+NOMINA!J93),eval_formula('CONCEPTOS Y PARAMETROS'!$D$8,NOMINA!V93,AU93+BF93,NOMINA!I93+NOMINA!J93)),2))*IF(H93&lt;&gt;"",IF(MONTH(H93)=$BR$8,IF(YEAR(H93)&lt;$BT$7,1,0),0)))</f>
        <v>0</v>
      </c>
      <c r="DR93" s="1801" t="str">
        <f t="shared" si="132"/>
        <v>M</v>
      </c>
      <c r="DS93" s="1801"/>
    </row>
    <row r="94" spans="1:123" s="471" customFormat="1" ht="21.95" customHeight="1" x14ac:dyDescent="0.25">
      <c r="A94" s="508" t="s">
        <v>2846</v>
      </c>
      <c r="B94" s="1314">
        <f t="shared" ca="1" si="133"/>
        <v>51</v>
      </c>
      <c r="C94" s="1148">
        <v>10915384</v>
      </c>
      <c r="D94" s="1149" t="s">
        <v>7570</v>
      </c>
      <c r="E94" s="1135" t="s">
        <v>4622</v>
      </c>
      <c r="F94" s="1150">
        <v>26338</v>
      </c>
      <c r="G94" s="1135" t="s">
        <v>4620</v>
      </c>
      <c r="H94" s="1150">
        <v>43147</v>
      </c>
      <c r="I94" s="1140">
        <f t="shared" si="90"/>
        <v>7</v>
      </c>
      <c r="J94" s="1132">
        <v>0</v>
      </c>
      <c r="K94" s="1140">
        <f t="shared" si="91"/>
        <v>7</v>
      </c>
      <c r="L94" s="1145" t="s">
        <v>5528</v>
      </c>
      <c r="M94" s="1132"/>
      <c r="N94" s="1132"/>
      <c r="O94" s="1002" t="s">
        <v>5217</v>
      </c>
      <c r="P94" s="1132" t="s">
        <v>5311</v>
      </c>
      <c r="Q94" s="1315" t="str">
        <f>IFERROR(VLOOKUP(O94,CARGOS!A:E,2,0),"")</f>
        <v>79512</v>
      </c>
      <c r="R94" s="1327" t="s">
        <v>5217</v>
      </c>
      <c r="S94" s="1146" t="s">
        <v>5478</v>
      </c>
      <c r="T94" s="1107">
        <f>IFERROR(VLOOKUP(S94,'TAB EMP'!A:B,2,0),0)</f>
        <v>221</v>
      </c>
      <c r="U94" s="1108">
        <v>0</v>
      </c>
      <c r="V94" s="1107">
        <f t="shared" si="92"/>
        <v>221</v>
      </c>
      <c r="W94" s="1108">
        <f t="shared" si="93"/>
        <v>110.5</v>
      </c>
      <c r="X94" s="1135" t="s">
        <v>2844</v>
      </c>
      <c r="Y94" s="1135"/>
      <c r="Z94" s="1135">
        <v>0</v>
      </c>
      <c r="AA94" s="1107">
        <f>ROUND(IF(H94&lt;&gt;"",VLOOKUP(SUM(I94+J94),'CONCEPTOS Y PARAMETROS'!F:G,2,0)*V94,0),2)</f>
        <v>16.350000000000001</v>
      </c>
      <c r="AB94" s="1107">
        <f>IF(S94&lt;&gt;"",IF(M94="",'CONCEPTOS Y PARAMETROS'!$C$4,0),0)</f>
        <v>130</v>
      </c>
      <c r="AC94" s="1107">
        <f>IF(S94&lt;&gt;"",IF(M94="",'CONCEPTOS Y PARAMETROS'!$C$7*Z94,0),0)</f>
        <v>0</v>
      </c>
      <c r="AD94" s="1107">
        <f>IFERROR(ROUND(VLOOKUP($X94,'CONCEPTOS Y PARAMETROS'!H:I,2,0)*($V94+AA94+AB94+AC94),2),0)</f>
        <v>73.47</v>
      </c>
      <c r="AE94" s="1107">
        <f t="shared" si="94"/>
        <v>219.82</v>
      </c>
      <c r="AF94" s="1107">
        <f t="shared" si="95"/>
        <v>8.18</v>
      </c>
      <c r="AG94" s="1107">
        <f t="shared" si="96"/>
        <v>8.17</v>
      </c>
      <c r="AH94" s="1107">
        <f t="shared" si="97"/>
        <v>65</v>
      </c>
      <c r="AI94" s="1107">
        <f t="shared" si="98"/>
        <v>65</v>
      </c>
      <c r="AJ94" s="1107">
        <f t="shared" si="99"/>
        <v>36.74</v>
      </c>
      <c r="AK94" s="1107">
        <f t="shared" si="100"/>
        <v>36.729999999999997</v>
      </c>
      <c r="AL94" s="1108">
        <f t="shared" si="101"/>
        <v>109.92</v>
      </c>
      <c r="AM94" s="1108">
        <f t="shared" si="102"/>
        <v>109.9</v>
      </c>
      <c r="AN94" s="990">
        <v>0</v>
      </c>
      <c r="AO94" s="1147">
        <f>'CONCEPTOS Y PARAMETROS'!$C$18*AN94</f>
        <v>0</v>
      </c>
      <c r="AP94" s="990">
        <v>0</v>
      </c>
      <c r="AQ94" s="1147">
        <f>'CONCEPTOS Y PARAMETROS'!$C$21*AP94</f>
        <v>0</v>
      </c>
      <c r="AR94" s="1318">
        <v>0</v>
      </c>
      <c r="AS94" s="1318">
        <v>0</v>
      </c>
      <c r="AT94" s="1318">
        <f t="shared" si="208"/>
        <v>0</v>
      </c>
      <c r="AU94" s="1108">
        <f t="shared" si="104"/>
        <v>573.06999999999994</v>
      </c>
      <c r="AV94" s="1133" t="s">
        <v>5080</v>
      </c>
      <c r="AW94" s="1108">
        <f t="shared" si="225"/>
        <v>132.25</v>
      </c>
      <c r="AX94" s="1107">
        <f>IF(T94&lt;&gt;"0",(ROUND(IF(A94="EMPLEADO",eval_formula('CONCEPTOS Y PARAMETROS'!$C$8,NOMINA!V94,NOMINA!$AU94,NOMINA!I94+NOMINA!J94),eval_formula('CONCEPTOS Y PARAMETROS'!$D$8,NOMINA!V94,NOMINA!$AU94,NOMINA!I94+NOMINA!J94)),2))*IF(H94&lt;&gt;"",IF(MONTH(H94)=$BR$8,IF(YEAR(H94)&lt;$BT$7,1,0),0)))</f>
        <v>0</v>
      </c>
      <c r="AY94" s="1108">
        <v>180</v>
      </c>
      <c r="AZ94" s="1107">
        <f>IFERROR(VLOOKUP(AY94,'CONCEPTOS Y PARAMETROS'!Y:Z,2,0),0)</f>
        <v>150</v>
      </c>
      <c r="BA94" s="1107">
        <f t="shared" si="106"/>
        <v>4298.03</v>
      </c>
      <c r="BB94" s="1107">
        <f t="shared" si="134"/>
        <v>0</v>
      </c>
      <c r="BC94" s="990">
        <v>0</v>
      </c>
      <c r="BD94" s="1107" t="str">
        <f t="shared" si="107"/>
        <v>0</v>
      </c>
      <c r="BE94" s="990">
        <v>3</v>
      </c>
      <c r="BF94" s="1107">
        <f t="shared" si="226"/>
        <v>85.96</v>
      </c>
      <c r="BG94" s="1108">
        <v>320</v>
      </c>
      <c r="BH94" s="1108">
        <v>0</v>
      </c>
      <c r="BI94" s="1132">
        <v>0</v>
      </c>
      <c r="BJ94" s="1108">
        <v>12.5</v>
      </c>
      <c r="BK94" s="1108">
        <v>0</v>
      </c>
      <c r="BL94" s="1107">
        <f t="shared" si="157"/>
        <v>26.45</v>
      </c>
      <c r="BM94" s="1107">
        <f t="shared" si="158"/>
        <v>3.31</v>
      </c>
      <c r="BN94" s="1107">
        <f t="shared" si="109"/>
        <v>5.73</v>
      </c>
      <c r="BO94" s="1107">
        <v>0</v>
      </c>
      <c r="BP94" s="1107">
        <v>0</v>
      </c>
      <c r="BQ94" s="1320">
        <f t="shared" si="110"/>
        <v>35.49</v>
      </c>
      <c r="BR94" s="1107">
        <f t="shared" si="159"/>
        <v>59.51</v>
      </c>
      <c r="BS94" s="1107">
        <f t="shared" si="160"/>
        <v>13.22</v>
      </c>
      <c r="BT94" s="1107">
        <f t="shared" si="111"/>
        <v>11.46</v>
      </c>
      <c r="BU94" s="1107">
        <v>0</v>
      </c>
      <c r="BV94" s="1108">
        <f t="shared" si="112"/>
        <v>84.19</v>
      </c>
      <c r="BW94" s="1112">
        <f t="shared" si="113"/>
        <v>119.68</v>
      </c>
      <c r="BX94" s="1112">
        <f t="shared" si="244"/>
        <v>1074.51</v>
      </c>
      <c r="BY94" s="1108">
        <v>0</v>
      </c>
      <c r="BZ94" s="1108">
        <f t="shared" si="115"/>
        <v>1074.51</v>
      </c>
      <c r="CA94" s="1321">
        <f>'CONCEPTOS Y PARAMETROS'!$A$102</f>
        <v>6255</v>
      </c>
      <c r="CB94" s="1112">
        <f t="shared" si="116"/>
        <v>184.93</v>
      </c>
      <c r="CC94" s="1113">
        <f t="shared" si="117"/>
        <v>771.11</v>
      </c>
      <c r="CD94" s="512"/>
      <c r="CE94" s="512"/>
      <c r="CF94" s="470">
        <f t="shared" si="118"/>
        <v>860.4</v>
      </c>
      <c r="CG94" s="495">
        <f t="shared" si="119"/>
        <v>184.93</v>
      </c>
      <c r="CH94" s="498">
        <f t="shared" si="120"/>
        <v>12.5</v>
      </c>
      <c r="CI94" s="1490">
        <f t="shared" si="121"/>
        <v>320</v>
      </c>
      <c r="CJ94" s="1500">
        <v>1</v>
      </c>
      <c r="CK94" s="495">
        <f t="shared" si="122"/>
        <v>540.4</v>
      </c>
      <c r="CL94" s="1689">
        <f t="shared" si="123"/>
        <v>540.4</v>
      </c>
      <c r="CM94" s="1689">
        <f t="shared" si="124"/>
        <v>0</v>
      </c>
      <c r="CN94" s="496">
        <f t="shared" si="125"/>
        <v>85.96</v>
      </c>
      <c r="CO94" s="497">
        <v>0</v>
      </c>
      <c r="CP94" s="496">
        <f t="shared" si="126"/>
        <v>132.25</v>
      </c>
      <c r="CQ94" s="496">
        <f t="shared" si="127"/>
        <v>0</v>
      </c>
      <c r="CR94" s="496">
        <f t="shared" si="128"/>
        <v>1299.01</v>
      </c>
      <c r="CS94" s="496">
        <f t="shared" si="129"/>
        <v>119.68</v>
      </c>
      <c r="CT94" s="496">
        <f t="shared" si="130"/>
        <v>6255</v>
      </c>
      <c r="CU94" s="470"/>
      <c r="CV94" s="470"/>
      <c r="CW94" s="470"/>
      <c r="CX94" s="470"/>
      <c r="CY94" s="1149" t="s">
        <v>6842</v>
      </c>
      <c r="CZ94" s="1149" t="s">
        <v>7102</v>
      </c>
      <c r="DA94" s="480"/>
      <c r="DB94" s="1642" t="s">
        <v>7448</v>
      </c>
      <c r="DC94" s="1642"/>
      <c r="DD94" s="1642" t="s">
        <v>6158</v>
      </c>
      <c r="DE94" s="1642" t="s">
        <v>6222</v>
      </c>
      <c r="DF94" s="1642" t="s">
        <v>6263</v>
      </c>
      <c r="DG94" s="1642"/>
      <c r="DH94" s="470"/>
      <c r="DI94" s="470"/>
      <c r="DJ94" s="470"/>
      <c r="DK94" s="470"/>
      <c r="DL94" s="470"/>
      <c r="DN94" s="471" t="str">
        <f>VLOOKUP(X94,Hoja1!$A$4:$B$10,2,0)</f>
        <v>TÉCNICO SUPERIOR UNIVERSITARIO</v>
      </c>
      <c r="DO94" s="471" t="str">
        <f>VLOOKUP(S94,Hoja1!$D$4:$F$77,3,0)</f>
        <v>TII - III</v>
      </c>
      <c r="DP94" s="1156" t="str">
        <f t="shared" si="131"/>
        <v>SI</v>
      </c>
      <c r="DQ94" s="1484">
        <f>IF(T94&lt;&gt;"0",(ROUND(IF(A94="EMPLEADO",eval_formula('CONCEPTOS Y PARAMETROS'!$C$8,NOMINA!V94,AU94+BF94,NOMINA!I94+NOMINA!J94),eval_formula('CONCEPTOS Y PARAMETROS'!$D$8,NOMINA!V94,AU94+BF94,NOMINA!I94+NOMINA!J94)),2))*IF(H94&lt;&gt;"",IF(MONTH(H94)=$BR$8,IF(YEAR(H94)&lt;$BT$7,1,0),0)))</f>
        <v>0</v>
      </c>
      <c r="DR94" s="1801" t="str">
        <f t="shared" si="132"/>
        <v>F</v>
      </c>
      <c r="DS94" s="1801"/>
    </row>
    <row r="95" spans="1:123" s="471" customFormat="1" ht="21.95" customHeight="1" x14ac:dyDescent="0.25">
      <c r="A95" s="508" t="s">
        <v>2846</v>
      </c>
      <c r="B95" s="1314">
        <f t="shared" ca="1" si="133"/>
        <v>52</v>
      </c>
      <c r="C95" s="1148">
        <v>10915597</v>
      </c>
      <c r="D95" s="1149" t="s">
        <v>4736</v>
      </c>
      <c r="E95" s="1135" t="s">
        <v>4622</v>
      </c>
      <c r="F95" s="1150">
        <v>24847</v>
      </c>
      <c r="G95" s="1135" t="s">
        <v>4620</v>
      </c>
      <c r="H95" s="1150">
        <v>44501</v>
      </c>
      <c r="I95" s="1140">
        <f t="shared" si="90"/>
        <v>3</v>
      </c>
      <c r="J95" s="1132">
        <v>0</v>
      </c>
      <c r="K95" s="1140">
        <f t="shared" si="91"/>
        <v>3</v>
      </c>
      <c r="L95" s="1145" t="s">
        <v>5528</v>
      </c>
      <c r="M95" s="1132"/>
      <c r="N95" s="1132"/>
      <c r="O95" s="1002" t="s">
        <v>5218</v>
      </c>
      <c r="P95" s="1132" t="s">
        <v>5312</v>
      </c>
      <c r="Q95" s="1315" t="str">
        <f>IFERROR(VLOOKUP(O95,CARGOS!A:E,2,0),"")</f>
        <v>79511</v>
      </c>
      <c r="R95" s="1327" t="s">
        <v>5218</v>
      </c>
      <c r="S95" s="1146" t="s">
        <v>5468</v>
      </c>
      <c r="T95" s="1107">
        <f>IFERROR(VLOOKUP(S95,'TAB EMP'!A:B,2,0),0)</f>
        <v>219</v>
      </c>
      <c r="U95" s="1108">
        <v>0</v>
      </c>
      <c r="V95" s="1107">
        <f t="shared" si="92"/>
        <v>219</v>
      </c>
      <c r="W95" s="1108">
        <f t="shared" si="93"/>
        <v>109.5</v>
      </c>
      <c r="X95" s="1135" t="s">
        <v>2888</v>
      </c>
      <c r="Y95" s="1135"/>
      <c r="Z95" s="1135">
        <v>0</v>
      </c>
      <c r="AA95" s="1107">
        <f>ROUND(IF(H95&lt;&gt;"",VLOOKUP(SUM(I95+J95),'CONCEPTOS Y PARAMETROS'!F:G,2,0)*V95,0),2)</f>
        <v>6.57</v>
      </c>
      <c r="AB95" s="1107">
        <f>IF(S95&lt;&gt;"",IF(M95="",'CONCEPTOS Y PARAMETROS'!$C$4,0),0)</f>
        <v>130</v>
      </c>
      <c r="AC95" s="1107">
        <f>IF(S95&lt;&gt;"",IF(M95="",'CONCEPTOS Y PARAMETROS'!$C$7*Z95,0),0)</f>
        <v>0</v>
      </c>
      <c r="AD95" s="1107">
        <f>IFERROR(ROUND(VLOOKUP($X95,'CONCEPTOS Y PARAMETROS'!H:I,2,0)*($V95+AA95+AB95+AC95),2),0)</f>
        <v>142.22999999999999</v>
      </c>
      <c r="AE95" s="1107">
        <f t="shared" si="94"/>
        <v>278.79999999999995</v>
      </c>
      <c r="AF95" s="1107">
        <f t="shared" si="95"/>
        <v>3.29</v>
      </c>
      <c r="AG95" s="1107">
        <f t="shared" si="96"/>
        <v>3.28</v>
      </c>
      <c r="AH95" s="1107">
        <f t="shared" si="97"/>
        <v>65</v>
      </c>
      <c r="AI95" s="1107">
        <f t="shared" si="98"/>
        <v>65</v>
      </c>
      <c r="AJ95" s="1107">
        <f t="shared" si="99"/>
        <v>71.12</v>
      </c>
      <c r="AK95" s="1107">
        <f t="shared" si="100"/>
        <v>71.11</v>
      </c>
      <c r="AL95" s="1108">
        <f t="shared" si="101"/>
        <v>139.41</v>
      </c>
      <c r="AM95" s="1108">
        <f t="shared" si="102"/>
        <v>139.38999999999999</v>
      </c>
      <c r="AN95" s="990">
        <v>0</v>
      </c>
      <c r="AO95" s="1147">
        <f>'CONCEPTOS Y PARAMETROS'!$C$18*AN95</f>
        <v>0</v>
      </c>
      <c r="AP95" s="990">
        <v>0</v>
      </c>
      <c r="AQ95" s="1147">
        <f>'CONCEPTOS Y PARAMETROS'!$C$21*AP95</f>
        <v>0</v>
      </c>
      <c r="AR95" s="1318">
        <v>0</v>
      </c>
      <c r="AS95" s="1318">
        <v>0</v>
      </c>
      <c r="AT95" s="1318">
        <f t="shared" si="208"/>
        <v>0</v>
      </c>
      <c r="AU95" s="1108">
        <f t="shared" si="104"/>
        <v>647.14</v>
      </c>
      <c r="AV95" s="1133" t="s">
        <v>5080</v>
      </c>
      <c r="AW95" s="1108">
        <f t="shared" si="225"/>
        <v>149.34</v>
      </c>
      <c r="AX95" s="1107">
        <f>IF(T95&lt;&gt;"0",(ROUND(IF(A95="EMPLEADO",eval_formula('CONCEPTOS Y PARAMETROS'!$C$8,NOMINA!V95,NOMINA!$AU95,NOMINA!I95+NOMINA!J95),eval_formula('CONCEPTOS Y PARAMETROS'!$D$8,NOMINA!V95,NOMINA!$AU95,NOMINA!I95+NOMINA!J95)),2))*IF(H95&lt;&gt;"",IF(MONTH(H95)=$BR$8,IF(YEAR(H95)&lt;$BT$7,1,0),0)))</f>
        <v>0</v>
      </c>
      <c r="AY95" s="1108">
        <v>180</v>
      </c>
      <c r="AZ95" s="1107">
        <f>IFERROR(VLOOKUP(AY95,'CONCEPTOS Y PARAMETROS'!Y:Z,2,0),0)</f>
        <v>150</v>
      </c>
      <c r="BA95" s="1107">
        <f t="shared" si="106"/>
        <v>4853.55</v>
      </c>
      <c r="BB95" s="1107">
        <f t="shared" si="134"/>
        <v>0</v>
      </c>
      <c r="BC95" s="990">
        <v>0</v>
      </c>
      <c r="BD95" s="1107" t="str">
        <f t="shared" si="107"/>
        <v>0</v>
      </c>
      <c r="BE95" s="990">
        <v>3</v>
      </c>
      <c r="BF95" s="1107">
        <f t="shared" si="226"/>
        <v>97.07</v>
      </c>
      <c r="BG95" s="1108">
        <v>320</v>
      </c>
      <c r="BH95" s="1108">
        <v>0</v>
      </c>
      <c r="BI95" s="1132">
        <v>0</v>
      </c>
      <c r="BJ95" s="1108">
        <v>12.5</v>
      </c>
      <c r="BK95" s="1108">
        <v>0</v>
      </c>
      <c r="BL95" s="1107">
        <f t="shared" si="157"/>
        <v>29.87</v>
      </c>
      <c r="BM95" s="1107">
        <f t="shared" si="158"/>
        <v>3.73</v>
      </c>
      <c r="BN95" s="1107">
        <f t="shared" si="109"/>
        <v>6.47</v>
      </c>
      <c r="BO95" s="1107">
        <v>0</v>
      </c>
      <c r="BP95" s="1107">
        <v>0</v>
      </c>
      <c r="BQ95" s="1320">
        <f t="shared" si="110"/>
        <v>40.07</v>
      </c>
      <c r="BR95" s="1107">
        <f t="shared" si="159"/>
        <v>67.2</v>
      </c>
      <c r="BS95" s="1107">
        <f t="shared" si="160"/>
        <v>14.93</v>
      </c>
      <c r="BT95" s="1107">
        <f t="shared" si="111"/>
        <v>12.94</v>
      </c>
      <c r="BU95" s="1107">
        <v>0</v>
      </c>
      <c r="BV95" s="1108">
        <f t="shared" si="112"/>
        <v>95.07</v>
      </c>
      <c r="BW95" s="1112">
        <f t="shared" si="113"/>
        <v>135.13999999999999</v>
      </c>
      <c r="BX95" s="1112">
        <f t="shared" si="244"/>
        <v>1213.3900000000001</v>
      </c>
      <c r="BY95" s="1108">
        <v>0</v>
      </c>
      <c r="BZ95" s="1108">
        <f t="shared" si="115"/>
        <v>1213.3900000000001</v>
      </c>
      <c r="CA95" s="1321">
        <f>'CONCEPTOS Y PARAMETROS'!$A$102</f>
        <v>6255</v>
      </c>
      <c r="CB95" s="1112">
        <f t="shared" si="116"/>
        <v>208.84</v>
      </c>
      <c r="CC95" s="1113">
        <f t="shared" si="117"/>
        <v>827.8</v>
      </c>
      <c r="CD95" s="512"/>
      <c r="CE95" s="512"/>
      <c r="CF95" s="470">
        <f t="shared" si="118"/>
        <v>888.89</v>
      </c>
      <c r="CG95" s="495">
        <f t="shared" si="119"/>
        <v>208.84</v>
      </c>
      <c r="CH95" s="498">
        <f t="shared" si="120"/>
        <v>12.5</v>
      </c>
      <c r="CI95" s="1490">
        <f t="shared" si="121"/>
        <v>320</v>
      </c>
      <c r="CJ95" s="1500">
        <v>1</v>
      </c>
      <c r="CK95" s="495">
        <f t="shared" si="122"/>
        <v>568.89</v>
      </c>
      <c r="CL95" s="1689">
        <f t="shared" si="123"/>
        <v>568.89</v>
      </c>
      <c r="CM95" s="1689">
        <f t="shared" si="124"/>
        <v>0</v>
      </c>
      <c r="CN95" s="496">
        <f t="shared" si="125"/>
        <v>97.07</v>
      </c>
      <c r="CO95" s="497">
        <v>0</v>
      </c>
      <c r="CP95" s="496">
        <f t="shared" si="126"/>
        <v>149.34</v>
      </c>
      <c r="CQ95" s="496">
        <f t="shared" si="127"/>
        <v>0</v>
      </c>
      <c r="CR95" s="496">
        <f t="shared" si="128"/>
        <v>1384.1899999999998</v>
      </c>
      <c r="CS95" s="496">
        <f t="shared" si="129"/>
        <v>135.13999999999999</v>
      </c>
      <c r="CT95" s="496">
        <f t="shared" si="130"/>
        <v>6255</v>
      </c>
      <c r="CU95" s="470"/>
      <c r="CV95" s="470"/>
      <c r="CW95" s="470"/>
      <c r="CX95" s="470"/>
      <c r="CY95" s="1149" t="s">
        <v>6872</v>
      </c>
      <c r="CZ95" s="1149" t="s">
        <v>6805</v>
      </c>
      <c r="DA95" s="480"/>
      <c r="DB95" s="1642" t="s">
        <v>6264</v>
      </c>
      <c r="DC95" s="1642"/>
      <c r="DD95" s="1642" t="s">
        <v>6158</v>
      </c>
      <c r="DE95" s="1642" t="s">
        <v>6222</v>
      </c>
      <c r="DF95" s="1642" t="s">
        <v>7437</v>
      </c>
      <c r="DG95" s="1642" t="s">
        <v>7438</v>
      </c>
      <c r="DH95" s="512"/>
      <c r="DI95" s="470"/>
      <c r="DJ95" s="470"/>
      <c r="DK95" s="470"/>
      <c r="DL95" s="470"/>
      <c r="DN95" s="471" t="str">
        <f>VLOOKUP(X95,Hoja1!$A$4:$B$10,2,0)</f>
        <v>DOCTORADO</v>
      </c>
      <c r="DO95" s="471" t="str">
        <f>VLOOKUP(S95,Hoja1!$D$4:$F$77,3,0)</f>
        <v>TII - II</v>
      </c>
      <c r="DP95" s="1156" t="str">
        <f t="shared" si="131"/>
        <v>SI</v>
      </c>
      <c r="DQ95" s="1484">
        <f>IF(T95&lt;&gt;"0",(ROUND(IF(A95="EMPLEADO",eval_formula('CONCEPTOS Y PARAMETROS'!$C$8,NOMINA!V95,AU95+BF95,NOMINA!I95+NOMINA!J95),eval_formula('CONCEPTOS Y PARAMETROS'!$D$8,NOMINA!V95,AU95+BF95,NOMINA!I95+NOMINA!J95)),2))*IF(H95&lt;&gt;"",IF(MONTH(H95)=$BR$8,IF(YEAR(H95)&lt;$BT$7,1,0),0)))</f>
        <v>0</v>
      </c>
      <c r="DR95" s="1801" t="str">
        <f t="shared" si="132"/>
        <v>F</v>
      </c>
      <c r="DS95" s="1801"/>
    </row>
    <row r="96" spans="1:123" s="476" customFormat="1" ht="21.95" customHeight="1" x14ac:dyDescent="0.25">
      <c r="A96" s="508" t="s">
        <v>2846</v>
      </c>
      <c r="B96" s="1314">
        <f t="shared" ca="1" si="133"/>
        <v>53</v>
      </c>
      <c r="C96" s="1148">
        <v>11128954</v>
      </c>
      <c r="D96" s="1149" t="s">
        <v>5769</v>
      </c>
      <c r="E96" s="1135" t="s">
        <v>4622</v>
      </c>
      <c r="F96" s="1118">
        <v>25211</v>
      </c>
      <c r="G96" s="1135" t="s">
        <v>4621</v>
      </c>
      <c r="H96" s="1118">
        <v>45170</v>
      </c>
      <c r="I96" s="1140">
        <f t="shared" si="90"/>
        <v>2</v>
      </c>
      <c r="J96" s="1132">
        <f>14+9</f>
        <v>23</v>
      </c>
      <c r="K96" s="1140">
        <f t="shared" si="91"/>
        <v>25</v>
      </c>
      <c r="L96" s="1145" t="s">
        <v>5546</v>
      </c>
      <c r="M96" s="1132"/>
      <c r="N96" s="1132"/>
      <c r="O96" s="1002" t="s">
        <v>5218</v>
      </c>
      <c r="P96" s="1151" t="s">
        <v>5775</v>
      </c>
      <c r="Q96" s="1315" t="str">
        <f>IFERROR(VLOOKUP(O96,CARGOS!A:E,2,0),"")</f>
        <v>79511</v>
      </c>
      <c r="R96" s="1327" t="s">
        <v>5218</v>
      </c>
      <c r="S96" s="1146" t="s">
        <v>5471</v>
      </c>
      <c r="T96" s="1107">
        <f>IFERROR(VLOOKUP(S96,'TAB EMP'!A:B,2,0),0)</f>
        <v>228</v>
      </c>
      <c r="U96" s="1108">
        <v>0</v>
      </c>
      <c r="V96" s="1107">
        <f t="shared" si="92"/>
        <v>228</v>
      </c>
      <c r="W96" s="1108">
        <f t="shared" si="93"/>
        <v>114</v>
      </c>
      <c r="X96" s="1135" t="s">
        <v>2844</v>
      </c>
      <c r="Y96" s="1135"/>
      <c r="Z96" s="1135">
        <v>1</v>
      </c>
      <c r="AA96" s="1107">
        <f>ROUND(IF(H96&lt;&gt;"",VLOOKUP(SUM(I96+J96),'CONCEPTOS Y PARAMETROS'!F:G,2,0)*V96,0),2)</f>
        <v>68.400000000000006</v>
      </c>
      <c r="AB96" s="1107">
        <f>IF(S96&lt;&gt;"",IF(M96="",'CONCEPTOS Y PARAMETROS'!$C$4,0),0)</f>
        <v>130</v>
      </c>
      <c r="AC96" s="1107">
        <f>IF(S96&lt;&gt;"",IF(M96="",'CONCEPTOS Y PARAMETROS'!$C$7*Z96,0),0)</f>
        <v>12.5</v>
      </c>
      <c r="AD96" s="1107">
        <f>IFERROR(ROUND(VLOOKUP($X96,'CONCEPTOS Y PARAMETROS'!H:I,2,0)*($V96+AA96+AB96+AC96),2),0)</f>
        <v>87.78</v>
      </c>
      <c r="AE96" s="1107">
        <f t="shared" si="94"/>
        <v>298.68</v>
      </c>
      <c r="AF96" s="1107">
        <f t="shared" si="95"/>
        <v>34.200000000000003</v>
      </c>
      <c r="AG96" s="1107">
        <f t="shared" si="96"/>
        <v>34.200000000000003</v>
      </c>
      <c r="AH96" s="1107">
        <f t="shared" si="97"/>
        <v>65</v>
      </c>
      <c r="AI96" s="1107">
        <f t="shared" si="98"/>
        <v>65</v>
      </c>
      <c r="AJ96" s="1107">
        <f t="shared" si="99"/>
        <v>43.89</v>
      </c>
      <c r="AK96" s="1107">
        <f t="shared" si="100"/>
        <v>43.89</v>
      </c>
      <c r="AL96" s="1108">
        <f t="shared" si="101"/>
        <v>155.59</v>
      </c>
      <c r="AM96" s="1108">
        <f t="shared" si="102"/>
        <v>143.09</v>
      </c>
      <c r="AN96" s="990">
        <v>1</v>
      </c>
      <c r="AO96" s="1147">
        <f>'CONCEPTOS Y PARAMETROS'!$C$18*AN96</f>
        <v>12.5</v>
      </c>
      <c r="AP96" s="990">
        <v>0</v>
      </c>
      <c r="AQ96" s="1147">
        <f>'CONCEPTOS Y PARAMETROS'!$C$21*AP96</f>
        <v>0</v>
      </c>
      <c r="AR96" s="1318">
        <v>0</v>
      </c>
      <c r="AS96" s="1318">
        <v>0</v>
      </c>
      <c r="AT96" s="1318">
        <f t="shared" si="208"/>
        <v>12.5</v>
      </c>
      <c r="AU96" s="1108">
        <f t="shared" si="104"/>
        <v>684.68000000000006</v>
      </c>
      <c r="AV96" s="1133" t="s">
        <v>5080</v>
      </c>
      <c r="AW96" s="1108">
        <f t="shared" si="225"/>
        <v>158</v>
      </c>
      <c r="AX96" s="1107">
        <f>IF(T96&lt;&gt;"0",(ROUND(IF(A96="EMPLEADO",eval_formula('CONCEPTOS Y PARAMETROS'!$C$8,NOMINA!V96,NOMINA!$AU96,NOMINA!I96+NOMINA!J96),eval_formula('CONCEPTOS Y PARAMETROS'!$D$8,NOMINA!V96,NOMINA!$AU96,NOMINA!I96+NOMINA!J96)),2))*IF(H96&lt;&gt;"",IF(MONTH(H96)=$BR$8,IF(YEAR(H96)&lt;$BT$7,1,0),0)))</f>
        <v>5477.44</v>
      </c>
      <c r="AY96" s="1108">
        <v>180</v>
      </c>
      <c r="AZ96" s="1107">
        <f>IFERROR(VLOOKUP(AY96,'CONCEPTOS Y PARAMETROS'!Y:Z,2,0),0)</f>
        <v>150</v>
      </c>
      <c r="BA96" s="1107">
        <f t="shared" si="106"/>
        <v>5135.1000000000004</v>
      </c>
      <c r="BB96" s="1107">
        <f t="shared" si="134"/>
        <v>0</v>
      </c>
      <c r="BC96" s="990">
        <v>0</v>
      </c>
      <c r="BD96" s="1107" t="str">
        <f t="shared" si="107"/>
        <v>0</v>
      </c>
      <c r="BE96" s="990">
        <v>3</v>
      </c>
      <c r="BF96" s="1107">
        <f t="shared" si="226"/>
        <v>102.7</v>
      </c>
      <c r="BG96" s="1108">
        <v>320</v>
      </c>
      <c r="BH96" s="1108">
        <v>0</v>
      </c>
      <c r="BI96" s="1132">
        <v>0</v>
      </c>
      <c r="BJ96" s="1108">
        <v>12.5</v>
      </c>
      <c r="BK96" s="1108">
        <v>0</v>
      </c>
      <c r="BL96" s="1107">
        <f t="shared" si="157"/>
        <v>31.6</v>
      </c>
      <c r="BM96" s="1107">
        <f t="shared" si="158"/>
        <v>3.95</v>
      </c>
      <c r="BN96" s="1107">
        <f t="shared" si="109"/>
        <v>6.85</v>
      </c>
      <c r="BO96" s="1107">
        <v>0</v>
      </c>
      <c r="BP96" s="1107">
        <v>0</v>
      </c>
      <c r="BQ96" s="1320">
        <f t="shared" si="110"/>
        <v>42.4</v>
      </c>
      <c r="BR96" s="1107">
        <f t="shared" si="159"/>
        <v>71.099999999999994</v>
      </c>
      <c r="BS96" s="1107">
        <f t="shared" si="160"/>
        <v>15.8</v>
      </c>
      <c r="BT96" s="1107">
        <f t="shared" si="111"/>
        <v>13.7</v>
      </c>
      <c r="BU96" s="1107">
        <v>0</v>
      </c>
      <c r="BV96" s="1108">
        <f t="shared" si="112"/>
        <v>100.6</v>
      </c>
      <c r="BW96" s="1112">
        <f t="shared" si="113"/>
        <v>143</v>
      </c>
      <c r="BX96" s="1112">
        <f t="shared" si="244"/>
        <v>1283.78</v>
      </c>
      <c r="BY96" s="1108">
        <v>0</v>
      </c>
      <c r="BZ96" s="1108">
        <f t="shared" si="115"/>
        <v>1283.78</v>
      </c>
      <c r="CA96" s="1321">
        <f>'CONCEPTOS Y PARAMETROS'!$A$102</f>
        <v>6255</v>
      </c>
      <c r="CB96" s="1112">
        <f t="shared" si="116"/>
        <v>227.19000000000003</v>
      </c>
      <c r="CC96" s="1113">
        <f t="shared" si="117"/>
        <v>6340.23</v>
      </c>
      <c r="CD96" s="512"/>
      <c r="CE96" s="512"/>
      <c r="CF96" s="470">
        <f t="shared" si="118"/>
        <v>897.09</v>
      </c>
      <c r="CG96" s="509">
        <f t="shared" si="119"/>
        <v>227.19000000000003</v>
      </c>
      <c r="CH96" s="498">
        <f t="shared" si="120"/>
        <v>25</v>
      </c>
      <c r="CI96" s="1491">
        <f t="shared" si="121"/>
        <v>320</v>
      </c>
      <c r="CJ96" s="1500">
        <v>1</v>
      </c>
      <c r="CK96" s="509">
        <f t="shared" si="122"/>
        <v>577.09</v>
      </c>
      <c r="CL96" s="1689">
        <f t="shared" si="123"/>
        <v>577.09</v>
      </c>
      <c r="CM96" s="1689">
        <f t="shared" si="124"/>
        <v>0</v>
      </c>
      <c r="CN96" s="510">
        <f t="shared" si="125"/>
        <v>102.7</v>
      </c>
      <c r="CO96" s="511">
        <v>0</v>
      </c>
      <c r="CP96" s="510">
        <f t="shared" si="126"/>
        <v>158</v>
      </c>
      <c r="CQ96" s="510">
        <f t="shared" si="127"/>
        <v>5477.44</v>
      </c>
      <c r="CR96" s="496">
        <f t="shared" si="128"/>
        <v>6892.32</v>
      </c>
      <c r="CS96" s="510">
        <f t="shared" si="129"/>
        <v>143</v>
      </c>
      <c r="CT96" s="510">
        <f t="shared" si="130"/>
        <v>6255</v>
      </c>
      <c r="CU96" s="470"/>
      <c r="CV96" s="470"/>
      <c r="CW96" s="470"/>
      <c r="CX96" s="470"/>
      <c r="CY96" s="1149" t="s">
        <v>7055</v>
      </c>
      <c r="CZ96" s="1149" t="s">
        <v>7002</v>
      </c>
      <c r="DA96" s="1152"/>
      <c r="DB96" s="1642" t="s">
        <v>6571</v>
      </c>
      <c r="DC96" s="1642"/>
      <c r="DD96" s="1642" t="s">
        <v>6168</v>
      </c>
      <c r="DE96" s="1645" t="s">
        <v>6397</v>
      </c>
      <c r="DF96" s="1642" t="s">
        <v>6490</v>
      </c>
      <c r="DG96" s="1642" t="s">
        <v>7516</v>
      </c>
      <c r="DH96" s="470"/>
      <c r="DI96" s="470"/>
      <c r="DJ96" s="512"/>
      <c r="DK96" s="512"/>
      <c r="DL96" s="512"/>
      <c r="DN96" s="476" t="str">
        <f>VLOOKUP(X96,Hoja1!$A$4:$B$10,2,0)</f>
        <v>TÉCNICO SUPERIOR UNIVERSITARIO</v>
      </c>
      <c r="DO96" s="476" t="str">
        <f>VLOOKUP(S96,Hoja1!$D$4:$F$77,3,0)</f>
        <v>TII - VII</v>
      </c>
      <c r="DP96" s="1158" t="str">
        <f t="shared" si="131"/>
        <v>SI</v>
      </c>
      <c r="DQ96" s="1484">
        <f>IF(T96&lt;&gt;"0",(ROUND(IF(A96="EMPLEADO",eval_formula('CONCEPTOS Y PARAMETROS'!$C$8,NOMINA!V96,AU96+BF96,NOMINA!I96+NOMINA!J96),eval_formula('CONCEPTOS Y PARAMETROS'!$D$8,NOMINA!V96,AU96+BF96,NOMINA!I96+NOMINA!J96)),2))*IF(H96&lt;&gt;"",IF(MONTH(H96)=$BR$8,IF(YEAR(H96)&lt;$BT$7,1,0),0)))</f>
        <v>6299.04</v>
      </c>
      <c r="DR96" s="1799" t="str">
        <f t="shared" si="132"/>
        <v>M</v>
      </c>
      <c r="DS96" s="1799"/>
    </row>
    <row r="97" spans="1:123" s="471" customFormat="1" ht="21.95" customHeight="1" x14ac:dyDescent="0.25">
      <c r="A97" s="508" t="s">
        <v>2846</v>
      </c>
      <c r="B97" s="1314">
        <f t="shared" ca="1" si="133"/>
        <v>54</v>
      </c>
      <c r="C97" s="1148">
        <v>11132900</v>
      </c>
      <c r="D97" s="1149" t="s">
        <v>5234</v>
      </c>
      <c r="E97" s="1135" t="s">
        <v>4622</v>
      </c>
      <c r="F97" s="1150">
        <v>26864</v>
      </c>
      <c r="G97" s="1135" t="s">
        <v>4621</v>
      </c>
      <c r="H97" s="1150">
        <v>44866</v>
      </c>
      <c r="I97" s="1140">
        <f t="shared" si="90"/>
        <v>2</v>
      </c>
      <c r="J97" s="1132">
        <v>0</v>
      </c>
      <c r="K97" s="1140">
        <f t="shared" si="91"/>
        <v>2</v>
      </c>
      <c r="L97" s="1145" t="s">
        <v>5536</v>
      </c>
      <c r="M97" s="1132"/>
      <c r="N97" s="1132"/>
      <c r="O97" s="1002" t="s">
        <v>5218</v>
      </c>
      <c r="P97" s="1132" t="s">
        <v>5313</v>
      </c>
      <c r="Q97" s="1315" t="str">
        <f>IFERROR(VLOOKUP(O97,CARGOS!A:E,2,0),"")</f>
        <v>79511</v>
      </c>
      <c r="R97" s="1327" t="s">
        <v>5218</v>
      </c>
      <c r="S97" s="1146" t="s">
        <v>5462</v>
      </c>
      <c r="T97" s="1107">
        <f>IFERROR(VLOOKUP(S97,'TAB EMP'!A:B,2,0),0)</f>
        <v>192</v>
      </c>
      <c r="U97" s="1108">
        <v>0</v>
      </c>
      <c r="V97" s="1107">
        <f t="shared" si="92"/>
        <v>192</v>
      </c>
      <c r="W97" s="1108">
        <f t="shared" si="93"/>
        <v>96</v>
      </c>
      <c r="X97" s="1135" t="s">
        <v>2844</v>
      </c>
      <c r="Y97" s="1135"/>
      <c r="Z97" s="1135">
        <v>0</v>
      </c>
      <c r="AA97" s="1107">
        <f>ROUND(IF(H97&lt;&gt;"",VLOOKUP(SUM(I97+J97),'CONCEPTOS Y PARAMETROS'!F:G,2,0)*V97,0),2)</f>
        <v>3.84</v>
      </c>
      <c r="AB97" s="1107">
        <f>IF(S97&lt;&gt;"",IF(M97="",'CONCEPTOS Y PARAMETROS'!$C$4,0),0)</f>
        <v>130</v>
      </c>
      <c r="AC97" s="1107">
        <f>IF(S97&lt;&gt;"",IF(M97="",'CONCEPTOS Y PARAMETROS'!$C$7*Z97,0),0)</f>
        <v>0</v>
      </c>
      <c r="AD97" s="1107">
        <f>IFERROR(ROUND(VLOOKUP($X97,'CONCEPTOS Y PARAMETROS'!H:I,2,0)*($V97+AA97+AB97+AC97),2),0)</f>
        <v>65.17</v>
      </c>
      <c r="AE97" s="1107">
        <f t="shared" si="94"/>
        <v>199.01</v>
      </c>
      <c r="AF97" s="1107">
        <f t="shared" si="95"/>
        <v>1.92</v>
      </c>
      <c r="AG97" s="1107">
        <f t="shared" si="96"/>
        <v>1.92</v>
      </c>
      <c r="AH97" s="1107">
        <f t="shared" si="97"/>
        <v>65</v>
      </c>
      <c r="AI97" s="1107">
        <f t="shared" si="98"/>
        <v>65</v>
      </c>
      <c r="AJ97" s="1107">
        <f t="shared" si="99"/>
        <v>32.590000000000003</v>
      </c>
      <c r="AK97" s="1107">
        <f t="shared" si="100"/>
        <v>32.58</v>
      </c>
      <c r="AL97" s="1108">
        <f t="shared" si="101"/>
        <v>99.51</v>
      </c>
      <c r="AM97" s="1108">
        <f t="shared" si="102"/>
        <v>99.5</v>
      </c>
      <c r="AN97" s="990">
        <v>0</v>
      </c>
      <c r="AO97" s="1147">
        <f>'CONCEPTOS Y PARAMETROS'!$C$18*AN97</f>
        <v>0</v>
      </c>
      <c r="AP97" s="990">
        <v>0</v>
      </c>
      <c r="AQ97" s="1147">
        <f>'CONCEPTOS Y PARAMETROS'!$C$21*AP97</f>
        <v>0</v>
      </c>
      <c r="AR97" s="1318">
        <v>0</v>
      </c>
      <c r="AS97" s="1318">
        <v>0</v>
      </c>
      <c r="AT97" s="1318">
        <f t="shared" si="208"/>
        <v>0</v>
      </c>
      <c r="AU97" s="1108">
        <f t="shared" si="104"/>
        <v>508.31</v>
      </c>
      <c r="AV97" s="1133" t="s">
        <v>5080</v>
      </c>
      <c r="AW97" s="1108">
        <f t="shared" si="225"/>
        <v>117.3</v>
      </c>
      <c r="AX97" s="1107">
        <f>IF(T97&lt;&gt;"0",(ROUND(IF(A97="EMPLEADO",eval_formula('CONCEPTOS Y PARAMETROS'!$C$8,NOMINA!V97,NOMINA!$AU97,NOMINA!I97+NOMINA!J97),eval_formula('CONCEPTOS Y PARAMETROS'!$D$8,NOMINA!V97,NOMINA!$AU97,NOMINA!I97+NOMINA!J97)),2))*IF(H97&lt;&gt;"",IF(MONTH(H97)=$BR$8,IF(YEAR(H97)&lt;$BT$7,1,0),0)))</f>
        <v>0</v>
      </c>
      <c r="AY97" s="1108">
        <v>180</v>
      </c>
      <c r="AZ97" s="1107">
        <f>IFERROR(VLOOKUP(AY97,'CONCEPTOS Y PARAMETROS'!Y:Z,2,0),0)</f>
        <v>150</v>
      </c>
      <c r="BA97" s="1107">
        <f t="shared" si="106"/>
        <v>3812.33</v>
      </c>
      <c r="BB97" s="1107">
        <f t="shared" si="134"/>
        <v>0</v>
      </c>
      <c r="BC97" s="990">
        <v>0</v>
      </c>
      <c r="BD97" s="1107" t="str">
        <f t="shared" si="107"/>
        <v>0</v>
      </c>
      <c r="BE97" s="990">
        <v>0</v>
      </c>
      <c r="BF97" s="1107">
        <f t="shared" si="226"/>
        <v>0</v>
      </c>
      <c r="BG97" s="1108">
        <v>320</v>
      </c>
      <c r="BH97" s="1108">
        <v>0</v>
      </c>
      <c r="BI97" s="1132">
        <v>0</v>
      </c>
      <c r="BJ97" s="1108">
        <v>12.5</v>
      </c>
      <c r="BK97" s="1108">
        <v>0</v>
      </c>
      <c r="BL97" s="1107">
        <f t="shared" si="157"/>
        <v>23.46</v>
      </c>
      <c r="BM97" s="1107">
        <f t="shared" si="158"/>
        <v>2.93</v>
      </c>
      <c r="BN97" s="1107">
        <f t="shared" si="109"/>
        <v>5.08</v>
      </c>
      <c r="BO97" s="1107">
        <v>0</v>
      </c>
      <c r="BP97" s="1107">
        <v>0</v>
      </c>
      <c r="BQ97" s="1320">
        <f t="shared" si="110"/>
        <v>31.47</v>
      </c>
      <c r="BR97" s="1107">
        <f t="shared" si="159"/>
        <v>52.79</v>
      </c>
      <c r="BS97" s="1107">
        <f t="shared" si="160"/>
        <v>11.73</v>
      </c>
      <c r="BT97" s="1107">
        <f t="shared" si="111"/>
        <v>10.16</v>
      </c>
      <c r="BU97" s="1107">
        <v>0</v>
      </c>
      <c r="BV97" s="1108">
        <f t="shared" si="112"/>
        <v>74.680000000000007</v>
      </c>
      <c r="BW97" s="1112">
        <f t="shared" si="113"/>
        <v>106.15</v>
      </c>
      <c r="BX97" s="1112">
        <f t="shared" si="244"/>
        <v>953.08</v>
      </c>
      <c r="BY97" s="1108">
        <v>0</v>
      </c>
      <c r="BZ97" s="1108">
        <f t="shared" si="115"/>
        <v>953.08</v>
      </c>
      <c r="CA97" s="1321">
        <f>'CONCEPTOS Y PARAMETROS'!$A$102</f>
        <v>6255</v>
      </c>
      <c r="CB97" s="1112">
        <f t="shared" si="116"/>
        <v>164.04</v>
      </c>
      <c r="CC97" s="1113">
        <f t="shared" si="117"/>
        <v>645.29999999999995</v>
      </c>
      <c r="CD97" s="512"/>
      <c r="CE97" s="512"/>
      <c r="CF97" s="470">
        <f t="shared" si="118"/>
        <v>835.5</v>
      </c>
      <c r="CG97" s="495">
        <f t="shared" si="119"/>
        <v>164.04</v>
      </c>
      <c r="CH97" s="498">
        <f t="shared" si="120"/>
        <v>12.5</v>
      </c>
      <c r="CI97" s="1490">
        <f t="shared" si="121"/>
        <v>320</v>
      </c>
      <c r="CJ97" s="1500">
        <v>1</v>
      </c>
      <c r="CK97" s="495">
        <f t="shared" si="122"/>
        <v>515.5</v>
      </c>
      <c r="CL97" s="1689">
        <f t="shared" si="123"/>
        <v>515.5</v>
      </c>
      <c r="CM97" s="1689">
        <f t="shared" si="124"/>
        <v>0</v>
      </c>
      <c r="CN97" s="496">
        <f t="shared" si="125"/>
        <v>0</v>
      </c>
      <c r="CO97" s="497">
        <v>0</v>
      </c>
      <c r="CP97" s="496">
        <f t="shared" si="126"/>
        <v>117.3</v>
      </c>
      <c r="CQ97" s="496">
        <f t="shared" si="127"/>
        <v>0</v>
      </c>
      <c r="CR97" s="496">
        <f t="shared" si="128"/>
        <v>1148.3</v>
      </c>
      <c r="CS97" s="496">
        <f t="shared" si="129"/>
        <v>106.15</v>
      </c>
      <c r="CT97" s="496">
        <f t="shared" si="130"/>
        <v>6255</v>
      </c>
      <c r="CU97" s="470"/>
      <c r="CV97" s="470"/>
      <c r="CW97" s="470"/>
      <c r="CX97" s="470"/>
      <c r="CY97" s="1149" t="s">
        <v>6956</v>
      </c>
      <c r="CZ97" s="1149" t="s">
        <v>7103</v>
      </c>
      <c r="DA97" s="480"/>
      <c r="DB97" s="1642" t="s">
        <v>6293</v>
      </c>
      <c r="DC97" s="1642"/>
      <c r="DD97" s="1642" t="s">
        <v>6150</v>
      </c>
      <c r="DE97" s="1642" t="s">
        <v>6294</v>
      </c>
      <c r="DF97" s="1642" t="s">
        <v>6307</v>
      </c>
      <c r="DG97" s="1642"/>
      <c r="DH97" s="470"/>
      <c r="DI97" s="470"/>
      <c r="DJ97" s="470"/>
      <c r="DK97" s="470"/>
      <c r="DL97" s="470"/>
      <c r="DN97" s="471" t="str">
        <f>VLOOKUP(X97,Hoja1!$A$4:$B$10,2,0)</f>
        <v>TÉCNICO SUPERIOR UNIVERSITARIO</v>
      </c>
      <c r="DO97" s="471" t="str">
        <f>VLOOKUP(S97,Hoja1!$D$4:$F$77,3,0)</f>
        <v>TI</v>
      </c>
      <c r="DP97" s="1156" t="str">
        <f t="shared" si="131"/>
        <v>SI</v>
      </c>
      <c r="DQ97" s="1484">
        <f>IF(T97&lt;&gt;"0",(ROUND(IF(A97="EMPLEADO",eval_formula('CONCEPTOS Y PARAMETROS'!$C$8,NOMINA!V97,AU97+BF97,NOMINA!I97+NOMINA!J97),eval_formula('CONCEPTOS Y PARAMETROS'!$D$8,NOMINA!V97,AU97+BF97,NOMINA!I97+NOMINA!J97)),2))*IF(H97&lt;&gt;"",IF(MONTH(H97)=$BR$8,IF(YEAR(H97)&lt;$BT$7,1,0),0)))</f>
        <v>0</v>
      </c>
      <c r="DR97" s="1801" t="str">
        <f t="shared" si="132"/>
        <v>M</v>
      </c>
      <c r="DS97" s="1801"/>
    </row>
    <row r="98" spans="1:123" s="471" customFormat="1" ht="21.95" customHeight="1" x14ac:dyDescent="0.25">
      <c r="A98" s="508" t="s">
        <v>2846</v>
      </c>
      <c r="B98" s="1314">
        <f t="shared" ca="1" si="133"/>
        <v>55</v>
      </c>
      <c r="C98" s="1148">
        <v>11132943</v>
      </c>
      <c r="D98" s="1149" t="s">
        <v>4738</v>
      </c>
      <c r="E98" s="1135" t="s">
        <v>4622</v>
      </c>
      <c r="F98" s="1150">
        <v>25289</v>
      </c>
      <c r="G98" s="1135" t="s">
        <v>4620</v>
      </c>
      <c r="H98" s="1150">
        <v>39738</v>
      </c>
      <c r="I98" s="1140">
        <f t="shared" si="90"/>
        <v>16</v>
      </c>
      <c r="J98" s="1132">
        <v>0</v>
      </c>
      <c r="K98" s="1140">
        <f t="shared" si="91"/>
        <v>16</v>
      </c>
      <c r="L98" s="1145" t="s">
        <v>5535</v>
      </c>
      <c r="M98" s="1132"/>
      <c r="N98" s="1132"/>
      <c r="O98" s="1002" t="s">
        <v>5217</v>
      </c>
      <c r="P98" s="1132" t="s">
        <v>5314</v>
      </c>
      <c r="Q98" s="1315" t="str">
        <f>IFERROR(VLOOKUP(O98,CARGOS!A:E,2,0),"")</f>
        <v>79512</v>
      </c>
      <c r="R98" s="1327" t="s">
        <v>5217</v>
      </c>
      <c r="S98" s="1146" t="s">
        <v>5457</v>
      </c>
      <c r="T98" s="1107">
        <f>IFERROR(VLOOKUP(S98,'TAB EMP'!A:B,2,0),0)</f>
        <v>176</v>
      </c>
      <c r="U98" s="1108">
        <v>0</v>
      </c>
      <c r="V98" s="1107">
        <f t="shared" si="92"/>
        <v>176</v>
      </c>
      <c r="W98" s="1108">
        <f t="shared" si="93"/>
        <v>88</v>
      </c>
      <c r="X98" s="1135" t="s">
        <v>2884</v>
      </c>
      <c r="Y98" s="1135"/>
      <c r="Z98" s="1135">
        <v>0</v>
      </c>
      <c r="AA98" s="1107">
        <f>ROUND(IF(H98&lt;&gt;"",VLOOKUP(SUM(I98+J98),'CONCEPTOS Y PARAMETROS'!F:G,2,0)*V98,0),2)</f>
        <v>34.5</v>
      </c>
      <c r="AB98" s="1107">
        <f>IF(S98&lt;&gt;"",IF(M98="",'CONCEPTOS Y PARAMETROS'!$C$4,0),0)</f>
        <v>130</v>
      </c>
      <c r="AC98" s="1107">
        <f>IF(S98&lt;&gt;"",IF(M98="",'CONCEPTOS Y PARAMETROS'!$C$7*Z98,0),0)</f>
        <v>0</v>
      </c>
      <c r="AD98" s="1107">
        <f>IFERROR(ROUND(VLOOKUP($X98,'CONCEPTOS Y PARAMETROS'!H:I,2,0)*($V98+AA98+AB98+AC98),2),0)</f>
        <v>0</v>
      </c>
      <c r="AE98" s="1107">
        <f t="shared" si="94"/>
        <v>164.5</v>
      </c>
      <c r="AF98" s="1107">
        <f t="shared" si="95"/>
        <v>17.25</v>
      </c>
      <c r="AG98" s="1107">
        <f t="shared" si="96"/>
        <v>17.25</v>
      </c>
      <c r="AH98" s="1107">
        <f t="shared" si="97"/>
        <v>65</v>
      </c>
      <c r="AI98" s="1107">
        <f t="shared" si="98"/>
        <v>65</v>
      </c>
      <c r="AJ98" s="1107">
        <f t="shared" si="99"/>
        <v>0</v>
      </c>
      <c r="AK98" s="1107">
        <f t="shared" si="100"/>
        <v>0</v>
      </c>
      <c r="AL98" s="1108">
        <f t="shared" si="101"/>
        <v>82.25</v>
      </c>
      <c r="AM98" s="1108">
        <f t="shared" si="102"/>
        <v>82.25</v>
      </c>
      <c r="AN98" s="990">
        <v>0</v>
      </c>
      <c r="AO98" s="1147">
        <f>'CONCEPTOS Y PARAMETROS'!$C$18*AN98</f>
        <v>0</v>
      </c>
      <c r="AP98" s="990">
        <v>0</v>
      </c>
      <c r="AQ98" s="1147">
        <f>'CONCEPTOS Y PARAMETROS'!$C$21*AP98</f>
        <v>0</v>
      </c>
      <c r="AR98" s="1318">
        <v>0</v>
      </c>
      <c r="AS98" s="1318">
        <v>0</v>
      </c>
      <c r="AT98" s="1318">
        <f t="shared" si="208"/>
        <v>0</v>
      </c>
      <c r="AU98" s="1108">
        <f t="shared" si="104"/>
        <v>340.5</v>
      </c>
      <c r="AV98" s="1133">
        <v>0</v>
      </c>
      <c r="AW98" s="1108">
        <f t="shared" si="225"/>
        <v>0</v>
      </c>
      <c r="AX98" s="1107">
        <f>IF(T98&lt;&gt;"0",(ROUND(IF(A98="EMPLEADO",eval_formula('CONCEPTOS Y PARAMETROS'!$C$8,NOMINA!V98,NOMINA!$AU98,NOMINA!I98+NOMINA!J98),eval_formula('CONCEPTOS Y PARAMETROS'!$D$8,NOMINA!V98,NOMINA!$AU98,NOMINA!I98+NOMINA!J98)),2))*IF(H98&lt;&gt;"",IF(MONTH(H98)=$BR$8,IF(YEAR(H98)&lt;$BT$7,1,0),0)))</f>
        <v>0</v>
      </c>
      <c r="AY98" s="1108">
        <v>180</v>
      </c>
      <c r="AZ98" s="1107">
        <f>IFERROR(VLOOKUP(AY98,'CONCEPTOS Y PARAMETROS'!Y:Z,2,0),0)</f>
        <v>150</v>
      </c>
      <c r="BA98" s="1107">
        <f t="shared" si="106"/>
        <v>2553.75</v>
      </c>
      <c r="BB98" s="1107">
        <f t="shared" si="134"/>
        <v>0</v>
      </c>
      <c r="BC98" s="990">
        <v>0</v>
      </c>
      <c r="BD98" s="1107" t="str">
        <f t="shared" si="107"/>
        <v>0</v>
      </c>
      <c r="BE98" s="990">
        <v>0</v>
      </c>
      <c r="BF98" s="1107">
        <f t="shared" si="226"/>
        <v>0</v>
      </c>
      <c r="BG98" s="1108">
        <v>320</v>
      </c>
      <c r="BH98" s="1108">
        <v>0</v>
      </c>
      <c r="BI98" s="1132">
        <v>0</v>
      </c>
      <c r="BJ98" s="1108">
        <v>12.5</v>
      </c>
      <c r="BK98" s="1108">
        <v>0</v>
      </c>
      <c r="BL98" s="1107">
        <f t="shared" si="157"/>
        <v>15.72</v>
      </c>
      <c r="BM98" s="1107">
        <f t="shared" si="158"/>
        <v>1.96</v>
      </c>
      <c r="BN98" s="1107">
        <f t="shared" si="109"/>
        <v>3.41</v>
      </c>
      <c r="BO98" s="1107">
        <v>0</v>
      </c>
      <c r="BP98" s="1107">
        <v>0</v>
      </c>
      <c r="BQ98" s="1320">
        <f t="shared" si="110"/>
        <v>21.09</v>
      </c>
      <c r="BR98" s="1107">
        <f t="shared" si="159"/>
        <v>35.36</v>
      </c>
      <c r="BS98" s="1107">
        <f t="shared" si="160"/>
        <v>7.86</v>
      </c>
      <c r="BT98" s="1107">
        <f t="shared" si="111"/>
        <v>6.82</v>
      </c>
      <c r="BU98" s="1107">
        <v>0</v>
      </c>
      <c r="BV98" s="1108">
        <f t="shared" si="112"/>
        <v>50.04</v>
      </c>
      <c r="BW98" s="1112">
        <f t="shared" si="113"/>
        <v>71.13</v>
      </c>
      <c r="BX98" s="1112">
        <f t="shared" si="244"/>
        <v>638.44000000000005</v>
      </c>
      <c r="BY98" s="1108">
        <v>0</v>
      </c>
      <c r="BZ98" s="1108">
        <f t="shared" si="115"/>
        <v>638.44000000000005</v>
      </c>
      <c r="CA98" s="1321">
        <v>0</v>
      </c>
      <c r="CB98" s="1112">
        <f t="shared" si="116"/>
        <v>149.16</v>
      </c>
      <c r="CC98" s="1113">
        <f t="shared" si="117"/>
        <v>502.75</v>
      </c>
      <c r="CD98" s="512"/>
      <c r="CE98" s="512"/>
      <c r="CF98" s="470">
        <f t="shared" si="118"/>
        <v>810.25</v>
      </c>
      <c r="CG98" s="495">
        <f t="shared" si="119"/>
        <v>149.16</v>
      </c>
      <c r="CH98" s="498">
        <f t="shared" si="120"/>
        <v>12.5</v>
      </c>
      <c r="CI98" s="1490">
        <f t="shared" si="121"/>
        <v>320</v>
      </c>
      <c r="CJ98" s="1500">
        <v>1</v>
      </c>
      <c r="CK98" s="495">
        <f t="shared" si="122"/>
        <v>490.25</v>
      </c>
      <c r="CL98" s="1689">
        <f t="shared" si="123"/>
        <v>490.25</v>
      </c>
      <c r="CM98" s="1689">
        <f t="shared" si="124"/>
        <v>0</v>
      </c>
      <c r="CN98" s="496">
        <f t="shared" si="125"/>
        <v>0</v>
      </c>
      <c r="CO98" s="497">
        <v>0</v>
      </c>
      <c r="CP98" s="496">
        <f t="shared" si="126"/>
        <v>0</v>
      </c>
      <c r="CQ98" s="496">
        <f t="shared" si="127"/>
        <v>0</v>
      </c>
      <c r="CR98" s="496">
        <f t="shared" si="128"/>
        <v>980.5</v>
      </c>
      <c r="CS98" s="496">
        <f t="shared" si="129"/>
        <v>71.13</v>
      </c>
      <c r="CT98" s="496">
        <f t="shared" si="130"/>
        <v>0</v>
      </c>
      <c r="CU98" s="470"/>
      <c r="CV98" s="470"/>
      <c r="CW98" s="470"/>
      <c r="CX98" s="470"/>
      <c r="CY98" s="1149" t="s">
        <v>7056</v>
      </c>
      <c r="CZ98" s="1149" t="s">
        <v>6835</v>
      </c>
      <c r="DA98" s="480"/>
      <c r="DB98" s="1152" t="s">
        <v>6211</v>
      </c>
      <c r="DC98" s="1152" t="s">
        <v>7546</v>
      </c>
      <c r="DD98" s="1152" t="s">
        <v>6199</v>
      </c>
      <c r="DE98" s="1152" t="s">
        <v>6196</v>
      </c>
      <c r="DF98" s="1152" t="s">
        <v>6212</v>
      </c>
      <c r="DG98" s="1152"/>
      <c r="DH98" s="470"/>
      <c r="DI98" s="470"/>
      <c r="DJ98" s="470"/>
      <c r="DK98" s="470"/>
      <c r="DL98" s="470"/>
      <c r="DN98" s="471" t="str">
        <f>VLOOKUP(X98,Hoja1!$A$4:$B$10,2,0)</f>
        <v>BACHILLER</v>
      </c>
      <c r="DO98" s="471" t="str">
        <f>VLOOKUP(S98,Hoja1!$D$4:$F$77,3,0)</f>
        <v>BIII - VI</v>
      </c>
      <c r="DP98" s="1156" t="str">
        <f t="shared" si="131"/>
        <v>0</v>
      </c>
      <c r="DQ98" s="1484">
        <f>IF(T98&lt;&gt;"0",(ROUND(IF(A98="EMPLEADO",eval_formula('CONCEPTOS Y PARAMETROS'!$C$8,NOMINA!V98,AU98+BF98,NOMINA!I98+NOMINA!J98),eval_formula('CONCEPTOS Y PARAMETROS'!$D$8,NOMINA!V98,AU98+BF98,NOMINA!I98+NOMINA!J98)),2))*IF(H98&lt;&gt;"",IF(MONTH(H98)=$BR$8,IF(YEAR(H98)&lt;$BT$7,1,0),0)))</f>
        <v>0</v>
      </c>
      <c r="DR98" s="1801" t="str">
        <f t="shared" si="132"/>
        <v>F</v>
      </c>
      <c r="DS98" s="1801"/>
    </row>
    <row r="99" spans="1:123" s="471" customFormat="1" ht="21.95" customHeight="1" x14ac:dyDescent="0.25">
      <c r="A99" s="508" t="s">
        <v>2846</v>
      </c>
      <c r="B99" s="1314">
        <f t="shared" ca="1" si="133"/>
        <v>56</v>
      </c>
      <c r="C99" s="1148">
        <v>11132979</v>
      </c>
      <c r="D99" s="1149" t="s">
        <v>4739</v>
      </c>
      <c r="E99" s="1135" t="s">
        <v>4622</v>
      </c>
      <c r="F99" s="1150">
        <v>27236</v>
      </c>
      <c r="G99" s="1135" t="s">
        <v>4620</v>
      </c>
      <c r="H99" s="1150">
        <v>44348</v>
      </c>
      <c r="I99" s="1140">
        <f t="shared" si="90"/>
        <v>4</v>
      </c>
      <c r="J99" s="1132">
        <v>12</v>
      </c>
      <c r="K99" s="1140">
        <f t="shared" si="91"/>
        <v>16</v>
      </c>
      <c r="L99" s="1145" t="s">
        <v>7225</v>
      </c>
      <c r="M99" s="1132"/>
      <c r="N99" s="1132"/>
      <c r="O99" s="1002" t="s">
        <v>5217</v>
      </c>
      <c r="P99" s="1132" t="s">
        <v>5315</v>
      </c>
      <c r="Q99" s="1315" t="str">
        <f>IFERROR(VLOOKUP(O99,CARGOS!A:E,2,0),"")</f>
        <v>79512</v>
      </c>
      <c r="R99" s="1327" t="s">
        <v>5217</v>
      </c>
      <c r="S99" s="1146" t="s">
        <v>5460</v>
      </c>
      <c r="T99" s="1107">
        <f>IFERROR(VLOOKUP(S99,'TAB EMP'!A:B,2,0),0)</f>
        <v>285</v>
      </c>
      <c r="U99" s="1108">
        <v>0</v>
      </c>
      <c r="V99" s="1107">
        <f t="shared" si="92"/>
        <v>285</v>
      </c>
      <c r="W99" s="1108">
        <f t="shared" si="93"/>
        <v>142.5</v>
      </c>
      <c r="X99" s="1135" t="s">
        <v>2885</v>
      </c>
      <c r="Y99" s="1135"/>
      <c r="Z99" s="1135">
        <v>1</v>
      </c>
      <c r="AA99" s="1107">
        <f>ROUND(IF(H99&lt;&gt;"",VLOOKUP(SUM(I99+J99),'CONCEPTOS Y PARAMETROS'!F:G,2,0)*V99,0),2)</f>
        <v>55.86</v>
      </c>
      <c r="AB99" s="1107">
        <f>IF(S99&lt;&gt;"",IF(M99="",'CONCEPTOS Y PARAMETROS'!$C$4,0),0)</f>
        <v>130</v>
      </c>
      <c r="AC99" s="1107">
        <f>IF(S99&lt;&gt;"",IF(M99="",'CONCEPTOS Y PARAMETROS'!$C$7*Z99,0),0)</f>
        <v>12.5</v>
      </c>
      <c r="AD99" s="1107">
        <f>IFERROR(ROUND(VLOOKUP($X99,'CONCEPTOS Y PARAMETROS'!H:I,2,0)*($V99+AA99+AB99+AC99),2),0)</f>
        <v>120.84</v>
      </c>
      <c r="AE99" s="1107">
        <f t="shared" si="94"/>
        <v>319.20000000000005</v>
      </c>
      <c r="AF99" s="1107">
        <f t="shared" si="95"/>
        <v>27.93</v>
      </c>
      <c r="AG99" s="1107">
        <f t="shared" si="96"/>
        <v>27.93</v>
      </c>
      <c r="AH99" s="1107">
        <f t="shared" si="97"/>
        <v>65</v>
      </c>
      <c r="AI99" s="1107">
        <f t="shared" si="98"/>
        <v>65</v>
      </c>
      <c r="AJ99" s="1107">
        <f t="shared" si="99"/>
        <v>60.42</v>
      </c>
      <c r="AK99" s="1107">
        <f t="shared" si="100"/>
        <v>60.42</v>
      </c>
      <c r="AL99" s="1108">
        <f t="shared" si="101"/>
        <v>165.85</v>
      </c>
      <c r="AM99" s="1108">
        <f t="shared" si="102"/>
        <v>153.35</v>
      </c>
      <c r="AN99" s="1453">
        <v>1</v>
      </c>
      <c r="AO99" s="1147">
        <f>'CONCEPTOS Y PARAMETROS'!$C$18*AN99</f>
        <v>12.5</v>
      </c>
      <c r="AP99" s="990">
        <v>0</v>
      </c>
      <c r="AQ99" s="1147">
        <f>'CONCEPTOS Y PARAMETROS'!$C$21*AP99</f>
        <v>0</v>
      </c>
      <c r="AR99" s="1318">
        <v>0</v>
      </c>
      <c r="AS99" s="1318">
        <v>0</v>
      </c>
      <c r="AT99" s="1318">
        <f t="shared" si="208"/>
        <v>12.5</v>
      </c>
      <c r="AU99" s="1108">
        <f t="shared" si="104"/>
        <v>785.46</v>
      </c>
      <c r="AV99" s="1133" t="s">
        <v>5080</v>
      </c>
      <c r="AW99" s="1108">
        <f t="shared" si="225"/>
        <v>181.26</v>
      </c>
      <c r="AX99" s="1107">
        <f>IF(T99&lt;&gt;"0",(ROUND(IF(A99="EMPLEADO",eval_formula('CONCEPTOS Y PARAMETROS'!$C$8,NOMINA!V99,NOMINA!$AU99,NOMINA!I99+NOMINA!J99),eval_formula('CONCEPTOS Y PARAMETROS'!$D$8,NOMINA!V99,NOMINA!$AU99,NOMINA!I99+NOMINA!J99)),2))*IF(H99&lt;&gt;"",IF(MONTH(H99)=$BR$8,IF(YEAR(H99)&lt;$BT$7,1,0),0)))</f>
        <v>0</v>
      </c>
      <c r="AY99" s="1108">
        <v>180</v>
      </c>
      <c r="AZ99" s="1107">
        <f>IFERROR(VLOOKUP(AY99,'CONCEPTOS Y PARAMETROS'!Y:Z,2,0),0)</f>
        <v>150</v>
      </c>
      <c r="BA99" s="1107">
        <f t="shared" si="106"/>
        <v>5890.95</v>
      </c>
      <c r="BB99" s="1107">
        <f t="shared" si="134"/>
        <v>0</v>
      </c>
      <c r="BC99" s="990">
        <v>0</v>
      </c>
      <c r="BD99" s="1107" t="str">
        <f t="shared" si="107"/>
        <v>0</v>
      </c>
      <c r="BE99" s="990">
        <v>0</v>
      </c>
      <c r="BF99" s="1107">
        <f t="shared" si="226"/>
        <v>0</v>
      </c>
      <c r="BG99" s="1108">
        <v>320</v>
      </c>
      <c r="BH99" s="1108">
        <v>0</v>
      </c>
      <c r="BI99" s="1132">
        <v>0</v>
      </c>
      <c r="BJ99" s="1108">
        <v>12.5</v>
      </c>
      <c r="BK99" s="1108">
        <v>0</v>
      </c>
      <c r="BL99" s="1107">
        <f t="shared" si="157"/>
        <v>36.25</v>
      </c>
      <c r="BM99" s="1107">
        <f t="shared" si="158"/>
        <v>4.53</v>
      </c>
      <c r="BN99" s="1107">
        <f t="shared" si="109"/>
        <v>7.85</v>
      </c>
      <c r="BO99" s="1107">
        <v>0</v>
      </c>
      <c r="BP99" s="1107">
        <v>0</v>
      </c>
      <c r="BQ99" s="1320">
        <f t="shared" si="110"/>
        <v>48.63</v>
      </c>
      <c r="BR99" s="1107">
        <f t="shared" si="159"/>
        <v>81.569999999999993</v>
      </c>
      <c r="BS99" s="1107">
        <f t="shared" si="160"/>
        <v>18.13</v>
      </c>
      <c r="BT99" s="1107">
        <f t="shared" si="111"/>
        <v>15.7</v>
      </c>
      <c r="BU99" s="1107">
        <v>0</v>
      </c>
      <c r="BV99" s="1108">
        <f t="shared" si="112"/>
        <v>115.4</v>
      </c>
      <c r="BW99" s="1112">
        <f t="shared" si="113"/>
        <v>164.03</v>
      </c>
      <c r="BX99" s="1112">
        <f t="shared" si="244"/>
        <v>1472.74</v>
      </c>
      <c r="BY99" s="1108">
        <v>0</v>
      </c>
      <c r="BZ99" s="1108">
        <f t="shared" si="115"/>
        <v>1472.74</v>
      </c>
      <c r="CA99" s="1321">
        <f>'CONCEPTOS Y PARAMETROS'!$A$102</f>
        <v>6255</v>
      </c>
      <c r="CB99" s="1112">
        <f t="shared" si="116"/>
        <v>259.72000000000003</v>
      </c>
      <c r="CC99" s="1113">
        <f t="shared" si="117"/>
        <v>822.11</v>
      </c>
      <c r="CD99" s="512"/>
      <c r="CE99" s="512"/>
      <c r="CF99" s="470">
        <f t="shared" si="118"/>
        <v>935.85</v>
      </c>
      <c r="CG99" s="495">
        <f t="shared" si="119"/>
        <v>259.72000000000003</v>
      </c>
      <c r="CH99" s="498">
        <f t="shared" si="120"/>
        <v>25</v>
      </c>
      <c r="CI99" s="1490">
        <f t="shared" si="121"/>
        <v>320</v>
      </c>
      <c r="CJ99" s="1500">
        <v>1</v>
      </c>
      <c r="CK99" s="495">
        <f t="shared" si="122"/>
        <v>615.85</v>
      </c>
      <c r="CL99" s="1689">
        <f t="shared" si="123"/>
        <v>295.61</v>
      </c>
      <c r="CM99" s="1689">
        <f t="shared" si="124"/>
        <v>320.24</v>
      </c>
      <c r="CN99" s="496">
        <f t="shared" si="125"/>
        <v>0</v>
      </c>
      <c r="CO99" s="497">
        <v>0</v>
      </c>
      <c r="CP99" s="496">
        <f t="shared" si="126"/>
        <v>181.26</v>
      </c>
      <c r="CQ99" s="496">
        <f t="shared" si="127"/>
        <v>0</v>
      </c>
      <c r="CR99" s="496">
        <f t="shared" si="128"/>
        <v>1412.96</v>
      </c>
      <c r="CS99" s="496">
        <f t="shared" si="129"/>
        <v>164.03</v>
      </c>
      <c r="CT99" s="496">
        <f t="shared" si="130"/>
        <v>6255</v>
      </c>
      <c r="CU99" s="470"/>
      <c r="CV99" s="470"/>
      <c r="CW99" s="470"/>
      <c r="CX99" s="470"/>
      <c r="CY99" s="1149" t="s">
        <v>6985</v>
      </c>
      <c r="CZ99" s="1149" t="s">
        <v>6805</v>
      </c>
      <c r="DA99" s="480"/>
      <c r="DB99" s="1642" t="s">
        <v>6243</v>
      </c>
      <c r="DC99" s="1642"/>
      <c r="DD99" s="1642" t="s">
        <v>6135</v>
      </c>
      <c r="DE99" s="1642" t="s">
        <v>6162</v>
      </c>
      <c r="DF99" s="1642" t="s">
        <v>7518</v>
      </c>
      <c r="DG99" s="1642" t="s">
        <v>7517</v>
      </c>
      <c r="DH99" s="470"/>
      <c r="DI99" s="470"/>
      <c r="DJ99" s="470"/>
      <c r="DK99" s="470"/>
      <c r="DL99" s="470"/>
      <c r="DN99" s="471" t="str">
        <f>VLOOKUP(X99,Hoja1!$A$4:$B$10,2,0)</f>
        <v>PROFESIONAL</v>
      </c>
      <c r="DO99" s="471" t="str">
        <f>VLOOKUP(S99,Hoja1!$D$4:$F$77,3,0)</f>
        <v>PII - VI</v>
      </c>
      <c r="DP99" s="1156" t="str">
        <f t="shared" si="131"/>
        <v>SI</v>
      </c>
      <c r="DQ99" s="1484">
        <f>IF(T99&lt;&gt;"0",(ROUND(IF(A99="EMPLEADO",eval_formula('CONCEPTOS Y PARAMETROS'!$C$8,NOMINA!V99,AU99+BF99,NOMINA!I99+NOMINA!J99),eval_formula('CONCEPTOS Y PARAMETROS'!$D$8,NOMINA!V99,AU99+BF99,NOMINA!I99+NOMINA!J99)),2))*IF(H99&lt;&gt;"",IF(MONTH(H99)=$BR$8,IF(YEAR(H99)&lt;$BT$7,1,0),0)))</f>
        <v>0</v>
      </c>
      <c r="DR99" s="1801" t="str">
        <f t="shared" si="132"/>
        <v>F</v>
      </c>
      <c r="DS99" s="1801"/>
    </row>
    <row r="100" spans="1:123" s="476" customFormat="1" ht="21.95" customHeight="1" x14ac:dyDescent="0.25">
      <c r="A100" s="508" t="s">
        <v>2846</v>
      </c>
      <c r="B100" s="1314">
        <f t="shared" ca="1" si="133"/>
        <v>57</v>
      </c>
      <c r="C100" s="1148">
        <v>11257247</v>
      </c>
      <c r="D100" s="1149" t="s">
        <v>4740</v>
      </c>
      <c r="E100" s="1135" t="s">
        <v>4622</v>
      </c>
      <c r="F100" s="1150">
        <v>26868</v>
      </c>
      <c r="G100" s="1135" t="s">
        <v>4621</v>
      </c>
      <c r="H100" s="1150">
        <v>42492</v>
      </c>
      <c r="I100" s="1140">
        <f t="shared" si="90"/>
        <v>9</v>
      </c>
      <c r="J100" s="1132">
        <v>0</v>
      </c>
      <c r="K100" s="1140">
        <f t="shared" si="91"/>
        <v>9</v>
      </c>
      <c r="L100" s="1145" t="s">
        <v>5534</v>
      </c>
      <c r="M100" s="1132"/>
      <c r="N100" s="1352" t="s">
        <v>7555</v>
      </c>
      <c r="O100" s="1002" t="s">
        <v>839</v>
      </c>
      <c r="P100" s="1132" t="s">
        <v>5316</v>
      </c>
      <c r="Q100" s="1315" t="str">
        <f>IFERROR(VLOOKUP(O100,CARGOS!A:E,2,0),"")</f>
        <v>82113</v>
      </c>
      <c r="R100" s="1327" t="s">
        <v>7262</v>
      </c>
      <c r="S100" s="1146" t="s">
        <v>5473</v>
      </c>
      <c r="T100" s="1107">
        <f>IFERROR(VLOOKUP(S100,'TAB EMP'!A:B,2,0),0)</f>
        <v>281</v>
      </c>
      <c r="U100" s="1108">
        <v>0</v>
      </c>
      <c r="V100" s="1107">
        <f t="shared" si="92"/>
        <v>281</v>
      </c>
      <c r="W100" s="1108">
        <f t="shared" si="93"/>
        <v>140.5</v>
      </c>
      <c r="X100" s="1135" t="s">
        <v>2885</v>
      </c>
      <c r="Y100" s="1135"/>
      <c r="Z100" s="1135">
        <v>1</v>
      </c>
      <c r="AA100" s="1107">
        <f>ROUND(IF(H100&lt;&gt;"",VLOOKUP(SUM(I100+J100),'CONCEPTOS Y PARAMETROS'!F:G,2,0)*V100,0),2)</f>
        <v>27.54</v>
      </c>
      <c r="AB100" s="1107">
        <f>IF(S100&lt;&gt;"",IF(M100="",'CONCEPTOS Y PARAMETROS'!$C$4,0),0)</f>
        <v>130</v>
      </c>
      <c r="AC100" s="1107">
        <f>IF(S100&lt;&gt;"",IF(M100="",'CONCEPTOS Y PARAMETROS'!$C$7*Z100,0),0)</f>
        <v>12.5</v>
      </c>
      <c r="AD100" s="1107">
        <f>IFERROR(ROUND(VLOOKUP($X100,'CONCEPTOS Y PARAMETROS'!H:I,2,0)*($V100+AA100+AB100+AC100),2),0)</f>
        <v>112.76</v>
      </c>
      <c r="AE100" s="1107">
        <f t="shared" si="94"/>
        <v>282.8</v>
      </c>
      <c r="AF100" s="1107">
        <f t="shared" si="95"/>
        <v>13.77</v>
      </c>
      <c r="AG100" s="1107">
        <f t="shared" si="96"/>
        <v>13.77</v>
      </c>
      <c r="AH100" s="1107">
        <f t="shared" si="97"/>
        <v>65</v>
      </c>
      <c r="AI100" s="1107">
        <f t="shared" si="98"/>
        <v>65</v>
      </c>
      <c r="AJ100" s="1107">
        <f t="shared" si="99"/>
        <v>56.38</v>
      </c>
      <c r="AK100" s="1107">
        <f t="shared" si="100"/>
        <v>56.38</v>
      </c>
      <c r="AL100" s="1108">
        <f t="shared" si="101"/>
        <v>147.65</v>
      </c>
      <c r="AM100" s="1108">
        <f t="shared" si="102"/>
        <v>135.15</v>
      </c>
      <c r="AN100" s="990">
        <v>0</v>
      </c>
      <c r="AO100" s="1147">
        <f>'CONCEPTOS Y PARAMETROS'!$C$18*AN100</f>
        <v>0</v>
      </c>
      <c r="AP100" s="990">
        <v>0</v>
      </c>
      <c r="AQ100" s="1147">
        <f>'CONCEPTOS Y PARAMETROS'!$C$21*AP100</f>
        <v>0</v>
      </c>
      <c r="AR100" s="1318">
        <v>0</v>
      </c>
      <c r="AS100" s="1318">
        <v>0</v>
      </c>
      <c r="AT100" s="1318">
        <f t="shared" si="208"/>
        <v>0</v>
      </c>
      <c r="AU100" s="1108">
        <f t="shared" si="104"/>
        <v>563.79999999999995</v>
      </c>
      <c r="AV100" s="1133">
        <v>0</v>
      </c>
      <c r="AW100" s="1108">
        <f t="shared" si="225"/>
        <v>0</v>
      </c>
      <c r="AX100" s="1107">
        <f>IF(T100&lt;&gt;"0",(ROUND(IF(A100="EMPLEADO",eval_formula('CONCEPTOS Y PARAMETROS'!$C$8,NOMINA!V100,NOMINA!$AU100,NOMINA!I100+NOMINA!J100),eval_formula('CONCEPTOS Y PARAMETROS'!$D$8,NOMINA!V100,NOMINA!$AU100,NOMINA!I100+NOMINA!J100)),2))*IF(H100&lt;&gt;"",IF(MONTH(H100)=$BR$8,IF(YEAR(H100)&lt;$BT$7,1,0),0)))</f>
        <v>0</v>
      </c>
      <c r="AY100" s="1108">
        <v>180</v>
      </c>
      <c r="AZ100" s="1107">
        <f>IFERROR(VLOOKUP(AY100,'CONCEPTOS Y PARAMETROS'!Y:Z,2,0),0)</f>
        <v>150</v>
      </c>
      <c r="BA100" s="1107">
        <f t="shared" si="106"/>
        <v>4228.5</v>
      </c>
      <c r="BB100" s="1107">
        <f t="shared" si="134"/>
        <v>0</v>
      </c>
      <c r="BC100" s="990">
        <v>0</v>
      </c>
      <c r="BD100" s="1107" t="str">
        <f t="shared" si="107"/>
        <v>0</v>
      </c>
      <c r="BE100" s="990">
        <v>0</v>
      </c>
      <c r="BF100" s="1107">
        <f t="shared" si="226"/>
        <v>0</v>
      </c>
      <c r="BG100" s="1108">
        <v>320</v>
      </c>
      <c r="BH100" s="1108">
        <v>0</v>
      </c>
      <c r="BI100" s="1132">
        <v>0</v>
      </c>
      <c r="BJ100" s="1108">
        <v>12.5</v>
      </c>
      <c r="BK100" s="1108">
        <v>0</v>
      </c>
      <c r="BL100" s="1107">
        <f t="shared" si="157"/>
        <v>26.02</v>
      </c>
      <c r="BM100" s="1107">
        <f t="shared" si="158"/>
        <v>3.25</v>
      </c>
      <c r="BN100" s="1107">
        <f t="shared" si="109"/>
        <v>5.64</v>
      </c>
      <c r="BO100" s="1107">
        <v>0</v>
      </c>
      <c r="BP100" s="1107">
        <v>0</v>
      </c>
      <c r="BQ100" s="1320">
        <f t="shared" si="110"/>
        <v>34.909999999999997</v>
      </c>
      <c r="BR100" s="1107">
        <f t="shared" si="159"/>
        <v>58.55</v>
      </c>
      <c r="BS100" s="1107">
        <f t="shared" si="160"/>
        <v>13.01</v>
      </c>
      <c r="BT100" s="1107">
        <f t="shared" si="111"/>
        <v>11.28</v>
      </c>
      <c r="BU100" s="1107">
        <v>0</v>
      </c>
      <c r="BV100" s="1108">
        <f t="shared" si="112"/>
        <v>82.84</v>
      </c>
      <c r="BW100" s="1112">
        <f t="shared" si="113"/>
        <v>117.75</v>
      </c>
      <c r="BX100" s="1112">
        <f t="shared" si="244"/>
        <v>1057.1300000000001</v>
      </c>
      <c r="BY100" s="1108">
        <v>0</v>
      </c>
      <c r="BZ100" s="1108">
        <f t="shared" si="115"/>
        <v>1057.1300000000001</v>
      </c>
      <c r="CA100" s="1321">
        <f>'CONCEPTOS Y PARAMETROS'!$A$102</f>
        <v>6255</v>
      </c>
      <c r="CB100" s="1112">
        <f t="shared" si="116"/>
        <v>253.23999999999998</v>
      </c>
      <c r="CC100" s="1113">
        <f t="shared" si="117"/>
        <v>608.15</v>
      </c>
      <c r="CD100" s="512"/>
      <c r="CE100" s="512"/>
      <c r="CF100" s="470">
        <f t="shared" si="118"/>
        <v>915.65</v>
      </c>
      <c r="CG100" s="509">
        <f t="shared" si="119"/>
        <v>253.23999999999998</v>
      </c>
      <c r="CH100" s="1603">
        <f t="shared" si="120"/>
        <v>12.5</v>
      </c>
      <c r="CI100" s="1491">
        <f t="shared" si="121"/>
        <v>320</v>
      </c>
      <c r="CJ100" s="1502">
        <v>1</v>
      </c>
      <c r="CK100" s="509">
        <f t="shared" si="122"/>
        <v>595.65</v>
      </c>
      <c r="CL100" s="1689">
        <f t="shared" si="123"/>
        <v>595.65</v>
      </c>
      <c r="CM100" s="1689">
        <f t="shared" si="124"/>
        <v>0</v>
      </c>
      <c r="CN100" s="510">
        <f t="shared" si="125"/>
        <v>0</v>
      </c>
      <c r="CO100" s="511">
        <v>0</v>
      </c>
      <c r="CP100" s="510">
        <f t="shared" si="126"/>
        <v>0</v>
      </c>
      <c r="CQ100" s="510">
        <f t="shared" si="127"/>
        <v>0</v>
      </c>
      <c r="CR100" s="510">
        <f t="shared" si="128"/>
        <v>1191.3</v>
      </c>
      <c r="CS100" s="510">
        <f t="shared" si="129"/>
        <v>117.75</v>
      </c>
      <c r="CT100" s="510">
        <f t="shared" si="130"/>
        <v>6255</v>
      </c>
      <c r="CU100" s="512"/>
      <c r="CV100" s="512"/>
      <c r="CW100" s="512"/>
      <c r="CX100" s="512"/>
      <c r="CY100" s="1149" t="s">
        <v>7057</v>
      </c>
      <c r="CZ100" s="1149" t="s">
        <v>7104</v>
      </c>
      <c r="DA100" s="1152"/>
      <c r="DB100" s="1152" t="s">
        <v>6396</v>
      </c>
      <c r="DC100" s="1152" t="s">
        <v>7549</v>
      </c>
      <c r="DD100" s="1152" t="s">
        <v>6142</v>
      </c>
      <c r="DE100" s="1152" t="s">
        <v>6397</v>
      </c>
      <c r="DF100" s="1152" t="s">
        <v>6398</v>
      </c>
      <c r="DG100" s="1152"/>
      <c r="DH100" s="512"/>
      <c r="DI100" s="512"/>
      <c r="DJ100" s="512"/>
      <c r="DK100" s="512"/>
      <c r="DL100" s="512"/>
      <c r="DN100" s="476" t="str">
        <f>VLOOKUP(X100,Hoja1!$A$4:$B$10,2,0)</f>
        <v>PROFESIONAL</v>
      </c>
      <c r="DO100" s="476" t="str">
        <f>VLOOKUP(S100,Hoja1!$D$4:$F$77,3,0)</f>
        <v>PII - IV</v>
      </c>
      <c r="DP100" s="1594" t="str">
        <f t="shared" si="131"/>
        <v>0</v>
      </c>
      <c r="DQ100" s="1484">
        <f>IF(T100&lt;&gt;"0",(ROUND(IF(A100="EMPLEADO",eval_formula('CONCEPTOS Y PARAMETROS'!$C$8,NOMINA!V100,AU100+BF100,NOMINA!I100+NOMINA!J100),eval_formula('CONCEPTOS Y PARAMETROS'!$D$8,NOMINA!V100,AU100+BF100,NOMINA!I100+NOMINA!J100)),2))*IF(H100&lt;&gt;"",IF(MONTH(H100)=$BR$8,IF(YEAR(H100)&lt;$BT$7,1,0),0)))</f>
        <v>0</v>
      </c>
      <c r="DR100" s="1799" t="str">
        <f t="shared" si="132"/>
        <v>M</v>
      </c>
      <c r="DS100" s="1799"/>
    </row>
    <row r="101" spans="1:123" s="476" customFormat="1" ht="21.95" customHeight="1" x14ac:dyDescent="0.25">
      <c r="A101" s="508" t="s">
        <v>2846</v>
      </c>
      <c r="B101" s="1314">
        <f t="shared" ca="1" si="133"/>
        <v>58</v>
      </c>
      <c r="C101" s="1148">
        <v>11318142</v>
      </c>
      <c r="D101" s="1149" t="s">
        <v>4741</v>
      </c>
      <c r="E101" s="1135" t="s">
        <v>4622</v>
      </c>
      <c r="F101" s="1150">
        <v>26352</v>
      </c>
      <c r="G101" s="1135" t="s">
        <v>4621</v>
      </c>
      <c r="H101" s="1150">
        <v>43983</v>
      </c>
      <c r="I101" s="1140">
        <f t="shared" si="90"/>
        <v>5</v>
      </c>
      <c r="J101" s="1132">
        <v>0</v>
      </c>
      <c r="K101" s="1140">
        <f t="shared" si="91"/>
        <v>5</v>
      </c>
      <c r="L101" s="1145" t="s">
        <v>5544</v>
      </c>
      <c r="M101" s="1132"/>
      <c r="N101" s="1132"/>
      <c r="O101" s="1002" t="s">
        <v>7263</v>
      </c>
      <c r="P101" s="1132" t="s">
        <v>5317</v>
      </c>
      <c r="Q101" s="1315" t="str">
        <f>IFERROR(VLOOKUP(O101,CARGOS!A:E,2,0),"")</f>
        <v>25212</v>
      </c>
      <c r="R101" s="1327" t="s">
        <v>7263</v>
      </c>
      <c r="S101" s="1146" t="s">
        <v>5477</v>
      </c>
      <c r="T101" s="1107">
        <f>IFERROR(VLOOKUP(S101,'TAB EMP'!A:B,2,0),0)</f>
        <v>150</v>
      </c>
      <c r="U101" s="1108">
        <v>0</v>
      </c>
      <c r="V101" s="1107">
        <f t="shared" si="92"/>
        <v>150</v>
      </c>
      <c r="W101" s="1108">
        <f t="shared" si="93"/>
        <v>75</v>
      </c>
      <c r="X101" s="1135" t="s">
        <v>2884</v>
      </c>
      <c r="Y101" s="1135"/>
      <c r="Z101" s="1135">
        <v>0</v>
      </c>
      <c r="AA101" s="1107">
        <f>ROUND(IF(H101&lt;&gt;"",VLOOKUP(SUM(I101+J101),'CONCEPTOS Y PARAMETROS'!F:G,2,0)*V101,0),2)</f>
        <v>7.5</v>
      </c>
      <c r="AB101" s="1107">
        <f>IF(S101&lt;&gt;"",IF(M101="",'CONCEPTOS Y PARAMETROS'!$C$4,0),0)</f>
        <v>130</v>
      </c>
      <c r="AC101" s="1107">
        <f>IF(S101&lt;&gt;"",IF(M101="",'CONCEPTOS Y PARAMETROS'!$C$7*Z101,0),0)</f>
        <v>0</v>
      </c>
      <c r="AD101" s="1107">
        <f>IFERROR(ROUND(VLOOKUP($X101,'CONCEPTOS Y PARAMETROS'!H:I,2,0)*($V101+AA101+AB101+AC101),2),0)</f>
        <v>0</v>
      </c>
      <c r="AE101" s="1107">
        <f t="shared" si="94"/>
        <v>137.5</v>
      </c>
      <c r="AF101" s="1107">
        <f t="shared" si="95"/>
        <v>3.75</v>
      </c>
      <c r="AG101" s="1107">
        <f t="shared" si="96"/>
        <v>3.75</v>
      </c>
      <c r="AH101" s="1107">
        <f t="shared" si="97"/>
        <v>65</v>
      </c>
      <c r="AI101" s="1107">
        <f t="shared" si="98"/>
        <v>65</v>
      </c>
      <c r="AJ101" s="1107">
        <f t="shared" si="99"/>
        <v>0</v>
      </c>
      <c r="AK101" s="1107">
        <f t="shared" si="100"/>
        <v>0</v>
      </c>
      <c r="AL101" s="1108">
        <f t="shared" si="101"/>
        <v>68.75</v>
      </c>
      <c r="AM101" s="1108">
        <f t="shared" si="102"/>
        <v>68.75</v>
      </c>
      <c r="AN101" s="990">
        <v>0</v>
      </c>
      <c r="AO101" s="1147">
        <f>'CONCEPTOS Y PARAMETROS'!$C$18*AN101</f>
        <v>0</v>
      </c>
      <c r="AP101" s="990">
        <v>0</v>
      </c>
      <c r="AQ101" s="1147">
        <f>'CONCEPTOS Y PARAMETROS'!$C$21*AP101</f>
        <v>0</v>
      </c>
      <c r="AR101" s="1318">
        <v>0</v>
      </c>
      <c r="AS101" s="1318">
        <v>0</v>
      </c>
      <c r="AT101" s="1318">
        <f t="shared" si="208"/>
        <v>0</v>
      </c>
      <c r="AU101" s="1108">
        <f t="shared" si="104"/>
        <v>287.5</v>
      </c>
      <c r="AV101" s="1133">
        <v>0</v>
      </c>
      <c r="AW101" s="1108">
        <f t="shared" si="225"/>
        <v>0</v>
      </c>
      <c r="AX101" s="1107">
        <f>IF(T101&lt;&gt;"0",(ROUND(IF(A101="EMPLEADO",eval_formula('CONCEPTOS Y PARAMETROS'!$C$8,NOMINA!V101,NOMINA!$AU101,NOMINA!I101+NOMINA!J101),eval_formula('CONCEPTOS Y PARAMETROS'!$D$8,NOMINA!V101,NOMINA!$AU101,NOMINA!I101+NOMINA!J101)),2))*IF(H101&lt;&gt;"",IF(MONTH(H101)=$BR$8,IF(YEAR(H101)&lt;$BT$7,1,0),0)))</f>
        <v>0</v>
      </c>
      <c r="AY101" s="1108">
        <v>180</v>
      </c>
      <c r="AZ101" s="1107">
        <f>IFERROR(VLOOKUP(AY101,'CONCEPTOS Y PARAMETROS'!Y:Z,2,0),0)</f>
        <v>150</v>
      </c>
      <c r="BA101" s="1107">
        <f t="shared" si="106"/>
        <v>2156.25</v>
      </c>
      <c r="BB101" s="1107">
        <f t="shared" si="134"/>
        <v>0</v>
      </c>
      <c r="BC101" s="990">
        <v>0</v>
      </c>
      <c r="BD101" s="1107" t="str">
        <f t="shared" si="107"/>
        <v>0</v>
      </c>
      <c r="BE101" s="990">
        <v>0</v>
      </c>
      <c r="BF101" s="1107">
        <f t="shared" si="226"/>
        <v>0</v>
      </c>
      <c r="BG101" s="1108">
        <v>320</v>
      </c>
      <c r="BH101" s="1108">
        <v>0</v>
      </c>
      <c r="BI101" s="1132">
        <v>0</v>
      </c>
      <c r="BJ101" s="1108">
        <v>12.5</v>
      </c>
      <c r="BK101" s="1108">
        <v>0</v>
      </c>
      <c r="BL101" s="1107">
        <f t="shared" si="157"/>
        <v>13.27</v>
      </c>
      <c r="BM101" s="1107">
        <f t="shared" si="158"/>
        <v>1.66</v>
      </c>
      <c r="BN101" s="1107">
        <f t="shared" si="109"/>
        <v>2.88</v>
      </c>
      <c r="BO101" s="1107">
        <v>0</v>
      </c>
      <c r="BP101" s="1107">
        <v>0</v>
      </c>
      <c r="BQ101" s="1320">
        <f t="shared" si="110"/>
        <v>17.809999999999999</v>
      </c>
      <c r="BR101" s="1107">
        <f t="shared" si="159"/>
        <v>29.86</v>
      </c>
      <c r="BS101" s="1107">
        <f t="shared" si="160"/>
        <v>6.63</v>
      </c>
      <c r="BT101" s="1107">
        <f t="shared" si="111"/>
        <v>5.76</v>
      </c>
      <c r="BU101" s="1107">
        <v>0</v>
      </c>
      <c r="BV101" s="1108">
        <f t="shared" si="112"/>
        <v>42.25</v>
      </c>
      <c r="BW101" s="1112">
        <f t="shared" si="113"/>
        <v>60.06</v>
      </c>
      <c r="BX101" s="1112">
        <f t="shared" si="244"/>
        <v>539.05999999999995</v>
      </c>
      <c r="BY101" s="1108">
        <v>0</v>
      </c>
      <c r="BZ101" s="1108">
        <f t="shared" si="115"/>
        <v>539.05999999999995</v>
      </c>
      <c r="CA101" s="1321">
        <f>'CONCEPTOS Y PARAMETROS'!$A$102</f>
        <v>6255</v>
      </c>
      <c r="CB101" s="1112">
        <f t="shared" si="116"/>
        <v>125.94</v>
      </c>
      <c r="CC101" s="1113">
        <f t="shared" si="117"/>
        <v>476.25</v>
      </c>
      <c r="CD101" s="512"/>
      <c r="CE101" s="512"/>
      <c r="CF101" s="470">
        <f t="shared" si="118"/>
        <v>783.75</v>
      </c>
      <c r="CG101" s="509">
        <f t="shared" si="119"/>
        <v>125.94</v>
      </c>
      <c r="CH101" s="1603">
        <f t="shared" si="120"/>
        <v>12.5</v>
      </c>
      <c r="CI101" s="1491">
        <f t="shared" si="121"/>
        <v>320</v>
      </c>
      <c r="CJ101" s="1502">
        <v>1</v>
      </c>
      <c r="CK101" s="509">
        <f t="shared" si="122"/>
        <v>463.75</v>
      </c>
      <c r="CL101" s="1689">
        <f t="shared" si="123"/>
        <v>463.75</v>
      </c>
      <c r="CM101" s="1689">
        <f t="shared" si="124"/>
        <v>0</v>
      </c>
      <c r="CN101" s="510">
        <f t="shared" si="125"/>
        <v>0</v>
      </c>
      <c r="CO101" s="511">
        <v>0</v>
      </c>
      <c r="CP101" s="510">
        <f t="shared" si="126"/>
        <v>0</v>
      </c>
      <c r="CQ101" s="510">
        <f t="shared" si="127"/>
        <v>0</v>
      </c>
      <c r="CR101" s="510">
        <f t="shared" si="128"/>
        <v>927.5</v>
      </c>
      <c r="CS101" s="510">
        <f t="shared" si="129"/>
        <v>60.06</v>
      </c>
      <c r="CT101" s="510">
        <f t="shared" si="130"/>
        <v>6255</v>
      </c>
      <c r="CU101" s="512"/>
      <c r="CV101" s="512"/>
      <c r="CW101" s="512"/>
      <c r="CX101" s="512"/>
      <c r="CY101" s="1149" t="s">
        <v>6873</v>
      </c>
      <c r="CZ101" s="1149" t="s">
        <v>7105</v>
      </c>
      <c r="DA101" s="1152"/>
      <c r="DB101" s="1642" t="s">
        <v>6339</v>
      </c>
      <c r="DC101" s="1642"/>
      <c r="DD101" s="1642" t="s">
        <v>6142</v>
      </c>
      <c r="DE101" s="1642" t="s">
        <v>6554</v>
      </c>
      <c r="DF101" s="1642" t="s">
        <v>6555</v>
      </c>
      <c r="DG101" s="1642"/>
      <c r="DH101" s="512"/>
      <c r="DI101" s="512"/>
      <c r="DJ101" s="512"/>
      <c r="DK101" s="512"/>
      <c r="DL101" s="512"/>
      <c r="DN101" s="476" t="str">
        <f>VLOOKUP(X101,Hoja1!$A$4:$B$10,2,0)</f>
        <v>BACHILLER</v>
      </c>
      <c r="DO101" s="476" t="str">
        <f>VLOOKUP(S101,Hoja1!$D$4:$F$77,3,0)</f>
        <v>BII - II</v>
      </c>
      <c r="DP101" s="1594" t="str">
        <f t="shared" si="131"/>
        <v>0</v>
      </c>
      <c r="DQ101" s="1484">
        <f>IF(T101&lt;&gt;"0",(ROUND(IF(A101="EMPLEADO",eval_formula('CONCEPTOS Y PARAMETROS'!$C$8,NOMINA!V101,AU101+BF101,NOMINA!I101+NOMINA!J101),eval_formula('CONCEPTOS Y PARAMETROS'!$D$8,NOMINA!V101,AU101+BF101,NOMINA!I101+NOMINA!J101)),2))*IF(H101&lt;&gt;"",IF(MONTH(H101)=$BR$8,IF(YEAR(H101)&lt;$BT$7,1,0),0)))</f>
        <v>0</v>
      </c>
      <c r="DR101" s="1799" t="str">
        <f t="shared" si="132"/>
        <v>M</v>
      </c>
      <c r="DS101" s="1799"/>
    </row>
    <row r="102" spans="1:123" s="476" customFormat="1" ht="21.95" customHeight="1" x14ac:dyDescent="0.25">
      <c r="A102" s="508" t="s">
        <v>2846</v>
      </c>
      <c r="B102" s="1314">
        <f t="shared" ca="1" si="133"/>
        <v>59</v>
      </c>
      <c r="C102" s="1148">
        <v>11318697</v>
      </c>
      <c r="D102" s="1149" t="s">
        <v>7244</v>
      </c>
      <c r="E102" s="1135" t="s">
        <v>4622</v>
      </c>
      <c r="F102" s="1150">
        <v>25092</v>
      </c>
      <c r="G102" s="1135" t="s">
        <v>4620</v>
      </c>
      <c r="H102" s="1150">
        <v>39539</v>
      </c>
      <c r="I102" s="1140">
        <f t="shared" si="90"/>
        <v>17</v>
      </c>
      <c r="J102" s="1132">
        <v>0</v>
      </c>
      <c r="K102" s="1140">
        <f t="shared" si="91"/>
        <v>17</v>
      </c>
      <c r="L102" s="1145" t="s">
        <v>5524</v>
      </c>
      <c r="M102" s="1132"/>
      <c r="N102" s="1132"/>
      <c r="O102" s="1002" t="s">
        <v>5215</v>
      </c>
      <c r="P102" s="1151" t="s">
        <v>6668</v>
      </c>
      <c r="Q102" s="1315" t="str">
        <f>IFERROR(VLOOKUP(O102,CARGOS!A:E,2,0),"")</f>
        <v>12113</v>
      </c>
      <c r="R102" s="1327" t="s">
        <v>5215</v>
      </c>
      <c r="S102" s="1146" t="s">
        <v>5457</v>
      </c>
      <c r="T102" s="1107">
        <f>IFERROR(VLOOKUP(S102,'TAB EMP'!A:B,2,0),0)</f>
        <v>176</v>
      </c>
      <c r="U102" s="1108">
        <v>0</v>
      </c>
      <c r="V102" s="1107">
        <f t="shared" ref="V102" si="245">T102-U102</f>
        <v>176</v>
      </c>
      <c r="W102" s="1108">
        <f t="shared" ref="W102" si="246">ROUND(V102/2,2)</f>
        <v>88</v>
      </c>
      <c r="X102" s="1135" t="s">
        <v>2884</v>
      </c>
      <c r="Y102" s="1135"/>
      <c r="Z102" s="1135">
        <v>0</v>
      </c>
      <c r="AA102" s="1107">
        <f>ROUND(IF(H102&lt;&gt;"",VLOOKUP(SUM(I102+J102),'CONCEPTOS Y PARAMETROS'!F:G,2,0)*V102,0),2)</f>
        <v>37.31</v>
      </c>
      <c r="AB102" s="1107">
        <f>IF(S102&lt;&gt;"",IF(M102="",'CONCEPTOS Y PARAMETROS'!$C$4,0),0)</f>
        <v>130</v>
      </c>
      <c r="AC102" s="1107">
        <f>IF(S102&lt;&gt;"",IF(M102="",'CONCEPTOS Y PARAMETROS'!$C$7*Z102,0),0)</f>
        <v>0</v>
      </c>
      <c r="AD102" s="1107">
        <f>IFERROR(ROUND(VLOOKUP($X102,'CONCEPTOS Y PARAMETROS'!H:I,2,0)*($V102+AA102+AB102+AC102),2),0)</f>
        <v>0</v>
      </c>
      <c r="AE102" s="1107">
        <f t="shared" ref="AE102" si="247">SUM(AA102:AD102)</f>
        <v>167.31</v>
      </c>
      <c r="AF102" s="1107">
        <f t="shared" ref="AF102" si="248">ROUND(AA102/2,2)</f>
        <v>18.66</v>
      </c>
      <c r="AG102" s="1107">
        <f t="shared" ref="AG102" si="249">ROUND(AA102-AF102,2)</f>
        <v>18.649999999999999</v>
      </c>
      <c r="AH102" s="1107">
        <f t="shared" ref="AH102" si="250">ROUND(AB102/2,2)</f>
        <v>65</v>
      </c>
      <c r="AI102" s="1107">
        <f t="shared" ref="AI102" si="251">ROUND(AB102-AH102,2)</f>
        <v>65</v>
      </c>
      <c r="AJ102" s="1107">
        <f t="shared" ref="AJ102" si="252">ROUND(AD102/2,2)</f>
        <v>0</v>
      </c>
      <c r="AK102" s="1107">
        <f t="shared" ref="AK102" si="253">ROUND(AD102-AJ102,2)</f>
        <v>0</v>
      </c>
      <c r="AL102" s="1108">
        <f t="shared" ref="AL102" si="254">ROUND(AF102+AH102+AJ102+AC102,2)</f>
        <v>83.66</v>
      </c>
      <c r="AM102" s="1108">
        <f t="shared" ref="AM102" si="255">ROUND(AG102+AI102+AK102,2)</f>
        <v>83.65</v>
      </c>
      <c r="AN102" s="990">
        <v>0</v>
      </c>
      <c r="AO102" s="1147">
        <f>'CONCEPTOS Y PARAMETROS'!$C$18*AN102</f>
        <v>0</v>
      </c>
      <c r="AP102" s="990">
        <v>0</v>
      </c>
      <c r="AQ102" s="1147">
        <f>'CONCEPTOS Y PARAMETROS'!$C$21*AP102</f>
        <v>0</v>
      </c>
      <c r="AR102" s="1318">
        <v>0</v>
      </c>
      <c r="AS102" s="1318">
        <v>0</v>
      </c>
      <c r="AT102" s="1318">
        <f t="shared" ref="AT102" si="256">+AO102+AQ102+AR102+AS102</f>
        <v>0</v>
      </c>
      <c r="AU102" s="1108">
        <f t="shared" si="104"/>
        <v>343.31</v>
      </c>
      <c r="AV102" s="1133">
        <v>0</v>
      </c>
      <c r="AW102" s="1108">
        <f t="shared" si="225"/>
        <v>0</v>
      </c>
      <c r="AX102" s="1107">
        <f>IF(T102&lt;&gt;"0",(ROUND(IF(A102="EMPLEADO",eval_formula('CONCEPTOS Y PARAMETROS'!$C$8,NOMINA!V102,NOMINA!$AU102,NOMINA!I102+NOMINA!J102),eval_formula('CONCEPTOS Y PARAMETROS'!$D$8,NOMINA!V102,NOMINA!$AU102,NOMINA!I102+NOMINA!J102)),2))*IF(H102&lt;&gt;"",IF(MONTH(H102)=$BR$8,IF(YEAR(H102)&lt;$BT$7,1,0),0)))</f>
        <v>0</v>
      </c>
      <c r="AY102" s="1108">
        <v>180</v>
      </c>
      <c r="AZ102" s="1107">
        <f>IFERROR(VLOOKUP(AY102,'CONCEPTOS Y PARAMETROS'!Y:Z,2,0),0)</f>
        <v>150</v>
      </c>
      <c r="BA102" s="1107">
        <f t="shared" ref="BA102" si="257">ROUND((((AU102))/30*AY102/12+(AU102))/30*AZ102,2)</f>
        <v>2574.83</v>
      </c>
      <c r="BB102" s="1107">
        <f t="shared" si="134"/>
        <v>0</v>
      </c>
      <c r="BC102" s="990">
        <v>0</v>
      </c>
      <c r="BD102" s="1107" t="str">
        <f t="shared" si="107"/>
        <v>0</v>
      </c>
      <c r="BE102" s="990">
        <v>0</v>
      </c>
      <c r="BF102" s="1107">
        <f t="shared" si="226"/>
        <v>0</v>
      </c>
      <c r="BG102" s="1108">
        <v>320</v>
      </c>
      <c r="BH102" s="1108">
        <v>0</v>
      </c>
      <c r="BI102" s="1132">
        <v>0</v>
      </c>
      <c r="BJ102" s="1108">
        <v>12.5</v>
      </c>
      <c r="BK102" s="1108">
        <v>0</v>
      </c>
      <c r="BL102" s="1107">
        <f t="shared" si="157"/>
        <v>15.85</v>
      </c>
      <c r="BM102" s="1107">
        <f t="shared" si="158"/>
        <v>1.98</v>
      </c>
      <c r="BN102" s="1107">
        <f t="shared" si="109"/>
        <v>3.43</v>
      </c>
      <c r="BO102" s="1107">
        <v>0</v>
      </c>
      <c r="BP102" s="1107">
        <v>0</v>
      </c>
      <c r="BQ102" s="1320">
        <f t="shared" ref="BQ102" si="258">ROUND(SUM(BL102:BP102),2)</f>
        <v>21.26</v>
      </c>
      <c r="BR102" s="1107">
        <f t="shared" si="159"/>
        <v>35.65</v>
      </c>
      <c r="BS102" s="1107">
        <f t="shared" si="160"/>
        <v>7.92</v>
      </c>
      <c r="BT102" s="1107">
        <f t="shared" si="111"/>
        <v>6.86</v>
      </c>
      <c r="BU102" s="1107">
        <v>0</v>
      </c>
      <c r="BV102" s="1108">
        <f t="shared" ref="BV102" si="259">ROUND(SUM(BR102:BT102),2)</f>
        <v>50.43</v>
      </c>
      <c r="BW102" s="1112">
        <f t="shared" ref="BW102" si="260">BQ102+BV102</f>
        <v>71.69</v>
      </c>
      <c r="BX102" s="1112">
        <f t="shared" si="244"/>
        <v>643.71</v>
      </c>
      <c r="BY102" s="1108">
        <v>0</v>
      </c>
      <c r="BZ102" s="1108">
        <f t="shared" si="115"/>
        <v>643.71</v>
      </c>
      <c r="CA102" s="1321">
        <v>0</v>
      </c>
      <c r="CB102" s="1112">
        <f t="shared" si="116"/>
        <v>150.4</v>
      </c>
      <c r="CC102" s="1113">
        <f t="shared" si="117"/>
        <v>504.15</v>
      </c>
      <c r="CD102" s="512"/>
      <c r="CE102" s="512"/>
      <c r="CF102" s="470">
        <f t="shared" si="118"/>
        <v>811.65</v>
      </c>
      <c r="CG102" s="509">
        <f t="shared" si="119"/>
        <v>150.4</v>
      </c>
      <c r="CH102" s="498">
        <f t="shared" si="120"/>
        <v>12.5</v>
      </c>
      <c r="CI102" s="1491">
        <f t="shared" si="121"/>
        <v>320</v>
      </c>
      <c r="CJ102" s="1500">
        <v>1</v>
      </c>
      <c r="CK102" s="509">
        <f t="shared" si="122"/>
        <v>491.65</v>
      </c>
      <c r="CL102" s="1689">
        <f t="shared" si="123"/>
        <v>491.65</v>
      </c>
      <c r="CM102" s="1689">
        <f t="shared" si="124"/>
        <v>0</v>
      </c>
      <c r="CN102" s="510">
        <f t="shared" si="125"/>
        <v>0</v>
      </c>
      <c r="CO102" s="511">
        <v>0</v>
      </c>
      <c r="CP102" s="510">
        <f t="shared" si="126"/>
        <v>0</v>
      </c>
      <c r="CQ102" s="510">
        <f t="shared" si="127"/>
        <v>0</v>
      </c>
      <c r="CR102" s="496">
        <f t="shared" si="128"/>
        <v>983.3</v>
      </c>
      <c r="CS102" s="510">
        <f t="shared" si="129"/>
        <v>71.69</v>
      </c>
      <c r="CT102" s="510">
        <f t="shared" si="130"/>
        <v>0</v>
      </c>
      <c r="CU102" s="470"/>
      <c r="CV102" s="470"/>
      <c r="CW102" s="470"/>
      <c r="CX102" s="470"/>
      <c r="CY102" s="1149" t="s">
        <v>7058</v>
      </c>
      <c r="CZ102" s="1149" t="s">
        <v>7106</v>
      </c>
      <c r="DA102" s="1152"/>
      <c r="DB102" s="1152" t="s">
        <v>6669</v>
      </c>
      <c r="DC102" s="1152" t="s">
        <v>7550</v>
      </c>
      <c r="DD102" s="1152" t="s">
        <v>6135</v>
      </c>
      <c r="DE102" s="1152" t="s">
        <v>6162</v>
      </c>
      <c r="DF102" s="1152" t="s">
        <v>6384</v>
      </c>
      <c r="DG102" s="1152"/>
      <c r="DH102" s="512"/>
      <c r="DI102" s="512"/>
      <c r="DJ102" s="512"/>
      <c r="DK102" s="512"/>
      <c r="DL102" s="512"/>
      <c r="DN102" s="476" t="str">
        <f>VLOOKUP(X102,Hoja1!$A$4:$B$10,2,0)</f>
        <v>BACHILLER</v>
      </c>
      <c r="DO102" s="476" t="str">
        <f>VLOOKUP(S102,Hoja1!$D$4:$F$77,3,0)</f>
        <v>BIII - VI</v>
      </c>
      <c r="DP102" s="1158" t="str">
        <f t="shared" si="131"/>
        <v>0</v>
      </c>
      <c r="DQ102" s="1484">
        <f>IF(T102&lt;&gt;"0",(ROUND(IF(A102="EMPLEADO",eval_formula('CONCEPTOS Y PARAMETROS'!$C$8,NOMINA!V102,AU102+BF102,NOMINA!I102+NOMINA!J102),eval_formula('CONCEPTOS Y PARAMETROS'!$D$8,NOMINA!V102,AU102+BF102,NOMINA!I102+NOMINA!J102)),2))*IF(H102&lt;&gt;"",IF(MONTH(H102)=$BR$8,IF(YEAR(H102)&lt;$BT$7,1,0),0)))</f>
        <v>0</v>
      </c>
      <c r="DR102" s="1799" t="str">
        <f t="shared" si="132"/>
        <v>F</v>
      </c>
      <c r="DS102" s="1799"/>
    </row>
    <row r="103" spans="1:123" s="471" customFormat="1" ht="21.95" customHeight="1" x14ac:dyDescent="0.25">
      <c r="A103" s="508" t="s">
        <v>2846</v>
      </c>
      <c r="B103" s="1314">
        <f t="shared" ca="1" si="133"/>
        <v>60</v>
      </c>
      <c r="C103" s="1148">
        <v>11319154</v>
      </c>
      <c r="D103" s="1149" t="s">
        <v>4743</v>
      </c>
      <c r="E103" s="1135" t="s">
        <v>4622</v>
      </c>
      <c r="F103" s="1150">
        <v>26378</v>
      </c>
      <c r="G103" s="1135" t="s">
        <v>4620</v>
      </c>
      <c r="H103" s="1150">
        <v>34428</v>
      </c>
      <c r="I103" s="1140">
        <f t="shared" si="90"/>
        <v>31</v>
      </c>
      <c r="J103" s="1132">
        <v>0</v>
      </c>
      <c r="K103" s="1140">
        <f t="shared" si="91"/>
        <v>31</v>
      </c>
      <c r="L103" s="1145" t="s">
        <v>5527</v>
      </c>
      <c r="M103" s="1132"/>
      <c r="N103" s="1132"/>
      <c r="O103" s="1002" t="s">
        <v>5217</v>
      </c>
      <c r="P103" s="1132" t="s">
        <v>5318</v>
      </c>
      <c r="Q103" s="1315" t="str">
        <f>IFERROR(VLOOKUP(O103,CARGOS!A:E,2,0),"")</f>
        <v>79512</v>
      </c>
      <c r="R103" s="1327" t="s">
        <v>5217</v>
      </c>
      <c r="S103" s="1146" t="s">
        <v>5474</v>
      </c>
      <c r="T103" s="1107">
        <f>IFERROR(VLOOKUP(S103,'TAB EMP'!A:B,2,0),0)</f>
        <v>316</v>
      </c>
      <c r="U103" s="1108">
        <v>0</v>
      </c>
      <c r="V103" s="1107">
        <f t="shared" si="92"/>
        <v>316</v>
      </c>
      <c r="W103" s="1108">
        <f t="shared" si="93"/>
        <v>158</v>
      </c>
      <c r="X103" s="1135" t="s">
        <v>2887</v>
      </c>
      <c r="Y103" s="1135"/>
      <c r="Z103" s="1135">
        <v>0</v>
      </c>
      <c r="AA103" s="1107">
        <f>ROUND(IF(H103&lt;&gt;"",VLOOKUP(SUM(I103+J103),'CONCEPTOS Y PARAMETROS'!F:G,2,0)*V103,0),2)</f>
        <v>94.8</v>
      </c>
      <c r="AB103" s="1107">
        <f>IF(S103&lt;&gt;"",IF(M103="",'CONCEPTOS Y PARAMETROS'!$C$4,0),0)</f>
        <v>130</v>
      </c>
      <c r="AC103" s="1107">
        <f>IF(S103&lt;&gt;"",IF(M103="",'CONCEPTOS Y PARAMETROS'!$C$7*Z103,0),0)</f>
        <v>0</v>
      </c>
      <c r="AD103" s="1107">
        <f>IFERROR(ROUND(VLOOKUP($X103,'CONCEPTOS Y PARAMETROS'!H:I,2,0)*($V103+AA103+AB103+AC103),2),0)</f>
        <v>189.28</v>
      </c>
      <c r="AE103" s="1107">
        <f t="shared" si="94"/>
        <v>414.08000000000004</v>
      </c>
      <c r="AF103" s="1107">
        <f t="shared" si="95"/>
        <v>47.4</v>
      </c>
      <c r="AG103" s="1107">
        <f t="shared" si="96"/>
        <v>47.4</v>
      </c>
      <c r="AH103" s="1107">
        <f t="shared" si="97"/>
        <v>65</v>
      </c>
      <c r="AI103" s="1107">
        <f t="shared" si="98"/>
        <v>65</v>
      </c>
      <c r="AJ103" s="1107">
        <f t="shared" si="99"/>
        <v>94.64</v>
      </c>
      <c r="AK103" s="1107">
        <f t="shared" si="100"/>
        <v>94.64</v>
      </c>
      <c r="AL103" s="1108">
        <f t="shared" si="101"/>
        <v>207.04</v>
      </c>
      <c r="AM103" s="1108">
        <f t="shared" si="102"/>
        <v>207.04</v>
      </c>
      <c r="AN103" s="990">
        <v>0</v>
      </c>
      <c r="AO103" s="1147">
        <f>'CONCEPTOS Y PARAMETROS'!$C$18*AN103</f>
        <v>0</v>
      </c>
      <c r="AP103" s="990">
        <v>0</v>
      </c>
      <c r="AQ103" s="1147">
        <f>'CONCEPTOS Y PARAMETROS'!$C$21*AP103</f>
        <v>0</v>
      </c>
      <c r="AR103" s="1318">
        <v>0</v>
      </c>
      <c r="AS103" s="1318">
        <v>0</v>
      </c>
      <c r="AT103" s="1318">
        <f t="shared" si="208"/>
        <v>0</v>
      </c>
      <c r="AU103" s="1108">
        <f t="shared" si="104"/>
        <v>730.08</v>
      </c>
      <c r="AV103" s="1133">
        <v>0</v>
      </c>
      <c r="AW103" s="1108">
        <f t="shared" si="225"/>
        <v>0</v>
      </c>
      <c r="AX103" s="1107">
        <f>IF(T103&lt;&gt;"0",(ROUND(IF(A103="EMPLEADO",eval_formula('CONCEPTOS Y PARAMETROS'!$C$8,NOMINA!V103,NOMINA!$AU103,NOMINA!I103+NOMINA!J103),eval_formula('CONCEPTOS Y PARAMETROS'!$D$8,NOMINA!V103,NOMINA!$AU103,NOMINA!I103+NOMINA!J103)),2))*IF(H103&lt;&gt;"",IF(MONTH(H103)=$BR$8,IF(YEAR(H103)&lt;$BT$7,1,0),0)))</f>
        <v>0</v>
      </c>
      <c r="AY103" s="1108">
        <v>180</v>
      </c>
      <c r="AZ103" s="1107">
        <f>IFERROR(VLOOKUP(AY103,'CONCEPTOS Y PARAMETROS'!Y:Z,2,0),0)</f>
        <v>150</v>
      </c>
      <c r="BA103" s="1107">
        <f t="shared" si="106"/>
        <v>5475.6</v>
      </c>
      <c r="BB103" s="1107">
        <f t="shared" si="134"/>
        <v>0</v>
      </c>
      <c r="BC103" s="990">
        <v>0</v>
      </c>
      <c r="BD103" s="1107" t="str">
        <f t="shared" si="107"/>
        <v>0</v>
      </c>
      <c r="BE103" s="990">
        <v>0</v>
      </c>
      <c r="BF103" s="1107">
        <f t="shared" si="226"/>
        <v>0</v>
      </c>
      <c r="BG103" s="1108">
        <v>320</v>
      </c>
      <c r="BH103" s="1108">
        <v>0</v>
      </c>
      <c r="BI103" s="1132">
        <v>0</v>
      </c>
      <c r="BJ103" s="1108">
        <v>12.5</v>
      </c>
      <c r="BK103" s="1108">
        <v>0</v>
      </c>
      <c r="BL103" s="1107">
        <f t="shared" si="157"/>
        <v>33.700000000000003</v>
      </c>
      <c r="BM103" s="1107">
        <f t="shared" si="158"/>
        <v>4.21</v>
      </c>
      <c r="BN103" s="1107">
        <f t="shared" si="109"/>
        <v>7.3</v>
      </c>
      <c r="BO103" s="1107">
        <v>0</v>
      </c>
      <c r="BP103" s="1107">
        <v>0</v>
      </c>
      <c r="BQ103" s="1320">
        <f t="shared" si="110"/>
        <v>45.21</v>
      </c>
      <c r="BR103" s="1107">
        <f t="shared" si="159"/>
        <v>75.819999999999993</v>
      </c>
      <c r="BS103" s="1107">
        <f t="shared" si="160"/>
        <v>16.850000000000001</v>
      </c>
      <c r="BT103" s="1107">
        <f t="shared" si="111"/>
        <v>14.6</v>
      </c>
      <c r="BU103" s="1107">
        <v>0</v>
      </c>
      <c r="BV103" s="1108">
        <f t="shared" si="112"/>
        <v>107.27</v>
      </c>
      <c r="BW103" s="1112">
        <f t="shared" si="113"/>
        <v>152.47999999999999</v>
      </c>
      <c r="BX103" s="1112">
        <f t="shared" si="244"/>
        <v>1368.9</v>
      </c>
      <c r="BY103" s="1108">
        <v>0</v>
      </c>
      <c r="BZ103" s="1108">
        <f t="shared" si="115"/>
        <v>1368.9</v>
      </c>
      <c r="CA103" s="1321">
        <f>'CONCEPTOS Y PARAMETROS'!$A$102</f>
        <v>6255</v>
      </c>
      <c r="CB103" s="1112">
        <f t="shared" si="116"/>
        <v>319.83</v>
      </c>
      <c r="CC103" s="1113">
        <f t="shared" si="117"/>
        <v>697.54</v>
      </c>
      <c r="CD103" s="512"/>
      <c r="CE103" s="512"/>
      <c r="CF103" s="470">
        <f t="shared" si="118"/>
        <v>1005.04</v>
      </c>
      <c r="CG103" s="495">
        <f t="shared" si="119"/>
        <v>319.83</v>
      </c>
      <c r="CH103" s="498">
        <f t="shared" si="120"/>
        <v>12.5</v>
      </c>
      <c r="CI103" s="1490">
        <f t="shared" si="121"/>
        <v>320</v>
      </c>
      <c r="CJ103" s="1500">
        <v>2</v>
      </c>
      <c r="CK103" s="495">
        <f t="shared" si="122"/>
        <v>685.04</v>
      </c>
      <c r="CL103" s="1689">
        <f t="shared" si="123"/>
        <v>328.82</v>
      </c>
      <c r="CM103" s="1689">
        <f t="shared" si="124"/>
        <v>356.21999999999997</v>
      </c>
      <c r="CN103" s="496">
        <f t="shared" si="125"/>
        <v>0</v>
      </c>
      <c r="CO103" s="497">
        <v>0</v>
      </c>
      <c r="CP103" s="496">
        <f t="shared" si="126"/>
        <v>0</v>
      </c>
      <c r="CQ103" s="496">
        <f t="shared" si="127"/>
        <v>0</v>
      </c>
      <c r="CR103" s="496">
        <f t="shared" si="128"/>
        <v>1370.08</v>
      </c>
      <c r="CS103" s="496">
        <f t="shared" si="129"/>
        <v>152.47999999999999</v>
      </c>
      <c r="CT103" s="496">
        <f t="shared" si="130"/>
        <v>6255</v>
      </c>
      <c r="CU103" s="470"/>
      <c r="CV103" s="470"/>
      <c r="CW103" s="470"/>
      <c r="CX103" s="470"/>
      <c r="CY103" s="1149" t="s">
        <v>6885</v>
      </c>
      <c r="CZ103" s="1149" t="s">
        <v>6836</v>
      </c>
      <c r="DA103" s="480"/>
      <c r="DB103" s="1642" t="s">
        <v>6197</v>
      </c>
      <c r="DC103" s="1642"/>
      <c r="DD103" s="1642" t="s">
        <v>6556</v>
      </c>
      <c r="DE103" s="1642" t="s">
        <v>6200</v>
      </c>
      <c r="DF103" s="1642" t="s">
        <v>6498</v>
      </c>
      <c r="DG103" s="1642"/>
      <c r="DH103" s="470"/>
      <c r="DI103" s="915"/>
      <c r="DJ103" s="470"/>
      <c r="DK103" s="470"/>
      <c r="DL103" s="470"/>
      <c r="DN103" s="471" t="str">
        <f>VLOOKUP(X103,Hoja1!$A$4:$B$10,2,0)</f>
        <v>MAGISTER</v>
      </c>
      <c r="DO103" s="471" t="str">
        <f>VLOOKUP(S103,Hoja1!$D$4:$F$77,3,0)</f>
        <v>PIII - VII</v>
      </c>
      <c r="DP103" s="1156" t="str">
        <f t="shared" si="131"/>
        <v>0</v>
      </c>
      <c r="DQ103" s="1484">
        <f>IF(T103&lt;&gt;"0",(ROUND(IF(A103="EMPLEADO",eval_formula('CONCEPTOS Y PARAMETROS'!$C$8,NOMINA!V103,AU103+BF103,NOMINA!I103+NOMINA!J103),eval_formula('CONCEPTOS Y PARAMETROS'!$D$8,NOMINA!V103,AU103+BF103,NOMINA!I103+NOMINA!J103)),2))*IF(H103&lt;&gt;"",IF(MONTH(H103)=$BR$8,IF(YEAR(H103)&lt;$BT$7,1,0),0)))</f>
        <v>0</v>
      </c>
      <c r="DR103" s="1801" t="str">
        <f t="shared" si="132"/>
        <v>F</v>
      </c>
      <c r="DS103" s="1801"/>
    </row>
    <row r="104" spans="1:123" s="911" customFormat="1" ht="21.95" customHeight="1" x14ac:dyDescent="0.25">
      <c r="A104" s="910" t="s">
        <v>2846</v>
      </c>
      <c r="B104" s="1328">
        <f ca="1">OFFSET(B104,-1,0)+1</f>
        <v>61</v>
      </c>
      <c r="C104" s="1329">
        <v>11320533</v>
      </c>
      <c r="D104" s="1330" t="s">
        <v>4744</v>
      </c>
      <c r="E104" s="1331" t="s">
        <v>4622</v>
      </c>
      <c r="F104" s="1347">
        <v>26799</v>
      </c>
      <c r="G104" s="1331" t="s">
        <v>4620</v>
      </c>
      <c r="H104" s="1347">
        <v>37629</v>
      </c>
      <c r="I104" s="1333">
        <f t="shared" si="90"/>
        <v>22</v>
      </c>
      <c r="J104" s="1334">
        <v>0</v>
      </c>
      <c r="K104" s="1333">
        <f t="shared" si="91"/>
        <v>22</v>
      </c>
      <c r="L104" s="1335" t="s">
        <v>5526</v>
      </c>
      <c r="M104" s="1334"/>
      <c r="N104" s="1334"/>
      <c r="O104" s="1336" t="s">
        <v>5237</v>
      </c>
      <c r="P104" s="1334" t="s">
        <v>5319</v>
      </c>
      <c r="Q104" s="1337" t="str">
        <f>IFERROR(VLOOKUP(O104,CARGOS!A:E,2,0),"")</f>
        <v>12124</v>
      </c>
      <c r="R104" s="1336" t="s">
        <v>5237</v>
      </c>
      <c r="S104" s="1338" t="s">
        <v>5458</v>
      </c>
      <c r="T104" s="1339">
        <v>0</v>
      </c>
      <c r="U104" s="1307">
        <v>0</v>
      </c>
      <c r="V104" s="1339">
        <f>T104-U104</f>
        <v>0</v>
      </c>
      <c r="W104" s="1307">
        <f>ROUND(V104/2,2)</f>
        <v>0</v>
      </c>
      <c r="X104" s="1331" t="s">
        <v>2885</v>
      </c>
      <c r="Y104" s="1331"/>
      <c r="Z104" s="1331">
        <v>0</v>
      </c>
      <c r="AA104" s="1339">
        <f>ROUND(IF(H104&lt;&gt;"",VLOOKUP(SUM(I104+J104),'CONCEPTOS Y PARAMETROS'!F:G,2,0)*V104,0),2)</f>
        <v>0</v>
      </c>
      <c r="AB104" s="1339">
        <v>0</v>
      </c>
      <c r="AC104" s="1339">
        <v>0</v>
      </c>
      <c r="AD104" s="1339">
        <f>IFERROR(ROUND(VLOOKUP($X104,'CONCEPTOS Y PARAMETROS'!H:I,2,0)*($V104+AA104+AB104+AC104),2),0)</f>
        <v>0</v>
      </c>
      <c r="AE104" s="1339">
        <f>SUM(AA104:AD104)</f>
        <v>0</v>
      </c>
      <c r="AF104" s="1339">
        <f>ROUND(AA104/2,2)</f>
        <v>0</v>
      </c>
      <c r="AG104" s="1339">
        <f>ROUND(AA104-AF104,2)</f>
        <v>0</v>
      </c>
      <c r="AH104" s="1339">
        <f>ROUND(AB104/2,2)</f>
        <v>0</v>
      </c>
      <c r="AI104" s="1339">
        <f>ROUND(AB104-AH104,2)</f>
        <v>0</v>
      </c>
      <c r="AJ104" s="1339">
        <f>ROUND(AD104/2,2)</f>
        <v>0</v>
      </c>
      <c r="AK104" s="1339">
        <f>ROUND(AD104-AJ104,2)</f>
        <v>0</v>
      </c>
      <c r="AL104" s="1307">
        <f>ROUND(AF104+AH104+AJ104+AC104,2)</f>
        <v>0</v>
      </c>
      <c r="AM104" s="1307">
        <f>ROUND(AG104+AI104+AK104,2)</f>
        <v>0</v>
      </c>
      <c r="AN104" s="1340">
        <v>0</v>
      </c>
      <c r="AO104" s="1341">
        <v>0</v>
      </c>
      <c r="AP104" s="1340">
        <v>0</v>
      </c>
      <c r="AQ104" s="1341">
        <f>'CONCEPTOS Y PARAMETROS'!$C$21*AP104</f>
        <v>0</v>
      </c>
      <c r="AR104" s="1342">
        <v>0</v>
      </c>
      <c r="AS104" s="1342">
        <v>0</v>
      </c>
      <c r="AT104" s="1342">
        <f>+AO104+AQ104+AR104+AS104</f>
        <v>0</v>
      </c>
      <c r="AU104" s="1307">
        <f t="shared" si="104"/>
        <v>0</v>
      </c>
      <c r="AV104" s="1343">
        <v>0</v>
      </c>
      <c r="AW104" s="1307">
        <f t="shared" si="225"/>
        <v>0</v>
      </c>
      <c r="AX104" s="1339">
        <f>IF(T104&lt;&gt;"0",(ROUND(IF(A104="EMPLEADO",eval_formula('CONCEPTOS Y PARAMETROS'!$C$8,NOMINA!V104,NOMINA!$AU104,NOMINA!I104+NOMINA!J104),eval_formula('CONCEPTOS Y PARAMETROS'!$D$8,NOMINA!V104,NOMINA!$AU104,NOMINA!I104+NOMINA!J104)),2))*IF(H104&lt;&gt;"",IF(MONTH(H104)=$BR$8,IF(YEAR(H104)&lt;$BT$7,1,0),0)))</f>
        <v>0</v>
      </c>
      <c r="AY104" s="1307">
        <v>180</v>
      </c>
      <c r="AZ104" s="1339">
        <f>IFERROR(VLOOKUP(AY104,'CONCEPTOS Y PARAMETROS'!Y:Z,2,0),0)</f>
        <v>150</v>
      </c>
      <c r="BA104" s="1339">
        <f>ROUND((((AU104))/30*AY104/12+(AU104))/30*AZ104,2)</f>
        <v>0</v>
      </c>
      <c r="BB104" s="1339">
        <f t="shared" si="134"/>
        <v>0</v>
      </c>
      <c r="BC104" s="1340">
        <v>0</v>
      </c>
      <c r="BD104" s="1339" t="str">
        <f t="shared" si="107"/>
        <v>0</v>
      </c>
      <c r="BE104" s="1340">
        <v>0</v>
      </c>
      <c r="BF104" s="1339">
        <f>ROUND(IF(BE104&gt;0,(((V104+AA104+AB104+AC104+AD104)/30)*50%+((V104+AA104+AB104+AC104+AD104)/30))*BE104,"0"),2)</f>
        <v>0</v>
      </c>
      <c r="BG104" s="1307">
        <v>0</v>
      </c>
      <c r="BH104" s="1307">
        <v>0</v>
      </c>
      <c r="BI104" s="1334">
        <v>0</v>
      </c>
      <c r="BJ104" s="1307">
        <v>0</v>
      </c>
      <c r="BK104" s="1307">
        <v>0</v>
      </c>
      <c r="BL104" s="1339">
        <f t="shared" si="157"/>
        <v>0</v>
      </c>
      <c r="BM104" s="1339">
        <f t="shared" si="158"/>
        <v>0</v>
      </c>
      <c r="BN104" s="1339">
        <f t="shared" si="109"/>
        <v>0</v>
      </c>
      <c r="BO104" s="1339">
        <v>0</v>
      </c>
      <c r="BP104" s="1339">
        <v>0</v>
      </c>
      <c r="BQ104" s="1344">
        <f>ROUND(SUM(BL104:BP104),2)</f>
        <v>0</v>
      </c>
      <c r="BR104" s="1339">
        <f t="shared" si="159"/>
        <v>0</v>
      </c>
      <c r="BS104" s="1339">
        <f t="shared" si="160"/>
        <v>0</v>
      </c>
      <c r="BT104" s="1339">
        <f t="shared" si="111"/>
        <v>0</v>
      </c>
      <c r="BU104" s="1339">
        <v>0</v>
      </c>
      <c r="BV104" s="1307">
        <f>ROUND(SUM(BR104:BT104),2)</f>
        <v>0</v>
      </c>
      <c r="BW104" s="1305">
        <f>BQ104+BV104</f>
        <v>0</v>
      </c>
      <c r="BX104" s="1305">
        <f t="shared" si="244"/>
        <v>0</v>
      </c>
      <c r="BY104" s="1307">
        <v>0</v>
      </c>
      <c r="BZ104" s="1307">
        <f t="shared" si="115"/>
        <v>0</v>
      </c>
      <c r="CA104" s="1345">
        <v>0</v>
      </c>
      <c r="CB104" s="1305">
        <f t="shared" si="116"/>
        <v>0</v>
      </c>
      <c r="CC104" s="1346">
        <f t="shared" si="117"/>
        <v>0</v>
      </c>
      <c r="CD104" s="512"/>
      <c r="CE104" s="512"/>
      <c r="CF104" s="470">
        <f t="shared" si="118"/>
        <v>0</v>
      </c>
      <c r="CG104" s="912">
        <f t="shared" si="119"/>
        <v>0</v>
      </c>
      <c r="CH104" s="498">
        <f t="shared" si="120"/>
        <v>0</v>
      </c>
      <c r="CI104" s="1492">
        <f t="shared" si="121"/>
        <v>0</v>
      </c>
      <c r="CJ104" s="1504">
        <v>0</v>
      </c>
      <c r="CK104" s="912">
        <f t="shared" si="122"/>
        <v>0</v>
      </c>
      <c r="CL104" s="912">
        <f t="shared" si="123"/>
        <v>0</v>
      </c>
      <c r="CM104" s="912">
        <f t="shared" si="124"/>
        <v>0</v>
      </c>
      <c r="CN104" s="913">
        <f t="shared" si="125"/>
        <v>0</v>
      </c>
      <c r="CO104" s="914">
        <v>0</v>
      </c>
      <c r="CP104" s="913">
        <f t="shared" si="126"/>
        <v>0</v>
      </c>
      <c r="CQ104" s="913">
        <f t="shared" si="127"/>
        <v>0</v>
      </c>
      <c r="CR104" s="496">
        <f t="shared" si="128"/>
        <v>0</v>
      </c>
      <c r="CS104" s="913">
        <f t="shared" si="129"/>
        <v>0</v>
      </c>
      <c r="CT104" s="913">
        <f t="shared" si="130"/>
        <v>0</v>
      </c>
      <c r="CU104" s="470"/>
      <c r="CV104" s="470"/>
      <c r="CW104" s="470"/>
      <c r="CX104" s="470"/>
      <c r="CY104" s="1330" t="s">
        <v>6972</v>
      </c>
      <c r="CZ104" s="1330" t="s">
        <v>6811</v>
      </c>
      <c r="DA104" s="1613"/>
      <c r="DB104" s="1152" t="s">
        <v>6183</v>
      </c>
      <c r="DC104" s="1152"/>
      <c r="DD104" s="1143"/>
      <c r="DE104" s="1143"/>
      <c r="DF104" s="1143"/>
      <c r="DG104" s="1143"/>
      <c r="DH104" s="470"/>
      <c r="DI104" s="470"/>
      <c r="DJ104" s="915"/>
      <c r="DK104" s="915"/>
      <c r="DL104" s="915"/>
      <c r="DN104" s="911" t="str">
        <f>VLOOKUP(X104,Hoja1!$A$4:$B$10,2,0)</f>
        <v>PROFESIONAL</v>
      </c>
      <c r="DO104" s="911" t="str">
        <f>VLOOKUP(S104,Hoja1!$D$4:$F$77,3,0)</f>
        <v>PII - VII</v>
      </c>
      <c r="DP104" s="1157" t="str">
        <f t="shared" si="131"/>
        <v>0</v>
      </c>
      <c r="DQ104" s="1484">
        <f>IF(T104&lt;&gt;"0",(ROUND(IF(A104="EMPLEADO",eval_formula('CONCEPTOS Y PARAMETROS'!$C$8,NOMINA!V104,AU104+BF104,NOMINA!I104+NOMINA!J104),eval_formula('CONCEPTOS Y PARAMETROS'!$D$8,NOMINA!V104,AU104+BF104,NOMINA!I104+NOMINA!J104)),2))*IF(H104&lt;&gt;"",IF(MONTH(H104)=$BR$8,IF(YEAR(H104)&lt;$BT$7,1,0),0)))</f>
        <v>0</v>
      </c>
      <c r="DR104" s="1800" t="str">
        <f t="shared" si="132"/>
        <v>F</v>
      </c>
      <c r="DS104" s="1800"/>
    </row>
    <row r="105" spans="1:123" s="471" customFormat="1" ht="21.95" customHeight="1" x14ac:dyDescent="0.2">
      <c r="A105" s="508" t="s">
        <v>2846</v>
      </c>
      <c r="B105" s="1314">
        <f t="shared" ca="1" si="133"/>
        <v>62</v>
      </c>
      <c r="C105" s="1148">
        <v>11322871</v>
      </c>
      <c r="D105" s="1149" t="s">
        <v>4745</v>
      </c>
      <c r="E105" s="1135" t="s">
        <v>4622</v>
      </c>
      <c r="F105" s="1150">
        <v>26249</v>
      </c>
      <c r="G105" s="1135" t="s">
        <v>4621</v>
      </c>
      <c r="H105" s="1150">
        <v>38718</v>
      </c>
      <c r="I105" s="1140">
        <f t="shared" si="90"/>
        <v>19</v>
      </c>
      <c r="J105" s="1132">
        <v>0</v>
      </c>
      <c r="K105" s="1140">
        <f t="shared" si="91"/>
        <v>19</v>
      </c>
      <c r="L105" s="1145" t="s">
        <v>5526</v>
      </c>
      <c r="M105" s="1132"/>
      <c r="N105" s="1132"/>
      <c r="O105" s="1002" t="s">
        <v>5233</v>
      </c>
      <c r="P105" s="1132" t="s">
        <v>5320</v>
      </c>
      <c r="Q105" s="1315" t="str">
        <f>IFERROR(VLOOKUP(O105,CARGOS!A:E,2,0),"")</f>
        <v>79523</v>
      </c>
      <c r="R105" s="1327" t="s">
        <v>5233</v>
      </c>
      <c r="S105" s="1146" t="s">
        <v>5458</v>
      </c>
      <c r="T105" s="1107">
        <f>IFERROR(VLOOKUP(S105,'TAB EMP'!A:B,2,0),0)</f>
        <v>287</v>
      </c>
      <c r="U105" s="1108">
        <v>0</v>
      </c>
      <c r="V105" s="1107">
        <f t="shared" si="92"/>
        <v>287</v>
      </c>
      <c r="W105" s="1108">
        <f t="shared" si="93"/>
        <v>143.5</v>
      </c>
      <c r="X105" s="1135" t="s">
        <v>2885</v>
      </c>
      <c r="Y105" s="1135"/>
      <c r="Z105" s="1135">
        <v>0</v>
      </c>
      <c r="AA105" s="1107">
        <f>ROUND(IF(H105&lt;&gt;"",VLOOKUP(SUM(I105+J105),'CONCEPTOS Y PARAMETROS'!F:G,2,0)*V105,0),2)</f>
        <v>70.03</v>
      </c>
      <c r="AB105" s="1107">
        <f>IF(S105&lt;&gt;"",IF(M105="",'CONCEPTOS Y PARAMETROS'!$C$4,0),0)</f>
        <v>130</v>
      </c>
      <c r="AC105" s="1107">
        <f>IF(S105&lt;&gt;"",IF(M105="",'CONCEPTOS Y PARAMETROS'!$C$7*Z105,0),0)</f>
        <v>0</v>
      </c>
      <c r="AD105" s="1107">
        <f>IFERROR(ROUND(VLOOKUP($X105,'CONCEPTOS Y PARAMETROS'!H:I,2,0)*($V105+AA105+AB105+AC105),2),0)</f>
        <v>121.76</v>
      </c>
      <c r="AE105" s="1107">
        <f t="shared" si="94"/>
        <v>321.79000000000002</v>
      </c>
      <c r="AF105" s="1107">
        <f t="shared" si="95"/>
        <v>35.020000000000003</v>
      </c>
      <c r="AG105" s="1107">
        <f t="shared" si="96"/>
        <v>35.01</v>
      </c>
      <c r="AH105" s="1107">
        <f t="shared" si="97"/>
        <v>65</v>
      </c>
      <c r="AI105" s="1107">
        <f t="shared" si="98"/>
        <v>65</v>
      </c>
      <c r="AJ105" s="1107">
        <f t="shared" si="99"/>
        <v>60.88</v>
      </c>
      <c r="AK105" s="1107">
        <f t="shared" si="100"/>
        <v>60.88</v>
      </c>
      <c r="AL105" s="1108">
        <f t="shared" si="101"/>
        <v>160.9</v>
      </c>
      <c r="AM105" s="1108">
        <f t="shared" si="102"/>
        <v>160.88999999999999</v>
      </c>
      <c r="AN105" s="990">
        <v>0</v>
      </c>
      <c r="AO105" s="1147">
        <f>'CONCEPTOS Y PARAMETROS'!$C$18*AN105</f>
        <v>0</v>
      </c>
      <c r="AP105" s="990">
        <v>0</v>
      </c>
      <c r="AQ105" s="1147">
        <f>'CONCEPTOS Y PARAMETROS'!$C$21*AP105</f>
        <v>0</v>
      </c>
      <c r="AR105" s="1318">
        <v>0</v>
      </c>
      <c r="AS105" s="1318">
        <v>0</v>
      </c>
      <c r="AT105" s="1318">
        <f t="shared" si="208"/>
        <v>0</v>
      </c>
      <c r="AU105" s="1108">
        <f t="shared" si="104"/>
        <v>608.79</v>
      </c>
      <c r="AV105" s="1133">
        <v>0</v>
      </c>
      <c r="AW105" s="1108">
        <f t="shared" si="225"/>
        <v>0</v>
      </c>
      <c r="AX105" s="1107">
        <f>IF(T105&lt;&gt;"0",(ROUND(IF(A105="EMPLEADO",eval_formula('CONCEPTOS Y PARAMETROS'!$C$8,NOMINA!V105,NOMINA!$AU105,NOMINA!I105+NOMINA!J105),eval_formula('CONCEPTOS Y PARAMETROS'!$D$8,NOMINA!V105,NOMINA!$AU105,NOMINA!I105+NOMINA!J105)),2))*IF(H105&lt;&gt;"",IF(MONTH(H105)=$BR$8,IF(YEAR(H105)&lt;$BT$7,1,0),0)))</f>
        <v>0</v>
      </c>
      <c r="AY105" s="1108">
        <v>180</v>
      </c>
      <c r="AZ105" s="1107">
        <f>IFERROR(VLOOKUP(AY105,'CONCEPTOS Y PARAMETROS'!Y:Z,2,0),0)</f>
        <v>150</v>
      </c>
      <c r="BA105" s="1107">
        <f t="shared" si="106"/>
        <v>4565.93</v>
      </c>
      <c r="BB105" s="1107">
        <f t="shared" si="134"/>
        <v>0</v>
      </c>
      <c r="BC105" s="990">
        <v>0</v>
      </c>
      <c r="BD105" s="1107" t="str">
        <f t="shared" si="107"/>
        <v>0</v>
      </c>
      <c r="BE105" s="990">
        <v>0</v>
      </c>
      <c r="BF105" s="1107">
        <f>ROUND(IF(BE105&gt;0,(((V105+AA105+AB105+AC105+AD105+AW105)/30)*50%+((V105+AA105+AB105+AC105+AD105+AW105)/30))*BE105,"0"),2)</f>
        <v>0</v>
      </c>
      <c r="BG105" s="1108">
        <v>320</v>
      </c>
      <c r="BH105" s="1108">
        <v>0</v>
      </c>
      <c r="BI105" s="1132">
        <v>0</v>
      </c>
      <c r="BJ105" s="1108">
        <v>12.5</v>
      </c>
      <c r="BK105" s="1108">
        <v>0</v>
      </c>
      <c r="BL105" s="1107">
        <f t="shared" si="157"/>
        <v>28.1</v>
      </c>
      <c r="BM105" s="1107">
        <f t="shared" si="158"/>
        <v>3.51</v>
      </c>
      <c r="BN105" s="1107">
        <f t="shared" si="109"/>
        <v>6.09</v>
      </c>
      <c r="BO105" s="1107">
        <v>0</v>
      </c>
      <c r="BP105" s="1107">
        <v>0</v>
      </c>
      <c r="BQ105" s="1320">
        <f t="shared" si="110"/>
        <v>37.700000000000003</v>
      </c>
      <c r="BR105" s="1107">
        <f t="shared" si="159"/>
        <v>63.22</v>
      </c>
      <c r="BS105" s="1107">
        <f t="shared" si="160"/>
        <v>14.05</v>
      </c>
      <c r="BT105" s="1107">
        <f t="shared" si="111"/>
        <v>12.18</v>
      </c>
      <c r="BU105" s="1107">
        <v>0</v>
      </c>
      <c r="BV105" s="1108">
        <f t="shared" si="112"/>
        <v>89.45</v>
      </c>
      <c r="BW105" s="1112">
        <f t="shared" si="113"/>
        <v>127.15</v>
      </c>
      <c r="BX105" s="1112">
        <f t="shared" si="244"/>
        <v>1141.48</v>
      </c>
      <c r="BY105" s="1108">
        <v>0</v>
      </c>
      <c r="BZ105" s="1108">
        <f t="shared" si="115"/>
        <v>1141.48</v>
      </c>
      <c r="CA105" s="1321">
        <f>'CONCEPTOS Y PARAMETROS'!$A$102</f>
        <v>6255</v>
      </c>
      <c r="CB105" s="1112">
        <f t="shared" si="116"/>
        <v>266.7</v>
      </c>
      <c r="CC105" s="1113">
        <f t="shared" si="117"/>
        <v>636.89</v>
      </c>
      <c r="CD105" s="512"/>
      <c r="CE105" s="512"/>
      <c r="CF105" s="470">
        <f t="shared" si="118"/>
        <v>944.39</v>
      </c>
      <c r="CG105" s="495">
        <f t="shared" si="119"/>
        <v>266.7</v>
      </c>
      <c r="CH105" s="498">
        <f t="shared" si="120"/>
        <v>12.5</v>
      </c>
      <c r="CI105" s="1490">
        <f t="shared" si="121"/>
        <v>320</v>
      </c>
      <c r="CJ105" s="1500">
        <v>2</v>
      </c>
      <c r="CK105" s="495">
        <f t="shared" si="122"/>
        <v>624.39</v>
      </c>
      <c r="CL105" s="1689">
        <f t="shared" si="123"/>
        <v>299.70999999999998</v>
      </c>
      <c r="CM105" s="1689">
        <f t="shared" si="124"/>
        <v>324.68</v>
      </c>
      <c r="CN105" s="496">
        <f t="shared" si="125"/>
        <v>0</v>
      </c>
      <c r="CO105" s="497">
        <v>0</v>
      </c>
      <c r="CP105" s="496">
        <f t="shared" si="126"/>
        <v>0</v>
      </c>
      <c r="CQ105" s="496">
        <f t="shared" si="127"/>
        <v>0</v>
      </c>
      <c r="CR105" s="496">
        <f t="shared" si="128"/>
        <v>1248.78</v>
      </c>
      <c r="CS105" s="496">
        <f t="shared" si="129"/>
        <v>127.15</v>
      </c>
      <c r="CT105" s="496">
        <f t="shared" si="130"/>
        <v>6255</v>
      </c>
      <c r="CU105" s="470"/>
      <c r="CV105" s="470"/>
      <c r="CW105" s="470"/>
      <c r="CX105" s="470"/>
      <c r="CY105" s="1149" t="s">
        <v>6880</v>
      </c>
      <c r="CZ105" s="1149" t="s">
        <v>7107</v>
      </c>
      <c r="DA105" s="480"/>
      <c r="DB105" s="1642" t="s">
        <v>6330</v>
      </c>
      <c r="DC105" s="1642"/>
      <c r="DD105" s="1642" t="s">
        <v>6150</v>
      </c>
      <c r="DE105" s="1642" t="s">
        <v>6257</v>
      </c>
      <c r="DF105" s="1642" t="s">
        <v>6424</v>
      </c>
      <c r="DG105" s="1643" t="s">
        <v>7386</v>
      </c>
      <c r="DH105" s="470"/>
      <c r="DI105" s="470"/>
      <c r="DJ105" s="470"/>
      <c r="DK105" s="470"/>
      <c r="DL105" s="470"/>
      <c r="DN105" s="471" t="str">
        <f>VLOOKUP(X105,Hoja1!$A$4:$B$10,2,0)</f>
        <v>PROFESIONAL</v>
      </c>
      <c r="DO105" s="471" t="str">
        <f>VLOOKUP(S105,Hoja1!$D$4:$F$77,3,0)</f>
        <v>PII - VII</v>
      </c>
      <c r="DP105" s="1156" t="str">
        <f t="shared" si="131"/>
        <v>0</v>
      </c>
      <c r="DQ105" s="1484">
        <f>IF(T105&lt;&gt;"0",(ROUND(IF(A105="EMPLEADO",eval_formula('CONCEPTOS Y PARAMETROS'!$C$8,NOMINA!V105,AU105+BF105,NOMINA!I105+NOMINA!J105),eval_formula('CONCEPTOS Y PARAMETROS'!$D$8,NOMINA!V105,AU105+BF105,NOMINA!I105+NOMINA!J105)),2))*IF(H105&lt;&gt;"",IF(MONTH(H105)=$BR$8,IF(YEAR(H105)&lt;$BT$7,1,0),0)))</f>
        <v>0</v>
      </c>
      <c r="DR105" s="1801" t="str">
        <f t="shared" si="132"/>
        <v>M</v>
      </c>
      <c r="DS105" s="1801"/>
    </row>
    <row r="106" spans="1:123" s="471" customFormat="1" ht="21.95" customHeight="1" x14ac:dyDescent="0.25">
      <c r="A106" s="508" t="s">
        <v>2846</v>
      </c>
      <c r="B106" s="1314">
        <f t="shared" ca="1" si="133"/>
        <v>63</v>
      </c>
      <c r="C106" s="1148">
        <v>11616673</v>
      </c>
      <c r="D106" s="1149" t="s">
        <v>4747</v>
      </c>
      <c r="E106" s="1135" t="s">
        <v>4622</v>
      </c>
      <c r="F106" s="1150">
        <v>26663</v>
      </c>
      <c r="G106" s="1135" t="s">
        <v>4621</v>
      </c>
      <c r="H106" s="1150">
        <v>35066</v>
      </c>
      <c r="I106" s="1140">
        <f t="shared" si="90"/>
        <v>29</v>
      </c>
      <c r="J106" s="1132">
        <v>0</v>
      </c>
      <c r="K106" s="1140">
        <f t="shared" si="91"/>
        <v>29</v>
      </c>
      <c r="L106" s="1145" t="s">
        <v>5539</v>
      </c>
      <c r="M106" s="1132"/>
      <c r="N106" s="1132"/>
      <c r="O106" s="1002" t="s">
        <v>5233</v>
      </c>
      <c r="P106" s="1132" t="s">
        <v>5321</v>
      </c>
      <c r="Q106" s="1315" t="str">
        <f>IFERROR(VLOOKUP(O106,CARGOS!A:E,2,0),"")</f>
        <v>79523</v>
      </c>
      <c r="R106" s="1327" t="s">
        <v>5233</v>
      </c>
      <c r="S106" s="1146" t="s">
        <v>5458</v>
      </c>
      <c r="T106" s="1107">
        <f>IFERROR(VLOOKUP(S106,'TAB EMP'!A:B,2,0),0)</f>
        <v>287</v>
      </c>
      <c r="U106" s="1108">
        <v>0</v>
      </c>
      <c r="V106" s="1107">
        <f t="shared" si="92"/>
        <v>287</v>
      </c>
      <c r="W106" s="1108">
        <f t="shared" si="93"/>
        <v>143.5</v>
      </c>
      <c r="X106" s="1135" t="s">
        <v>2885</v>
      </c>
      <c r="Y106" s="1135"/>
      <c r="Z106" s="1135">
        <v>0</v>
      </c>
      <c r="AA106" s="1107">
        <f>ROUND(IF(H106&lt;&gt;"",VLOOKUP(SUM(I106+J106),'CONCEPTOS Y PARAMETROS'!F:G,2,0)*V106,0),2)</f>
        <v>86.1</v>
      </c>
      <c r="AB106" s="1107">
        <f>IF(S106&lt;&gt;"",IF(M106="",'CONCEPTOS Y PARAMETROS'!$C$4,0),0)</f>
        <v>130</v>
      </c>
      <c r="AC106" s="1107">
        <f>IF(S106&lt;&gt;"",IF(M106="",'CONCEPTOS Y PARAMETROS'!$C$7*Z106,0),0)</f>
        <v>0</v>
      </c>
      <c r="AD106" s="1107">
        <f>IFERROR(ROUND(VLOOKUP($X106,'CONCEPTOS Y PARAMETROS'!H:I,2,0)*($V106+AA106+AB106+AC106),2),0)</f>
        <v>125.78</v>
      </c>
      <c r="AE106" s="1107">
        <f t="shared" si="94"/>
        <v>341.88</v>
      </c>
      <c r="AF106" s="1107">
        <f t="shared" si="95"/>
        <v>43.05</v>
      </c>
      <c r="AG106" s="1107">
        <f t="shared" si="96"/>
        <v>43.05</v>
      </c>
      <c r="AH106" s="1107">
        <f t="shared" si="97"/>
        <v>65</v>
      </c>
      <c r="AI106" s="1107">
        <f t="shared" si="98"/>
        <v>65</v>
      </c>
      <c r="AJ106" s="1107">
        <f t="shared" si="99"/>
        <v>62.89</v>
      </c>
      <c r="AK106" s="1107">
        <f t="shared" si="100"/>
        <v>62.89</v>
      </c>
      <c r="AL106" s="1108">
        <f t="shared" si="101"/>
        <v>170.94</v>
      </c>
      <c r="AM106" s="1108">
        <f t="shared" si="102"/>
        <v>170.94</v>
      </c>
      <c r="AN106" s="990">
        <v>0</v>
      </c>
      <c r="AO106" s="1147">
        <f>'CONCEPTOS Y PARAMETROS'!$C$18*AN106</f>
        <v>0</v>
      </c>
      <c r="AP106" s="990">
        <v>0</v>
      </c>
      <c r="AQ106" s="1147">
        <f>'CONCEPTOS Y PARAMETROS'!$C$21*AP106</f>
        <v>0</v>
      </c>
      <c r="AR106" s="1318">
        <v>0</v>
      </c>
      <c r="AS106" s="1318">
        <v>0</v>
      </c>
      <c r="AT106" s="1318">
        <f t="shared" si="208"/>
        <v>0</v>
      </c>
      <c r="AU106" s="1108">
        <f t="shared" si="104"/>
        <v>628.88</v>
      </c>
      <c r="AV106" s="1133">
        <v>0</v>
      </c>
      <c r="AW106" s="1108">
        <f t="shared" si="225"/>
        <v>0</v>
      </c>
      <c r="AX106" s="1107">
        <f>IF(T106&lt;&gt;"0",(ROUND(IF(A106="EMPLEADO",eval_formula('CONCEPTOS Y PARAMETROS'!$C$8,NOMINA!V106,NOMINA!$AU106,NOMINA!I106+NOMINA!J106),eval_formula('CONCEPTOS Y PARAMETROS'!$D$8,NOMINA!V106,NOMINA!$AU106,NOMINA!I106+NOMINA!J106)),2))*IF(H106&lt;&gt;"",IF(MONTH(H106)=$BR$8,IF(YEAR(H106)&lt;$BT$7,1,0),0)))</f>
        <v>0</v>
      </c>
      <c r="AY106" s="1108">
        <v>180</v>
      </c>
      <c r="AZ106" s="1107">
        <f>IFERROR(VLOOKUP(AY106,'CONCEPTOS Y PARAMETROS'!Y:Z,2,0),0)</f>
        <v>150</v>
      </c>
      <c r="BA106" s="1107">
        <f t="shared" si="106"/>
        <v>4716.6000000000004</v>
      </c>
      <c r="BB106" s="1107">
        <f t="shared" si="134"/>
        <v>0</v>
      </c>
      <c r="BC106" s="990">
        <v>0</v>
      </c>
      <c r="BD106" s="1107" t="str">
        <f t="shared" si="107"/>
        <v>0</v>
      </c>
      <c r="BE106" s="990">
        <v>0</v>
      </c>
      <c r="BF106" s="1107">
        <f>ROUND(IF(BE106&gt;0,(((V106+AA106+AB106+AC106+AD106+AW106)/30)*50%+((V106+AA106+AB106+AC106+AD106+AW106)/30))*BE106,"0"),2)</f>
        <v>0</v>
      </c>
      <c r="BG106" s="1108">
        <v>320</v>
      </c>
      <c r="BH106" s="1108">
        <v>0</v>
      </c>
      <c r="BI106" s="1132">
        <v>0</v>
      </c>
      <c r="BJ106" s="1108">
        <v>12.5</v>
      </c>
      <c r="BK106" s="1108">
        <v>0</v>
      </c>
      <c r="BL106" s="1107">
        <f t="shared" si="157"/>
        <v>29.03</v>
      </c>
      <c r="BM106" s="1107">
        <f t="shared" si="158"/>
        <v>3.63</v>
      </c>
      <c r="BN106" s="1107">
        <f t="shared" si="109"/>
        <v>6.29</v>
      </c>
      <c r="BO106" s="1107">
        <v>0</v>
      </c>
      <c r="BP106" s="1107">
        <v>0</v>
      </c>
      <c r="BQ106" s="1320">
        <f t="shared" si="110"/>
        <v>38.950000000000003</v>
      </c>
      <c r="BR106" s="1107">
        <f t="shared" si="159"/>
        <v>65.31</v>
      </c>
      <c r="BS106" s="1107">
        <f t="shared" si="160"/>
        <v>14.51</v>
      </c>
      <c r="BT106" s="1107">
        <f t="shared" si="111"/>
        <v>12.58</v>
      </c>
      <c r="BU106" s="1107">
        <v>0</v>
      </c>
      <c r="BV106" s="1108">
        <f t="shared" si="112"/>
        <v>92.4</v>
      </c>
      <c r="BW106" s="1112">
        <f t="shared" si="113"/>
        <v>131.35000000000002</v>
      </c>
      <c r="BX106" s="1112">
        <f t="shared" si="244"/>
        <v>1179.1500000000001</v>
      </c>
      <c r="BY106" s="1108">
        <v>0</v>
      </c>
      <c r="BZ106" s="1108">
        <f t="shared" si="115"/>
        <v>1179.1500000000001</v>
      </c>
      <c r="CA106" s="1321">
        <f>'CONCEPTOS Y PARAMETROS'!$A$102</f>
        <v>6255</v>
      </c>
      <c r="CB106" s="1112">
        <f t="shared" si="116"/>
        <v>275.49</v>
      </c>
      <c r="CC106" s="1113">
        <f t="shared" si="117"/>
        <v>646.94000000000005</v>
      </c>
      <c r="CD106" s="512"/>
      <c r="CE106" s="512"/>
      <c r="CF106" s="470">
        <f t="shared" si="118"/>
        <v>954.44</v>
      </c>
      <c r="CG106" s="495">
        <f t="shared" si="119"/>
        <v>275.49</v>
      </c>
      <c r="CH106" s="498">
        <f t="shared" si="120"/>
        <v>12.5</v>
      </c>
      <c r="CI106" s="1490">
        <f t="shared" si="121"/>
        <v>320</v>
      </c>
      <c r="CJ106" s="1500">
        <v>2</v>
      </c>
      <c r="CK106" s="495">
        <f t="shared" si="122"/>
        <v>634.44000000000005</v>
      </c>
      <c r="CL106" s="1689">
        <f t="shared" si="123"/>
        <v>304.52999999999997</v>
      </c>
      <c r="CM106" s="1689">
        <f t="shared" si="124"/>
        <v>329.91000000000008</v>
      </c>
      <c r="CN106" s="496">
        <f t="shared" si="125"/>
        <v>0</v>
      </c>
      <c r="CO106" s="497">
        <v>0</v>
      </c>
      <c r="CP106" s="496">
        <f t="shared" si="126"/>
        <v>0</v>
      </c>
      <c r="CQ106" s="496">
        <f t="shared" si="127"/>
        <v>0</v>
      </c>
      <c r="CR106" s="496">
        <f t="shared" si="128"/>
        <v>1268.8800000000001</v>
      </c>
      <c r="CS106" s="496">
        <f t="shared" si="129"/>
        <v>131.35000000000002</v>
      </c>
      <c r="CT106" s="496">
        <f t="shared" si="130"/>
        <v>6255</v>
      </c>
      <c r="CU106" s="470"/>
      <c r="CV106" s="470"/>
      <c r="CW106" s="470"/>
      <c r="CX106" s="470"/>
      <c r="CY106" s="1149" t="s">
        <v>6873</v>
      </c>
      <c r="CZ106" s="1149" t="s">
        <v>6837</v>
      </c>
      <c r="DA106" s="480"/>
      <c r="DB106" s="1642" t="s">
        <v>6353</v>
      </c>
      <c r="DC106" s="1642"/>
      <c r="DD106" s="1642" t="s">
        <v>6156</v>
      </c>
      <c r="DE106" s="1642" t="s">
        <v>6558</v>
      </c>
      <c r="DF106" s="1642" t="s">
        <v>7539</v>
      </c>
      <c r="DG106" s="1152"/>
      <c r="DH106" s="470"/>
      <c r="DI106" s="470"/>
      <c r="DJ106" s="470"/>
      <c r="DK106" s="470"/>
      <c r="DL106" s="470"/>
      <c r="DN106" s="471" t="str">
        <f>VLOOKUP(X106,Hoja1!$A$4:$B$10,2,0)</f>
        <v>PROFESIONAL</v>
      </c>
      <c r="DO106" s="471" t="str">
        <f>VLOOKUP(S106,Hoja1!$D$4:$F$77,3,0)</f>
        <v>PII - VII</v>
      </c>
      <c r="DP106" s="1156" t="str">
        <f t="shared" si="131"/>
        <v>0</v>
      </c>
      <c r="DQ106" s="1484">
        <f>IF(T106&lt;&gt;"0",(ROUND(IF(A106="EMPLEADO",eval_formula('CONCEPTOS Y PARAMETROS'!$C$8,NOMINA!V106,AU106+BF106,NOMINA!I106+NOMINA!J106),eval_formula('CONCEPTOS Y PARAMETROS'!$D$8,NOMINA!V106,AU106+BF106,NOMINA!I106+NOMINA!J106)),2))*IF(H106&lt;&gt;"",IF(MONTH(H106)=$BR$8,IF(YEAR(H106)&lt;$BT$7,1,0),0)))</f>
        <v>0</v>
      </c>
      <c r="DR106" s="1801" t="str">
        <f t="shared" si="132"/>
        <v>M</v>
      </c>
      <c r="DS106" s="1801"/>
    </row>
    <row r="107" spans="1:123" s="476" customFormat="1" ht="21.95" customHeight="1" x14ac:dyDescent="0.2">
      <c r="A107" s="508" t="s">
        <v>2846</v>
      </c>
      <c r="B107" s="1314">
        <f t="shared" ca="1" si="133"/>
        <v>64</v>
      </c>
      <c r="C107" s="1148">
        <v>11734553</v>
      </c>
      <c r="D107" s="1149" t="s">
        <v>7264</v>
      </c>
      <c r="E107" s="1135" t="s">
        <v>4622</v>
      </c>
      <c r="F107" s="1150">
        <v>27677</v>
      </c>
      <c r="G107" s="1135" t="s">
        <v>4620</v>
      </c>
      <c r="H107" s="1150">
        <v>43206</v>
      </c>
      <c r="I107" s="1140">
        <f t="shared" si="90"/>
        <v>7</v>
      </c>
      <c r="J107" s="1132">
        <v>0</v>
      </c>
      <c r="K107" s="1140">
        <f t="shared" si="91"/>
        <v>7</v>
      </c>
      <c r="L107" s="1145" t="s">
        <v>5526</v>
      </c>
      <c r="M107" s="1132"/>
      <c r="N107" s="1132"/>
      <c r="O107" s="1002" t="s">
        <v>5233</v>
      </c>
      <c r="P107" s="1132" t="s">
        <v>5322</v>
      </c>
      <c r="Q107" s="1315" t="str">
        <f>IFERROR(VLOOKUP(O107,CARGOS!A:E,2,0),"")</f>
        <v>79523</v>
      </c>
      <c r="R107" s="1327" t="s">
        <v>5233</v>
      </c>
      <c r="S107" s="1146" t="s">
        <v>5481</v>
      </c>
      <c r="T107" s="1107">
        <f>IFERROR(VLOOKUP(S107,'TAB EMP'!A:B,2,0),0)</f>
        <v>308</v>
      </c>
      <c r="U107" s="1108">
        <v>0</v>
      </c>
      <c r="V107" s="1107">
        <f t="shared" si="92"/>
        <v>308</v>
      </c>
      <c r="W107" s="1108">
        <f t="shared" si="93"/>
        <v>154</v>
      </c>
      <c r="X107" s="1135" t="s">
        <v>2887</v>
      </c>
      <c r="Y107" s="1135"/>
      <c r="Z107" s="1135">
        <v>0</v>
      </c>
      <c r="AA107" s="1107">
        <f>ROUND(IF(H107&lt;&gt;"",VLOOKUP(SUM(I107+J107),'CONCEPTOS Y PARAMETROS'!F:G,2,0)*V107,0),2)</f>
        <v>22.79</v>
      </c>
      <c r="AB107" s="1107">
        <f>IF(S107&lt;&gt;"",IF(M107="",'CONCEPTOS Y PARAMETROS'!$C$4,0),0)</f>
        <v>130</v>
      </c>
      <c r="AC107" s="1107">
        <f>IF(S107&lt;&gt;"",IF(M107="",'CONCEPTOS Y PARAMETROS'!$C$7*Z107,0),0)</f>
        <v>0</v>
      </c>
      <c r="AD107" s="1107">
        <f>IFERROR(ROUND(VLOOKUP($X107,'CONCEPTOS Y PARAMETROS'!H:I,2,0)*($V107+AA107+AB107+AC107),2),0)</f>
        <v>161.28</v>
      </c>
      <c r="AE107" s="1107">
        <f t="shared" si="94"/>
        <v>314.07</v>
      </c>
      <c r="AF107" s="1107">
        <f t="shared" si="95"/>
        <v>11.4</v>
      </c>
      <c r="AG107" s="1107">
        <f t="shared" si="96"/>
        <v>11.39</v>
      </c>
      <c r="AH107" s="1107">
        <f t="shared" si="97"/>
        <v>65</v>
      </c>
      <c r="AI107" s="1107">
        <f t="shared" si="98"/>
        <v>65</v>
      </c>
      <c r="AJ107" s="1107">
        <f t="shared" si="99"/>
        <v>80.64</v>
      </c>
      <c r="AK107" s="1107">
        <f t="shared" si="100"/>
        <v>80.64</v>
      </c>
      <c r="AL107" s="1108">
        <f t="shared" si="101"/>
        <v>157.04</v>
      </c>
      <c r="AM107" s="1108">
        <f t="shared" si="102"/>
        <v>157.03</v>
      </c>
      <c r="AN107" s="990">
        <v>0</v>
      </c>
      <c r="AO107" s="1147">
        <f>'CONCEPTOS Y PARAMETROS'!$C$18*AN107</f>
        <v>0</v>
      </c>
      <c r="AP107" s="990">
        <v>0</v>
      </c>
      <c r="AQ107" s="1147">
        <f>'CONCEPTOS Y PARAMETROS'!$C$21*AP107</f>
        <v>0</v>
      </c>
      <c r="AR107" s="1318">
        <v>0</v>
      </c>
      <c r="AS107" s="1318">
        <v>0</v>
      </c>
      <c r="AT107" s="1318">
        <f t="shared" si="208"/>
        <v>0</v>
      </c>
      <c r="AU107" s="1108">
        <f t="shared" si="104"/>
        <v>622.06999999999994</v>
      </c>
      <c r="AV107" s="1133">
        <v>0</v>
      </c>
      <c r="AW107" s="1108">
        <f t="shared" si="225"/>
        <v>0</v>
      </c>
      <c r="AX107" s="1107">
        <f>IF(T107&lt;&gt;"0",(ROUND(IF(A107="EMPLEADO",eval_formula('CONCEPTOS Y PARAMETROS'!$C$8,NOMINA!V107,NOMINA!$AU107,NOMINA!I107+NOMINA!J107),eval_formula('CONCEPTOS Y PARAMETROS'!$D$8,NOMINA!V107,NOMINA!$AU107,NOMINA!I107+NOMINA!J107)),2))*IF(H107&lt;&gt;"",IF(MONTH(H107)=$BR$8,IF(YEAR(H107)&lt;$BT$7,1,0),0)))</f>
        <v>0</v>
      </c>
      <c r="AY107" s="1108">
        <v>180</v>
      </c>
      <c r="AZ107" s="1107">
        <f>IFERROR(VLOOKUP(AY107,'CONCEPTOS Y PARAMETROS'!Y:Z,2,0),0)</f>
        <v>150</v>
      </c>
      <c r="BA107" s="1107">
        <f t="shared" si="106"/>
        <v>4665.53</v>
      </c>
      <c r="BB107" s="1107">
        <f t="shared" si="134"/>
        <v>0</v>
      </c>
      <c r="BC107" s="990">
        <v>0</v>
      </c>
      <c r="BD107" s="1107" t="str">
        <f t="shared" si="107"/>
        <v>0</v>
      </c>
      <c r="BE107" s="990">
        <v>0</v>
      </c>
      <c r="BF107" s="1107">
        <f>ROUND(IF(BE107&gt;0,(((V107+AA107+AB107+AC107+AD107+AW107)/30)*50%+((V107+AA107+AB107+AC107+AD107+AW107)/30))*BE107,"0"),2)</f>
        <v>0</v>
      </c>
      <c r="BG107" s="1108">
        <v>320</v>
      </c>
      <c r="BH107" s="1108">
        <v>0</v>
      </c>
      <c r="BI107" s="1132">
        <v>0</v>
      </c>
      <c r="BJ107" s="1108">
        <v>12.5</v>
      </c>
      <c r="BK107" s="1108">
        <v>0</v>
      </c>
      <c r="BL107" s="1107">
        <f t="shared" si="157"/>
        <v>28.71</v>
      </c>
      <c r="BM107" s="1107">
        <f t="shared" si="158"/>
        <v>3.59</v>
      </c>
      <c r="BN107" s="1107">
        <f t="shared" si="109"/>
        <v>6.22</v>
      </c>
      <c r="BO107" s="1107">
        <v>0</v>
      </c>
      <c r="BP107" s="1107">
        <v>0</v>
      </c>
      <c r="BQ107" s="1320">
        <f t="shared" si="110"/>
        <v>38.520000000000003</v>
      </c>
      <c r="BR107" s="1107">
        <f t="shared" si="159"/>
        <v>64.599999999999994</v>
      </c>
      <c r="BS107" s="1107">
        <f t="shared" si="160"/>
        <v>14.36</v>
      </c>
      <c r="BT107" s="1107">
        <f t="shared" si="111"/>
        <v>12.44</v>
      </c>
      <c r="BU107" s="1107">
        <v>0</v>
      </c>
      <c r="BV107" s="1108">
        <f t="shared" si="112"/>
        <v>91.4</v>
      </c>
      <c r="BW107" s="1112">
        <f t="shared" si="113"/>
        <v>129.92000000000002</v>
      </c>
      <c r="BX107" s="1112">
        <f t="shared" si="244"/>
        <v>1166.3800000000001</v>
      </c>
      <c r="BY107" s="1108">
        <v>0</v>
      </c>
      <c r="BZ107" s="1108">
        <f t="shared" si="115"/>
        <v>1166.3800000000001</v>
      </c>
      <c r="CA107" s="1321">
        <f>'CONCEPTOS Y PARAMETROS'!$A$102</f>
        <v>6255</v>
      </c>
      <c r="CB107" s="1112">
        <f t="shared" si="116"/>
        <v>272.52</v>
      </c>
      <c r="CC107" s="1113">
        <f t="shared" si="117"/>
        <v>643.53</v>
      </c>
      <c r="CD107" s="512"/>
      <c r="CE107" s="512"/>
      <c r="CF107" s="470">
        <f t="shared" si="118"/>
        <v>951.03</v>
      </c>
      <c r="CG107" s="509">
        <f t="shared" si="119"/>
        <v>272.52</v>
      </c>
      <c r="CH107" s="1603">
        <f t="shared" si="120"/>
        <v>12.5</v>
      </c>
      <c r="CI107" s="1491">
        <f t="shared" si="121"/>
        <v>320</v>
      </c>
      <c r="CJ107" s="1502">
        <v>2</v>
      </c>
      <c r="CK107" s="509">
        <f t="shared" si="122"/>
        <v>631.03</v>
      </c>
      <c r="CL107" s="1689">
        <f t="shared" si="123"/>
        <v>302.89</v>
      </c>
      <c r="CM107" s="1689">
        <f t="shared" si="124"/>
        <v>328.14</v>
      </c>
      <c r="CN107" s="510">
        <f t="shared" si="125"/>
        <v>0</v>
      </c>
      <c r="CO107" s="511">
        <v>0</v>
      </c>
      <c r="CP107" s="510">
        <f t="shared" si="126"/>
        <v>0</v>
      </c>
      <c r="CQ107" s="510">
        <f t="shared" si="127"/>
        <v>0</v>
      </c>
      <c r="CR107" s="510">
        <f t="shared" si="128"/>
        <v>1262.06</v>
      </c>
      <c r="CS107" s="510">
        <f t="shared" si="129"/>
        <v>129.92000000000002</v>
      </c>
      <c r="CT107" s="510">
        <f t="shared" si="130"/>
        <v>6255</v>
      </c>
      <c r="CU107" s="512"/>
      <c r="CV107" s="512"/>
      <c r="CW107" s="512"/>
      <c r="CX107" s="512"/>
      <c r="CY107" s="1149" t="s">
        <v>7059</v>
      </c>
      <c r="CZ107" s="1149" t="s">
        <v>7087</v>
      </c>
      <c r="DA107" s="1152"/>
      <c r="DB107" s="1642" t="s">
        <v>6331</v>
      </c>
      <c r="DC107" s="1642"/>
      <c r="DD107" s="1642" t="s">
        <v>6150</v>
      </c>
      <c r="DE107" s="1642" t="s">
        <v>6257</v>
      </c>
      <c r="DF107" s="1642" t="s">
        <v>7382</v>
      </c>
      <c r="DG107" s="1643" t="s">
        <v>7383</v>
      </c>
      <c r="DH107" s="512"/>
      <c r="DI107" s="512"/>
      <c r="DJ107" s="512"/>
      <c r="DK107" s="512"/>
      <c r="DL107" s="512"/>
      <c r="DN107" s="476" t="str">
        <f>VLOOKUP(X107,Hoja1!$A$4:$B$10,2,0)</f>
        <v>MAGISTER</v>
      </c>
      <c r="DO107" s="476" t="str">
        <f>VLOOKUP(S107,Hoja1!$D$4:$F$77,3,0)</f>
        <v>PIII - III</v>
      </c>
      <c r="DP107" s="1594" t="str">
        <f t="shared" si="131"/>
        <v>0</v>
      </c>
      <c r="DQ107" s="1484">
        <f>IF(T107&lt;&gt;"0",(ROUND(IF(A107="EMPLEADO",eval_formula('CONCEPTOS Y PARAMETROS'!$C$8,NOMINA!V107,AU107+BF107,NOMINA!I107+NOMINA!J107),eval_formula('CONCEPTOS Y PARAMETROS'!$D$8,NOMINA!V107,AU107+BF107,NOMINA!I107+NOMINA!J107)),2))*IF(H107&lt;&gt;"",IF(MONTH(H107)=$BR$8,IF(YEAR(H107)&lt;$BT$7,1,0),0)))</f>
        <v>0</v>
      </c>
      <c r="DR107" s="1799" t="str">
        <f t="shared" si="132"/>
        <v>F</v>
      </c>
      <c r="DS107" s="1799"/>
    </row>
    <row r="108" spans="1:123" s="911" customFormat="1" ht="21.95" customHeight="1" x14ac:dyDescent="0.25">
      <c r="A108" s="910" t="s">
        <v>2846</v>
      </c>
      <c r="B108" s="1328">
        <f ca="1">OFFSET(B108,-1,0)+1</f>
        <v>65</v>
      </c>
      <c r="C108" s="1329">
        <v>11894534</v>
      </c>
      <c r="D108" s="1330" t="s">
        <v>7249</v>
      </c>
      <c r="E108" s="1331" t="s">
        <v>4622</v>
      </c>
      <c r="F108" s="1332">
        <v>26652</v>
      </c>
      <c r="G108" s="1331" t="s">
        <v>4621</v>
      </c>
      <c r="H108" s="1332">
        <v>40909</v>
      </c>
      <c r="I108" s="1333">
        <f t="shared" ref="I108:I171" si="261">IF(AND(YEAR(H108)&lt;YEAR($H$10),MONTH(H108)&gt;$BR$8),YEAR($H$10)-YEAR(H108)-1,IF(OR(H108="",YEAR(H108)&gt;YEAR($H$10)),0,YEAR($H$10)-YEAR(H108)))</f>
        <v>13</v>
      </c>
      <c r="J108" s="1334">
        <v>13</v>
      </c>
      <c r="K108" s="1333">
        <f t="shared" si="91"/>
        <v>26</v>
      </c>
      <c r="L108" s="1335" t="s">
        <v>5534</v>
      </c>
      <c r="M108" s="1334"/>
      <c r="N108" s="1334"/>
      <c r="O108" s="1336" t="s">
        <v>5482</v>
      </c>
      <c r="P108" s="1334" t="s">
        <v>5184</v>
      </c>
      <c r="Q108" s="1337" t="str">
        <f>IFERROR(VLOOKUP(O108,CARGOS!A:E,2,0),"")</f>
        <v>12130</v>
      </c>
      <c r="R108" s="1336" t="s">
        <v>5482</v>
      </c>
      <c r="S108" s="1338" t="s">
        <v>5458</v>
      </c>
      <c r="T108" s="1339">
        <v>0</v>
      </c>
      <c r="U108" s="1307">
        <v>0</v>
      </c>
      <c r="V108" s="1339">
        <f>T108-U108</f>
        <v>0</v>
      </c>
      <c r="W108" s="1307">
        <f>ROUND(V108/2,2)</f>
        <v>0</v>
      </c>
      <c r="X108" s="1331" t="s">
        <v>2885</v>
      </c>
      <c r="Y108" s="1331"/>
      <c r="Z108" s="1331">
        <v>0</v>
      </c>
      <c r="AA108" s="1339">
        <f>ROUND(IF(H108&lt;&gt;"",VLOOKUP(SUM(I108+J108),'CONCEPTOS Y PARAMETROS'!F:G,2,0)*V108,0),2)</f>
        <v>0</v>
      </c>
      <c r="AB108" s="1339">
        <v>0</v>
      </c>
      <c r="AC108" s="1339">
        <v>0</v>
      </c>
      <c r="AD108" s="1339">
        <f>IFERROR(ROUND(VLOOKUP($X108,'CONCEPTOS Y PARAMETROS'!H:I,2,0)*($V108+AA108+AB108+AC108),2),0)</f>
        <v>0</v>
      </c>
      <c r="AE108" s="1339">
        <f>SUM(AA108:AD108)</f>
        <v>0</v>
      </c>
      <c r="AF108" s="1339">
        <f>ROUND(AA108/2,2)</f>
        <v>0</v>
      </c>
      <c r="AG108" s="1339">
        <f>ROUND(AA108-AF108,2)</f>
        <v>0</v>
      </c>
      <c r="AH108" s="1339">
        <f>ROUND(AB108/2,2)</f>
        <v>0</v>
      </c>
      <c r="AI108" s="1339">
        <f>ROUND(AB108-AH108,2)</f>
        <v>0</v>
      </c>
      <c r="AJ108" s="1339">
        <f>ROUND(AD108/2,2)</f>
        <v>0</v>
      </c>
      <c r="AK108" s="1339">
        <f>ROUND(AD108-AJ108,2)</f>
        <v>0</v>
      </c>
      <c r="AL108" s="1307">
        <f>ROUND(AF108+AH108+AJ108+AC108,2)</f>
        <v>0</v>
      </c>
      <c r="AM108" s="1307">
        <f>ROUND(AG108+AI108+AK108,2)</f>
        <v>0</v>
      </c>
      <c r="AN108" s="1340">
        <v>0</v>
      </c>
      <c r="AO108" s="1341">
        <v>0</v>
      </c>
      <c r="AP108" s="1340">
        <v>0</v>
      </c>
      <c r="AQ108" s="1341">
        <f>'CONCEPTOS Y PARAMETROS'!$C$21*AP108</f>
        <v>0</v>
      </c>
      <c r="AR108" s="1342">
        <v>0</v>
      </c>
      <c r="AS108" s="1342">
        <v>0</v>
      </c>
      <c r="AT108" s="1342">
        <f>+AO108+AQ108+AR108+AS108</f>
        <v>0</v>
      </c>
      <c r="AU108" s="1307">
        <f t="shared" si="104"/>
        <v>0</v>
      </c>
      <c r="AV108" s="1343">
        <v>0</v>
      </c>
      <c r="AW108" s="1307">
        <f>ROUND(IF(O108="VIGILANTE",(V108+AE108)*30%,0),2)</f>
        <v>0</v>
      </c>
      <c r="AX108" s="1339">
        <f>IF(T108&lt;&gt;"0",(ROUND(IF(A108="EMPLEADO",eval_formula('CONCEPTOS Y PARAMETROS'!$C$8,NOMINA!V108,NOMINA!$AU108,NOMINA!I108+NOMINA!J108),eval_formula('CONCEPTOS Y PARAMETROS'!$D$8,NOMINA!V108,NOMINA!$AU108,NOMINA!I108+NOMINA!J108)),2))*IF(H108&lt;&gt;"",IF(MONTH(H108)=$BR$8,IF(YEAR(H108)&lt;$BT$7,1,0),0)))</f>
        <v>0</v>
      </c>
      <c r="AY108" s="1307">
        <v>180</v>
      </c>
      <c r="AZ108" s="1339">
        <f>IFERROR(VLOOKUP(AY108,'CONCEPTOS Y PARAMETROS'!Y:Z,2,0),0)</f>
        <v>150</v>
      </c>
      <c r="BA108" s="1339">
        <f>ROUND((((AU108))/30*AY108/12+(AU108))/30*AZ108,2)</f>
        <v>0</v>
      </c>
      <c r="BB108" s="1339">
        <f t="shared" si="134"/>
        <v>0</v>
      </c>
      <c r="BC108" s="1340">
        <v>0</v>
      </c>
      <c r="BD108" s="1339" t="str">
        <f t="shared" si="107"/>
        <v>0</v>
      </c>
      <c r="BE108" s="1340">
        <v>0</v>
      </c>
      <c r="BF108" s="1339">
        <f>ROUND(IF(BE108&gt;0,(((V108+AA108+AB108+AC108+AD108)/30)*50%+((V108+AA108+AB108+AC108+AD108)/30))*BE108,"0"),2)</f>
        <v>0</v>
      </c>
      <c r="BG108" s="1307">
        <v>0</v>
      </c>
      <c r="BH108" s="1307">
        <v>0</v>
      </c>
      <c r="BI108" s="1334">
        <v>0</v>
      </c>
      <c r="BJ108" s="1307">
        <v>0</v>
      </c>
      <c r="BK108" s="1307">
        <v>0</v>
      </c>
      <c r="BL108" s="1339">
        <f t="shared" si="157"/>
        <v>0</v>
      </c>
      <c r="BM108" s="1339">
        <f t="shared" si="158"/>
        <v>0</v>
      </c>
      <c r="BN108" s="1339">
        <f t="shared" ref="BN108:BN171" si="262">ROUND(IF(M108="",(AU108*1%),0),2)</f>
        <v>0</v>
      </c>
      <c r="BO108" s="1339">
        <v>0</v>
      </c>
      <c r="BP108" s="1339">
        <v>0</v>
      </c>
      <c r="BQ108" s="1344">
        <f>ROUND(SUM(BL108:BP108),2)</f>
        <v>0</v>
      </c>
      <c r="BR108" s="1339">
        <f t="shared" si="159"/>
        <v>0</v>
      </c>
      <c r="BS108" s="1339">
        <f t="shared" si="160"/>
        <v>0</v>
      </c>
      <c r="BT108" s="1339">
        <f t="shared" ref="BT108:BT171" si="263">ROUND(IF(M108="",(BN108*2),0),2)</f>
        <v>0</v>
      </c>
      <c r="BU108" s="1339">
        <v>0</v>
      </c>
      <c r="BV108" s="1307">
        <f>ROUND(SUM(BR108:BT108),2)</f>
        <v>0</v>
      </c>
      <c r="BW108" s="1305">
        <f>BQ108+BV108</f>
        <v>0</v>
      </c>
      <c r="BX108" s="1305">
        <f t="shared" si="244"/>
        <v>0</v>
      </c>
      <c r="BY108" s="1307">
        <v>0</v>
      </c>
      <c r="BZ108" s="1307">
        <f t="shared" si="115"/>
        <v>0</v>
      </c>
      <c r="CA108" s="1345">
        <v>0</v>
      </c>
      <c r="CB108" s="1305">
        <f t="shared" ref="CB108:CB171" si="264">W108+AL108-BQ108</f>
        <v>0</v>
      </c>
      <c r="CC108" s="1346">
        <f t="shared" ref="CC108:CC171" si="265">ROUND((W108+AM108+AW108+AX108+BB108+BD108+BF108+BK108+BG108+BH108+BJ108+AT108),2)</f>
        <v>0</v>
      </c>
      <c r="CD108" s="512"/>
      <c r="CE108" s="512"/>
      <c r="CF108" s="470">
        <f t="shared" ref="CF108:CF171" si="266">+CI108+CK108</f>
        <v>0</v>
      </c>
      <c r="CG108" s="912">
        <f t="shared" si="119"/>
        <v>0</v>
      </c>
      <c r="CH108" s="498">
        <f t="shared" ref="CH108:CH171" si="267">AT108+BJ108</f>
        <v>0</v>
      </c>
      <c r="CI108" s="1492">
        <f t="shared" si="121"/>
        <v>0</v>
      </c>
      <c r="CJ108" s="1504">
        <v>0</v>
      </c>
      <c r="CK108" s="912">
        <f t="shared" ref="CK108:CK171" si="268">W108+AM108+BG108</f>
        <v>0</v>
      </c>
      <c r="CL108" s="912">
        <f t="shared" ref="CL108:CL171" si="269">ROUND(IF(CK108&gt;600,CK108*48%,CK108),2)</f>
        <v>0</v>
      </c>
      <c r="CM108" s="912">
        <f t="shared" ref="CM108:CM170" si="270">+CK108-CL108</f>
        <v>0</v>
      </c>
      <c r="CN108" s="913">
        <f t="shared" ref="CN108:CN171" si="271">BF108+BB108</f>
        <v>0</v>
      </c>
      <c r="CO108" s="914">
        <v>0</v>
      </c>
      <c r="CP108" s="913">
        <f t="shared" ref="CP108:CP171" si="272">AW108</f>
        <v>0</v>
      </c>
      <c r="CQ108" s="913">
        <f t="shared" ref="CQ108:CQ171" si="273">AX108</f>
        <v>0</v>
      </c>
      <c r="CR108" s="496">
        <f t="shared" ref="CR108:CR171" si="274">SUM(CK108:CQ108)</f>
        <v>0</v>
      </c>
      <c r="CS108" s="913">
        <f t="shared" ref="CS108:CS171" si="275">BQ108+BV108</f>
        <v>0</v>
      </c>
      <c r="CT108" s="913">
        <f t="shared" ref="CT108:CT171" si="276">CA108</f>
        <v>0</v>
      </c>
      <c r="CU108" s="470"/>
      <c r="CV108" s="470"/>
      <c r="CW108" s="470"/>
      <c r="CX108" s="470"/>
      <c r="CY108" s="1330" t="s">
        <v>6799</v>
      </c>
      <c r="CZ108" s="1330" t="s">
        <v>6800</v>
      </c>
      <c r="DA108" s="1613"/>
      <c r="DB108" s="1152" t="s">
        <v>6130</v>
      </c>
      <c r="DC108" s="1152"/>
      <c r="DD108" s="1143"/>
      <c r="DE108" s="1143"/>
      <c r="DF108" s="1143"/>
      <c r="DG108" s="1143"/>
      <c r="DI108" s="915"/>
      <c r="DJ108" s="915"/>
      <c r="DK108" s="915"/>
      <c r="DL108" s="915"/>
      <c r="DN108" s="911" t="str">
        <f>VLOOKUP(X108,Hoja1!$A$4:$B$10,2,0)</f>
        <v>PROFESIONAL</v>
      </c>
      <c r="DO108" s="911" t="str">
        <f>VLOOKUP(S108,Hoja1!$D$4:$F$77,3,0)</f>
        <v>PII - VII</v>
      </c>
      <c r="DP108" s="1157" t="str">
        <f t="shared" ref="DP108:DP171" si="277">IF(AV108="NOCTURN","SI","0")</f>
        <v>0</v>
      </c>
      <c r="DQ108" s="1484">
        <f>IF(T108&lt;&gt;"0",(ROUND(IF(A108="EMPLEADO",eval_formula('CONCEPTOS Y PARAMETROS'!$C$8,NOMINA!V108,AU108+BF108,NOMINA!I108+NOMINA!J108),eval_formula('CONCEPTOS Y PARAMETROS'!$D$8,NOMINA!V108,AU108+BF108,NOMINA!I108+NOMINA!J108)),2))*IF(H108&lt;&gt;"",IF(MONTH(H108)=$BR$8,IF(YEAR(H108)&lt;$BT$7,1,0),0)))</f>
        <v>0</v>
      </c>
      <c r="DR108" s="1800" t="str">
        <f t="shared" ref="DR108:DR171" si="278">+G108</f>
        <v>M</v>
      </c>
      <c r="DS108" s="1800"/>
    </row>
    <row r="109" spans="1:123" s="911" customFormat="1" ht="21.95" customHeight="1" x14ac:dyDescent="0.25">
      <c r="A109" s="910" t="s">
        <v>2846</v>
      </c>
      <c r="B109" s="1328">
        <f ca="1">OFFSET(B109,-1,0)+1</f>
        <v>66</v>
      </c>
      <c r="C109" s="1329">
        <v>11895772</v>
      </c>
      <c r="D109" s="1330" t="s">
        <v>4677</v>
      </c>
      <c r="E109" s="1331" t="s">
        <v>4622</v>
      </c>
      <c r="F109" s="1332">
        <v>26733</v>
      </c>
      <c r="G109" s="1331" t="s">
        <v>4621</v>
      </c>
      <c r="H109" s="1332">
        <v>44743</v>
      </c>
      <c r="I109" s="1333">
        <f t="shared" si="261"/>
        <v>3</v>
      </c>
      <c r="J109" s="1334">
        <v>0</v>
      </c>
      <c r="K109" s="1333">
        <f t="shared" ref="K109:K169" si="279">I109+J109</f>
        <v>3</v>
      </c>
      <c r="L109" s="1335" t="s">
        <v>5532</v>
      </c>
      <c r="M109" s="1334"/>
      <c r="N109" s="1334"/>
      <c r="O109" s="1348" t="s">
        <v>5266</v>
      </c>
      <c r="P109" s="1334" t="s">
        <v>5194</v>
      </c>
      <c r="Q109" s="1337" t="str">
        <f>IFERROR(VLOOKUP(O109,CARGOS!A:E,2,0),"")</f>
        <v>34232</v>
      </c>
      <c r="R109" s="1348" t="s">
        <v>5266</v>
      </c>
      <c r="S109" s="1338" t="s">
        <v>5468</v>
      </c>
      <c r="T109" s="1323">
        <v>0</v>
      </c>
      <c r="U109" s="1307">
        <v>0</v>
      </c>
      <c r="V109" s="1339">
        <f>T109-U109</f>
        <v>0</v>
      </c>
      <c r="W109" s="1307">
        <f>ROUND(V109/2,2)</f>
        <v>0</v>
      </c>
      <c r="X109" s="1331" t="s">
        <v>2844</v>
      </c>
      <c r="Y109" s="1331"/>
      <c r="Z109" s="1331">
        <v>0</v>
      </c>
      <c r="AA109" s="1339">
        <f>ROUND(IF(H109&lt;&gt;"",VLOOKUP(SUM(I109+J109),'CONCEPTOS Y PARAMETROS'!F:G,2,0)*V109,0),2)</f>
        <v>0</v>
      </c>
      <c r="AB109" s="1339">
        <v>0</v>
      </c>
      <c r="AC109" s="1339">
        <f>IF(S109&lt;&gt;"",IF(M109="",'CONCEPTOS Y PARAMETROS'!$C$7*Z109,0),0)</f>
        <v>0</v>
      </c>
      <c r="AD109" s="1339">
        <f>IFERROR(ROUND(VLOOKUP($X109,'CONCEPTOS Y PARAMETROS'!H:I,2,0)*($V109+AA109+AB109+AC109),2),0)</f>
        <v>0</v>
      </c>
      <c r="AE109" s="1339">
        <f>SUM(AA109:AD109)</f>
        <v>0</v>
      </c>
      <c r="AF109" s="1339">
        <f>ROUND(AA109/2,2)</f>
        <v>0</v>
      </c>
      <c r="AG109" s="1339">
        <f>ROUND(AA109-AF109,2)</f>
        <v>0</v>
      </c>
      <c r="AH109" s="1339">
        <f>ROUND(AB109/2,2)</f>
        <v>0</v>
      </c>
      <c r="AI109" s="1339">
        <f>ROUND(AB109-AH109,2)</f>
        <v>0</v>
      </c>
      <c r="AJ109" s="1339">
        <f>ROUND(AD109/2,2)</f>
        <v>0</v>
      </c>
      <c r="AK109" s="1339">
        <f>ROUND(AD109-AJ109,2)</f>
        <v>0</v>
      </c>
      <c r="AL109" s="1307">
        <f>ROUND(AF109+AH109+AJ109+AC109,2)</f>
        <v>0</v>
      </c>
      <c r="AM109" s="1307">
        <f>ROUND(AG109+AI109+AK109,2)</f>
        <v>0</v>
      </c>
      <c r="AN109" s="1340">
        <v>0</v>
      </c>
      <c r="AO109" s="1341">
        <f>'CONCEPTOS Y PARAMETROS'!$C$18*AN109</f>
        <v>0</v>
      </c>
      <c r="AP109" s="1340">
        <v>0</v>
      </c>
      <c r="AQ109" s="1341">
        <f>'CONCEPTOS Y PARAMETROS'!$C$21*AP109</f>
        <v>0</v>
      </c>
      <c r="AR109" s="1342">
        <v>0</v>
      </c>
      <c r="AS109" s="1342">
        <v>0</v>
      </c>
      <c r="AT109" s="1342">
        <f>+AO109+AQ109+AR109+AS109</f>
        <v>0</v>
      </c>
      <c r="AU109" s="1307">
        <f t="shared" ref="AU109:AU170" si="280">V109+AE109+AW109</f>
        <v>0</v>
      </c>
      <c r="AV109" s="1343">
        <v>0</v>
      </c>
      <c r="AW109" s="1307">
        <f>ROUND(IF(O109="VIGILANTE",(V109+AE109)*30%,0),2)</f>
        <v>0</v>
      </c>
      <c r="AX109" s="1339">
        <f>IF(T109&lt;&gt;"0",(ROUND(IF(A109="EMPLEADO",eval_formula('CONCEPTOS Y PARAMETROS'!$C$8,NOMINA!V109,NOMINA!$AU109,NOMINA!I109+NOMINA!J109),eval_formula('CONCEPTOS Y PARAMETROS'!$D$8,NOMINA!V109,NOMINA!$AU109,NOMINA!I109+NOMINA!J109)),2))*IF(H109&lt;&gt;"",IF(MONTH(H109)=$BR$8,IF(YEAR(H109)&lt;$BT$7,1,0),0)))</f>
        <v>0</v>
      </c>
      <c r="AY109" s="1307">
        <v>180</v>
      </c>
      <c r="AZ109" s="1339">
        <f>IFERROR(VLOOKUP(AY109,'CONCEPTOS Y PARAMETROS'!Y:Z,2,0),0)</f>
        <v>150</v>
      </c>
      <c r="BA109" s="1339">
        <f>ROUND((((AU109))/30*AY109/12+(AU109))/30*AZ109,2)</f>
        <v>0</v>
      </c>
      <c r="BB109" s="1339">
        <f t="shared" si="134"/>
        <v>0</v>
      </c>
      <c r="BC109" s="1340">
        <v>0</v>
      </c>
      <c r="BD109" s="1339" t="str">
        <f t="shared" ref="BD109:BD170" si="281">IF(BC109&gt;0,((((((V109+AA109+AB109+AC109+AD109)/30)/8)*50%)+((((V109+AA109+AB109+AC109+AD109)/30)/8)))*30%+(((((V109+AA109+AB109+AC109+AD109)/30)/8)*50%)+((((V109+AA109+AB109+AC109+AD109)/30)/8))))*BC109,"0")</f>
        <v>0</v>
      </c>
      <c r="BE109" s="1340">
        <v>0</v>
      </c>
      <c r="BF109" s="1339">
        <f>ROUND(IF(BE109&gt;0,(((V109+AA109+AB109+AC109+AD109)/30)*50%+((V109+AA109+AB109+AC109+AD109)/30))*BE109,"0"),2)</f>
        <v>0</v>
      </c>
      <c r="BG109" s="1307">
        <v>0</v>
      </c>
      <c r="BH109" s="1307">
        <v>0</v>
      </c>
      <c r="BI109" s="1334">
        <v>0</v>
      </c>
      <c r="BJ109" s="1307">
        <v>0</v>
      </c>
      <c r="BK109" s="1307">
        <v>0</v>
      </c>
      <c r="BL109" s="1339">
        <f t="shared" si="157"/>
        <v>0</v>
      </c>
      <c r="BM109" s="1339">
        <f t="shared" si="158"/>
        <v>0</v>
      </c>
      <c r="BN109" s="1339">
        <f t="shared" si="262"/>
        <v>0</v>
      </c>
      <c r="BO109" s="1339">
        <v>0</v>
      </c>
      <c r="BP109" s="1339">
        <v>0</v>
      </c>
      <c r="BQ109" s="1344">
        <f>ROUND(SUM(BL109:BP109),2)</f>
        <v>0</v>
      </c>
      <c r="BR109" s="1339">
        <f t="shared" si="159"/>
        <v>0</v>
      </c>
      <c r="BS109" s="1339">
        <f t="shared" si="160"/>
        <v>0</v>
      </c>
      <c r="BT109" s="1339">
        <f t="shared" si="263"/>
        <v>0</v>
      </c>
      <c r="BU109" s="1339">
        <v>0</v>
      </c>
      <c r="BV109" s="1307">
        <f>ROUND(SUM(BR109:BT109),2)</f>
        <v>0</v>
      </c>
      <c r="BW109" s="1305">
        <f>BQ109+BV109</f>
        <v>0</v>
      </c>
      <c r="BX109" s="1305">
        <f t="shared" si="244"/>
        <v>0</v>
      </c>
      <c r="BY109" s="1307">
        <v>0</v>
      </c>
      <c r="BZ109" s="1307">
        <f t="shared" ref="BZ109:BZ165" si="282">+BX109+BY109</f>
        <v>0</v>
      </c>
      <c r="CA109" s="1345">
        <v>0</v>
      </c>
      <c r="CB109" s="1305">
        <f t="shared" si="264"/>
        <v>0</v>
      </c>
      <c r="CC109" s="1346">
        <f t="shared" si="265"/>
        <v>0</v>
      </c>
      <c r="CD109" s="512"/>
      <c r="CE109" s="512"/>
      <c r="CF109" s="470">
        <f t="shared" si="266"/>
        <v>0</v>
      </c>
      <c r="CG109" s="912">
        <f t="shared" ref="CG109:CG172" si="283">W109+AL109-BQ109</f>
        <v>0</v>
      </c>
      <c r="CH109" s="498">
        <f t="shared" si="267"/>
        <v>0</v>
      </c>
      <c r="CI109" s="1492">
        <f t="shared" ref="CI109:CI170" si="284">BG109</f>
        <v>0</v>
      </c>
      <c r="CJ109" s="1504">
        <v>0</v>
      </c>
      <c r="CK109" s="912">
        <f t="shared" si="268"/>
        <v>0</v>
      </c>
      <c r="CL109" s="912">
        <f t="shared" si="269"/>
        <v>0</v>
      </c>
      <c r="CM109" s="912">
        <f t="shared" si="270"/>
        <v>0</v>
      </c>
      <c r="CN109" s="913">
        <f t="shared" si="271"/>
        <v>0</v>
      </c>
      <c r="CO109" s="914">
        <v>0</v>
      </c>
      <c r="CP109" s="913">
        <f t="shared" si="272"/>
        <v>0</v>
      </c>
      <c r="CQ109" s="913">
        <f t="shared" si="273"/>
        <v>0</v>
      </c>
      <c r="CR109" s="496">
        <f t="shared" si="274"/>
        <v>0</v>
      </c>
      <c r="CS109" s="913">
        <f t="shared" si="275"/>
        <v>0</v>
      </c>
      <c r="CT109" s="913">
        <f t="shared" si="276"/>
        <v>0</v>
      </c>
      <c r="CU109" s="470"/>
      <c r="CV109" s="470"/>
      <c r="CW109" s="470"/>
      <c r="CX109" s="470"/>
      <c r="CY109" s="1330" t="s">
        <v>6807</v>
      </c>
      <c r="CZ109" s="1330" t="s">
        <v>6808</v>
      </c>
      <c r="DA109" s="1613"/>
      <c r="DB109" s="1152" t="s">
        <v>6149</v>
      </c>
      <c r="DC109" s="1152"/>
      <c r="DD109" s="1143"/>
      <c r="DE109" s="1143"/>
      <c r="DF109" s="1143"/>
      <c r="DG109" s="1143"/>
      <c r="DI109" s="470"/>
      <c r="DJ109" s="915"/>
      <c r="DK109" s="915"/>
      <c r="DL109" s="915"/>
      <c r="DN109" s="911" t="str">
        <f>VLOOKUP(X109,Hoja1!$A$4:$B$10,2,0)</f>
        <v>TÉCNICO SUPERIOR UNIVERSITARIO</v>
      </c>
      <c r="DO109" s="911" t="str">
        <f>VLOOKUP(S109,Hoja1!$D$4:$F$77,3,0)</f>
        <v>TII - II</v>
      </c>
      <c r="DP109" s="1157" t="str">
        <f t="shared" si="277"/>
        <v>0</v>
      </c>
      <c r="DQ109" s="1484">
        <f>IF(T109&lt;&gt;"0",(ROUND(IF(A109="EMPLEADO",eval_formula('CONCEPTOS Y PARAMETROS'!$C$8,NOMINA!V109,AU109+BF109,NOMINA!I109+NOMINA!J109),eval_formula('CONCEPTOS Y PARAMETROS'!$D$8,NOMINA!V109,AU109+BF109,NOMINA!I109+NOMINA!J109)),2))*IF(H109&lt;&gt;"",IF(MONTH(H109)=$BR$8,IF(YEAR(H109)&lt;$BT$7,1,0),0)))</f>
        <v>0</v>
      </c>
      <c r="DR109" s="1800" t="str">
        <f t="shared" si="278"/>
        <v>M</v>
      </c>
      <c r="DS109" s="1800"/>
    </row>
    <row r="110" spans="1:123" s="471" customFormat="1" ht="21.95" customHeight="1" x14ac:dyDescent="0.25">
      <c r="A110" s="508" t="s">
        <v>2846</v>
      </c>
      <c r="B110" s="1314">
        <f t="shared" ca="1" si="133"/>
        <v>67</v>
      </c>
      <c r="C110" s="1148">
        <v>11898486</v>
      </c>
      <c r="D110" s="1149" t="s">
        <v>4750</v>
      </c>
      <c r="E110" s="1135" t="s">
        <v>4622</v>
      </c>
      <c r="F110" s="1150">
        <v>27145</v>
      </c>
      <c r="G110" s="1135" t="s">
        <v>4620</v>
      </c>
      <c r="H110" s="1150">
        <v>40065</v>
      </c>
      <c r="I110" s="1140">
        <f t="shared" si="261"/>
        <v>16</v>
      </c>
      <c r="J110" s="1132">
        <v>0</v>
      </c>
      <c r="K110" s="1140">
        <f t="shared" si="279"/>
        <v>16</v>
      </c>
      <c r="L110" s="1145" t="s">
        <v>5541</v>
      </c>
      <c r="M110" s="1132"/>
      <c r="N110" s="1132"/>
      <c r="O110" s="1002" t="s">
        <v>5215</v>
      </c>
      <c r="P110" s="1132" t="s">
        <v>5323</v>
      </c>
      <c r="Q110" s="1315" t="str">
        <f>IFERROR(VLOOKUP(O110,CARGOS!A:E,2,0),"")</f>
        <v>12113</v>
      </c>
      <c r="R110" s="1327" t="s">
        <v>5215</v>
      </c>
      <c r="S110" s="1146" t="s">
        <v>5461</v>
      </c>
      <c r="T110" s="1107">
        <f>IFERROR(VLOOKUP(S110,'TAB EMP'!A:B,2,0),0)</f>
        <v>226</v>
      </c>
      <c r="U110" s="1108">
        <v>0</v>
      </c>
      <c r="V110" s="1107">
        <f t="shared" si="92"/>
        <v>226</v>
      </c>
      <c r="W110" s="1108">
        <f t="shared" si="93"/>
        <v>113</v>
      </c>
      <c r="X110" s="1135" t="s">
        <v>2844</v>
      </c>
      <c r="Y110" s="1135"/>
      <c r="Z110" s="1135">
        <v>0</v>
      </c>
      <c r="AA110" s="1107">
        <f>ROUND(IF(H110&lt;&gt;"",VLOOKUP(SUM(I110+J110),'CONCEPTOS Y PARAMETROS'!F:G,2,0)*V110,0),2)</f>
        <v>44.3</v>
      </c>
      <c r="AB110" s="1107">
        <f>IF(S110&lt;&gt;"",IF(M110="",'CONCEPTOS Y PARAMETROS'!$C$4,0),0)</f>
        <v>130</v>
      </c>
      <c r="AC110" s="1107">
        <f>IF(S110&lt;&gt;"",IF(M110="",'CONCEPTOS Y PARAMETROS'!$C$7*Z110,0),0)</f>
        <v>0</v>
      </c>
      <c r="AD110" s="1107">
        <f>IFERROR(ROUND(VLOOKUP($X110,'CONCEPTOS Y PARAMETROS'!H:I,2,0)*($V110+AA110+AB110+AC110),2),0)</f>
        <v>80.06</v>
      </c>
      <c r="AE110" s="1107">
        <f t="shared" si="94"/>
        <v>254.36</v>
      </c>
      <c r="AF110" s="1107">
        <f t="shared" si="95"/>
        <v>22.15</v>
      </c>
      <c r="AG110" s="1107">
        <f t="shared" si="96"/>
        <v>22.15</v>
      </c>
      <c r="AH110" s="1107">
        <f t="shared" si="97"/>
        <v>65</v>
      </c>
      <c r="AI110" s="1107">
        <f t="shared" si="98"/>
        <v>65</v>
      </c>
      <c r="AJ110" s="1107">
        <f t="shared" si="99"/>
        <v>40.03</v>
      </c>
      <c r="AK110" s="1107">
        <f t="shared" si="100"/>
        <v>40.03</v>
      </c>
      <c r="AL110" s="1108">
        <f t="shared" si="101"/>
        <v>127.18</v>
      </c>
      <c r="AM110" s="1108">
        <f t="shared" si="102"/>
        <v>127.18</v>
      </c>
      <c r="AN110" s="990">
        <v>0</v>
      </c>
      <c r="AO110" s="1147">
        <f>'CONCEPTOS Y PARAMETROS'!$C$18*AN110</f>
        <v>0</v>
      </c>
      <c r="AP110" s="990">
        <v>0</v>
      </c>
      <c r="AQ110" s="1147">
        <f>'CONCEPTOS Y PARAMETROS'!$C$21*AP110</f>
        <v>0</v>
      </c>
      <c r="AR110" s="1318">
        <v>0</v>
      </c>
      <c r="AS110" s="1318">
        <v>0</v>
      </c>
      <c r="AT110" s="1318">
        <f t="shared" si="208"/>
        <v>0</v>
      </c>
      <c r="AU110" s="1108">
        <f t="shared" si="280"/>
        <v>480.36</v>
      </c>
      <c r="AV110" s="1133">
        <v>0</v>
      </c>
      <c r="AW110" s="1108">
        <f t="shared" ref="AW110:AW118" si="285">ROUND(IF(AV110="NOCTURN",(V110+AE110)*30%,0),2)</f>
        <v>0</v>
      </c>
      <c r="AX110" s="1107">
        <f>IF(T110&lt;&gt;"0",(ROUND(IF(A110="EMPLEADO",eval_formula('CONCEPTOS Y PARAMETROS'!$C$8,NOMINA!V110,NOMINA!$AU110,NOMINA!I110+NOMINA!J110),eval_formula('CONCEPTOS Y PARAMETROS'!$D$8,NOMINA!V110,NOMINA!$AU110,NOMINA!I110+NOMINA!J110)),2))*IF(H110&lt;&gt;"",IF(MONTH(H110)=$BR$8,IF(YEAR(H110)&lt;$BT$7,1,0),0)))</f>
        <v>3842.88</v>
      </c>
      <c r="AY110" s="1108">
        <v>180</v>
      </c>
      <c r="AZ110" s="1107">
        <f>IFERROR(VLOOKUP(AY110,'CONCEPTOS Y PARAMETROS'!Y:Z,2,0),0)</f>
        <v>150</v>
      </c>
      <c r="BA110" s="1107">
        <f t="shared" si="106"/>
        <v>3602.7</v>
      </c>
      <c r="BB110" s="1107">
        <f t="shared" si="134"/>
        <v>0</v>
      </c>
      <c r="BC110" s="990">
        <v>0</v>
      </c>
      <c r="BD110" s="1107" t="str">
        <f t="shared" si="281"/>
        <v>0</v>
      </c>
      <c r="BE110" s="990">
        <v>0</v>
      </c>
      <c r="BF110" s="1107">
        <f t="shared" ref="BF110:BF118" si="286">ROUND(IF(BE110&gt;0,(((V110+AA110+AB110+AC110+AD110+AW110)/30)*50%+((V110+AA110+AB110+AC110+AD110+AW110)/30))*BE110,"0"),2)</f>
        <v>0</v>
      </c>
      <c r="BG110" s="1108">
        <v>320</v>
      </c>
      <c r="BH110" s="1108">
        <v>0</v>
      </c>
      <c r="BI110" s="1132">
        <v>0</v>
      </c>
      <c r="BJ110" s="1108">
        <v>12.5</v>
      </c>
      <c r="BK110" s="1108">
        <v>0</v>
      </c>
      <c r="BL110" s="1107">
        <f t="shared" si="157"/>
        <v>22.17</v>
      </c>
      <c r="BM110" s="1107">
        <f t="shared" si="158"/>
        <v>2.77</v>
      </c>
      <c r="BN110" s="1107">
        <f t="shared" si="262"/>
        <v>4.8</v>
      </c>
      <c r="BO110" s="1107">
        <v>0</v>
      </c>
      <c r="BP110" s="1107">
        <v>0</v>
      </c>
      <c r="BQ110" s="1320">
        <f t="shared" si="110"/>
        <v>29.74</v>
      </c>
      <c r="BR110" s="1107">
        <f t="shared" si="159"/>
        <v>49.88</v>
      </c>
      <c r="BS110" s="1107">
        <f t="shared" si="160"/>
        <v>11.09</v>
      </c>
      <c r="BT110" s="1107">
        <f t="shared" si="263"/>
        <v>9.6</v>
      </c>
      <c r="BU110" s="1107">
        <v>0</v>
      </c>
      <c r="BV110" s="1108">
        <f t="shared" si="112"/>
        <v>70.569999999999993</v>
      </c>
      <c r="BW110" s="1112">
        <f t="shared" si="113"/>
        <v>100.30999999999999</v>
      </c>
      <c r="BX110" s="1112">
        <f t="shared" si="244"/>
        <v>900.68</v>
      </c>
      <c r="BY110" s="1108">
        <v>0</v>
      </c>
      <c r="BZ110" s="1108">
        <f t="shared" si="282"/>
        <v>900.68</v>
      </c>
      <c r="CA110" s="1321">
        <f>'CONCEPTOS Y PARAMETROS'!$A$102</f>
        <v>6255</v>
      </c>
      <c r="CB110" s="1112">
        <f t="shared" si="264"/>
        <v>210.44</v>
      </c>
      <c r="CC110" s="1113">
        <f t="shared" si="265"/>
        <v>4415.5600000000004</v>
      </c>
      <c r="CD110" s="512"/>
      <c r="CE110" s="512"/>
      <c r="CF110" s="470">
        <f t="shared" si="266"/>
        <v>880.18000000000006</v>
      </c>
      <c r="CG110" s="495">
        <f t="shared" si="283"/>
        <v>210.44</v>
      </c>
      <c r="CH110" s="498">
        <f t="shared" si="267"/>
        <v>12.5</v>
      </c>
      <c r="CI110" s="1490">
        <f t="shared" si="284"/>
        <v>320</v>
      </c>
      <c r="CJ110" s="1500">
        <v>1</v>
      </c>
      <c r="CK110" s="495">
        <f t="shared" si="268"/>
        <v>560.18000000000006</v>
      </c>
      <c r="CL110" s="1689">
        <f t="shared" si="269"/>
        <v>560.17999999999995</v>
      </c>
      <c r="CM110" s="1689">
        <f t="shared" si="270"/>
        <v>0</v>
      </c>
      <c r="CN110" s="496">
        <f t="shared" si="271"/>
        <v>0</v>
      </c>
      <c r="CO110" s="497">
        <v>0</v>
      </c>
      <c r="CP110" s="496">
        <f t="shared" si="272"/>
        <v>0</v>
      </c>
      <c r="CQ110" s="496">
        <f t="shared" si="273"/>
        <v>3842.88</v>
      </c>
      <c r="CR110" s="496">
        <f t="shared" si="274"/>
        <v>4963.24</v>
      </c>
      <c r="CS110" s="496">
        <f t="shared" si="275"/>
        <v>100.30999999999999</v>
      </c>
      <c r="CT110" s="496">
        <f t="shared" si="276"/>
        <v>6255</v>
      </c>
      <c r="CU110" s="470"/>
      <c r="CV110" s="470"/>
      <c r="CW110" s="470"/>
      <c r="CX110" s="470"/>
      <c r="CY110" s="1149" t="s">
        <v>6839</v>
      </c>
      <c r="CZ110" s="1149" t="s">
        <v>7108</v>
      </c>
      <c r="DA110" s="480"/>
      <c r="DB110" s="1642" t="s">
        <v>6313</v>
      </c>
      <c r="DC110" s="1642"/>
      <c r="DD110" s="1642" t="s">
        <v>6199</v>
      </c>
      <c r="DE110" s="1642" t="s">
        <v>6196</v>
      </c>
      <c r="DF110" s="1642" t="s">
        <v>6523</v>
      </c>
      <c r="DG110" s="1642"/>
      <c r="DH110" s="470"/>
      <c r="DI110" s="470"/>
      <c r="DJ110" s="470"/>
      <c r="DK110" s="470"/>
      <c r="DL110" s="470"/>
      <c r="DN110" s="471" t="str">
        <f>VLOOKUP(X110,Hoja1!$A$4:$B$10,2,0)</f>
        <v>TÉCNICO SUPERIOR UNIVERSITARIO</v>
      </c>
      <c r="DO110" s="471" t="str">
        <f>VLOOKUP(S110,Hoja1!$D$4:$F$77,3,0)</f>
        <v>TII - VI</v>
      </c>
      <c r="DP110" s="1156" t="str">
        <f t="shared" si="277"/>
        <v>0</v>
      </c>
      <c r="DQ110" s="1484">
        <f>IF(T110&lt;&gt;"0",(ROUND(IF(A110="EMPLEADO",eval_formula('CONCEPTOS Y PARAMETROS'!$C$8,NOMINA!V110,AU110+BF110,NOMINA!I110+NOMINA!J110),eval_formula('CONCEPTOS Y PARAMETROS'!$D$8,NOMINA!V110,AU110+BF110,NOMINA!I110+NOMINA!J110)),2))*IF(H110&lt;&gt;"",IF(MONTH(H110)=$BR$8,IF(YEAR(H110)&lt;$BT$7,1,0),0)))</f>
        <v>3842.88</v>
      </c>
      <c r="DR110" s="1801" t="str">
        <f t="shared" si="278"/>
        <v>F</v>
      </c>
      <c r="DS110" s="1801"/>
    </row>
    <row r="111" spans="1:123" s="471" customFormat="1" ht="21.95" customHeight="1" x14ac:dyDescent="0.25">
      <c r="A111" s="508" t="s">
        <v>2846</v>
      </c>
      <c r="B111" s="1314">
        <f t="shared" ca="1" si="133"/>
        <v>68</v>
      </c>
      <c r="C111" s="1148">
        <v>12040792</v>
      </c>
      <c r="D111" s="1149" t="s">
        <v>4751</v>
      </c>
      <c r="E111" s="1135" t="s">
        <v>4622</v>
      </c>
      <c r="F111" s="1150">
        <v>26987</v>
      </c>
      <c r="G111" s="1135" t="s">
        <v>4621</v>
      </c>
      <c r="H111" s="1150">
        <v>43236</v>
      </c>
      <c r="I111" s="1140">
        <f t="shared" si="261"/>
        <v>7</v>
      </c>
      <c r="J111" s="1132">
        <v>0</v>
      </c>
      <c r="K111" s="1140">
        <f t="shared" si="279"/>
        <v>7</v>
      </c>
      <c r="L111" s="1145" t="s">
        <v>5544</v>
      </c>
      <c r="M111" s="1132"/>
      <c r="N111" s="1132"/>
      <c r="O111" s="1002" t="s">
        <v>5238</v>
      </c>
      <c r="P111" s="1132" t="s">
        <v>5324</v>
      </c>
      <c r="Q111" s="1315" t="str">
        <f>IFERROR(VLOOKUP(O111,CARGOS!A:E,2,0),"")</f>
        <v>22413</v>
      </c>
      <c r="R111" s="1327" t="s">
        <v>5238</v>
      </c>
      <c r="S111" s="1146" t="s">
        <v>5478</v>
      </c>
      <c r="T111" s="1107">
        <f>IFERROR(VLOOKUP(S111,'TAB EMP'!A:B,2,0),0)</f>
        <v>221</v>
      </c>
      <c r="U111" s="1108">
        <v>0</v>
      </c>
      <c r="V111" s="1107">
        <f t="shared" si="92"/>
        <v>221</v>
      </c>
      <c r="W111" s="1108">
        <f t="shared" si="93"/>
        <v>110.5</v>
      </c>
      <c r="X111" s="1135" t="s">
        <v>2884</v>
      </c>
      <c r="Y111" s="1135"/>
      <c r="Z111" s="1135">
        <v>1</v>
      </c>
      <c r="AA111" s="1107">
        <f>ROUND(IF(H111&lt;&gt;"",VLOOKUP(SUM(I111+J111),'CONCEPTOS Y PARAMETROS'!F:G,2,0)*V111,0),2)</f>
        <v>16.350000000000001</v>
      </c>
      <c r="AB111" s="1107">
        <f>IF(S111&lt;&gt;"",IF(M111="",'CONCEPTOS Y PARAMETROS'!$C$4,0),0)</f>
        <v>130</v>
      </c>
      <c r="AC111" s="1107">
        <f>IF(S111&lt;&gt;"",IF(M111="",'CONCEPTOS Y PARAMETROS'!$C$7*Z111,0),0)</f>
        <v>12.5</v>
      </c>
      <c r="AD111" s="1107">
        <f>IFERROR(ROUND(VLOOKUP($X111,'CONCEPTOS Y PARAMETROS'!H:I,2,0)*($V111+AA111+AB111+AC111),2),0)</f>
        <v>0</v>
      </c>
      <c r="AE111" s="1107">
        <f t="shared" ref="AE111:AE168" si="287">SUM(AA111:AD111)</f>
        <v>158.85</v>
      </c>
      <c r="AF111" s="1107">
        <f t="shared" si="95"/>
        <v>8.18</v>
      </c>
      <c r="AG111" s="1107">
        <f t="shared" si="96"/>
        <v>8.17</v>
      </c>
      <c r="AH111" s="1107">
        <f t="shared" si="97"/>
        <v>65</v>
      </c>
      <c r="AI111" s="1107">
        <f t="shared" si="98"/>
        <v>65</v>
      </c>
      <c r="AJ111" s="1107">
        <f t="shared" si="99"/>
        <v>0</v>
      </c>
      <c r="AK111" s="1107">
        <f t="shared" si="100"/>
        <v>0</v>
      </c>
      <c r="AL111" s="1108">
        <f t="shared" si="101"/>
        <v>85.68</v>
      </c>
      <c r="AM111" s="1108">
        <f t="shared" si="102"/>
        <v>73.17</v>
      </c>
      <c r="AN111" s="990">
        <v>0</v>
      </c>
      <c r="AO111" s="1147">
        <f>'CONCEPTOS Y PARAMETROS'!$C$18*AN111</f>
        <v>0</v>
      </c>
      <c r="AP111" s="990">
        <v>0</v>
      </c>
      <c r="AQ111" s="1147">
        <f>'CONCEPTOS Y PARAMETROS'!$C$21*AP111</f>
        <v>0</v>
      </c>
      <c r="AR111" s="1318">
        <v>0</v>
      </c>
      <c r="AS111" s="1318">
        <v>0</v>
      </c>
      <c r="AT111" s="1318">
        <f t="shared" ref="AT111:AT145" si="288">+AO111+AQ111+AR111+AS111</f>
        <v>0</v>
      </c>
      <c r="AU111" s="1108">
        <f t="shared" si="280"/>
        <v>379.85</v>
      </c>
      <c r="AV111" s="1133">
        <v>0</v>
      </c>
      <c r="AW111" s="1108">
        <f t="shared" si="285"/>
        <v>0</v>
      </c>
      <c r="AX111" s="1107">
        <f>IF(T111&lt;&gt;"0",(ROUND(IF(A111="EMPLEADO",eval_formula('CONCEPTOS Y PARAMETROS'!$C$8,NOMINA!V111,NOMINA!$AU111,NOMINA!I111+NOMINA!J111),eval_formula('CONCEPTOS Y PARAMETROS'!$D$8,NOMINA!V111,NOMINA!$AU111,NOMINA!I111+NOMINA!J111)),2))*IF(H111&lt;&gt;"",IF(MONTH(H111)=$BR$8,IF(YEAR(H111)&lt;$BT$7,1,0),0)))</f>
        <v>0</v>
      </c>
      <c r="AY111" s="1108">
        <v>180</v>
      </c>
      <c r="AZ111" s="1107">
        <f>IFERROR(VLOOKUP(AY111,'CONCEPTOS Y PARAMETROS'!Y:Z,2,0),0)</f>
        <v>150</v>
      </c>
      <c r="BA111" s="1107">
        <f t="shared" si="106"/>
        <v>2848.88</v>
      </c>
      <c r="BB111" s="1107">
        <f t="shared" ref="BB111:BB140" si="289">ROUND(AU111/30*$BB$10,2)</f>
        <v>0</v>
      </c>
      <c r="BC111" s="990">
        <v>0</v>
      </c>
      <c r="BD111" s="1107" t="str">
        <f t="shared" si="281"/>
        <v>0</v>
      </c>
      <c r="BE111" s="990">
        <v>0</v>
      </c>
      <c r="BF111" s="1107">
        <f t="shared" si="286"/>
        <v>0</v>
      </c>
      <c r="BG111" s="1108">
        <v>320</v>
      </c>
      <c r="BH111" s="1108">
        <v>0</v>
      </c>
      <c r="BI111" s="1132">
        <v>0</v>
      </c>
      <c r="BJ111" s="1108">
        <v>12.5</v>
      </c>
      <c r="BK111" s="1108">
        <v>0</v>
      </c>
      <c r="BL111" s="1107">
        <f t="shared" si="157"/>
        <v>17.53</v>
      </c>
      <c r="BM111" s="1107">
        <f t="shared" si="158"/>
        <v>2.19</v>
      </c>
      <c r="BN111" s="1107">
        <f t="shared" si="262"/>
        <v>3.8</v>
      </c>
      <c r="BO111" s="1107">
        <v>0</v>
      </c>
      <c r="BP111" s="1107">
        <v>0</v>
      </c>
      <c r="BQ111" s="1320">
        <f t="shared" si="110"/>
        <v>23.52</v>
      </c>
      <c r="BR111" s="1107">
        <f t="shared" si="159"/>
        <v>39.450000000000003</v>
      </c>
      <c r="BS111" s="1107">
        <f t="shared" si="160"/>
        <v>8.77</v>
      </c>
      <c r="BT111" s="1107">
        <f t="shared" si="263"/>
        <v>7.6</v>
      </c>
      <c r="BU111" s="1107">
        <v>0</v>
      </c>
      <c r="BV111" s="1108">
        <f t="shared" si="112"/>
        <v>55.82</v>
      </c>
      <c r="BW111" s="1112">
        <f t="shared" si="113"/>
        <v>79.34</v>
      </c>
      <c r="BX111" s="1112">
        <f t="shared" si="244"/>
        <v>712.22</v>
      </c>
      <c r="BY111" s="1108">
        <v>0</v>
      </c>
      <c r="BZ111" s="1108">
        <f t="shared" si="282"/>
        <v>712.22</v>
      </c>
      <c r="CA111" s="1321">
        <f>'CONCEPTOS Y PARAMETROS'!$A$102</f>
        <v>6255</v>
      </c>
      <c r="CB111" s="1112">
        <f t="shared" si="264"/>
        <v>172.66</v>
      </c>
      <c r="CC111" s="1113">
        <f t="shared" si="265"/>
        <v>516.16999999999996</v>
      </c>
      <c r="CD111" s="512"/>
      <c r="CE111" s="512"/>
      <c r="CF111" s="470">
        <f t="shared" si="266"/>
        <v>823.67000000000007</v>
      </c>
      <c r="CG111" s="495">
        <f t="shared" si="283"/>
        <v>172.66</v>
      </c>
      <c r="CH111" s="498">
        <f t="shared" si="267"/>
        <v>12.5</v>
      </c>
      <c r="CI111" s="1490">
        <f t="shared" si="284"/>
        <v>320</v>
      </c>
      <c r="CJ111" s="1500">
        <v>1</v>
      </c>
      <c r="CK111" s="495">
        <f t="shared" si="268"/>
        <v>503.67</v>
      </c>
      <c r="CL111" s="1689">
        <f t="shared" si="269"/>
        <v>503.67</v>
      </c>
      <c r="CM111" s="1689">
        <f t="shared" si="270"/>
        <v>0</v>
      </c>
      <c r="CN111" s="496">
        <f t="shared" si="271"/>
        <v>0</v>
      </c>
      <c r="CO111" s="497">
        <v>0</v>
      </c>
      <c r="CP111" s="496">
        <f t="shared" si="272"/>
        <v>0</v>
      </c>
      <c r="CQ111" s="496">
        <f t="shared" si="273"/>
        <v>0</v>
      </c>
      <c r="CR111" s="496">
        <f t="shared" si="274"/>
        <v>1007.34</v>
      </c>
      <c r="CS111" s="496">
        <f t="shared" si="275"/>
        <v>79.34</v>
      </c>
      <c r="CT111" s="496">
        <f t="shared" si="276"/>
        <v>6255</v>
      </c>
      <c r="CU111" s="470"/>
      <c r="CV111" s="470"/>
      <c r="CW111" s="470"/>
      <c r="CX111" s="470"/>
      <c r="CY111" s="1149" t="s">
        <v>7042</v>
      </c>
      <c r="CZ111" s="1149" t="s">
        <v>6920</v>
      </c>
      <c r="DA111" s="480"/>
      <c r="DB111" s="1642" t="s">
        <v>6409</v>
      </c>
      <c r="DC111" s="1642"/>
      <c r="DD111" s="1642" t="s">
        <v>6135</v>
      </c>
      <c r="DE111" s="1642" t="s">
        <v>6147</v>
      </c>
      <c r="DF111" s="1642" t="s">
        <v>6541</v>
      </c>
      <c r="DG111" s="1152"/>
      <c r="DH111" s="512"/>
      <c r="DI111" s="470"/>
      <c r="DJ111" s="470"/>
      <c r="DK111" s="470"/>
      <c r="DL111" s="470"/>
      <c r="DN111" s="471" t="str">
        <f>VLOOKUP(X111,Hoja1!$A$4:$B$10,2,0)</f>
        <v>BACHILLER</v>
      </c>
      <c r="DO111" s="471" t="str">
        <f>VLOOKUP(S111,Hoja1!$D$4:$F$77,3,0)</f>
        <v>TII - III</v>
      </c>
      <c r="DP111" s="1156" t="str">
        <f t="shared" si="277"/>
        <v>0</v>
      </c>
      <c r="DQ111" s="1484">
        <f>IF(T111&lt;&gt;"0",(ROUND(IF(A111="EMPLEADO",eval_formula('CONCEPTOS Y PARAMETROS'!$C$8,NOMINA!V111,AU111+BF111,NOMINA!I111+NOMINA!J111),eval_formula('CONCEPTOS Y PARAMETROS'!$D$8,NOMINA!V111,AU111+BF111,NOMINA!I111+NOMINA!J111)),2))*IF(H111&lt;&gt;"",IF(MONTH(H111)=$BR$8,IF(YEAR(H111)&lt;$BT$7,1,0),0)))</f>
        <v>0</v>
      </c>
      <c r="DR111" s="1801" t="str">
        <f t="shared" si="278"/>
        <v>M</v>
      </c>
      <c r="DS111" s="1801"/>
    </row>
    <row r="112" spans="1:123" s="471" customFormat="1" ht="21.95" customHeight="1" x14ac:dyDescent="0.25">
      <c r="A112" s="508" t="s">
        <v>2846</v>
      </c>
      <c r="B112" s="1314">
        <f t="shared" ca="1" si="133"/>
        <v>69</v>
      </c>
      <c r="C112" s="1148">
        <v>12042855</v>
      </c>
      <c r="D112" s="1149" t="s">
        <v>4753</v>
      </c>
      <c r="E112" s="1135" t="s">
        <v>4622</v>
      </c>
      <c r="F112" s="1150">
        <v>26713</v>
      </c>
      <c r="G112" s="1135" t="s">
        <v>4620</v>
      </c>
      <c r="H112" s="1150">
        <v>44028</v>
      </c>
      <c r="I112" s="1140">
        <f t="shared" si="261"/>
        <v>5</v>
      </c>
      <c r="J112" s="1132">
        <v>0</v>
      </c>
      <c r="K112" s="1140">
        <f t="shared" si="279"/>
        <v>5</v>
      </c>
      <c r="L112" s="1145" t="s">
        <v>7257</v>
      </c>
      <c r="M112" s="1132"/>
      <c r="N112" s="1132"/>
      <c r="O112" s="1002" t="s">
        <v>5239</v>
      </c>
      <c r="P112" s="1132" t="s">
        <v>5325</v>
      </c>
      <c r="Q112" s="1315" t="str">
        <f>IFERROR(VLOOKUP(O112,CARGOS!A:E,2,0),"")</f>
        <v>71341</v>
      </c>
      <c r="R112" s="1327" t="s">
        <v>5239</v>
      </c>
      <c r="S112" s="1146" t="s">
        <v>5468</v>
      </c>
      <c r="T112" s="1107">
        <f>IFERROR(VLOOKUP(S112,'TAB EMP'!A:B,2,0),0)</f>
        <v>219</v>
      </c>
      <c r="U112" s="1108">
        <v>0</v>
      </c>
      <c r="V112" s="1107">
        <f t="shared" ref="V112:V172" si="290">T112-U112</f>
        <v>219</v>
      </c>
      <c r="W112" s="1108">
        <f t="shared" ref="W112:W172" si="291">ROUND(V112/2,2)</f>
        <v>109.5</v>
      </c>
      <c r="X112" s="1135" t="s">
        <v>2885</v>
      </c>
      <c r="Y112" s="1135"/>
      <c r="Z112" s="1135">
        <v>0</v>
      </c>
      <c r="AA112" s="1107">
        <f>ROUND(IF(H112&lt;&gt;"",VLOOKUP(SUM(I112+J112),'CONCEPTOS Y PARAMETROS'!F:G,2,0)*V112,0),2)</f>
        <v>10.95</v>
      </c>
      <c r="AB112" s="1107">
        <f>IF(S112&lt;&gt;"",IF(M112="",'CONCEPTOS Y PARAMETROS'!$C$4,0),0)</f>
        <v>130</v>
      </c>
      <c r="AC112" s="1107">
        <f>IF(S112&lt;&gt;"",IF(M112="",'CONCEPTOS Y PARAMETROS'!$C$7*Z112,0),0)</f>
        <v>0</v>
      </c>
      <c r="AD112" s="1107">
        <f>IFERROR(ROUND(VLOOKUP($X112,'CONCEPTOS Y PARAMETROS'!H:I,2,0)*($V112+AA112+AB112+AC112),2),0)</f>
        <v>89.99</v>
      </c>
      <c r="AE112" s="1107">
        <f t="shared" si="287"/>
        <v>230.94</v>
      </c>
      <c r="AF112" s="1107">
        <f t="shared" ref="AF112:AF172" si="292">ROUND(AA112/2,2)</f>
        <v>5.48</v>
      </c>
      <c r="AG112" s="1107">
        <f t="shared" ref="AG112:AG172" si="293">ROUND(AA112-AF112,2)</f>
        <v>5.47</v>
      </c>
      <c r="AH112" s="1107">
        <f t="shared" ref="AH112:AH172" si="294">ROUND(AB112/2,2)</f>
        <v>65</v>
      </c>
      <c r="AI112" s="1107">
        <f t="shared" ref="AI112:AI172" si="295">ROUND(AB112-AH112,2)</f>
        <v>65</v>
      </c>
      <c r="AJ112" s="1107">
        <f t="shared" ref="AJ112:AJ172" si="296">ROUND(AD112/2,2)</f>
        <v>45</v>
      </c>
      <c r="AK112" s="1107">
        <f t="shared" ref="AK112:AK172" si="297">ROUND(AD112-AJ112,2)</f>
        <v>44.99</v>
      </c>
      <c r="AL112" s="1108">
        <f t="shared" ref="AL112:AL172" si="298">ROUND(AF112+AH112+AJ112+AC112,2)</f>
        <v>115.48</v>
      </c>
      <c r="AM112" s="1108">
        <f t="shared" ref="AM112:AM172" si="299">ROUND(AG112+AI112+AK112,2)</f>
        <v>115.46</v>
      </c>
      <c r="AN112" s="990">
        <v>0</v>
      </c>
      <c r="AO112" s="1147">
        <f>'CONCEPTOS Y PARAMETROS'!$C$18*AN112</f>
        <v>0</v>
      </c>
      <c r="AP112" s="990">
        <v>0</v>
      </c>
      <c r="AQ112" s="1147">
        <f>'CONCEPTOS Y PARAMETROS'!$C$21*AP112</f>
        <v>0</v>
      </c>
      <c r="AR112" s="1318">
        <v>0</v>
      </c>
      <c r="AS112" s="1318">
        <v>0</v>
      </c>
      <c r="AT112" s="1318">
        <f t="shared" si="288"/>
        <v>0</v>
      </c>
      <c r="AU112" s="1108">
        <f t="shared" si="280"/>
        <v>449.94</v>
      </c>
      <c r="AV112" s="1133">
        <v>0</v>
      </c>
      <c r="AW112" s="1108">
        <f t="shared" si="285"/>
        <v>0</v>
      </c>
      <c r="AX112" s="1107">
        <f>IF(T112&lt;&gt;"0",(ROUND(IF(A112="EMPLEADO",eval_formula('CONCEPTOS Y PARAMETROS'!$C$8,NOMINA!V112,NOMINA!$AU112,NOMINA!I112+NOMINA!J112),eval_formula('CONCEPTOS Y PARAMETROS'!$D$8,NOMINA!V112,NOMINA!$AU112,NOMINA!I112+NOMINA!J112)),2))*IF(H112&lt;&gt;"",IF(MONTH(H112)=$BR$8,IF(YEAR(H112)&lt;$BT$7,1,0),0)))</f>
        <v>0</v>
      </c>
      <c r="AY112" s="1108">
        <v>180</v>
      </c>
      <c r="AZ112" s="1107">
        <f>IFERROR(VLOOKUP(AY112,'CONCEPTOS Y PARAMETROS'!Y:Z,2,0),0)</f>
        <v>150</v>
      </c>
      <c r="BA112" s="1107">
        <f t="shared" ref="BA112:BA172" si="300">ROUND((((AU112))/30*AY112/12+(AU112))/30*AZ112,2)</f>
        <v>3374.55</v>
      </c>
      <c r="BB112" s="1107">
        <f t="shared" si="289"/>
        <v>0</v>
      </c>
      <c r="BC112" s="990">
        <v>0</v>
      </c>
      <c r="BD112" s="1107" t="str">
        <f t="shared" si="281"/>
        <v>0</v>
      </c>
      <c r="BE112" s="990">
        <v>0</v>
      </c>
      <c r="BF112" s="1107">
        <f t="shared" si="286"/>
        <v>0</v>
      </c>
      <c r="BG112" s="1108">
        <v>320</v>
      </c>
      <c r="BH112" s="1108">
        <v>0</v>
      </c>
      <c r="BI112" s="1132">
        <v>0</v>
      </c>
      <c r="BJ112" s="1108">
        <v>12.5</v>
      </c>
      <c r="BK112" s="1108">
        <v>0</v>
      </c>
      <c r="BL112" s="1107">
        <f t="shared" si="157"/>
        <v>20.77</v>
      </c>
      <c r="BM112" s="1107">
        <f t="shared" si="158"/>
        <v>2.6</v>
      </c>
      <c r="BN112" s="1107">
        <f t="shared" si="262"/>
        <v>4.5</v>
      </c>
      <c r="BO112" s="1107">
        <v>0</v>
      </c>
      <c r="BP112" s="1107">
        <v>0</v>
      </c>
      <c r="BQ112" s="1320">
        <f t="shared" ref="BQ112:BQ167" si="301">ROUND(SUM(BL112:BP112),2)</f>
        <v>27.87</v>
      </c>
      <c r="BR112" s="1107">
        <f t="shared" si="159"/>
        <v>46.72</v>
      </c>
      <c r="BS112" s="1107">
        <f t="shared" si="160"/>
        <v>10.38</v>
      </c>
      <c r="BT112" s="1107">
        <f t="shared" si="263"/>
        <v>9</v>
      </c>
      <c r="BU112" s="1107">
        <v>0</v>
      </c>
      <c r="BV112" s="1108">
        <f t="shared" ref="BV112:BV167" si="302">ROUND(SUM(BR112:BT112),2)</f>
        <v>66.099999999999994</v>
      </c>
      <c r="BW112" s="1112">
        <f t="shared" ref="BW112:BW167" si="303">BQ112+BV112</f>
        <v>93.97</v>
      </c>
      <c r="BX112" s="1112">
        <f t="shared" si="244"/>
        <v>843.64</v>
      </c>
      <c r="BY112" s="1108">
        <v>0</v>
      </c>
      <c r="BZ112" s="1108">
        <f t="shared" si="282"/>
        <v>843.64</v>
      </c>
      <c r="CA112" s="1321">
        <f>'CONCEPTOS Y PARAMETROS'!$A$102</f>
        <v>6255</v>
      </c>
      <c r="CB112" s="1112">
        <f t="shared" si="264"/>
        <v>197.11</v>
      </c>
      <c r="CC112" s="1113">
        <f t="shared" si="265"/>
        <v>557.46</v>
      </c>
      <c r="CD112" s="512"/>
      <c r="CE112" s="512"/>
      <c r="CF112" s="470">
        <f t="shared" si="266"/>
        <v>864.96</v>
      </c>
      <c r="CG112" s="495">
        <f t="shared" si="283"/>
        <v>197.11</v>
      </c>
      <c r="CH112" s="498">
        <f t="shared" si="267"/>
        <v>12.5</v>
      </c>
      <c r="CI112" s="1490">
        <f t="shared" si="284"/>
        <v>320</v>
      </c>
      <c r="CJ112" s="1500">
        <v>1</v>
      </c>
      <c r="CK112" s="495">
        <f t="shared" si="268"/>
        <v>544.96</v>
      </c>
      <c r="CL112" s="1689">
        <f t="shared" si="269"/>
        <v>544.96</v>
      </c>
      <c r="CM112" s="1689">
        <f t="shared" si="270"/>
        <v>0</v>
      </c>
      <c r="CN112" s="496">
        <f t="shared" si="271"/>
        <v>0</v>
      </c>
      <c r="CO112" s="497">
        <v>0</v>
      </c>
      <c r="CP112" s="496">
        <f t="shared" si="272"/>
        <v>0</v>
      </c>
      <c r="CQ112" s="496">
        <f t="shared" si="273"/>
        <v>0</v>
      </c>
      <c r="CR112" s="496">
        <f t="shared" si="274"/>
        <v>1089.92</v>
      </c>
      <c r="CS112" s="496">
        <f t="shared" si="275"/>
        <v>93.97</v>
      </c>
      <c r="CT112" s="496">
        <f t="shared" si="276"/>
        <v>6255</v>
      </c>
      <c r="CU112" s="470"/>
      <c r="CV112" s="470"/>
      <c r="CW112" s="470"/>
      <c r="CX112" s="470"/>
      <c r="CY112" s="1149" t="s">
        <v>7060</v>
      </c>
      <c r="CZ112" s="1149" t="s">
        <v>7109</v>
      </c>
      <c r="DA112" s="480"/>
      <c r="DB112" s="1152" t="s">
        <v>6400</v>
      </c>
      <c r="DC112" s="1152" t="s">
        <v>7546</v>
      </c>
      <c r="DD112" s="1152" t="s">
        <v>6150</v>
      </c>
      <c r="DE112" s="1152" t="s">
        <v>6257</v>
      </c>
      <c r="DF112" s="1152" t="s">
        <v>6228</v>
      </c>
      <c r="DG112" s="1152"/>
      <c r="DH112" s="470"/>
      <c r="DI112" s="470"/>
      <c r="DJ112" s="470"/>
      <c r="DK112" s="470"/>
      <c r="DL112" s="470"/>
      <c r="DN112" s="471" t="str">
        <f>VLOOKUP(X112,Hoja1!$A$4:$B$10,2,0)</f>
        <v>PROFESIONAL</v>
      </c>
      <c r="DO112" s="471" t="str">
        <f>VLOOKUP(S112,Hoja1!$D$4:$F$77,3,0)</f>
        <v>TII - II</v>
      </c>
      <c r="DP112" s="1156" t="str">
        <f t="shared" si="277"/>
        <v>0</v>
      </c>
      <c r="DQ112" s="1484">
        <f>IF(T112&lt;&gt;"0",(ROUND(IF(A112="EMPLEADO",eval_formula('CONCEPTOS Y PARAMETROS'!$C$8,NOMINA!V112,AU112+BF112,NOMINA!I112+NOMINA!J112),eval_formula('CONCEPTOS Y PARAMETROS'!$D$8,NOMINA!V112,AU112+BF112,NOMINA!I112+NOMINA!J112)),2))*IF(H112&lt;&gt;"",IF(MONTH(H112)=$BR$8,IF(YEAR(H112)&lt;$BT$7,1,0),0)))</f>
        <v>0</v>
      </c>
      <c r="DR112" s="1801" t="str">
        <f t="shared" si="278"/>
        <v>F</v>
      </c>
      <c r="DS112" s="1801"/>
    </row>
    <row r="113" spans="1:123" s="476" customFormat="1" ht="21.95" customHeight="1" x14ac:dyDescent="0.25">
      <c r="A113" s="508" t="s">
        <v>2846</v>
      </c>
      <c r="B113" s="1314">
        <f t="shared" ca="1" si="133"/>
        <v>70</v>
      </c>
      <c r="C113" s="1148">
        <v>12045335</v>
      </c>
      <c r="D113" s="1149" t="s">
        <v>6678</v>
      </c>
      <c r="E113" s="1135" t="s">
        <v>4622</v>
      </c>
      <c r="F113" s="1150">
        <v>26899</v>
      </c>
      <c r="G113" s="1135" t="s">
        <v>4620</v>
      </c>
      <c r="H113" s="1150">
        <v>45505</v>
      </c>
      <c r="I113" s="1140">
        <f t="shared" si="261"/>
        <v>1</v>
      </c>
      <c r="J113" s="1132">
        <v>0</v>
      </c>
      <c r="K113" s="1140">
        <f t="shared" si="279"/>
        <v>1</v>
      </c>
      <c r="L113" s="1145" t="s">
        <v>5536</v>
      </c>
      <c r="M113" s="1132"/>
      <c r="N113" s="1132"/>
      <c r="O113" s="1002" t="s">
        <v>5218</v>
      </c>
      <c r="P113" s="1151" t="s">
        <v>6679</v>
      </c>
      <c r="Q113" s="1315" t="str">
        <f>IFERROR(VLOOKUP(O113,CARGOS!A:E,2,0),"")</f>
        <v>79511</v>
      </c>
      <c r="R113" s="1327" t="s">
        <v>5218</v>
      </c>
      <c r="S113" s="1146" t="s">
        <v>5456</v>
      </c>
      <c r="T113" s="1107">
        <f>IFERROR(VLOOKUP(S113,'TAB EMP'!A:B,2,0),0)</f>
        <v>246</v>
      </c>
      <c r="U113" s="1108">
        <v>0</v>
      </c>
      <c r="V113" s="1107">
        <f t="shared" ref="V113" si="304">T113-U113</f>
        <v>246</v>
      </c>
      <c r="W113" s="1108">
        <f t="shared" ref="W113" si="305">ROUND(V113/2,2)</f>
        <v>123</v>
      </c>
      <c r="X113" s="1135" t="s">
        <v>2885</v>
      </c>
      <c r="Y113" s="1135"/>
      <c r="Z113" s="1135">
        <v>0</v>
      </c>
      <c r="AA113" s="1107">
        <f>ROUND(IF(H113&lt;&gt;"",VLOOKUP(SUM(I113+J113),'CONCEPTOS Y PARAMETROS'!F:G,2,0)*V113,0),2)</f>
        <v>2.46</v>
      </c>
      <c r="AB113" s="1107">
        <f>IF(S113&lt;&gt;"",IF(M113="",'CONCEPTOS Y PARAMETROS'!$C$4,0),0)</f>
        <v>130</v>
      </c>
      <c r="AC113" s="1107">
        <f>IF(S113&lt;&gt;"",IF(M113="",'CONCEPTOS Y PARAMETROS'!$C$7*Z113,0),0)</f>
        <v>0</v>
      </c>
      <c r="AD113" s="1107">
        <f>IFERROR(ROUND(VLOOKUP($X113,'CONCEPTOS Y PARAMETROS'!H:I,2,0)*($V113+AA113+AB113+AC113),2),0)</f>
        <v>94.62</v>
      </c>
      <c r="AE113" s="1107">
        <f t="shared" ref="AE113" si="306">SUM(AA113:AD113)</f>
        <v>227.08</v>
      </c>
      <c r="AF113" s="1107">
        <f t="shared" ref="AF113" si="307">ROUND(AA113/2,2)</f>
        <v>1.23</v>
      </c>
      <c r="AG113" s="1107">
        <f t="shared" ref="AG113" si="308">ROUND(AA113-AF113,2)</f>
        <v>1.23</v>
      </c>
      <c r="AH113" s="1107">
        <f t="shared" ref="AH113" si="309">ROUND(AB113/2,2)</f>
        <v>65</v>
      </c>
      <c r="AI113" s="1107">
        <f t="shared" ref="AI113" si="310">ROUND(AB113-AH113,2)</f>
        <v>65</v>
      </c>
      <c r="AJ113" s="1107">
        <f t="shared" ref="AJ113" si="311">ROUND(AD113/2,2)</f>
        <v>47.31</v>
      </c>
      <c r="AK113" s="1107">
        <f t="shared" ref="AK113" si="312">ROUND(AD113-AJ113,2)</f>
        <v>47.31</v>
      </c>
      <c r="AL113" s="1108">
        <f t="shared" ref="AL113" si="313">ROUND(AF113+AH113+AJ113+AC113,2)</f>
        <v>113.54</v>
      </c>
      <c r="AM113" s="1108">
        <f t="shared" ref="AM113" si="314">ROUND(AG113+AI113+AK113,2)</f>
        <v>113.54</v>
      </c>
      <c r="AN113" s="990">
        <v>0</v>
      </c>
      <c r="AO113" s="1147">
        <f>'CONCEPTOS Y PARAMETROS'!$C$18*AN113</f>
        <v>0</v>
      </c>
      <c r="AP113" s="990">
        <v>0</v>
      </c>
      <c r="AQ113" s="1147">
        <f>'CONCEPTOS Y PARAMETROS'!$C$21*AP113</f>
        <v>0</v>
      </c>
      <c r="AR113" s="1318">
        <v>0</v>
      </c>
      <c r="AS113" s="1318">
        <v>0</v>
      </c>
      <c r="AT113" s="1318">
        <f t="shared" ref="AT113" si="315">+AO113+AQ113+AR113+AS113</f>
        <v>0</v>
      </c>
      <c r="AU113" s="1108">
        <f t="shared" si="280"/>
        <v>615</v>
      </c>
      <c r="AV113" s="1133" t="s">
        <v>5080</v>
      </c>
      <c r="AW113" s="1108">
        <f t="shared" si="285"/>
        <v>141.91999999999999</v>
      </c>
      <c r="AX113" s="1107">
        <f>IF(T113&lt;&gt;"0",(ROUND(IF(A113="EMPLEADO",eval_formula('CONCEPTOS Y PARAMETROS'!$C$8,NOMINA!V113,NOMINA!$AU113,NOMINA!I113+NOMINA!J113),eval_formula('CONCEPTOS Y PARAMETROS'!$D$8,NOMINA!V113,NOMINA!$AU113,NOMINA!I113+NOMINA!J113)),2))*IF(H113&lt;&gt;"",IF(MONTH(H113)=$BR$8,IF(YEAR(H113)&lt;$BT$7,1,0),0)))</f>
        <v>0</v>
      </c>
      <c r="AY113" s="1108">
        <v>75</v>
      </c>
      <c r="AZ113" s="1107">
        <f>IFERROR(VLOOKUP(AY113,'CONCEPTOS Y PARAMETROS'!Y:Z,2,0),0)</f>
        <v>62.5</v>
      </c>
      <c r="BA113" s="1107">
        <f t="shared" ref="BA113" si="316">ROUND((((AU113))/30*AY113/12+(AU113))/30*AZ113,2)</f>
        <v>1548.18</v>
      </c>
      <c r="BB113" s="1107">
        <f t="shared" si="289"/>
        <v>0</v>
      </c>
      <c r="BC113" s="990">
        <v>0</v>
      </c>
      <c r="BD113" s="1107" t="str">
        <f t="shared" si="281"/>
        <v>0</v>
      </c>
      <c r="BE113" s="990">
        <v>3</v>
      </c>
      <c r="BF113" s="1107">
        <f t="shared" si="286"/>
        <v>92.25</v>
      </c>
      <c r="BG113" s="1108">
        <v>320</v>
      </c>
      <c r="BH113" s="1108">
        <v>0</v>
      </c>
      <c r="BI113" s="1132">
        <v>0</v>
      </c>
      <c r="BJ113" s="1108">
        <v>12.5</v>
      </c>
      <c r="BK113" s="1108">
        <v>0</v>
      </c>
      <c r="BL113" s="1107">
        <f t="shared" si="157"/>
        <v>28.38</v>
      </c>
      <c r="BM113" s="1107">
        <f t="shared" si="158"/>
        <v>3.55</v>
      </c>
      <c r="BN113" s="1107">
        <f t="shared" si="262"/>
        <v>6.15</v>
      </c>
      <c r="BO113" s="1107">
        <v>0</v>
      </c>
      <c r="BP113" s="1107">
        <v>0</v>
      </c>
      <c r="BQ113" s="1320">
        <f t="shared" ref="BQ113" si="317">ROUND(SUM(BL113:BP113),2)</f>
        <v>38.08</v>
      </c>
      <c r="BR113" s="1107">
        <f t="shared" si="159"/>
        <v>63.87</v>
      </c>
      <c r="BS113" s="1107">
        <f t="shared" si="160"/>
        <v>14.19</v>
      </c>
      <c r="BT113" s="1107">
        <f t="shared" si="263"/>
        <v>12.3</v>
      </c>
      <c r="BU113" s="1107">
        <v>0</v>
      </c>
      <c r="BV113" s="1108">
        <f t="shared" ref="BV113" si="318">ROUND(SUM(BR113:BT113),2)</f>
        <v>90.36</v>
      </c>
      <c r="BW113" s="1112">
        <f t="shared" ref="BW113" si="319">BQ113+BV113</f>
        <v>128.44</v>
      </c>
      <c r="BX113" s="1112">
        <f t="shared" si="244"/>
        <v>387.05</v>
      </c>
      <c r="BY113" s="1108">
        <v>0</v>
      </c>
      <c r="BZ113" s="1108">
        <f t="shared" si="282"/>
        <v>387.05</v>
      </c>
      <c r="CA113" s="1321">
        <f>'CONCEPTOS Y PARAMETROS'!$A$102</f>
        <v>6255</v>
      </c>
      <c r="CB113" s="1112">
        <f t="shared" si="264"/>
        <v>198.46000000000004</v>
      </c>
      <c r="CC113" s="1113">
        <f t="shared" si="265"/>
        <v>803.21</v>
      </c>
      <c r="CD113" s="512"/>
      <c r="CE113" s="512"/>
      <c r="CF113" s="470">
        <f t="shared" si="266"/>
        <v>876.54</v>
      </c>
      <c r="CG113" s="509">
        <f t="shared" si="283"/>
        <v>198.46000000000004</v>
      </c>
      <c r="CH113" s="498">
        <f t="shared" si="267"/>
        <v>12.5</v>
      </c>
      <c r="CI113" s="1491">
        <f t="shared" si="284"/>
        <v>320</v>
      </c>
      <c r="CJ113" s="1500">
        <v>1</v>
      </c>
      <c r="CK113" s="509">
        <f t="shared" si="268"/>
        <v>556.54</v>
      </c>
      <c r="CL113" s="1689">
        <f t="shared" si="269"/>
        <v>556.54</v>
      </c>
      <c r="CM113" s="1689">
        <f t="shared" si="270"/>
        <v>0</v>
      </c>
      <c r="CN113" s="510">
        <f t="shared" si="271"/>
        <v>92.25</v>
      </c>
      <c r="CO113" s="511">
        <v>0</v>
      </c>
      <c r="CP113" s="510">
        <f t="shared" si="272"/>
        <v>141.91999999999999</v>
      </c>
      <c r="CQ113" s="510">
        <f t="shared" si="273"/>
        <v>0</v>
      </c>
      <c r="CR113" s="496">
        <f t="shared" si="274"/>
        <v>1347.25</v>
      </c>
      <c r="CS113" s="510">
        <f t="shared" si="275"/>
        <v>128.44</v>
      </c>
      <c r="CT113" s="510">
        <f t="shared" si="276"/>
        <v>6255</v>
      </c>
      <c r="CU113" s="470"/>
      <c r="CV113" s="470"/>
      <c r="CW113" s="470"/>
      <c r="CX113" s="470"/>
      <c r="CY113" s="1149" t="s">
        <v>6865</v>
      </c>
      <c r="CZ113" s="1149" t="s">
        <v>7110</v>
      </c>
      <c r="DA113" s="1152"/>
      <c r="DB113" s="1642" t="s">
        <v>6684</v>
      </c>
      <c r="DC113" s="1642"/>
      <c r="DD113" s="1642" t="s">
        <v>6135</v>
      </c>
      <c r="DE113" s="1642" t="s">
        <v>6247</v>
      </c>
      <c r="DF113" s="1642" t="s">
        <v>6489</v>
      </c>
      <c r="DG113" s="1642"/>
      <c r="DH113" s="512"/>
      <c r="DI113" s="512"/>
      <c r="DJ113" s="512"/>
      <c r="DK113" s="512"/>
      <c r="DL113" s="512"/>
      <c r="DN113" s="476" t="str">
        <f>VLOOKUP(X113,Hoja1!$A$4:$B$10,2,0)</f>
        <v>PROFESIONAL</v>
      </c>
      <c r="DO113" s="476" t="str">
        <f>VLOOKUP(S113,Hoja1!$D$4:$F$77,3,0)</f>
        <v>PI</v>
      </c>
      <c r="DP113" s="1164" t="str">
        <f t="shared" si="277"/>
        <v>SI</v>
      </c>
      <c r="DQ113" s="1484">
        <f>IF(T113&lt;&gt;"0",(ROUND(IF(A113="EMPLEADO",eval_formula('CONCEPTOS Y PARAMETROS'!$C$8,NOMINA!V113,AU113+BF113,NOMINA!I113+NOMINA!J113),eval_formula('CONCEPTOS Y PARAMETROS'!$D$8,NOMINA!V113,AU113+BF113,NOMINA!I113+NOMINA!J113)),2))*IF(H113&lt;&gt;"",IF(MONTH(H113)=$BR$8,IF(YEAR(H113)&lt;$BT$7,1,0),0)))</f>
        <v>0</v>
      </c>
      <c r="DR113" s="1799" t="str">
        <f t="shared" si="278"/>
        <v>F</v>
      </c>
      <c r="DS113" s="1799"/>
    </row>
    <row r="114" spans="1:123" s="471" customFormat="1" ht="21.95" customHeight="1" x14ac:dyDescent="0.25">
      <c r="A114" s="508" t="s">
        <v>2846</v>
      </c>
      <c r="B114" s="1314">
        <f t="shared" ca="1" si="133"/>
        <v>71</v>
      </c>
      <c r="C114" s="1148">
        <v>12045360</v>
      </c>
      <c r="D114" s="1149" t="s">
        <v>4754</v>
      </c>
      <c r="E114" s="1135" t="s">
        <v>4622</v>
      </c>
      <c r="F114" s="1150">
        <v>26792</v>
      </c>
      <c r="G114" s="1135" t="s">
        <v>4620</v>
      </c>
      <c r="H114" s="1150">
        <v>39238</v>
      </c>
      <c r="I114" s="1140">
        <f t="shared" si="261"/>
        <v>18</v>
      </c>
      <c r="J114" s="1132">
        <v>0</v>
      </c>
      <c r="K114" s="1140">
        <f t="shared" si="279"/>
        <v>18</v>
      </c>
      <c r="L114" s="1145" t="s">
        <v>5539</v>
      </c>
      <c r="M114" s="1132"/>
      <c r="N114" s="1132"/>
      <c r="O114" s="1002" t="s">
        <v>5218</v>
      </c>
      <c r="P114" s="1132" t="s">
        <v>5326</v>
      </c>
      <c r="Q114" s="1315" t="str">
        <f>IFERROR(VLOOKUP(O114,CARGOS!A:E,2,0),"")</f>
        <v>79511</v>
      </c>
      <c r="R114" s="1327" t="s">
        <v>5218</v>
      </c>
      <c r="S114" s="1146" t="s">
        <v>5463</v>
      </c>
      <c r="T114" s="1107">
        <f>IFERROR(VLOOKUP(S114,'TAB EMP'!A:B,2,0),0)</f>
        <v>177</v>
      </c>
      <c r="U114" s="1108">
        <v>0</v>
      </c>
      <c r="V114" s="1107">
        <f t="shared" si="290"/>
        <v>177</v>
      </c>
      <c r="W114" s="1108">
        <f t="shared" si="291"/>
        <v>88.5</v>
      </c>
      <c r="X114" s="1135" t="s">
        <v>2884</v>
      </c>
      <c r="Y114" s="1135"/>
      <c r="Z114" s="1135">
        <v>1</v>
      </c>
      <c r="AA114" s="1107">
        <f>ROUND(IF(H114&lt;&gt;"",VLOOKUP(SUM(I114+J114),'CONCEPTOS Y PARAMETROS'!F:G,2,0)*V114,0),2)</f>
        <v>40.36</v>
      </c>
      <c r="AB114" s="1107">
        <f>IF(S114&lt;&gt;"",IF(M114="",'CONCEPTOS Y PARAMETROS'!$C$4,0),0)</f>
        <v>130</v>
      </c>
      <c r="AC114" s="1107">
        <f>IF(S114&lt;&gt;"",IF(M114="",'CONCEPTOS Y PARAMETROS'!$C$7*Z114,0),0)</f>
        <v>12.5</v>
      </c>
      <c r="AD114" s="1107">
        <f>IFERROR(ROUND(VLOOKUP($X114,'CONCEPTOS Y PARAMETROS'!H:I,2,0)*($V114+AA114+AB114+AC114),2),0)</f>
        <v>0</v>
      </c>
      <c r="AE114" s="1107">
        <f t="shared" si="287"/>
        <v>182.86</v>
      </c>
      <c r="AF114" s="1107">
        <f t="shared" si="292"/>
        <v>20.18</v>
      </c>
      <c r="AG114" s="1107">
        <f t="shared" si="293"/>
        <v>20.18</v>
      </c>
      <c r="AH114" s="1107">
        <f t="shared" si="294"/>
        <v>65</v>
      </c>
      <c r="AI114" s="1107">
        <f t="shared" si="295"/>
        <v>65</v>
      </c>
      <c r="AJ114" s="1107">
        <f t="shared" si="296"/>
        <v>0</v>
      </c>
      <c r="AK114" s="1107">
        <f t="shared" si="297"/>
        <v>0</v>
      </c>
      <c r="AL114" s="1108">
        <f t="shared" si="298"/>
        <v>97.68</v>
      </c>
      <c r="AM114" s="1108">
        <f t="shared" si="299"/>
        <v>85.18</v>
      </c>
      <c r="AN114" s="990">
        <v>0</v>
      </c>
      <c r="AO114" s="1147">
        <f>'CONCEPTOS Y PARAMETROS'!$C$18*AN114</f>
        <v>0</v>
      </c>
      <c r="AP114" s="990">
        <v>0</v>
      </c>
      <c r="AQ114" s="1147">
        <f>'CONCEPTOS Y PARAMETROS'!$C$21*AP114</f>
        <v>0</v>
      </c>
      <c r="AR114" s="1318">
        <v>0</v>
      </c>
      <c r="AS114" s="1318">
        <v>0</v>
      </c>
      <c r="AT114" s="1318">
        <f t="shared" si="288"/>
        <v>0</v>
      </c>
      <c r="AU114" s="1108">
        <f t="shared" si="280"/>
        <v>359.86</v>
      </c>
      <c r="AV114" s="1133">
        <v>0</v>
      </c>
      <c r="AW114" s="1108">
        <f t="shared" si="285"/>
        <v>0</v>
      </c>
      <c r="AX114" s="1107">
        <f>IF(T114&lt;&gt;"0",(ROUND(IF(A114="EMPLEADO",eval_formula('CONCEPTOS Y PARAMETROS'!$C$8,NOMINA!V114,NOMINA!$AU114,NOMINA!I114+NOMINA!J114),eval_formula('CONCEPTOS Y PARAMETROS'!$D$8,NOMINA!V114,NOMINA!$AU114,NOMINA!I114+NOMINA!J114)),2))*IF(H114&lt;&gt;"",IF(MONTH(H114)=$BR$8,IF(YEAR(H114)&lt;$BT$7,1,0),0)))</f>
        <v>0</v>
      </c>
      <c r="AY114" s="1108">
        <v>180</v>
      </c>
      <c r="AZ114" s="1107">
        <f>IFERROR(VLOOKUP(AY114,'CONCEPTOS Y PARAMETROS'!Y:Z,2,0),0)</f>
        <v>150</v>
      </c>
      <c r="BA114" s="1107">
        <f t="shared" si="300"/>
        <v>2698.95</v>
      </c>
      <c r="BB114" s="1107">
        <f t="shared" si="289"/>
        <v>0</v>
      </c>
      <c r="BC114" s="990">
        <v>0</v>
      </c>
      <c r="BD114" s="1107" t="str">
        <f t="shared" si="281"/>
        <v>0</v>
      </c>
      <c r="BE114" s="990">
        <v>0</v>
      </c>
      <c r="BF114" s="1107">
        <f t="shared" si="286"/>
        <v>0</v>
      </c>
      <c r="BG114" s="1108">
        <v>320</v>
      </c>
      <c r="BH114" s="1108">
        <v>0</v>
      </c>
      <c r="BI114" s="1132">
        <v>0</v>
      </c>
      <c r="BJ114" s="1108">
        <v>12.5</v>
      </c>
      <c r="BK114" s="1108">
        <v>0</v>
      </c>
      <c r="BL114" s="1107">
        <f t="shared" si="157"/>
        <v>16.61</v>
      </c>
      <c r="BM114" s="1107">
        <f t="shared" si="158"/>
        <v>2.08</v>
      </c>
      <c r="BN114" s="1107">
        <f t="shared" si="262"/>
        <v>3.6</v>
      </c>
      <c r="BO114" s="1107">
        <v>0</v>
      </c>
      <c r="BP114" s="1107">
        <v>0</v>
      </c>
      <c r="BQ114" s="1320">
        <f t="shared" si="301"/>
        <v>22.29</v>
      </c>
      <c r="BR114" s="1107">
        <f t="shared" si="159"/>
        <v>37.369999999999997</v>
      </c>
      <c r="BS114" s="1107">
        <f t="shared" si="160"/>
        <v>8.3000000000000007</v>
      </c>
      <c r="BT114" s="1107">
        <f t="shared" si="263"/>
        <v>7.2</v>
      </c>
      <c r="BU114" s="1107">
        <v>0</v>
      </c>
      <c r="BV114" s="1108">
        <f t="shared" si="302"/>
        <v>52.87</v>
      </c>
      <c r="BW114" s="1112">
        <f t="shared" si="303"/>
        <v>75.16</v>
      </c>
      <c r="BX114" s="1112">
        <f t="shared" si="244"/>
        <v>674.74</v>
      </c>
      <c r="BY114" s="1108">
        <v>0</v>
      </c>
      <c r="BZ114" s="1108">
        <f t="shared" si="282"/>
        <v>674.74</v>
      </c>
      <c r="CA114" s="1321">
        <f>'CONCEPTOS Y PARAMETROS'!$A$102</f>
        <v>6255</v>
      </c>
      <c r="CB114" s="1112">
        <f t="shared" si="264"/>
        <v>163.89000000000001</v>
      </c>
      <c r="CC114" s="1113">
        <f t="shared" si="265"/>
        <v>506.18</v>
      </c>
      <c r="CD114" s="512"/>
      <c r="CE114" s="512"/>
      <c r="CF114" s="470">
        <f t="shared" si="266"/>
        <v>813.68000000000006</v>
      </c>
      <c r="CG114" s="495">
        <f t="shared" si="283"/>
        <v>163.89000000000001</v>
      </c>
      <c r="CH114" s="498">
        <f t="shared" si="267"/>
        <v>12.5</v>
      </c>
      <c r="CI114" s="1490">
        <f t="shared" si="284"/>
        <v>320</v>
      </c>
      <c r="CJ114" s="1500">
        <v>1</v>
      </c>
      <c r="CK114" s="495">
        <f t="shared" si="268"/>
        <v>493.68</v>
      </c>
      <c r="CL114" s="1689">
        <f t="shared" si="269"/>
        <v>493.68</v>
      </c>
      <c r="CM114" s="1689">
        <f t="shared" si="270"/>
        <v>0</v>
      </c>
      <c r="CN114" s="496">
        <f t="shared" si="271"/>
        <v>0</v>
      </c>
      <c r="CO114" s="497">
        <v>0</v>
      </c>
      <c r="CP114" s="496">
        <f t="shared" si="272"/>
        <v>0</v>
      </c>
      <c r="CQ114" s="496">
        <f t="shared" si="273"/>
        <v>0</v>
      </c>
      <c r="CR114" s="496">
        <f t="shared" si="274"/>
        <v>987.36</v>
      </c>
      <c r="CS114" s="496">
        <f t="shared" si="275"/>
        <v>75.16</v>
      </c>
      <c r="CT114" s="496">
        <f t="shared" si="276"/>
        <v>6255</v>
      </c>
      <c r="CU114" s="470"/>
      <c r="CV114" s="470"/>
      <c r="CW114" s="470"/>
      <c r="CX114" s="470"/>
      <c r="CY114" s="1149" t="s">
        <v>6840</v>
      </c>
      <c r="CZ114" s="1149" t="s">
        <v>6857</v>
      </c>
      <c r="DA114" s="480"/>
      <c r="DB114" s="1642" t="s">
        <v>6354</v>
      </c>
      <c r="DC114" s="1642"/>
      <c r="DD114" s="1642" t="s">
        <v>6156</v>
      </c>
      <c r="DE114" s="1642" t="s">
        <v>6217</v>
      </c>
      <c r="DF114" s="1642" t="s">
        <v>6355</v>
      </c>
      <c r="DG114" s="1152"/>
      <c r="DH114" s="470"/>
      <c r="DI114" s="470"/>
      <c r="DJ114" s="470"/>
      <c r="DK114" s="470"/>
      <c r="DL114" s="470"/>
      <c r="DN114" s="471" t="str">
        <f>VLOOKUP(X114,Hoja1!$A$4:$B$10,2,0)</f>
        <v>BACHILLER</v>
      </c>
      <c r="DO114" s="471" t="str">
        <f>VLOOKUP(S114,Hoja1!$D$4:$F$77,3,0)</f>
        <v>BIII - VII</v>
      </c>
      <c r="DP114" s="1156" t="str">
        <f t="shared" si="277"/>
        <v>0</v>
      </c>
      <c r="DQ114" s="1484">
        <f>IF(T114&lt;&gt;"0",(ROUND(IF(A114="EMPLEADO",eval_formula('CONCEPTOS Y PARAMETROS'!$C$8,NOMINA!V114,AU114+BF114,NOMINA!I114+NOMINA!J114),eval_formula('CONCEPTOS Y PARAMETROS'!$D$8,NOMINA!V114,AU114+BF114,NOMINA!I114+NOMINA!J114)),2))*IF(H114&lt;&gt;"",IF(MONTH(H114)=$BR$8,IF(YEAR(H114)&lt;$BT$7,1,0),0)))</f>
        <v>0</v>
      </c>
      <c r="DR114" s="1801" t="str">
        <f t="shared" si="278"/>
        <v>F</v>
      </c>
      <c r="DS114" s="1801"/>
    </row>
    <row r="115" spans="1:123" s="476" customFormat="1" ht="21.95" customHeight="1" x14ac:dyDescent="0.25">
      <c r="A115" s="508" t="s">
        <v>2846</v>
      </c>
      <c r="B115" s="1314">
        <f t="shared" ca="1" si="133"/>
        <v>72</v>
      </c>
      <c r="C115" s="1148">
        <v>12045504</v>
      </c>
      <c r="D115" s="1149" t="s">
        <v>4755</v>
      </c>
      <c r="E115" s="1135" t="s">
        <v>4622</v>
      </c>
      <c r="F115" s="1150">
        <v>26827</v>
      </c>
      <c r="G115" s="1135" t="s">
        <v>4620</v>
      </c>
      <c r="H115" s="1150">
        <v>43862</v>
      </c>
      <c r="I115" s="1140">
        <f t="shared" si="261"/>
        <v>5</v>
      </c>
      <c r="J115" s="1132">
        <v>0</v>
      </c>
      <c r="K115" s="1140">
        <f t="shared" si="279"/>
        <v>5</v>
      </c>
      <c r="L115" s="1145" t="s">
        <v>5543</v>
      </c>
      <c r="M115" s="1132"/>
      <c r="N115" s="1132"/>
      <c r="O115" s="1002" t="s">
        <v>7261</v>
      </c>
      <c r="P115" s="1132" t="s">
        <v>5327</v>
      </c>
      <c r="Q115" s="1315" t="str">
        <f>IFERROR(VLOOKUP(O115,CARGOS!A:E,2,0),"")</f>
        <v>12112</v>
      </c>
      <c r="R115" s="1327" t="s">
        <v>7261</v>
      </c>
      <c r="S115" s="1146" t="s">
        <v>5477</v>
      </c>
      <c r="T115" s="1107">
        <f>IFERROR(VLOOKUP(S115,'TAB EMP'!A:B,2,0),0)</f>
        <v>150</v>
      </c>
      <c r="U115" s="1108">
        <v>0</v>
      </c>
      <c r="V115" s="1107">
        <f t="shared" si="290"/>
        <v>150</v>
      </c>
      <c r="W115" s="1108">
        <f t="shared" si="291"/>
        <v>75</v>
      </c>
      <c r="X115" s="1135" t="s">
        <v>2884</v>
      </c>
      <c r="Y115" s="1135"/>
      <c r="Z115" s="1135">
        <v>2</v>
      </c>
      <c r="AA115" s="1107">
        <f>ROUND(IF(H115&lt;&gt;"",VLOOKUP(SUM(I115+J115),'CONCEPTOS Y PARAMETROS'!F:G,2,0)*V115,0),2)</f>
        <v>7.5</v>
      </c>
      <c r="AB115" s="1107">
        <f>IF(S115&lt;&gt;"",IF(M115="",'CONCEPTOS Y PARAMETROS'!$C$4,0),0)</f>
        <v>130</v>
      </c>
      <c r="AC115" s="1107">
        <f>IF(S115&lt;&gt;"",IF(M115="",'CONCEPTOS Y PARAMETROS'!$C$7*Z115,0),0)</f>
        <v>25</v>
      </c>
      <c r="AD115" s="1107">
        <f>IFERROR(ROUND(VLOOKUP($X115,'CONCEPTOS Y PARAMETROS'!H:I,2,0)*($V115+AA115+AB115+AC115),2),0)</f>
        <v>0</v>
      </c>
      <c r="AE115" s="1107">
        <f t="shared" si="287"/>
        <v>162.5</v>
      </c>
      <c r="AF115" s="1107">
        <f t="shared" si="292"/>
        <v>3.75</v>
      </c>
      <c r="AG115" s="1107">
        <f t="shared" si="293"/>
        <v>3.75</v>
      </c>
      <c r="AH115" s="1107">
        <f t="shared" si="294"/>
        <v>65</v>
      </c>
      <c r="AI115" s="1107">
        <f t="shared" si="295"/>
        <v>65</v>
      </c>
      <c r="AJ115" s="1107">
        <f t="shared" si="296"/>
        <v>0</v>
      </c>
      <c r="AK115" s="1107">
        <f t="shared" si="297"/>
        <v>0</v>
      </c>
      <c r="AL115" s="1108">
        <f t="shared" si="298"/>
        <v>93.75</v>
      </c>
      <c r="AM115" s="1108">
        <f t="shared" si="299"/>
        <v>68.75</v>
      </c>
      <c r="AN115" s="990">
        <v>2</v>
      </c>
      <c r="AO115" s="1147">
        <f>'CONCEPTOS Y PARAMETROS'!$C$18*AN115</f>
        <v>25</v>
      </c>
      <c r="AP115" s="990">
        <v>0</v>
      </c>
      <c r="AQ115" s="1147">
        <f>'CONCEPTOS Y PARAMETROS'!$C$21*AP115</f>
        <v>0</v>
      </c>
      <c r="AR115" s="1318">
        <v>0</v>
      </c>
      <c r="AS115" s="1318">
        <v>0</v>
      </c>
      <c r="AT115" s="1318">
        <f t="shared" si="288"/>
        <v>25</v>
      </c>
      <c r="AU115" s="1108">
        <f t="shared" si="280"/>
        <v>312.5</v>
      </c>
      <c r="AV115" s="1133">
        <v>0</v>
      </c>
      <c r="AW115" s="1108">
        <f t="shared" si="285"/>
        <v>0</v>
      </c>
      <c r="AX115" s="1107">
        <f>IF(T115&lt;&gt;"0",(ROUND(IF(A115="EMPLEADO",eval_formula('CONCEPTOS Y PARAMETROS'!$C$8,NOMINA!V115,NOMINA!$AU115,NOMINA!I115+NOMINA!J115),eval_formula('CONCEPTOS Y PARAMETROS'!$D$8,NOMINA!V115,NOMINA!$AU115,NOMINA!I115+NOMINA!J115)),2))*IF(H115&lt;&gt;"",IF(MONTH(H115)=$BR$8,IF(YEAR(H115)&lt;$BT$7,1,0),0)))</f>
        <v>0</v>
      </c>
      <c r="AY115" s="1108">
        <v>180</v>
      </c>
      <c r="AZ115" s="1107">
        <f>IFERROR(VLOOKUP(AY115,'CONCEPTOS Y PARAMETROS'!Y:Z,2,0),0)</f>
        <v>150</v>
      </c>
      <c r="BA115" s="1107">
        <f t="shared" si="300"/>
        <v>2343.75</v>
      </c>
      <c r="BB115" s="1107">
        <f t="shared" si="289"/>
        <v>0</v>
      </c>
      <c r="BC115" s="990">
        <v>0</v>
      </c>
      <c r="BD115" s="1107" t="str">
        <f t="shared" si="281"/>
        <v>0</v>
      </c>
      <c r="BE115" s="990">
        <v>0</v>
      </c>
      <c r="BF115" s="1107">
        <f t="shared" si="286"/>
        <v>0</v>
      </c>
      <c r="BG115" s="1108">
        <v>320</v>
      </c>
      <c r="BH115" s="1108">
        <v>0</v>
      </c>
      <c r="BI115" s="1132">
        <v>0</v>
      </c>
      <c r="BJ115" s="1108">
        <v>12.5</v>
      </c>
      <c r="BK115" s="1108">
        <v>0</v>
      </c>
      <c r="BL115" s="1107">
        <f t="shared" si="157"/>
        <v>14.42</v>
      </c>
      <c r="BM115" s="1107">
        <f t="shared" si="158"/>
        <v>1.8</v>
      </c>
      <c r="BN115" s="1107">
        <f t="shared" si="262"/>
        <v>3.13</v>
      </c>
      <c r="BO115" s="1107">
        <v>0</v>
      </c>
      <c r="BP115" s="1107">
        <v>0</v>
      </c>
      <c r="BQ115" s="1320">
        <f t="shared" si="301"/>
        <v>19.350000000000001</v>
      </c>
      <c r="BR115" s="1107">
        <f t="shared" si="159"/>
        <v>32.450000000000003</v>
      </c>
      <c r="BS115" s="1107">
        <f t="shared" si="160"/>
        <v>7.21</v>
      </c>
      <c r="BT115" s="1107">
        <f t="shared" si="263"/>
        <v>6.26</v>
      </c>
      <c r="BU115" s="1107">
        <v>0</v>
      </c>
      <c r="BV115" s="1108">
        <f t="shared" si="302"/>
        <v>45.92</v>
      </c>
      <c r="BW115" s="1112">
        <f t="shared" si="303"/>
        <v>65.27000000000001</v>
      </c>
      <c r="BX115" s="1112">
        <f t="shared" si="244"/>
        <v>585.94000000000005</v>
      </c>
      <c r="BY115" s="1108">
        <v>0</v>
      </c>
      <c r="BZ115" s="1108">
        <f t="shared" si="282"/>
        <v>585.94000000000005</v>
      </c>
      <c r="CA115" s="1321">
        <f>'CONCEPTOS Y PARAMETROS'!$A$102</f>
        <v>6255</v>
      </c>
      <c r="CB115" s="1112">
        <f t="shared" si="264"/>
        <v>149.4</v>
      </c>
      <c r="CC115" s="1113">
        <f t="shared" si="265"/>
        <v>501.25</v>
      </c>
      <c r="CD115" s="512"/>
      <c r="CE115" s="512"/>
      <c r="CF115" s="470">
        <f t="shared" si="266"/>
        <v>783.75</v>
      </c>
      <c r="CG115" s="509">
        <f t="shared" si="283"/>
        <v>149.4</v>
      </c>
      <c r="CH115" s="1603">
        <f t="shared" si="267"/>
        <v>37.5</v>
      </c>
      <c r="CI115" s="1491">
        <f t="shared" si="284"/>
        <v>320</v>
      </c>
      <c r="CJ115" s="1502">
        <v>1</v>
      </c>
      <c r="CK115" s="509">
        <f t="shared" si="268"/>
        <v>463.75</v>
      </c>
      <c r="CL115" s="1689">
        <f t="shared" si="269"/>
        <v>463.75</v>
      </c>
      <c r="CM115" s="1689">
        <f t="shared" si="270"/>
        <v>0</v>
      </c>
      <c r="CN115" s="510">
        <f t="shared" si="271"/>
        <v>0</v>
      </c>
      <c r="CO115" s="511">
        <v>0</v>
      </c>
      <c r="CP115" s="510">
        <f t="shared" si="272"/>
        <v>0</v>
      </c>
      <c r="CQ115" s="510">
        <f t="shared" si="273"/>
        <v>0</v>
      </c>
      <c r="CR115" s="510">
        <f t="shared" si="274"/>
        <v>927.5</v>
      </c>
      <c r="CS115" s="510">
        <f t="shared" si="275"/>
        <v>65.27000000000001</v>
      </c>
      <c r="CT115" s="510">
        <f t="shared" si="276"/>
        <v>6255</v>
      </c>
      <c r="CU115" s="512"/>
      <c r="CV115" s="512"/>
      <c r="CW115" s="512"/>
      <c r="CX115" s="512"/>
      <c r="CY115" s="1149" t="s">
        <v>7047</v>
      </c>
      <c r="CZ115" s="1149" t="s">
        <v>6841</v>
      </c>
      <c r="DA115" s="1152"/>
      <c r="DB115" s="1642" t="s">
        <v>6340</v>
      </c>
      <c r="DC115" s="1642"/>
      <c r="DD115" s="1642" t="s">
        <v>6135</v>
      </c>
      <c r="DE115" s="1642" t="s">
        <v>6192</v>
      </c>
      <c r="DF115" s="1642" t="s">
        <v>6486</v>
      </c>
      <c r="DG115" s="1642"/>
      <c r="DH115" s="512"/>
      <c r="DI115" s="512"/>
      <c r="DJ115" s="512"/>
      <c r="DK115" s="512"/>
      <c r="DL115" s="512"/>
      <c r="DN115" s="476" t="str">
        <f>VLOOKUP(X115,Hoja1!$A$4:$B$10,2,0)</f>
        <v>BACHILLER</v>
      </c>
      <c r="DO115" s="476" t="str">
        <f>VLOOKUP(S115,Hoja1!$D$4:$F$77,3,0)</f>
        <v>BII - II</v>
      </c>
      <c r="DP115" s="1594" t="str">
        <f t="shared" si="277"/>
        <v>0</v>
      </c>
      <c r="DQ115" s="1484">
        <f>IF(T115&lt;&gt;"0",(ROUND(IF(A115="EMPLEADO",eval_formula('CONCEPTOS Y PARAMETROS'!$C$8,NOMINA!V115,AU115+BF115,NOMINA!I115+NOMINA!J115),eval_formula('CONCEPTOS Y PARAMETROS'!$D$8,NOMINA!V115,AU115+BF115,NOMINA!I115+NOMINA!J115)),2))*IF(H115&lt;&gt;"",IF(MONTH(H115)=$BR$8,IF(YEAR(H115)&lt;$BT$7,1,0),0)))</f>
        <v>0</v>
      </c>
      <c r="DR115" s="1799" t="str">
        <f t="shared" si="278"/>
        <v>F</v>
      </c>
      <c r="DS115" s="1799"/>
    </row>
    <row r="116" spans="1:123" s="476" customFormat="1" ht="21.95" customHeight="1" x14ac:dyDescent="0.25">
      <c r="A116" s="508" t="s">
        <v>2846</v>
      </c>
      <c r="B116" s="1314">
        <f t="shared" ca="1" si="133"/>
        <v>73</v>
      </c>
      <c r="C116" s="1148">
        <v>12045934</v>
      </c>
      <c r="D116" s="1149" t="s">
        <v>4756</v>
      </c>
      <c r="E116" s="1135" t="s">
        <v>4622</v>
      </c>
      <c r="F116" s="1150">
        <v>27474</v>
      </c>
      <c r="G116" s="1135" t="s">
        <v>4621</v>
      </c>
      <c r="H116" s="1150">
        <v>36342</v>
      </c>
      <c r="I116" s="1140">
        <f t="shared" si="261"/>
        <v>26</v>
      </c>
      <c r="J116" s="1132">
        <v>1</v>
      </c>
      <c r="K116" s="1140">
        <f t="shared" si="279"/>
        <v>27</v>
      </c>
      <c r="L116" s="1145" t="s">
        <v>5537</v>
      </c>
      <c r="M116" s="1132"/>
      <c r="N116" s="1132"/>
      <c r="O116" s="1002" t="s">
        <v>5240</v>
      </c>
      <c r="P116" s="1132" t="s">
        <v>5328</v>
      </c>
      <c r="Q116" s="1315" t="str">
        <f>IFERROR(VLOOKUP(O116,CARGOS!A:E,2,0),"")</f>
        <v>23471</v>
      </c>
      <c r="R116" s="1327" t="s">
        <v>5240</v>
      </c>
      <c r="S116" s="1146" t="s">
        <v>5458</v>
      </c>
      <c r="T116" s="1107">
        <f>IFERROR(VLOOKUP(S116,'TAB EMP'!A:B,2,0),0)</f>
        <v>287</v>
      </c>
      <c r="U116" s="1108">
        <v>0</v>
      </c>
      <c r="V116" s="1107">
        <f t="shared" si="290"/>
        <v>287</v>
      </c>
      <c r="W116" s="1108">
        <f t="shared" si="291"/>
        <v>143.5</v>
      </c>
      <c r="X116" s="1135" t="s">
        <v>2885</v>
      </c>
      <c r="Y116" s="1135"/>
      <c r="Z116" s="1135">
        <v>0</v>
      </c>
      <c r="AA116" s="1107">
        <f>ROUND(IF(H116&lt;&gt;"",VLOOKUP(SUM(I116+J116),'CONCEPTOS Y PARAMETROS'!F:G,2,0)*V116,0),2)</f>
        <v>86.1</v>
      </c>
      <c r="AB116" s="1107">
        <f>IF(S116&lt;&gt;"",IF(M116="",'CONCEPTOS Y PARAMETROS'!$C$4,0),0)</f>
        <v>130</v>
      </c>
      <c r="AC116" s="1107">
        <f>IF(S116&lt;&gt;"",IF(M116="",'CONCEPTOS Y PARAMETROS'!$C$7*Z116,0),0)</f>
        <v>0</v>
      </c>
      <c r="AD116" s="1107">
        <f>IFERROR(ROUND(VLOOKUP($X116,'CONCEPTOS Y PARAMETROS'!H:I,2,0)*($V116+AA116+AB116+AC116),2),0)</f>
        <v>125.78</v>
      </c>
      <c r="AE116" s="1107">
        <f t="shared" si="287"/>
        <v>341.88</v>
      </c>
      <c r="AF116" s="1107">
        <f t="shared" si="292"/>
        <v>43.05</v>
      </c>
      <c r="AG116" s="1107">
        <f t="shared" si="293"/>
        <v>43.05</v>
      </c>
      <c r="AH116" s="1107">
        <f t="shared" si="294"/>
        <v>65</v>
      </c>
      <c r="AI116" s="1107">
        <f t="shared" si="295"/>
        <v>65</v>
      </c>
      <c r="AJ116" s="1107">
        <f t="shared" si="296"/>
        <v>62.89</v>
      </c>
      <c r="AK116" s="1107">
        <f t="shared" si="297"/>
        <v>62.89</v>
      </c>
      <c r="AL116" s="1108">
        <f t="shared" si="298"/>
        <v>170.94</v>
      </c>
      <c r="AM116" s="1108">
        <f t="shared" si="299"/>
        <v>170.94</v>
      </c>
      <c r="AN116" s="990">
        <v>0</v>
      </c>
      <c r="AO116" s="1147">
        <f>'CONCEPTOS Y PARAMETROS'!$C$18*AN116</f>
        <v>0</v>
      </c>
      <c r="AP116" s="990">
        <v>0</v>
      </c>
      <c r="AQ116" s="1147">
        <f>'CONCEPTOS Y PARAMETROS'!$C$21*AP116</f>
        <v>0</v>
      </c>
      <c r="AR116" s="1318">
        <v>0</v>
      </c>
      <c r="AS116" s="1318">
        <v>0</v>
      </c>
      <c r="AT116" s="1318">
        <f t="shared" si="288"/>
        <v>0</v>
      </c>
      <c r="AU116" s="1108">
        <f t="shared" si="280"/>
        <v>628.88</v>
      </c>
      <c r="AV116" s="1133">
        <v>0</v>
      </c>
      <c r="AW116" s="1108">
        <f t="shared" si="285"/>
        <v>0</v>
      </c>
      <c r="AX116" s="1107">
        <f>IF(T116&lt;&gt;"0",(ROUND(IF(A116="EMPLEADO",eval_formula('CONCEPTOS Y PARAMETROS'!$C$8,NOMINA!V116,NOMINA!$AU116,NOMINA!I116+NOMINA!J116),eval_formula('CONCEPTOS Y PARAMETROS'!$D$8,NOMINA!V116,NOMINA!$AU116,NOMINA!I116+NOMINA!J116)),2))*IF(H116&lt;&gt;"",IF(MONTH(H116)=$BR$8,IF(YEAR(H116)&lt;$BT$7,1,0),0)))</f>
        <v>0</v>
      </c>
      <c r="AY116" s="1108">
        <v>180</v>
      </c>
      <c r="AZ116" s="1107">
        <f>IFERROR(VLOOKUP(AY116,'CONCEPTOS Y PARAMETROS'!Y:Z,2,0),0)</f>
        <v>150</v>
      </c>
      <c r="BA116" s="1107">
        <f t="shared" si="300"/>
        <v>4716.6000000000004</v>
      </c>
      <c r="BB116" s="1107">
        <f t="shared" si="289"/>
        <v>0</v>
      </c>
      <c r="BC116" s="990">
        <v>0</v>
      </c>
      <c r="BD116" s="1107" t="str">
        <f t="shared" si="281"/>
        <v>0</v>
      </c>
      <c r="BE116" s="990">
        <v>0</v>
      </c>
      <c r="BF116" s="1107">
        <f t="shared" si="286"/>
        <v>0</v>
      </c>
      <c r="BG116" s="1108">
        <v>320</v>
      </c>
      <c r="BH116" s="1108">
        <v>0</v>
      </c>
      <c r="BI116" s="1132">
        <v>0</v>
      </c>
      <c r="BJ116" s="1108">
        <v>12.5</v>
      </c>
      <c r="BK116" s="1108">
        <v>0</v>
      </c>
      <c r="BL116" s="1107">
        <f t="shared" si="157"/>
        <v>29.03</v>
      </c>
      <c r="BM116" s="1107">
        <f t="shared" si="158"/>
        <v>3.63</v>
      </c>
      <c r="BN116" s="1107">
        <f t="shared" si="262"/>
        <v>6.29</v>
      </c>
      <c r="BO116" s="1107">
        <v>0</v>
      </c>
      <c r="BP116" s="1107">
        <v>0</v>
      </c>
      <c r="BQ116" s="1320">
        <f t="shared" si="301"/>
        <v>38.950000000000003</v>
      </c>
      <c r="BR116" s="1107">
        <f t="shared" si="159"/>
        <v>65.31</v>
      </c>
      <c r="BS116" s="1107">
        <f t="shared" si="160"/>
        <v>14.51</v>
      </c>
      <c r="BT116" s="1107">
        <f t="shared" si="263"/>
        <v>12.58</v>
      </c>
      <c r="BU116" s="1107">
        <v>0</v>
      </c>
      <c r="BV116" s="1108">
        <f t="shared" si="302"/>
        <v>92.4</v>
      </c>
      <c r="BW116" s="1112">
        <f t="shared" si="303"/>
        <v>131.35000000000002</v>
      </c>
      <c r="BX116" s="1112">
        <f t="shared" si="244"/>
        <v>1179.1500000000001</v>
      </c>
      <c r="BY116" s="1108">
        <v>0</v>
      </c>
      <c r="BZ116" s="1108">
        <f t="shared" si="282"/>
        <v>1179.1500000000001</v>
      </c>
      <c r="CA116" s="1321">
        <f>'CONCEPTOS Y PARAMETROS'!$A$102</f>
        <v>6255</v>
      </c>
      <c r="CB116" s="1112">
        <f t="shared" si="264"/>
        <v>275.49</v>
      </c>
      <c r="CC116" s="1113">
        <f t="shared" si="265"/>
        <v>646.94000000000005</v>
      </c>
      <c r="CD116" s="512"/>
      <c r="CE116" s="512"/>
      <c r="CF116" s="470">
        <f t="shared" si="266"/>
        <v>954.44</v>
      </c>
      <c r="CG116" s="509">
        <f t="shared" si="283"/>
        <v>275.49</v>
      </c>
      <c r="CH116" s="1603">
        <f t="shared" si="267"/>
        <v>12.5</v>
      </c>
      <c r="CI116" s="1491">
        <f t="shared" si="284"/>
        <v>320</v>
      </c>
      <c r="CJ116" s="1502">
        <v>2</v>
      </c>
      <c r="CK116" s="509">
        <f t="shared" si="268"/>
        <v>634.44000000000005</v>
      </c>
      <c r="CL116" s="1689">
        <f t="shared" si="269"/>
        <v>304.52999999999997</v>
      </c>
      <c r="CM116" s="1689">
        <f t="shared" si="270"/>
        <v>329.91000000000008</v>
      </c>
      <c r="CN116" s="510">
        <f t="shared" si="271"/>
        <v>0</v>
      </c>
      <c r="CO116" s="511">
        <v>0</v>
      </c>
      <c r="CP116" s="510">
        <f t="shared" si="272"/>
        <v>0</v>
      </c>
      <c r="CQ116" s="510">
        <f t="shared" si="273"/>
        <v>0</v>
      </c>
      <c r="CR116" s="510">
        <f t="shared" si="274"/>
        <v>1268.8800000000001</v>
      </c>
      <c r="CS116" s="510">
        <f t="shared" si="275"/>
        <v>131.35000000000002</v>
      </c>
      <c r="CT116" s="510">
        <f t="shared" si="276"/>
        <v>6255</v>
      </c>
      <c r="CU116" s="512"/>
      <c r="CV116" s="512"/>
      <c r="CW116" s="512"/>
      <c r="CX116" s="512"/>
      <c r="CY116" s="1149" t="s">
        <v>6976</v>
      </c>
      <c r="CZ116" s="1149" t="s">
        <v>7111</v>
      </c>
      <c r="DA116" s="1152"/>
      <c r="DB116" s="1642" t="s">
        <v>6406</v>
      </c>
      <c r="DC116" s="1642"/>
      <c r="DD116" s="1642" t="s">
        <v>6135</v>
      </c>
      <c r="DE116" s="1642" t="s">
        <v>6162</v>
      </c>
      <c r="DF116" s="1642" t="s">
        <v>6488</v>
      </c>
      <c r="DG116" s="1642" t="s">
        <v>7418</v>
      </c>
      <c r="DH116" s="512"/>
      <c r="DI116" s="512"/>
      <c r="DJ116" s="512"/>
      <c r="DK116" s="512"/>
      <c r="DL116" s="512"/>
      <c r="DN116" s="476" t="str">
        <f>VLOOKUP(X116,Hoja1!$A$4:$B$10,2,0)</f>
        <v>PROFESIONAL</v>
      </c>
      <c r="DO116" s="476" t="str">
        <f>VLOOKUP(S116,Hoja1!$D$4:$F$77,3,0)</f>
        <v>PII - VII</v>
      </c>
      <c r="DP116" s="1594" t="str">
        <f t="shared" si="277"/>
        <v>0</v>
      </c>
      <c r="DQ116" s="1484">
        <f>IF(T116&lt;&gt;"0",(ROUND(IF(A116="EMPLEADO",eval_formula('CONCEPTOS Y PARAMETROS'!$C$8,NOMINA!V116,AU116+BF116,NOMINA!I116+NOMINA!J116),eval_formula('CONCEPTOS Y PARAMETROS'!$D$8,NOMINA!V116,AU116+BF116,NOMINA!I116+NOMINA!J116)),2))*IF(H116&lt;&gt;"",IF(MONTH(H116)=$BR$8,IF(YEAR(H116)&lt;$BT$7,1,0),0)))</f>
        <v>0</v>
      </c>
      <c r="DR116" s="1799" t="str">
        <f t="shared" si="278"/>
        <v>M</v>
      </c>
      <c r="DS116" s="1799"/>
    </row>
    <row r="117" spans="1:123" s="476" customFormat="1" ht="21.95" customHeight="1" x14ac:dyDescent="0.25">
      <c r="A117" s="508" t="s">
        <v>2846</v>
      </c>
      <c r="B117" s="1314">
        <f t="shared" ca="1" si="133"/>
        <v>74</v>
      </c>
      <c r="C117" s="1148">
        <v>12457981</v>
      </c>
      <c r="D117" s="1149" t="s">
        <v>4757</v>
      </c>
      <c r="E117" s="1135" t="s">
        <v>4622</v>
      </c>
      <c r="F117" s="1150">
        <v>27026</v>
      </c>
      <c r="G117" s="1135" t="s">
        <v>4621</v>
      </c>
      <c r="H117" s="1150">
        <v>44348</v>
      </c>
      <c r="I117" s="1140">
        <f t="shared" si="261"/>
        <v>4</v>
      </c>
      <c r="J117" s="1132">
        <v>4</v>
      </c>
      <c r="K117" s="1140">
        <f t="shared" si="279"/>
        <v>8</v>
      </c>
      <c r="L117" s="1145" t="s">
        <v>7257</v>
      </c>
      <c r="M117" s="1132"/>
      <c r="N117" s="1132"/>
      <c r="O117" s="1002" t="s">
        <v>7265</v>
      </c>
      <c r="P117" s="1132" t="s">
        <v>5329</v>
      </c>
      <c r="Q117" s="1315" t="str">
        <f>IFERROR(VLOOKUP(O117,CARGOS!A:E,2,0),"")</f>
        <v>75312</v>
      </c>
      <c r="R117" s="1327" t="s">
        <v>7265</v>
      </c>
      <c r="S117" s="1146" t="s">
        <v>5475</v>
      </c>
      <c r="T117" s="1107">
        <f>IFERROR(VLOOKUP(S117,'TAB EMP'!A:B,2,0),0)</f>
        <v>279</v>
      </c>
      <c r="U117" s="1108">
        <v>0</v>
      </c>
      <c r="V117" s="1107">
        <f t="shared" si="290"/>
        <v>279</v>
      </c>
      <c r="W117" s="1108">
        <f t="shared" si="291"/>
        <v>139.5</v>
      </c>
      <c r="X117" s="1135" t="s">
        <v>2884</v>
      </c>
      <c r="Y117" s="1135"/>
      <c r="Z117" s="1135">
        <v>1</v>
      </c>
      <c r="AA117" s="1107">
        <f>ROUND(IF(H117&lt;&gt;"",VLOOKUP(SUM(I117+J117),'CONCEPTOS Y PARAMETROS'!F:G,2,0)*V117,0),2)</f>
        <v>23.99</v>
      </c>
      <c r="AB117" s="1107">
        <f>IF(S117&lt;&gt;"",IF(M117="",'CONCEPTOS Y PARAMETROS'!$C$4,0),0)</f>
        <v>130</v>
      </c>
      <c r="AC117" s="1107">
        <f>IF(S117&lt;&gt;"",IF(M117="",'CONCEPTOS Y PARAMETROS'!$C$7*Z117,0),0)</f>
        <v>12.5</v>
      </c>
      <c r="AD117" s="1107">
        <f>IFERROR(ROUND(VLOOKUP($X117,'CONCEPTOS Y PARAMETROS'!H:I,2,0)*($V117+AA117+AB117+AC117),2),0)</f>
        <v>0</v>
      </c>
      <c r="AE117" s="1107">
        <f t="shared" si="287"/>
        <v>166.49</v>
      </c>
      <c r="AF117" s="1107">
        <f t="shared" si="292"/>
        <v>12</v>
      </c>
      <c r="AG117" s="1107">
        <f t="shared" si="293"/>
        <v>11.99</v>
      </c>
      <c r="AH117" s="1107">
        <f t="shared" si="294"/>
        <v>65</v>
      </c>
      <c r="AI117" s="1107">
        <f t="shared" si="295"/>
        <v>65</v>
      </c>
      <c r="AJ117" s="1107">
        <f t="shared" si="296"/>
        <v>0</v>
      </c>
      <c r="AK117" s="1107">
        <f t="shared" si="297"/>
        <v>0</v>
      </c>
      <c r="AL117" s="1108">
        <f t="shared" si="298"/>
        <v>89.5</v>
      </c>
      <c r="AM117" s="1108">
        <f t="shared" si="299"/>
        <v>76.989999999999995</v>
      </c>
      <c r="AN117" s="990">
        <v>0</v>
      </c>
      <c r="AO117" s="1147">
        <f>'CONCEPTOS Y PARAMETROS'!$C$18*AN117</f>
        <v>0</v>
      </c>
      <c r="AP117" s="990">
        <v>0</v>
      </c>
      <c r="AQ117" s="1147">
        <f>'CONCEPTOS Y PARAMETROS'!$C$21*AP117</f>
        <v>0</v>
      </c>
      <c r="AR117" s="1318">
        <v>0</v>
      </c>
      <c r="AS117" s="1318">
        <v>0</v>
      </c>
      <c r="AT117" s="1318">
        <f t="shared" si="288"/>
        <v>0</v>
      </c>
      <c r="AU117" s="1108">
        <f t="shared" si="280"/>
        <v>445.49</v>
      </c>
      <c r="AV117" s="1133">
        <v>0</v>
      </c>
      <c r="AW117" s="1108">
        <f t="shared" si="285"/>
        <v>0</v>
      </c>
      <c r="AX117" s="1107">
        <f>IF(T117&lt;&gt;"0",(ROUND(IF(A117="EMPLEADO",eval_formula('CONCEPTOS Y PARAMETROS'!$C$8,NOMINA!V117,NOMINA!$AU117,NOMINA!I117+NOMINA!J117),eval_formula('CONCEPTOS Y PARAMETROS'!$D$8,NOMINA!V117,NOMINA!$AU117,NOMINA!I117+NOMINA!J117)),2))*IF(H117&lt;&gt;"",IF(MONTH(H117)=$BR$8,IF(YEAR(H117)&lt;$BT$7,1,0),0)))</f>
        <v>0</v>
      </c>
      <c r="AY117" s="1108">
        <v>180</v>
      </c>
      <c r="AZ117" s="1107">
        <f>IFERROR(VLOOKUP(AY117,'CONCEPTOS Y PARAMETROS'!Y:Z,2,0),0)</f>
        <v>150</v>
      </c>
      <c r="BA117" s="1107">
        <f t="shared" si="300"/>
        <v>3341.18</v>
      </c>
      <c r="BB117" s="1107">
        <f t="shared" si="289"/>
        <v>0</v>
      </c>
      <c r="BC117" s="990">
        <v>0</v>
      </c>
      <c r="BD117" s="1107" t="str">
        <f t="shared" si="281"/>
        <v>0</v>
      </c>
      <c r="BE117" s="990">
        <v>0</v>
      </c>
      <c r="BF117" s="1107">
        <f t="shared" si="286"/>
        <v>0</v>
      </c>
      <c r="BG117" s="1108">
        <v>320</v>
      </c>
      <c r="BH117" s="1108">
        <v>0</v>
      </c>
      <c r="BI117" s="1132">
        <v>0</v>
      </c>
      <c r="BJ117" s="1108">
        <v>12.5</v>
      </c>
      <c r="BK117" s="1108">
        <v>0</v>
      </c>
      <c r="BL117" s="1107">
        <f t="shared" si="157"/>
        <v>20.56</v>
      </c>
      <c r="BM117" s="1107">
        <f t="shared" si="158"/>
        <v>2.57</v>
      </c>
      <c r="BN117" s="1107">
        <f t="shared" si="262"/>
        <v>4.45</v>
      </c>
      <c r="BO117" s="1107">
        <v>0</v>
      </c>
      <c r="BP117" s="1107">
        <v>0</v>
      </c>
      <c r="BQ117" s="1320">
        <f t="shared" si="301"/>
        <v>27.58</v>
      </c>
      <c r="BR117" s="1107">
        <f t="shared" si="159"/>
        <v>46.26</v>
      </c>
      <c r="BS117" s="1107">
        <f t="shared" si="160"/>
        <v>10.28</v>
      </c>
      <c r="BT117" s="1107">
        <f t="shared" si="263"/>
        <v>8.9</v>
      </c>
      <c r="BU117" s="1107">
        <v>0</v>
      </c>
      <c r="BV117" s="1108">
        <f t="shared" si="302"/>
        <v>65.44</v>
      </c>
      <c r="BW117" s="1112">
        <f t="shared" si="303"/>
        <v>93.02</v>
      </c>
      <c r="BX117" s="1112">
        <f t="shared" si="244"/>
        <v>835.3</v>
      </c>
      <c r="BY117" s="1108">
        <v>0</v>
      </c>
      <c r="BZ117" s="1108">
        <f t="shared" si="282"/>
        <v>835.3</v>
      </c>
      <c r="CA117" s="1321">
        <f>'CONCEPTOS Y PARAMETROS'!$A$102</f>
        <v>6255</v>
      </c>
      <c r="CB117" s="1112">
        <f t="shared" si="264"/>
        <v>201.42000000000002</v>
      </c>
      <c r="CC117" s="1113">
        <f t="shared" si="265"/>
        <v>548.99</v>
      </c>
      <c r="CD117" s="512"/>
      <c r="CE117" s="512"/>
      <c r="CF117" s="470">
        <f t="shared" si="266"/>
        <v>856.49</v>
      </c>
      <c r="CG117" s="509">
        <f t="shared" si="283"/>
        <v>201.42000000000002</v>
      </c>
      <c r="CH117" s="1603">
        <f t="shared" si="267"/>
        <v>12.5</v>
      </c>
      <c r="CI117" s="1491">
        <f t="shared" si="284"/>
        <v>320</v>
      </c>
      <c r="CJ117" s="1502">
        <v>1</v>
      </c>
      <c r="CK117" s="509">
        <f t="shared" si="268"/>
        <v>536.49</v>
      </c>
      <c r="CL117" s="1689">
        <f t="shared" si="269"/>
        <v>536.49</v>
      </c>
      <c r="CM117" s="1689">
        <f t="shared" si="270"/>
        <v>0</v>
      </c>
      <c r="CN117" s="510">
        <f t="shared" si="271"/>
        <v>0</v>
      </c>
      <c r="CO117" s="511">
        <v>0</v>
      </c>
      <c r="CP117" s="510">
        <f t="shared" si="272"/>
        <v>0</v>
      </c>
      <c r="CQ117" s="510">
        <f t="shared" si="273"/>
        <v>0</v>
      </c>
      <c r="CR117" s="510">
        <f t="shared" si="274"/>
        <v>1072.98</v>
      </c>
      <c r="CS117" s="510">
        <f t="shared" si="275"/>
        <v>93.02</v>
      </c>
      <c r="CT117" s="510">
        <f t="shared" si="276"/>
        <v>6255</v>
      </c>
      <c r="CU117" s="512"/>
      <c r="CV117" s="512"/>
      <c r="CW117" s="512"/>
      <c r="CX117" s="512"/>
      <c r="CY117" s="1149" t="s">
        <v>7061</v>
      </c>
      <c r="CZ117" s="1149" t="s">
        <v>6996</v>
      </c>
      <c r="DA117" s="1152"/>
      <c r="DB117" s="1152" t="s">
        <v>6572</v>
      </c>
      <c r="DC117" s="1152" t="s">
        <v>7546</v>
      </c>
      <c r="DD117" s="1152" t="s">
        <v>6150</v>
      </c>
      <c r="DE117" s="1152" t="s">
        <v>6244</v>
      </c>
      <c r="DF117" s="1152" t="s">
        <v>6532</v>
      </c>
      <c r="DG117" s="1152"/>
      <c r="DH117" s="512"/>
      <c r="DI117" s="512"/>
      <c r="DJ117" s="512"/>
      <c r="DK117" s="512"/>
      <c r="DL117" s="512"/>
      <c r="DN117" s="476" t="str">
        <f>VLOOKUP(X117,Hoja1!$A$4:$B$10,2,0)</f>
        <v>BACHILLER</v>
      </c>
      <c r="DO117" s="476" t="str">
        <f>VLOOKUP(S117,Hoja1!$D$4:$F$77,3,0)</f>
        <v>PII - III</v>
      </c>
      <c r="DP117" s="1594" t="str">
        <f t="shared" si="277"/>
        <v>0</v>
      </c>
      <c r="DQ117" s="1484">
        <f>IF(T117&lt;&gt;"0",(ROUND(IF(A117="EMPLEADO",eval_formula('CONCEPTOS Y PARAMETROS'!$C$8,NOMINA!V117,AU117+BF117,NOMINA!I117+NOMINA!J117),eval_formula('CONCEPTOS Y PARAMETROS'!$D$8,NOMINA!V117,AU117+BF117,NOMINA!I117+NOMINA!J117)),2))*IF(H117&lt;&gt;"",IF(MONTH(H117)=$BR$8,IF(YEAR(H117)&lt;$BT$7,1,0),0)))</f>
        <v>0</v>
      </c>
      <c r="DR117" s="1799" t="str">
        <f t="shared" si="278"/>
        <v>M</v>
      </c>
      <c r="DS117" s="1799"/>
    </row>
    <row r="118" spans="1:123" s="471" customFormat="1" ht="21.95" customHeight="1" x14ac:dyDescent="0.25">
      <c r="A118" s="508" t="s">
        <v>2846</v>
      </c>
      <c r="B118" s="1314">
        <f t="shared" ca="1" si="133"/>
        <v>75</v>
      </c>
      <c r="C118" s="1148">
        <v>12458811</v>
      </c>
      <c r="D118" s="1149" t="s">
        <v>7571</v>
      </c>
      <c r="E118" s="1135" t="s">
        <v>4622</v>
      </c>
      <c r="F118" s="1150">
        <v>27502</v>
      </c>
      <c r="G118" s="1135" t="s">
        <v>4620</v>
      </c>
      <c r="H118" s="1150">
        <v>39514</v>
      </c>
      <c r="I118" s="1140">
        <f t="shared" si="261"/>
        <v>17</v>
      </c>
      <c r="J118" s="1132">
        <v>7</v>
      </c>
      <c r="K118" s="1140">
        <f t="shared" si="279"/>
        <v>24</v>
      </c>
      <c r="L118" s="1145" t="s">
        <v>5524</v>
      </c>
      <c r="M118" s="1132"/>
      <c r="N118" s="1132"/>
      <c r="O118" s="1002" t="s">
        <v>5242</v>
      </c>
      <c r="P118" s="1132" t="s">
        <v>5330</v>
      </c>
      <c r="Q118" s="1315" t="str">
        <f>IFERROR(VLOOKUP(O118,CARGOS!A:E,2,0),"")</f>
        <v>13420</v>
      </c>
      <c r="R118" s="1327" t="s">
        <v>5242</v>
      </c>
      <c r="S118" s="1146" t="s">
        <v>5474</v>
      </c>
      <c r="T118" s="1107">
        <f>IFERROR(VLOOKUP(S118,'TAB EMP'!A:B,2,0),0)</f>
        <v>316</v>
      </c>
      <c r="U118" s="1108">
        <v>0</v>
      </c>
      <c r="V118" s="1107">
        <f t="shared" si="290"/>
        <v>316</v>
      </c>
      <c r="W118" s="1108">
        <f t="shared" si="291"/>
        <v>158</v>
      </c>
      <c r="X118" s="1135" t="s">
        <v>2886</v>
      </c>
      <c r="Y118" s="1135"/>
      <c r="Z118" s="1135">
        <v>1</v>
      </c>
      <c r="AA118" s="1107">
        <f>ROUND(IF(H118&lt;&gt;"",VLOOKUP(SUM(I118+J118),'CONCEPTOS Y PARAMETROS'!F:G,2,0)*V118,0),2)</f>
        <v>94.8</v>
      </c>
      <c r="AB118" s="1107">
        <f>IF(S118&lt;&gt;"",IF(M118="",'CONCEPTOS Y PARAMETROS'!$C$4,0),0)</f>
        <v>130</v>
      </c>
      <c r="AC118" s="1107">
        <f>IF(S118&lt;&gt;"",IF(M118="",'CONCEPTOS Y PARAMETROS'!$C$7*Z118,0),0)</f>
        <v>12.5</v>
      </c>
      <c r="AD118" s="1107">
        <f>IFERROR(ROUND(VLOOKUP($X118,'CONCEPTOS Y PARAMETROS'!H:I,2,0)*($V118+AA118+AB118+AC118),2),0)</f>
        <v>165.99</v>
      </c>
      <c r="AE118" s="1107">
        <f t="shared" si="287"/>
        <v>403.29</v>
      </c>
      <c r="AF118" s="1107">
        <f t="shared" si="292"/>
        <v>47.4</v>
      </c>
      <c r="AG118" s="1107">
        <f t="shared" si="293"/>
        <v>47.4</v>
      </c>
      <c r="AH118" s="1107">
        <f t="shared" si="294"/>
        <v>65</v>
      </c>
      <c r="AI118" s="1107">
        <f t="shared" si="295"/>
        <v>65</v>
      </c>
      <c r="AJ118" s="1107">
        <f t="shared" si="296"/>
        <v>83</v>
      </c>
      <c r="AK118" s="1107">
        <f t="shared" si="297"/>
        <v>82.99</v>
      </c>
      <c r="AL118" s="1108">
        <f t="shared" si="298"/>
        <v>207.9</v>
      </c>
      <c r="AM118" s="1108">
        <f t="shared" si="299"/>
        <v>195.39</v>
      </c>
      <c r="AN118" s="1453">
        <v>1</v>
      </c>
      <c r="AO118" s="1147">
        <f>'CONCEPTOS Y PARAMETROS'!$C$18*AN118</f>
        <v>12.5</v>
      </c>
      <c r="AP118" s="990">
        <v>0</v>
      </c>
      <c r="AQ118" s="1147">
        <f>'CONCEPTOS Y PARAMETROS'!$C$21*AP118</f>
        <v>0</v>
      </c>
      <c r="AR118" s="1318">
        <v>0</v>
      </c>
      <c r="AS118" s="1318">
        <v>0</v>
      </c>
      <c r="AT118" s="1318">
        <f t="shared" si="288"/>
        <v>12.5</v>
      </c>
      <c r="AU118" s="1108">
        <f t="shared" si="280"/>
        <v>719.29</v>
      </c>
      <c r="AV118" s="1133">
        <v>0</v>
      </c>
      <c r="AW118" s="1108">
        <f t="shared" si="285"/>
        <v>0</v>
      </c>
      <c r="AX118" s="1107">
        <f>IF(T118&lt;&gt;"0",(ROUND(IF(A118="EMPLEADO",eval_formula('CONCEPTOS Y PARAMETROS'!$C$8,NOMINA!V118,NOMINA!$AU118,NOMINA!I118+NOMINA!J118),eval_formula('CONCEPTOS Y PARAMETROS'!$D$8,NOMINA!V118,NOMINA!$AU118,NOMINA!I118+NOMINA!J118)),2))*IF(H118&lt;&gt;"",IF(MONTH(H118)=$BR$8,IF(YEAR(H118)&lt;$BT$7,1,0),0)))</f>
        <v>0</v>
      </c>
      <c r="AY118" s="1108">
        <v>180</v>
      </c>
      <c r="AZ118" s="1107">
        <f>IFERROR(VLOOKUP(AY118,'CONCEPTOS Y PARAMETROS'!Y:Z,2,0),0)</f>
        <v>150</v>
      </c>
      <c r="BA118" s="1107">
        <f t="shared" si="300"/>
        <v>5394.68</v>
      </c>
      <c r="BB118" s="1107">
        <f t="shared" si="289"/>
        <v>0</v>
      </c>
      <c r="BC118" s="990">
        <v>0</v>
      </c>
      <c r="BD118" s="1107" t="str">
        <f t="shared" si="281"/>
        <v>0</v>
      </c>
      <c r="BE118" s="990">
        <v>0</v>
      </c>
      <c r="BF118" s="1107">
        <f t="shared" si="286"/>
        <v>0</v>
      </c>
      <c r="BG118" s="1108">
        <v>320</v>
      </c>
      <c r="BH118" s="1108">
        <v>0</v>
      </c>
      <c r="BI118" s="1132">
        <v>0</v>
      </c>
      <c r="BJ118" s="1108">
        <v>12.5</v>
      </c>
      <c r="BK118" s="1108">
        <v>0</v>
      </c>
      <c r="BL118" s="1107">
        <f t="shared" si="157"/>
        <v>33.200000000000003</v>
      </c>
      <c r="BM118" s="1107">
        <f t="shared" si="158"/>
        <v>4.1500000000000004</v>
      </c>
      <c r="BN118" s="1107">
        <f t="shared" si="262"/>
        <v>7.19</v>
      </c>
      <c r="BO118" s="1107">
        <v>0</v>
      </c>
      <c r="BP118" s="1107">
        <v>0</v>
      </c>
      <c r="BQ118" s="1320">
        <f t="shared" si="301"/>
        <v>44.54</v>
      </c>
      <c r="BR118" s="1107">
        <f t="shared" si="159"/>
        <v>74.7</v>
      </c>
      <c r="BS118" s="1107">
        <f t="shared" si="160"/>
        <v>16.600000000000001</v>
      </c>
      <c r="BT118" s="1107">
        <f t="shared" si="263"/>
        <v>14.38</v>
      </c>
      <c r="BU118" s="1107">
        <v>0</v>
      </c>
      <c r="BV118" s="1108">
        <f t="shared" si="302"/>
        <v>105.68</v>
      </c>
      <c r="BW118" s="1112">
        <f t="shared" si="303"/>
        <v>150.22</v>
      </c>
      <c r="BX118" s="1112">
        <f t="shared" si="244"/>
        <v>1348.67</v>
      </c>
      <c r="BY118" s="1108">
        <v>0</v>
      </c>
      <c r="BZ118" s="1108">
        <f t="shared" si="282"/>
        <v>1348.67</v>
      </c>
      <c r="CA118" s="1321">
        <f>'CONCEPTOS Y PARAMETROS'!$A$102</f>
        <v>6255</v>
      </c>
      <c r="CB118" s="1112">
        <f t="shared" si="264"/>
        <v>321.35999999999996</v>
      </c>
      <c r="CC118" s="1113">
        <f t="shared" si="265"/>
        <v>698.39</v>
      </c>
      <c r="CD118" s="512"/>
      <c r="CE118" s="512"/>
      <c r="CF118" s="470">
        <f t="shared" si="266"/>
        <v>993.39</v>
      </c>
      <c r="CG118" s="495">
        <f t="shared" si="283"/>
        <v>321.35999999999996</v>
      </c>
      <c r="CH118" s="498">
        <f t="shared" si="267"/>
        <v>25</v>
      </c>
      <c r="CI118" s="1490">
        <f t="shared" si="284"/>
        <v>320</v>
      </c>
      <c r="CJ118" s="1500">
        <v>2</v>
      </c>
      <c r="CK118" s="495">
        <f t="shared" si="268"/>
        <v>673.39</v>
      </c>
      <c r="CL118" s="1689">
        <f t="shared" si="269"/>
        <v>323.23</v>
      </c>
      <c r="CM118" s="1689">
        <f t="shared" si="270"/>
        <v>350.15999999999997</v>
      </c>
      <c r="CN118" s="496">
        <f t="shared" si="271"/>
        <v>0</v>
      </c>
      <c r="CO118" s="497">
        <v>0</v>
      </c>
      <c r="CP118" s="496">
        <f t="shared" si="272"/>
        <v>0</v>
      </c>
      <c r="CQ118" s="496">
        <f t="shared" si="273"/>
        <v>0</v>
      </c>
      <c r="CR118" s="496">
        <f t="shared" si="274"/>
        <v>1346.78</v>
      </c>
      <c r="CS118" s="496">
        <f t="shared" si="275"/>
        <v>150.22</v>
      </c>
      <c r="CT118" s="496">
        <f t="shared" si="276"/>
        <v>6255</v>
      </c>
      <c r="CU118" s="470"/>
      <c r="CV118" s="470"/>
      <c r="CW118" s="470"/>
      <c r="CX118" s="470"/>
      <c r="CY118" s="1149" t="s">
        <v>7018</v>
      </c>
      <c r="CZ118" s="1149" t="s">
        <v>7112</v>
      </c>
      <c r="DA118" s="480"/>
      <c r="DB118" s="1642" t="s">
        <v>7410</v>
      </c>
      <c r="DC118" s="1642"/>
      <c r="DD118" s="1642" t="s">
        <v>6135</v>
      </c>
      <c r="DE118" s="1642" t="s">
        <v>6192</v>
      </c>
      <c r="DF118" s="1642" t="s">
        <v>6486</v>
      </c>
      <c r="DG118" s="1642"/>
      <c r="DH118" s="470"/>
      <c r="DI118" s="915"/>
      <c r="DJ118" s="470"/>
      <c r="DK118" s="470"/>
      <c r="DL118" s="470"/>
      <c r="DN118" s="471" t="str">
        <f>VLOOKUP(X118,Hoja1!$A$4:$B$10,2,0)</f>
        <v>ESPECIALISTA</v>
      </c>
      <c r="DO118" s="471" t="str">
        <f>VLOOKUP(S118,Hoja1!$D$4:$F$77,3,0)</f>
        <v>PIII - VII</v>
      </c>
      <c r="DP118" s="1156" t="str">
        <f t="shared" si="277"/>
        <v>0</v>
      </c>
      <c r="DQ118" s="1484">
        <f>IF(T118&lt;&gt;"0",(ROUND(IF(A118="EMPLEADO",eval_formula('CONCEPTOS Y PARAMETROS'!$C$8,NOMINA!V118,AU118+BF118,NOMINA!I118+NOMINA!J118),eval_formula('CONCEPTOS Y PARAMETROS'!$D$8,NOMINA!V118,AU118+BF118,NOMINA!I118+NOMINA!J118)),2))*IF(H118&lt;&gt;"",IF(MONTH(H118)=$BR$8,IF(YEAR(H118)&lt;$BT$7,1,0),0)))</f>
        <v>0</v>
      </c>
      <c r="DR118" s="1801" t="str">
        <f t="shared" si="278"/>
        <v>F</v>
      </c>
      <c r="DS118" s="1801"/>
    </row>
    <row r="119" spans="1:123" s="911" customFormat="1" ht="21.95" customHeight="1" x14ac:dyDescent="0.25">
      <c r="A119" s="910" t="s">
        <v>2846</v>
      </c>
      <c r="B119" s="1328">
        <f t="shared" ca="1" si="133"/>
        <v>76</v>
      </c>
      <c r="C119" s="1329">
        <v>12458942</v>
      </c>
      <c r="D119" s="1330" t="s">
        <v>5207</v>
      </c>
      <c r="E119" s="1331" t="s">
        <v>4622</v>
      </c>
      <c r="F119" s="1332">
        <v>27853</v>
      </c>
      <c r="G119" s="1331" t="s">
        <v>4620</v>
      </c>
      <c r="H119" s="1332">
        <v>44424</v>
      </c>
      <c r="I119" s="1333">
        <f t="shared" si="261"/>
        <v>4</v>
      </c>
      <c r="J119" s="1334">
        <v>19</v>
      </c>
      <c r="K119" s="1333">
        <f t="shared" si="279"/>
        <v>23</v>
      </c>
      <c r="L119" s="1335" t="s">
        <v>5516</v>
      </c>
      <c r="M119" s="1334"/>
      <c r="N119" s="1334"/>
      <c r="O119" s="1348" t="s">
        <v>5482</v>
      </c>
      <c r="P119" s="1334" t="s">
        <v>5210</v>
      </c>
      <c r="Q119" s="1337" t="str">
        <f>IFERROR(VLOOKUP(O119,CARGOS!A:E,2,0),"")</f>
        <v>12130</v>
      </c>
      <c r="R119" s="1336" t="s">
        <v>5482</v>
      </c>
      <c r="S119" s="1338" t="s">
        <v>5474</v>
      </c>
      <c r="T119" s="1339">
        <v>0</v>
      </c>
      <c r="U119" s="1307">
        <v>0</v>
      </c>
      <c r="V119" s="1339">
        <f t="shared" si="290"/>
        <v>0</v>
      </c>
      <c r="W119" s="1307">
        <f t="shared" si="291"/>
        <v>0</v>
      </c>
      <c r="X119" s="1331" t="s">
        <v>2886</v>
      </c>
      <c r="Y119" s="1331"/>
      <c r="Z119" s="1331">
        <v>0</v>
      </c>
      <c r="AA119" s="1339">
        <f>ROUND(IF(H119&lt;&gt;"",VLOOKUP(SUM(I119+J119),'CONCEPTOS Y PARAMETROS'!F:G,2,0)*V119,0),2)</f>
        <v>0</v>
      </c>
      <c r="AB119" s="1349">
        <v>0</v>
      </c>
      <c r="AC119" s="1349">
        <v>0</v>
      </c>
      <c r="AD119" s="1339">
        <f>IFERROR(ROUND(VLOOKUP($X119,'CONCEPTOS Y PARAMETROS'!H:I,2,0)*($V119+AA119+AB119+AC119),2),0)</f>
        <v>0</v>
      </c>
      <c r="AE119" s="1339">
        <f>SUM(AA119:AD119)</f>
        <v>0</v>
      </c>
      <c r="AF119" s="1339">
        <f t="shared" si="292"/>
        <v>0</v>
      </c>
      <c r="AG119" s="1339">
        <f t="shared" si="293"/>
        <v>0</v>
      </c>
      <c r="AH119" s="1339">
        <f t="shared" si="294"/>
        <v>0</v>
      </c>
      <c r="AI119" s="1339">
        <f t="shared" si="295"/>
        <v>0</v>
      </c>
      <c r="AJ119" s="1339">
        <f t="shared" si="296"/>
        <v>0</v>
      </c>
      <c r="AK119" s="1339">
        <f t="shared" si="297"/>
        <v>0</v>
      </c>
      <c r="AL119" s="1307">
        <f t="shared" si="298"/>
        <v>0</v>
      </c>
      <c r="AM119" s="1307">
        <f t="shared" si="299"/>
        <v>0</v>
      </c>
      <c r="AN119" s="1340">
        <v>0</v>
      </c>
      <c r="AO119" s="1341">
        <v>0</v>
      </c>
      <c r="AP119" s="1340">
        <v>0</v>
      </c>
      <c r="AQ119" s="1341">
        <f>'CONCEPTOS Y PARAMETROS'!$C$21*AP119</f>
        <v>0</v>
      </c>
      <c r="AR119" s="1342">
        <v>0</v>
      </c>
      <c r="AS119" s="1342">
        <v>0</v>
      </c>
      <c r="AT119" s="1342">
        <f>+AO119+AQ119+AR119+AS119</f>
        <v>0</v>
      </c>
      <c r="AU119" s="1307">
        <f t="shared" si="280"/>
        <v>0</v>
      </c>
      <c r="AV119" s="1343">
        <v>0</v>
      </c>
      <c r="AW119" s="1307">
        <f>ROUND(IF(O119="VIGILANTE",(V119+AE119)*30%,0),2)</f>
        <v>0</v>
      </c>
      <c r="AX119" s="1339">
        <f>IF(T119&lt;&gt;"0",(ROUND(IF(A119="EMPLEADO",eval_formula('CONCEPTOS Y PARAMETROS'!$C$8,NOMINA!V119,NOMINA!$AU119,NOMINA!I119+NOMINA!J119),eval_formula('CONCEPTOS Y PARAMETROS'!$D$8,NOMINA!V119,NOMINA!$AU119,NOMINA!I119+NOMINA!J119)),2))*IF(H119&lt;&gt;"",IF(MONTH(H119)=$BR$8,IF(YEAR(H119)&lt;$BT$7,1,0),0)))</f>
        <v>0</v>
      </c>
      <c r="AY119" s="1307">
        <v>180</v>
      </c>
      <c r="AZ119" s="1339">
        <f>IFERROR(VLOOKUP(AY119,'CONCEPTOS Y PARAMETROS'!Y:Z,2,0),0)</f>
        <v>150</v>
      </c>
      <c r="BA119" s="1339">
        <f t="shared" si="300"/>
        <v>0</v>
      </c>
      <c r="BB119" s="1339">
        <f t="shared" si="289"/>
        <v>0</v>
      </c>
      <c r="BC119" s="1340">
        <v>0</v>
      </c>
      <c r="BD119" s="1339" t="str">
        <f t="shared" si="281"/>
        <v>0</v>
      </c>
      <c r="BE119" s="1340">
        <v>0</v>
      </c>
      <c r="BF119" s="1339">
        <f>ROUND(IF(BE119&gt;0,(((V119+AA119+AB119+AC119+AD119)/30)*50%+((V119+AA119+AB119+AC119+AD119)/30))*BE119,"0"),2)</f>
        <v>0</v>
      </c>
      <c r="BG119" s="1307">
        <v>0</v>
      </c>
      <c r="BH119" s="1307">
        <v>0</v>
      </c>
      <c r="BI119" s="1334">
        <v>0</v>
      </c>
      <c r="BJ119" s="1307">
        <v>0</v>
      </c>
      <c r="BK119" s="1307">
        <v>0</v>
      </c>
      <c r="BL119" s="1349">
        <f t="shared" si="157"/>
        <v>0</v>
      </c>
      <c r="BM119" s="1349">
        <f t="shared" si="158"/>
        <v>0</v>
      </c>
      <c r="BN119" s="1349">
        <f t="shared" si="262"/>
        <v>0</v>
      </c>
      <c r="BO119" s="1349">
        <v>0</v>
      </c>
      <c r="BP119" s="1349">
        <v>0</v>
      </c>
      <c r="BQ119" s="1344">
        <f t="shared" ref="BQ119" si="320">ROUND(SUM(BL119:BP119),2)</f>
        <v>0</v>
      </c>
      <c r="BR119" s="1349">
        <f t="shared" si="159"/>
        <v>0</v>
      </c>
      <c r="BS119" s="1349">
        <f t="shared" si="160"/>
        <v>0</v>
      </c>
      <c r="BT119" s="1349">
        <f t="shared" si="263"/>
        <v>0</v>
      </c>
      <c r="BU119" s="1339">
        <v>0</v>
      </c>
      <c r="BV119" s="1307">
        <f t="shared" si="302"/>
        <v>0</v>
      </c>
      <c r="BW119" s="1305">
        <f t="shared" si="303"/>
        <v>0</v>
      </c>
      <c r="BX119" s="1305">
        <f t="shared" si="244"/>
        <v>0</v>
      </c>
      <c r="BY119" s="1307">
        <v>0</v>
      </c>
      <c r="BZ119" s="1307">
        <f t="shared" si="282"/>
        <v>0</v>
      </c>
      <c r="CA119" s="1345">
        <v>0</v>
      </c>
      <c r="CB119" s="1305">
        <f t="shared" si="264"/>
        <v>0</v>
      </c>
      <c r="CC119" s="1346">
        <f t="shared" si="265"/>
        <v>0</v>
      </c>
      <c r="CD119" s="512"/>
      <c r="CE119" s="512"/>
      <c r="CF119" s="470">
        <f t="shared" si="266"/>
        <v>0</v>
      </c>
      <c r="CG119" s="912">
        <f t="shared" si="283"/>
        <v>0</v>
      </c>
      <c r="CH119" s="498">
        <f t="shared" si="267"/>
        <v>0</v>
      </c>
      <c r="CI119" s="1492">
        <f t="shared" si="284"/>
        <v>0</v>
      </c>
      <c r="CJ119" s="1504">
        <v>0</v>
      </c>
      <c r="CK119" s="912">
        <f t="shared" si="268"/>
        <v>0</v>
      </c>
      <c r="CL119" s="912">
        <f t="shared" si="269"/>
        <v>0</v>
      </c>
      <c r="CM119" s="912">
        <f t="shared" si="270"/>
        <v>0</v>
      </c>
      <c r="CN119" s="913">
        <f t="shared" si="271"/>
        <v>0</v>
      </c>
      <c r="CO119" s="914">
        <v>0</v>
      </c>
      <c r="CP119" s="913">
        <f t="shared" si="272"/>
        <v>0</v>
      </c>
      <c r="CQ119" s="913">
        <f t="shared" si="273"/>
        <v>0</v>
      </c>
      <c r="CR119" s="496">
        <f t="shared" si="274"/>
        <v>0</v>
      </c>
      <c r="CS119" s="913">
        <f t="shared" si="275"/>
        <v>0</v>
      </c>
      <c r="CT119" s="913">
        <f t="shared" si="276"/>
        <v>0</v>
      </c>
      <c r="CU119" s="470"/>
      <c r="CV119" s="470"/>
      <c r="CW119" s="470"/>
      <c r="CX119" s="470"/>
      <c r="CY119" s="1330" t="s">
        <v>6345</v>
      </c>
      <c r="CZ119" s="1330" t="s">
        <v>7036</v>
      </c>
      <c r="DA119" s="1613"/>
      <c r="DB119" s="1152" t="s">
        <v>6573</v>
      </c>
      <c r="DC119" s="1152"/>
      <c r="DD119" s="1143"/>
      <c r="DE119" s="1143"/>
      <c r="DF119" s="1143"/>
      <c r="DG119" s="1143"/>
      <c r="DH119" s="512"/>
      <c r="DI119" s="915"/>
      <c r="DJ119" s="915"/>
      <c r="DK119" s="915"/>
      <c r="DL119" s="915"/>
      <c r="DN119" s="911" t="str">
        <f>VLOOKUP(X119,Hoja1!$A$4:$B$10,2,0)</f>
        <v>ESPECIALISTA</v>
      </c>
      <c r="DO119" s="911" t="str">
        <f>VLOOKUP(S119,Hoja1!$D$4:$F$77,3,0)</f>
        <v>PIII - VII</v>
      </c>
      <c r="DP119" s="1157" t="str">
        <f t="shared" si="277"/>
        <v>0</v>
      </c>
      <c r="DQ119" s="1484">
        <f>IF(T119&lt;&gt;"0",(ROUND(IF(A119="EMPLEADO",eval_formula('CONCEPTOS Y PARAMETROS'!$C$8,NOMINA!V119,AU119+BF119,NOMINA!I119+NOMINA!J119),eval_formula('CONCEPTOS Y PARAMETROS'!$D$8,NOMINA!V119,AU119+BF119,NOMINA!I119+NOMINA!J119)),2))*IF(H119&lt;&gt;"",IF(MONTH(H119)=$BR$8,IF(YEAR(H119)&lt;$BT$7,1,0),0)))</f>
        <v>0</v>
      </c>
      <c r="DR119" s="1800" t="str">
        <f t="shared" si="278"/>
        <v>F</v>
      </c>
      <c r="DS119" s="1800"/>
    </row>
    <row r="120" spans="1:123" s="476" customFormat="1" ht="21.95" customHeight="1" x14ac:dyDescent="0.2">
      <c r="A120" s="508" t="s">
        <v>2846</v>
      </c>
      <c r="B120" s="1314">
        <f t="shared" ca="1" si="133"/>
        <v>77</v>
      </c>
      <c r="C120" s="1148">
        <v>12541044</v>
      </c>
      <c r="D120" s="1149" t="s">
        <v>6788</v>
      </c>
      <c r="E120" s="1135" t="s">
        <v>4622</v>
      </c>
      <c r="F120" s="1150">
        <v>27482</v>
      </c>
      <c r="G120" s="1135" t="s">
        <v>4620</v>
      </c>
      <c r="H120" s="1150">
        <v>45597</v>
      </c>
      <c r="I120" s="1140">
        <f t="shared" si="261"/>
        <v>0</v>
      </c>
      <c r="J120" s="1132">
        <v>0</v>
      </c>
      <c r="K120" s="1140">
        <f t="shared" si="279"/>
        <v>0</v>
      </c>
      <c r="L120" s="1145" t="s">
        <v>5526</v>
      </c>
      <c r="M120" s="1132"/>
      <c r="N120" s="1132"/>
      <c r="O120" s="1002" t="s">
        <v>5224</v>
      </c>
      <c r="P120" s="1151" t="s">
        <v>6789</v>
      </c>
      <c r="Q120" s="1315" t="str">
        <f>IFERROR(VLOOKUP(O120,CARGOS!A:E,2,0),"")</f>
        <v>79521</v>
      </c>
      <c r="R120" s="1327" t="s">
        <v>5224</v>
      </c>
      <c r="S120" s="1146" t="s">
        <v>5456</v>
      </c>
      <c r="T120" s="1107">
        <f>IFERROR(VLOOKUP(S120,'TAB EMP'!A:B,2,0),0)</f>
        <v>246</v>
      </c>
      <c r="U120" s="1108">
        <v>0</v>
      </c>
      <c r="V120" s="1107">
        <f t="shared" si="290"/>
        <v>246</v>
      </c>
      <c r="W120" s="1108">
        <f t="shared" si="291"/>
        <v>123</v>
      </c>
      <c r="X120" s="1135" t="s">
        <v>2885</v>
      </c>
      <c r="Y120" s="1135"/>
      <c r="Z120" s="1135">
        <v>1</v>
      </c>
      <c r="AA120" s="1107">
        <f>ROUND(IF(H120&lt;&gt;"",VLOOKUP(SUM(I120+J120),'CONCEPTOS Y PARAMETROS'!F:G,2,0)*V120,0),2)</f>
        <v>0</v>
      </c>
      <c r="AB120" s="1107">
        <f>IF(S120&lt;&gt;"",IF(M120="",'CONCEPTOS Y PARAMETROS'!$C$4,0),0)</f>
        <v>130</v>
      </c>
      <c r="AC120" s="1107">
        <f>IF(S120&lt;&gt;"",IF(M120="",'CONCEPTOS Y PARAMETROS'!$C$7*Z120,0),0)</f>
        <v>12.5</v>
      </c>
      <c r="AD120" s="1107">
        <f>IFERROR(ROUND(VLOOKUP($X120,'CONCEPTOS Y PARAMETROS'!H:I,2,0)*($V120+AA120+AB120+AC120),2),0)</f>
        <v>97.13</v>
      </c>
      <c r="AE120" s="1107">
        <f t="shared" ref="AE120" si="321">SUM(AA120:AD120)</f>
        <v>239.63</v>
      </c>
      <c r="AF120" s="1107">
        <f t="shared" si="292"/>
        <v>0</v>
      </c>
      <c r="AG120" s="1107">
        <f t="shared" si="293"/>
        <v>0</v>
      </c>
      <c r="AH120" s="1107">
        <f t="shared" si="294"/>
        <v>65</v>
      </c>
      <c r="AI120" s="1107">
        <f t="shared" si="295"/>
        <v>65</v>
      </c>
      <c r="AJ120" s="1107">
        <f t="shared" si="296"/>
        <v>48.57</v>
      </c>
      <c r="AK120" s="1107">
        <f t="shared" si="297"/>
        <v>48.56</v>
      </c>
      <c r="AL120" s="1108">
        <f t="shared" si="298"/>
        <v>126.07</v>
      </c>
      <c r="AM120" s="1108">
        <f t="shared" si="299"/>
        <v>113.56</v>
      </c>
      <c r="AN120" s="1453">
        <v>1</v>
      </c>
      <c r="AO120" s="1147">
        <f>'CONCEPTOS Y PARAMETROS'!$C$18*AN120</f>
        <v>12.5</v>
      </c>
      <c r="AP120" s="990">
        <v>0</v>
      </c>
      <c r="AQ120" s="1147">
        <f>'CONCEPTOS Y PARAMETROS'!$C$21*AP120</f>
        <v>0</v>
      </c>
      <c r="AR120" s="1318">
        <v>0</v>
      </c>
      <c r="AS120" s="1318">
        <v>0</v>
      </c>
      <c r="AT120" s="1318">
        <f t="shared" ref="AT120" si="322">+AO120+AQ120+AR120+AS120</f>
        <v>12.5</v>
      </c>
      <c r="AU120" s="1108">
        <f t="shared" si="280"/>
        <v>485.63</v>
      </c>
      <c r="AV120" s="1133">
        <v>0</v>
      </c>
      <c r="AW120" s="1108">
        <f>ROUND(IF(AV120="NOCTURN",(V120+AE120)*30%,0),2)</f>
        <v>0</v>
      </c>
      <c r="AX120" s="1107">
        <f>IF(T120&lt;&gt;"0",(ROUND(IF(A120="EMPLEADO",eval_formula('CONCEPTOS Y PARAMETROS'!$C$8,NOMINA!V120,NOMINA!$AU120,NOMINA!I120+NOMINA!J120),eval_formula('CONCEPTOS Y PARAMETROS'!$D$8,NOMINA!V120,NOMINA!$AU120,NOMINA!I120+NOMINA!J120)),2))*IF(H120&lt;&gt;"",IF(MONTH(H120)=$BR$8,IF(YEAR(H120)&lt;$BT$7,1,0),0)))</f>
        <v>0</v>
      </c>
      <c r="AY120" s="1108">
        <v>30</v>
      </c>
      <c r="AZ120" s="1107">
        <f>IFERROR(VLOOKUP(AY120,'CONCEPTOS Y PARAMETROS'!Y:Z,2,0),0)</f>
        <v>25</v>
      </c>
      <c r="BA120" s="1107">
        <f t="shared" si="300"/>
        <v>438.42</v>
      </c>
      <c r="BB120" s="1107">
        <f t="shared" si="289"/>
        <v>0</v>
      </c>
      <c r="BC120" s="990">
        <v>0</v>
      </c>
      <c r="BD120" s="1107" t="str">
        <f t="shared" si="281"/>
        <v>0</v>
      </c>
      <c r="BE120" s="990">
        <v>0</v>
      </c>
      <c r="BF120" s="1107">
        <f>ROUND(IF(BE120&gt;0,(((V120+AA120+AB120+AC120+AD120+AW120)/30)*50%+((V120+AA120+AB120+AC120+AD120+AW120)/30))*BE120,"0"),2)</f>
        <v>0</v>
      </c>
      <c r="BG120" s="1108">
        <v>320</v>
      </c>
      <c r="BH120" s="1108">
        <v>0</v>
      </c>
      <c r="BI120" s="1132">
        <v>0</v>
      </c>
      <c r="BJ120" s="1108">
        <v>12.5</v>
      </c>
      <c r="BK120" s="1108">
        <v>0</v>
      </c>
      <c r="BL120" s="1107">
        <f t="shared" si="157"/>
        <v>22.41</v>
      </c>
      <c r="BM120" s="1107">
        <f t="shared" si="158"/>
        <v>2.8</v>
      </c>
      <c r="BN120" s="1107">
        <f t="shared" si="262"/>
        <v>4.8600000000000003</v>
      </c>
      <c r="BO120" s="1107">
        <v>0</v>
      </c>
      <c r="BP120" s="1107">
        <v>0</v>
      </c>
      <c r="BQ120" s="1320">
        <f t="shared" ref="BQ120" si="323">ROUND(SUM(BL120:BP120),2)</f>
        <v>30.07</v>
      </c>
      <c r="BR120" s="1107">
        <f t="shared" si="159"/>
        <v>50.43</v>
      </c>
      <c r="BS120" s="1107">
        <f t="shared" si="160"/>
        <v>11.21</v>
      </c>
      <c r="BT120" s="1107">
        <f t="shared" si="263"/>
        <v>9.7200000000000006</v>
      </c>
      <c r="BU120" s="1107">
        <v>0</v>
      </c>
      <c r="BV120" s="1108">
        <f t="shared" si="302"/>
        <v>71.36</v>
      </c>
      <c r="BW120" s="1112">
        <f t="shared" si="303"/>
        <v>101.43</v>
      </c>
      <c r="BX120" s="1112">
        <f>ROUND(BA120/3,2)</f>
        <v>146.13999999999999</v>
      </c>
      <c r="BY120" s="1108">
        <v>0</v>
      </c>
      <c r="BZ120" s="1108">
        <f t="shared" si="282"/>
        <v>146.13999999999999</v>
      </c>
      <c r="CA120" s="1321">
        <f>'CONCEPTOS Y PARAMETROS'!$A$102</f>
        <v>6255</v>
      </c>
      <c r="CB120" s="1112">
        <f t="shared" si="264"/>
        <v>219</v>
      </c>
      <c r="CC120" s="1113">
        <f t="shared" si="265"/>
        <v>581.55999999999995</v>
      </c>
      <c r="CD120" s="1452"/>
      <c r="CE120" s="512"/>
      <c r="CF120" s="470">
        <f t="shared" si="266"/>
        <v>876.56</v>
      </c>
      <c r="CG120" s="509">
        <f t="shared" si="283"/>
        <v>219</v>
      </c>
      <c r="CH120" s="498">
        <f t="shared" si="267"/>
        <v>25</v>
      </c>
      <c r="CI120" s="1491">
        <f t="shared" si="284"/>
        <v>320</v>
      </c>
      <c r="CJ120" s="1502">
        <v>1</v>
      </c>
      <c r="CK120" s="509">
        <f t="shared" si="268"/>
        <v>556.55999999999995</v>
      </c>
      <c r="CL120" s="1689">
        <f t="shared" si="269"/>
        <v>556.55999999999995</v>
      </c>
      <c r="CM120" s="1689">
        <f t="shared" si="270"/>
        <v>0</v>
      </c>
      <c r="CN120" s="510">
        <f t="shared" si="271"/>
        <v>0</v>
      </c>
      <c r="CO120" s="511">
        <v>0</v>
      </c>
      <c r="CP120" s="510">
        <f t="shared" si="272"/>
        <v>0</v>
      </c>
      <c r="CQ120" s="510">
        <f t="shared" si="273"/>
        <v>0</v>
      </c>
      <c r="CR120" s="496">
        <f t="shared" si="274"/>
        <v>1113.1199999999999</v>
      </c>
      <c r="CS120" s="510">
        <f t="shared" si="275"/>
        <v>101.43</v>
      </c>
      <c r="CT120" s="510">
        <f t="shared" si="276"/>
        <v>6255</v>
      </c>
      <c r="CU120" s="470"/>
      <c r="CV120" s="470"/>
      <c r="CW120" s="470"/>
      <c r="CX120" s="470"/>
      <c r="CY120" s="1149" t="s">
        <v>6842</v>
      </c>
      <c r="CZ120" s="1149" t="s">
        <v>7113</v>
      </c>
      <c r="DA120" s="1152"/>
      <c r="DB120" s="1642" t="s">
        <v>6791</v>
      </c>
      <c r="DC120" s="1642"/>
      <c r="DD120" s="1642" t="s">
        <v>6792</v>
      </c>
      <c r="DE120" s="1642" t="s">
        <v>6133</v>
      </c>
      <c r="DF120" s="1643" t="s">
        <v>7401</v>
      </c>
      <c r="DG120" s="1643" t="s">
        <v>7402</v>
      </c>
      <c r="DH120" s="512"/>
      <c r="DI120" s="512"/>
      <c r="DJ120" s="512"/>
      <c r="DK120" s="512"/>
      <c r="DL120" s="512"/>
      <c r="DN120" s="476" t="str">
        <f>VLOOKUP(X120,Hoja1!$A$4:$B$10,2,0)</f>
        <v>PROFESIONAL</v>
      </c>
      <c r="DO120" s="476" t="str">
        <f>VLOOKUP(S120,Hoja1!$D$4:$F$77,3,0)</f>
        <v>PI</v>
      </c>
      <c r="DP120" s="1451" t="str">
        <f t="shared" si="277"/>
        <v>0</v>
      </c>
      <c r="DQ120" s="1484">
        <f>IF(T120&lt;&gt;"0",(ROUND(IF(A120="EMPLEADO",eval_formula('CONCEPTOS Y PARAMETROS'!$C$8,NOMINA!V120,AU120+BF120,NOMINA!I120+NOMINA!J120),eval_formula('CONCEPTOS Y PARAMETROS'!$D$8,NOMINA!V120,AU120+BF120,NOMINA!I120+NOMINA!J120)),2))*IF(H120&lt;&gt;"",IF(MONTH(H120)=$BR$8,IF(YEAR(H120)&lt;$BT$7,1,0),0)))</f>
        <v>0</v>
      </c>
      <c r="DR120" s="1799" t="str">
        <f t="shared" si="278"/>
        <v>F</v>
      </c>
      <c r="DS120" s="1799"/>
    </row>
    <row r="121" spans="1:123" s="911" customFormat="1" ht="21.95" customHeight="1" x14ac:dyDescent="0.25">
      <c r="A121" s="910" t="s">
        <v>2846</v>
      </c>
      <c r="B121" s="1328">
        <f ca="1">OFFSET(B121,-1,0)+1</f>
        <v>78</v>
      </c>
      <c r="C121" s="1329">
        <v>12542413</v>
      </c>
      <c r="D121" s="1330" t="s">
        <v>7245</v>
      </c>
      <c r="E121" s="1331" t="s">
        <v>4622</v>
      </c>
      <c r="F121" s="1332">
        <v>27582</v>
      </c>
      <c r="G121" s="1331" t="s">
        <v>4621</v>
      </c>
      <c r="H121" s="1332">
        <v>36434</v>
      </c>
      <c r="I121" s="1333">
        <f t="shared" si="261"/>
        <v>25</v>
      </c>
      <c r="J121" s="1334">
        <v>0</v>
      </c>
      <c r="K121" s="1333">
        <f t="shared" si="279"/>
        <v>25</v>
      </c>
      <c r="L121" s="1335" t="s">
        <v>5523</v>
      </c>
      <c r="M121" s="1334"/>
      <c r="N121" s="1334"/>
      <c r="O121" s="1348" t="s">
        <v>5217</v>
      </c>
      <c r="P121" s="1334" t="s">
        <v>5191</v>
      </c>
      <c r="Q121" s="1337" t="str">
        <f>IFERROR(VLOOKUP(O121,CARGOS!A:E,2,0),"")</f>
        <v>79512</v>
      </c>
      <c r="R121" s="1336" t="s">
        <v>5217</v>
      </c>
      <c r="S121" s="1338" t="s">
        <v>5463</v>
      </c>
      <c r="T121" s="1339">
        <v>0</v>
      </c>
      <c r="U121" s="1307">
        <v>0</v>
      </c>
      <c r="V121" s="1339">
        <f>T121-U121</f>
        <v>0</v>
      </c>
      <c r="W121" s="1307">
        <f>ROUND(V121/2,2)</f>
        <v>0</v>
      </c>
      <c r="X121" s="1331" t="s">
        <v>2884</v>
      </c>
      <c r="Y121" s="1331"/>
      <c r="Z121" s="1331">
        <v>0</v>
      </c>
      <c r="AA121" s="1339">
        <f>ROUND(IF(H121&lt;&gt;"",VLOOKUP(SUM(I121+J121),'CONCEPTOS Y PARAMETROS'!F:G,2,0)*V121,0),2)</f>
        <v>0</v>
      </c>
      <c r="AB121" s="1339">
        <v>0</v>
      </c>
      <c r="AC121" s="1339">
        <v>0</v>
      </c>
      <c r="AD121" s="1339">
        <f>IFERROR(ROUND(VLOOKUP($X121,'CONCEPTOS Y PARAMETROS'!H:I,2,0)*($V121+AA121+AB121+AC121),2),0)</f>
        <v>0</v>
      </c>
      <c r="AE121" s="1339">
        <f>SUM(AA121:AD121)</f>
        <v>0</v>
      </c>
      <c r="AF121" s="1339">
        <f>ROUND(AA121/2,2)</f>
        <v>0</v>
      </c>
      <c r="AG121" s="1339">
        <f>ROUND(AA121-AF121,2)</f>
        <v>0</v>
      </c>
      <c r="AH121" s="1339">
        <f>ROUND(AB121/2,2)</f>
        <v>0</v>
      </c>
      <c r="AI121" s="1339">
        <f>ROUND(AB121-AH121,2)</f>
        <v>0</v>
      </c>
      <c r="AJ121" s="1339">
        <f>ROUND(AD121/2,2)</f>
        <v>0</v>
      </c>
      <c r="AK121" s="1339">
        <f>ROUND(AD121-AJ121,2)</f>
        <v>0</v>
      </c>
      <c r="AL121" s="1307">
        <f>ROUND(AF121+AH121+AJ121+AC121,2)</f>
        <v>0</v>
      </c>
      <c r="AM121" s="1307">
        <f>ROUND(AG121+AI121+AK121,2)</f>
        <v>0</v>
      </c>
      <c r="AN121" s="1340">
        <v>0</v>
      </c>
      <c r="AO121" s="1341">
        <v>0</v>
      </c>
      <c r="AP121" s="1340">
        <v>0</v>
      </c>
      <c r="AQ121" s="1341">
        <f>'CONCEPTOS Y PARAMETROS'!$C$21*AP121</f>
        <v>0</v>
      </c>
      <c r="AR121" s="1342">
        <v>0</v>
      </c>
      <c r="AS121" s="1342">
        <v>0</v>
      </c>
      <c r="AT121" s="1342">
        <f>+AO121+AQ121+AR121+AS121</f>
        <v>0</v>
      </c>
      <c r="AU121" s="1307">
        <f t="shared" si="280"/>
        <v>0</v>
      </c>
      <c r="AV121" s="1343">
        <v>0</v>
      </c>
      <c r="AW121" s="1307">
        <f>ROUND(IF(O121="VIGILANTE",(V121+AE121)*30%,0),2)</f>
        <v>0</v>
      </c>
      <c r="AX121" s="1339">
        <f>IF(T121&lt;&gt;"0",(ROUND(IF(A121="EMPLEADO",eval_formula('CONCEPTOS Y PARAMETROS'!$C$8,NOMINA!V121,NOMINA!$AU121,NOMINA!I121+NOMINA!J121),eval_formula('CONCEPTOS Y PARAMETROS'!$D$8,NOMINA!V121,NOMINA!$AU121,NOMINA!I121+NOMINA!J121)),2))*IF(H121&lt;&gt;"",IF(MONTH(H121)=$BR$8,IF(YEAR(H121)&lt;$BT$7,1,0),0)))</f>
        <v>0</v>
      </c>
      <c r="AY121" s="1307">
        <v>180</v>
      </c>
      <c r="AZ121" s="1339">
        <f>IFERROR(VLOOKUP(AY121,'CONCEPTOS Y PARAMETROS'!Y:Z,2,0),0)</f>
        <v>150</v>
      </c>
      <c r="BA121" s="1339">
        <f>ROUND((((AU121))/30*AY121/12+(AU121))/30*AZ121,2)</f>
        <v>0</v>
      </c>
      <c r="BB121" s="1339">
        <f t="shared" si="289"/>
        <v>0</v>
      </c>
      <c r="BC121" s="1340">
        <v>0</v>
      </c>
      <c r="BD121" s="1339" t="str">
        <f t="shared" si="281"/>
        <v>0</v>
      </c>
      <c r="BE121" s="1340">
        <v>0</v>
      </c>
      <c r="BF121" s="1339">
        <f>ROUND(IF(BE121&gt;0,(((V121+AA121+AB121+AC121+AD121)/30)*50%+((V121+AA121+AB121+AC121+AD121)/30))*BE121,"0"),2)</f>
        <v>0</v>
      </c>
      <c r="BG121" s="1307">
        <v>0</v>
      </c>
      <c r="BH121" s="1307">
        <v>0</v>
      </c>
      <c r="BI121" s="1334">
        <v>0</v>
      </c>
      <c r="BJ121" s="1307">
        <v>0</v>
      </c>
      <c r="BK121" s="1307">
        <v>0</v>
      </c>
      <c r="BL121" s="1339">
        <f t="shared" ref="BL121:BL184" si="324">ROUND(IF(M121="", (((AU121*12)/52)*4%)*$BS$8,0),2)</f>
        <v>0</v>
      </c>
      <c r="BM121" s="1339">
        <f t="shared" ref="BM121:BM184" si="325">ROUND(IF(M121="",(((AU121*12)/52)*0.5%)*$BS$8,0),2)</f>
        <v>0</v>
      </c>
      <c r="BN121" s="1339">
        <f t="shared" si="262"/>
        <v>0</v>
      </c>
      <c r="BO121" s="1339">
        <v>0</v>
      </c>
      <c r="BP121" s="1339">
        <v>0</v>
      </c>
      <c r="BQ121" s="1344">
        <f>ROUND(SUM(BL121:BP121),2)</f>
        <v>0</v>
      </c>
      <c r="BR121" s="1339">
        <f t="shared" ref="BR121:BR184" si="326">ROUND(IF(M121="", (((AU121*12)/52)*9%)*$BS$8,0),2)</f>
        <v>0</v>
      </c>
      <c r="BS121" s="1339">
        <f t="shared" ref="BS121:BS184" si="327">ROUND(IF(M121="",(((AU121*12)/52)*2%)*$BS$8,0),2)</f>
        <v>0</v>
      </c>
      <c r="BT121" s="1339">
        <f t="shared" si="263"/>
        <v>0</v>
      </c>
      <c r="BU121" s="1339">
        <v>0</v>
      </c>
      <c r="BV121" s="1307">
        <f>ROUND(SUM(BR121:BT121),2)</f>
        <v>0</v>
      </c>
      <c r="BW121" s="1305">
        <f>BQ121+BV121</f>
        <v>0</v>
      </c>
      <c r="BX121" s="1305">
        <f t="shared" ref="BX121:BX152" si="328">ROUND(BA121/4,2)</f>
        <v>0</v>
      </c>
      <c r="BY121" s="1307">
        <v>0</v>
      </c>
      <c r="BZ121" s="1307">
        <f t="shared" si="282"/>
        <v>0</v>
      </c>
      <c r="CA121" s="1345">
        <v>0</v>
      </c>
      <c r="CB121" s="1305">
        <f t="shared" si="264"/>
        <v>0</v>
      </c>
      <c r="CC121" s="1346">
        <f t="shared" si="265"/>
        <v>0</v>
      </c>
      <c r="CD121" s="512"/>
      <c r="CE121" s="512"/>
      <c r="CF121" s="470">
        <f t="shared" si="266"/>
        <v>0</v>
      </c>
      <c r="CG121" s="912">
        <f t="shared" si="283"/>
        <v>0</v>
      </c>
      <c r="CH121" s="498">
        <f t="shared" si="267"/>
        <v>0</v>
      </c>
      <c r="CI121" s="1492">
        <f t="shared" si="284"/>
        <v>0</v>
      </c>
      <c r="CJ121" s="1504">
        <v>0</v>
      </c>
      <c r="CK121" s="912">
        <f t="shared" si="268"/>
        <v>0</v>
      </c>
      <c r="CL121" s="912">
        <f t="shared" si="269"/>
        <v>0</v>
      </c>
      <c r="CM121" s="912">
        <f t="shared" si="270"/>
        <v>0</v>
      </c>
      <c r="CN121" s="913">
        <f t="shared" si="271"/>
        <v>0</v>
      </c>
      <c r="CO121" s="914">
        <v>0</v>
      </c>
      <c r="CP121" s="913">
        <f t="shared" si="272"/>
        <v>0</v>
      </c>
      <c r="CQ121" s="913">
        <f t="shared" si="273"/>
        <v>0</v>
      </c>
      <c r="CR121" s="496">
        <f t="shared" si="274"/>
        <v>0</v>
      </c>
      <c r="CS121" s="913">
        <f t="shared" si="275"/>
        <v>0</v>
      </c>
      <c r="CT121" s="913">
        <f t="shared" si="276"/>
        <v>0</v>
      </c>
      <c r="CU121" s="470"/>
      <c r="CV121" s="470"/>
      <c r="CW121" s="470"/>
      <c r="CX121" s="470"/>
      <c r="CY121" s="1330" t="s">
        <v>6843</v>
      </c>
      <c r="CZ121" s="1330" t="s">
        <v>6898</v>
      </c>
      <c r="DA121" s="1613"/>
      <c r="DB121" s="1152" t="s">
        <v>6146</v>
      </c>
      <c r="DC121" s="1152"/>
      <c r="DD121" s="1143"/>
      <c r="DE121" s="1143"/>
      <c r="DF121" s="1143"/>
      <c r="DG121" s="1143"/>
      <c r="DH121" s="915"/>
      <c r="DI121" s="1134"/>
      <c r="DJ121" s="915"/>
      <c r="DK121" s="915"/>
      <c r="DL121" s="915"/>
      <c r="DN121" s="911" t="str">
        <f>VLOOKUP(X121,Hoja1!$A$4:$B$10,2,0)</f>
        <v>BACHILLER</v>
      </c>
      <c r="DO121" s="911" t="str">
        <f>VLOOKUP(S121,Hoja1!$D$4:$F$77,3,0)</f>
        <v>BIII - VII</v>
      </c>
      <c r="DP121" s="1157" t="str">
        <f t="shared" si="277"/>
        <v>0</v>
      </c>
      <c r="DQ121" s="1484">
        <f>IF(T121&lt;&gt;"0",(ROUND(IF(A121="EMPLEADO",eval_formula('CONCEPTOS Y PARAMETROS'!$C$8,NOMINA!V121,AU121+BF121,NOMINA!I121+NOMINA!J121),eval_formula('CONCEPTOS Y PARAMETROS'!$D$8,NOMINA!V121,AU121+BF121,NOMINA!I121+NOMINA!J121)),2))*IF(H121&lt;&gt;"",IF(MONTH(H121)=$BR$8,IF(YEAR(H121)&lt;$BT$7,1,0),0)))</f>
        <v>0</v>
      </c>
      <c r="DR121" s="1800" t="str">
        <f t="shared" si="278"/>
        <v>M</v>
      </c>
      <c r="DS121" s="1800"/>
    </row>
    <row r="122" spans="1:123" s="471" customFormat="1" ht="21.95" customHeight="1" x14ac:dyDescent="0.25">
      <c r="A122" s="508" t="s">
        <v>2846</v>
      </c>
      <c r="B122" s="1314">
        <f t="shared" ca="1" si="133"/>
        <v>79</v>
      </c>
      <c r="C122" s="1148">
        <v>12798604</v>
      </c>
      <c r="D122" s="1149" t="s">
        <v>4761</v>
      </c>
      <c r="E122" s="1135" t="s">
        <v>4622</v>
      </c>
      <c r="F122" s="1150">
        <v>27830</v>
      </c>
      <c r="G122" s="1135" t="s">
        <v>4620</v>
      </c>
      <c r="H122" s="1150">
        <v>35384</v>
      </c>
      <c r="I122" s="1140">
        <f t="shared" si="261"/>
        <v>28</v>
      </c>
      <c r="J122" s="1132">
        <v>0</v>
      </c>
      <c r="K122" s="1140">
        <f t="shared" si="279"/>
        <v>28</v>
      </c>
      <c r="L122" s="1145" t="s">
        <v>6110</v>
      </c>
      <c r="M122" s="1132"/>
      <c r="N122" s="1132"/>
      <c r="O122" s="1002" t="s">
        <v>5217</v>
      </c>
      <c r="P122" s="1132" t="s">
        <v>5331</v>
      </c>
      <c r="Q122" s="1315" t="str">
        <f>IFERROR(VLOOKUP(O122,CARGOS!A:E,2,0),"")</f>
        <v>79512</v>
      </c>
      <c r="R122" s="1327" t="s">
        <v>5217</v>
      </c>
      <c r="S122" s="1146" t="s">
        <v>5463</v>
      </c>
      <c r="T122" s="1107">
        <f>IFERROR(VLOOKUP(S122,'TAB EMP'!A:B,2,0),0)</f>
        <v>177</v>
      </c>
      <c r="U122" s="1108">
        <v>0</v>
      </c>
      <c r="V122" s="1107">
        <f t="shared" si="290"/>
        <v>177</v>
      </c>
      <c r="W122" s="1108">
        <f t="shared" si="291"/>
        <v>88.5</v>
      </c>
      <c r="X122" s="1135" t="s">
        <v>2884</v>
      </c>
      <c r="Y122" s="1135"/>
      <c r="Z122" s="1135">
        <v>1</v>
      </c>
      <c r="AA122" s="1107">
        <f>ROUND(IF(H122&lt;&gt;"",VLOOKUP(SUM(I122+J122),'CONCEPTOS Y PARAMETROS'!F:G,2,0)*V122,0),2)</f>
        <v>53.1</v>
      </c>
      <c r="AB122" s="1107">
        <f>IF(S122&lt;&gt;"",IF(M122="",'CONCEPTOS Y PARAMETROS'!$C$4,0),0)</f>
        <v>130</v>
      </c>
      <c r="AC122" s="1107">
        <f>IF(S122&lt;&gt;"",IF(M122="",'CONCEPTOS Y PARAMETROS'!$C$7*Z122,0),0)</f>
        <v>12.5</v>
      </c>
      <c r="AD122" s="1107">
        <f>IFERROR(ROUND(VLOOKUP($X122,'CONCEPTOS Y PARAMETROS'!H:I,2,0)*($V122+AA122+AB122+AC122),2),0)</f>
        <v>0</v>
      </c>
      <c r="AE122" s="1107">
        <f t="shared" si="287"/>
        <v>195.6</v>
      </c>
      <c r="AF122" s="1107">
        <f t="shared" si="292"/>
        <v>26.55</v>
      </c>
      <c r="AG122" s="1107">
        <f t="shared" si="293"/>
        <v>26.55</v>
      </c>
      <c r="AH122" s="1107">
        <f t="shared" si="294"/>
        <v>65</v>
      </c>
      <c r="AI122" s="1107">
        <f t="shared" si="295"/>
        <v>65</v>
      </c>
      <c r="AJ122" s="1107">
        <f t="shared" si="296"/>
        <v>0</v>
      </c>
      <c r="AK122" s="1107">
        <f t="shared" si="297"/>
        <v>0</v>
      </c>
      <c r="AL122" s="1108">
        <f t="shared" si="298"/>
        <v>104.05</v>
      </c>
      <c r="AM122" s="1108">
        <f t="shared" si="299"/>
        <v>91.55</v>
      </c>
      <c r="AN122" s="1453">
        <v>1</v>
      </c>
      <c r="AO122" s="1147">
        <f>'CONCEPTOS Y PARAMETROS'!$C$18*AN122</f>
        <v>12.5</v>
      </c>
      <c r="AP122" s="990">
        <v>0</v>
      </c>
      <c r="AQ122" s="1147">
        <f>'CONCEPTOS Y PARAMETROS'!$C$21*AP122</f>
        <v>0</v>
      </c>
      <c r="AR122" s="1318">
        <v>0</v>
      </c>
      <c r="AS122" s="1318">
        <v>0</v>
      </c>
      <c r="AT122" s="1318">
        <f t="shared" si="288"/>
        <v>12.5</v>
      </c>
      <c r="AU122" s="1108">
        <f t="shared" si="280"/>
        <v>372.6</v>
      </c>
      <c r="AV122" s="1133">
        <v>0</v>
      </c>
      <c r="AW122" s="1108">
        <f>ROUND(IF(AV122="NOCTURN",(V122+AE122)*30%,0),2)</f>
        <v>0</v>
      </c>
      <c r="AX122" s="1107">
        <f>IF(T122&lt;&gt;"0",(ROUND(IF(A122="EMPLEADO",eval_formula('CONCEPTOS Y PARAMETROS'!$C$8,NOMINA!V122,NOMINA!$AU122,NOMINA!I122+NOMINA!J122),eval_formula('CONCEPTOS Y PARAMETROS'!$D$8,NOMINA!V122,NOMINA!$AU122,NOMINA!I122+NOMINA!J122)),2))*IF(H122&lt;&gt;"",IF(MONTH(H122)=$BR$8,IF(YEAR(H122)&lt;$BT$7,1,0),0)))</f>
        <v>0</v>
      </c>
      <c r="AY122" s="1108">
        <v>180</v>
      </c>
      <c r="AZ122" s="1107">
        <f>IFERROR(VLOOKUP(AY122,'CONCEPTOS Y PARAMETROS'!Y:Z,2,0),0)</f>
        <v>150</v>
      </c>
      <c r="BA122" s="1107">
        <f t="shared" si="300"/>
        <v>2794.5</v>
      </c>
      <c r="BB122" s="1107">
        <f t="shared" si="289"/>
        <v>0</v>
      </c>
      <c r="BC122" s="990">
        <v>0</v>
      </c>
      <c r="BD122" s="1107" t="str">
        <f t="shared" si="281"/>
        <v>0</v>
      </c>
      <c r="BE122" s="990">
        <v>0</v>
      </c>
      <c r="BF122" s="1107">
        <f t="shared" ref="BF122:BF153" si="329">ROUND(IF(BE122&gt;0,(((V122+AA122+AB122+AC122+AD122+AW122)/30)*50%+((V122+AA122+AB122+AC122+AD122+AW122)/30))*BE122,"0"),2)</f>
        <v>0</v>
      </c>
      <c r="BG122" s="1108">
        <v>320</v>
      </c>
      <c r="BH122" s="1108">
        <v>0</v>
      </c>
      <c r="BI122" s="1132">
        <v>0</v>
      </c>
      <c r="BJ122" s="1108">
        <v>12.5</v>
      </c>
      <c r="BK122" s="1108">
        <v>0</v>
      </c>
      <c r="BL122" s="1107">
        <f t="shared" si="324"/>
        <v>17.2</v>
      </c>
      <c r="BM122" s="1107">
        <f t="shared" si="325"/>
        <v>2.15</v>
      </c>
      <c r="BN122" s="1107">
        <f t="shared" si="262"/>
        <v>3.73</v>
      </c>
      <c r="BO122" s="1107">
        <v>0</v>
      </c>
      <c r="BP122" s="1107">
        <v>0</v>
      </c>
      <c r="BQ122" s="1320">
        <f t="shared" si="301"/>
        <v>23.08</v>
      </c>
      <c r="BR122" s="1107">
        <f t="shared" si="326"/>
        <v>38.69</v>
      </c>
      <c r="BS122" s="1107">
        <f t="shared" si="327"/>
        <v>8.6</v>
      </c>
      <c r="BT122" s="1107">
        <f t="shared" si="263"/>
        <v>7.46</v>
      </c>
      <c r="BU122" s="1107">
        <v>0</v>
      </c>
      <c r="BV122" s="1108">
        <f t="shared" si="302"/>
        <v>54.75</v>
      </c>
      <c r="BW122" s="1112">
        <f t="shared" si="303"/>
        <v>77.83</v>
      </c>
      <c r="BX122" s="1112">
        <f t="shared" si="328"/>
        <v>698.63</v>
      </c>
      <c r="BY122" s="1108">
        <v>0</v>
      </c>
      <c r="BZ122" s="1108">
        <f t="shared" si="282"/>
        <v>698.63</v>
      </c>
      <c r="CA122" s="1321">
        <f>'CONCEPTOS Y PARAMETROS'!$A$102</f>
        <v>6255</v>
      </c>
      <c r="CB122" s="1112">
        <f t="shared" si="264"/>
        <v>169.47000000000003</v>
      </c>
      <c r="CC122" s="1113">
        <f t="shared" si="265"/>
        <v>525.04999999999995</v>
      </c>
      <c r="CD122" s="512"/>
      <c r="CE122" s="512"/>
      <c r="CF122" s="470">
        <f t="shared" si="266"/>
        <v>820.05</v>
      </c>
      <c r="CG122" s="495">
        <f t="shared" si="283"/>
        <v>169.47000000000003</v>
      </c>
      <c r="CH122" s="498">
        <f t="shared" si="267"/>
        <v>25</v>
      </c>
      <c r="CI122" s="1490">
        <f t="shared" si="284"/>
        <v>320</v>
      </c>
      <c r="CJ122" s="1500">
        <v>1</v>
      </c>
      <c r="CK122" s="495">
        <f t="shared" si="268"/>
        <v>500.05</v>
      </c>
      <c r="CL122" s="1689">
        <f t="shared" si="269"/>
        <v>500.05</v>
      </c>
      <c r="CM122" s="1689">
        <f t="shared" si="270"/>
        <v>0</v>
      </c>
      <c r="CN122" s="496">
        <f t="shared" si="271"/>
        <v>0</v>
      </c>
      <c r="CO122" s="497">
        <v>0</v>
      </c>
      <c r="CP122" s="496">
        <f t="shared" si="272"/>
        <v>0</v>
      </c>
      <c r="CQ122" s="496">
        <f t="shared" si="273"/>
        <v>0</v>
      </c>
      <c r="CR122" s="496">
        <f t="shared" si="274"/>
        <v>1000.1</v>
      </c>
      <c r="CS122" s="496">
        <f t="shared" si="275"/>
        <v>77.83</v>
      </c>
      <c r="CT122" s="496">
        <f t="shared" si="276"/>
        <v>6255</v>
      </c>
      <c r="CU122" s="470"/>
      <c r="CV122" s="470"/>
      <c r="CW122" s="470"/>
      <c r="CX122" s="470"/>
      <c r="CY122" s="1149" t="s">
        <v>7062</v>
      </c>
      <c r="CZ122" s="1149" t="s">
        <v>7114</v>
      </c>
      <c r="DA122" s="480"/>
      <c r="DB122" s="1642" t="s">
        <v>6213</v>
      </c>
      <c r="DC122" s="1642"/>
      <c r="DD122" s="1642" t="s">
        <v>6560</v>
      </c>
      <c r="DE122" s="1642" t="s">
        <v>6215</v>
      </c>
      <c r="DF122" s="1642" t="s">
        <v>6201</v>
      </c>
      <c r="DG122" s="1642"/>
      <c r="DH122" s="470"/>
      <c r="DI122" s="470"/>
      <c r="DJ122" s="470"/>
      <c r="DK122" s="470"/>
      <c r="DL122" s="470"/>
      <c r="DN122" s="471" t="str">
        <f>VLOOKUP(X122,Hoja1!$A$4:$B$10,2,0)</f>
        <v>BACHILLER</v>
      </c>
      <c r="DO122" s="471" t="str">
        <f>VLOOKUP(S122,Hoja1!$D$4:$F$77,3,0)</f>
        <v>BIII - VII</v>
      </c>
      <c r="DP122" s="1156" t="str">
        <f t="shared" si="277"/>
        <v>0</v>
      </c>
      <c r="DQ122" s="1484">
        <f>IF(T122&lt;&gt;"0",(ROUND(IF(A122="EMPLEADO",eval_formula('CONCEPTOS Y PARAMETROS'!$C$8,NOMINA!V122,AU122+BF122,NOMINA!I122+NOMINA!J122),eval_formula('CONCEPTOS Y PARAMETROS'!$D$8,NOMINA!V122,AU122+BF122,NOMINA!I122+NOMINA!J122)),2))*IF(H122&lt;&gt;"",IF(MONTH(H122)=$BR$8,IF(YEAR(H122)&lt;$BT$7,1,0),0)))</f>
        <v>0</v>
      </c>
      <c r="DR122" s="1801" t="str">
        <f t="shared" si="278"/>
        <v>F</v>
      </c>
      <c r="DS122" s="1801"/>
    </row>
    <row r="123" spans="1:123" s="471" customFormat="1" ht="21.95" customHeight="1" x14ac:dyDescent="0.25">
      <c r="A123" s="508" t="s">
        <v>2846</v>
      </c>
      <c r="B123" s="1314">
        <f t="shared" ca="1" si="133"/>
        <v>80</v>
      </c>
      <c r="C123" s="1148">
        <v>12798736</v>
      </c>
      <c r="D123" s="1149" t="s">
        <v>4762</v>
      </c>
      <c r="E123" s="1135" t="s">
        <v>4622</v>
      </c>
      <c r="F123" s="1150">
        <v>27802</v>
      </c>
      <c r="G123" s="1135" t="s">
        <v>4620</v>
      </c>
      <c r="H123" s="1150">
        <v>39479</v>
      </c>
      <c r="I123" s="1140">
        <f t="shared" si="261"/>
        <v>17</v>
      </c>
      <c r="J123" s="1132">
        <v>7</v>
      </c>
      <c r="K123" s="1140">
        <f t="shared" si="279"/>
        <v>24</v>
      </c>
      <c r="L123" s="1145" t="s">
        <v>5537</v>
      </c>
      <c r="M123" s="1132"/>
      <c r="N123" s="1352" t="s">
        <v>7559</v>
      </c>
      <c r="O123" s="1002" t="s">
        <v>5244</v>
      </c>
      <c r="P123" s="1132" t="s">
        <v>5332</v>
      </c>
      <c r="Q123" s="1315" t="str">
        <f>IFERROR(VLOOKUP(O123,CARGOS!A:E,2,0),"")</f>
        <v>15126</v>
      </c>
      <c r="R123" s="1327" t="s">
        <v>5244</v>
      </c>
      <c r="S123" s="1146" t="s">
        <v>5474</v>
      </c>
      <c r="T123" s="1107">
        <f>IFERROR(VLOOKUP(S123,'TAB EMP'!A:B,2,0),0)</f>
        <v>316</v>
      </c>
      <c r="U123" s="1108">
        <v>0</v>
      </c>
      <c r="V123" s="1107">
        <f t="shared" si="290"/>
        <v>316</v>
      </c>
      <c r="W123" s="1108">
        <f t="shared" si="291"/>
        <v>158</v>
      </c>
      <c r="X123" s="1135" t="s">
        <v>2885</v>
      </c>
      <c r="Y123" s="1135"/>
      <c r="Z123" s="1135">
        <v>1</v>
      </c>
      <c r="AA123" s="1107">
        <f>ROUND(IF(H123&lt;&gt;"",VLOOKUP(SUM(I123+J123),'CONCEPTOS Y PARAMETROS'!F:G,2,0)*V123,0),2)</f>
        <v>94.8</v>
      </c>
      <c r="AB123" s="1107">
        <f>IF(S123&lt;&gt;"",IF(M123="",'CONCEPTOS Y PARAMETROS'!$C$4,0),0)</f>
        <v>130</v>
      </c>
      <c r="AC123" s="1107">
        <f>IF(S123&lt;&gt;"",IF(M123="",'CONCEPTOS Y PARAMETROS'!$C$7*Z123,0),0)</f>
        <v>12.5</v>
      </c>
      <c r="AD123" s="1107">
        <f>IFERROR(ROUND(VLOOKUP($X123,'CONCEPTOS Y PARAMETROS'!H:I,2,0)*($V123+AA123+AB123+AC123),2),0)</f>
        <v>138.33000000000001</v>
      </c>
      <c r="AE123" s="1107">
        <f t="shared" si="287"/>
        <v>375.63</v>
      </c>
      <c r="AF123" s="1107">
        <f t="shared" si="292"/>
        <v>47.4</v>
      </c>
      <c r="AG123" s="1107">
        <f t="shared" si="293"/>
        <v>47.4</v>
      </c>
      <c r="AH123" s="1107">
        <f t="shared" si="294"/>
        <v>65</v>
      </c>
      <c r="AI123" s="1107">
        <f t="shared" si="295"/>
        <v>65</v>
      </c>
      <c r="AJ123" s="1107">
        <f t="shared" si="296"/>
        <v>69.17</v>
      </c>
      <c r="AK123" s="1107">
        <f t="shared" si="297"/>
        <v>69.16</v>
      </c>
      <c r="AL123" s="1108">
        <f t="shared" si="298"/>
        <v>194.07</v>
      </c>
      <c r="AM123" s="1108">
        <f t="shared" si="299"/>
        <v>181.56</v>
      </c>
      <c r="AN123" s="990">
        <v>0</v>
      </c>
      <c r="AO123" s="1147">
        <f>'CONCEPTOS Y PARAMETROS'!$C$18*AN123</f>
        <v>0</v>
      </c>
      <c r="AP123" s="990">
        <v>0</v>
      </c>
      <c r="AQ123" s="1147">
        <f>'CONCEPTOS Y PARAMETROS'!$C$21*AP123</f>
        <v>0</v>
      </c>
      <c r="AR123" s="1318">
        <v>0</v>
      </c>
      <c r="AS123" s="1318">
        <v>0</v>
      </c>
      <c r="AT123" s="1318">
        <f t="shared" si="288"/>
        <v>0</v>
      </c>
      <c r="AU123" s="1108">
        <f t="shared" si="280"/>
        <v>691.63</v>
      </c>
      <c r="AV123" s="1133">
        <v>0</v>
      </c>
      <c r="AW123" s="1108">
        <f>ROUND(IF(AV123="NOCTURN",(V123+AE123)*30%,0),2)</f>
        <v>0</v>
      </c>
      <c r="AX123" s="1107">
        <f>IF(T123&lt;&gt;"0",(ROUND(IF(A123="EMPLEADO",eval_formula('CONCEPTOS Y PARAMETROS'!$C$8,NOMINA!V123,NOMINA!$AU123,NOMINA!I123+NOMINA!J123),eval_formula('CONCEPTOS Y PARAMETROS'!$D$8,NOMINA!V123,NOMINA!$AU123,NOMINA!I123+NOMINA!J123)),2))*IF(H123&lt;&gt;"",IF(MONTH(H123)=$BR$8,IF(YEAR(H123)&lt;$BT$7,1,0),0)))</f>
        <v>0</v>
      </c>
      <c r="AY123" s="1108">
        <v>180</v>
      </c>
      <c r="AZ123" s="1107">
        <f>IFERROR(VLOOKUP(AY123,'CONCEPTOS Y PARAMETROS'!Y:Z,2,0),0)</f>
        <v>150</v>
      </c>
      <c r="BA123" s="1107">
        <f t="shared" si="300"/>
        <v>5187.2299999999996</v>
      </c>
      <c r="BB123" s="1107">
        <f t="shared" si="289"/>
        <v>0</v>
      </c>
      <c r="BC123" s="990">
        <v>0</v>
      </c>
      <c r="BD123" s="1107" t="str">
        <f t="shared" si="281"/>
        <v>0</v>
      </c>
      <c r="BE123" s="990">
        <v>0</v>
      </c>
      <c r="BF123" s="1107">
        <f t="shared" si="329"/>
        <v>0</v>
      </c>
      <c r="BG123" s="1108">
        <v>320</v>
      </c>
      <c r="BH123" s="1108">
        <v>0</v>
      </c>
      <c r="BI123" s="1132">
        <v>0</v>
      </c>
      <c r="BJ123" s="1108">
        <v>12.5</v>
      </c>
      <c r="BK123" s="1108">
        <v>0</v>
      </c>
      <c r="BL123" s="1107">
        <f t="shared" si="324"/>
        <v>31.92</v>
      </c>
      <c r="BM123" s="1107">
        <f t="shared" si="325"/>
        <v>3.99</v>
      </c>
      <c r="BN123" s="1107">
        <f t="shared" si="262"/>
        <v>6.92</v>
      </c>
      <c r="BO123" s="1107">
        <v>0</v>
      </c>
      <c r="BP123" s="1107">
        <v>0</v>
      </c>
      <c r="BQ123" s="1320">
        <f t="shared" si="301"/>
        <v>42.83</v>
      </c>
      <c r="BR123" s="1107">
        <f t="shared" si="326"/>
        <v>71.819999999999993</v>
      </c>
      <c r="BS123" s="1107">
        <f t="shared" si="327"/>
        <v>15.96</v>
      </c>
      <c r="BT123" s="1107">
        <f t="shared" si="263"/>
        <v>13.84</v>
      </c>
      <c r="BU123" s="1107">
        <v>0</v>
      </c>
      <c r="BV123" s="1108">
        <f t="shared" si="302"/>
        <v>101.62</v>
      </c>
      <c r="BW123" s="1112">
        <f t="shared" si="303"/>
        <v>144.44999999999999</v>
      </c>
      <c r="BX123" s="1112">
        <f t="shared" si="328"/>
        <v>1296.81</v>
      </c>
      <c r="BY123" s="1108">
        <v>0</v>
      </c>
      <c r="BZ123" s="1108">
        <f t="shared" si="282"/>
        <v>1296.81</v>
      </c>
      <c r="CA123" s="1321">
        <f>'CONCEPTOS Y PARAMETROS'!$A$102</f>
        <v>6255</v>
      </c>
      <c r="CB123" s="1112">
        <f t="shared" si="264"/>
        <v>309.24</v>
      </c>
      <c r="CC123" s="1113">
        <f t="shared" si="265"/>
        <v>672.06</v>
      </c>
      <c r="CD123" s="512"/>
      <c r="CE123" s="512"/>
      <c r="CF123" s="470">
        <f t="shared" si="266"/>
        <v>979.56</v>
      </c>
      <c r="CG123" s="495">
        <f t="shared" si="283"/>
        <v>309.24</v>
      </c>
      <c r="CH123" s="498">
        <f t="shared" si="267"/>
        <v>12.5</v>
      </c>
      <c r="CI123" s="1490">
        <f t="shared" si="284"/>
        <v>320</v>
      </c>
      <c r="CJ123" s="1500">
        <v>2</v>
      </c>
      <c r="CK123" s="495">
        <f t="shared" si="268"/>
        <v>659.56</v>
      </c>
      <c r="CL123" s="1689">
        <f t="shared" si="269"/>
        <v>316.58999999999997</v>
      </c>
      <c r="CM123" s="1689">
        <f t="shared" si="270"/>
        <v>342.96999999999997</v>
      </c>
      <c r="CN123" s="496">
        <f t="shared" si="271"/>
        <v>0</v>
      </c>
      <c r="CO123" s="497">
        <v>0</v>
      </c>
      <c r="CP123" s="496">
        <f t="shared" si="272"/>
        <v>0</v>
      </c>
      <c r="CQ123" s="496">
        <f t="shared" si="273"/>
        <v>0</v>
      </c>
      <c r="CR123" s="496">
        <f t="shared" si="274"/>
        <v>1319.12</v>
      </c>
      <c r="CS123" s="496">
        <f t="shared" si="275"/>
        <v>144.44999999999999</v>
      </c>
      <c r="CT123" s="496">
        <f t="shared" si="276"/>
        <v>6255</v>
      </c>
      <c r="CU123" s="470"/>
      <c r="CV123" s="470"/>
      <c r="CW123" s="470"/>
      <c r="CX123" s="470"/>
      <c r="CY123" s="1149" t="s">
        <v>6865</v>
      </c>
      <c r="CZ123" s="1149" t="s">
        <v>6826</v>
      </c>
      <c r="DA123" s="480"/>
      <c r="DB123" s="1152" t="s">
        <v>6407</v>
      </c>
      <c r="DC123" s="1152" t="s">
        <v>7549</v>
      </c>
      <c r="DD123" s="1152" t="s">
        <v>6135</v>
      </c>
      <c r="DE123" s="1152" t="s">
        <v>6162</v>
      </c>
      <c r="DF123" s="1152" t="s">
        <v>6488</v>
      </c>
      <c r="DG123" s="1152"/>
      <c r="DH123" s="470"/>
      <c r="DI123" s="470"/>
      <c r="DJ123" s="470"/>
      <c r="DK123" s="470"/>
      <c r="DL123" s="470"/>
      <c r="DN123" s="471" t="str">
        <f>VLOOKUP(X123,Hoja1!$A$4:$B$10,2,0)</f>
        <v>PROFESIONAL</v>
      </c>
      <c r="DO123" s="471" t="str">
        <f>VLOOKUP(S123,Hoja1!$D$4:$F$77,3,0)</f>
        <v>PIII - VII</v>
      </c>
      <c r="DP123" s="1156" t="str">
        <f t="shared" si="277"/>
        <v>0</v>
      </c>
      <c r="DQ123" s="1484">
        <f>IF(T123&lt;&gt;"0",(ROUND(IF(A123="EMPLEADO",eval_formula('CONCEPTOS Y PARAMETROS'!$C$8,NOMINA!V123,AU123+BF123,NOMINA!I123+NOMINA!J123),eval_formula('CONCEPTOS Y PARAMETROS'!$D$8,NOMINA!V123,AU123+BF123,NOMINA!I123+NOMINA!J123)),2))*IF(H123&lt;&gt;"",IF(MONTH(H123)=$BR$8,IF(YEAR(H123)&lt;$BT$7,1,0),0)))</f>
        <v>0</v>
      </c>
      <c r="DR123" s="1801" t="str">
        <f t="shared" si="278"/>
        <v>F</v>
      </c>
      <c r="DS123" s="1801"/>
    </row>
    <row r="124" spans="1:123" s="471" customFormat="1" ht="21.95" customHeight="1" x14ac:dyDescent="0.25">
      <c r="A124" s="508" t="s">
        <v>2846</v>
      </c>
      <c r="B124" s="1314">
        <f t="shared" ca="1" si="133"/>
        <v>81</v>
      </c>
      <c r="C124" s="1148">
        <v>12939010</v>
      </c>
      <c r="D124" s="1149" t="s">
        <v>7596</v>
      </c>
      <c r="E124" s="1135" t="s">
        <v>4622</v>
      </c>
      <c r="F124" s="1150">
        <v>28229</v>
      </c>
      <c r="G124" s="1135" t="s">
        <v>4620</v>
      </c>
      <c r="H124" s="1150">
        <v>42948</v>
      </c>
      <c r="I124" s="1140">
        <f t="shared" si="261"/>
        <v>8</v>
      </c>
      <c r="J124" s="1132">
        <v>0</v>
      </c>
      <c r="K124" s="1140">
        <f t="shared" si="279"/>
        <v>8</v>
      </c>
      <c r="L124" s="1145" t="s">
        <v>5545</v>
      </c>
      <c r="M124" s="1132"/>
      <c r="N124" s="1352" t="s">
        <v>7561</v>
      </c>
      <c r="O124" s="1002" t="s">
        <v>5215</v>
      </c>
      <c r="P124" s="1132" t="s">
        <v>5333</v>
      </c>
      <c r="Q124" s="1315" t="str">
        <f>IFERROR(VLOOKUP(O124,CARGOS!A:E,2,0),"")</f>
        <v>12113</v>
      </c>
      <c r="R124" s="1327" t="s">
        <v>5215</v>
      </c>
      <c r="S124" s="1146" t="s">
        <v>5478</v>
      </c>
      <c r="T124" s="1107">
        <f>IFERROR(VLOOKUP(S124,'TAB EMP'!A:B,2,0),0)</f>
        <v>221</v>
      </c>
      <c r="U124" s="1108">
        <v>0</v>
      </c>
      <c r="V124" s="1107">
        <f t="shared" si="290"/>
        <v>221</v>
      </c>
      <c r="W124" s="1108">
        <f t="shared" si="291"/>
        <v>110.5</v>
      </c>
      <c r="X124" s="1135" t="s">
        <v>2885</v>
      </c>
      <c r="Y124" s="1135"/>
      <c r="Z124" s="1135">
        <v>0</v>
      </c>
      <c r="AA124" s="1107">
        <f>ROUND(IF(H124&lt;&gt;"",VLOOKUP(SUM(I124+J124),'CONCEPTOS Y PARAMETROS'!F:G,2,0)*V124,0),2)</f>
        <v>19.010000000000002</v>
      </c>
      <c r="AB124" s="1107">
        <f>IF(S124&lt;&gt;"",IF(M124="",'CONCEPTOS Y PARAMETROS'!$C$4,0),0)</f>
        <v>130</v>
      </c>
      <c r="AC124" s="1107">
        <f>IF(S124&lt;&gt;"",IF(M124="",'CONCEPTOS Y PARAMETROS'!$C$7*Z124,0),0)</f>
        <v>0</v>
      </c>
      <c r="AD124" s="1107">
        <f>IFERROR(ROUND(VLOOKUP($X124,'CONCEPTOS Y PARAMETROS'!H:I,2,0)*($V124+AA124+AB124+AC124),2),0)</f>
        <v>92.5</v>
      </c>
      <c r="AE124" s="1107">
        <f t="shared" si="287"/>
        <v>241.51</v>
      </c>
      <c r="AF124" s="1107">
        <f t="shared" si="292"/>
        <v>9.51</v>
      </c>
      <c r="AG124" s="1107">
        <f t="shared" si="293"/>
        <v>9.5</v>
      </c>
      <c r="AH124" s="1107">
        <f t="shared" si="294"/>
        <v>65</v>
      </c>
      <c r="AI124" s="1107">
        <f t="shared" si="295"/>
        <v>65</v>
      </c>
      <c r="AJ124" s="1107">
        <f t="shared" si="296"/>
        <v>46.25</v>
      </c>
      <c r="AK124" s="1107">
        <f t="shared" si="297"/>
        <v>46.25</v>
      </c>
      <c r="AL124" s="1108">
        <f t="shared" si="298"/>
        <v>120.76</v>
      </c>
      <c r="AM124" s="1108">
        <f t="shared" si="299"/>
        <v>120.75</v>
      </c>
      <c r="AN124" s="990">
        <v>0</v>
      </c>
      <c r="AO124" s="1147">
        <f>'CONCEPTOS Y PARAMETROS'!$C$18*AN124</f>
        <v>0</v>
      </c>
      <c r="AP124" s="990">
        <v>0</v>
      </c>
      <c r="AQ124" s="1147">
        <f>'CONCEPTOS Y PARAMETROS'!$C$21*AP124</f>
        <v>0</v>
      </c>
      <c r="AR124" s="1318">
        <v>0</v>
      </c>
      <c r="AS124" s="1318">
        <v>0</v>
      </c>
      <c r="AT124" s="1318">
        <f t="shared" si="288"/>
        <v>0</v>
      </c>
      <c r="AU124" s="1108">
        <f t="shared" si="280"/>
        <v>462.51</v>
      </c>
      <c r="AV124" s="1133">
        <v>0</v>
      </c>
      <c r="AW124" s="1108">
        <f>ROUND(IF(AV124="NOCTURN",(V124+AE124)*30%,0),2)</f>
        <v>0</v>
      </c>
      <c r="AX124" s="1107">
        <f>IF(T124&lt;&gt;"0",(ROUND(IF(A124="EMPLEADO",eval_formula('CONCEPTOS Y PARAMETROS'!$C$8,NOMINA!V124,NOMINA!$AU124,NOMINA!I124+NOMINA!J124),eval_formula('CONCEPTOS Y PARAMETROS'!$D$8,NOMINA!V124,NOMINA!$AU124,NOMINA!I124+NOMINA!J124)),2))*IF(H124&lt;&gt;"",IF(MONTH(H124)=$BR$8,IF(YEAR(H124)&lt;$BT$7,1,0),0)))</f>
        <v>0</v>
      </c>
      <c r="AY124" s="1108">
        <v>180</v>
      </c>
      <c r="AZ124" s="1107">
        <f>IFERROR(VLOOKUP(AY124,'CONCEPTOS Y PARAMETROS'!Y:Z,2,0),0)</f>
        <v>150</v>
      </c>
      <c r="BA124" s="1107">
        <f t="shared" si="300"/>
        <v>3468.83</v>
      </c>
      <c r="BB124" s="1107">
        <f t="shared" si="289"/>
        <v>0</v>
      </c>
      <c r="BC124" s="990">
        <v>0</v>
      </c>
      <c r="BD124" s="1107" t="str">
        <f t="shared" si="281"/>
        <v>0</v>
      </c>
      <c r="BE124" s="990">
        <v>0</v>
      </c>
      <c r="BF124" s="1107">
        <f t="shared" si="329"/>
        <v>0</v>
      </c>
      <c r="BG124" s="1108">
        <v>320</v>
      </c>
      <c r="BH124" s="1108">
        <v>0</v>
      </c>
      <c r="BI124" s="1132">
        <v>0</v>
      </c>
      <c r="BJ124" s="1108">
        <v>12.5</v>
      </c>
      <c r="BK124" s="1108">
        <v>0</v>
      </c>
      <c r="BL124" s="1107">
        <f t="shared" si="324"/>
        <v>21.35</v>
      </c>
      <c r="BM124" s="1107">
        <f t="shared" si="325"/>
        <v>2.67</v>
      </c>
      <c r="BN124" s="1107">
        <f t="shared" si="262"/>
        <v>4.63</v>
      </c>
      <c r="BO124" s="1107">
        <v>0</v>
      </c>
      <c r="BP124" s="1107">
        <v>0</v>
      </c>
      <c r="BQ124" s="1320">
        <f t="shared" si="301"/>
        <v>28.65</v>
      </c>
      <c r="BR124" s="1107">
        <f t="shared" si="326"/>
        <v>48.03</v>
      </c>
      <c r="BS124" s="1107">
        <f t="shared" si="327"/>
        <v>10.67</v>
      </c>
      <c r="BT124" s="1107">
        <f t="shared" si="263"/>
        <v>9.26</v>
      </c>
      <c r="BU124" s="1107">
        <v>0</v>
      </c>
      <c r="BV124" s="1108">
        <f t="shared" si="302"/>
        <v>67.959999999999994</v>
      </c>
      <c r="BW124" s="1112">
        <f t="shared" si="303"/>
        <v>96.609999999999985</v>
      </c>
      <c r="BX124" s="1112">
        <f t="shared" si="328"/>
        <v>867.21</v>
      </c>
      <c r="BY124" s="1108">
        <v>0</v>
      </c>
      <c r="BZ124" s="1108">
        <f t="shared" si="282"/>
        <v>867.21</v>
      </c>
      <c r="CA124" s="1321">
        <f>'CONCEPTOS Y PARAMETROS'!$A$102</f>
        <v>6255</v>
      </c>
      <c r="CB124" s="1112">
        <f t="shared" si="264"/>
        <v>202.60999999999999</v>
      </c>
      <c r="CC124" s="1113">
        <f t="shared" si="265"/>
        <v>563.75</v>
      </c>
      <c r="CD124" s="512"/>
      <c r="CE124" s="512"/>
      <c r="CF124" s="470">
        <f t="shared" si="266"/>
        <v>871.25</v>
      </c>
      <c r="CG124" s="495">
        <f t="shared" si="283"/>
        <v>202.60999999999999</v>
      </c>
      <c r="CH124" s="498">
        <f t="shared" si="267"/>
        <v>12.5</v>
      </c>
      <c r="CI124" s="1490">
        <f t="shared" si="284"/>
        <v>320</v>
      </c>
      <c r="CJ124" s="1500">
        <v>1</v>
      </c>
      <c r="CK124" s="495">
        <f t="shared" si="268"/>
        <v>551.25</v>
      </c>
      <c r="CL124" s="1689">
        <f t="shared" si="269"/>
        <v>551.25</v>
      </c>
      <c r="CM124" s="1689">
        <f t="shared" si="270"/>
        <v>0</v>
      </c>
      <c r="CN124" s="496">
        <f t="shared" si="271"/>
        <v>0</v>
      </c>
      <c r="CO124" s="497">
        <v>0</v>
      </c>
      <c r="CP124" s="496">
        <f t="shared" si="272"/>
        <v>0</v>
      </c>
      <c r="CQ124" s="496">
        <f t="shared" si="273"/>
        <v>0</v>
      </c>
      <c r="CR124" s="496">
        <f t="shared" si="274"/>
        <v>1102.5</v>
      </c>
      <c r="CS124" s="496">
        <f t="shared" si="275"/>
        <v>96.609999999999985</v>
      </c>
      <c r="CT124" s="496">
        <f t="shared" si="276"/>
        <v>6255</v>
      </c>
      <c r="CU124" s="470"/>
      <c r="CV124" s="470"/>
      <c r="CW124" s="470"/>
      <c r="CX124" s="470"/>
      <c r="CY124" s="1149" t="s">
        <v>6976</v>
      </c>
      <c r="CZ124" s="1149" t="s">
        <v>6879</v>
      </c>
      <c r="DA124" s="480"/>
      <c r="DB124" s="1152" t="s">
        <v>6401</v>
      </c>
      <c r="DC124" s="1152" t="s">
        <v>7549</v>
      </c>
      <c r="DD124" s="1152" t="s">
        <v>6123</v>
      </c>
      <c r="DE124" s="1152" t="s">
        <v>6402</v>
      </c>
      <c r="DF124" s="1152" t="s">
        <v>6403</v>
      </c>
      <c r="DG124" s="1152"/>
      <c r="DH124" s="470"/>
      <c r="DI124" s="470"/>
      <c r="DJ124" s="470"/>
      <c r="DK124" s="470"/>
      <c r="DL124" s="470"/>
      <c r="DN124" s="471" t="str">
        <f>VLOOKUP(X124,Hoja1!$A$4:$B$10,2,0)</f>
        <v>PROFESIONAL</v>
      </c>
      <c r="DO124" s="471" t="str">
        <f>VLOOKUP(S124,Hoja1!$D$4:$F$77,3,0)</f>
        <v>TII - III</v>
      </c>
      <c r="DP124" s="1156" t="str">
        <f t="shared" si="277"/>
        <v>0</v>
      </c>
      <c r="DQ124" s="1484">
        <f>IF(T124&lt;&gt;"0",(ROUND(IF(A124="EMPLEADO",eval_formula('CONCEPTOS Y PARAMETROS'!$C$8,NOMINA!V124,AU124+BF124,NOMINA!I124+NOMINA!J124),eval_formula('CONCEPTOS Y PARAMETROS'!$D$8,NOMINA!V124,AU124+BF124,NOMINA!I124+NOMINA!J124)),2))*IF(H124&lt;&gt;"",IF(MONTH(H124)=$BR$8,IF(YEAR(H124)&lt;$BT$7,1,0),0)))</f>
        <v>0</v>
      </c>
      <c r="DR124" s="1801" t="str">
        <f t="shared" si="278"/>
        <v>F</v>
      </c>
      <c r="DS124" s="1801"/>
    </row>
    <row r="125" spans="1:123" s="476" customFormat="1" ht="21.95" customHeight="1" x14ac:dyDescent="0.25">
      <c r="A125" s="508" t="s">
        <v>2846</v>
      </c>
      <c r="B125" s="1314">
        <f t="shared" ca="1" si="133"/>
        <v>82</v>
      </c>
      <c r="C125" s="1148">
        <v>12941385</v>
      </c>
      <c r="D125" s="1149" t="s">
        <v>4765</v>
      </c>
      <c r="E125" s="1135" t="s">
        <v>4622</v>
      </c>
      <c r="F125" s="1150">
        <v>28105</v>
      </c>
      <c r="G125" s="1135" t="s">
        <v>4620</v>
      </c>
      <c r="H125" s="1150">
        <v>42948</v>
      </c>
      <c r="I125" s="1140">
        <f t="shared" si="261"/>
        <v>8</v>
      </c>
      <c r="J125" s="1132">
        <v>0</v>
      </c>
      <c r="K125" s="1140">
        <f t="shared" si="279"/>
        <v>8</v>
      </c>
      <c r="L125" s="1145" t="s">
        <v>5529</v>
      </c>
      <c r="M125" s="1132"/>
      <c r="N125" s="1132"/>
      <c r="O125" s="1002" t="s">
        <v>5233</v>
      </c>
      <c r="P125" s="1132" t="s">
        <v>5334</v>
      </c>
      <c r="Q125" s="1315" t="str">
        <f>IFERROR(VLOOKUP(O125,CARGOS!A:E,2,0),"")</f>
        <v>79523</v>
      </c>
      <c r="R125" s="1327" t="s">
        <v>5233</v>
      </c>
      <c r="S125" s="1146" t="s">
        <v>5475</v>
      </c>
      <c r="T125" s="1107">
        <f>IFERROR(VLOOKUP(S125,'TAB EMP'!A:B,2,0),0)</f>
        <v>279</v>
      </c>
      <c r="U125" s="1108">
        <v>0</v>
      </c>
      <c r="V125" s="1107">
        <f t="shared" si="290"/>
        <v>279</v>
      </c>
      <c r="W125" s="1108">
        <f t="shared" si="291"/>
        <v>139.5</v>
      </c>
      <c r="X125" s="1135" t="s">
        <v>2885</v>
      </c>
      <c r="Y125" s="1135"/>
      <c r="Z125" s="1135">
        <v>0</v>
      </c>
      <c r="AA125" s="1107">
        <f>ROUND(IF(H125&lt;&gt;"",VLOOKUP(SUM(I125+J125),'CONCEPTOS Y PARAMETROS'!F:G,2,0)*V125,0),2)</f>
        <v>23.99</v>
      </c>
      <c r="AB125" s="1107">
        <f>IF(S125&lt;&gt;"",IF(M125="",'CONCEPTOS Y PARAMETROS'!$C$4,0),0)</f>
        <v>130</v>
      </c>
      <c r="AC125" s="1107">
        <f>IF(S125&lt;&gt;"",IF(M125="",'CONCEPTOS Y PARAMETROS'!$C$7*Z125,0),0)</f>
        <v>0</v>
      </c>
      <c r="AD125" s="1107">
        <f>IFERROR(ROUND(VLOOKUP($X125,'CONCEPTOS Y PARAMETROS'!H:I,2,0)*($V125+AA125+AB125+AC125),2),0)</f>
        <v>108.25</v>
      </c>
      <c r="AE125" s="1107">
        <f t="shared" si="287"/>
        <v>262.24</v>
      </c>
      <c r="AF125" s="1107">
        <f t="shared" si="292"/>
        <v>12</v>
      </c>
      <c r="AG125" s="1107">
        <f t="shared" si="293"/>
        <v>11.99</v>
      </c>
      <c r="AH125" s="1107">
        <f t="shared" si="294"/>
        <v>65</v>
      </c>
      <c r="AI125" s="1107">
        <f t="shared" si="295"/>
        <v>65</v>
      </c>
      <c r="AJ125" s="1107">
        <f t="shared" si="296"/>
        <v>54.13</v>
      </c>
      <c r="AK125" s="1107">
        <f t="shared" si="297"/>
        <v>54.12</v>
      </c>
      <c r="AL125" s="1108">
        <f t="shared" si="298"/>
        <v>131.13</v>
      </c>
      <c r="AM125" s="1108">
        <f t="shared" si="299"/>
        <v>131.11000000000001</v>
      </c>
      <c r="AN125" s="990">
        <v>0</v>
      </c>
      <c r="AO125" s="1147">
        <f>'CONCEPTOS Y PARAMETROS'!$C$18*AN125</f>
        <v>0</v>
      </c>
      <c r="AP125" s="990">
        <v>0</v>
      </c>
      <c r="AQ125" s="1147">
        <f>'CONCEPTOS Y PARAMETROS'!$C$21*AP125</f>
        <v>0</v>
      </c>
      <c r="AR125" s="1318">
        <v>0</v>
      </c>
      <c r="AS125" s="1318">
        <v>0</v>
      </c>
      <c r="AT125" s="1318">
        <f t="shared" si="288"/>
        <v>0</v>
      </c>
      <c r="AU125" s="1108">
        <f t="shared" si="280"/>
        <v>541.24</v>
      </c>
      <c r="AV125" s="1133">
        <v>0</v>
      </c>
      <c r="AW125" s="1108">
        <f>ROUND(IF(AV125="NOCTURN",(V125+AE125)*30%,0),2)</f>
        <v>0</v>
      </c>
      <c r="AX125" s="1107">
        <f>IF(T125&lt;&gt;"0",(ROUND(IF(A125="EMPLEADO",eval_formula('CONCEPTOS Y PARAMETROS'!$C$8,NOMINA!V125,NOMINA!$AU125,NOMINA!I125+NOMINA!J125),eval_formula('CONCEPTOS Y PARAMETROS'!$D$8,NOMINA!V125,NOMINA!$AU125,NOMINA!I125+NOMINA!J125)),2))*IF(H125&lt;&gt;"",IF(MONTH(H125)=$BR$8,IF(YEAR(H125)&lt;$BT$7,1,0),0)))</f>
        <v>0</v>
      </c>
      <c r="AY125" s="1108">
        <v>180</v>
      </c>
      <c r="AZ125" s="1107">
        <f>IFERROR(VLOOKUP(AY125,'CONCEPTOS Y PARAMETROS'!Y:Z,2,0),0)</f>
        <v>150</v>
      </c>
      <c r="BA125" s="1107">
        <f t="shared" si="300"/>
        <v>4059.3</v>
      </c>
      <c r="BB125" s="1107">
        <f t="shared" si="289"/>
        <v>0</v>
      </c>
      <c r="BC125" s="990">
        <v>0</v>
      </c>
      <c r="BD125" s="1107" t="str">
        <f t="shared" si="281"/>
        <v>0</v>
      </c>
      <c r="BE125" s="990">
        <v>0</v>
      </c>
      <c r="BF125" s="1107">
        <f t="shared" si="329"/>
        <v>0</v>
      </c>
      <c r="BG125" s="1108">
        <v>320</v>
      </c>
      <c r="BH125" s="1108">
        <v>0</v>
      </c>
      <c r="BI125" s="1132">
        <v>0</v>
      </c>
      <c r="BJ125" s="1108">
        <v>12.5</v>
      </c>
      <c r="BK125" s="1108">
        <v>0</v>
      </c>
      <c r="BL125" s="1107">
        <f t="shared" si="324"/>
        <v>24.98</v>
      </c>
      <c r="BM125" s="1107">
        <f t="shared" si="325"/>
        <v>3.12</v>
      </c>
      <c r="BN125" s="1107">
        <f t="shared" si="262"/>
        <v>5.41</v>
      </c>
      <c r="BO125" s="1107">
        <v>0</v>
      </c>
      <c r="BP125" s="1107">
        <v>0</v>
      </c>
      <c r="BQ125" s="1320">
        <f t="shared" si="301"/>
        <v>33.51</v>
      </c>
      <c r="BR125" s="1107">
        <f t="shared" si="326"/>
        <v>56.21</v>
      </c>
      <c r="BS125" s="1107">
        <f t="shared" si="327"/>
        <v>12.49</v>
      </c>
      <c r="BT125" s="1107">
        <f t="shared" si="263"/>
        <v>10.82</v>
      </c>
      <c r="BU125" s="1107">
        <v>0</v>
      </c>
      <c r="BV125" s="1108">
        <f t="shared" si="302"/>
        <v>79.52</v>
      </c>
      <c r="BW125" s="1112">
        <f t="shared" si="303"/>
        <v>113.03</v>
      </c>
      <c r="BX125" s="1112">
        <f t="shared" si="328"/>
        <v>1014.83</v>
      </c>
      <c r="BY125" s="1108">
        <v>0</v>
      </c>
      <c r="BZ125" s="1108">
        <f t="shared" si="282"/>
        <v>1014.83</v>
      </c>
      <c r="CA125" s="1321">
        <f>'CONCEPTOS Y PARAMETROS'!$A$102</f>
        <v>6255</v>
      </c>
      <c r="CB125" s="1112">
        <f t="shared" si="264"/>
        <v>237.12</v>
      </c>
      <c r="CC125" s="1113">
        <f t="shared" si="265"/>
        <v>603.11</v>
      </c>
      <c r="CD125" s="512"/>
      <c r="CE125" s="512"/>
      <c r="CF125" s="470">
        <f t="shared" si="266"/>
        <v>910.61</v>
      </c>
      <c r="CG125" s="509">
        <f t="shared" si="283"/>
        <v>237.12</v>
      </c>
      <c r="CH125" s="1603">
        <f t="shared" si="267"/>
        <v>12.5</v>
      </c>
      <c r="CI125" s="1491">
        <f t="shared" si="284"/>
        <v>320</v>
      </c>
      <c r="CJ125" s="1502">
        <v>1</v>
      </c>
      <c r="CK125" s="509">
        <f t="shared" si="268"/>
        <v>590.61</v>
      </c>
      <c r="CL125" s="1689">
        <f t="shared" si="269"/>
        <v>590.61</v>
      </c>
      <c r="CM125" s="1689">
        <f t="shared" si="270"/>
        <v>0</v>
      </c>
      <c r="CN125" s="510">
        <f t="shared" si="271"/>
        <v>0</v>
      </c>
      <c r="CO125" s="511">
        <v>0</v>
      </c>
      <c r="CP125" s="510">
        <f t="shared" si="272"/>
        <v>0</v>
      </c>
      <c r="CQ125" s="510">
        <f t="shared" si="273"/>
        <v>0</v>
      </c>
      <c r="CR125" s="510">
        <f t="shared" si="274"/>
        <v>1181.22</v>
      </c>
      <c r="CS125" s="510">
        <f t="shared" si="275"/>
        <v>113.03</v>
      </c>
      <c r="CT125" s="510">
        <f t="shared" si="276"/>
        <v>6255</v>
      </c>
      <c r="CU125" s="512"/>
      <c r="CV125" s="512"/>
      <c r="CW125" s="512"/>
      <c r="CX125" s="512"/>
      <c r="CY125" s="1149" t="s">
        <v>6827</v>
      </c>
      <c r="CZ125" s="1149" t="s">
        <v>7115</v>
      </c>
      <c r="DA125" s="1152"/>
      <c r="DB125" s="1642" t="s">
        <v>6370</v>
      </c>
      <c r="DC125" s="1642"/>
      <c r="DD125" s="1642" t="s">
        <v>6174</v>
      </c>
      <c r="DE125" s="1642" t="s">
        <v>6245</v>
      </c>
      <c r="DF125" s="1642" t="s">
        <v>6373</v>
      </c>
      <c r="DG125" s="1152"/>
      <c r="DH125" s="512"/>
      <c r="DI125" s="512"/>
      <c r="DJ125" s="512"/>
      <c r="DK125" s="512"/>
      <c r="DL125" s="512"/>
      <c r="DN125" s="476" t="str">
        <f>VLOOKUP(X125,Hoja1!$A$4:$B$10,2,0)</f>
        <v>PROFESIONAL</v>
      </c>
      <c r="DO125" s="476" t="str">
        <f>VLOOKUP(S125,Hoja1!$D$4:$F$77,3,0)</f>
        <v>PII - III</v>
      </c>
      <c r="DP125" s="1594" t="str">
        <f t="shared" si="277"/>
        <v>0</v>
      </c>
      <c r="DQ125" s="1484">
        <f>IF(T125&lt;&gt;"0",(ROUND(IF(A125="EMPLEADO",eval_formula('CONCEPTOS Y PARAMETROS'!$C$8,NOMINA!V125,AU125+BF125,NOMINA!I125+NOMINA!J125),eval_formula('CONCEPTOS Y PARAMETROS'!$D$8,NOMINA!V125,AU125+BF125,NOMINA!I125+NOMINA!J125)),2))*IF(H125&lt;&gt;"",IF(MONTH(H125)=$BR$8,IF(YEAR(H125)&lt;$BT$7,1,0),0)))</f>
        <v>0</v>
      </c>
      <c r="DR125" s="1799" t="str">
        <f t="shared" si="278"/>
        <v>F</v>
      </c>
      <c r="DS125" s="1799"/>
    </row>
    <row r="126" spans="1:123" s="522" customFormat="1" ht="21.95" customHeight="1" x14ac:dyDescent="0.25">
      <c r="A126" s="508" t="s">
        <v>2846</v>
      </c>
      <c r="B126" s="1314">
        <f t="shared" ca="1" si="133"/>
        <v>83</v>
      </c>
      <c r="C126" s="1148">
        <v>13117904</v>
      </c>
      <c r="D126" s="1149" t="s">
        <v>4766</v>
      </c>
      <c r="E126" s="1135" t="s">
        <v>4622</v>
      </c>
      <c r="F126" s="1150">
        <v>28096</v>
      </c>
      <c r="G126" s="1135" t="s">
        <v>4621</v>
      </c>
      <c r="H126" s="1150">
        <v>43693</v>
      </c>
      <c r="I126" s="1140">
        <f t="shared" si="261"/>
        <v>6</v>
      </c>
      <c r="J126" s="1132">
        <v>0</v>
      </c>
      <c r="K126" s="1140">
        <f t="shared" si="279"/>
        <v>6</v>
      </c>
      <c r="L126" s="1145" t="s">
        <v>5536</v>
      </c>
      <c r="M126" s="1132"/>
      <c r="N126" s="1132"/>
      <c r="O126" s="1002" t="s">
        <v>5218</v>
      </c>
      <c r="P126" s="1132" t="s">
        <v>5335</v>
      </c>
      <c r="Q126" s="1315" t="str">
        <f>IFERROR(VLOOKUP(O126,CARGOS!A:E,2,0),"")</f>
        <v>79511</v>
      </c>
      <c r="R126" s="1327" t="s">
        <v>5218</v>
      </c>
      <c r="S126" s="1146" t="s">
        <v>5480</v>
      </c>
      <c r="T126" s="1107">
        <f>IFERROR(VLOOKUP(S126,'TAB EMP'!A:B,2,0),0)</f>
        <v>170</v>
      </c>
      <c r="U126" s="1108">
        <v>0</v>
      </c>
      <c r="V126" s="1107">
        <f t="shared" si="290"/>
        <v>170</v>
      </c>
      <c r="W126" s="1108">
        <f t="shared" si="291"/>
        <v>85</v>
      </c>
      <c r="X126" s="1135" t="s">
        <v>2884</v>
      </c>
      <c r="Y126" s="1135"/>
      <c r="Z126" s="1135">
        <v>1</v>
      </c>
      <c r="AA126" s="1107">
        <f>ROUND(IF(H126&lt;&gt;"",VLOOKUP(SUM(I126+J126),'CONCEPTOS Y PARAMETROS'!F:G,2,0)*V126,0),2)</f>
        <v>10.54</v>
      </c>
      <c r="AB126" s="1107">
        <f>IF(S126&lt;&gt;"",IF(M126="",'CONCEPTOS Y PARAMETROS'!$C$4,0),0)</f>
        <v>130</v>
      </c>
      <c r="AC126" s="1107">
        <f>IF(S126&lt;&gt;"",IF(M126="",'CONCEPTOS Y PARAMETROS'!$C$7*Z126,0),0)</f>
        <v>12.5</v>
      </c>
      <c r="AD126" s="1107">
        <f>IFERROR(ROUND(VLOOKUP($X126,'CONCEPTOS Y PARAMETROS'!H:I,2,0)*($V126+AA126+AB126+AC126),2),0)</f>
        <v>0</v>
      </c>
      <c r="AE126" s="1107">
        <f t="shared" si="287"/>
        <v>153.04</v>
      </c>
      <c r="AF126" s="1107">
        <f t="shared" si="292"/>
        <v>5.27</v>
      </c>
      <c r="AG126" s="1107">
        <f t="shared" si="293"/>
        <v>5.27</v>
      </c>
      <c r="AH126" s="1107">
        <f t="shared" si="294"/>
        <v>65</v>
      </c>
      <c r="AI126" s="1107">
        <f t="shared" si="295"/>
        <v>65</v>
      </c>
      <c r="AJ126" s="1107">
        <f t="shared" si="296"/>
        <v>0</v>
      </c>
      <c r="AK126" s="1107">
        <f t="shared" si="297"/>
        <v>0</v>
      </c>
      <c r="AL126" s="1108">
        <f t="shared" si="298"/>
        <v>82.77</v>
      </c>
      <c r="AM126" s="1108">
        <f t="shared" si="299"/>
        <v>70.27</v>
      </c>
      <c r="AN126" s="1453">
        <v>1</v>
      </c>
      <c r="AO126" s="1147">
        <f>'CONCEPTOS Y PARAMETROS'!$C$18*AN126</f>
        <v>12.5</v>
      </c>
      <c r="AP126" s="990">
        <v>0</v>
      </c>
      <c r="AQ126" s="1147">
        <f>'CONCEPTOS Y PARAMETROS'!$C$21*AP126</f>
        <v>0</v>
      </c>
      <c r="AR126" s="1318">
        <v>0</v>
      </c>
      <c r="AS126" s="1318">
        <v>0</v>
      </c>
      <c r="AT126" s="1318">
        <f t="shared" si="288"/>
        <v>12.5</v>
      </c>
      <c r="AU126" s="1108">
        <f t="shared" si="280"/>
        <v>419.94999999999993</v>
      </c>
      <c r="AV126" s="1133" t="s">
        <v>5080</v>
      </c>
      <c r="AW126" s="1108">
        <f>ROUND(IF(AV126="NOCTURN",(V126+AE126)*30%,0),2)</f>
        <v>96.91</v>
      </c>
      <c r="AX126" s="1107">
        <f>IF(T126&lt;&gt;"0",(ROUND(IF(A126="EMPLEADO",eval_formula('CONCEPTOS Y PARAMETROS'!$C$8,NOMINA!V126,NOMINA!$AU126,NOMINA!I126+NOMINA!J126),eval_formula('CONCEPTOS Y PARAMETROS'!$D$8,NOMINA!V126,NOMINA!$AU126,NOMINA!I126+NOMINA!J126)),2))*IF(H126&lt;&gt;"",IF(MONTH(H126)=$BR$8,IF(YEAR(H126)&lt;$BT$7,1,0),0)))</f>
        <v>0</v>
      </c>
      <c r="AY126" s="1108">
        <v>180</v>
      </c>
      <c r="AZ126" s="1107">
        <f>IFERROR(VLOOKUP(AY126,'CONCEPTOS Y PARAMETROS'!Y:Z,2,0),0)</f>
        <v>150</v>
      </c>
      <c r="BA126" s="1107">
        <f t="shared" si="300"/>
        <v>3149.63</v>
      </c>
      <c r="BB126" s="1107">
        <f t="shared" si="289"/>
        <v>0</v>
      </c>
      <c r="BC126" s="990">
        <v>0</v>
      </c>
      <c r="BD126" s="1107" t="str">
        <f t="shared" si="281"/>
        <v>0</v>
      </c>
      <c r="BE126" s="990">
        <v>3</v>
      </c>
      <c r="BF126" s="1107">
        <f t="shared" si="329"/>
        <v>62.99</v>
      </c>
      <c r="BG126" s="1108">
        <v>320</v>
      </c>
      <c r="BH126" s="1108">
        <v>0</v>
      </c>
      <c r="BI126" s="1132">
        <v>0</v>
      </c>
      <c r="BJ126" s="1108">
        <v>12.5</v>
      </c>
      <c r="BK126" s="1108">
        <v>0</v>
      </c>
      <c r="BL126" s="1107">
        <f t="shared" si="324"/>
        <v>19.38</v>
      </c>
      <c r="BM126" s="1107">
        <f t="shared" si="325"/>
        <v>2.42</v>
      </c>
      <c r="BN126" s="1107">
        <f t="shared" si="262"/>
        <v>4.2</v>
      </c>
      <c r="BO126" s="1107">
        <v>0</v>
      </c>
      <c r="BP126" s="1107">
        <v>0</v>
      </c>
      <c r="BQ126" s="1320">
        <f t="shared" si="301"/>
        <v>26</v>
      </c>
      <c r="BR126" s="1107">
        <f t="shared" si="326"/>
        <v>43.61</v>
      </c>
      <c r="BS126" s="1107">
        <f t="shared" si="327"/>
        <v>9.69</v>
      </c>
      <c r="BT126" s="1107">
        <f t="shared" si="263"/>
        <v>8.4</v>
      </c>
      <c r="BU126" s="1107">
        <v>0</v>
      </c>
      <c r="BV126" s="1108">
        <f t="shared" si="302"/>
        <v>61.7</v>
      </c>
      <c r="BW126" s="1112">
        <f t="shared" si="303"/>
        <v>87.7</v>
      </c>
      <c r="BX126" s="1112">
        <f t="shared" si="328"/>
        <v>787.41</v>
      </c>
      <c r="BY126" s="1108">
        <v>0</v>
      </c>
      <c r="BZ126" s="1108">
        <f t="shared" si="282"/>
        <v>787.41</v>
      </c>
      <c r="CA126" s="1321">
        <f>'CONCEPTOS Y PARAMETROS'!$A$102</f>
        <v>6255</v>
      </c>
      <c r="CB126" s="1112">
        <f t="shared" si="264"/>
        <v>141.76999999999998</v>
      </c>
      <c r="CC126" s="1113">
        <f t="shared" si="265"/>
        <v>660.17</v>
      </c>
      <c r="CD126" s="512"/>
      <c r="CE126" s="512"/>
      <c r="CF126" s="470">
        <f t="shared" si="266"/>
        <v>795.27</v>
      </c>
      <c r="CG126" s="495">
        <f t="shared" si="283"/>
        <v>141.76999999999998</v>
      </c>
      <c r="CH126" s="498">
        <f t="shared" si="267"/>
        <v>25</v>
      </c>
      <c r="CI126" s="1490">
        <f t="shared" si="284"/>
        <v>320</v>
      </c>
      <c r="CJ126" s="1500">
        <v>1</v>
      </c>
      <c r="CK126" s="495">
        <f t="shared" si="268"/>
        <v>475.27</v>
      </c>
      <c r="CL126" s="1689">
        <f t="shared" si="269"/>
        <v>475.27</v>
      </c>
      <c r="CM126" s="1689">
        <f t="shared" si="270"/>
        <v>0</v>
      </c>
      <c r="CN126" s="496">
        <f t="shared" si="271"/>
        <v>62.99</v>
      </c>
      <c r="CO126" s="497">
        <v>0</v>
      </c>
      <c r="CP126" s="496">
        <f t="shared" si="272"/>
        <v>96.91</v>
      </c>
      <c r="CQ126" s="496">
        <f t="shared" si="273"/>
        <v>0</v>
      </c>
      <c r="CR126" s="496">
        <f t="shared" si="274"/>
        <v>1110.44</v>
      </c>
      <c r="CS126" s="496">
        <f t="shared" si="275"/>
        <v>87.7</v>
      </c>
      <c r="CT126" s="496">
        <f t="shared" si="276"/>
        <v>6255</v>
      </c>
      <c r="CU126" s="470"/>
      <c r="CV126" s="470"/>
      <c r="CW126" s="470"/>
      <c r="CX126" s="470"/>
      <c r="CY126" s="1149" t="s">
        <v>6844</v>
      </c>
      <c r="CZ126" s="1149" t="s">
        <v>7116</v>
      </c>
      <c r="DA126" s="480"/>
      <c r="DB126" s="1642" t="s">
        <v>6309</v>
      </c>
      <c r="DC126" s="1642"/>
      <c r="DD126" s="1642" t="s">
        <v>6174</v>
      </c>
      <c r="DE126" s="1642" t="s">
        <v>6245</v>
      </c>
      <c r="DF126" s="1642" t="s">
        <v>6547</v>
      </c>
      <c r="DG126" s="1642"/>
      <c r="DH126" s="470"/>
      <c r="DI126" s="915"/>
      <c r="DJ126" s="470"/>
      <c r="DK126" s="470"/>
      <c r="DL126" s="470"/>
      <c r="DM126" s="471"/>
      <c r="DN126" s="471" t="str">
        <f>VLOOKUP(X126,Hoja1!$A$4:$B$10,2,0)</f>
        <v>BACHILLER</v>
      </c>
      <c r="DO126" s="471" t="str">
        <f>VLOOKUP(S126,Hoja1!$D$4:$F$77,3,0)</f>
        <v>BIII - III</v>
      </c>
      <c r="DP126" s="1156" t="str">
        <f t="shared" si="277"/>
        <v>SI</v>
      </c>
      <c r="DQ126" s="1484">
        <f>IF(T126&lt;&gt;"0",(ROUND(IF(A126="EMPLEADO",eval_formula('CONCEPTOS Y PARAMETROS'!$C$8,NOMINA!V126,AU126+BF126,NOMINA!I126+NOMINA!J126),eval_formula('CONCEPTOS Y PARAMETROS'!$D$8,NOMINA!V126,AU126+BF126,NOMINA!I126+NOMINA!J126)),2))*IF(H126&lt;&gt;"",IF(MONTH(H126)=$BR$8,IF(YEAR(H126)&lt;$BT$7,1,0),0)))</f>
        <v>0</v>
      </c>
      <c r="DR126" s="1801" t="str">
        <f t="shared" si="278"/>
        <v>M</v>
      </c>
      <c r="DS126" s="1801"/>
    </row>
    <row r="127" spans="1:123" s="911" customFormat="1" ht="21.95" customHeight="1" x14ac:dyDescent="0.25">
      <c r="A127" s="910" t="s">
        <v>2846</v>
      </c>
      <c r="B127" s="1328">
        <f ca="1">OFFSET(B127,-1,0)+1</f>
        <v>84</v>
      </c>
      <c r="C127" s="1329">
        <v>13206767</v>
      </c>
      <c r="D127" s="1330" t="s">
        <v>4767</v>
      </c>
      <c r="E127" s="1331" t="s">
        <v>4622</v>
      </c>
      <c r="F127" s="1332">
        <v>27843</v>
      </c>
      <c r="G127" s="1331" t="s">
        <v>4620</v>
      </c>
      <c r="H127" s="1332">
        <v>44713</v>
      </c>
      <c r="I127" s="1333">
        <f t="shared" si="261"/>
        <v>3</v>
      </c>
      <c r="J127" s="1334">
        <v>0</v>
      </c>
      <c r="K127" s="1333">
        <f t="shared" si="279"/>
        <v>3</v>
      </c>
      <c r="L127" s="1335" t="s">
        <v>5521</v>
      </c>
      <c r="M127" s="1334"/>
      <c r="N127" s="1334"/>
      <c r="O127" s="1336" t="s">
        <v>5212</v>
      </c>
      <c r="P127" s="1334" t="s">
        <v>5188</v>
      </c>
      <c r="Q127" s="1337" t="str">
        <f>IFERROR(VLOOKUP(O127,CARGOS!A:E,2,0),"")</f>
        <v>35121</v>
      </c>
      <c r="R127" s="1336" t="s">
        <v>5212</v>
      </c>
      <c r="S127" s="1338" t="s">
        <v>5467</v>
      </c>
      <c r="T127" s="1339">
        <v>0</v>
      </c>
      <c r="U127" s="1307">
        <v>0</v>
      </c>
      <c r="V127" s="1339">
        <f>T127-U127</f>
        <v>0</v>
      </c>
      <c r="W127" s="1307">
        <f>ROUND(V127/2,2)</f>
        <v>0</v>
      </c>
      <c r="X127" s="1331" t="s">
        <v>2885</v>
      </c>
      <c r="Y127" s="1331"/>
      <c r="Z127" s="1331">
        <v>0</v>
      </c>
      <c r="AA127" s="1339">
        <f>ROUND(IF(H127&lt;&gt;"",VLOOKUP(SUM(I127+J127),'CONCEPTOS Y PARAMETROS'!F:G,2,0)*V127,0),2)</f>
        <v>0</v>
      </c>
      <c r="AB127" s="1339">
        <v>0</v>
      </c>
      <c r="AC127" s="1339">
        <v>0</v>
      </c>
      <c r="AD127" s="1339">
        <f>IFERROR(ROUND(VLOOKUP($X127,'CONCEPTOS Y PARAMETROS'!H:I,2,0)*($V127+AA127+AB127+AC127),2),0)</f>
        <v>0</v>
      </c>
      <c r="AE127" s="1339">
        <f>SUM(AA127:AD127)</f>
        <v>0</v>
      </c>
      <c r="AF127" s="1339">
        <f>ROUND(AA127/2,2)</f>
        <v>0</v>
      </c>
      <c r="AG127" s="1339">
        <f>ROUND(AA127-AF127,2)</f>
        <v>0</v>
      </c>
      <c r="AH127" s="1339">
        <f>ROUND(AB127/2,2)</f>
        <v>0</v>
      </c>
      <c r="AI127" s="1339">
        <f>ROUND(AB127-AH127,2)</f>
        <v>0</v>
      </c>
      <c r="AJ127" s="1339">
        <f>ROUND(AD127/2,2)</f>
        <v>0</v>
      </c>
      <c r="AK127" s="1339">
        <f>ROUND(AD127-AJ127,2)</f>
        <v>0</v>
      </c>
      <c r="AL127" s="1307">
        <f>ROUND(AF127+AH127+AJ127+AC127,2)</f>
        <v>0</v>
      </c>
      <c r="AM127" s="1307">
        <f>ROUND(AG127+AI127+AK127,2)</f>
        <v>0</v>
      </c>
      <c r="AN127" s="1340">
        <v>0</v>
      </c>
      <c r="AO127" s="1341">
        <v>0</v>
      </c>
      <c r="AP127" s="1340">
        <v>0</v>
      </c>
      <c r="AQ127" s="1341">
        <f>'CONCEPTOS Y PARAMETROS'!$C$21*AP127</f>
        <v>0</v>
      </c>
      <c r="AR127" s="1342">
        <v>0</v>
      </c>
      <c r="AS127" s="1342">
        <v>0</v>
      </c>
      <c r="AT127" s="1342">
        <f>+AO127+AQ127+AR127+AS127</f>
        <v>0</v>
      </c>
      <c r="AU127" s="1307">
        <f t="shared" si="280"/>
        <v>0</v>
      </c>
      <c r="AV127" s="1343">
        <v>0</v>
      </c>
      <c r="AW127" s="1307">
        <f>ROUND(IF(O127="VIGILANTE",(V127+AE127)*30%,0),2)</f>
        <v>0</v>
      </c>
      <c r="AX127" s="1339">
        <f>IF(T127&lt;&gt;"0",(ROUND(IF(A127="EMPLEADO",eval_formula('CONCEPTOS Y PARAMETROS'!$C$8,NOMINA!V127,NOMINA!$AU127,NOMINA!I127+NOMINA!J127),eval_formula('CONCEPTOS Y PARAMETROS'!$D$8,NOMINA!V127,NOMINA!$AU127,NOMINA!I127+NOMINA!J127)),2))*IF(H127&lt;&gt;"",IF(MONTH(H127)=$BR$8,IF(YEAR(H127)&lt;$BT$7,1,0),0)))</f>
        <v>0</v>
      </c>
      <c r="AY127" s="1307">
        <v>180</v>
      </c>
      <c r="AZ127" s="1339">
        <f>IFERROR(VLOOKUP(AY127,'CONCEPTOS Y PARAMETROS'!Y:Z,2,0),0)</f>
        <v>150</v>
      </c>
      <c r="BA127" s="1339">
        <f>ROUND((((AU127))/30*AY127/12+(AU127))/30*AZ127,2)</f>
        <v>0</v>
      </c>
      <c r="BB127" s="1339">
        <f t="shared" si="289"/>
        <v>0</v>
      </c>
      <c r="BC127" s="1340">
        <v>0</v>
      </c>
      <c r="BD127" s="1339" t="str">
        <f t="shared" si="281"/>
        <v>0</v>
      </c>
      <c r="BE127" s="1340">
        <v>0</v>
      </c>
      <c r="BF127" s="1339">
        <f t="shared" si="329"/>
        <v>0</v>
      </c>
      <c r="BG127" s="1307">
        <v>0</v>
      </c>
      <c r="BH127" s="1307">
        <v>0</v>
      </c>
      <c r="BI127" s="1334">
        <v>0</v>
      </c>
      <c r="BJ127" s="1307">
        <v>0</v>
      </c>
      <c r="BK127" s="1307">
        <v>0</v>
      </c>
      <c r="BL127" s="1339">
        <f t="shared" si="324"/>
        <v>0</v>
      </c>
      <c r="BM127" s="1339">
        <f t="shared" si="325"/>
        <v>0</v>
      </c>
      <c r="BN127" s="1339">
        <f t="shared" si="262"/>
        <v>0</v>
      </c>
      <c r="BO127" s="1339">
        <v>0</v>
      </c>
      <c r="BP127" s="1339">
        <v>0</v>
      </c>
      <c r="BQ127" s="1344">
        <f>ROUND(SUM(BL127:BP127),2)</f>
        <v>0</v>
      </c>
      <c r="BR127" s="1339">
        <f t="shared" si="326"/>
        <v>0</v>
      </c>
      <c r="BS127" s="1339">
        <f t="shared" si="327"/>
        <v>0</v>
      </c>
      <c r="BT127" s="1339">
        <f t="shared" si="263"/>
        <v>0</v>
      </c>
      <c r="BU127" s="1339">
        <v>0</v>
      </c>
      <c r="BV127" s="1307">
        <f>ROUND(SUM(BR127:BT127),2)</f>
        <v>0</v>
      </c>
      <c r="BW127" s="1305">
        <f>BQ127+BV127</f>
        <v>0</v>
      </c>
      <c r="BX127" s="1305">
        <f t="shared" si="328"/>
        <v>0</v>
      </c>
      <c r="BY127" s="1307">
        <v>0</v>
      </c>
      <c r="BZ127" s="1307">
        <f t="shared" si="282"/>
        <v>0</v>
      </c>
      <c r="CA127" s="1345">
        <v>0</v>
      </c>
      <c r="CB127" s="1305">
        <f t="shared" si="264"/>
        <v>0</v>
      </c>
      <c r="CC127" s="1346">
        <f t="shared" si="265"/>
        <v>0</v>
      </c>
      <c r="CD127" s="512"/>
      <c r="CE127" s="512"/>
      <c r="CF127" s="470">
        <f t="shared" si="266"/>
        <v>0</v>
      </c>
      <c r="CG127" s="912">
        <f t="shared" si="283"/>
        <v>0</v>
      </c>
      <c r="CH127" s="498">
        <f t="shared" si="267"/>
        <v>0</v>
      </c>
      <c r="CI127" s="1492">
        <f t="shared" si="284"/>
        <v>0</v>
      </c>
      <c r="CJ127" s="1504">
        <v>0</v>
      </c>
      <c r="CK127" s="912">
        <f t="shared" si="268"/>
        <v>0</v>
      </c>
      <c r="CL127" s="912">
        <f t="shared" si="269"/>
        <v>0</v>
      </c>
      <c r="CM127" s="912">
        <f t="shared" si="270"/>
        <v>0</v>
      </c>
      <c r="CN127" s="913">
        <f t="shared" si="271"/>
        <v>0</v>
      </c>
      <c r="CO127" s="914">
        <v>0</v>
      </c>
      <c r="CP127" s="913">
        <f t="shared" si="272"/>
        <v>0</v>
      </c>
      <c r="CQ127" s="913">
        <f t="shared" si="273"/>
        <v>0</v>
      </c>
      <c r="CR127" s="496">
        <f t="shared" si="274"/>
        <v>0</v>
      </c>
      <c r="CS127" s="913">
        <f t="shared" si="275"/>
        <v>0</v>
      </c>
      <c r="CT127" s="913">
        <f t="shared" si="276"/>
        <v>0</v>
      </c>
      <c r="CU127" s="470"/>
      <c r="CV127" s="470"/>
      <c r="CW127" s="470"/>
      <c r="CX127" s="470"/>
      <c r="CY127" s="1350" t="s">
        <v>6816</v>
      </c>
      <c r="CZ127" s="1350" t="s">
        <v>6803</v>
      </c>
      <c r="DA127" s="1613"/>
      <c r="DB127" s="1152" t="s">
        <v>6167</v>
      </c>
      <c r="DC127" s="1152"/>
      <c r="DD127" s="1143"/>
      <c r="DE127" s="1143"/>
      <c r="DF127" s="1143"/>
      <c r="DG127" s="1143"/>
      <c r="DH127" s="512"/>
      <c r="DI127" s="512"/>
      <c r="DJ127" s="915"/>
      <c r="DK127" s="915"/>
      <c r="DL127" s="915"/>
      <c r="DN127" s="911" t="str">
        <f>VLOOKUP(X127,Hoja1!$A$4:$B$10,2,0)</f>
        <v>PROFESIONAL</v>
      </c>
      <c r="DO127" s="911" t="str">
        <f>VLOOKUP(S127,Hoja1!$D$4:$F$77,3,0)</f>
        <v>PII - II</v>
      </c>
      <c r="DP127" s="1157" t="str">
        <f t="shared" si="277"/>
        <v>0</v>
      </c>
      <c r="DQ127" s="1484">
        <f>IF(T127&lt;&gt;"0",(ROUND(IF(A127="EMPLEADO",eval_formula('CONCEPTOS Y PARAMETROS'!$C$8,NOMINA!V127,AU127+BF127,NOMINA!I127+NOMINA!J127),eval_formula('CONCEPTOS Y PARAMETROS'!$D$8,NOMINA!V127,AU127+BF127,NOMINA!I127+NOMINA!J127)),2))*IF(H127&lt;&gt;"",IF(MONTH(H127)=$BR$8,IF(YEAR(H127)&lt;$BT$7,1,0),0)))</f>
        <v>0</v>
      </c>
      <c r="DR127" s="1800" t="str">
        <f t="shared" si="278"/>
        <v>F</v>
      </c>
      <c r="DS127" s="1800"/>
    </row>
    <row r="128" spans="1:123" s="471" customFormat="1" ht="21.95" customHeight="1" x14ac:dyDescent="0.25">
      <c r="A128" s="508" t="s">
        <v>2846</v>
      </c>
      <c r="B128" s="1314">
        <f t="shared" ca="1" si="133"/>
        <v>85</v>
      </c>
      <c r="C128" s="1148">
        <v>13207692</v>
      </c>
      <c r="D128" s="1149" t="s">
        <v>4768</v>
      </c>
      <c r="E128" s="1135" t="s">
        <v>4622</v>
      </c>
      <c r="F128" s="1150">
        <v>28766</v>
      </c>
      <c r="G128" s="1135" t="s">
        <v>4620</v>
      </c>
      <c r="H128" s="1150">
        <v>38504</v>
      </c>
      <c r="I128" s="1140">
        <f t="shared" si="261"/>
        <v>20</v>
      </c>
      <c r="J128" s="1132">
        <v>0</v>
      </c>
      <c r="K128" s="1140">
        <f t="shared" si="279"/>
        <v>20</v>
      </c>
      <c r="L128" s="1145" t="s">
        <v>5538</v>
      </c>
      <c r="M128" s="1132"/>
      <c r="N128" s="1132"/>
      <c r="O128" s="1002" t="s">
        <v>5245</v>
      </c>
      <c r="P128" s="1132" t="s">
        <v>5336</v>
      </c>
      <c r="Q128" s="1315" t="str">
        <f>IFERROR(VLOOKUP(O128,CARGOS!A:E,2,0),"")</f>
        <v>12123</v>
      </c>
      <c r="R128" s="1327" t="s">
        <v>5245</v>
      </c>
      <c r="S128" s="1146" t="s">
        <v>5458</v>
      </c>
      <c r="T128" s="1107">
        <f>IFERROR(VLOOKUP(S128,'TAB EMP'!A:B,2,0),0)</f>
        <v>287</v>
      </c>
      <c r="U128" s="1108">
        <v>0</v>
      </c>
      <c r="V128" s="1107">
        <f t="shared" si="290"/>
        <v>287</v>
      </c>
      <c r="W128" s="1108">
        <f t="shared" si="291"/>
        <v>143.5</v>
      </c>
      <c r="X128" s="1135" t="s">
        <v>2885</v>
      </c>
      <c r="Y128" s="1135"/>
      <c r="Z128" s="1135">
        <v>2</v>
      </c>
      <c r="AA128" s="1107">
        <f>ROUND(IF(H128&lt;&gt;"",VLOOKUP(SUM(I128+J128),'CONCEPTOS Y PARAMETROS'!F:G,2,0)*V128,0),2)</f>
        <v>74.62</v>
      </c>
      <c r="AB128" s="1107">
        <f>IF(S128&lt;&gt;"",IF(M128="",'CONCEPTOS Y PARAMETROS'!$C$4,0),0)</f>
        <v>130</v>
      </c>
      <c r="AC128" s="1107">
        <f>IF(S128&lt;&gt;"",IF(M128="",'CONCEPTOS Y PARAMETROS'!$C$7*Z128,0),0)</f>
        <v>25</v>
      </c>
      <c r="AD128" s="1107">
        <f>IFERROR(ROUND(VLOOKUP($X128,'CONCEPTOS Y PARAMETROS'!H:I,2,0)*($V128+AA128+AB128+AC128),2),0)</f>
        <v>129.16</v>
      </c>
      <c r="AE128" s="1107">
        <f t="shared" si="287"/>
        <v>358.78</v>
      </c>
      <c r="AF128" s="1107">
        <f t="shared" si="292"/>
        <v>37.31</v>
      </c>
      <c r="AG128" s="1107">
        <f t="shared" si="293"/>
        <v>37.31</v>
      </c>
      <c r="AH128" s="1107">
        <f t="shared" si="294"/>
        <v>65</v>
      </c>
      <c r="AI128" s="1107">
        <f t="shared" si="295"/>
        <v>65</v>
      </c>
      <c r="AJ128" s="1107">
        <f t="shared" si="296"/>
        <v>64.58</v>
      </c>
      <c r="AK128" s="1107">
        <f t="shared" si="297"/>
        <v>64.58</v>
      </c>
      <c r="AL128" s="1108">
        <f t="shared" si="298"/>
        <v>191.89</v>
      </c>
      <c r="AM128" s="1108">
        <f t="shared" si="299"/>
        <v>166.89</v>
      </c>
      <c r="AN128" s="1453">
        <v>2</v>
      </c>
      <c r="AO128" s="1147">
        <f>'CONCEPTOS Y PARAMETROS'!$C$18*AN128</f>
        <v>25</v>
      </c>
      <c r="AP128" s="990">
        <v>0</v>
      </c>
      <c r="AQ128" s="1147">
        <f>'CONCEPTOS Y PARAMETROS'!$C$21*AP128</f>
        <v>0</v>
      </c>
      <c r="AR128" s="1318">
        <v>0</v>
      </c>
      <c r="AS128" s="1318">
        <v>0</v>
      </c>
      <c r="AT128" s="1318">
        <f t="shared" si="288"/>
        <v>25</v>
      </c>
      <c r="AU128" s="1108">
        <f t="shared" si="280"/>
        <v>645.78</v>
      </c>
      <c r="AV128" s="1133">
        <v>0</v>
      </c>
      <c r="AW128" s="1108">
        <f t="shared" ref="AW128:AW132" si="330">ROUND(IF(AV128="NOCTURN",(V128+AE128)*30%,0),2)</f>
        <v>0</v>
      </c>
      <c r="AX128" s="1107">
        <f>IF(T128&lt;&gt;"0",(ROUND(IF(A128="EMPLEADO",eval_formula('CONCEPTOS Y PARAMETROS'!$C$8,NOMINA!V128,NOMINA!$AU128,NOMINA!I128+NOMINA!J128),eval_formula('CONCEPTOS Y PARAMETROS'!$D$8,NOMINA!V128,NOMINA!$AU128,NOMINA!I128+NOMINA!J128)),2))*IF(H128&lt;&gt;"",IF(MONTH(H128)=$BR$8,IF(YEAR(H128)&lt;$BT$7,1,0),0)))</f>
        <v>0</v>
      </c>
      <c r="AY128" s="1108">
        <v>180</v>
      </c>
      <c r="AZ128" s="1107">
        <f>IFERROR(VLOOKUP(AY128,'CONCEPTOS Y PARAMETROS'!Y:Z,2,0),0)</f>
        <v>150</v>
      </c>
      <c r="BA128" s="1107">
        <f t="shared" si="300"/>
        <v>4843.3500000000004</v>
      </c>
      <c r="BB128" s="1107">
        <f t="shared" si="289"/>
        <v>0</v>
      </c>
      <c r="BC128" s="990">
        <v>0</v>
      </c>
      <c r="BD128" s="1107" t="str">
        <f t="shared" si="281"/>
        <v>0</v>
      </c>
      <c r="BE128" s="990">
        <v>0</v>
      </c>
      <c r="BF128" s="1107">
        <f t="shared" si="329"/>
        <v>0</v>
      </c>
      <c r="BG128" s="1108">
        <v>320</v>
      </c>
      <c r="BH128" s="1108">
        <v>0</v>
      </c>
      <c r="BI128" s="1132">
        <v>0</v>
      </c>
      <c r="BJ128" s="1108">
        <v>12.5</v>
      </c>
      <c r="BK128" s="1108">
        <v>0</v>
      </c>
      <c r="BL128" s="1107">
        <f t="shared" si="324"/>
        <v>29.81</v>
      </c>
      <c r="BM128" s="1107">
        <f t="shared" si="325"/>
        <v>3.73</v>
      </c>
      <c r="BN128" s="1107">
        <f t="shared" si="262"/>
        <v>6.46</v>
      </c>
      <c r="BO128" s="1107">
        <v>0</v>
      </c>
      <c r="BP128" s="1107">
        <v>0</v>
      </c>
      <c r="BQ128" s="1320">
        <f t="shared" si="301"/>
        <v>40</v>
      </c>
      <c r="BR128" s="1107">
        <f t="shared" si="326"/>
        <v>67.06</v>
      </c>
      <c r="BS128" s="1107">
        <f t="shared" si="327"/>
        <v>14.9</v>
      </c>
      <c r="BT128" s="1107">
        <f t="shared" si="263"/>
        <v>12.92</v>
      </c>
      <c r="BU128" s="1107">
        <v>0</v>
      </c>
      <c r="BV128" s="1108">
        <f t="shared" si="302"/>
        <v>94.88</v>
      </c>
      <c r="BW128" s="1112">
        <f t="shared" si="303"/>
        <v>134.88</v>
      </c>
      <c r="BX128" s="1112">
        <f t="shared" si="328"/>
        <v>1210.8399999999999</v>
      </c>
      <c r="BY128" s="1108">
        <v>0</v>
      </c>
      <c r="BZ128" s="1108">
        <f t="shared" si="282"/>
        <v>1210.8399999999999</v>
      </c>
      <c r="CA128" s="1321">
        <f>'CONCEPTOS Y PARAMETROS'!$A$102</f>
        <v>6255</v>
      </c>
      <c r="CB128" s="1112">
        <f t="shared" si="264"/>
        <v>295.39</v>
      </c>
      <c r="CC128" s="1113">
        <f t="shared" si="265"/>
        <v>667.89</v>
      </c>
      <c r="CD128" s="512"/>
      <c r="CE128" s="512"/>
      <c r="CF128" s="470">
        <f t="shared" si="266"/>
        <v>950.39</v>
      </c>
      <c r="CG128" s="495">
        <f t="shared" si="283"/>
        <v>295.39</v>
      </c>
      <c r="CH128" s="498">
        <f t="shared" si="267"/>
        <v>37.5</v>
      </c>
      <c r="CI128" s="1490">
        <f t="shared" si="284"/>
        <v>320</v>
      </c>
      <c r="CJ128" s="1500">
        <v>2</v>
      </c>
      <c r="CK128" s="495">
        <f t="shared" si="268"/>
        <v>630.39</v>
      </c>
      <c r="CL128" s="1689">
        <f t="shared" si="269"/>
        <v>302.58999999999997</v>
      </c>
      <c r="CM128" s="1689">
        <f t="shared" si="270"/>
        <v>327.8</v>
      </c>
      <c r="CN128" s="496">
        <f t="shared" si="271"/>
        <v>0</v>
      </c>
      <c r="CO128" s="497">
        <v>0</v>
      </c>
      <c r="CP128" s="496">
        <f t="shared" si="272"/>
        <v>0</v>
      </c>
      <c r="CQ128" s="496">
        <f t="shared" si="273"/>
        <v>0</v>
      </c>
      <c r="CR128" s="496">
        <f t="shared" si="274"/>
        <v>1260.78</v>
      </c>
      <c r="CS128" s="496">
        <f t="shared" si="275"/>
        <v>134.88</v>
      </c>
      <c r="CT128" s="496">
        <f t="shared" si="276"/>
        <v>6255</v>
      </c>
      <c r="CU128" s="470"/>
      <c r="CV128" s="470"/>
      <c r="CW128" s="470"/>
      <c r="CX128" s="470"/>
      <c r="CY128" s="1149" t="s">
        <v>7063</v>
      </c>
      <c r="CZ128" s="1149" t="s">
        <v>6893</v>
      </c>
      <c r="DA128" s="480"/>
      <c r="DB128" s="1642" t="s">
        <v>6385</v>
      </c>
      <c r="DC128" s="1642"/>
      <c r="DD128" s="1642" t="s">
        <v>6123</v>
      </c>
      <c r="DE128" s="1642" t="s">
        <v>6380</v>
      </c>
      <c r="DF128" s="1642" t="s">
        <v>7412</v>
      </c>
      <c r="DG128" s="1642"/>
      <c r="DH128" s="512"/>
      <c r="DI128" s="512"/>
      <c r="DJ128" s="470"/>
      <c r="DK128" s="470"/>
      <c r="DL128" s="470"/>
      <c r="DN128" s="471" t="str">
        <f>VLOOKUP(X128,Hoja1!$A$4:$B$10,2,0)</f>
        <v>PROFESIONAL</v>
      </c>
      <c r="DO128" s="471" t="str">
        <f>VLOOKUP(S128,Hoja1!$D$4:$F$77,3,0)</f>
        <v>PII - VII</v>
      </c>
      <c r="DP128" s="1156" t="str">
        <f t="shared" si="277"/>
        <v>0</v>
      </c>
      <c r="DQ128" s="1484">
        <f>IF(T128&lt;&gt;"0",(ROUND(IF(A128="EMPLEADO",eval_formula('CONCEPTOS Y PARAMETROS'!$C$8,NOMINA!V128,AU128+BF128,NOMINA!I128+NOMINA!J128),eval_formula('CONCEPTOS Y PARAMETROS'!$D$8,NOMINA!V128,AU128+BF128,NOMINA!I128+NOMINA!J128)),2))*IF(H128&lt;&gt;"",IF(MONTH(H128)=$BR$8,IF(YEAR(H128)&lt;$BT$7,1,0),0)))</f>
        <v>0</v>
      </c>
      <c r="DR128" s="1801" t="str">
        <f t="shared" si="278"/>
        <v>F</v>
      </c>
      <c r="DS128" s="1801"/>
    </row>
    <row r="129" spans="1:123" s="476" customFormat="1" ht="21.95" customHeight="1" x14ac:dyDescent="0.25">
      <c r="A129" s="508" t="s">
        <v>2846</v>
      </c>
      <c r="B129" s="1314">
        <f t="shared" ca="1" si="133"/>
        <v>86</v>
      </c>
      <c r="C129" s="1148">
        <v>13260050</v>
      </c>
      <c r="D129" s="1149" t="s">
        <v>6484</v>
      </c>
      <c r="E129" s="1135" t="s">
        <v>4622</v>
      </c>
      <c r="F129" s="1150">
        <v>28247</v>
      </c>
      <c r="G129" s="1135" t="s">
        <v>4620</v>
      </c>
      <c r="H129" s="1150">
        <v>45444</v>
      </c>
      <c r="I129" s="1140">
        <f t="shared" si="261"/>
        <v>1</v>
      </c>
      <c r="J129" s="1132">
        <v>12</v>
      </c>
      <c r="K129" s="1140">
        <f t="shared" si="279"/>
        <v>13</v>
      </c>
      <c r="L129" s="1145" t="s">
        <v>5538</v>
      </c>
      <c r="M129" s="1132"/>
      <c r="N129" s="1132"/>
      <c r="O129" s="1002" t="s">
        <v>77</v>
      </c>
      <c r="P129" s="1151" t="s">
        <v>6600</v>
      </c>
      <c r="Q129" s="1315" t="str">
        <f>IFERROR(VLOOKUP(O129,CARGOS!A:E,2,0),"")</f>
        <v>12123</v>
      </c>
      <c r="R129" s="1327" t="s">
        <v>5245</v>
      </c>
      <c r="S129" s="1146" t="s">
        <v>5466</v>
      </c>
      <c r="T129" s="1107">
        <f>IFERROR(VLOOKUP(S129,'TAB EMP'!A:B,2,0),0)</f>
        <v>283</v>
      </c>
      <c r="U129" s="1108">
        <v>0</v>
      </c>
      <c r="V129" s="1107">
        <f t="shared" ref="V129" si="331">T129-U129</f>
        <v>283</v>
      </c>
      <c r="W129" s="1108">
        <f t="shared" ref="W129" si="332">ROUND(V129/2,2)</f>
        <v>141.5</v>
      </c>
      <c r="X129" s="1135" t="s">
        <v>2885</v>
      </c>
      <c r="Y129" s="1135"/>
      <c r="Z129" s="1135">
        <v>0</v>
      </c>
      <c r="AA129" s="1107">
        <f>ROUND(IF(H129&lt;&gt;"",VLOOKUP(SUM(I129+J129),'CONCEPTOS Y PARAMETROS'!F:G,2,0)*V129,0),2)</f>
        <v>43.02</v>
      </c>
      <c r="AB129" s="1107">
        <f>IF(S129&lt;&gt;"",IF(M129="",'CONCEPTOS Y PARAMETROS'!$C$4,0),0)</f>
        <v>130</v>
      </c>
      <c r="AC129" s="1107">
        <f>IF(S129&lt;&gt;"",IF(M129="",'CONCEPTOS Y PARAMETROS'!$C$7*Z129,0),0)</f>
        <v>0</v>
      </c>
      <c r="AD129" s="1107">
        <f>IFERROR(ROUND(VLOOKUP($X129,'CONCEPTOS Y PARAMETROS'!H:I,2,0)*($V129+AA129+AB129+AC129),2),0)</f>
        <v>114.01</v>
      </c>
      <c r="AE129" s="1107">
        <f t="shared" ref="AE129" si="333">SUM(AA129:AD129)</f>
        <v>287.03000000000003</v>
      </c>
      <c r="AF129" s="1107">
        <f t="shared" ref="AF129" si="334">ROUND(AA129/2,2)</f>
        <v>21.51</v>
      </c>
      <c r="AG129" s="1107">
        <f t="shared" ref="AG129" si="335">ROUND(AA129-AF129,2)</f>
        <v>21.51</v>
      </c>
      <c r="AH129" s="1107">
        <f t="shared" ref="AH129" si="336">ROUND(AB129/2,2)</f>
        <v>65</v>
      </c>
      <c r="AI129" s="1107">
        <f t="shared" ref="AI129" si="337">ROUND(AB129-AH129,2)</f>
        <v>65</v>
      </c>
      <c r="AJ129" s="1107">
        <f t="shared" ref="AJ129" si="338">ROUND(AD129/2,2)</f>
        <v>57.01</v>
      </c>
      <c r="AK129" s="1107">
        <f t="shared" ref="AK129" si="339">ROUND(AD129-AJ129,2)</f>
        <v>57</v>
      </c>
      <c r="AL129" s="1108">
        <f t="shared" ref="AL129" si="340">ROUND(AF129+AH129+AJ129+AC129,2)</f>
        <v>143.52000000000001</v>
      </c>
      <c r="AM129" s="1108">
        <f t="shared" ref="AM129" si="341">ROUND(AG129+AI129+AK129,2)</f>
        <v>143.51</v>
      </c>
      <c r="AN129" s="990">
        <v>0</v>
      </c>
      <c r="AO129" s="1147">
        <f>'CONCEPTOS Y PARAMETROS'!$C$18*AN129</f>
        <v>0</v>
      </c>
      <c r="AP129" s="990">
        <v>0</v>
      </c>
      <c r="AQ129" s="1147">
        <f>'CONCEPTOS Y PARAMETROS'!$C$21*AP129</f>
        <v>0</v>
      </c>
      <c r="AR129" s="1318">
        <v>0</v>
      </c>
      <c r="AS129" s="1318">
        <v>0</v>
      </c>
      <c r="AT129" s="1318">
        <f t="shared" ref="AT129" si="342">+AO129+AQ129+AR129+AS129</f>
        <v>0</v>
      </c>
      <c r="AU129" s="1108">
        <f t="shared" si="280"/>
        <v>570.03</v>
      </c>
      <c r="AV129" s="1133">
        <v>0</v>
      </c>
      <c r="AW129" s="1108">
        <f t="shared" si="330"/>
        <v>0</v>
      </c>
      <c r="AX129" s="1107">
        <f>IF(T129&lt;&gt;"0",(ROUND(IF(A129="EMPLEADO",eval_formula('CONCEPTOS Y PARAMETROS'!$C$8,NOMINA!V129,NOMINA!$AU129,NOMINA!I129+NOMINA!J129),eval_formula('CONCEPTOS Y PARAMETROS'!$D$8,NOMINA!V129,NOMINA!$AU129,NOMINA!I129+NOMINA!J129)),2))*IF(H129&lt;&gt;"",IF(MONTH(H129)=$BR$8,IF(YEAR(H129)&lt;$BT$7,1,0),0)))</f>
        <v>0</v>
      </c>
      <c r="AY129" s="1108">
        <v>105</v>
      </c>
      <c r="AZ129" s="1107">
        <f>IFERROR(VLOOKUP(AY129,'CONCEPTOS Y PARAMETROS'!Y:Z,2,0),0)</f>
        <v>87.5</v>
      </c>
      <c r="BA129" s="1107">
        <f t="shared" ref="BA129" si="343">ROUND((((AU129))/30*AY129/12+(AU129))/30*AZ129,2)</f>
        <v>2147.5100000000002</v>
      </c>
      <c r="BB129" s="1107">
        <f t="shared" si="289"/>
        <v>0</v>
      </c>
      <c r="BC129" s="990">
        <v>0</v>
      </c>
      <c r="BD129" s="1107" t="str">
        <f t="shared" si="281"/>
        <v>0</v>
      </c>
      <c r="BE129" s="990">
        <v>0</v>
      </c>
      <c r="BF129" s="1107">
        <f t="shared" si="329"/>
        <v>0</v>
      </c>
      <c r="BG129" s="1108">
        <v>320</v>
      </c>
      <c r="BH129" s="1135">
        <v>0</v>
      </c>
      <c r="BI129" s="1132">
        <v>0</v>
      </c>
      <c r="BJ129" s="1108">
        <v>12.5</v>
      </c>
      <c r="BK129" s="1108">
        <v>0</v>
      </c>
      <c r="BL129" s="1107">
        <f t="shared" si="324"/>
        <v>26.31</v>
      </c>
      <c r="BM129" s="1107">
        <f t="shared" si="325"/>
        <v>3.29</v>
      </c>
      <c r="BN129" s="1107">
        <f t="shared" si="262"/>
        <v>5.7</v>
      </c>
      <c r="BO129" s="1107">
        <v>0</v>
      </c>
      <c r="BP129" s="1107">
        <v>0</v>
      </c>
      <c r="BQ129" s="1320">
        <f t="shared" ref="BQ129" si="344">ROUND(SUM(BL129:BP129),2)</f>
        <v>35.299999999999997</v>
      </c>
      <c r="BR129" s="1107">
        <f t="shared" si="326"/>
        <v>59.2</v>
      </c>
      <c r="BS129" s="1107">
        <f t="shared" si="327"/>
        <v>13.15</v>
      </c>
      <c r="BT129" s="1107">
        <f t="shared" si="263"/>
        <v>11.4</v>
      </c>
      <c r="BU129" s="1107">
        <v>0</v>
      </c>
      <c r="BV129" s="1108">
        <f t="shared" ref="BV129" si="345">ROUND(SUM(BR129:BT129),2)</f>
        <v>83.75</v>
      </c>
      <c r="BW129" s="1112">
        <f t="shared" ref="BW129" si="346">BQ129+BV129</f>
        <v>119.05</v>
      </c>
      <c r="BX129" s="1112">
        <f t="shared" si="328"/>
        <v>536.88</v>
      </c>
      <c r="BY129" s="1108">
        <v>0</v>
      </c>
      <c r="BZ129" s="1108">
        <f t="shared" si="282"/>
        <v>536.88</v>
      </c>
      <c r="CA129" s="1321">
        <f>'CONCEPTOS Y PARAMETROS'!$A$102</f>
        <v>6255</v>
      </c>
      <c r="CB129" s="1112">
        <f t="shared" si="264"/>
        <v>249.71999999999997</v>
      </c>
      <c r="CC129" s="1113">
        <f t="shared" si="265"/>
        <v>617.51</v>
      </c>
      <c r="CD129" s="512"/>
      <c r="CE129" s="512"/>
      <c r="CF129" s="470">
        <f t="shared" si="266"/>
        <v>925.01</v>
      </c>
      <c r="CG129" s="509">
        <f t="shared" si="283"/>
        <v>249.71999999999997</v>
      </c>
      <c r="CH129" s="1603">
        <f t="shared" si="267"/>
        <v>12.5</v>
      </c>
      <c r="CI129" s="1491">
        <f t="shared" si="284"/>
        <v>320</v>
      </c>
      <c r="CJ129" s="1502">
        <v>1</v>
      </c>
      <c r="CK129" s="509">
        <f t="shared" si="268"/>
        <v>605.01</v>
      </c>
      <c r="CL129" s="1689">
        <f t="shared" si="269"/>
        <v>290.39999999999998</v>
      </c>
      <c r="CM129" s="1689">
        <f t="shared" si="270"/>
        <v>314.61</v>
      </c>
      <c r="CN129" s="510">
        <f t="shared" si="271"/>
        <v>0</v>
      </c>
      <c r="CO129" s="511">
        <v>0</v>
      </c>
      <c r="CP129" s="510">
        <f t="shared" si="272"/>
        <v>0</v>
      </c>
      <c r="CQ129" s="510">
        <f t="shared" si="273"/>
        <v>0</v>
      </c>
      <c r="CR129" s="510">
        <f t="shared" si="274"/>
        <v>1210.02</v>
      </c>
      <c r="CS129" s="510">
        <f t="shared" si="275"/>
        <v>119.05</v>
      </c>
      <c r="CT129" s="510">
        <f t="shared" si="276"/>
        <v>6255</v>
      </c>
      <c r="CU129" s="512"/>
      <c r="CV129" s="512"/>
      <c r="CW129" s="512"/>
      <c r="CX129" s="512"/>
      <c r="CY129" s="1149" t="s">
        <v>6345</v>
      </c>
      <c r="CZ129" s="1149" t="s">
        <v>6805</v>
      </c>
      <c r="DA129" s="1152"/>
      <c r="DB129" s="1642" t="s">
        <v>7414</v>
      </c>
      <c r="DC129" s="1642"/>
      <c r="DD129" s="1642" t="s">
        <v>6315</v>
      </c>
      <c r="DE129" s="1642" t="s">
        <v>6316</v>
      </c>
      <c r="DF129" s="1642" t="s">
        <v>6491</v>
      </c>
      <c r="DG129" s="1642"/>
      <c r="DH129" s="512"/>
      <c r="DI129" s="512"/>
      <c r="DJ129" s="512"/>
      <c r="DK129" s="512"/>
      <c r="DL129" s="512"/>
      <c r="DN129" s="476" t="str">
        <f>VLOOKUP(X129,Hoja1!$A$4:$B$10,2,0)</f>
        <v>PROFESIONAL</v>
      </c>
      <c r="DO129" s="476" t="str">
        <f>VLOOKUP(S129,Hoja1!$D$4:$F$77,3,0)</f>
        <v>PII - V</v>
      </c>
      <c r="DP129" s="1594" t="str">
        <f t="shared" si="277"/>
        <v>0</v>
      </c>
      <c r="DQ129" s="1484">
        <f>IF(T129&lt;&gt;"0",(ROUND(IF(A129="EMPLEADO",eval_formula('CONCEPTOS Y PARAMETROS'!$C$8,NOMINA!V129,AU129+BF129,NOMINA!I129+NOMINA!J129),eval_formula('CONCEPTOS Y PARAMETROS'!$D$8,NOMINA!V129,AU129+BF129,NOMINA!I129+NOMINA!J129)),2))*IF(H129&lt;&gt;"",IF(MONTH(H129)=$BR$8,IF(YEAR(H129)&lt;$BT$7,1,0),0)))</f>
        <v>0</v>
      </c>
      <c r="DR129" s="1799" t="str">
        <f t="shared" si="278"/>
        <v>F</v>
      </c>
      <c r="DS129" s="1799"/>
    </row>
    <row r="130" spans="1:123" s="471" customFormat="1" ht="21.95" customHeight="1" x14ac:dyDescent="0.25">
      <c r="A130" s="508" t="s">
        <v>2846</v>
      </c>
      <c r="B130" s="1314">
        <f t="shared" ca="1" si="133"/>
        <v>87</v>
      </c>
      <c r="C130" s="1148">
        <v>13261035</v>
      </c>
      <c r="D130" s="1149" t="s">
        <v>4769</v>
      </c>
      <c r="E130" s="1135" t="s">
        <v>4622</v>
      </c>
      <c r="F130" s="1150">
        <v>27619</v>
      </c>
      <c r="G130" s="1135" t="s">
        <v>4620</v>
      </c>
      <c r="H130" s="1150">
        <v>43770</v>
      </c>
      <c r="I130" s="1140">
        <f t="shared" si="261"/>
        <v>5</v>
      </c>
      <c r="J130" s="1132">
        <v>0</v>
      </c>
      <c r="K130" s="1140">
        <f t="shared" si="279"/>
        <v>5</v>
      </c>
      <c r="L130" s="1145" t="s">
        <v>5532</v>
      </c>
      <c r="M130" s="1132"/>
      <c r="N130" s="1132"/>
      <c r="O130" s="1002" t="s">
        <v>5246</v>
      </c>
      <c r="P130" s="1132" t="s">
        <v>5337</v>
      </c>
      <c r="Q130" s="1315" t="str">
        <f>IFERROR(VLOOKUP(O130,CARGOS!A:E,2,0),"")</f>
        <v>34235</v>
      </c>
      <c r="R130" s="1327" t="s">
        <v>5246</v>
      </c>
      <c r="S130" s="1146" t="s">
        <v>5467</v>
      </c>
      <c r="T130" s="1107">
        <f>IFERROR(VLOOKUP(S130,'TAB EMP'!A:B,2,0),0)</f>
        <v>277</v>
      </c>
      <c r="U130" s="1108">
        <v>0</v>
      </c>
      <c r="V130" s="1107">
        <f t="shared" si="290"/>
        <v>277</v>
      </c>
      <c r="W130" s="1108">
        <f t="shared" si="291"/>
        <v>138.5</v>
      </c>
      <c r="X130" s="1135" t="s">
        <v>2885</v>
      </c>
      <c r="Y130" s="1135"/>
      <c r="Z130" s="1135">
        <v>0</v>
      </c>
      <c r="AA130" s="1107">
        <f>ROUND(IF(H130&lt;&gt;"",VLOOKUP(SUM(I130+J130),'CONCEPTOS Y PARAMETROS'!F:G,2,0)*V130,0),2)</f>
        <v>13.85</v>
      </c>
      <c r="AB130" s="1107">
        <f>IF(S130&lt;&gt;"",IF(M130="",'CONCEPTOS Y PARAMETROS'!$C$4,0),0)</f>
        <v>130</v>
      </c>
      <c r="AC130" s="1107">
        <f>IF(S130&lt;&gt;"",IF(M130="",'CONCEPTOS Y PARAMETROS'!$C$7*Z130,0),0)</f>
        <v>0</v>
      </c>
      <c r="AD130" s="1107">
        <f>IFERROR(ROUND(VLOOKUP($X130,'CONCEPTOS Y PARAMETROS'!H:I,2,0)*($V130+AA130+AB130+AC130),2),0)</f>
        <v>105.21</v>
      </c>
      <c r="AE130" s="1107">
        <f t="shared" si="287"/>
        <v>249.06</v>
      </c>
      <c r="AF130" s="1107">
        <f t="shared" si="292"/>
        <v>6.93</v>
      </c>
      <c r="AG130" s="1107">
        <f t="shared" si="293"/>
        <v>6.92</v>
      </c>
      <c r="AH130" s="1107">
        <f t="shared" si="294"/>
        <v>65</v>
      </c>
      <c r="AI130" s="1107">
        <f t="shared" si="295"/>
        <v>65</v>
      </c>
      <c r="AJ130" s="1107">
        <f t="shared" si="296"/>
        <v>52.61</v>
      </c>
      <c r="AK130" s="1107">
        <f t="shared" si="297"/>
        <v>52.6</v>
      </c>
      <c r="AL130" s="1108">
        <f t="shared" si="298"/>
        <v>124.54</v>
      </c>
      <c r="AM130" s="1108">
        <f t="shared" si="299"/>
        <v>124.52</v>
      </c>
      <c r="AN130" s="990">
        <v>0</v>
      </c>
      <c r="AO130" s="1147">
        <f>'CONCEPTOS Y PARAMETROS'!$C$18*AN130</f>
        <v>0</v>
      </c>
      <c r="AP130" s="990">
        <v>0</v>
      </c>
      <c r="AQ130" s="1147">
        <f>'CONCEPTOS Y PARAMETROS'!$C$21*AP130</f>
        <v>0</v>
      </c>
      <c r="AR130" s="1318">
        <v>0</v>
      </c>
      <c r="AS130" s="1318">
        <v>0</v>
      </c>
      <c r="AT130" s="1318">
        <f t="shared" si="288"/>
        <v>0</v>
      </c>
      <c r="AU130" s="1108">
        <f t="shared" si="280"/>
        <v>526.05999999999995</v>
      </c>
      <c r="AV130" s="1133">
        <v>0</v>
      </c>
      <c r="AW130" s="1108">
        <f t="shared" si="330"/>
        <v>0</v>
      </c>
      <c r="AX130" s="1107">
        <f>IF(T130&lt;&gt;"0",(ROUND(IF(A130="EMPLEADO",eval_formula('CONCEPTOS Y PARAMETROS'!$C$8,NOMINA!V130,NOMINA!$AU130,NOMINA!I130+NOMINA!J130),eval_formula('CONCEPTOS Y PARAMETROS'!$D$8,NOMINA!V130,NOMINA!$AU130,NOMINA!I130+NOMINA!J130)),2))*IF(H130&lt;&gt;"",IF(MONTH(H130)=$BR$8,IF(YEAR(H130)&lt;$BT$7,1,0),0)))</f>
        <v>0</v>
      </c>
      <c r="AY130" s="1108">
        <v>180</v>
      </c>
      <c r="AZ130" s="1107">
        <f>IFERROR(VLOOKUP(AY130,'CONCEPTOS Y PARAMETROS'!Y:Z,2,0),0)</f>
        <v>150</v>
      </c>
      <c r="BA130" s="1107">
        <f t="shared" si="300"/>
        <v>3945.45</v>
      </c>
      <c r="BB130" s="1107">
        <f t="shared" si="289"/>
        <v>0</v>
      </c>
      <c r="BC130" s="990">
        <v>0</v>
      </c>
      <c r="BD130" s="1107" t="str">
        <f t="shared" si="281"/>
        <v>0</v>
      </c>
      <c r="BE130" s="990">
        <v>0</v>
      </c>
      <c r="BF130" s="1107">
        <f t="shared" si="329"/>
        <v>0</v>
      </c>
      <c r="BG130" s="1108">
        <v>320</v>
      </c>
      <c r="BH130" s="1108">
        <v>0</v>
      </c>
      <c r="BI130" s="1132">
        <v>0</v>
      </c>
      <c r="BJ130" s="1108">
        <v>12.5</v>
      </c>
      <c r="BK130" s="1108">
        <v>0</v>
      </c>
      <c r="BL130" s="1107">
        <f t="shared" si="324"/>
        <v>24.28</v>
      </c>
      <c r="BM130" s="1107">
        <f t="shared" si="325"/>
        <v>3.03</v>
      </c>
      <c r="BN130" s="1107">
        <f t="shared" si="262"/>
        <v>5.26</v>
      </c>
      <c r="BO130" s="1107">
        <v>0</v>
      </c>
      <c r="BP130" s="1107">
        <v>0</v>
      </c>
      <c r="BQ130" s="1320">
        <f t="shared" si="301"/>
        <v>32.57</v>
      </c>
      <c r="BR130" s="1107">
        <f t="shared" si="326"/>
        <v>54.63</v>
      </c>
      <c r="BS130" s="1107">
        <f t="shared" si="327"/>
        <v>12.14</v>
      </c>
      <c r="BT130" s="1107">
        <f t="shared" si="263"/>
        <v>10.52</v>
      </c>
      <c r="BU130" s="1107">
        <v>0</v>
      </c>
      <c r="BV130" s="1108">
        <f t="shared" si="302"/>
        <v>77.290000000000006</v>
      </c>
      <c r="BW130" s="1112">
        <f t="shared" si="303"/>
        <v>109.86000000000001</v>
      </c>
      <c r="BX130" s="1112">
        <f t="shared" si="328"/>
        <v>986.36</v>
      </c>
      <c r="BY130" s="1108">
        <v>0</v>
      </c>
      <c r="BZ130" s="1108">
        <f t="shared" si="282"/>
        <v>986.36</v>
      </c>
      <c r="CA130" s="1321">
        <f>'CONCEPTOS Y PARAMETROS'!$A$102</f>
        <v>6255</v>
      </c>
      <c r="CB130" s="1112">
        <f t="shared" si="264"/>
        <v>230.47000000000003</v>
      </c>
      <c r="CC130" s="1113">
        <f t="shared" si="265"/>
        <v>595.52</v>
      </c>
      <c r="CD130" s="512"/>
      <c r="CE130" s="512"/>
      <c r="CF130" s="470">
        <f t="shared" si="266"/>
        <v>903.02</v>
      </c>
      <c r="CG130" s="495">
        <f t="shared" si="283"/>
        <v>230.47000000000003</v>
      </c>
      <c r="CH130" s="498">
        <f t="shared" si="267"/>
        <v>12.5</v>
      </c>
      <c r="CI130" s="1490">
        <f t="shared" si="284"/>
        <v>320</v>
      </c>
      <c r="CJ130" s="1500">
        <v>1</v>
      </c>
      <c r="CK130" s="495">
        <f t="shared" si="268"/>
        <v>583.02</v>
      </c>
      <c r="CL130" s="1689">
        <f t="shared" si="269"/>
        <v>583.02</v>
      </c>
      <c r="CM130" s="1689">
        <f t="shared" si="270"/>
        <v>0</v>
      </c>
      <c r="CN130" s="496">
        <f t="shared" si="271"/>
        <v>0</v>
      </c>
      <c r="CO130" s="497">
        <v>0</v>
      </c>
      <c r="CP130" s="496">
        <f t="shared" si="272"/>
        <v>0</v>
      </c>
      <c r="CQ130" s="496">
        <f t="shared" si="273"/>
        <v>0</v>
      </c>
      <c r="CR130" s="496">
        <f t="shared" si="274"/>
        <v>1166.04</v>
      </c>
      <c r="CS130" s="496">
        <f t="shared" si="275"/>
        <v>109.86000000000001</v>
      </c>
      <c r="CT130" s="496">
        <f t="shared" si="276"/>
        <v>6255</v>
      </c>
      <c r="CU130" s="470"/>
      <c r="CV130" s="470"/>
      <c r="CW130" s="470"/>
      <c r="CX130" s="470"/>
      <c r="CY130" s="1149" t="s">
        <v>6889</v>
      </c>
      <c r="CZ130" s="1149" t="s">
        <v>7117</v>
      </c>
      <c r="DA130" s="480"/>
      <c r="DB130" s="1642" t="s">
        <v>6323</v>
      </c>
      <c r="DC130" s="1642"/>
      <c r="DD130" s="1642" t="s">
        <v>6135</v>
      </c>
      <c r="DE130" s="1642" t="s">
        <v>6162</v>
      </c>
      <c r="DF130" s="1642" t="s">
        <v>6536</v>
      </c>
      <c r="DG130" s="1152"/>
      <c r="DH130" s="512"/>
      <c r="DI130" s="512"/>
      <c r="DJ130" s="470"/>
      <c r="DK130" s="470"/>
      <c r="DL130" s="470"/>
      <c r="DN130" s="471" t="str">
        <f>VLOOKUP(X130,Hoja1!$A$4:$B$10,2,0)</f>
        <v>PROFESIONAL</v>
      </c>
      <c r="DO130" s="471" t="str">
        <f>VLOOKUP(S130,Hoja1!$D$4:$F$77,3,0)</f>
        <v>PII - II</v>
      </c>
      <c r="DP130" s="1156" t="str">
        <f t="shared" si="277"/>
        <v>0</v>
      </c>
      <c r="DQ130" s="1484">
        <f>IF(T130&lt;&gt;"0",(ROUND(IF(A130="EMPLEADO",eval_formula('CONCEPTOS Y PARAMETROS'!$C$8,NOMINA!V130,AU130+BF130,NOMINA!I130+NOMINA!J130),eval_formula('CONCEPTOS Y PARAMETROS'!$D$8,NOMINA!V130,AU130+BF130,NOMINA!I130+NOMINA!J130)),2))*IF(H130&lt;&gt;"",IF(MONTH(H130)=$BR$8,IF(YEAR(H130)&lt;$BT$7,1,0),0)))</f>
        <v>0</v>
      </c>
      <c r="DR130" s="1801" t="str">
        <f t="shared" si="278"/>
        <v>F</v>
      </c>
      <c r="DS130" s="1801"/>
    </row>
    <row r="131" spans="1:123" s="476" customFormat="1" ht="21.75" customHeight="1" x14ac:dyDescent="0.25">
      <c r="A131" s="508" t="s">
        <v>2846</v>
      </c>
      <c r="B131" s="1314">
        <f t="shared" ca="1" si="133"/>
        <v>88</v>
      </c>
      <c r="C131" s="1148">
        <v>13261229</v>
      </c>
      <c r="D131" s="1149" t="s">
        <v>7572</v>
      </c>
      <c r="E131" s="1135" t="s">
        <v>4622</v>
      </c>
      <c r="F131" s="1150">
        <v>28498</v>
      </c>
      <c r="G131" s="1135" t="s">
        <v>4620</v>
      </c>
      <c r="H131" s="1150">
        <v>42644</v>
      </c>
      <c r="I131" s="1140">
        <f t="shared" si="261"/>
        <v>8</v>
      </c>
      <c r="J131" s="1132">
        <v>0</v>
      </c>
      <c r="K131" s="1140">
        <f t="shared" si="279"/>
        <v>8</v>
      </c>
      <c r="L131" s="1145" t="s">
        <v>5530</v>
      </c>
      <c r="M131" s="1132"/>
      <c r="N131" s="1132"/>
      <c r="O131" s="1002" t="s">
        <v>5215</v>
      </c>
      <c r="P131" s="1132" t="s">
        <v>5338</v>
      </c>
      <c r="Q131" s="1315" t="str">
        <f>IFERROR(VLOOKUP(O131,CARGOS!A:E,2,0),"")</f>
        <v>12113</v>
      </c>
      <c r="R131" s="1327" t="s">
        <v>5215</v>
      </c>
      <c r="S131" s="1146" t="s">
        <v>5478</v>
      </c>
      <c r="T131" s="1107">
        <f>IFERROR(VLOOKUP(S131,'TAB EMP'!A:B,2,0),0)</f>
        <v>221</v>
      </c>
      <c r="U131" s="1108">
        <v>0</v>
      </c>
      <c r="V131" s="1107">
        <f t="shared" si="290"/>
        <v>221</v>
      </c>
      <c r="W131" s="1108">
        <f t="shared" si="291"/>
        <v>110.5</v>
      </c>
      <c r="X131" s="1135" t="s">
        <v>2844</v>
      </c>
      <c r="Y131" s="1135"/>
      <c r="Z131" s="1135">
        <v>1</v>
      </c>
      <c r="AA131" s="1107">
        <f>ROUND(IF(H131&lt;&gt;"",VLOOKUP(SUM(I131+J131),'CONCEPTOS Y PARAMETROS'!F:G,2,0)*V131,0),2)</f>
        <v>19.010000000000002</v>
      </c>
      <c r="AB131" s="1107">
        <f>IF(S131&lt;&gt;"",IF(M131="",'CONCEPTOS Y PARAMETROS'!$C$4,0),0)</f>
        <v>130</v>
      </c>
      <c r="AC131" s="1107">
        <f>IF(S131&lt;&gt;"",IF(M131="",'CONCEPTOS Y PARAMETROS'!$C$7*Z131,0),0)</f>
        <v>12.5</v>
      </c>
      <c r="AD131" s="1107">
        <f>IFERROR(ROUND(VLOOKUP($X131,'CONCEPTOS Y PARAMETROS'!H:I,2,0)*($V131+AA131+AB131+AC131),2),0)</f>
        <v>76.5</v>
      </c>
      <c r="AE131" s="1107">
        <f t="shared" si="287"/>
        <v>238.01</v>
      </c>
      <c r="AF131" s="1107">
        <f t="shared" si="292"/>
        <v>9.51</v>
      </c>
      <c r="AG131" s="1107">
        <f t="shared" si="293"/>
        <v>9.5</v>
      </c>
      <c r="AH131" s="1107">
        <f t="shared" si="294"/>
        <v>65</v>
      </c>
      <c r="AI131" s="1107">
        <f t="shared" si="295"/>
        <v>65</v>
      </c>
      <c r="AJ131" s="1107">
        <f t="shared" si="296"/>
        <v>38.25</v>
      </c>
      <c r="AK131" s="1107">
        <f t="shared" si="297"/>
        <v>38.25</v>
      </c>
      <c r="AL131" s="1108">
        <f t="shared" si="298"/>
        <v>125.26</v>
      </c>
      <c r="AM131" s="1108">
        <f t="shared" si="299"/>
        <v>112.75</v>
      </c>
      <c r="AN131" s="1453">
        <v>1</v>
      </c>
      <c r="AO131" s="1147">
        <f>'CONCEPTOS Y PARAMETROS'!$C$18*AN131</f>
        <v>12.5</v>
      </c>
      <c r="AP131" s="990">
        <v>0</v>
      </c>
      <c r="AQ131" s="1147">
        <f>'CONCEPTOS Y PARAMETROS'!$C$21*AP131</f>
        <v>0</v>
      </c>
      <c r="AR131" s="1318">
        <v>0</v>
      </c>
      <c r="AS131" s="1318">
        <v>0</v>
      </c>
      <c r="AT131" s="1318">
        <f t="shared" si="288"/>
        <v>12.5</v>
      </c>
      <c r="AU131" s="1108">
        <f t="shared" si="280"/>
        <v>459.01</v>
      </c>
      <c r="AV131" s="1133">
        <v>0</v>
      </c>
      <c r="AW131" s="1108">
        <f t="shared" si="330"/>
        <v>0</v>
      </c>
      <c r="AX131" s="1107">
        <f>IF(T131&lt;&gt;"0",(ROUND(IF(A131="EMPLEADO",eval_formula('CONCEPTOS Y PARAMETROS'!$C$8,NOMINA!V131,NOMINA!$AU131,NOMINA!I131+NOMINA!J131),eval_formula('CONCEPTOS Y PARAMETROS'!$D$8,NOMINA!V131,NOMINA!$AU131,NOMINA!I131+NOMINA!J131)),2))*IF(H131&lt;&gt;"",IF(MONTH(H131)=$BR$8,IF(YEAR(H131)&lt;$BT$7,1,0),0)))</f>
        <v>0</v>
      </c>
      <c r="AY131" s="1108">
        <v>180</v>
      </c>
      <c r="AZ131" s="1107">
        <f>IFERROR(VLOOKUP(AY131,'CONCEPTOS Y PARAMETROS'!Y:Z,2,0),0)</f>
        <v>150</v>
      </c>
      <c r="BA131" s="1107">
        <f t="shared" si="300"/>
        <v>3442.58</v>
      </c>
      <c r="BB131" s="1107">
        <f t="shared" si="289"/>
        <v>0</v>
      </c>
      <c r="BC131" s="990">
        <v>0</v>
      </c>
      <c r="BD131" s="1107" t="str">
        <f t="shared" si="281"/>
        <v>0</v>
      </c>
      <c r="BE131" s="990">
        <v>0</v>
      </c>
      <c r="BF131" s="1107">
        <f t="shared" si="329"/>
        <v>0</v>
      </c>
      <c r="BG131" s="1108">
        <v>320</v>
      </c>
      <c r="BH131" s="1108">
        <v>0</v>
      </c>
      <c r="BI131" s="1132">
        <v>0</v>
      </c>
      <c r="BJ131" s="1108">
        <v>12.5</v>
      </c>
      <c r="BK131" s="1108">
        <v>0</v>
      </c>
      <c r="BL131" s="1107">
        <f t="shared" si="324"/>
        <v>21.19</v>
      </c>
      <c r="BM131" s="1107">
        <f t="shared" si="325"/>
        <v>2.65</v>
      </c>
      <c r="BN131" s="1107">
        <f t="shared" si="262"/>
        <v>4.59</v>
      </c>
      <c r="BO131" s="1107">
        <v>0</v>
      </c>
      <c r="BP131" s="1107">
        <v>0</v>
      </c>
      <c r="BQ131" s="1320">
        <f t="shared" si="301"/>
        <v>28.43</v>
      </c>
      <c r="BR131" s="1107">
        <f t="shared" si="326"/>
        <v>47.67</v>
      </c>
      <c r="BS131" s="1107">
        <f t="shared" si="327"/>
        <v>10.59</v>
      </c>
      <c r="BT131" s="1107">
        <f t="shared" si="263"/>
        <v>9.18</v>
      </c>
      <c r="BU131" s="1107">
        <v>0</v>
      </c>
      <c r="BV131" s="1108">
        <f t="shared" si="302"/>
        <v>67.44</v>
      </c>
      <c r="BW131" s="1112">
        <f t="shared" si="303"/>
        <v>95.87</v>
      </c>
      <c r="BX131" s="1112">
        <f t="shared" si="328"/>
        <v>860.65</v>
      </c>
      <c r="BY131" s="1108">
        <v>0</v>
      </c>
      <c r="BZ131" s="1108">
        <f t="shared" si="282"/>
        <v>860.65</v>
      </c>
      <c r="CA131" s="1321">
        <f>'CONCEPTOS Y PARAMETROS'!$A$102</f>
        <v>6255</v>
      </c>
      <c r="CB131" s="1112">
        <f t="shared" si="264"/>
        <v>207.32999999999998</v>
      </c>
      <c r="CC131" s="1113">
        <f t="shared" si="265"/>
        <v>568.25</v>
      </c>
      <c r="CD131" s="512"/>
      <c r="CE131" s="512"/>
      <c r="CF131" s="470">
        <f t="shared" si="266"/>
        <v>863.25</v>
      </c>
      <c r="CG131" s="509">
        <f t="shared" si="283"/>
        <v>207.32999999999998</v>
      </c>
      <c r="CH131" s="498">
        <f t="shared" si="267"/>
        <v>25</v>
      </c>
      <c r="CI131" s="1491">
        <f t="shared" si="284"/>
        <v>320</v>
      </c>
      <c r="CJ131" s="1502">
        <v>1</v>
      </c>
      <c r="CK131" s="509">
        <f t="shared" si="268"/>
        <v>543.25</v>
      </c>
      <c r="CL131" s="1689">
        <f t="shared" si="269"/>
        <v>543.25</v>
      </c>
      <c r="CM131" s="1689">
        <f t="shared" si="270"/>
        <v>0</v>
      </c>
      <c r="CN131" s="510">
        <f t="shared" si="271"/>
        <v>0</v>
      </c>
      <c r="CO131" s="511">
        <v>0</v>
      </c>
      <c r="CP131" s="510">
        <f t="shared" si="272"/>
        <v>0</v>
      </c>
      <c r="CQ131" s="510">
        <f t="shared" si="273"/>
        <v>0</v>
      </c>
      <c r="CR131" s="496">
        <f t="shared" si="274"/>
        <v>1086.5</v>
      </c>
      <c r="CS131" s="510">
        <f t="shared" si="275"/>
        <v>95.87</v>
      </c>
      <c r="CT131" s="510">
        <f t="shared" si="276"/>
        <v>6255</v>
      </c>
      <c r="CU131" s="470"/>
      <c r="CV131" s="470"/>
      <c r="CW131" s="470"/>
      <c r="CX131" s="470"/>
      <c r="CY131" s="1149" t="s">
        <v>6934</v>
      </c>
      <c r="CZ131" s="1149" t="s">
        <v>7118</v>
      </c>
      <c r="DA131" s="1152"/>
      <c r="DB131" s="1642" t="s">
        <v>6525</v>
      </c>
      <c r="DC131" s="1642"/>
      <c r="DD131" s="1642" t="s">
        <v>6135</v>
      </c>
      <c r="DE131" s="1642" t="s">
        <v>6171</v>
      </c>
      <c r="DF131" s="1642" t="s">
        <v>6307</v>
      </c>
      <c r="DG131" s="1152"/>
      <c r="DH131" s="512"/>
      <c r="DI131" s="512"/>
      <c r="DJ131" s="512"/>
      <c r="DK131" s="512"/>
      <c r="DL131" s="512"/>
      <c r="DN131" s="476" t="str">
        <f>VLOOKUP(X131,Hoja1!$A$4:$B$10,2,0)</f>
        <v>TÉCNICO SUPERIOR UNIVERSITARIO</v>
      </c>
      <c r="DO131" s="476" t="str">
        <f>VLOOKUP(S131,Hoja1!$D$4:$F$77,3,0)</f>
        <v>TII - III</v>
      </c>
      <c r="DP131" s="1158" t="str">
        <f t="shared" si="277"/>
        <v>0</v>
      </c>
      <c r="DQ131" s="1484">
        <f>IF(T131&lt;&gt;"0",(ROUND(IF(A131="EMPLEADO",eval_formula('CONCEPTOS Y PARAMETROS'!$C$8,NOMINA!V131,AU131+BF131,NOMINA!I131+NOMINA!J131),eval_formula('CONCEPTOS Y PARAMETROS'!$D$8,NOMINA!V131,AU131+BF131,NOMINA!I131+NOMINA!J131)),2))*IF(H131&lt;&gt;"",IF(MONTH(H131)=$BR$8,IF(YEAR(H131)&lt;$BT$7,1,0),0)))</f>
        <v>0</v>
      </c>
      <c r="DR131" s="1799" t="str">
        <f t="shared" si="278"/>
        <v>F</v>
      </c>
      <c r="DS131" s="1799"/>
    </row>
    <row r="132" spans="1:123" s="471" customFormat="1" ht="21.95" customHeight="1" x14ac:dyDescent="0.25">
      <c r="A132" s="508" t="s">
        <v>2846</v>
      </c>
      <c r="B132" s="1314">
        <f t="shared" ca="1" si="133"/>
        <v>89</v>
      </c>
      <c r="C132" s="1148">
        <v>13461934</v>
      </c>
      <c r="D132" s="1149" t="s">
        <v>4772</v>
      </c>
      <c r="E132" s="1135" t="s">
        <v>4622</v>
      </c>
      <c r="F132" s="1150">
        <v>28668</v>
      </c>
      <c r="G132" s="1135" t="s">
        <v>4620</v>
      </c>
      <c r="H132" s="1150">
        <v>43252</v>
      </c>
      <c r="I132" s="1140">
        <f t="shared" si="261"/>
        <v>7</v>
      </c>
      <c r="J132" s="1132">
        <v>0</v>
      </c>
      <c r="K132" s="1140">
        <f t="shared" si="279"/>
        <v>7</v>
      </c>
      <c r="L132" s="1145" t="s">
        <v>6773</v>
      </c>
      <c r="M132" s="1132"/>
      <c r="N132" s="1132"/>
      <c r="O132" s="1002" t="s">
        <v>5217</v>
      </c>
      <c r="P132" s="1132" t="s">
        <v>5339</v>
      </c>
      <c r="Q132" s="1315" t="str">
        <f>IFERROR(VLOOKUP(O132,CARGOS!A:E,2,0),"")</f>
        <v>79512</v>
      </c>
      <c r="R132" s="1327" t="s">
        <v>5217</v>
      </c>
      <c r="S132" s="1146" t="s">
        <v>5480</v>
      </c>
      <c r="T132" s="1107">
        <f>IFERROR(VLOOKUP(S132,'TAB EMP'!A:B,2,0),0)</f>
        <v>170</v>
      </c>
      <c r="U132" s="1108">
        <v>0</v>
      </c>
      <c r="V132" s="1107">
        <f t="shared" si="290"/>
        <v>170</v>
      </c>
      <c r="W132" s="1108">
        <f t="shared" si="291"/>
        <v>85</v>
      </c>
      <c r="X132" s="1135" t="s">
        <v>2884</v>
      </c>
      <c r="Y132" s="1135"/>
      <c r="Z132" s="1135">
        <v>0</v>
      </c>
      <c r="AA132" s="1107">
        <f>ROUND(IF(H132&lt;&gt;"",VLOOKUP(SUM(I132+J132),'CONCEPTOS Y PARAMETROS'!F:G,2,0)*V132,0),2)</f>
        <v>12.58</v>
      </c>
      <c r="AB132" s="1107">
        <f>IF(S132&lt;&gt;"",IF(M132="",'CONCEPTOS Y PARAMETROS'!$C$4,0),0)</f>
        <v>130</v>
      </c>
      <c r="AC132" s="1107">
        <f>IF(S132&lt;&gt;"",IF(M132="",'CONCEPTOS Y PARAMETROS'!$C$7*Z132,0),0)</f>
        <v>0</v>
      </c>
      <c r="AD132" s="1107">
        <f>IFERROR(ROUND(VLOOKUP($X132,'CONCEPTOS Y PARAMETROS'!H:I,2,0)*($V132+AA132+AB132+AC132),2),0)</f>
        <v>0</v>
      </c>
      <c r="AE132" s="1107">
        <f t="shared" si="287"/>
        <v>142.58000000000001</v>
      </c>
      <c r="AF132" s="1107">
        <f t="shared" si="292"/>
        <v>6.29</v>
      </c>
      <c r="AG132" s="1107">
        <f t="shared" si="293"/>
        <v>6.29</v>
      </c>
      <c r="AH132" s="1107">
        <f t="shared" si="294"/>
        <v>65</v>
      </c>
      <c r="AI132" s="1107">
        <f t="shared" si="295"/>
        <v>65</v>
      </c>
      <c r="AJ132" s="1107">
        <f t="shared" si="296"/>
        <v>0</v>
      </c>
      <c r="AK132" s="1107">
        <f t="shared" si="297"/>
        <v>0</v>
      </c>
      <c r="AL132" s="1108">
        <f t="shared" si="298"/>
        <v>71.290000000000006</v>
      </c>
      <c r="AM132" s="1108">
        <f t="shared" si="299"/>
        <v>71.290000000000006</v>
      </c>
      <c r="AN132" s="990">
        <v>0</v>
      </c>
      <c r="AO132" s="1147">
        <f>'CONCEPTOS Y PARAMETROS'!$C$18*AN132</f>
        <v>0</v>
      </c>
      <c r="AP132" s="990">
        <v>0</v>
      </c>
      <c r="AQ132" s="1147">
        <f>'CONCEPTOS Y PARAMETROS'!$C$21*AP132</f>
        <v>0</v>
      </c>
      <c r="AR132" s="1318">
        <v>0</v>
      </c>
      <c r="AS132" s="1318">
        <v>0</v>
      </c>
      <c r="AT132" s="1318">
        <f t="shared" si="288"/>
        <v>0</v>
      </c>
      <c r="AU132" s="1108">
        <f t="shared" si="280"/>
        <v>406.35</v>
      </c>
      <c r="AV132" s="1133" t="s">
        <v>5080</v>
      </c>
      <c r="AW132" s="1108">
        <f t="shared" si="330"/>
        <v>93.77</v>
      </c>
      <c r="AX132" s="1107">
        <f>IF(T132&lt;&gt;"0",(ROUND(IF(A132="EMPLEADO",eval_formula('CONCEPTOS Y PARAMETROS'!$C$8,NOMINA!V132,NOMINA!$AU132,NOMINA!I132+NOMINA!J132),eval_formula('CONCEPTOS Y PARAMETROS'!$D$8,NOMINA!V132,NOMINA!$AU132,NOMINA!I132+NOMINA!J132)),2))*IF(H132&lt;&gt;"",IF(MONTH(H132)=$BR$8,IF(YEAR(H132)&lt;$BT$7,1,0),0)))</f>
        <v>0</v>
      </c>
      <c r="AY132" s="1108">
        <v>180</v>
      </c>
      <c r="AZ132" s="1107">
        <f>IFERROR(VLOOKUP(AY132,'CONCEPTOS Y PARAMETROS'!Y:Z,2,0),0)</f>
        <v>150</v>
      </c>
      <c r="BA132" s="1107">
        <f t="shared" si="300"/>
        <v>3047.63</v>
      </c>
      <c r="BB132" s="1107">
        <f t="shared" si="289"/>
        <v>0</v>
      </c>
      <c r="BC132" s="990">
        <v>0</v>
      </c>
      <c r="BD132" s="1107" t="str">
        <f t="shared" si="281"/>
        <v>0</v>
      </c>
      <c r="BE132" s="990">
        <v>3</v>
      </c>
      <c r="BF132" s="1107">
        <f t="shared" si="329"/>
        <v>60.95</v>
      </c>
      <c r="BG132" s="1108">
        <v>320</v>
      </c>
      <c r="BH132" s="1108">
        <v>0</v>
      </c>
      <c r="BI132" s="1132">
        <v>0</v>
      </c>
      <c r="BJ132" s="1108">
        <v>12.5</v>
      </c>
      <c r="BK132" s="1108">
        <v>0</v>
      </c>
      <c r="BL132" s="1107">
        <f t="shared" si="324"/>
        <v>18.75</v>
      </c>
      <c r="BM132" s="1107">
        <f t="shared" si="325"/>
        <v>2.34</v>
      </c>
      <c r="BN132" s="1107">
        <f t="shared" si="262"/>
        <v>4.0599999999999996</v>
      </c>
      <c r="BO132" s="1107">
        <v>0</v>
      </c>
      <c r="BP132" s="1107">
        <v>0</v>
      </c>
      <c r="BQ132" s="1320">
        <f t="shared" si="301"/>
        <v>25.15</v>
      </c>
      <c r="BR132" s="1107">
        <f t="shared" si="326"/>
        <v>42.2</v>
      </c>
      <c r="BS132" s="1107">
        <f t="shared" si="327"/>
        <v>9.3800000000000008</v>
      </c>
      <c r="BT132" s="1107">
        <f t="shared" si="263"/>
        <v>8.1199999999999992</v>
      </c>
      <c r="BU132" s="1107">
        <v>0</v>
      </c>
      <c r="BV132" s="1108">
        <f t="shared" si="302"/>
        <v>59.7</v>
      </c>
      <c r="BW132" s="1112">
        <f t="shared" si="303"/>
        <v>84.85</v>
      </c>
      <c r="BX132" s="1112">
        <f t="shared" si="328"/>
        <v>761.91</v>
      </c>
      <c r="BY132" s="1108">
        <v>0</v>
      </c>
      <c r="BZ132" s="1108">
        <f t="shared" si="282"/>
        <v>761.91</v>
      </c>
      <c r="CA132" s="1321">
        <f>'CONCEPTOS Y PARAMETROS'!$A$102</f>
        <v>6255</v>
      </c>
      <c r="CB132" s="1112">
        <f t="shared" si="264"/>
        <v>131.14000000000001</v>
      </c>
      <c r="CC132" s="1113">
        <f t="shared" si="265"/>
        <v>643.51</v>
      </c>
      <c r="CD132" s="512"/>
      <c r="CE132" s="512"/>
      <c r="CF132" s="470">
        <f t="shared" si="266"/>
        <v>796.29</v>
      </c>
      <c r="CG132" s="495">
        <f t="shared" si="283"/>
        <v>131.14000000000001</v>
      </c>
      <c r="CH132" s="498">
        <f t="shared" si="267"/>
        <v>12.5</v>
      </c>
      <c r="CI132" s="1490">
        <f t="shared" si="284"/>
        <v>320</v>
      </c>
      <c r="CJ132" s="1502">
        <v>1</v>
      </c>
      <c r="CK132" s="495">
        <f t="shared" si="268"/>
        <v>476.29</v>
      </c>
      <c r="CL132" s="1689">
        <f t="shared" si="269"/>
        <v>476.29</v>
      </c>
      <c r="CM132" s="1689">
        <f t="shared" si="270"/>
        <v>0</v>
      </c>
      <c r="CN132" s="496">
        <f t="shared" si="271"/>
        <v>60.95</v>
      </c>
      <c r="CO132" s="497">
        <v>0</v>
      </c>
      <c r="CP132" s="496">
        <f t="shared" si="272"/>
        <v>93.77</v>
      </c>
      <c r="CQ132" s="496">
        <f t="shared" si="273"/>
        <v>0</v>
      </c>
      <c r="CR132" s="496">
        <f t="shared" si="274"/>
        <v>1107.3000000000002</v>
      </c>
      <c r="CS132" s="496">
        <f t="shared" si="275"/>
        <v>84.85</v>
      </c>
      <c r="CT132" s="496">
        <f t="shared" si="276"/>
        <v>6255</v>
      </c>
      <c r="CU132" s="470"/>
      <c r="CV132" s="470"/>
      <c r="CW132" s="470"/>
      <c r="CX132" s="470"/>
      <c r="CY132" s="1149" t="s">
        <v>6950</v>
      </c>
      <c r="CZ132" s="1149" t="s">
        <v>7119</v>
      </c>
      <c r="DA132" s="480"/>
      <c r="DB132" s="1642" t="s">
        <v>7475</v>
      </c>
      <c r="DC132" s="1642"/>
      <c r="DD132" s="1642" t="s">
        <v>6135</v>
      </c>
      <c r="DE132" s="1642" t="s">
        <v>6147</v>
      </c>
      <c r="DF132" s="1642" t="s">
        <v>6520</v>
      </c>
      <c r="DG132" s="1642"/>
      <c r="DH132" s="512"/>
      <c r="DI132" s="512"/>
      <c r="DJ132" s="470"/>
      <c r="DK132" s="470"/>
      <c r="DL132" s="470"/>
      <c r="DN132" s="471" t="str">
        <f>VLOOKUP(X132,Hoja1!$A$4:$B$10,2,0)</f>
        <v>BACHILLER</v>
      </c>
      <c r="DO132" s="471" t="str">
        <f>VLOOKUP(S132,Hoja1!$D$4:$F$77,3,0)</f>
        <v>BIII - III</v>
      </c>
      <c r="DP132" s="1156" t="str">
        <f t="shared" si="277"/>
        <v>SI</v>
      </c>
      <c r="DQ132" s="1484">
        <f>IF(T132&lt;&gt;"0",(ROUND(IF(A132="EMPLEADO",eval_formula('CONCEPTOS Y PARAMETROS'!$C$8,NOMINA!V132,AU132+BF132,NOMINA!I132+NOMINA!J132),eval_formula('CONCEPTOS Y PARAMETROS'!$D$8,NOMINA!V132,AU132+BF132,NOMINA!I132+NOMINA!J132)),2))*IF(H132&lt;&gt;"",IF(MONTH(H132)=$BR$8,IF(YEAR(H132)&lt;$BT$7,1,0),0)))</f>
        <v>0</v>
      </c>
      <c r="DR132" s="1801" t="str">
        <f t="shared" si="278"/>
        <v>F</v>
      </c>
      <c r="DS132" s="1801"/>
    </row>
    <row r="133" spans="1:123" s="911" customFormat="1" ht="21.95" customHeight="1" x14ac:dyDescent="0.25">
      <c r="A133" s="910" t="s">
        <v>2846</v>
      </c>
      <c r="B133" s="1328">
        <f ca="1">OFFSET(B133,-1,0)+1</f>
        <v>90</v>
      </c>
      <c r="C133" s="1329">
        <v>13462933</v>
      </c>
      <c r="D133" s="1330" t="s">
        <v>4672</v>
      </c>
      <c r="E133" s="1331" t="s">
        <v>4622</v>
      </c>
      <c r="F133" s="1332">
        <v>28469</v>
      </c>
      <c r="G133" s="1331" t="s">
        <v>4620</v>
      </c>
      <c r="H133" s="1332">
        <v>39454</v>
      </c>
      <c r="I133" s="1333">
        <f t="shared" si="261"/>
        <v>17</v>
      </c>
      <c r="J133" s="1334">
        <v>6</v>
      </c>
      <c r="K133" s="1333">
        <f t="shared" si="279"/>
        <v>23</v>
      </c>
      <c r="L133" s="1335" t="s">
        <v>5541</v>
      </c>
      <c r="M133" s="1334"/>
      <c r="N133" s="1334"/>
      <c r="O133" s="1336" t="s">
        <v>5482</v>
      </c>
      <c r="P133" s="1334" t="s">
        <v>5189</v>
      </c>
      <c r="Q133" s="1337" t="str">
        <f>IFERROR(VLOOKUP(O133,CARGOS!A:E,2,0),"")</f>
        <v>12130</v>
      </c>
      <c r="R133" s="1336" t="s">
        <v>5482</v>
      </c>
      <c r="S133" s="1338" t="s">
        <v>5471</v>
      </c>
      <c r="T133" s="1339">
        <v>0</v>
      </c>
      <c r="U133" s="1307">
        <v>0</v>
      </c>
      <c r="V133" s="1339">
        <f>T133-U133</f>
        <v>0</v>
      </c>
      <c r="W133" s="1307">
        <f>ROUND(V133/2,2)</f>
        <v>0</v>
      </c>
      <c r="X133" s="1331" t="s">
        <v>2844</v>
      </c>
      <c r="Y133" s="1331"/>
      <c r="Z133" s="1331">
        <v>0</v>
      </c>
      <c r="AA133" s="1339">
        <f>ROUND(IF(H133&lt;&gt;"",VLOOKUP(SUM(I133+J133),'CONCEPTOS Y PARAMETROS'!F:G,2,0)*V133,0),2)</f>
        <v>0</v>
      </c>
      <c r="AB133" s="1339">
        <v>0</v>
      </c>
      <c r="AC133" s="1339">
        <v>0</v>
      </c>
      <c r="AD133" s="1339">
        <f>IFERROR(ROUND(VLOOKUP($X133,'CONCEPTOS Y PARAMETROS'!H:I,2,0)*($V133+AA133+AB133+AC133),2),0)</f>
        <v>0</v>
      </c>
      <c r="AE133" s="1339">
        <f>SUM(AA133:AD133)</f>
        <v>0</v>
      </c>
      <c r="AF133" s="1339">
        <f>ROUND(AA133/2,2)</f>
        <v>0</v>
      </c>
      <c r="AG133" s="1339">
        <f>ROUND(AA133-AF133,2)</f>
        <v>0</v>
      </c>
      <c r="AH133" s="1339">
        <f>ROUND(AB133/2,2)</f>
        <v>0</v>
      </c>
      <c r="AI133" s="1339">
        <f>ROUND(AB133-AH133,2)</f>
        <v>0</v>
      </c>
      <c r="AJ133" s="1339">
        <f>ROUND(AD133/2,2)</f>
        <v>0</v>
      </c>
      <c r="AK133" s="1339">
        <f>ROUND(AD133-AJ133,2)</f>
        <v>0</v>
      </c>
      <c r="AL133" s="1307">
        <f>ROUND(AF133+AH133+AJ133+AC133,2)</f>
        <v>0</v>
      </c>
      <c r="AM133" s="1307">
        <f>ROUND(AG133+AI133+AK133,2)</f>
        <v>0</v>
      </c>
      <c r="AN133" s="1340">
        <v>0</v>
      </c>
      <c r="AO133" s="1341">
        <v>0</v>
      </c>
      <c r="AP133" s="1340">
        <v>0</v>
      </c>
      <c r="AQ133" s="1341">
        <f>'CONCEPTOS Y PARAMETROS'!$C$21*AP133</f>
        <v>0</v>
      </c>
      <c r="AR133" s="1342">
        <v>0</v>
      </c>
      <c r="AS133" s="1342">
        <v>0</v>
      </c>
      <c r="AT133" s="1342">
        <f>+AO133+AQ133+AR133+AS133</f>
        <v>0</v>
      </c>
      <c r="AU133" s="1307">
        <f t="shared" si="280"/>
        <v>0</v>
      </c>
      <c r="AV133" s="1343">
        <v>0</v>
      </c>
      <c r="AW133" s="1307">
        <f>ROUND(IF(O133="VIGILANTE",(V133+AE133)*30%,0),2)</f>
        <v>0</v>
      </c>
      <c r="AX133" s="1339">
        <f>IF(T133&lt;&gt;"0",(ROUND(IF(A133="EMPLEADO",eval_formula('CONCEPTOS Y PARAMETROS'!$C$8,NOMINA!V133,NOMINA!$AU133,NOMINA!I133+NOMINA!J133),eval_formula('CONCEPTOS Y PARAMETROS'!$D$8,NOMINA!V133,NOMINA!$AU133,NOMINA!I133+NOMINA!J133)),2))*IF(H133&lt;&gt;"",IF(MONTH(H133)=$BR$8,IF(YEAR(H133)&lt;$BT$7,1,0),0)))</f>
        <v>0</v>
      </c>
      <c r="AY133" s="1307">
        <v>180</v>
      </c>
      <c r="AZ133" s="1339">
        <f>IFERROR(VLOOKUP(AY133,'CONCEPTOS Y PARAMETROS'!Y:Z,2,0),0)</f>
        <v>150</v>
      </c>
      <c r="BA133" s="1339">
        <f>ROUND((((AU133))/30*AY133/12+(AU133))/30*AZ133,2)</f>
        <v>0</v>
      </c>
      <c r="BB133" s="1339">
        <f t="shared" si="289"/>
        <v>0</v>
      </c>
      <c r="BC133" s="1340">
        <v>0</v>
      </c>
      <c r="BD133" s="1339" t="str">
        <f t="shared" si="281"/>
        <v>0</v>
      </c>
      <c r="BE133" s="1340">
        <v>0</v>
      </c>
      <c r="BF133" s="1339">
        <f t="shared" si="329"/>
        <v>0</v>
      </c>
      <c r="BG133" s="1307">
        <v>0</v>
      </c>
      <c r="BH133" s="1307">
        <v>0</v>
      </c>
      <c r="BI133" s="1334">
        <v>0</v>
      </c>
      <c r="BJ133" s="1307">
        <v>0</v>
      </c>
      <c r="BK133" s="1307">
        <v>0</v>
      </c>
      <c r="BL133" s="1339">
        <f t="shared" si="324"/>
        <v>0</v>
      </c>
      <c r="BM133" s="1339">
        <f t="shared" si="325"/>
        <v>0</v>
      </c>
      <c r="BN133" s="1339">
        <f t="shared" si="262"/>
        <v>0</v>
      </c>
      <c r="BO133" s="1339">
        <v>0</v>
      </c>
      <c r="BP133" s="1339">
        <v>0</v>
      </c>
      <c r="BQ133" s="1344">
        <f>ROUND(SUM(BL133:BP133),2)</f>
        <v>0</v>
      </c>
      <c r="BR133" s="1339">
        <f t="shared" si="326"/>
        <v>0</v>
      </c>
      <c r="BS133" s="1339">
        <f t="shared" si="327"/>
        <v>0</v>
      </c>
      <c r="BT133" s="1339">
        <f t="shared" si="263"/>
        <v>0</v>
      </c>
      <c r="BU133" s="1339">
        <v>0</v>
      </c>
      <c r="BV133" s="1307">
        <f>ROUND(SUM(BR133:BT133),2)</f>
        <v>0</v>
      </c>
      <c r="BW133" s="1305">
        <f>BQ133+BV133</f>
        <v>0</v>
      </c>
      <c r="BX133" s="1305">
        <f t="shared" si="328"/>
        <v>0</v>
      </c>
      <c r="BY133" s="1307">
        <v>0</v>
      </c>
      <c r="BZ133" s="1307">
        <f t="shared" si="282"/>
        <v>0</v>
      </c>
      <c r="CA133" s="1345">
        <v>0</v>
      </c>
      <c r="CB133" s="1305">
        <f t="shared" si="264"/>
        <v>0</v>
      </c>
      <c r="CC133" s="1346">
        <f t="shared" si="265"/>
        <v>0</v>
      </c>
      <c r="CD133" s="512"/>
      <c r="CE133" s="512"/>
      <c r="CF133" s="470">
        <f t="shared" si="266"/>
        <v>0</v>
      </c>
      <c r="CG133" s="912">
        <f t="shared" si="283"/>
        <v>0</v>
      </c>
      <c r="CH133" s="498">
        <f t="shared" si="267"/>
        <v>0</v>
      </c>
      <c r="CI133" s="1492">
        <f t="shared" si="284"/>
        <v>0</v>
      </c>
      <c r="CJ133" s="1504">
        <v>0</v>
      </c>
      <c r="CK133" s="912">
        <f t="shared" si="268"/>
        <v>0</v>
      </c>
      <c r="CL133" s="912">
        <f t="shared" si="269"/>
        <v>0</v>
      </c>
      <c r="CM133" s="912">
        <f t="shared" si="270"/>
        <v>0</v>
      </c>
      <c r="CN133" s="913">
        <f t="shared" si="271"/>
        <v>0</v>
      </c>
      <c r="CO133" s="914">
        <v>0</v>
      </c>
      <c r="CP133" s="913">
        <f t="shared" si="272"/>
        <v>0</v>
      </c>
      <c r="CQ133" s="913">
        <f t="shared" si="273"/>
        <v>0</v>
      </c>
      <c r="CR133" s="496">
        <f t="shared" si="274"/>
        <v>0</v>
      </c>
      <c r="CS133" s="913">
        <f t="shared" si="275"/>
        <v>0</v>
      </c>
      <c r="CT133" s="913">
        <f t="shared" si="276"/>
        <v>0</v>
      </c>
      <c r="CU133" s="470"/>
      <c r="CV133" s="470"/>
      <c r="CW133" s="470"/>
      <c r="CX133" s="470"/>
      <c r="CY133" s="1330" t="s">
        <v>6804</v>
      </c>
      <c r="CZ133" s="1330" t="s">
        <v>6805</v>
      </c>
      <c r="DA133" s="1613"/>
      <c r="DB133" s="1152" t="s">
        <v>6141</v>
      </c>
      <c r="DC133" s="1152"/>
      <c r="DD133" s="1143"/>
      <c r="DE133" s="1143"/>
      <c r="DF133" s="1143"/>
      <c r="DG133" s="1143"/>
      <c r="DH133" s="512"/>
      <c r="DI133" s="512"/>
      <c r="DJ133" s="915"/>
      <c r="DK133" s="915"/>
      <c r="DL133" s="915"/>
      <c r="DN133" s="911" t="str">
        <f>VLOOKUP(X133,Hoja1!$A$4:$B$10,2,0)</f>
        <v>TÉCNICO SUPERIOR UNIVERSITARIO</v>
      </c>
      <c r="DO133" s="911" t="str">
        <f>VLOOKUP(S133,Hoja1!$D$4:$F$77,3,0)</f>
        <v>TII - VII</v>
      </c>
      <c r="DP133" s="1157" t="str">
        <f t="shared" si="277"/>
        <v>0</v>
      </c>
      <c r="DQ133" s="1484">
        <f>IF(T133&lt;&gt;"0",(ROUND(IF(A133="EMPLEADO",eval_formula('CONCEPTOS Y PARAMETROS'!$C$8,NOMINA!V133,AU133+BF133,NOMINA!I133+NOMINA!J133),eval_formula('CONCEPTOS Y PARAMETROS'!$D$8,NOMINA!V133,AU133+BF133,NOMINA!I133+NOMINA!J133)),2))*IF(H133&lt;&gt;"",IF(MONTH(H133)=$BR$8,IF(YEAR(H133)&lt;$BT$7,1,0),0)))</f>
        <v>0</v>
      </c>
      <c r="DR133" s="1800" t="str">
        <f t="shared" si="278"/>
        <v>F</v>
      </c>
      <c r="DS133" s="1800"/>
    </row>
    <row r="134" spans="1:123" s="476" customFormat="1" ht="21.95" customHeight="1" x14ac:dyDescent="0.25">
      <c r="A134" s="508" t="s">
        <v>2846</v>
      </c>
      <c r="B134" s="1314">
        <f ca="1">OFFSET(B134,-1,0)+1</f>
        <v>91</v>
      </c>
      <c r="C134" s="1148">
        <v>13462511</v>
      </c>
      <c r="D134" s="1149" t="s">
        <v>4673</v>
      </c>
      <c r="E134" s="1135" t="s">
        <v>4622</v>
      </c>
      <c r="F134" s="1118">
        <v>28721</v>
      </c>
      <c r="G134" s="1135" t="s">
        <v>4620</v>
      </c>
      <c r="H134" s="1118">
        <v>43738</v>
      </c>
      <c r="I134" s="1140">
        <f t="shared" si="261"/>
        <v>6</v>
      </c>
      <c r="J134" s="1132">
        <v>8</v>
      </c>
      <c r="K134" s="1140">
        <f t="shared" si="279"/>
        <v>14</v>
      </c>
      <c r="L134" s="1145" t="s">
        <v>5522</v>
      </c>
      <c r="M134" s="1132"/>
      <c r="N134" s="1352" t="s">
        <v>7559</v>
      </c>
      <c r="O134" s="1002" t="s">
        <v>7624</v>
      </c>
      <c r="P134" s="1132" t="s">
        <v>5190</v>
      </c>
      <c r="Q134" s="1315" t="str">
        <f>IFERROR(VLOOKUP(O134,CARGOS!A:E,2,0),"")</f>
        <v>85321</v>
      </c>
      <c r="R134" s="1324" t="s">
        <v>7624</v>
      </c>
      <c r="S134" s="1146" t="s">
        <v>5856</v>
      </c>
      <c r="T134" s="1107">
        <f>IFERROR(VLOOKUP(S134,'TAB EMP'!A:B,2,0),0)</f>
        <v>312</v>
      </c>
      <c r="U134" s="1108">
        <v>0</v>
      </c>
      <c r="V134" s="1107">
        <f>T134-U134</f>
        <v>312</v>
      </c>
      <c r="W134" s="1108">
        <f>ROUND(V134/2,2)</f>
        <v>156</v>
      </c>
      <c r="X134" s="1135" t="s">
        <v>2887</v>
      </c>
      <c r="Y134" s="1135"/>
      <c r="Z134" s="1135">
        <v>1</v>
      </c>
      <c r="AA134" s="1107">
        <f>ROUND(IF(H134&lt;&gt;"",VLOOKUP(SUM(I134+J134),'CONCEPTOS Y PARAMETROS'!F:G,2,0)*V134,0),2)</f>
        <v>51.79</v>
      </c>
      <c r="AB134" s="1107">
        <f>IF(S134&lt;&gt;"",IF(M134="",'CONCEPTOS Y PARAMETROS'!$C$4,0),0)</f>
        <v>130</v>
      </c>
      <c r="AC134" s="1107">
        <f>IF(S134&lt;&gt;"",IF(M134="",'CONCEPTOS Y PARAMETROS'!$C$7*Z134,0),0)</f>
        <v>12.5</v>
      </c>
      <c r="AD134" s="1107">
        <f>IFERROR(ROUND(VLOOKUP($X134,'CONCEPTOS Y PARAMETROS'!H:I,2,0)*($V134+AA134+AB134+AC134),2),0)</f>
        <v>177.2</v>
      </c>
      <c r="AE134" s="1107">
        <f>SUM(AA134:AD134)</f>
        <v>371.49</v>
      </c>
      <c r="AF134" s="1107">
        <f>ROUND(AA134/2,2)</f>
        <v>25.9</v>
      </c>
      <c r="AG134" s="1107">
        <f>ROUND(AA134-AF134,2)</f>
        <v>25.89</v>
      </c>
      <c r="AH134" s="1107">
        <f>ROUND(AB134/2,2)</f>
        <v>65</v>
      </c>
      <c r="AI134" s="1107">
        <f>ROUND(AB134-AH134,2)</f>
        <v>65</v>
      </c>
      <c r="AJ134" s="1107">
        <f>ROUND(AD134/2,2)</f>
        <v>88.6</v>
      </c>
      <c r="AK134" s="1107">
        <f>ROUND(AD134-AJ134,2)</f>
        <v>88.6</v>
      </c>
      <c r="AL134" s="1108">
        <f>ROUND(AF134+AH134+AJ134+AC134,2)</f>
        <v>192</v>
      </c>
      <c r="AM134" s="1108">
        <f>ROUND(AG134+AI134+AK134,2)</f>
        <v>179.49</v>
      </c>
      <c r="AN134" s="990">
        <v>0</v>
      </c>
      <c r="AO134" s="1147">
        <f>'CONCEPTOS Y PARAMETROS'!$C$18*AN134</f>
        <v>0</v>
      </c>
      <c r="AP134" s="990">
        <v>0</v>
      </c>
      <c r="AQ134" s="1147">
        <f>'CONCEPTOS Y PARAMETROS'!$C$21*AP134</f>
        <v>0</v>
      </c>
      <c r="AR134" s="1318">
        <v>0</v>
      </c>
      <c r="AS134" s="1318">
        <v>0</v>
      </c>
      <c r="AT134" s="1318">
        <f>+AO134+AQ134+AR134+AS134</f>
        <v>0</v>
      </c>
      <c r="AU134" s="1108">
        <f t="shared" si="280"/>
        <v>683.49</v>
      </c>
      <c r="AV134" s="1133">
        <v>0</v>
      </c>
      <c r="AW134" s="1108">
        <f>ROUND(IF(O134="VIGILANTE",(V134+AE134)*30%,0),2)</f>
        <v>0</v>
      </c>
      <c r="AX134" s="1107">
        <f>IF(T134&lt;&gt;"0",(ROUND(IF(A134="EMPLEADO",eval_formula('CONCEPTOS Y PARAMETROS'!$C$8,NOMINA!V134,NOMINA!$AU134,NOMINA!I134+NOMINA!J134),eval_formula('CONCEPTOS Y PARAMETROS'!$D$8,NOMINA!V134,NOMINA!$AU134,NOMINA!I134+NOMINA!J134)),2))*IF(H134&lt;&gt;"",IF(MONTH(H134)=$BR$8,IF(YEAR(H134)&lt;$BT$7,1,0),0)))</f>
        <v>5467.92</v>
      </c>
      <c r="AY134" s="1108">
        <v>180</v>
      </c>
      <c r="AZ134" s="1107">
        <f>IFERROR(VLOOKUP(AY134,'CONCEPTOS Y PARAMETROS'!Y:Z,2,0),0)</f>
        <v>150</v>
      </c>
      <c r="BA134" s="1107">
        <f>ROUND((((AU134))/30*AY134/12+(AU134))/30*AZ134,2)</f>
        <v>5126.18</v>
      </c>
      <c r="BB134" s="1107">
        <f t="shared" si="289"/>
        <v>0</v>
      </c>
      <c r="BC134" s="990">
        <v>0</v>
      </c>
      <c r="BD134" s="1107" t="str">
        <f t="shared" si="281"/>
        <v>0</v>
      </c>
      <c r="BE134" s="990">
        <v>0</v>
      </c>
      <c r="BF134" s="1107">
        <f t="shared" si="329"/>
        <v>0</v>
      </c>
      <c r="BG134" s="1108">
        <v>320</v>
      </c>
      <c r="BH134" s="1108">
        <v>0</v>
      </c>
      <c r="BI134" s="1132">
        <v>0</v>
      </c>
      <c r="BJ134" s="1108">
        <v>12.5</v>
      </c>
      <c r="BK134" s="1108">
        <v>0</v>
      </c>
      <c r="BL134" s="1107">
        <f t="shared" si="324"/>
        <v>31.55</v>
      </c>
      <c r="BM134" s="1107">
        <f t="shared" si="325"/>
        <v>3.94</v>
      </c>
      <c r="BN134" s="1107">
        <f t="shared" si="262"/>
        <v>6.83</v>
      </c>
      <c r="BO134" s="1107">
        <v>0</v>
      </c>
      <c r="BP134" s="1107">
        <v>0</v>
      </c>
      <c r="BQ134" s="1320">
        <f>ROUND(SUM(BL134:BP134),2)</f>
        <v>42.32</v>
      </c>
      <c r="BR134" s="1107">
        <f t="shared" si="326"/>
        <v>70.98</v>
      </c>
      <c r="BS134" s="1107">
        <f t="shared" si="327"/>
        <v>15.77</v>
      </c>
      <c r="BT134" s="1107">
        <f t="shared" si="263"/>
        <v>13.66</v>
      </c>
      <c r="BU134" s="1107">
        <v>0</v>
      </c>
      <c r="BV134" s="1108">
        <f>ROUND(SUM(BR134:BT134),2)</f>
        <v>100.41</v>
      </c>
      <c r="BW134" s="1112">
        <f>BQ134+BV134</f>
        <v>142.72999999999999</v>
      </c>
      <c r="BX134" s="1112">
        <f t="shared" si="328"/>
        <v>1281.55</v>
      </c>
      <c r="BY134" s="1108">
        <v>0</v>
      </c>
      <c r="BZ134" s="1108">
        <f t="shared" si="282"/>
        <v>1281.55</v>
      </c>
      <c r="CA134" s="1321">
        <f>'CONCEPTOS Y PARAMETROS'!$A$102</f>
        <v>6255</v>
      </c>
      <c r="CB134" s="1112">
        <f t="shared" si="264"/>
        <v>305.68</v>
      </c>
      <c r="CC134" s="1113">
        <f t="shared" si="265"/>
        <v>6135.91</v>
      </c>
      <c r="CD134" s="512"/>
      <c r="CE134" s="512"/>
      <c r="CF134" s="470">
        <f t="shared" si="266"/>
        <v>975.49</v>
      </c>
      <c r="CG134" s="509">
        <f t="shared" si="283"/>
        <v>305.68</v>
      </c>
      <c r="CH134" s="1603">
        <f t="shared" si="267"/>
        <v>12.5</v>
      </c>
      <c r="CI134" s="1491">
        <f t="shared" si="284"/>
        <v>320</v>
      </c>
      <c r="CJ134" s="1502">
        <v>2</v>
      </c>
      <c r="CK134" s="509">
        <f t="shared" si="268"/>
        <v>655.49</v>
      </c>
      <c r="CL134" s="1689">
        <f t="shared" si="269"/>
        <v>314.64</v>
      </c>
      <c r="CM134" s="1689">
        <f t="shared" si="270"/>
        <v>340.85</v>
      </c>
      <c r="CN134" s="510">
        <f t="shared" si="271"/>
        <v>0</v>
      </c>
      <c r="CO134" s="511">
        <v>0</v>
      </c>
      <c r="CP134" s="510">
        <f t="shared" si="272"/>
        <v>0</v>
      </c>
      <c r="CQ134" s="510">
        <f t="shared" si="273"/>
        <v>5467.92</v>
      </c>
      <c r="CR134" s="510">
        <f t="shared" si="274"/>
        <v>6778.9</v>
      </c>
      <c r="CS134" s="510">
        <f t="shared" si="275"/>
        <v>142.72999999999999</v>
      </c>
      <c r="CT134" s="510">
        <f t="shared" si="276"/>
        <v>6255</v>
      </c>
      <c r="CU134" s="512"/>
      <c r="CV134" s="512"/>
      <c r="CW134" s="512"/>
      <c r="CX134" s="512"/>
      <c r="CY134" s="1149" t="s">
        <v>6901</v>
      </c>
      <c r="CZ134" s="1149" t="s">
        <v>6845</v>
      </c>
      <c r="DA134" s="1152"/>
      <c r="DB134" s="1152" t="s">
        <v>6145</v>
      </c>
      <c r="DC134" s="1152" t="s">
        <v>7549</v>
      </c>
      <c r="DD134" s="1143" t="s">
        <v>6153</v>
      </c>
      <c r="DE134" s="1143" t="s">
        <v>6255</v>
      </c>
      <c r="DF134" s="1143" t="s">
        <v>6538</v>
      </c>
      <c r="DG134" s="1143"/>
      <c r="DH134" s="512"/>
      <c r="DI134" s="512"/>
      <c r="DJ134" s="512"/>
      <c r="DK134" s="512"/>
      <c r="DL134" s="512"/>
      <c r="DN134" s="476" t="str">
        <f>VLOOKUP(X134,Hoja1!$A$4:$B$10,2,0)</f>
        <v>MAGISTER</v>
      </c>
      <c r="DO134" s="476" t="str">
        <f>VLOOKUP(S134,Hoja1!$D$4:$F$77,3,0)</f>
        <v>PIII - V</v>
      </c>
      <c r="DP134" s="1594" t="str">
        <f t="shared" si="277"/>
        <v>0</v>
      </c>
      <c r="DQ134" s="1484">
        <f>IF(T134&lt;&gt;"0",(ROUND(IF(A134="EMPLEADO",eval_formula('CONCEPTOS Y PARAMETROS'!$C$8,NOMINA!V134,AU134+BF134,NOMINA!I134+NOMINA!J134),eval_formula('CONCEPTOS Y PARAMETROS'!$D$8,NOMINA!V134,AU134+BF134,NOMINA!I134+NOMINA!J134)),2))*IF(H134&lt;&gt;"",IF(MONTH(H134)=$BR$8,IF(YEAR(H134)&lt;$BT$7,1,0),0)))</f>
        <v>5467.92</v>
      </c>
      <c r="DR134" s="1799" t="str">
        <f t="shared" si="278"/>
        <v>F</v>
      </c>
      <c r="DS134" s="1799"/>
    </row>
    <row r="135" spans="1:123" s="476" customFormat="1" ht="21.95" customHeight="1" x14ac:dyDescent="0.25">
      <c r="A135" s="508" t="s">
        <v>2846</v>
      </c>
      <c r="B135" s="1314">
        <f t="shared" ca="1" si="133"/>
        <v>92</v>
      </c>
      <c r="C135" s="1148">
        <v>13522518</v>
      </c>
      <c r="D135" s="1149" t="s">
        <v>4773</v>
      </c>
      <c r="E135" s="1135" t="s">
        <v>4622</v>
      </c>
      <c r="F135" s="1150">
        <v>25580</v>
      </c>
      <c r="G135" s="1135" t="s">
        <v>4621</v>
      </c>
      <c r="H135" s="1150">
        <v>43739</v>
      </c>
      <c r="I135" s="1140">
        <f t="shared" si="261"/>
        <v>5</v>
      </c>
      <c r="J135" s="1132">
        <v>0</v>
      </c>
      <c r="K135" s="1140">
        <f t="shared" si="279"/>
        <v>5</v>
      </c>
      <c r="L135" s="1145" t="s">
        <v>5543</v>
      </c>
      <c r="M135" s="1132"/>
      <c r="N135" s="1132"/>
      <c r="O135" s="1002" t="s">
        <v>7263</v>
      </c>
      <c r="P135" s="1132" t="s">
        <v>5340</v>
      </c>
      <c r="Q135" s="1315" t="str">
        <f>IFERROR(VLOOKUP(O135,CARGOS!A:E,2,0),"")</f>
        <v>25212</v>
      </c>
      <c r="R135" s="1327" t="s">
        <v>7263</v>
      </c>
      <c r="S135" s="1146" t="s">
        <v>5477</v>
      </c>
      <c r="T135" s="1107">
        <f>IFERROR(VLOOKUP(S135,'TAB EMP'!A:B,2,0),0)</f>
        <v>150</v>
      </c>
      <c r="U135" s="1108">
        <v>0</v>
      </c>
      <c r="V135" s="1107">
        <f t="shared" si="290"/>
        <v>150</v>
      </c>
      <c r="W135" s="1108">
        <f t="shared" si="291"/>
        <v>75</v>
      </c>
      <c r="X135" s="1135" t="s">
        <v>2884</v>
      </c>
      <c r="Y135" s="1135"/>
      <c r="Z135" s="1135">
        <v>1</v>
      </c>
      <c r="AA135" s="1107">
        <f>ROUND(IF(H135&lt;&gt;"",VLOOKUP(SUM(I135+J135),'CONCEPTOS Y PARAMETROS'!F:G,2,0)*V135,0),2)</f>
        <v>7.5</v>
      </c>
      <c r="AB135" s="1107">
        <f>IF(S135&lt;&gt;"",IF(M135="",'CONCEPTOS Y PARAMETROS'!$C$4,0),0)</f>
        <v>130</v>
      </c>
      <c r="AC135" s="1107">
        <f>IF(S135&lt;&gt;"",IF(M135="",'CONCEPTOS Y PARAMETROS'!$C$7*Z135,0),0)</f>
        <v>12.5</v>
      </c>
      <c r="AD135" s="1107">
        <f>IFERROR(ROUND(VLOOKUP($X135,'CONCEPTOS Y PARAMETROS'!H:I,2,0)*($V135+AA135+AB135+AC135),2),0)</f>
        <v>0</v>
      </c>
      <c r="AE135" s="1107">
        <f t="shared" si="287"/>
        <v>150</v>
      </c>
      <c r="AF135" s="1107">
        <f t="shared" si="292"/>
        <v>3.75</v>
      </c>
      <c r="AG135" s="1107">
        <f t="shared" si="293"/>
        <v>3.75</v>
      </c>
      <c r="AH135" s="1107">
        <f t="shared" si="294"/>
        <v>65</v>
      </c>
      <c r="AI135" s="1107">
        <f t="shared" si="295"/>
        <v>65</v>
      </c>
      <c r="AJ135" s="1107">
        <f t="shared" si="296"/>
        <v>0</v>
      </c>
      <c r="AK135" s="1107">
        <f t="shared" si="297"/>
        <v>0</v>
      </c>
      <c r="AL135" s="1108">
        <f t="shared" si="298"/>
        <v>81.25</v>
      </c>
      <c r="AM135" s="1108">
        <f t="shared" si="299"/>
        <v>68.75</v>
      </c>
      <c r="AN135" s="990">
        <v>1</v>
      </c>
      <c r="AO135" s="1147">
        <f>'CONCEPTOS Y PARAMETROS'!$C$18*AN135</f>
        <v>12.5</v>
      </c>
      <c r="AP135" s="990">
        <v>0</v>
      </c>
      <c r="AQ135" s="1147">
        <f>'CONCEPTOS Y PARAMETROS'!$C$21*AP135</f>
        <v>0</v>
      </c>
      <c r="AR135" s="1318">
        <v>0</v>
      </c>
      <c r="AS135" s="1318">
        <v>0</v>
      </c>
      <c r="AT135" s="1318">
        <f t="shared" si="288"/>
        <v>12.5</v>
      </c>
      <c r="AU135" s="1108">
        <f t="shared" si="280"/>
        <v>300</v>
      </c>
      <c r="AV135" s="1133">
        <v>0</v>
      </c>
      <c r="AW135" s="1108">
        <f>ROUND(IF(AV135="NOCTURN",(V135+AE135)*30%,0),2)</f>
        <v>0</v>
      </c>
      <c r="AX135" s="1107">
        <f>IF(T135&lt;&gt;"0",(ROUND(IF(A135="EMPLEADO",eval_formula('CONCEPTOS Y PARAMETROS'!$C$8,NOMINA!V135,NOMINA!$AU135,NOMINA!I135+NOMINA!J135),eval_formula('CONCEPTOS Y PARAMETROS'!$D$8,NOMINA!V135,NOMINA!$AU135,NOMINA!I135+NOMINA!J135)),2))*IF(H135&lt;&gt;"",IF(MONTH(H135)=$BR$8,IF(YEAR(H135)&lt;$BT$7,1,0),0)))</f>
        <v>0</v>
      </c>
      <c r="AY135" s="1108">
        <v>180</v>
      </c>
      <c r="AZ135" s="1107">
        <f>IFERROR(VLOOKUP(AY135,'CONCEPTOS Y PARAMETROS'!Y:Z,2,0),0)</f>
        <v>150</v>
      </c>
      <c r="BA135" s="1107">
        <f t="shared" si="300"/>
        <v>2250</v>
      </c>
      <c r="BB135" s="1107">
        <f t="shared" si="289"/>
        <v>0</v>
      </c>
      <c r="BC135" s="990">
        <v>0</v>
      </c>
      <c r="BD135" s="1107" t="str">
        <f t="shared" si="281"/>
        <v>0</v>
      </c>
      <c r="BE135" s="990">
        <v>0</v>
      </c>
      <c r="BF135" s="1107">
        <f t="shared" si="329"/>
        <v>0</v>
      </c>
      <c r="BG135" s="1108">
        <v>320</v>
      </c>
      <c r="BH135" s="1108">
        <v>0</v>
      </c>
      <c r="BI135" s="1132">
        <v>0</v>
      </c>
      <c r="BJ135" s="1108">
        <v>12.5</v>
      </c>
      <c r="BK135" s="1108">
        <v>0</v>
      </c>
      <c r="BL135" s="1107">
        <f t="shared" si="324"/>
        <v>13.85</v>
      </c>
      <c r="BM135" s="1107">
        <f t="shared" si="325"/>
        <v>1.73</v>
      </c>
      <c r="BN135" s="1107">
        <f t="shared" si="262"/>
        <v>3</v>
      </c>
      <c r="BO135" s="1107">
        <v>0</v>
      </c>
      <c r="BP135" s="1107">
        <v>0</v>
      </c>
      <c r="BQ135" s="1320">
        <f t="shared" si="301"/>
        <v>18.579999999999998</v>
      </c>
      <c r="BR135" s="1107">
        <f t="shared" si="326"/>
        <v>31.15</v>
      </c>
      <c r="BS135" s="1107">
        <f t="shared" si="327"/>
        <v>6.92</v>
      </c>
      <c r="BT135" s="1107">
        <f t="shared" si="263"/>
        <v>6</v>
      </c>
      <c r="BU135" s="1107">
        <v>0</v>
      </c>
      <c r="BV135" s="1108">
        <f t="shared" si="302"/>
        <v>44.07</v>
      </c>
      <c r="BW135" s="1112">
        <f t="shared" si="303"/>
        <v>62.65</v>
      </c>
      <c r="BX135" s="1112">
        <f t="shared" si="328"/>
        <v>562.5</v>
      </c>
      <c r="BY135" s="1108">
        <v>0</v>
      </c>
      <c r="BZ135" s="1108">
        <f t="shared" si="282"/>
        <v>562.5</v>
      </c>
      <c r="CA135" s="1321">
        <f>'CONCEPTOS Y PARAMETROS'!$A$102</f>
        <v>6255</v>
      </c>
      <c r="CB135" s="1112">
        <f t="shared" si="264"/>
        <v>137.67000000000002</v>
      </c>
      <c r="CC135" s="1113">
        <f t="shared" si="265"/>
        <v>488.75</v>
      </c>
      <c r="CD135" s="512"/>
      <c r="CE135" s="512"/>
      <c r="CF135" s="470">
        <f t="shared" si="266"/>
        <v>783.75</v>
      </c>
      <c r="CG135" s="509">
        <f t="shared" si="283"/>
        <v>137.67000000000002</v>
      </c>
      <c r="CH135" s="1603">
        <f t="shared" si="267"/>
        <v>25</v>
      </c>
      <c r="CI135" s="1491">
        <f t="shared" si="284"/>
        <v>320</v>
      </c>
      <c r="CJ135" s="1502">
        <v>1</v>
      </c>
      <c r="CK135" s="509">
        <f t="shared" si="268"/>
        <v>463.75</v>
      </c>
      <c r="CL135" s="1689">
        <f t="shared" si="269"/>
        <v>463.75</v>
      </c>
      <c r="CM135" s="1689">
        <f t="shared" si="270"/>
        <v>0</v>
      </c>
      <c r="CN135" s="510">
        <f t="shared" si="271"/>
        <v>0</v>
      </c>
      <c r="CO135" s="511">
        <v>0</v>
      </c>
      <c r="CP135" s="510">
        <f t="shared" si="272"/>
        <v>0</v>
      </c>
      <c r="CQ135" s="510">
        <f t="shared" si="273"/>
        <v>0</v>
      </c>
      <c r="CR135" s="510">
        <f t="shared" si="274"/>
        <v>927.5</v>
      </c>
      <c r="CS135" s="510">
        <f t="shared" si="275"/>
        <v>62.65</v>
      </c>
      <c r="CT135" s="510">
        <f t="shared" si="276"/>
        <v>6255</v>
      </c>
      <c r="CU135" s="512"/>
      <c r="CV135" s="512"/>
      <c r="CW135" s="512"/>
      <c r="CX135" s="512"/>
      <c r="CY135" s="1149" t="s">
        <v>7064</v>
      </c>
      <c r="CZ135" s="1149" t="s">
        <v>6813</v>
      </c>
      <c r="DA135" s="1152"/>
      <c r="DB135" s="1642" t="s">
        <v>6341</v>
      </c>
      <c r="DC135" s="1642"/>
      <c r="DD135" s="1642" t="s">
        <v>6150</v>
      </c>
      <c r="DE135" s="1642" t="s">
        <v>6132</v>
      </c>
      <c r="DF135" s="1642" t="s">
        <v>6307</v>
      </c>
      <c r="DG135" s="1642"/>
      <c r="DH135" s="512"/>
      <c r="DI135" s="512"/>
      <c r="DJ135" s="512"/>
      <c r="DK135" s="512"/>
      <c r="DL135" s="512"/>
      <c r="DN135" s="476" t="str">
        <f>VLOOKUP(X135,Hoja1!$A$4:$B$10,2,0)</f>
        <v>BACHILLER</v>
      </c>
      <c r="DO135" s="476" t="str">
        <f>VLOOKUP(S135,Hoja1!$D$4:$F$77,3,0)</f>
        <v>BII - II</v>
      </c>
      <c r="DP135" s="1594" t="str">
        <f t="shared" si="277"/>
        <v>0</v>
      </c>
      <c r="DQ135" s="1484">
        <f>IF(T135&lt;&gt;"0",(ROUND(IF(A135="EMPLEADO",eval_formula('CONCEPTOS Y PARAMETROS'!$C$8,NOMINA!V135,AU135+BF135,NOMINA!I135+NOMINA!J135),eval_formula('CONCEPTOS Y PARAMETROS'!$D$8,NOMINA!V135,AU135+BF135,NOMINA!I135+NOMINA!J135)),2))*IF(H135&lt;&gt;"",IF(MONTH(H135)=$BR$8,IF(YEAR(H135)&lt;$BT$7,1,0),0)))</f>
        <v>0</v>
      </c>
      <c r="DR135" s="1799" t="str">
        <f t="shared" si="278"/>
        <v>M</v>
      </c>
      <c r="DS135" s="1799"/>
    </row>
    <row r="136" spans="1:123" s="476" customFormat="1" ht="21.95" customHeight="1" x14ac:dyDescent="0.25">
      <c r="A136" s="508" t="s">
        <v>2846</v>
      </c>
      <c r="B136" s="1314">
        <f t="shared" ca="1" si="133"/>
        <v>93</v>
      </c>
      <c r="C136" s="1148">
        <v>13523075</v>
      </c>
      <c r="D136" s="1149" t="s">
        <v>4774</v>
      </c>
      <c r="E136" s="1135" t="s">
        <v>4622</v>
      </c>
      <c r="F136" s="1150">
        <v>28785</v>
      </c>
      <c r="G136" s="1135" t="s">
        <v>4620</v>
      </c>
      <c r="H136" s="1150">
        <v>37718</v>
      </c>
      <c r="I136" s="1140">
        <f t="shared" si="261"/>
        <v>22</v>
      </c>
      <c r="J136" s="1132">
        <v>0</v>
      </c>
      <c r="K136" s="1140">
        <f t="shared" si="279"/>
        <v>22</v>
      </c>
      <c r="L136" s="1145" t="s">
        <v>5530</v>
      </c>
      <c r="M136" s="1132"/>
      <c r="N136" s="1132"/>
      <c r="O136" s="1002" t="s">
        <v>5248</v>
      </c>
      <c r="P136" s="1132" t="s">
        <v>5341</v>
      </c>
      <c r="Q136" s="1315" t="str">
        <f>IFERROR(VLOOKUP(O136,CARGOS!A:E,2,0),"")</f>
        <v>13365</v>
      </c>
      <c r="R136" s="1327" t="s">
        <v>5248</v>
      </c>
      <c r="S136" s="1146" t="s">
        <v>5471</v>
      </c>
      <c r="T136" s="1107">
        <f>IFERROR(VLOOKUP(S136,'TAB EMP'!A:B,2,0),0)</f>
        <v>228</v>
      </c>
      <c r="U136" s="1108">
        <v>0</v>
      </c>
      <c r="V136" s="1107">
        <f t="shared" si="290"/>
        <v>228</v>
      </c>
      <c r="W136" s="1108">
        <f t="shared" si="291"/>
        <v>114</v>
      </c>
      <c r="X136" s="1135" t="s">
        <v>2844</v>
      </c>
      <c r="Y136" s="1135"/>
      <c r="Z136" s="1135">
        <v>2</v>
      </c>
      <c r="AA136" s="1107">
        <f>ROUND(IF(H136&lt;&gt;"",VLOOKUP(SUM(I136+J136),'CONCEPTOS Y PARAMETROS'!F:G,2,0)*V136,0),2)</f>
        <v>67.489999999999995</v>
      </c>
      <c r="AB136" s="1107">
        <f>IF(S136&lt;&gt;"",IF(M136="",'CONCEPTOS Y PARAMETROS'!$C$4,0),0)</f>
        <v>130</v>
      </c>
      <c r="AC136" s="1107">
        <f>IF(S136&lt;&gt;"",IF(M136="",'CONCEPTOS Y PARAMETROS'!$C$7*Z136,0),0)</f>
        <v>25</v>
      </c>
      <c r="AD136" s="1107">
        <f>IFERROR(ROUND(VLOOKUP($X136,'CONCEPTOS Y PARAMETROS'!H:I,2,0)*($V136+AA136+AB136+AC136),2),0)</f>
        <v>90.1</v>
      </c>
      <c r="AE136" s="1107">
        <f t="shared" si="287"/>
        <v>312.59000000000003</v>
      </c>
      <c r="AF136" s="1107">
        <f t="shared" si="292"/>
        <v>33.75</v>
      </c>
      <c r="AG136" s="1107">
        <f t="shared" si="293"/>
        <v>33.74</v>
      </c>
      <c r="AH136" s="1107">
        <f t="shared" si="294"/>
        <v>65</v>
      </c>
      <c r="AI136" s="1107">
        <f t="shared" si="295"/>
        <v>65</v>
      </c>
      <c r="AJ136" s="1107">
        <f t="shared" si="296"/>
        <v>45.05</v>
      </c>
      <c r="AK136" s="1107">
        <f t="shared" si="297"/>
        <v>45.05</v>
      </c>
      <c r="AL136" s="1108">
        <f t="shared" si="298"/>
        <v>168.8</v>
      </c>
      <c r="AM136" s="1108">
        <f t="shared" si="299"/>
        <v>143.79</v>
      </c>
      <c r="AN136" s="990">
        <v>2</v>
      </c>
      <c r="AO136" s="1147">
        <f>'CONCEPTOS Y PARAMETROS'!$C$18*AN136</f>
        <v>25</v>
      </c>
      <c r="AP136" s="990">
        <v>0</v>
      </c>
      <c r="AQ136" s="1147">
        <f>'CONCEPTOS Y PARAMETROS'!$C$21*AP136</f>
        <v>0</v>
      </c>
      <c r="AR136" s="1318">
        <v>0</v>
      </c>
      <c r="AS136" s="1318">
        <v>0</v>
      </c>
      <c r="AT136" s="1318">
        <f t="shared" si="288"/>
        <v>25</v>
      </c>
      <c r="AU136" s="1108">
        <f t="shared" si="280"/>
        <v>540.59</v>
      </c>
      <c r="AV136" s="1133">
        <v>0</v>
      </c>
      <c r="AW136" s="1108">
        <f>ROUND(IF(AV136="NOCTURN",(V136+AE136)*30%,0),2)</f>
        <v>0</v>
      </c>
      <c r="AX136" s="1107">
        <f>IF(T136&lt;&gt;"0",(ROUND(IF(A136="EMPLEADO",eval_formula('CONCEPTOS Y PARAMETROS'!$C$8,NOMINA!V136,NOMINA!$AU136,NOMINA!I136+NOMINA!J136),eval_formula('CONCEPTOS Y PARAMETROS'!$D$8,NOMINA!V136,NOMINA!$AU136,NOMINA!I136+NOMINA!J136)),2))*IF(H136&lt;&gt;"",IF(MONTH(H136)=$BR$8,IF(YEAR(H136)&lt;$BT$7,1,0),0)))</f>
        <v>0</v>
      </c>
      <c r="AY136" s="1108">
        <v>180</v>
      </c>
      <c r="AZ136" s="1107">
        <f>IFERROR(VLOOKUP(AY136,'CONCEPTOS Y PARAMETROS'!Y:Z,2,0),0)</f>
        <v>150</v>
      </c>
      <c r="BA136" s="1107">
        <f t="shared" si="300"/>
        <v>4054.43</v>
      </c>
      <c r="BB136" s="1107">
        <f t="shared" si="289"/>
        <v>0</v>
      </c>
      <c r="BC136" s="990">
        <v>0</v>
      </c>
      <c r="BD136" s="1107" t="str">
        <f t="shared" si="281"/>
        <v>0</v>
      </c>
      <c r="BE136" s="990">
        <v>0</v>
      </c>
      <c r="BF136" s="1107">
        <f t="shared" si="329"/>
        <v>0</v>
      </c>
      <c r="BG136" s="1108">
        <v>320</v>
      </c>
      <c r="BH136" s="1108">
        <v>0</v>
      </c>
      <c r="BI136" s="1132">
        <v>0</v>
      </c>
      <c r="BJ136" s="1108">
        <v>12.5</v>
      </c>
      <c r="BK136" s="1108">
        <v>0</v>
      </c>
      <c r="BL136" s="1107">
        <f t="shared" si="324"/>
        <v>24.95</v>
      </c>
      <c r="BM136" s="1107">
        <f t="shared" si="325"/>
        <v>3.12</v>
      </c>
      <c r="BN136" s="1107">
        <f t="shared" si="262"/>
        <v>5.41</v>
      </c>
      <c r="BO136" s="1107">
        <v>0</v>
      </c>
      <c r="BP136" s="1107">
        <v>0</v>
      </c>
      <c r="BQ136" s="1320">
        <f t="shared" si="301"/>
        <v>33.479999999999997</v>
      </c>
      <c r="BR136" s="1107">
        <f t="shared" si="326"/>
        <v>56.14</v>
      </c>
      <c r="BS136" s="1107">
        <f t="shared" si="327"/>
        <v>12.48</v>
      </c>
      <c r="BT136" s="1107">
        <f t="shared" si="263"/>
        <v>10.82</v>
      </c>
      <c r="BU136" s="1107">
        <v>0</v>
      </c>
      <c r="BV136" s="1108">
        <f t="shared" si="302"/>
        <v>79.44</v>
      </c>
      <c r="BW136" s="1112">
        <f t="shared" si="303"/>
        <v>112.91999999999999</v>
      </c>
      <c r="BX136" s="1112">
        <f t="shared" si="328"/>
        <v>1013.61</v>
      </c>
      <c r="BY136" s="1108">
        <v>0</v>
      </c>
      <c r="BZ136" s="1108">
        <f t="shared" si="282"/>
        <v>1013.61</v>
      </c>
      <c r="CA136" s="1321">
        <f>'CONCEPTOS Y PARAMETROS'!$A$102</f>
        <v>6255</v>
      </c>
      <c r="CB136" s="1112">
        <f t="shared" si="264"/>
        <v>249.32000000000002</v>
      </c>
      <c r="CC136" s="1113">
        <f t="shared" si="265"/>
        <v>615.29</v>
      </c>
      <c r="CD136" s="512"/>
      <c r="CE136" s="512"/>
      <c r="CF136" s="470">
        <f t="shared" si="266"/>
        <v>897.79</v>
      </c>
      <c r="CG136" s="509">
        <f t="shared" si="283"/>
        <v>249.32000000000002</v>
      </c>
      <c r="CH136" s="1603">
        <f t="shared" si="267"/>
        <v>37.5</v>
      </c>
      <c r="CI136" s="1491">
        <f t="shared" si="284"/>
        <v>320</v>
      </c>
      <c r="CJ136" s="1502">
        <v>1</v>
      </c>
      <c r="CK136" s="509">
        <f t="shared" si="268"/>
        <v>577.79</v>
      </c>
      <c r="CL136" s="1689">
        <f t="shared" si="269"/>
        <v>577.79</v>
      </c>
      <c r="CM136" s="1689">
        <f t="shared" si="270"/>
        <v>0</v>
      </c>
      <c r="CN136" s="510">
        <f t="shared" si="271"/>
        <v>0</v>
      </c>
      <c r="CO136" s="511">
        <v>0</v>
      </c>
      <c r="CP136" s="510">
        <f t="shared" si="272"/>
        <v>0</v>
      </c>
      <c r="CQ136" s="510">
        <f t="shared" si="273"/>
        <v>0</v>
      </c>
      <c r="CR136" s="510">
        <f t="shared" si="274"/>
        <v>1155.58</v>
      </c>
      <c r="CS136" s="510">
        <f t="shared" si="275"/>
        <v>112.91999999999999</v>
      </c>
      <c r="CT136" s="510">
        <f t="shared" si="276"/>
        <v>6255</v>
      </c>
      <c r="CU136" s="512"/>
      <c r="CV136" s="512"/>
      <c r="CW136" s="512"/>
      <c r="CX136" s="512"/>
      <c r="CY136" s="1149" t="s">
        <v>7065</v>
      </c>
      <c r="CZ136" s="1149" t="s">
        <v>6805</v>
      </c>
      <c r="DA136" s="1152"/>
      <c r="DB136" s="1642" t="s">
        <v>6495</v>
      </c>
      <c r="DC136" s="1642"/>
      <c r="DD136" s="1642" t="s">
        <v>6135</v>
      </c>
      <c r="DE136" s="1642" t="s">
        <v>6171</v>
      </c>
      <c r="DF136" s="1642" t="s">
        <v>6307</v>
      </c>
      <c r="DG136" s="1152"/>
      <c r="DH136" s="512"/>
      <c r="DI136" s="512"/>
      <c r="DJ136" s="512"/>
      <c r="DK136" s="512"/>
      <c r="DL136" s="512"/>
      <c r="DN136" s="476" t="str">
        <f>VLOOKUP(X136,Hoja1!$A$4:$B$10,2,0)</f>
        <v>TÉCNICO SUPERIOR UNIVERSITARIO</v>
      </c>
      <c r="DO136" s="476" t="str">
        <f>VLOOKUP(S136,Hoja1!$D$4:$F$77,3,0)</f>
        <v>TII - VII</v>
      </c>
      <c r="DP136" s="1594" t="str">
        <f t="shared" si="277"/>
        <v>0</v>
      </c>
      <c r="DQ136" s="1484">
        <f>IF(T136&lt;&gt;"0",(ROUND(IF(A136="EMPLEADO",eval_formula('CONCEPTOS Y PARAMETROS'!$C$8,NOMINA!V136,AU136+BF136,NOMINA!I136+NOMINA!J136),eval_formula('CONCEPTOS Y PARAMETROS'!$D$8,NOMINA!V136,AU136+BF136,NOMINA!I136+NOMINA!J136)),2))*IF(H136&lt;&gt;"",IF(MONTH(H136)=$BR$8,IF(YEAR(H136)&lt;$BT$7,1,0),0)))</f>
        <v>0</v>
      </c>
      <c r="DR136" s="1799" t="str">
        <f t="shared" si="278"/>
        <v>F</v>
      </c>
      <c r="DS136" s="1799"/>
    </row>
    <row r="137" spans="1:123" s="476" customFormat="1" ht="21.95" customHeight="1" x14ac:dyDescent="0.25">
      <c r="A137" s="508" t="s">
        <v>2846</v>
      </c>
      <c r="B137" s="1314">
        <f t="shared" ref="B137:B193" ca="1" si="347">OFFSET(B137,-1,0)+1</f>
        <v>94</v>
      </c>
      <c r="C137" s="1148">
        <v>13765028</v>
      </c>
      <c r="D137" s="1149" t="s">
        <v>7597</v>
      </c>
      <c r="E137" s="1135" t="s">
        <v>4622</v>
      </c>
      <c r="F137" s="1150">
        <v>28172</v>
      </c>
      <c r="G137" s="1135" t="s">
        <v>4620</v>
      </c>
      <c r="H137" s="1150">
        <v>44348</v>
      </c>
      <c r="I137" s="1140">
        <f t="shared" si="261"/>
        <v>4</v>
      </c>
      <c r="J137" s="1132">
        <v>7</v>
      </c>
      <c r="K137" s="1140">
        <f t="shared" si="279"/>
        <v>11</v>
      </c>
      <c r="L137" s="1145" t="s">
        <v>5528</v>
      </c>
      <c r="M137" s="1132"/>
      <c r="N137" s="1132"/>
      <c r="O137" s="1002" t="s">
        <v>5217</v>
      </c>
      <c r="P137" s="1132" t="s">
        <v>5342</v>
      </c>
      <c r="Q137" s="1315" t="str">
        <f>IFERROR(VLOOKUP(O137,CARGOS!A:E,2,0),"")</f>
        <v>79512</v>
      </c>
      <c r="R137" s="1327" t="s">
        <v>5217</v>
      </c>
      <c r="S137" s="1146" t="s">
        <v>5472</v>
      </c>
      <c r="T137" s="1107">
        <f>IFERROR(VLOOKUP(S137,'TAB EMP'!A:B,2,0),0)</f>
        <v>223</v>
      </c>
      <c r="U137" s="1108">
        <v>0</v>
      </c>
      <c r="V137" s="1107">
        <f t="shared" si="290"/>
        <v>223</v>
      </c>
      <c r="W137" s="1108">
        <f t="shared" si="291"/>
        <v>111.5</v>
      </c>
      <c r="X137" s="1135" t="s">
        <v>2844</v>
      </c>
      <c r="Y137" s="1135"/>
      <c r="Z137" s="1135">
        <v>0</v>
      </c>
      <c r="AA137" s="1107">
        <f>ROUND(IF(H137&lt;&gt;"",VLOOKUP(SUM(I137+J137),'CONCEPTOS Y PARAMETROS'!F:G,2,0)*V137,0),2)</f>
        <v>27.65</v>
      </c>
      <c r="AB137" s="1107">
        <f>IF(S137&lt;&gt;"",IF(M137="",'CONCEPTOS Y PARAMETROS'!$C$4,0),0)</f>
        <v>130</v>
      </c>
      <c r="AC137" s="1107">
        <f>IF(S137&lt;&gt;"",IF(M137="",'CONCEPTOS Y PARAMETROS'!$C$7*Z137,0),0)</f>
        <v>0</v>
      </c>
      <c r="AD137" s="1107">
        <f>IFERROR(ROUND(VLOOKUP($X137,'CONCEPTOS Y PARAMETROS'!H:I,2,0)*($V137+AA137+AB137+AC137),2),0)</f>
        <v>76.13</v>
      </c>
      <c r="AE137" s="1107">
        <f t="shared" si="287"/>
        <v>233.78</v>
      </c>
      <c r="AF137" s="1107">
        <f t="shared" si="292"/>
        <v>13.83</v>
      </c>
      <c r="AG137" s="1107">
        <f t="shared" si="293"/>
        <v>13.82</v>
      </c>
      <c r="AH137" s="1107">
        <f t="shared" si="294"/>
        <v>65</v>
      </c>
      <c r="AI137" s="1107">
        <f t="shared" si="295"/>
        <v>65</v>
      </c>
      <c r="AJ137" s="1107">
        <f t="shared" si="296"/>
        <v>38.07</v>
      </c>
      <c r="AK137" s="1107">
        <f t="shared" si="297"/>
        <v>38.06</v>
      </c>
      <c r="AL137" s="1108">
        <f t="shared" si="298"/>
        <v>116.9</v>
      </c>
      <c r="AM137" s="1108">
        <f t="shared" si="299"/>
        <v>116.88</v>
      </c>
      <c r="AN137" s="990">
        <v>0</v>
      </c>
      <c r="AO137" s="1147">
        <f>'CONCEPTOS Y PARAMETROS'!$C$18*AN137</f>
        <v>0</v>
      </c>
      <c r="AP137" s="990">
        <v>0</v>
      </c>
      <c r="AQ137" s="1147">
        <f>'CONCEPTOS Y PARAMETROS'!$C$21*AP137</f>
        <v>0</v>
      </c>
      <c r="AR137" s="1318">
        <v>0</v>
      </c>
      <c r="AS137" s="1318">
        <v>0</v>
      </c>
      <c r="AT137" s="1318">
        <f t="shared" si="288"/>
        <v>0</v>
      </c>
      <c r="AU137" s="1108">
        <f t="shared" si="280"/>
        <v>593.80999999999995</v>
      </c>
      <c r="AV137" s="1133" t="s">
        <v>5080</v>
      </c>
      <c r="AW137" s="1108">
        <f>ROUND(IF(AV137="NOCTURN",(V137+AE137)*30%,0),2)</f>
        <v>137.03</v>
      </c>
      <c r="AX137" s="1107">
        <f>IF(T137&lt;&gt;"0",(ROUND(IF(A137="EMPLEADO",eval_formula('CONCEPTOS Y PARAMETROS'!$C$8,NOMINA!V137,NOMINA!$AU137,NOMINA!I137+NOMINA!J137),eval_formula('CONCEPTOS Y PARAMETROS'!$D$8,NOMINA!V137,NOMINA!$AU137,NOMINA!I137+NOMINA!J137)),2))*IF(H137&lt;&gt;"",IF(MONTH(H137)=$BR$8,IF(YEAR(H137)&lt;$BT$7,1,0),0)))</f>
        <v>0</v>
      </c>
      <c r="AY137" s="1108">
        <v>180</v>
      </c>
      <c r="AZ137" s="1107">
        <f>IFERROR(VLOOKUP(AY137,'CONCEPTOS Y PARAMETROS'!Y:Z,2,0),0)</f>
        <v>150</v>
      </c>
      <c r="BA137" s="1107">
        <f t="shared" si="300"/>
        <v>4453.58</v>
      </c>
      <c r="BB137" s="1107">
        <f t="shared" si="289"/>
        <v>0</v>
      </c>
      <c r="BC137" s="990">
        <v>0</v>
      </c>
      <c r="BD137" s="1107" t="str">
        <f t="shared" si="281"/>
        <v>0</v>
      </c>
      <c r="BE137" s="990">
        <v>3</v>
      </c>
      <c r="BF137" s="1107">
        <f t="shared" si="329"/>
        <v>89.07</v>
      </c>
      <c r="BG137" s="1108">
        <v>320</v>
      </c>
      <c r="BH137" s="1108">
        <v>0</v>
      </c>
      <c r="BI137" s="1132">
        <v>0</v>
      </c>
      <c r="BJ137" s="1108">
        <v>12.5</v>
      </c>
      <c r="BK137" s="1108">
        <v>0</v>
      </c>
      <c r="BL137" s="1107">
        <f t="shared" si="324"/>
        <v>27.41</v>
      </c>
      <c r="BM137" s="1107">
        <f t="shared" si="325"/>
        <v>3.43</v>
      </c>
      <c r="BN137" s="1107">
        <f t="shared" si="262"/>
        <v>5.94</v>
      </c>
      <c r="BO137" s="1107">
        <v>0</v>
      </c>
      <c r="BP137" s="1107">
        <v>0</v>
      </c>
      <c r="BQ137" s="1320">
        <f t="shared" si="301"/>
        <v>36.78</v>
      </c>
      <c r="BR137" s="1107">
        <f t="shared" si="326"/>
        <v>61.66</v>
      </c>
      <c r="BS137" s="1107">
        <f t="shared" si="327"/>
        <v>13.7</v>
      </c>
      <c r="BT137" s="1107">
        <f t="shared" si="263"/>
        <v>11.88</v>
      </c>
      <c r="BU137" s="1107">
        <v>0</v>
      </c>
      <c r="BV137" s="1108">
        <f t="shared" si="302"/>
        <v>87.24</v>
      </c>
      <c r="BW137" s="1112">
        <f t="shared" si="303"/>
        <v>124.02</v>
      </c>
      <c r="BX137" s="1112">
        <f t="shared" si="328"/>
        <v>1113.4000000000001</v>
      </c>
      <c r="BY137" s="1108">
        <v>0</v>
      </c>
      <c r="BZ137" s="1108">
        <f t="shared" si="282"/>
        <v>1113.4000000000001</v>
      </c>
      <c r="CA137" s="1321">
        <f>'CONCEPTOS Y PARAMETROS'!$A$102</f>
        <v>6255</v>
      </c>
      <c r="CB137" s="1112">
        <f t="shared" si="264"/>
        <v>191.62</v>
      </c>
      <c r="CC137" s="1113">
        <f t="shared" si="265"/>
        <v>786.98</v>
      </c>
      <c r="CD137" s="512"/>
      <c r="CE137" s="512"/>
      <c r="CF137" s="470">
        <f t="shared" si="266"/>
        <v>868.38</v>
      </c>
      <c r="CG137" s="509">
        <f t="shared" si="283"/>
        <v>191.62</v>
      </c>
      <c r="CH137" s="1603">
        <f t="shared" si="267"/>
        <v>12.5</v>
      </c>
      <c r="CI137" s="1491">
        <f t="shared" si="284"/>
        <v>320</v>
      </c>
      <c r="CJ137" s="1502">
        <v>1</v>
      </c>
      <c r="CK137" s="509">
        <f t="shared" si="268"/>
        <v>548.38</v>
      </c>
      <c r="CL137" s="1689">
        <f t="shared" si="269"/>
        <v>548.38</v>
      </c>
      <c r="CM137" s="1689">
        <f t="shared" si="270"/>
        <v>0</v>
      </c>
      <c r="CN137" s="510">
        <f t="shared" si="271"/>
        <v>89.07</v>
      </c>
      <c r="CO137" s="511">
        <v>0</v>
      </c>
      <c r="CP137" s="510">
        <f t="shared" si="272"/>
        <v>137.03</v>
      </c>
      <c r="CQ137" s="510">
        <f t="shared" si="273"/>
        <v>0</v>
      </c>
      <c r="CR137" s="510">
        <f t="shared" si="274"/>
        <v>1322.86</v>
      </c>
      <c r="CS137" s="510">
        <f t="shared" si="275"/>
        <v>124.02</v>
      </c>
      <c r="CT137" s="510">
        <f t="shared" si="276"/>
        <v>6255</v>
      </c>
      <c r="CU137" s="512"/>
      <c r="CV137" s="512"/>
      <c r="CW137" s="512"/>
      <c r="CX137" s="512"/>
      <c r="CY137" s="1149" t="s">
        <v>6846</v>
      </c>
      <c r="CZ137" s="1149" t="s">
        <v>6847</v>
      </c>
      <c r="DA137" s="1152"/>
      <c r="DB137" s="1642" t="s">
        <v>6266</v>
      </c>
      <c r="DC137" s="1642"/>
      <c r="DD137" s="1642" t="s">
        <v>6158</v>
      </c>
      <c r="DE137" s="1642" t="s">
        <v>6222</v>
      </c>
      <c r="DF137" s="1642" t="s">
        <v>6528</v>
      </c>
      <c r="DG137" s="1642" t="s">
        <v>7433</v>
      </c>
      <c r="DH137" s="512"/>
      <c r="DI137" s="512"/>
      <c r="DJ137" s="512"/>
      <c r="DK137" s="512"/>
      <c r="DL137" s="512"/>
      <c r="DN137" s="476" t="str">
        <f>VLOOKUP(X137,Hoja1!$A$4:$B$10,2,0)</f>
        <v>TÉCNICO SUPERIOR UNIVERSITARIO</v>
      </c>
      <c r="DO137" s="476" t="str">
        <f>VLOOKUP(S137,Hoja1!$D$4:$F$77,3,0)</f>
        <v>TII - IV</v>
      </c>
      <c r="DP137" s="1594" t="str">
        <f t="shared" si="277"/>
        <v>SI</v>
      </c>
      <c r="DQ137" s="1484">
        <f>IF(T137&lt;&gt;"0",(ROUND(IF(A137="EMPLEADO",eval_formula('CONCEPTOS Y PARAMETROS'!$C$8,NOMINA!V137,AU137+BF137,NOMINA!I137+NOMINA!J137),eval_formula('CONCEPTOS Y PARAMETROS'!$D$8,NOMINA!V137,AU137+BF137,NOMINA!I137+NOMINA!J137)),2))*IF(H137&lt;&gt;"",IF(MONTH(H137)=$BR$8,IF(YEAR(H137)&lt;$BT$7,1,0),0)))</f>
        <v>0</v>
      </c>
      <c r="DR137" s="1799" t="str">
        <f t="shared" si="278"/>
        <v>F</v>
      </c>
      <c r="DS137" s="1799"/>
    </row>
    <row r="138" spans="1:123" s="476" customFormat="1" ht="21.95" customHeight="1" x14ac:dyDescent="0.25">
      <c r="A138" s="508" t="s">
        <v>2846</v>
      </c>
      <c r="B138" s="1314">
        <f t="shared" ca="1" si="347"/>
        <v>95</v>
      </c>
      <c r="C138" s="1148">
        <v>13896147</v>
      </c>
      <c r="D138" s="1149" t="s">
        <v>4778</v>
      </c>
      <c r="E138" s="1135" t="s">
        <v>4622</v>
      </c>
      <c r="F138" s="1150">
        <v>29086</v>
      </c>
      <c r="G138" s="1135" t="s">
        <v>4620</v>
      </c>
      <c r="H138" s="1150">
        <v>41334</v>
      </c>
      <c r="I138" s="1140">
        <f t="shared" si="261"/>
        <v>12</v>
      </c>
      <c r="J138" s="1132">
        <v>0</v>
      </c>
      <c r="K138" s="1140">
        <f t="shared" si="279"/>
        <v>12</v>
      </c>
      <c r="L138" s="1145" t="s">
        <v>5540</v>
      </c>
      <c r="M138" s="1132"/>
      <c r="N138" s="1132"/>
      <c r="O138" s="1002" t="s">
        <v>5245</v>
      </c>
      <c r="P138" s="1132" t="s">
        <v>5343</v>
      </c>
      <c r="Q138" s="1315" t="str">
        <f>IFERROR(VLOOKUP(O138,CARGOS!A:E,2,0),"")</f>
        <v>12123</v>
      </c>
      <c r="R138" s="1327" t="s">
        <v>5245</v>
      </c>
      <c r="S138" s="1146" t="s">
        <v>5466</v>
      </c>
      <c r="T138" s="1107">
        <f>IFERROR(VLOOKUP(S138,'TAB EMP'!A:B,2,0),0)</f>
        <v>283</v>
      </c>
      <c r="U138" s="1108">
        <v>0</v>
      </c>
      <c r="V138" s="1107">
        <f t="shared" si="290"/>
        <v>283</v>
      </c>
      <c r="W138" s="1108">
        <f t="shared" si="291"/>
        <v>141.5</v>
      </c>
      <c r="X138" s="1135" t="s">
        <v>2885</v>
      </c>
      <c r="Y138" s="1135"/>
      <c r="Z138" s="1135">
        <v>0</v>
      </c>
      <c r="AA138" s="1107">
        <f>ROUND(IF(H138&lt;&gt;"",VLOOKUP(SUM(I138+J138),'CONCEPTOS Y PARAMETROS'!F:G,2,0)*V138,0),2)</f>
        <v>39.049999999999997</v>
      </c>
      <c r="AB138" s="1107">
        <f>IF(S138&lt;&gt;"",IF(M138="",'CONCEPTOS Y PARAMETROS'!$C$4,0),0)</f>
        <v>130</v>
      </c>
      <c r="AC138" s="1107">
        <f>IF(S138&lt;&gt;"",IF(M138="",'CONCEPTOS Y PARAMETROS'!$C$7*Z138,0),0)</f>
        <v>0</v>
      </c>
      <c r="AD138" s="1107">
        <f>IFERROR(ROUND(VLOOKUP($X138,'CONCEPTOS Y PARAMETROS'!H:I,2,0)*($V138+AA138+AB138+AC138),2),0)</f>
        <v>113.01</v>
      </c>
      <c r="AE138" s="1107">
        <f t="shared" si="287"/>
        <v>282.06</v>
      </c>
      <c r="AF138" s="1107">
        <f t="shared" si="292"/>
        <v>19.53</v>
      </c>
      <c r="AG138" s="1107">
        <f t="shared" si="293"/>
        <v>19.52</v>
      </c>
      <c r="AH138" s="1107">
        <f t="shared" si="294"/>
        <v>65</v>
      </c>
      <c r="AI138" s="1107">
        <f t="shared" si="295"/>
        <v>65</v>
      </c>
      <c r="AJ138" s="1107">
        <f t="shared" si="296"/>
        <v>56.51</v>
      </c>
      <c r="AK138" s="1107">
        <f t="shared" si="297"/>
        <v>56.5</v>
      </c>
      <c r="AL138" s="1108">
        <f t="shared" si="298"/>
        <v>141.04</v>
      </c>
      <c r="AM138" s="1108">
        <f t="shared" si="299"/>
        <v>141.02000000000001</v>
      </c>
      <c r="AN138" s="990">
        <v>0</v>
      </c>
      <c r="AO138" s="1147">
        <f>'CONCEPTOS Y PARAMETROS'!$C$18*AN138</f>
        <v>0</v>
      </c>
      <c r="AP138" s="990">
        <v>0</v>
      </c>
      <c r="AQ138" s="1147">
        <f>'CONCEPTOS Y PARAMETROS'!$C$21*AP138</f>
        <v>0</v>
      </c>
      <c r="AR138" s="1318">
        <v>0</v>
      </c>
      <c r="AS138" s="1318">
        <v>0</v>
      </c>
      <c r="AT138" s="1318">
        <f t="shared" si="288"/>
        <v>0</v>
      </c>
      <c r="AU138" s="1108">
        <f t="shared" si="280"/>
        <v>565.05999999999995</v>
      </c>
      <c r="AV138" s="1133">
        <v>0</v>
      </c>
      <c r="AW138" s="1108">
        <f>ROUND(IF(AV138="NOCTURN",(V138+AE138)*30%,0),2)</f>
        <v>0</v>
      </c>
      <c r="AX138" s="1107">
        <f>IF(T138&lt;&gt;"0",(ROUND(IF(A138="EMPLEADO",eval_formula('CONCEPTOS Y PARAMETROS'!$C$8,NOMINA!V138,NOMINA!$AU138,NOMINA!I138+NOMINA!J138),eval_formula('CONCEPTOS Y PARAMETROS'!$D$8,NOMINA!V138,NOMINA!$AU138,NOMINA!I138+NOMINA!J138)),2))*IF(H138&lt;&gt;"",IF(MONTH(H138)=$BR$8,IF(YEAR(H138)&lt;$BT$7,1,0),0)))</f>
        <v>0</v>
      </c>
      <c r="AY138" s="1108">
        <v>180</v>
      </c>
      <c r="AZ138" s="1107">
        <f>IFERROR(VLOOKUP(AY138,'CONCEPTOS Y PARAMETROS'!Y:Z,2,0),0)</f>
        <v>150</v>
      </c>
      <c r="BA138" s="1107">
        <f t="shared" si="300"/>
        <v>4237.95</v>
      </c>
      <c r="BB138" s="1107">
        <f t="shared" si="289"/>
        <v>0</v>
      </c>
      <c r="BC138" s="990">
        <v>0</v>
      </c>
      <c r="BD138" s="1107" t="str">
        <f t="shared" si="281"/>
        <v>0</v>
      </c>
      <c r="BE138" s="990">
        <v>0</v>
      </c>
      <c r="BF138" s="1107">
        <f t="shared" si="329"/>
        <v>0</v>
      </c>
      <c r="BG138" s="1108">
        <v>320</v>
      </c>
      <c r="BH138" s="1108">
        <v>0</v>
      </c>
      <c r="BI138" s="1132">
        <v>0</v>
      </c>
      <c r="BJ138" s="1108">
        <v>12.5</v>
      </c>
      <c r="BK138" s="1108">
        <v>0</v>
      </c>
      <c r="BL138" s="1107">
        <f t="shared" si="324"/>
        <v>26.08</v>
      </c>
      <c r="BM138" s="1107">
        <f t="shared" si="325"/>
        <v>3.26</v>
      </c>
      <c r="BN138" s="1107">
        <f t="shared" si="262"/>
        <v>5.65</v>
      </c>
      <c r="BO138" s="1107">
        <v>0</v>
      </c>
      <c r="BP138" s="1107">
        <v>0</v>
      </c>
      <c r="BQ138" s="1320">
        <f t="shared" si="301"/>
        <v>34.99</v>
      </c>
      <c r="BR138" s="1107">
        <f t="shared" si="326"/>
        <v>58.68</v>
      </c>
      <c r="BS138" s="1107">
        <f t="shared" si="327"/>
        <v>13.04</v>
      </c>
      <c r="BT138" s="1107">
        <f t="shared" si="263"/>
        <v>11.3</v>
      </c>
      <c r="BU138" s="1107">
        <v>0</v>
      </c>
      <c r="BV138" s="1108">
        <f t="shared" si="302"/>
        <v>83.02</v>
      </c>
      <c r="BW138" s="1112">
        <f t="shared" si="303"/>
        <v>118.00999999999999</v>
      </c>
      <c r="BX138" s="1112">
        <f t="shared" si="328"/>
        <v>1059.49</v>
      </c>
      <c r="BY138" s="1108">
        <v>0</v>
      </c>
      <c r="BZ138" s="1108">
        <f t="shared" si="282"/>
        <v>1059.49</v>
      </c>
      <c r="CA138" s="1321">
        <f>'CONCEPTOS Y PARAMETROS'!$A$102</f>
        <v>6255</v>
      </c>
      <c r="CB138" s="1112">
        <f t="shared" si="264"/>
        <v>247.54999999999995</v>
      </c>
      <c r="CC138" s="1113">
        <f t="shared" si="265"/>
        <v>615.02</v>
      </c>
      <c r="CD138" s="512"/>
      <c r="CE138" s="512"/>
      <c r="CF138" s="470">
        <f t="shared" si="266"/>
        <v>922.52</v>
      </c>
      <c r="CG138" s="509">
        <f t="shared" si="283"/>
        <v>247.54999999999995</v>
      </c>
      <c r="CH138" s="1603">
        <f t="shared" si="267"/>
        <v>12.5</v>
      </c>
      <c r="CI138" s="1491">
        <f t="shared" si="284"/>
        <v>320</v>
      </c>
      <c r="CJ138" s="1502">
        <v>1</v>
      </c>
      <c r="CK138" s="509">
        <f t="shared" si="268"/>
        <v>602.52</v>
      </c>
      <c r="CL138" s="1689">
        <f t="shared" si="269"/>
        <v>289.20999999999998</v>
      </c>
      <c r="CM138" s="1689">
        <f t="shared" si="270"/>
        <v>313.31</v>
      </c>
      <c r="CN138" s="510">
        <f t="shared" si="271"/>
        <v>0</v>
      </c>
      <c r="CO138" s="511">
        <v>0</v>
      </c>
      <c r="CP138" s="510">
        <f t="shared" si="272"/>
        <v>0</v>
      </c>
      <c r="CQ138" s="510">
        <f t="shared" si="273"/>
        <v>0</v>
      </c>
      <c r="CR138" s="510">
        <f t="shared" si="274"/>
        <v>1205.04</v>
      </c>
      <c r="CS138" s="510">
        <f t="shared" si="275"/>
        <v>118.00999999999999</v>
      </c>
      <c r="CT138" s="510">
        <f t="shared" si="276"/>
        <v>6255</v>
      </c>
      <c r="CU138" s="512"/>
      <c r="CV138" s="512"/>
      <c r="CW138" s="512"/>
      <c r="CX138" s="512"/>
      <c r="CY138" s="1149" t="s">
        <v>6848</v>
      </c>
      <c r="CZ138" s="1149" t="s">
        <v>7120</v>
      </c>
      <c r="DA138" s="1152"/>
      <c r="DB138" s="1642" t="s">
        <v>6413</v>
      </c>
      <c r="DC138" s="1642"/>
      <c r="DD138" s="1642" t="s">
        <v>6135</v>
      </c>
      <c r="DE138" s="1642" t="s">
        <v>6222</v>
      </c>
      <c r="DF138" s="1642" t="s">
        <v>6493</v>
      </c>
      <c r="DG138" s="1152"/>
      <c r="DH138" s="512"/>
      <c r="DI138" s="512"/>
      <c r="DJ138" s="512"/>
      <c r="DK138" s="512"/>
      <c r="DL138" s="512"/>
      <c r="DN138" s="476" t="str">
        <f>VLOOKUP(X138,Hoja1!$A$4:$B$10,2,0)</f>
        <v>PROFESIONAL</v>
      </c>
      <c r="DO138" s="476" t="str">
        <f>VLOOKUP(S138,Hoja1!$D$4:$F$77,3,0)</f>
        <v>PII - V</v>
      </c>
      <c r="DP138" s="1594" t="str">
        <f t="shared" si="277"/>
        <v>0</v>
      </c>
      <c r="DQ138" s="1484">
        <f>IF(T138&lt;&gt;"0",(ROUND(IF(A138="EMPLEADO",eval_formula('CONCEPTOS Y PARAMETROS'!$C$8,NOMINA!V138,AU138+BF138,NOMINA!I138+NOMINA!J138),eval_formula('CONCEPTOS Y PARAMETROS'!$D$8,NOMINA!V138,AU138+BF138,NOMINA!I138+NOMINA!J138)),2))*IF(H138&lt;&gt;"",IF(MONTH(H138)=$BR$8,IF(YEAR(H138)&lt;$BT$7,1,0),0)))</f>
        <v>0</v>
      </c>
      <c r="DR138" s="1799" t="str">
        <f t="shared" si="278"/>
        <v>F</v>
      </c>
      <c r="DS138" s="1799"/>
    </row>
    <row r="139" spans="1:123" s="476" customFormat="1" ht="21.95" customHeight="1" x14ac:dyDescent="0.25">
      <c r="A139" s="508" t="s">
        <v>2846</v>
      </c>
      <c r="B139" s="1314">
        <f ca="1">OFFSET(B139,-1,0)+1</f>
        <v>96</v>
      </c>
      <c r="C139" s="1148">
        <v>13896239</v>
      </c>
      <c r="D139" s="1149" t="s">
        <v>4688</v>
      </c>
      <c r="E139" s="1135" t="s">
        <v>4622</v>
      </c>
      <c r="F139" s="1118">
        <v>28795</v>
      </c>
      <c r="G139" s="1135" t="s">
        <v>4620</v>
      </c>
      <c r="H139" s="1118">
        <v>42416</v>
      </c>
      <c r="I139" s="1140">
        <f t="shared" si="261"/>
        <v>9</v>
      </c>
      <c r="J139" s="1132">
        <v>0</v>
      </c>
      <c r="K139" s="1140">
        <f t="shared" si="279"/>
        <v>9</v>
      </c>
      <c r="L139" s="1145" t="s">
        <v>5543</v>
      </c>
      <c r="M139" s="1132"/>
      <c r="N139" s="1132"/>
      <c r="O139" s="1324" t="s">
        <v>5259</v>
      </c>
      <c r="P139" s="1132" t="s">
        <v>5205</v>
      </c>
      <c r="Q139" s="1315" t="str">
        <f>IFERROR(VLOOKUP(O139,CARGOS!A:E,2,0),"")</f>
        <v>13414</v>
      </c>
      <c r="R139" s="1324" t="s">
        <v>5259</v>
      </c>
      <c r="S139" s="1146" t="s">
        <v>5465</v>
      </c>
      <c r="T139" s="1107">
        <f>IFERROR(VLOOKUP(S139,'TAB EMP'!A:B,2,0),0)</f>
        <v>172</v>
      </c>
      <c r="U139" s="1108">
        <v>0</v>
      </c>
      <c r="V139" s="1107">
        <f>T139-U139</f>
        <v>172</v>
      </c>
      <c r="W139" s="1108">
        <f>ROUND(V139/2,2)</f>
        <v>86</v>
      </c>
      <c r="X139" s="1135" t="s">
        <v>2884</v>
      </c>
      <c r="Y139" s="1135"/>
      <c r="Z139" s="1135">
        <v>1</v>
      </c>
      <c r="AA139" s="1107">
        <f>ROUND(IF(H139&lt;&gt;"",VLOOKUP(SUM(I139+J139),'CONCEPTOS Y PARAMETROS'!F:G,2,0)*V139,0),2)</f>
        <v>16.86</v>
      </c>
      <c r="AB139" s="1107">
        <v>130</v>
      </c>
      <c r="AC139" s="1107">
        <v>12.5</v>
      </c>
      <c r="AD139" s="1107">
        <f>IFERROR(ROUND(VLOOKUP($X139,'CONCEPTOS Y PARAMETROS'!H:I,2,0)*($V139+AA139+AB139+AC139),2),0)</f>
        <v>0</v>
      </c>
      <c r="AE139" s="1107">
        <f t="shared" ref="AE139" si="348">SUM(AA139:AD139)</f>
        <v>159.36000000000001</v>
      </c>
      <c r="AF139" s="1107">
        <f>ROUND(AA139/2,2)</f>
        <v>8.43</v>
      </c>
      <c r="AG139" s="1107">
        <f>ROUND(AA139-AF139,2)</f>
        <v>8.43</v>
      </c>
      <c r="AH139" s="1107">
        <f t="shared" si="294"/>
        <v>65</v>
      </c>
      <c r="AI139" s="1107">
        <f>ROUND(AB139-AH139,2)</f>
        <v>65</v>
      </c>
      <c r="AJ139" s="1107">
        <f>ROUND(AD139/2,2)</f>
        <v>0</v>
      </c>
      <c r="AK139" s="1107">
        <f>ROUND(AD139-AJ139,2)</f>
        <v>0</v>
      </c>
      <c r="AL139" s="1108">
        <f>ROUND(AF139+AH139+AJ139+AC139,2)</f>
        <v>85.93</v>
      </c>
      <c r="AM139" s="1108">
        <f>ROUND(AG139+AI139+AK139,2)</f>
        <v>73.430000000000007</v>
      </c>
      <c r="AN139" s="990">
        <v>1</v>
      </c>
      <c r="AO139" s="1147">
        <f>'CONCEPTOS Y PARAMETROS'!$C$18*AN139</f>
        <v>12.5</v>
      </c>
      <c r="AP139" s="990">
        <v>0</v>
      </c>
      <c r="AQ139" s="1147">
        <f>'CONCEPTOS Y PARAMETROS'!$C$21*AP139</f>
        <v>0</v>
      </c>
      <c r="AR139" s="1318">
        <v>0</v>
      </c>
      <c r="AS139" s="1318">
        <v>0</v>
      </c>
      <c r="AT139" s="1318">
        <f t="shared" ref="AT139" si="349">+AO139+AQ139+AR139+AS139</f>
        <v>12.5</v>
      </c>
      <c r="AU139" s="1108">
        <f t="shared" si="280"/>
        <v>331.36</v>
      </c>
      <c r="AV139" s="1133">
        <v>0</v>
      </c>
      <c r="AW139" s="1108">
        <f>ROUND(IF(O139="VIGILANTE",(V139+AE139)*30%,0),2)</f>
        <v>0</v>
      </c>
      <c r="AX139" s="1107">
        <f>IF(T139&lt;&gt;"0",(ROUND(IF(A139="EMPLEADO",eval_formula('CONCEPTOS Y PARAMETROS'!$C$8,NOMINA!V139,NOMINA!$AU139,NOMINA!I139+NOMINA!J139),eval_formula('CONCEPTOS Y PARAMETROS'!$D$8,NOMINA!V139,NOMINA!$AU139,NOMINA!I139+NOMINA!J139)),2))*IF(H139&lt;&gt;"",IF(MONTH(H139)=$BR$8,IF(YEAR(H139)&lt;$BT$7,1,0),0)))</f>
        <v>0</v>
      </c>
      <c r="AY139" s="1108">
        <v>180</v>
      </c>
      <c r="AZ139" s="1107">
        <f>IFERROR(VLOOKUP(AY139,'CONCEPTOS Y PARAMETROS'!Y:Z,2,0),0)</f>
        <v>150</v>
      </c>
      <c r="BA139" s="1107">
        <f>ROUND((((AU139))/30*AY139/12+(AU139))/30*AZ139,2)</f>
        <v>2485.1999999999998</v>
      </c>
      <c r="BB139" s="1107">
        <f t="shared" si="289"/>
        <v>0</v>
      </c>
      <c r="BC139" s="990">
        <v>0</v>
      </c>
      <c r="BD139" s="1107" t="str">
        <f t="shared" si="281"/>
        <v>0</v>
      </c>
      <c r="BE139" s="990">
        <v>2</v>
      </c>
      <c r="BF139" s="1107">
        <f t="shared" si="329"/>
        <v>33.14</v>
      </c>
      <c r="BG139" s="1108">
        <v>320</v>
      </c>
      <c r="BH139" s="1108">
        <v>0</v>
      </c>
      <c r="BI139" s="1132">
        <v>0</v>
      </c>
      <c r="BJ139" s="1108">
        <v>12.5</v>
      </c>
      <c r="BK139" s="1108">
        <v>0</v>
      </c>
      <c r="BL139" s="1107">
        <f t="shared" si="324"/>
        <v>15.29</v>
      </c>
      <c r="BM139" s="1107">
        <f t="shared" si="325"/>
        <v>1.91</v>
      </c>
      <c r="BN139" s="1107">
        <f t="shared" si="262"/>
        <v>3.31</v>
      </c>
      <c r="BO139" s="1107">
        <v>0</v>
      </c>
      <c r="BP139" s="1107">
        <v>0</v>
      </c>
      <c r="BQ139" s="1320">
        <f t="shared" ref="BQ139" si="350">ROUND(SUM(BL139:BP139),2)</f>
        <v>20.51</v>
      </c>
      <c r="BR139" s="1107">
        <f t="shared" si="326"/>
        <v>34.409999999999997</v>
      </c>
      <c r="BS139" s="1107">
        <f t="shared" si="327"/>
        <v>7.65</v>
      </c>
      <c r="BT139" s="1107">
        <f t="shared" si="263"/>
        <v>6.62</v>
      </c>
      <c r="BU139" s="1107">
        <v>0</v>
      </c>
      <c r="BV139" s="1108">
        <f t="shared" ref="BV139" si="351">ROUND(SUM(BR139:BT139),2)</f>
        <v>48.68</v>
      </c>
      <c r="BW139" s="1112">
        <f>BQ139+BV139</f>
        <v>69.19</v>
      </c>
      <c r="BX139" s="1112">
        <f t="shared" si="328"/>
        <v>621.29999999999995</v>
      </c>
      <c r="BY139" s="1108">
        <v>0</v>
      </c>
      <c r="BZ139" s="1108">
        <f t="shared" si="282"/>
        <v>621.29999999999995</v>
      </c>
      <c r="CA139" s="1321">
        <f>'CONCEPTOS Y PARAMETROS'!$A$102</f>
        <v>6255</v>
      </c>
      <c r="CB139" s="1112">
        <f t="shared" si="264"/>
        <v>151.42000000000002</v>
      </c>
      <c r="CC139" s="1113">
        <f t="shared" si="265"/>
        <v>537.57000000000005</v>
      </c>
      <c r="CD139" s="512"/>
      <c r="CE139" s="512"/>
      <c r="CF139" s="470">
        <f t="shared" si="266"/>
        <v>799.43000000000006</v>
      </c>
      <c r="CG139" s="509">
        <f t="shared" si="283"/>
        <v>151.42000000000002</v>
      </c>
      <c r="CH139" s="1603">
        <f t="shared" si="267"/>
        <v>25</v>
      </c>
      <c r="CI139" s="1491">
        <f t="shared" si="284"/>
        <v>320</v>
      </c>
      <c r="CJ139" s="1502">
        <v>1</v>
      </c>
      <c r="CK139" s="509">
        <f t="shared" si="268"/>
        <v>479.43</v>
      </c>
      <c r="CL139" s="1689">
        <f t="shared" si="269"/>
        <v>479.43</v>
      </c>
      <c r="CM139" s="1689">
        <f t="shared" si="270"/>
        <v>0</v>
      </c>
      <c r="CN139" s="510">
        <f t="shared" si="271"/>
        <v>33.14</v>
      </c>
      <c r="CO139" s="511">
        <v>0</v>
      </c>
      <c r="CP139" s="510">
        <f t="shared" si="272"/>
        <v>0</v>
      </c>
      <c r="CQ139" s="510">
        <f t="shared" si="273"/>
        <v>0</v>
      </c>
      <c r="CR139" s="510">
        <f t="shared" si="274"/>
        <v>992</v>
      </c>
      <c r="CS139" s="510">
        <f t="shared" si="275"/>
        <v>69.19</v>
      </c>
      <c r="CT139" s="510">
        <f t="shared" si="276"/>
        <v>6255</v>
      </c>
      <c r="CU139" s="512"/>
      <c r="CV139" s="512"/>
      <c r="CW139" s="512"/>
      <c r="CX139" s="512"/>
      <c r="CY139" s="1149" t="s">
        <v>7042</v>
      </c>
      <c r="CZ139" s="1149" t="s">
        <v>6849</v>
      </c>
      <c r="DA139" s="1152"/>
      <c r="DB139" s="1152" t="s">
        <v>6182</v>
      </c>
      <c r="DC139" s="1152" t="s">
        <v>7546</v>
      </c>
      <c r="DD139" s="1143" t="s">
        <v>6135</v>
      </c>
      <c r="DE139" s="1143" t="s">
        <v>6147</v>
      </c>
      <c r="DF139" s="1143" t="s">
        <v>6541</v>
      </c>
      <c r="DG139" s="1143"/>
      <c r="DH139" s="512"/>
      <c r="DI139" s="512"/>
      <c r="DJ139" s="512"/>
      <c r="DK139" s="512"/>
      <c r="DL139" s="512"/>
      <c r="DN139" s="476" t="str">
        <f>VLOOKUP(X139,Hoja1!$A$4:$B$10,2,0)</f>
        <v>BACHILLER</v>
      </c>
      <c r="DO139" s="476" t="str">
        <f>VLOOKUP(S139,Hoja1!$D$4:$F$77,3,0)</f>
        <v>BIII - IV</v>
      </c>
      <c r="DP139" s="1623" t="str">
        <f t="shared" si="277"/>
        <v>0</v>
      </c>
      <c r="DQ139" s="1484">
        <f>IF(T139&lt;&gt;"0",(ROUND(IF(A139="EMPLEADO",eval_formula('CONCEPTOS Y PARAMETROS'!$C$8,NOMINA!V139,AU139+BF139,NOMINA!I139+NOMINA!J139),eval_formula('CONCEPTOS Y PARAMETROS'!$D$8,NOMINA!V139,AU139+BF139,NOMINA!I139+NOMINA!J139)),2))*IF(H139&lt;&gt;"",IF(MONTH(H139)=$BR$8,IF(YEAR(H139)&lt;$BT$7,1,0),0)))</f>
        <v>0</v>
      </c>
      <c r="DR139" s="1799" t="str">
        <f t="shared" si="278"/>
        <v>F</v>
      </c>
      <c r="DS139" s="1799"/>
    </row>
    <row r="140" spans="1:123" s="471" customFormat="1" ht="21.95" customHeight="1" x14ac:dyDescent="0.25">
      <c r="A140" s="508" t="s">
        <v>2846</v>
      </c>
      <c r="B140" s="1314">
        <f t="shared" ca="1" si="347"/>
        <v>97</v>
      </c>
      <c r="C140" s="1148">
        <v>13897046</v>
      </c>
      <c r="D140" s="1149" t="s">
        <v>4780</v>
      </c>
      <c r="E140" s="1135" t="s">
        <v>4622</v>
      </c>
      <c r="F140" s="1150">
        <v>28835</v>
      </c>
      <c r="G140" s="1135" t="s">
        <v>4620</v>
      </c>
      <c r="H140" s="1150">
        <v>42384</v>
      </c>
      <c r="I140" s="1140">
        <f t="shared" si="261"/>
        <v>9</v>
      </c>
      <c r="J140" s="1132">
        <v>0</v>
      </c>
      <c r="K140" s="1140">
        <f t="shared" si="279"/>
        <v>9</v>
      </c>
      <c r="L140" s="1145" t="s">
        <v>5521</v>
      </c>
      <c r="M140" s="1132"/>
      <c r="N140" s="1132"/>
      <c r="O140" s="1002" t="s">
        <v>5250</v>
      </c>
      <c r="P140" s="1132" t="s">
        <v>5344</v>
      </c>
      <c r="Q140" s="1315" t="str">
        <f>IFERROR(VLOOKUP(O140,CARGOS!A:E,2,0),"")</f>
        <v>79342</v>
      </c>
      <c r="R140" s="1327" t="s">
        <v>5250</v>
      </c>
      <c r="S140" s="1146" t="s">
        <v>5472</v>
      </c>
      <c r="T140" s="1107">
        <f>IFERROR(VLOOKUP(S140,'TAB EMP'!A:B,2,0),0)</f>
        <v>223</v>
      </c>
      <c r="U140" s="1108">
        <v>0</v>
      </c>
      <c r="V140" s="1107">
        <f t="shared" si="290"/>
        <v>223</v>
      </c>
      <c r="W140" s="1108">
        <f t="shared" si="291"/>
        <v>111.5</v>
      </c>
      <c r="X140" s="1135" t="s">
        <v>2844</v>
      </c>
      <c r="Y140" s="1135"/>
      <c r="Z140" s="1135">
        <v>2</v>
      </c>
      <c r="AA140" s="1107">
        <f>ROUND(IF(H140&lt;&gt;"",VLOOKUP(SUM(I140+J140),'CONCEPTOS Y PARAMETROS'!F:G,2,0)*V140,0),2)</f>
        <v>21.85</v>
      </c>
      <c r="AB140" s="1107">
        <f>IF(S140&lt;&gt;"",IF(M140="",'CONCEPTOS Y PARAMETROS'!$C$4,0),0)</f>
        <v>130</v>
      </c>
      <c r="AC140" s="1107">
        <f>IF(S140&lt;&gt;"",IF(M140="",'CONCEPTOS Y PARAMETROS'!$C$7*Z140,0),0)</f>
        <v>25</v>
      </c>
      <c r="AD140" s="1107">
        <f>IFERROR(ROUND(VLOOKUP($X140,'CONCEPTOS Y PARAMETROS'!H:I,2,0)*($V140+AA140+AB140+AC140),2),0)</f>
        <v>79.97</v>
      </c>
      <c r="AE140" s="1107">
        <f t="shared" si="287"/>
        <v>256.82</v>
      </c>
      <c r="AF140" s="1107">
        <f t="shared" si="292"/>
        <v>10.93</v>
      </c>
      <c r="AG140" s="1107">
        <f t="shared" si="293"/>
        <v>10.92</v>
      </c>
      <c r="AH140" s="1107">
        <f t="shared" si="294"/>
        <v>65</v>
      </c>
      <c r="AI140" s="1107">
        <f t="shared" si="295"/>
        <v>65</v>
      </c>
      <c r="AJ140" s="1107">
        <f t="shared" si="296"/>
        <v>39.99</v>
      </c>
      <c r="AK140" s="1107">
        <f t="shared" si="297"/>
        <v>39.979999999999997</v>
      </c>
      <c r="AL140" s="1108">
        <f t="shared" si="298"/>
        <v>140.91999999999999</v>
      </c>
      <c r="AM140" s="1108">
        <f t="shared" si="299"/>
        <v>115.9</v>
      </c>
      <c r="AN140" s="1453">
        <v>2</v>
      </c>
      <c r="AO140" s="1147">
        <f>'CONCEPTOS Y PARAMETROS'!$C$18*AN140</f>
        <v>25</v>
      </c>
      <c r="AP140" s="990">
        <v>0</v>
      </c>
      <c r="AQ140" s="1147">
        <f>'CONCEPTOS Y PARAMETROS'!$C$21*AP140</f>
        <v>0</v>
      </c>
      <c r="AR140" s="1318">
        <v>0</v>
      </c>
      <c r="AS140" s="1318">
        <v>0</v>
      </c>
      <c r="AT140" s="1318">
        <f t="shared" si="288"/>
        <v>25</v>
      </c>
      <c r="AU140" s="1108">
        <f t="shared" si="280"/>
        <v>479.82</v>
      </c>
      <c r="AV140" s="1133">
        <v>0</v>
      </c>
      <c r="AW140" s="1108">
        <f t="shared" ref="AW140:AW154" si="352">ROUND(IF(AV140="NOCTURN",(V140+AE140)*30%,0),2)</f>
        <v>0</v>
      </c>
      <c r="AX140" s="1107">
        <f>IF(T140&lt;&gt;"0",(ROUND(IF(A140="EMPLEADO",eval_formula('CONCEPTOS Y PARAMETROS'!$C$8,NOMINA!V140,NOMINA!$AU140,NOMINA!I140+NOMINA!J140),eval_formula('CONCEPTOS Y PARAMETROS'!$D$8,NOMINA!V140,NOMINA!$AU140,NOMINA!I140+NOMINA!J140)),2))*IF(H140&lt;&gt;"",IF(MONTH(H140)=$BR$8,IF(YEAR(H140)&lt;$BT$7,1,0),0)))</f>
        <v>0</v>
      </c>
      <c r="AY140" s="1108">
        <v>180</v>
      </c>
      <c r="AZ140" s="1107">
        <f>IFERROR(VLOOKUP(AY140,'CONCEPTOS Y PARAMETROS'!Y:Z,2,0),0)</f>
        <v>150</v>
      </c>
      <c r="BA140" s="1107">
        <f t="shared" si="300"/>
        <v>3598.65</v>
      </c>
      <c r="BB140" s="1107">
        <f t="shared" si="289"/>
        <v>0</v>
      </c>
      <c r="BC140" s="990">
        <v>0</v>
      </c>
      <c r="BD140" s="1107" t="str">
        <f t="shared" si="281"/>
        <v>0</v>
      </c>
      <c r="BE140" s="990">
        <v>0</v>
      </c>
      <c r="BF140" s="1107">
        <f t="shared" si="329"/>
        <v>0</v>
      </c>
      <c r="BG140" s="1108">
        <v>320</v>
      </c>
      <c r="BH140" s="1108">
        <v>0</v>
      </c>
      <c r="BI140" s="1132">
        <v>0</v>
      </c>
      <c r="BJ140" s="1108">
        <v>12.5</v>
      </c>
      <c r="BK140" s="1108">
        <v>0</v>
      </c>
      <c r="BL140" s="1107">
        <f t="shared" si="324"/>
        <v>22.15</v>
      </c>
      <c r="BM140" s="1107">
        <f t="shared" si="325"/>
        <v>2.77</v>
      </c>
      <c r="BN140" s="1107">
        <f t="shared" si="262"/>
        <v>4.8</v>
      </c>
      <c r="BO140" s="1107">
        <v>0</v>
      </c>
      <c r="BP140" s="1107">
        <v>0</v>
      </c>
      <c r="BQ140" s="1320">
        <f t="shared" si="301"/>
        <v>29.72</v>
      </c>
      <c r="BR140" s="1107">
        <f t="shared" si="326"/>
        <v>49.83</v>
      </c>
      <c r="BS140" s="1107">
        <f t="shared" si="327"/>
        <v>11.07</v>
      </c>
      <c r="BT140" s="1107">
        <f t="shared" si="263"/>
        <v>9.6</v>
      </c>
      <c r="BU140" s="1107">
        <v>0</v>
      </c>
      <c r="BV140" s="1108">
        <f t="shared" si="302"/>
        <v>70.5</v>
      </c>
      <c r="BW140" s="1112">
        <f t="shared" si="303"/>
        <v>100.22</v>
      </c>
      <c r="BX140" s="1112">
        <f t="shared" si="328"/>
        <v>899.66</v>
      </c>
      <c r="BY140" s="1108">
        <v>0</v>
      </c>
      <c r="BZ140" s="1108">
        <f t="shared" si="282"/>
        <v>899.66</v>
      </c>
      <c r="CA140" s="1321">
        <f>'CONCEPTOS Y PARAMETROS'!$A$102</f>
        <v>6255</v>
      </c>
      <c r="CB140" s="1112">
        <f t="shared" si="264"/>
        <v>222.7</v>
      </c>
      <c r="CC140" s="1113">
        <f t="shared" si="265"/>
        <v>584.9</v>
      </c>
      <c r="CD140" s="512"/>
      <c r="CE140" s="512"/>
      <c r="CF140" s="470">
        <f t="shared" si="266"/>
        <v>867.4</v>
      </c>
      <c r="CG140" s="495">
        <f t="shared" si="283"/>
        <v>222.7</v>
      </c>
      <c r="CH140" s="498">
        <f t="shared" si="267"/>
        <v>37.5</v>
      </c>
      <c r="CI140" s="1490">
        <f t="shared" si="284"/>
        <v>320</v>
      </c>
      <c r="CJ140" s="1500">
        <v>1</v>
      </c>
      <c r="CK140" s="495">
        <f t="shared" si="268"/>
        <v>547.4</v>
      </c>
      <c r="CL140" s="1689">
        <f t="shared" si="269"/>
        <v>547.4</v>
      </c>
      <c r="CM140" s="1689">
        <f t="shared" si="270"/>
        <v>0</v>
      </c>
      <c r="CN140" s="496">
        <f t="shared" si="271"/>
        <v>0</v>
      </c>
      <c r="CO140" s="497">
        <v>0</v>
      </c>
      <c r="CP140" s="496">
        <f t="shared" si="272"/>
        <v>0</v>
      </c>
      <c r="CQ140" s="496">
        <f t="shared" si="273"/>
        <v>0</v>
      </c>
      <c r="CR140" s="496">
        <f t="shared" si="274"/>
        <v>1094.8</v>
      </c>
      <c r="CS140" s="496">
        <f t="shared" si="275"/>
        <v>100.22</v>
      </c>
      <c r="CT140" s="496">
        <f t="shared" si="276"/>
        <v>6255</v>
      </c>
      <c r="CU140" s="470"/>
      <c r="CV140" s="470"/>
      <c r="CW140" s="470"/>
      <c r="CX140" s="470"/>
      <c r="CY140" s="1149" t="s">
        <v>7050</v>
      </c>
      <c r="CZ140" s="1149" t="s">
        <v>6850</v>
      </c>
      <c r="DA140" s="480"/>
      <c r="DB140" s="1642" t="s">
        <v>6317</v>
      </c>
      <c r="DC140" s="1642"/>
      <c r="DD140" s="1642" t="s">
        <v>6135</v>
      </c>
      <c r="DE140" s="1642" t="s">
        <v>6147</v>
      </c>
      <c r="DF140" s="1642" t="s">
        <v>7426</v>
      </c>
      <c r="DG140" s="1642" t="s">
        <v>7425</v>
      </c>
      <c r="DH140" s="512"/>
      <c r="DI140" s="512"/>
      <c r="DJ140" s="470"/>
      <c r="DK140" s="470"/>
      <c r="DL140" s="470"/>
      <c r="DN140" s="471" t="str">
        <f>VLOOKUP(X140,Hoja1!$A$4:$B$10,2,0)</f>
        <v>TÉCNICO SUPERIOR UNIVERSITARIO</v>
      </c>
      <c r="DO140" s="471" t="str">
        <f>VLOOKUP(S140,Hoja1!$D$4:$F$77,3,0)</f>
        <v>TII - IV</v>
      </c>
      <c r="DP140" s="1156" t="str">
        <f t="shared" si="277"/>
        <v>0</v>
      </c>
      <c r="DQ140" s="1484">
        <f>IF(T140&lt;&gt;"0",(ROUND(IF(A140="EMPLEADO",eval_formula('CONCEPTOS Y PARAMETROS'!$C$8,NOMINA!V140,AU140+BF140,NOMINA!I140+NOMINA!J140),eval_formula('CONCEPTOS Y PARAMETROS'!$D$8,NOMINA!V140,AU140+BF140,NOMINA!I140+NOMINA!J140)),2))*IF(H140&lt;&gt;"",IF(MONTH(H140)=$BR$8,IF(YEAR(H140)&lt;$BT$7,1,0),0)))</f>
        <v>0</v>
      </c>
      <c r="DR140" s="1801" t="str">
        <f t="shared" si="278"/>
        <v>F</v>
      </c>
      <c r="DS140" s="1801"/>
    </row>
    <row r="141" spans="1:123" s="476" customFormat="1" ht="21.95" customHeight="1" x14ac:dyDescent="0.25">
      <c r="A141" s="508" t="s">
        <v>2846</v>
      </c>
      <c r="B141" s="1314">
        <f t="shared" ca="1" si="347"/>
        <v>98</v>
      </c>
      <c r="C141" s="1148">
        <v>13897695</v>
      </c>
      <c r="D141" s="1149" t="s">
        <v>4781</v>
      </c>
      <c r="E141" s="1135" t="s">
        <v>4622</v>
      </c>
      <c r="F141" s="1150">
        <v>29016</v>
      </c>
      <c r="G141" s="1135" t="s">
        <v>4620</v>
      </c>
      <c r="H141" s="1150">
        <v>39496</v>
      </c>
      <c r="I141" s="1140">
        <f t="shared" si="261"/>
        <v>17</v>
      </c>
      <c r="J141" s="1132">
        <v>3</v>
      </c>
      <c r="K141" s="1140">
        <f t="shared" si="279"/>
        <v>20</v>
      </c>
      <c r="L141" s="1145" t="s">
        <v>5524</v>
      </c>
      <c r="M141" s="1132"/>
      <c r="N141" s="1132"/>
      <c r="O141" s="1002" t="s">
        <v>5242</v>
      </c>
      <c r="P141" s="1132" t="s">
        <v>5345</v>
      </c>
      <c r="Q141" s="1315" t="str">
        <f>IFERROR(VLOOKUP(O141,CARGOS!A:E,2,0),"")</f>
        <v>13420</v>
      </c>
      <c r="R141" s="1327" t="s">
        <v>5242</v>
      </c>
      <c r="S141" s="1146" t="s">
        <v>5458</v>
      </c>
      <c r="T141" s="1107">
        <f>IFERROR(VLOOKUP(S141,'TAB EMP'!A:B,2,0),0)</f>
        <v>287</v>
      </c>
      <c r="U141" s="1108">
        <v>0</v>
      </c>
      <c r="V141" s="1107">
        <f t="shared" si="290"/>
        <v>287</v>
      </c>
      <c r="W141" s="1108">
        <f t="shared" si="291"/>
        <v>143.5</v>
      </c>
      <c r="X141" s="1135" t="s">
        <v>2885</v>
      </c>
      <c r="Y141" s="1135"/>
      <c r="Z141" s="1135">
        <v>2</v>
      </c>
      <c r="AA141" s="1107">
        <f>ROUND(IF(H141&lt;&gt;"",VLOOKUP(SUM(I141+J141),'CONCEPTOS Y PARAMETROS'!F:G,2,0)*V141,0),2)</f>
        <v>74.62</v>
      </c>
      <c r="AB141" s="1107">
        <f>IF(S141&lt;&gt;"",IF(M141="",'CONCEPTOS Y PARAMETROS'!$C$4,0),0)</f>
        <v>130</v>
      </c>
      <c r="AC141" s="1107">
        <f>IF(S141&lt;&gt;"",IF(M141="",'CONCEPTOS Y PARAMETROS'!$C$7*Z141,0),0)</f>
        <v>25</v>
      </c>
      <c r="AD141" s="1107">
        <f>IFERROR(ROUND(VLOOKUP($X141,'CONCEPTOS Y PARAMETROS'!H:I,2,0)*($V141+AA141+AB141+AC141),2),0)</f>
        <v>129.16</v>
      </c>
      <c r="AE141" s="1107">
        <f t="shared" si="287"/>
        <v>358.78</v>
      </c>
      <c r="AF141" s="1107">
        <f t="shared" si="292"/>
        <v>37.31</v>
      </c>
      <c r="AG141" s="1107">
        <f t="shared" si="293"/>
        <v>37.31</v>
      </c>
      <c r="AH141" s="1107">
        <f t="shared" si="294"/>
        <v>65</v>
      </c>
      <c r="AI141" s="1107">
        <f t="shared" si="295"/>
        <v>65</v>
      </c>
      <c r="AJ141" s="1107">
        <f t="shared" si="296"/>
        <v>64.58</v>
      </c>
      <c r="AK141" s="1107">
        <f t="shared" si="297"/>
        <v>64.58</v>
      </c>
      <c r="AL141" s="1108">
        <f t="shared" si="298"/>
        <v>191.89</v>
      </c>
      <c r="AM141" s="1108">
        <f t="shared" si="299"/>
        <v>166.89</v>
      </c>
      <c r="AN141" s="1453">
        <v>2</v>
      </c>
      <c r="AO141" s="1147">
        <f>'CONCEPTOS Y PARAMETROS'!$C$18*AN141</f>
        <v>25</v>
      </c>
      <c r="AP141" s="990">
        <v>0</v>
      </c>
      <c r="AQ141" s="1147">
        <f>'CONCEPTOS Y PARAMETROS'!$C$21*AP141</f>
        <v>0</v>
      </c>
      <c r="AR141" s="1318">
        <v>0</v>
      </c>
      <c r="AS141" s="1318">
        <v>0</v>
      </c>
      <c r="AT141" s="1318">
        <f t="shared" si="288"/>
        <v>25</v>
      </c>
      <c r="AU141" s="1108">
        <f t="shared" si="280"/>
        <v>645.78</v>
      </c>
      <c r="AV141" s="1133">
        <v>0</v>
      </c>
      <c r="AW141" s="1108">
        <f t="shared" si="352"/>
        <v>0</v>
      </c>
      <c r="AX141" s="1107">
        <f>IF(T141&lt;&gt;"0",(ROUND(IF(A141="EMPLEADO",eval_formula('CONCEPTOS Y PARAMETROS'!$C$8,NOMINA!V141,NOMINA!$AU141,NOMINA!I141+NOMINA!J141),eval_formula('CONCEPTOS Y PARAMETROS'!$D$8,NOMINA!V141,NOMINA!$AU141,NOMINA!I141+NOMINA!J141)),2))*IF(H141&lt;&gt;"",IF(MONTH(H141)=$BR$8,IF(YEAR(H141)&lt;$BT$7,1,0),0)))</f>
        <v>0</v>
      </c>
      <c r="AY141" s="1108">
        <v>180</v>
      </c>
      <c r="AZ141" s="1107">
        <f>IFERROR(VLOOKUP(AY141,'CONCEPTOS Y PARAMETROS'!Y:Z,2,0),0)</f>
        <v>150</v>
      </c>
      <c r="BA141" s="1107">
        <f t="shared" si="300"/>
        <v>4843.3500000000004</v>
      </c>
      <c r="BB141" s="1107">
        <f t="shared" ref="BB141:BB173" si="353">ROUND(AU141/30*$BB$10,2)</f>
        <v>0</v>
      </c>
      <c r="BC141" s="990">
        <v>0</v>
      </c>
      <c r="BD141" s="1107" t="str">
        <f t="shared" si="281"/>
        <v>0</v>
      </c>
      <c r="BE141" s="990">
        <v>0</v>
      </c>
      <c r="BF141" s="1107">
        <f t="shared" si="329"/>
        <v>0</v>
      </c>
      <c r="BG141" s="1108">
        <v>320</v>
      </c>
      <c r="BH141" s="1108">
        <v>0</v>
      </c>
      <c r="BI141" s="1132">
        <v>0</v>
      </c>
      <c r="BJ141" s="1108">
        <v>12.5</v>
      </c>
      <c r="BK141" s="1108">
        <v>0</v>
      </c>
      <c r="BL141" s="1107">
        <f t="shared" si="324"/>
        <v>29.81</v>
      </c>
      <c r="BM141" s="1107">
        <f t="shared" si="325"/>
        <v>3.73</v>
      </c>
      <c r="BN141" s="1107">
        <f t="shared" si="262"/>
        <v>6.46</v>
      </c>
      <c r="BO141" s="1107">
        <v>0</v>
      </c>
      <c r="BP141" s="1107">
        <v>0</v>
      </c>
      <c r="BQ141" s="1320">
        <f t="shared" si="301"/>
        <v>40</v>
      </c>
      <c r="BR141" s="1107">
        <f t="shared" si="326"/>
        <v>67.06</v>
      </c>
      <c r="BS141" s="1107">
        <f t="shared" si="327"/>
        <v>14.9</v>
      </c>
      <c r="BT141" s="1107">
        <f t="shared" si="263"/>
        <v>12.92</v>
      </c>
      <c r="BU141" s="1107">
        <v>0</v>
      </c>
      <c r="BV141" s="1108">
        <f t="shared" si="302"/>
        <v>94.88</v>
      </c>
      <c r="BW141" s="1112">
        <f t="shared" si="303"/>
        <v>134.88</v>
      </c>
      <c r="BX141" s="1112">
        <f t="shared" si="328"/>
        <v>1210.8399999999999</v>
      </c>
      <c r="BY141" s="1108">
        <v>0</v>
      </c>
      <c r="BZ141" s="1108">
        <f t="shared" si="282"/>
        <v>1210.8399999999999</v>
      </c>
      <c r="CA141" s="1321">
        <f>'CONCEPTOS Y PARAMETROS'!$A$102</f>
        <v>6255</v>
      </c>
      <c r="CB141" s="1112">
        <f t="shared" si="264"/>
        <v>295.39</v>
      </c>
      <c r="CC141" s="1113">
        <f t="shared" si="265"/>
        <v>667.89</v>
      </c>
      <c r="CD141" s="512"/>
      <c r="CE141" s="512"/>
      <c r="CF141" s="470">
        <f t="shared" si="266"/>
        <v>950.39</v>
      </c>
      <c r="CG141" s="495">
        <f t="shared" si="283"/>
        <v>295.39</v>
      </c>
      <c r="CH141" s="498">
        <f t="shared" si="267"/>
        <v>37.5</v>
      </c>
      <c r="CI141" s="1490">
        <f t="shared" si="284"/>
        <v>320</v>
      </c>
      <c r="CJ141" s="1500">
        <v>2</v>
      </c>
      <c r="CK141" s="495">
        <f t="shared" si="268"/>
        <v>630.39</v>
      </c>
      <c r="CL141" s="1689">
        <f t="shared" si="269"/>
        <v>302.58999999999997</v>
      </c>
      <c r="CM141" s="1689">
        <f t="shared" si="270"/>
        <v>327.8</v>
      </c>
      <c r="CN141" s="496">
        <f t="shared" si="271"/>
        <v>0</v>
      </c>
      <c r="CO141" s="497">
        <v>0</v>
      </c>
      <c r="CP141" s="496">
        <f t="shared" si="272"/>
        <v>0</v>
      </c>
      <c r="CQ141" s="496">
        <f t="shared" si="273"/>
        <v>0</v>
      </c>
      <c r="CR141" s="496">
        <f t="shared" si="274"/>
        <v>1260.78</v>
      </c>
      <c r="CS141" s="496">
        <f t="shared" si="275"/>
        <v>134.88</v>
      </c>
      <c r="CT141" s="496">
        <f t="shared" si="276"/>
        <v>6255</v>
      </c>
      <c r="CU141" s="470"/>
      <c r="CV141" s="470"/>
      <c r="CW141" s="470"/>
      <c r="CX141" s="470"/>
      <c r="CY141" s="1149" t="s">
        <v>6940</v>
      </c>
      <c r="CZ141" s="1149" t="s">
        <v>6851</v>
      </c>
      <c r="DA141" s="480"/>
      <c r="DB141" s="1642" t="s">
        <v>7403</v>
      </c>
      <c r="DC141" s="1642"/>
      <c r="DD141" s="1642" t="s">
        <v>6137</v>
      </c>
      <c r="DE141" s="1642" t="s">
        <v>6217</v>
      </c>
      <c r="DF141" s="1642" t="s">
        <v>6218</v>
      </c>
      <c r="DG141" s="1642"/>
      <c r="DH141" s="512"/>
      <c r="DI141" s="512"/>
      <c r="DJ141" s="470"/>
      <c r="DK141" s="470"/>
      <c r="DL141" s="470"/>
      <c r="DM141" s="471"/>
      <c r="DN141" s="471" t="str">
        <f>VLOOKUP(X141,Hoja1!$A$4:$B$10,2,0)</f>
        <v>PROFESIONAL</v>
      </c>
      <c r="DO141" s="471" t="str">
        <f>VLOOKUP(S141,Hoja1!$D$4:$F$77,3,0)</f>
        <v>PII - VII</v>
      </c>
      <c r="DP141" s="1156" t="str">
        <f t="shared" si="277"/>
        <v>0</v>
      </c>
      <c r="DQ141" s="1484">
        <f>IF(T141&lt;&gt;"0",(ROUND(IF(A141="EMPLEADO",eval_formula('CONCEPTOS Y PARAMETROS'!$C$8,NOMINA!V141,AU141+BF141,NOMINA!I141+NOMINA!J141),eval_formula('CONCEPTOS Y PARAMETROS'!$D$8,NOMINA!V141,AU141+BF141,NOMINA!I141+NOMINA!J141)),2))*IF(H141&lt;&gt;"",IF(MONTH(H141)=$BR$8,IF(YEAR(H141)&lt;$BT$7,1,0),0)))</f>
        <v>0</v>
      </c>
      <c r="DR141" s="1801" t="str">
        <f t="shared" si="278"/>
        <v>F</v>
      </c>
      <c r="DS141" s="1801"/>
    </row>
    <row r="142" spans="1:123" s="476" customFormat="1" ht="21.95" customHeight="1" x14ac:dyDescent="0.25">
      <c r="A142" s="508" t="s">
        <v>2846</v>
      </c>
      <c r="B142" s="1314">
        <f t="shared" ca="1" si="347"/>
        <v>99</v>
      </c>
      <c r="C142" s="1148">
        <v>13996024</v>
      </c>
      <c r="D142" s="1149" t="s">
        <v>4782</v>
      </c>
      <c r="E142" s="1135" t="s">
        <v>4622</v>
      </c>
      <c r="F142" s="1150">
        <v>29217</v>
      </c>
      <c r="G142" s="1135" t="s">
        <v>4620</v>
      </c>
      <c r="H142" s="1150">
        <v>40028</v>
      </c>
      <c r="I142" s="1140">
        <f t="shared" si="261"/>
        <v>16</v>
      </c>
      <c r="J142" s="1132">
        <v>0</v>
      </c>
      <c r="K142" s="1140">
        <f t="shared" si="279"/>
        <v>16</v>
      </c>
      <c r="L142" s="1145" t="s">
        <v>5521</v>
      </c>
      <c r="M142" s="1132"/>
      <c r="N142" s="1132"/>
      <c r="O142" s="1002" t="s">
        <v>7266</v>
      </c>
      <c r="P142" s="1132" t="s">
        <v>5346</v>
      </c>
      <c r="Q142" s="1315" t="str">
        <f>IFERROR(VLOOKUP(O142,CARGOS!A:E,2,0),"")</f>
        <v>21133</v>
      </c>
      <c r="R142" s="1327" t="s">
        <v>7266</v>
      </c>
      <c r="S142" s="1146" t="s">
        <v>5460</v>
      </c>
      <c r="T142" s="1107">
        <f>IFERROR(VLOOKUP(S142,'TAB EMP'!A:B,2,0),0)</f>
        <v>285</v>
      </c>
      <c r="U142" s="1108">
        <v>0</v>
      </c>
      <c r="V142" s="1107">
        <f t="shared" si="290"/>
        <v>285</v>
      </c>
      <c r="W142" s="1108">
        <f t="shared" si="291"/>
        <v>142.5</v>
      </c>
      <c r="X142" s="1135" t="s">
        <v>2885</v>
      </c>
      <c r="Y142" s="1135"/>
      <c r="Z142" s="1135">
        <v>1</v>
      </c>
      <c r="AA142" s="1107">
        <f>ROUND(IF(H142&lt;&gt;"",VLOOKUP(SUM(I142+J142),'CONCEPTOS Y PARAMETROS'!F:G,2,0)*V142,0),2)</f>
        <v>55.86</v>
      </c>
      <c r="AB142" s="1107">
        <f>IF(S142&lt;&gt;"",IF(M142="",'CONCEPTOS Y PARAMETROS'!$C$4,0),0)</f>
        <v>130</v>
      </c>
      <c r="AC142" s="1107">
        <f>IF(S142&lt;&gt;"",IF(M142="",'CONCEPTOS Y PARAMETROS'!$C$7*Z142,0),0)</f>
        <v>12.5</v>
      </c>
      <c r="AD142" s="1107">
        <f>IFERROR(ROUND(VLOOKUP($X142,'CONCEPTOS Y PARAMETROS'!H:I,2,0)*($V142+AA142+AB142+AC142),2),0)</f>
        <v>120.84</v>
      </c>
      <c r="AE142" s="1107">
        <f t="shared" si="287"/>
        <v>319.20000000000005</v>
      </c>
      <c r="AF142" s="1107">
        <f t="shared" si="292"/>
        <v>27.93</v>
      </c>
      <c r="AG142" s="1107">
        <f t="shared" si="293"/>
        <v>27.93</v>
      </c>
      <c r="AH142" s="1107">
        <f t="shared" si="294"/>
        <v>65</v>
      </c>
      <c r="AI142" s="1107">
        <f t="shared" si="295"/>
        <v>65</v>
      </c>
      <c r="AJ142" s="1107">
        <f t="shared" si="296"/>
        <v>60.42</v>
      </c>
      <c r="AK142" s="1107">
        <f t="shared" si="297"/>
        <v>60.42</v>
      </c>
      <c r="AL142" s="1108">
        <f t="shared" si="298"/>
        <v>165.85</v>
      </c>
      <c r="AM142" s="1108">
        <f t="shared" si="299"/>
        <v>153.35</v>
      </c>
      <c r="AN142" s="990">
        <v>1</v>
      </c>
      <c r="AO142" s="1147">
        <f>'CONCEPTOS Y PARAMETROS'!$C$18*AN142</f>
        <v>12.5</v>
      </c>
      <c r="AP142" s="990">
        <v>0</v>
      </c>
      <c r="AQ142" s="1147">
        <f>'CONCEPTOS Y PARAMETROS'!$C$21*AP142</f>
        <v>0</v>
      </c>
      <c r="AR142" s="1318">
        <v>0</v>
      </c>
      <c r="AS142" s="1318">
        <v>0</v>
      </c>
      <c r="AT142" s="1318">
        <f t="shared" si="288"/>
        <v>12.5</v>
      </c>
      <c r="AU142" s="1108">
        <f t="shared" si="280"/>
        <v>604.20000000000005</v>
      </c>
      <c r="AV142" s="1133">
        <v>0</v>
      </c>
      <c r="AW142" s="1108">
        <f t="shared" si="352"/>
        <v>0</v>
      </c>
      <c r="AX142" s="1107">
        <f>IF(T142&lt;&gt;"0",(ROUND(IF(A142="EMPLEADO",eval_formula('CONCEPTOS Y PARAMETROS'!$C$8,NOMINA!V142,NOMINA!$AU142,NOMINA!I142+NOMINA!J142),eval_formula('CONCEPTOS Y PARAMETROS'!$D$8,NOMINA!V142,NOMINA!$AU142,NOMINA!I142+NOMINA!J142)),2))*IF(H142&lt;&gt;"",IF(MONTH(H142)=$BR$8,IF(YEAR(H142)&lt;$BT$7,1,0),0)))</f>
        <v>0</v>
      </c>
      <c r="AY142" s="1108">
        <v>180</v>
      </c>
      <c r="AZ142" s="1107">
        <f>IFERROR(VLOOKUP(AY142,'CONCEPTOS Y PARAMETROS'!Y:Z,2,0),0)</f>
        <v>150</v>
      </c>
      <c r="BA142" s="1107">
        <f t="shared" si="300"/>
        <v>4531.5</v>
      </c>
      <c r="BB142" s="1107">
        <f t="shared" si="353"/>
        <v>0</v>
      </c>
      <c r="BC142" s="990">
        <v>0</v>
      </c>
      <c r="BD142" s="1107" t="str">
        <f t="shared" si="281"/>
        <v>0</v>
      </c>
      <c r="BE142" s="990">
        <v>0</v>
      </c>
      <c r="BF142" s="1107">
        <f t="shared" si="329"/>
        <v>0</v>
      </c>
      <c r="BG142" s="1108">
        <v>320</v>
      </c>
      <c r="BH142" s="1108">
        <v>0</v>
      </c>
      <c r="BI142" s="1132">
        <v>0</v>
      </c>
      <c r="BJ142" s="1108">
        <v>12.5</v>
      </c>
      <c r="BK142" s="1108">
        <v>0</v>
      </c>
      <c r="BL142" s="1107">
        <f t="shared" si="324"/>
        <v>27.89</v>
      </c>
      <c r="BM142" s="1107">
        <f t="shared" si="325"/>
        <v>3.49</v>
      </c>
      <c r="BN142" s="1107">
        <f t="shared" si="262"/>
        <v>6.04</v>
      </c>
      <c r="BO142" s="1107">
        <v>0</v>
      </c>
      <c r="BP142" s="1107">
        <v>0</v>
      </c>
      <c r="BQ142" s="1320">
        <f t="shared" si="301"/>
        <v>37.42</v>
      </c>
      <c r="BR142" s="1107">
        <f t="shared" si="326"/>
        <v>62.74</v>
      </c>
      <c r="BS142" s="1107">
        <f t="shared" si="327"/>
        <v>13.94</v>
      </c>
      <c r="BT142" s="1107">
        <f t="shared" si="263"/>
        <v>12.08</v>
      </c>
      <c r="BU142" s="1107">
        <v>0</v>
      </c>
      <c r="BV142" s="1108">
        <f t="shared" si="302"/>
        <v>88.76</v>
      </c>
      <c r="BW142" s="1112">
        <f t="shared" si="303"/>
        <v>126.18</v>
      </c>
      <c r="BX142" s="1112">
        <f t="shared" si="328"/>
        <v>1132.8800000000001</v>
      </c>
      <c r="BY142" s="1108">
        <v>0</v>
      </c>
      <c r="BZ142" s="1108">
        <f t="shared" si="282"/>
        <v>1132.8800000000001</v>
      </c>
      <c r="CA142" s="1321">
        <f>'CONCEPTOS Y PARAMETROS'!$A$102</f>
        <v>6255</v>
      </c>
      <c r="CB142" s="1112">
        <f t="shared" si="264"/>
        <v>270.93</v>
      </c>
      <c r="CC142" s="1113">
        <f t="shared" si="265"/>
        <v>640.85</v>
      </c>
      <c r="CD142" s="512"/>
      <c r="CE142" s="512"/>
      <c r="CF142" s="470">
        <f t="shared" si="266"/>
        <v>935.85</v>
      </c>
      <c r="CG142" s="509">
        <f t="shared" si="283"/>
        <v>270.93</v>
      </c>
      <c r="CH142" s="1603">
        <f t="shared" si="267"/>
        <v>25</v>
      </c>
      <c r="CI142" s="1491">
        <f t="shared" si="284"/>
        <v>320</v>
      </c>
      <c r="CJ142" s="1502">
        <v>1</v>
      </c>
      <c r="CK142" s="509">
        <f t="shared" si="268"/>
        <v>615.85</v>
      </c>
      <c r="CL142" s="1689">
        <f t="shared" si="269"/>
        <v>295.61</v>
      </c>
      <c r="CM142" s="1689">
        <f t="shared" si="270"/>
        <v>320.24</v>
      </c>
      <c r="CN142" s="510">
        <f t="shared" si="271"/>
        <v>0</v>
      </c>
      <c r="CO142" s="511">
        <v>0</v>
      </c>
      <c r="CP142" s="510">
        <f t="shared" si="272"/>
        <v>0</v>
      </c>
      <c r="CQ142" s="510">
        <f t="shared" si="273"/>
        <v>0</v>
      </c>
      <c r="CR142" s="510">
        <f t="shared" si="274"/>
        <v>1231.7</v>
      </c>
      <c r="CS142" s="510">
        <f t="shared" si="275"/>
        <v>126.18</v>
      </c>
      <c r="CT142" s="510">
        <f t="shared" si="276"/>
        <v>6255</v>
      </c>
      <c r="CU142" s="512"/>
      <c r="CV142" s="512"/>
      <c r="CW142" s="512"/>
      <c r="CX142" s="512"/>
      <c r="CY142" s="1149" t="s">
        <v>6801</v>
      </c>
      <c r="CZ142" s="1149" t="s">
        <v>6852</v>
      </c>
      <c r="DA142" s="1152"/>
      <c r="DB142" s="1642" t="s">
        <v>6386</v>
      </c>
      <c r="DC142" s="1642"/>
      <c r="DD142" s="1642" t="s">
        <v>6135</v>
      </c>
      <c r="DE142" s="1642" t="s">
        <v>6162</v>
      </c>
      <c r="DF142" s="1642" t="s">
        <v>7424</v>
      </c>
      <c r="DG142" s="1642" t="s">
        <v>7423</v>
      </c>
      <c r="DH142" s="512"/>
      <c r="DI142" s="512"/>
      <c r="DJ142" s="512"/>
      <c r="DK142" s="512"/>
      <c r="DL142" s="512"/>
      <c r="DN142" s="476" t="str">
        <f>VLOOKUP(X142,Hoja1!$A$4:$B$10,2,0)</f>
        <v>PROFESIONAL</v>
      </c>
      <c r="DO142" s="476" t="str">
        <f>VLOOKUP(S142,Hoja1!$D$4:$F$77,3,0)</f>
        <v>PII - VI</v>
      </c>
      <c r="DP142" s="1594" t="str">
        <f t="shared" si="277"/>
        <v>0</v>
      </c>
      <c r="DQ142" s="1484">
        <f>IF(T142&lt;&gt;"0",(ROUND(IF(A142="EMPLEADO",eval_formula('CONCEPTOS Y PARAMETROS'!$C$8,NOMINA!V142,AU142+BF142,NOMINA!I142+NOMINA!J142),eval_formula('CONCEPTOS Y PARAMETROS'!$D$8,NOMINA!V142,AU142+BF142,NOMINA!I142+NOMINA!J142)),2))*IF(H142&lt;&gt;"",IF(MONTH(H142)=$BR$8,IF(YEAR(H142)&lt;$BT$7,1,0),0)))</f>
        <v>0</v>
      </c>
      <c r="DR142" s="1799" t="str">
        <f t="shared" si="278"/>
        <v>F</v>
      </c>
      <c r="DS142" s="1799"/>
    </row>
    <row r="143" spans="1:123" s="476" customFormat="1" ht="21.95" customHeight="1" x14ac:dyDescent="0.25">
      <c r="A143" s="508" t="s">
        <v>2846</v>
      </c>
      <c r="B143" s="1314">
        <f t="shared" ca="1" si="347"/>
        <v>100</v>
      </c>
      <c r="C143" s="1148">
        <v>13997965</v>
      </c>
      <c r="D143" s="1149" t="s">
        <v>7612</v>
      </c>
      <c r="E143" s="1135" t="s">
        <v>4622</v>
      </c>
      <c r="F143" s="1150">
        <v>29044</v>
      </c>
      <c r="G143" s="1135" t="s">
        <v>4620</v>
      </c>
      <c r="H143" s="1150">
        <v>45839</v>
      </c>
      <c r="I143" s="1140">
        <f t="shared" si="261"/>
        <v>0</v>
      </c>
      <c r="J143" s="1132">
        <v>0</v>
      </c>
      <c r="K143" s="1140">
        <f t="shared" si="279"/>
        <v>0</v>
      </c>
      <c r="L143" s="1145" t="s">
        <v>5524</v>
      </c>
      <c r="M143" s="1132"/>
      <c r="N143" s="1132"/>
      <c r="O143" s="1002" t="s">
        <v>5231</v>
      </c>
      <c r="P143" s="1151" t="s">
        <v>7604</v>
      </c>
      <c r="Q143" s="1315" t="str">
        <f>IFERROR(VLOOKUP(O143,CARGOS!A:E,2,0),"")</f>
        <v>12111</v>
      </c>
      <c r="R143" s="1327" t="s">
        <v>5231</v>
      </c>
      <c r="S143" s="1146" t="s">
        <v>5470</v>
      </c>
      <c r="T143" s="1107">
        <f>IFERROR(VLOOKUP(S143,'TAB EMP'!A:B,2,0),0)</f>
        <v>130</v>
      </c>
      <c r="U143" s="1108">
        <v>0</v>
      </c>
      <c r="V143" s="1107">
        <f t="shared" si="290"/>
        <v>130</v>
      </c>
      <c r="W143" s="1108">
        <f t="shared" si="291"/>
        <v>65</v>
      </c>
      <c r="X143" s="1135" t="s">
        <v>2884</v>
      </c>
      <c r="Y143" s="1135"/>
      <c r="Z143" s="1135">
        <v>2</v>
      </c>
      <c r="AA143" s="1107">
        <f>ROUND(IF(H143&lt;&gt;"",VLOOKUP(SUM(I143+J143),'CONCEPTOS Y PARAMETROS'!F:G,2,0)*V143,0),2)</f>
        <v>0</v>
      </c>
      <c r="AB143" s="1107">
        <f>IF(S143&lt;&gt;"",IF(M143="",'CONCEPTOS Y PARAMETROS'!$C$4,0),0)</f>
        <v>130</v>
      </c>
      <c r="AC143" s="1107">
        <f>IF(S143&lt;&gt;"",IF(M143="",'CONCEPTOS Y PARAMETROS'!$C$7*Z143,0),0)</f>
        <v>25</v>
      </c>
      <c r="AD143" s="1107">
        <f>IFERROR(ROUND(VLOOKUP($X143,'CONCEPTOS Y PARAMETROS'!H:I,2,0)*($V143+AA143+AB143+AC143),2),0)</f>
        <v>0</v>
      </c>
      <c r="AE143" s="1107">
        <f t="shared" si="287"/>
        <v>155</v>
      </c>
      <c r="AF143" s="1107">
        <f t="shared" si="292"/>
        <v>0</v>
      </c>
      <c r="AG143" s="1107">
        <f t="shared" si="293"/>
        <v>0</v>
      </c>
      <c r="AH143" s="1107">
        <f t="shared" si="294"/>
        <v>65</v>
      </c>
      <c r="AI143" s="1107">
        <f t="shared" si="295"/>
        <v>65</v>
      </c>
      <c r="AJ143" s="1107">
        <f t="shared" si="296"/>
        <v>0</v>
      </c>
      <c r="AK143" s="1107">
        <f t="shared" si="297"/>
        <v>0</v>
      </c>
      <c r="AL143" s="1108">
        <f t="shared" si="298"/>
        <v>90</v>
      </c>
      <c r="AM143" s="1108">
        <f t="shared" si="299"/>
        <v>65</v>
      </c>
      <c r="AN143" s="990">
        <v>0</v>
      </c>
      <c r="AO143" s="1147">
        <f>'CONCEPTOS Y PARAMETROS'!$C$18*AN143</f>
        <v>0</v>
      </c>
      <c r="AP143" s="990">
        <v>0</v>
      </c>
      <c r="AQ143" s="1147">
        <f>'CONCEPTOS Y PARAMETROS'!$C$21*AP143</f>
        <v>0</v>
      </c>
      <c r="AR143" s="1318">
        <v>0</v>
      </c>
      <c r="AS143" s="1318">
        <v>0</v>
      </c>
      <c r="AT143" s="1318">
        <f t="shared" si="288"/>
        <v>0</v>
      </c>
      <c r="AU143" s="1108">
        <f t="shared" si="280"/>
        <v>285</v>
      </c>
      <c r="AV143" s="1133">
        <v>0</v>
      </c>
      <c r="AW143" s="1108">
        <f t="shared" si="352"/>
        <v>0</v>
      </c>
      <c r="AX143" s="1107">
        <f>IF(T143&lt;&gt;"0",(ROUND(IF(A143="EMPLEADO",eval_formula('CONCEPTOS Y PARAMETROS'!$C$8,NOMINA!V143,NOMINA!$AU143,NOMINA!I143+NOMINA!J143),eval_formula('CONCEPTOS Y PARAMETROS'!$D$8,NOMINA!V143,NOMINA!$AU143,NOMINA!I143+NOMINA!J143)),2))*IF(H143&lt;&gt;"",IF(MONTH(H143)=$BR$8,IF(YEAR(H143)&lt;$BT$7,1,0),0)))</f>
        <v>0</v>
      </c>
      <c r="AY143" s="1108">
        <v>180</v>
      </c>
      <c r="AZ143" s="1107">
        <f>IFERROR(VLOOKUP(AY143,'CONCEPTOS Y PARAMETROS'!Y:Z,2,0),0)</f>
        <v>150</v>
      </c>
      <c r="BA143" s="1107">
        <f t="shared" si="300"/>
        <v>2137.5</v>
      </c>
      <c r="BB143" s="1107">
        <f t="shared" si="353"/>
        <v>0</v>
      </c>
      <c r="BC143" s="990">
        <v>0</v>
      </c>
      <c r="BD143" s="1107" t="str">
        <f t="shared" si="281"/>
        <v>0</v>
      </c>
      <c r="BE143" s="990">
        <v>0</v>
      </c>
      <c r="BF143" s="1107">
        <f t="shared" si="329"/>
        <v>0</v>
      </c>
      <c r="BG143" s="1108">
        <v>320</v>
      </c>
      <c r="BH143" s="1108">
        <v>0</v>
      </c>
      <c r="BI143" s="1132">
        <v>0</v>
      </c>
      <c r="BJ143" s="1108">
        <v>12.5</v>
      </c>
      <c r="BK143" s="1108">
        <v>0</v>
      </c>
      <c r="BL143" s="1107">
        <f t="shared" si="324"/>
        <v>13.15</v>
      </c>
      <c r="BM143" s="1107">
        <f t="shared" si="325"/>
        <v>1.64</v>
      </c>
      <c r="BN143" s="1107">
        <f t="shared" si="262"/>
        <v>2.85</v>
      </c>
      <c r="BO143" s="1107">
        <v>0</v>
      </c>
      <c r="BP143" s="1107">
        <v>0</v>
      </c>
      <c r="BQ143" s="1320">
        <f t="shared" ref="BQ143" si="354">ROUND(SUM(BL143:BP143),2)</f>
        <v>17.64</v>
      </c>
      <c r="BR143" s="1107">
        <f t="shared" si="326"/>
        <v>29.6</v>
      </c>
      <c r="BS143" s="1107">
        <f t="shared" si="327"/>
        <v>6.58</v>
      </c>
      <c r="BT143" s="1107">
        <f t="shared" si="263"/>
        <v>5.7</v>
      </c>
      <c r="BU143" s="1107">
        <v>0</v>
      </c>
      <c r="BV143" s="1108">
        <f t="shared" si="302"/>
        <v>41.88</v>
      </c>
      <c r="BW143" s="1112">
        <f t="shared" si="303"/>
        <v>59.52</v>
      </c>
      <c r="BX143" s="1112">
        <f t="shared" si="328"/>
        <v>534.38</v>
      </c>
      <c r="BY143" s="1108">
        <v>0</v>
      </c>
      <c r="BZ143" s="1108">
        <f t="shared" si="282"/>
        <v>534.38</v>
      </c>
      <c r="CA143" s="1321">
        <f>'CONCEPTOS Y PARAMETROS'!$A$102</f>
        <v>6255</v>
      </c>
      <c r="CB143" s="1112">
        <f t="shared" si="264"/>
        <v>137.36000000000001</v>
      </c>
      <c r="CC143" s="1113">
        <f t="shared" si="265"/>
        <v>462.5</v>
      </c>
      <c r="CD143" s="512"/>
      <c r="CE143" s="512"/>
      <c r="CF143" s="512">
        <f t="shared" si="266"/>
        <v>770</v>
      </c>
      <c r="CG143" s="509">
        <f t="shared" si="283"/>
        <v>137.36000000000001</v>
      </c>
      <c r="CH143" s="1603">
        <f t="shared" si="267"/>
        <v>12.5</v>
      </c>
      <c r="CI143" s="1491">
        <f t="shared" si="284"/>
        <v>320</v>
      </c>
      <c r="CJ143" s="1502">
        <v>1</v>
      </c>
      <c r="CK143" s="509">
        <f t="shared" si="268"/>
        <v>450</v>
      </c>
      <c r="CL143" s="1695">
        <f t="shared" si="269"/>
        <v>450</v>
      </c>
      <c r="CM143" s="1695">
        <f t="shared" si="270"/>
        <v>0</v>
      </c>
      <c r="CN143" s="510">
        <f t="shared" si="271"/>
        <v>0</v>
      </c>
      <c r="CO143" s="511">
        <v>0</v>
      </c>
      <c r="CP143" s="510">
        <f t="shared" si="272"/>
        <v>0</v>
      </c>
      <c r="CQ143" s="510">
        <f t="shared" si="273"/>
        <v>0</v>
      </c>
      <c r="CR143" s="510">
        <f t="shared" si="274"/>
        <v>900</v>
      </c>
      <c r="CS143" s="510">
        <f t="shared" si="275"/>
        <v>59.52</v>
      </c>
      <c r="CT143" s="510">
        <f t="shared" si="276"/>
        <v>6255</v>
      </c>
      <c r="CU143" s="512"/>
      <c r="CV143" s="512"/>
      <c r="CW143" s="512"/>
      <c r="CX143" s="512"/>
      <c r="CY143" s="1149" t="s">
        <v>7042</v>
      </c>
      <c r="CZ143" s="1149" t="s">
        <v>6895</v>
      </c>
      <c r="DA143" s="1152"/>
      <c r="DB143" s="1152" t="s">
        <v>7605</v>
      </c>
      <c r="DC143" s="1152"/>
      <c r="DD143" s="1152"/>
      <c r="DE143" s="1152"/>
      <c r="DF143" s="1152"/>
      <c r="DG143" s="1152"/>
      <c r="DH143" s="512"/>
      <c r="DI143" s="512"/>
      <c r="DJ143" s="512"/>
      <c r="DK143" s="512"/>
      <c r="DL143" s="512"/>
      <c r="DN143" s="476" t="str">
        <f>VLOOKUP(X143,Hoja1!$A$4:$B$10,2,0)</f>
        <v>BACHILLER</v>
      </c>
      <c r="DO143" s="476" t="str">
        <f>VLOOKUP(S143,Hoja1!$D$4:$F$77,3,0)</f>
        <v>BI</v>
      </c>
      <c r="DP143" s="1692" t="str">
        <f t="shared" si="277"/>
        <v>0</v>
      </c>
      <c r="DQ143" s="1696">
        <f>IF(T143&lt;&gt;"0",(ROUND(IF(A143="EMPLEADO",eval_formula('CONCEPTOS Y PARAMETROS'!$C$8,NOMINA!V143,AU143+BF143,NOMINA!I143+NOMINA!J143),eval_formula('CONCEPTOS Y PARAMETROS'!$D$8,NOMINA!V143,AU143+BF143,NOMINA!I143+NOMINA!J143)),2))*IF(H143&lt;&gt;"",IF(MONTH(H143)=$BR$8,IF(YEAR(H143)&lt;$BT$7,1,0),0)))</f>
        <v>0</v>
      </c>
      <c r="DR143" s="1799" t="str">
        <f t="shared" si="278"/>
        <v>F</v>
      </c>
      <c r="DS143" s="1799"/>
    </row>
    <row r="144" spans="1:123" s="471" customFormat="1" ht="21.95" customHeight="1" x14ac:dyDescent="0.25">
      <c r="A144" s="508" t="s">
        <v>2846</v>
      </c>
      <c r="B144" s="1314">
        <f t="shared" ca="1" si="347"/>
        <v>101</v>
      </c>
      <c r="C144" s="1148">
        <v>14106648</v>
      </c>
      <c r="D144" s="1149" t="s">
        <v>4783</v>
      </c>
      <c r="E144" s="1135" t="s">
        <v>4622</v>
      </c>
      <c r="F144" s="1150">
        <v>28769</v>
      </c>
      <c r="G144" s="1135" t="s">
        <v>4620</v>
      </c>
      <c r="H144" s="1150">
        <v>40787</v>
      </c>
      <c r="I144" s="1140">
        <f t="shared" si="261"/>
        <v>14</v>
      </c>
      <c r="J144" s="1132">
        <v>6</v>
      </c>
      <c r="K144" s="1140">
        <f t="shared" si="279"/>
        <v>20</v>
      </c>
      <c r="L144" s="1145" t="s">
        <v>5539</v>
      </c>
      <c r="M144" s="1132"/>
      <c r="N144" s="1132"/>
      <c r="O144" s="1002" t="s">
        <v>5219</v>
      </c>
      <c r="P144" s="1132" t="s">
        <v>5347</v>
      </c>
      <c r="Q144" s="1315" t="str">
        <f>IFERROR(VLOOKUP(O144,CARGOS!A:E,2,0),"")</f>
        <v>12114</v>
      </c>
      <c r="R144" s="1327" t="s">
        <v>5219</v>
      </c>
      <c r="S144" s="1146" t="s">
        <v>5471</v>
      </c>
      <c r="T144" s="1107">
        <f>IFERROR(VLOOKUP(S144,'TAB EMP'!A:B,2,0),0)</f>
        <v>228</v>
      </c>
      <c r="U144" s="1108">
        <v>0</v>
      </c>
      <c r="V144" s="1107">
        <f t="shared" si="290"/>
        <v>228</v>
      </c>
      <c r="W144" s="1108">
        <f t="shared" si="291"/>
        <v>114</v>
      </c>
      <c r="X144" s="1135" t="s">
        <v>2844</v>
      </c>
      <c r="Y144" s="1135"/>
      <c r="Z144" s="1135">
        <v>1</v>
      </c>
      <c r="AA144" s="1107">
        <f>ROUND(IF(H144&lt;&gt;"",VLOOKUP(SUM(I144+J144),'CONCEPTOS Y PARAMETROS'!F:G,2,0)*V144,0),2)</f>
        <v>59.28</v>
      </c>
      <c r="AB144" s="1107">
        <f>IF(S144&lt;&gt;"",IF(M144="",'CONCEPTOS Y PARAMETROS'!$C$4,0),0)</f>
        <v>130</v>
      </c>
      <c r="AC144" s="1107">
        <f>IF(S144&lt;&gt;"",IF(M144="",'CONCEPTOS Y PARAMETROS'!$C$7*Z144,0),0)</f>
        <v>12.5</v>
      </c>
      <c r="AD144" s="1107">
        <f>IFERROR(ROUND(VLOOKUP($X144,'CONCEPTOS Y PARAMETROS'!H:I,2,0)*($V144+AA144+AB144+AC144),2),0)</f>
        <v>85.96</v>
      </c>
      <c r="AE144" s="1107">
        <f t="shared" si="287"/>
        <v>287.74</v>
      </c>
      <c r="AF144" s="1107">
        <f t="shared" si="292"/>
        <v>29.64</v>
      </c>
      <c r="AG144" s="1107">
        <f t="shared" si="293"/>
        <v>29.64</v>
      </c>
      <c r="AH144" s="1107">
        <f t="shared" si="294"/>
        <v>65</v>
      </c>
      <c r="AI144" s="1107">
        <f t="shared" si="295"/>
        <v>65</v>
      </c>
      <c r="AJ144" s="1107">
        <f t="shared" si="296"/>
        <v>42.98</v>
      </c>
      <c r="AK144" s="1107">
        <f t="shared" si="297"/>
        <v>42.98</v>
      </c>
      <c r="AL144" s="1108">
        <f t="shared" si="298"/>
        <v>150.12</v>
      </c>
      <c r="AM144" s="1108">
        <f t="shared" si="299"/>
        <v>137.62</v>
      </c>
      <c r="AN144" s="990">
        <v>0</v>
      </c>
      <c r="AO144" s="1147">
        <f>'CONCEPTOS Y PARAMETROS'!$C$18*AN144</f>
        <v>0</v>
      </c>
      <c r="AP144" s="990">
        <v>0</v>
      </c>
      <c r="AQ144" s="1147">
        <f>'CONCEPTOS Y PARAMETROS'!$C$21*AP144</f>
        <v>0</v>
      </c>
      <c r="AR144" s="1318">
        <v>0</v>
      </c>
      <c r="AS144" s="1318">
        <v>0</v>
      </c>
      <c r="AT144" s="1318">
        <f t="shared" si="288"/>
        <v>0</v>
      </c>
      <c r="AU144" s="1108">
        <f t="shared" si="280"/>
        <v>515.74</v>
      </c>
      <c r="AV144" s="1133">
        <v>0</v>
      </c>
      <c r="AW144" s="1108">
        <f t="shared" si="352"/>
        <v>0</v>
      </c>
      <c r="AX144" s="1107">
        <f>IF(T144&lt;&gt;"0",(ROUND(IF(A144="EMPLEADO",eval_formula('CONCEPTOS Y PARAMETROS'!$C$8,NOMINA!V144,NOMINA!$AU144,NOMINA!I144+NOMINA!J144),eval_formula('CONCEPTOS Y PARAMETROS'!$D$8,NOMINA!V144,NOMINA!$AU144,NOMINA!I144+NOMINA!J144)),2))*IF(H144&lt;&gt;"",IF(MONTH(H144)=$BR$8,IF(YEAR(H144)&lt;$BT$7,1,0),0)))</f>
        <v>4125.92</v>
      </c>
      <c r="AY144" s="1108">
        <v>180</v>
      </c>
      <c r="AZ144" s="1107">
        <f>IFERROR(VLOOKUP(AY144,'CONCEPTOS Y PARAMETROS'!Y:Z,2,0),0)</f>
        <v>150</v>
      </c>
      <c r="BA144" s="1107">
        <f t="shared" si="300"/>
        <v>3868.05</v>
      </c>
      <c r="BB144" s="1107">
        <f t="shared" si="353"/>
        <v>0</v>
      </c>
      <c r="BC144" s="990">
        <v>0</v>
      </c>
      <c r="BD144" s="1107" t="str">
        <f t="shared" si="281"/>
        <v>0</v>
      </c>
      <c r="BE144" s="990">
        <v>0</v>
      </c>
      <c r="BF144" s="1107">
        <f t="shared" si="329"/>
        <v>0</v>
      </c>
      <c r="BG144" s="1108">
        <v>320</v>
      </c>
      <c r="BH144" s="1108">
        <v>0</v>
      </c>
      <c r="BI144" s="1132">
        <v>0</v>
      </c>
      <c r="BJ144" s="1108">
        <v>12.5</v>
      </c>
      <c r="BK144" s="1108">
        <v>0</v>
      </c>
      <c r="BL144" s="1107">
        <f t="shared" si="324"/>
        <v>23.8</v>
      </c>
      <c r="BM144" s="1107">
        <f t="shared" si="325"/>
        <v>2.98</v>
      </c>
      <c r="BN144" s="1107">
        <f t="shared" si="262"/>
        <v>5.16</v>
      </c>
      <c r="BO144" s="1107">
        <v>0</v>
      </c>
      <c r="BP144" s="1107">
        <v>0</v>
      </c>
      <c r="BQ144" s="1320">
        <f t="shared" si="301"/>
        <v>31.94</v>
      </c>
      <c r="BR144" s="1107">
        <f t="shared" si="326"/>
        <v>53.56</v>
      </c>
      <c r="BS144" s="1107">
        <f t="shared" si="327"/>
        <v>11.9</v>
      </c>
      <c r="BT144" s="1107">
        <f t="shared" si="263"/>
        <v>10.32</v>
      </c>
      <c r="BU144" s="1107">
        <v>0</v>
      </c>
      <c r="BV144" s="1108">
        <f t="shared" si="302"/>
        <v>75.78</v>
      </c>
      <c r="BW144" s="1112">
        <f t="shared" si="303"/>
        <v>107.72</v>
      </c>
      <c r="BX144" s="1112">
        <f t="shared" si="328"/>
        <v>967.01</v>
      </c>
      <c r="BY144" s="1108">
        <v>0</v>
      </c>
      <c r="BZ144" s="1108">
        <f t="shared" si="282"/>
        <v>967.01</v>
      </c>
      <c r="CA144" s="1321">
        <f>'CONCEPTOS Y PARAMETROS'!$A$102</f>
        <v>6255</v>
      </c>
      <c r="CB144" s="1112">
        <f t="shared" si="264"/>
        <v>232.18</v>
      </c>
      <c r="CC144" s="1113">
        <f t="shared" si="265"/>
        <v>4710.04</v>
      </c>
      <c r="CD144" s="512"/>
      <c r="CE144" s="512"/>
      <c r="CF144" s="470">
        <f t="shared" si="266"/>
        <v>891.62</v>
      </c>
      <c r="CG144" s="495">
        <f t="shared" si="283"/>
        <v>232.18</v>
      </c>
      <c r="CH144" s="498">
        <f t="shared" si="267"/>
        <v>12.5</v>
      </c>
      <c r="CI144" s="1490">
        <f t="shared" si="284"/>
        <v>320</v>
      </c>
      <c r="CJ144" s="1500">
        <v>1</v>
      </c>
      <c r="CK144" s="495">
        <f t="shared" si="268"/>
        <v>571.62</v>
      </c>
      <c r="CL144" s="1689">
        <f t="shared" si="269"/>
        <v>571.62</v>
      </c>
      <c r="CM144" s="1689">
        <f t="shared" si="270"/>
        <v>0</v>
      </c>
      <c r="CN144" s="496">
        <f t="shared" si="271"/>
        <v>0</v>
      </c>
      <c r="CO144" s="497">
        <v>0</v>
      </c>
      <c r="CP144" s="496">
        <f t="shared" si="272"/>
        <v>0</v>
      </c>
      <c r="CQ144" s="496">
        <f t="shared" si="273"/>
        <v>4125.92</v>
      </c>
      <c r="CR144" s="496">
        <f t="shared" si="274"/>
        <v>5269.16</v>
      </c>
      <c r="CS144" s="496">
        <f t="shared" si="275"/>
        <v>107.72</v>
      </c>
      <c r="CT144" s="496">
        <f t="shared" si="276"/>
        <v>6255</v>
      </c>
      <c r="CU144" s="470"/>
      <c r="CV144" s="470"/>
      <c r="CW144" s="470"/>
      <c r="CX144" s="470"/>
      <c r="CY144" s="1149" t="s">
        <v>7066</v>
      </c>
      <c r="CZ144" s="1149" t="s">
        <v>7121</v>
      </c>
      <c r="DA144" s="1152"/>
      <c r="DB144" s="1152" t="s">
        <v>6216</v>
      </c>
      <c r="DC144" s="1152" t="s">
        <v>7546</v>
      </c>
      <c r="DD144" s="1152" t="s">
        <v>6137</v>
      </c>
      <c r="DE144" s="1152" t="s">
        <v>6217</v>
      </c>
      <c r="DF144" s="1152" t="s">
        <v>6218</v>
      </c>
      <c r="DG144" s="1152"/>
      <c r="DH144" s="512"/>
      <c r="DI144" s="512"/>
      <c r="DJ144" s="470"/>
      <c r="DK144" s="470"/>
      <c r="DL144" s="470"/>
      <c r="DN144" s="471" t="str">
        <f>VLOOKUP(X144,Hoja1!$A$4:$B$10,2,0)</f>
        <v>TÉCNICO SUPERIOR UNIVERSITARIO</v>
      </c>
      <c r="DO144" s="471" t="str">
        <f>VLOOKUP(S144,Hoja1!$D$4:$F$77,3,0)</f>
        <v>TII - VII</v>
      </c>
      <c r="DP144" s="1156" t="str">
        <f t="shared" si="277"/>
        <v>0</v>
      </c>
      <c r="DQ144" s="1484">
        <f>IF(T144&lt;&gt;"0",(ROUND(IF(A144="EMPLEADO",eval_formula('CONCEPTOS Y PARAMETROS'!$C$8,NOMINA!V144,AU144+BF144,NOMINA!I144+NOMINA!J144),eval_formula('CONCEPTOS Y PARAMETROS'!$D$8,NOMINA!V144,AU144+BF144,NOMINA!I144+NOMINA!J144)),2))*IF(H144&lt;&gt;"",IF(MONTH(H144)=$BR$8,IF(YEAR(H144)&lt;$BT$7,1,0),0)))</f>
        <v>4125.92</v>
      </c>
      <c r="DR144" s="1801" t="str">
        <f t="shared" si="278"/>
        <v>F</v>
      </c>
      <c r="DS144" s="1801"/>
    </row>
    <row r="145" spans="1:123" s="471" customFormat="1" ht="21.95" customHeight="1" x14ac:dyDescent="0.2">
      <c r="A145" s="508" t="s">
        <v>2846</v>
      </c>
      <c r="B145" s="1314">
        <f t="shared" ca="1" si="347"/>
        <v>102</v>
      </c>
      <c r="C145" s="1148">
        <v>14329448</v>
      </c>
      <c r="D145" s="1149" t="s">
        <v>4784</v>
      </c>
      <c r="E145" s="1135" t="s">
        <v>4622</v>
      </c>
      <c r="F145" s="1150">
        <v>29370</v>
      </c>
      <c r="G145" s="1135" t="s">
        <v>4620</v>
      </c>
      <c r="H145" s="1150">
        <v>44743</v>
      </c>
      <c r="I145" s="1140">
        <f t="shared" si="261"/>
        <v>3</v>
      </c>
      <c r="J145" s="1132">
        <v>0</v>
      </c>
      <c r="K145" s="1140">
        <f t="shared" si="279"/>
        <v>3</v>
      </c>
      <c r="L145" s="1145" t="s">
        <v>5526</v>
      </c>
      <c r="M145" s="1132"/>
      <c r="N145" s="1132"/>
      <c r="O145" s="1002" t="s">
        <v>5224</v>
      </c>
      <c r="P145" s="1132" t="s">
        <v>5348</v>
      </c>
      <c r="Q145" s="1315" t="str">
        <f>IFERROR(VLOOKUP(O145,CARGOS!A:E,2,0),"")</f>
        <v>79521</v>
      </c>
      <c r="R145" s="1327" t="s">
        <v>5224</v>
      </c>
      <c r="S145" s="1146" t="s">
        <v>5467</v>
      </c>
      <c r="T145" s="1107">
        <f>IFERROR(VLOOKUP(S145,'TAB EMP'!A:B,2,0),0)</f>
        <v>277</v>
      </c>
      <c r="U145" s="1108">
        <v>0</v>
      </c>
      <c r="V145" s="1107">
        <f t="shared" si="290"/>
        <v>277</v>
      </c>
      <c r="W145" s="1108">
        <f t="shared" si="291"/>
        <v>138.5</v>
      </c>
      <c r="X145" s="1135" t="s">
        <v>2885</v>
      </c>
      <c r="Y145" s="1135"/>
      <c r="Z145" s="1135">
        <v>1</v>
      </c>
      <c r="AA145" s="1107">
        <f>ROUND(IF(H145&lt;&gt;"",VLOOKUP(SUM(I145+J145),'CONCEPTOS Y PARAMETROS'!F:G,2,0)*V145,0),2)</f>
        <v>8.31</v>
      </c>
      <c r="AB145" s="1107">
        <f>IF(S145&lt;&gt;"",IF(M145="",'CONCEPTOS Y PARAMETROS'!$C$4,0),0)</f>
        <v>130</v>
      </c>
      <c r="AC145" s="1107">
        <f>IF(S145&lt;&gt;"",IF(M145="",'CONCEPTOS Y PARAMETROS'!$C$7*Z145,0),0)</f>
        <v>12.5</v>
      </c>
      <c r="AD145" s="1107">
        <f>IFERROR(ROUND(VLOOKUP($X145,'CONCEPTOS Y PARAMETROS'!H:I,2,0)*($V145+AA145+AB145+AC145),2),0)</f>
        <v>106.95</v>
      </c>
      <c r="AE145" s="1107">
        <f t="shared" si="287"/>
        <v>257.76</v>
      </c>
      <c r="AF145" s="1107">
        <f t="shared" si="292"/>
        <v>4.16</v>
      </c>
      <c r="AG145" s="1107">
        <f t="shared" si="293"/>
        <v>4.1500000000000004</v>
      </c>
      <c r="AH145" s="1107">
        <f t="shared" si="294"/>
        <v>65</v>
      </c>
      <c r="AI145" s="1107">
        <f t="shared" si="295"/>
        <v>65</v>
      </c>
      <c r="AJ145" s="1107">
        <f t="shared" si="296"/>
        <v>53.48</v>
      </c>
      <c r="AK145" s="1107">
        <f t="shared" si="297"/>
        <v>53.47</v>
      </c>
      <c r="AL145" s="1108">
        <f t="shared" si="298"/>
        <v>135.13999999999999</v>
      </c>
      <c r="AM145" s="1108">
        <f t="shared" si="299"/>
        <v>122.62</v>
      </c>
      <c r="AN145" s="990">
        <v>0</v>
      </c>
      <c r="AO145" s="1147">
        <f>'CONCEPTOS Y PARAMETROS'!$C$18*AN145</f>
        <v>0</v>
      </c>
      <c r="AP145" s="990">
        <v>0</v>
      </c>
      <c r="AQ145" s="1147">
        <f>'CONCEPTOS Y PARAMETROS'!$C$21*AP145</f>
        <v>0</v>
      </c>
      <c r="AR145" s="1318">
        <v>0</v>
      </c>
      <c r="AS145" s="1318">
        <v>0</v>
      </c>
      <c r="AT145" s="1318">
        <f t="shared" si="288"/>
        <v>0</v>
      </c>
      <c r="AU145" s="1108">
        <f t="shared" si="280"/>
        <v>534.76</v>
      </c>
      <c r="AV145" s="1133">
        <v>0</v>
      </c>
      <c r="AW145" s="1108">
        <f t="shared" si="352"/>
        <v>0</v>
      </c>
      <c r="AX145" s="1107">
        <f>IF(T145&lt;&gt;"0",(ROUND(IF(A145="EMPLEADO",eval_formula('CONCEPTOS Y PARAMETROS'!$C$8,NOMINA!V145,NOMINA!$AU145,NOMINA!I145+NOMINA!J145),eval_formula('CONCEPTOS Y PARAMETROS'!$D$8,NOMINA!V145,NOMINA!$AU145,NOMINA!I145+NOMINA!J145)),2))*IF(H145&lt;&gt;"",IF(MONTH(H145)=$BR$8,IF(YEAR(H145)&lt;$BT$7,1,0),0)))</f>
        <v>0</v>
      </c>
      <c r="AY145" s="1108">
        <v>180</v>
      </c>
      <c r="AZ145" s="1107">
        <f>IFERROR(VLOOKUP(AY145,'CONCEPTOS Y PARAMETROS'!Y:Z,2,0),0)</f>
        <v>150</v>
      </c>
      <c r="BA145" s="1107">
        <f t="shared" si="300"/>
        <v>4010.7</v>
      </c>
      <c r="BB145" s="1107">
        <f t="shared" si="353"/>
        <v>0</v>
      </c>
      <c r="BC145" s="990">
        <v>0</v>
      </c>
      <c r="BD145" s="1107" t="str">
        <f t="shared" si="281"/>
        <v>0</v>
      </c>
      <c r="BE145" s="990">
        <v>0</v>
      </c>
      <c r="BF145" s="1107">
        <f t="shared" si="329"/>
        <v>0</v>
      </c>
      <c r="BG145" s="1108">
        <v>320</v>
      </c>
      <c r="BH145" s="1108">
        <v>0</v>
      </c>
      <c r="BI145" s="1132">
        <v>0</v>
      </c>
      <c r="BJ145" s="1108">
        <v>12.5</v>
      </c>
      <c r="BK145" s="1108">
        <v>0</v>
      </c>
      <c r="BL145" s="1107">
        <f t="shared" si="324"/>
        <v>24.68</v>
      </c>
      <c r="BM145" s="1107">
        <f t="shared" si="325"/>
        <v>3.09</v>
      </c>
      <c r="BN145" s="1107">
        <f t="shared" si="262"/>
        <v>5.35</v>
      </c>
      <c r="BO145" s="1107">
        <v>0</v>
      </c>
      <c r="BP145" s="1107">
        <v>0</v>
      </c>
      <c r="BQ145" s="1320">
        <f t="shared" si="301"/>
        <v>33.119999999999997</v>
      </c>
      <c r="BR145" s="1107">
        <f t="shared" si="326"/>
        <v>55.53</v>
      </c>
      <c r="BS145" s="1107">
        <f t="shared" si="327"/>
        <v>12.34</v>
      </c>
      <c r="BT145" s="1107">
        <f t="shared" si="263"/>
        <v>10.7</v>
      </c>
      <c r="BU145" s="1107">
        <v>0</v>
      </c>
      <c r="BV145" s="1108">
        <f t="shared" si="302"/>
        <v>78.569999999999993</v>
      </c>
      <c r="BW145" s="1112">
        <f t="shared" si="303"/>
        <v>111.69</v>
      </c>
      <c r="BX145" s="1112">
        <f t="shared" si="328"/>
        <v>1002.68</v>
      </c>
      <c r="BY145" s="1108">
        <v>0</v>
      </c>
      <c r="BZ145" s="1108">
        <f t="shared" si="282"/>
        <v>1002.68</v>
      </c>
      <c r="CA145" s="1321">
        <f>'CONCEPTOS Y PARAMETROS'!$A$102</f>
        <v>6255</v>
      </c>
      <c r="CB145" s="1112">
        <f t="shared" si="264"/>
        <v>240.51999999999998</v>
      </c>
      <c r="CC145" s="1113">
        <f t="shared" si="265"/>
        <v>593.62</v>
      </c>
      <c r="CD145" s="512"/>
      <c r="CE145" s="512"/>
      <c r="CF145" s="470">
        <f t="shared" si="266"/>
        <v>901.12</v>
      </c>
      <c r="CG145" s="495">
        <f t="shared" si="283"/>
        <v>240.51999999999998</v>
      </c>
      <c r="CH145" s="498">
        <f t="shared" si="267"/>
        <v>12.5</v>
      </c>
      <c r="CI145" s="1490">
        <f t="shared" si="284"/>
        <v>320</v>
      </c>
      <c r="CJ145" s="1500">
        <v>1</v>
      </c>
      <c r="CK145" s="495">
        <f t="shared" si="268"/>
        <v>581.12</v>
      </c>
      <c r="CL145" s="1689">
        <f t="shared" si="269"/>
        <v>581.12</v>
      </c>
      <c r="CM145" s="1689">
        <f t="shared" si="270"/>
        <v>0</v>
      </c>
      <c r="CN145" s="496">
        <f t="shared" si="271"/>
        <v>0</v>
      </c>
      <c r="CO145" s="497">
        <v>0</v>
      </c>
      <c r="CP145" s="496">
        <f t="shared" si="272"/>
        <v>0</v>
      </c>
      <c r="CQ145" s="496">
        <f t="shared" si="273"/>
        <v>0</v>
      </c>
      <c r="CR145" s="496">
        <f t="shared" si="274"/>
        <v>1162.24</v>
      </c>
      <c r="CS145" s="496">
        <f t="shared" si="275"/>
        <v>111.69</v>
      </c>
      <c r="CT145" s="496">
        <f t="shared" si="276"/>
        <v>6255</v>
      </c>
      <c r="CU145" s="470"/>
      <c r="CV145" s="470"/>
      <c r="CW145" s="470"/>
      <c r="CX145" s="470"/>
      <c r="CY145" s="1149" t="s">
        <v>6963</v>
      </c>
      <c r="CZ145" s="1149" t="s">
        <v>7122</v>
      </c>
      <c r="DA145" s="1152"/>
      <c r="DB145" s="1642" t="s">
        <v>6332</v>
      </c>
      <c r="DC145" s="1642" t="s">
        <v>7387</v>
      </c>
      <c r="DD145" s="1642" t="s">
        <v>6150</v>
      </c>
      <c r="DE145" s="1642" t="s">
        <v>6132</v>
      </c>
      <c r="DF145" s="1644" t="s">
        <v>7388</v>
      </c>
      <c r="DG145" s="1643" t="s">
        <v>7389</v>
      </c>
      <c r="DH145" s="512"/>
      <c r="DI145" s="512"/>
      <c r="DJ145" s="470"/>
      <c r="DK145" s="470"/>
      <c r="DL145" s="470"/>
      <c r="DN145" s="471" t="str">
        <f>VLOOKUP(X145,Hoja1!$A$4:$B$10,2,0)</f>
        <v>PROFESIONAL</v>
      </c>
      <c r="DO145" s="471" t="str">
        <f>VLOOKUP(S145,Hoja1!$D$4:$F$77,3,0)</f>
        <v>PII - II</v>
      </c>
      <c r="DP145" s="1156" t="str">
        <f t="shared" si="277"/>
        <v>0</v>
      </c>
      <c r="DQ145" s="1484">
        <f>IF(T145&lt;&gt;"0",(ROUND(IF(A145="EMPLEADO",eval_formula('CONCEPTOS Y PARAMETROS'!$C$8,NOMINA!V145,AU145+BF145,NOMINA!I145+NOMINA!J145),eval_formula('CONCEPTOS Y PARAMETROS'!$D$8,NOMINA!V145,AU145+BF145,NOMINA!I145+NOMINA!J145)),2))*IF(H145&lt;&gt;"",IF(MONTH(H145)=$BR$8,IF(YEAR(H145)&lt;$BT$7,1,0),0)))</f>
        <v>0</v>
      </c>
      <c r="DR145" s="1801" t="str">
        <f t="shared" si="278"/>
        <v>F</v>
      </c>
      <c r="DS145" s="1801"/>
    </row>
    <row r="146" spans="1:123" s="476" customFormat="1" ht="21.95" customHeight="1" x14ac:dyDescent="0.25">
      <c r="A146" s="508" t="s">
        <v>2846</v>
      </c>
      <c r="B146" s="1314">
        <f t="shared" ca="1" si="347"/>
        <v>103</v>
      </c>
      <c r="C146" s="1148">
        <v>14406240</v>
      </c>
      <c r="D146" s="1149" t="s">
        <v>7246</v>
      </c>
      <c r="E146" s="1135" t="s">
        <v>4622</v>
      </c>
      <c r="F146" s="1150">
        <v>29551</v>
      </c>
      <c r="G146" s="1135" t="s">
        <v>4620</v>
      </c>
      <c r="H146" s="1150">
        <v>43785</v>
      </c>
      <c r="I146" s="1140">
        <f t="shared" si="261"/>
        <v>5</v>
      </c>
      <c r="J146" s="1132">
        <v>11</v>
      </c>
      <c r="K146" s="1140">
        <f t="shared" si="279"/>
        <v>16</v>
      </c>
      <c r="L146" s="1145" t="s">
        <v>5530</v>
      </c>
      <c r="M146" s="1132"/>
      <c r="N146" s="1132"/>
      <c r="O146" s="1002" t="s">
        <v>5250</v>
      </c>
      <c r="P146" s="1132" t="s">
        <v>5349</v>
      </c>
      <c r="Q146" s="1315" t="str">
        <f>IFERROR(VLOOKUP(O146,CARGOS!A:E,2,0),"")</f>
        <v>79342</v>
      </c>
      <c r="R146" s="1327" t="s">
        <v>5250</v>
      </c>
      <c r="S146" s="1146" t="s">
        <v>5461</v>
      </c>
      <c r="T146" s="1107">
        <f>IFERROR(VLOOKUP(S146,'TAB EMP'!A:B,2,0),0)</f>
        <v>226</v>
      </c>
      <c r="U146" s="1108">
        <v>0</v>
      </c>
      <c r="V146" s="1107">
        <f t="shared" si="290"/>
        <v>226</v>
      </c>
      <c r="W146" s="1108">
        <f t="shared" si="291"/>
        <v>113</v>
      </c>
      <c r="X146" s="1135" t="s">
        <v>2885</v>
      </c>
      <c r="Y146" s="1135"/>
      <c r="Z146" s="1135">
        <v>0</v>
      </c>
      <c r="AA146" s="1107">
        <f>ROUND(IF(H146&lt;&gt;"",VLOOKUP(SUM(I146+J146),'CONCEPTOS Y PARAMETROS'!F:G,2,0)*V146,0),2)</f>
        <v>44.3</v>
      </c>
      <c r="AB146" s="1107">
        <f>IF(S146&lt;&gt;"",IF(M146="",'CONCEPTOS Y PARAMETROS'!$C$4,0),0)</f>
        <v>130</v>
      </c>
      <c r="AC146" s="1107">
        <f>IF(S146&lt;&gt;"",IF(M146="",'CONCEPTOS Y PARAMETROS'!$C$7*Z146,0),0)</f>
        <v>0</v>
      </c>
      <c r="AD146" s="1107">
        <f>IFERROR(ROUND(VLOOKUP($X146,'CONCEPTOS Y PARAMETROS'!H:I,2,0)*($V146+AA146+AB146+AC146),2),0)</f>
        <v>100.08</v>
      </c>
      <c r="AE146" s="1107">
        <f t="shared" si="287"/>
        <v>274.38</v>
      </c>
      <c r="AF146" s="1107">
        <f t="shared" si="292"/>
        <v>22.15</v>
      </c>
      <c r="AG146" s="1107">
        <f t="shared" si="293"/>
        <v>22.15</v>
      </c>
      <c r="AH146" s="1107">
        <f t="shared" si="294"/>
        <v>65</v>
      </c>
      <c r="AI146" s="1107">
        <f t="shared" si="295"/>
        <v>65</v>
      </c>
      <c r="AJ146" s="1107">
        <f t="shared" si="296"/>
        <v>50.04</v>
      </c>
      <c r="AK146" s="1107">
        <f t="shared" si="297"/>
        <v>50.04</v>
      </c>
      <c r="AL146" s="1108">
        <f t="shared" si="298"/>
        <v>137.19</v>
      </c>
      <c r="AM146" s="1108">
        <f t="shared" si="299"/>
        <v>137.19</v>
      </c>
      <c r="AN146" s="990">
        <v>0</v>
      </c>
      <c r="AO146" s="1147">
        <f>'CONCEPTOS Y PARAMETROS'!$C$18*AN146</f>
        <v>0</v>
      </c>
      <c r="AP146" s="990">
        <v>0</v>
      </c>
      <c r="AQ146" s="1147">
        <f>'CONCEPTOS Y PARAMETROS'!$C$21*AP146</f>
        <v>0</v>
      </c>
      <c r="AR146" s="1318">
        <v>0</v>
      </c>
      <c r="AS146" s="1318">
        <v>0</v>
      </c>
      <c r="AT146" s="1318">
        <f t="shared" ref="AT146:AT168" si="355">+AO146+AQ146+AR146+AS146</f>
        <v>0</v>
      </c>
      <c r="AU146" s="1108">
        <f t="shared" si="280"/>
        <v>500.38</v>
      </c>
      <c r="AV146" s="1133">
        <v>0</v>
      </c>
      <c r="AW146" s="1108">
        <f t="shared" si="352"/>
        <v>0</v>
      </c>
      <c r="AX146" s="1107">
        <f>IF(T146&lt;&gt;"0",(ROUND(IF(A146="EMPLEADO",eval_formula('CONCEPTOS Y PARAMETROS'!$C$8,NOMINA!V146,NOMINA!$AU146,NOMINA!I146+NOMINA!J146),eval_formula('CONCEPTOS Y PARAMETROS'!$D$8,NOMINA!V146,NOMINA!$AU146,NOMINA!I146+NOMINA!J146)),2))*IF(H146&lt;&gt;"",IF(MONTH(H146)=$BR$8,IF(YEAR(H146)&lt;$BT$7,1,0),0)))</f>
        <v>0</v>
      </c>
      <c r="AY146" s="1108">
        <v>180</v>
      </c>
      <c r="AZ146" s="1107">
        <f>IFERROR(VLOOKUP(AY146,'CONCEPTOS Y PARAMETROS'!Y:Z,2,0),0)</f>
        <v>150</v>
      </c>
      <c r="BA146" s="1107">
        <f t="shared" si="300"/>
        <v>3752.85</v>
      </c>
      <c r="BB146" s="1107">
        <f t="shared" si="353"/>
        <v>0</v>
      </c>
      <c r="BC146" s="990">
        <v>0</v>
      </c>
      <c r="BD146" s="1107" t="str">
        <f t="shared" si="281"/>
        <v>0</v>
      </c>
      <c r="BE146" s="990">
        <v>0</v>
      </c>
      <c r="BF146" s="1107">
        <f t="shared" si="329"/>
        <v>0</v>
      </c>
      <c r="BG146" s="1108">
        <v>320</v>
      </c>
      <c r="BH146" s="1108">
        <v>0</v>
      </c>
      <c r="BI146" s="1132">
        <v>0</v>
      </c>
      <c r="BJ146" s="1108">
        <v>12.5</v>
      </c>
      <c r="BK146" s="1108">
        <v>0</v>
      </c>
      <c r="BL146" s="1107">
        <f t="shared" si="324"/>
        <v>23.09</v>
      </c>
      <c r="BM146" s="1107">
        <f t="shared" si="325"/>
        <v>2.89</v>
      </c>
      <c r="BN146" s="1107">
        <f t="shared" si="262"/>
        <v>5</v>
      </c>
      <c r="BO146" s="1107">
        <v>0</v>
      </c>
      <c r="BP146" s="1107">
        <v>0</v>
      </c>
      <c r="BQ146" s="1320">
        <f t="shared" si="301"/>
        <v>30.98</v>
      </c>
      <c r="BR146" s="1107">
        <f t="shared" si="326"/>
        <v>51.96</v>
      </c>
      <c r="BS146" s="1107">
        <f t="shared" si="327"/>
        <v>11.55</v>
      </c>
      <c r="BT146" s="1107">
        <f t="shared" si="263"/>
        <v>10</v>
      </c>
      <c r="BU146" s="1107">
        <v>0</v>
      </c>
      <c r="BV146" s="1108">
        <f t="shared" si="302"/>
        <v>73.510000000000005</v>
      </c>
      <c r="BW146" s="1112">
        <f t="shared" si="303"/>
        <v>104.49000000000001</v>
      </c>
      <c r="BX146" s="1112">
        <f t="shared" si="328"/>
        <v>938.21</v>
      </c>
      <c r="BY146" s="1108">
        <v>0</v>
      </c>
      <c r="BZ146" s="1108">
        <f t="shared" si="282"/>
        <v>938.21</v>
      </c>
      <c r="CA146" s="1321">
        <f>'CONCEPTOS Y PARAMETROS'!$A$102</f>
        <v>6255</v>
      </c>
      <c r="CB146" s="1112">
        <f t="shared" si="264"/>
        <v>219.21</v>
      </c>
      <c r="CC146" s="1113">
        <f t="shared" si="265"/>
        <v>582.69000000000005</v>
      </c>
      <c r="CD146" s="512"/>
      <c r="CE146" s="512"/>
      <c r="CF146" s="470">
        <f t="shared" si="266"/>
        <v>890.19</v>
      </c>
      <c r="CG146" s="509">
        <f t="shared" si="283"/>
        <v>219.21</v>
      </c>
      <c r="CH146" s="1603">
        <f t="shared" si="267"/>
        <v>12.5</v>
      </c>
      <c r="CI146" s="1491">
        <f t="shared" si="284"/>
        <v>320</v>
      </c>
      <c r="CJ146" s="1502">
        <v>1</v>
      </c>
      <c r="CK146" s="509">
        <f t="shared" si="268"/>
        <v>570.19000000000005</v>
      </c>
      <c r="CL146" s="1689">
        <f t="shared" si="269"/>
        <v>570.19000000000005</v>
      </c>
      <c r="CM146" s="1689">
        <f t="shared" si="270"/>
        <v>0</v>
      </c>
      <c r="CN146" s="510">
        <f t="shared" si="271"/>
        <v>0</v>
      </c>
      <c r="CO146" s="511">
        <v>0</v>
      </c>
      <c r="CP146" s="510">
        <f t="shared" si="272"/>
        <v>0</v>
      </c>
      <c r="CQ146" s="510">
        <f t="shared" si="273"/>
        <v>0</v>
      </c>
      <c r="CR146" s="510">
        <f t="shared" si="274"/>
        <v>1140.3800000000001</v>
      </c>
      <c r="CS146" s="510">
        <f t="shared" si="275"/>
        <v>104.49000000000001</v>
      </c>
      <c r="CT146" s="510">
        <f t="shared" si="276"/>
        <v>6255</v>
      </c>
      <c r="CU146" s="512"/>
      <c r="CV146" s="512"/>
      <c r="CW146" s="512"/>
      <c r="CX146" s="512"/>
      <c r="CY146" s="1149" t="s">
        <v>6853</v>
      </c>
      <c r="CZ146" s="1149" t="s">
        <v>6854</v>
      </c>
      <c r="DA146" s="1152"/>
      <c r="DB146" s="1642" t="s">
        <v>6561</v>
      </c>
      <c r="DC146" s="1642"/>
      <c r="DD146" s="1642" t="s">
        <v>6135</v>
      </c>
      <c r="DE146" s="1642" t="s">
        <v>6162</v>
      </c>
      <c r="DF146" s="1642" t="s">
        <v>6545</v>
      </c>
      <c r="DG146" s="1642"/>
      <c r="DH146" s="512"/>
      <c r="DI146" s="512"/>
      <c r="DJ146" s="512"/>
      <c r="DK146" s="512"/>
      <c r="DL146" s="512"/>
      <c r="DN146" s="476" t="str">
        <f>VLOOKUP(X146,Hoja1!$A$4:$B$10,2,0)</f>
        <v>PROFESIONAL</v>
      </c>
      <c r="DO146" s="476" t="str">
        <f>VLOOKUP(S146,Hoja1!$D$4:$F$77,3,0)</f>
        <v>TII - VI</v>
      </c>
      <c r="DP146" s="1594" t="str">
        <f t="shared" si="277"/>
        <v>0</v>
      </c>
      <c r="DQ146" s="1484">
        <f>IF(T146&lt;&gt;"0",(ROUND(IF(A146="EMPLEADO",eval_formula('CONCEPTOS Y PARAMETROS'!$C$8,NOMINA!V146,AU146+BF146,NOMINA!I146+NOMINA!J146),eval_formula('CONCEPTOS Y PARAMETROS'!$D$8,NOMINA!V146,AU146+BF146,NOMINA!I146+NOMINA!J146)),2))*IF(H146&lt;&gt;"",IF(MONTH(H146)=$BR$8,IF(YEAR(H146)&lt;$BT$7,1,0),0)))</f>
        <v>0</v>
      </c>
      <c r="DR146" s="1799" t="str">
        <f t="shared" si="278"/>
        <v>F</v>
      </c>
      <c r="DS146" s="1799"/>
    </row>
    <row r="147" spans="1:123" s="476" customFormat="1" ht="21.95" customHeight="1" x14ac:dyDescent="0.25">
      <c r="A147" s="508" t="s">
        <v>2846</v>
      </c>
      <c r="B147" s="1314">
        <f t="shared" ca="1" si="347"/>
        <v>104</v>
      </c>
      <c r="C147" s="1148">
        <v>14459607</v>
      </c>
      <c r="D147" s="1149" t="s">
        <v>4787</v>
      </c>
      <c r="E147" s="1135" t="s">
        <v>4622</v>
      </c>
      <c r="F147" s="1150">
        <v>29024</v>
      </c>
      <c r="G147" s="1135" t="s">
        <v>4620</v>
      </c>
      <c r="H147" s="1150">
        <v>43116</v>
      </c>
      <c r="I147" s="1140">
        <f t="shared" si="261"/>
        <v>7</v>
      </c>
      <c r="J147" s="1132">
        <v>0</v>
      </c>
      <c r="K147" s="1140">
        <f t="shared" si="279"/>
        <v>7</v>
      </c>
      <c r="L147" s="1145" t="s">
        <v>5548</v>
      </c>
      <c r="M147" s="1132"/>
      <c r="N147" s="1132"/>
      <c r="O147" s="1002" t="s">
        <v>5250</v>
      </c>
      <c r="P147" s="1132" t="s">
        <v>5350</v>
      </c>
      <c r="Q147" s="1315" t="str">
        <f>IFERROR(VLOOKUP(O147,CARGOS!A:E,2,0),"")</f>
        <v>79342</v>
      </c>
      <c r="R147" s="1327" t="s">
        <v>5250</v>
      </c>
      <c r="S147" s="1146" t="s">
        <v>5478</v>
      </c>
      <c r="T147" s="1107">
        <f>IFERROR(VLOOKUP(S147,'TAB EMP'!A:B,2,0),0)</f>
        <v>221</v>
      </c>
      <c r="U147" s="1108">
        <v>0</v>
      </c>
      <c r="V147" s="1107">
        <f t="shared" si="290"/>
        <v>221</v>
      </c>
      <c r="W147" s="1108">
        <f t="shared" si="291"/>
        <v>110.5</v>
      </c>
      <c r="X147" s="1135" t="s">
        <v>2844</v>
      </c>
      <c r="Y147" s="1135"/>
      <c r="Z147" s="1135">
        <v>2</v>
      </c>
      <c r="AA147" s="1107">
        <f>ROUND(IF(H147&lt;&gt;"",VLOOKUP(SUM(I147+J147),'CONCEPTOS Y PARAMETROS'!F:G,2,0)*V147,0),2)</f>
        <v>16.350000000000001</v>
      </c>
      <c r="AB147" s="1107">
        <f>IF(S147&lt;&gt;"",IF(M147="",'CONCEPTOS Y PARAMETROS'!$C$4,0),0)</f>
        <v>130</v>
      </c>
      <c r="AC147" s="1107">
        <f>IF(S147&lt;&gt;"",IF(M147="",'CONCEPTOS Y PARAMETROS'!$C$7*Z147,0),0)</f>
        <v>25</v>
      </c>
      <c r="AD147" s="1107">
        <f>IFERROR(ROUND(VLOOKUP($X147,'CONCEPTOS Y PARAMETROS'!H:I,2,0)*($V147+AA147+AB147+AC147),2),0)</f>
        <v>78.47</v>
      </c>
      <c r="AE147" s="1107">
        <f t="shared" si="287"/>
        <v>249.82</v>
      </c>
      <c r="AF147" s="1107">
        <f t="shared" si="292"/>
        <v>8.18</v>
      </c>
      <c r="AG147" s="1107">
        <f t="shared" si="293"/>
        <v>8.17</v>
      </c>
      <c r="AH147" s="1107">
        <f t="shared" si="294"/>
        <v>65</v>
      </c>
      <c r="AI147" s="1107">
        <f t="shared" si="295"/>
        <v>65</v>
      </c>
      <c r="AJ147" s="1107">
        <f t="shared" si="296"/>
        <v>39.24</v>
      </c>
      <c r="AK147" s="1107">
        <f t="shared" si="297"/>
        <v>39.229999999999997</v>
      </c>
      <c r="AL147" s="1108">
        <f t="shared" si="298"/>
        <v>137.41999999999999</v>
      </c>
      <c r="AM147" s="1108">
        <f t="shared" si="299"/>
        <v>112.4</v>
      </c>
      <c r="AN147" s="990">
        <v>2</v>
      </c>
      <c r="AO147" s="1147">
        <f>'CONCEPTOS Y PARAMETROS'!$C$18*AN147</f>
        <v>25</v>
      </c>
      <c r="AP147" s="990">
        <v>0</v>
      </c>
      <c r="AQ147" s="1147">
        <f>'CONCEPTOS Y PARAMETROS'!$C$21*AP147</f>
        <v>0</v>
      </c>
      <c r="AR147" s="1318">
        <v>0</v>
      </c>
      <c r="AS147" s="1318">
        <v>0</v>
      </c>
      <c r="AT147" s="1318">
        <f t="shared" si="355"/>
        <v>25</v>
      </c>
      <c r="AU147" s="1108">
        <f t="shared" si="280"/>
        <v>470.82</v>
      </c>
      <c r="AV147" s="1133">
        <v>0</v>
      </c>
      <c r="AW147" s="1108">
        <f t="shared" si="352"/>
        <v>0</v>
      </c>
      <c r="AX147" s="1107">
        <f>IF(T147&lt;&gt;"0",(ROUND(IF(A147="EMPLEADO",eval_formula('CONCEPTOS Y PARAMETROS'!$C$8,NOMINA!V147,NOMINA!$AU147,NOMINA!I147+NOMINA!J147),eval_formula('CONCEPTOS Y PARAMETROS'!$D$8,NOMINA!V147,NOMINA!$AU147,NOMINA!I147+NOMINA!J147)),2))*IF(H147&lt;&gt;"",IF(MONTH(H147)=$BR$8,IF(YEAR(H147)&lt;$BT$7,1,0),0)))</f>
        <v>0</v>
      </c>
      <c r="AY147" s="1108">
        <v>180</v>
      </c>
      <c r="AZ147" s="1107">
        <f>IFERROR(VLOOKUP(AY147,'CONCEPTOS Y PARAMETROS'!Y:Z,2,0),0)</f>
        <v>150</v>
      </c>
      <c r="BA147" s="1107">
        <f t="shared" si="300"/>
        <v>3531.15</v>
      </c>
      <c r="BB147" s="1107">
        <f t="shared" si="353"/>
        <v>0</v>
      </c>
      <c r="BC147" s="990">
        <v>0</v>
      </c>
      <c r="BD147" s="1107" t="str">
        <f t="shared" si="281"/>
        <v>0</v>
      </c>
      <c r="BE147" s="990">
        <v>0</v>
      </c>
      <c r="BF147" s="1107">
        <f t="shared" si="329"/>
        <v>0</v>
      </c>
      <c r="BG147" s="1108">
        <v>320</v>
      </c>
      <c r="BH147" s="1108">
        <v>0</v>
      </c>
      <c r="BI147" s="1132">
        <v>0</v>
      </c>
      <c r="BJ147" s="1108">
        <v>12.5</v>
      </c>
      <c r="BK147" s="1108">
        <v>0</v>
      </c>
      <c r="BL147" s="1107">
        <f t="shared" si="324"/>
        <v>21.73</v>
      </c>
      <c r="BM147" s="1107">
        <f t="shared" si="325"/>
        <v>2.72</v>
      </c>
      <c r="BN147" s="1107">
        <f t="shared" si="262"/>
        <v>4.71</v>
      </c>
      <c r="BO147" s="1107">
        <v>0</v>
      </c>
      <c r="BP147" s="1107">
        <v>0</v>
      </c>
      <c r="BQ147" s="1320">
        <f t="shared" si="301"/>
        <v>29.16</v>
      </c>
      <c r="BR147" s="1107">
        <f t="shared" si="326"/>
        <v>48.89</v>
      </c>
      <c r="BS147" s="1107">
        <f t="shared" si="327"/>
        <v>10.87</v>
      </c>
      <c r="BT147" s="1107">
        <f t="shared" si="263"/>
        <v>9.42</v>
      </c>
      <c r="BU147" s="1107">
        <v>0</v>
      </c>
      <c r="BV147" s="1108">
        <f t="shared" si="302"/>
        <v>69.180000000000007</v>
      </c>
      <c r="BW147" s="1112">
        <f t="shared" si="303"/>
        <v>98.34</v>
      </c>
      <c r="BX147" s="1112">
        <f t="shared" si="328"/>
        <v>882.79</v>
      </c>
      <c r="BY147" s="1108">
        <v>0</v>
      </c>
      <c r="BZ147" s="1108">
        <f t="shared" si="282"/>
        <v>882.79</v>
      </c>
      <c r="CA147" s="1321">
        <f>'CONCEPTOS Y PARAMETROS'!$A$102</f>
        <v>6255</v>
      </c>
      <c r="CB147" s="1112">
        <f t="shared" si="264"/>
        <v>218.76</v>
      </c>
      <c r="CC147" s="1113">
        <f t="shared" si="265"/>
        <v>580.4</v>
      </c>
      <c r="CD147" s="512"/>
      <c r="CE147" s="512"/>
      <c r="CF147" s="470">
        <f t="shared" si="266"/>
        <v>862.9</v>
      </c>
      <c r="CG147" s="509">
        <f t="shared" si="283"/>
        <v>218.76</v>
      </c>
      <c r="CH147" s="1603">
        <f t="shared" si="267"/>
        <v>37.5</v>
      </c>
      <c r="CI147" s="1491">
        <f t="shared" si="284"/>
        <v>320</v>
      </c>
      <c r="CJ147" s="1502">
        <v>1</v>
      </c>
      <c r="CK147" s="509">
        <f t="shared" si="268"/>
        <v>542.9</v>
      </c>
      <c r="CL147" s="1689">
        <f t="shared" si="269"/>
        <v>542.9</v>
      </c>
      <c r="CM147" s="1689">
        <f t="shared" si="270"/>
        <v>0</v>
      </c>
      <c r="CN147" s="510">
        <f t="shared" si="271"/>
        <v>0</v>
      </c>
      <c r="CO147" s="511">
        <v>0</v>
      </c>
      <c r="CP147" s="510">
        <f t="shared" si="272"/>
        <v>0</v>
      </c>
      <c r="CQ147" s="510">
        <f t="shared" si="273"/>
        <v>0</v>
      </c>
      <c r="CR147" s="510">
        <f t="shared" si="274"/>
        <v>1085.8</v>
      </c>
      <c r="CS147" s="510">
        <f t="shared" si="275"/>
        <v>98.34</v>
      </c>
      <c r="CT147" s="510">
        <f t="shared" si="276"/>
        <v>6255</v>
      </c>
      <c r="CU147" s="512"/>
      <c r="CV147" s="512"/>
      <c r="CW147" s="512"/>
      <c r="CX147" s="512"/>
      <c r="CY147" s="1149" t="s">
        <v>6855</v>
      </c>
      <c r="CZ147" s="1149" t="s">
        <v>7123</v>
      </c>
      <c r="DA147" s="1152"/>
      <c r="DB147" s="1642" t="s">
        <v>6219</v>
      </c>
      <c r="DC147" s="1642"/>
      <c r="DD147" s="1642" t="s">
        <v>6158</v>
      </c>
      <c r="DE147" s="1642" t="s">
        <v>6247</v>
      </c>
      <c r="DF147" s="1642" t="s">
        <v>6533</v>
      </c>
      <c r="DG147" s="1152"/>
      <c r="DH147" s="512"/>
      <c r="DI147" s="512"/>
      <c r="DJ147" s="512"/>
      <c r="DK147" s="512"/>
      <c r="DL147" s="512"/>
      <c r="DN147" s="476" t="str">
        <f>VLOOKUP(X147,Hoja1!$A$4:$B$10,2,0)</f>
        <v>TÉCNICO SUPERIOR UNIVERSITARIO</v>
      </c>
      <c r="DO147" s="476" t="str">
        <f>VLOOKUP(S147,Hoja1!$D$4:$F$77,3,0)</f>
        <v>TII - III</v>
      </c>
      <c r="DP147" s="1594" t="str">
        <f t="shared" si="277"/>
        <v>0</v>
      </c>
      <c r="DQ147" s="1484">
        <f>IF(T147&lt;&gt;"0",(ROUND(IF(A147="EMPLEADO",eval_formula('CONCEPTOS Y PARAMETROS'!$C$8,NOMINA!V147,AU147+BF147,NOMINA!I147+NOMINA!J147),eval_formula('CONCEPTOS Y PARAMETROS'!$D$8,NOMINA!V147,AU147+BF147,NOMINA!I147+NOMINA!J147)),2))*IF(H147&lt;&gt;"",IF(MONTH(H147)=$BR$8,IF(YEAR(H147)&lt;$BT$7,1,0),0)))</f>
        <v>0</v>
      </c>
      <c r="DR147" s="1799" t="str">
        <f t="shared" si="278"/>
        <v>F</v>
      </c>
      <c r="DS147" s="1799"/>
    </row>
    <row r="148" spans="1:123" s="476" customFormat="1" ht="21.95" customHeight="1" x14ac:dyDescent="0.25">
      <c r="A148" s="508" t="s">
        <v>2846</v>
      </c>
      <c r="B148" s="1314">
        <f t="shared" ca="1" si="347"/>
        <v>105</v>
      </c>
      <c r="C148" s="1148">
        <v>14598170</v>
      </c>
      <c r="D148" s="1149" t="s">
        <v>4788</v>
      </c>
      <c r="E148" s="1135" t="s">
        <v>4622</v>
      </c>
      <c r="F148" s="1150">
        <v>29373</v>
      </c>
      <c r="G148" s="1135" t="s">
        <v>4621</v>
      </c>
      <c r="H148" s="1150">
        <v>43435</v>
      </c>
      <c r="I148" s="1140">
        <f t="shared" si="261"/>
        <v>6</v>
      </c>
      <c r="J148" s="1132">
        <v>0</v>
      </c>
      <c r="K148" s="1140">
        <f t="shared" si="279"/>
        <v>6</v>
      </c>
      <c r="L148" s="1145" t="s">
        <v>5536</v>
      </c>
      <c r="M148" s="1132"/>
      <c r="N148" s="1132"/>
      <c r="O148" s="1002" t="s">
        <v>5233</v>
      </c>
      <c r="P148" s="1132" t="s">
        <v>5351</v>
      </c>
      <c r="Q148" s="1315" t="str">
        <f>IFERROR(VLOOKUP(O148,CARGOS!A:E,2,0),"")</f>
        <v>79523</v>
      </c>
      <c r="R148" s="1327" t="s">
        <v>5233</v>
      </c>
      <c r="S148" s="1146" t="s">
        <v>5475</v>
      </c>
      <c r="T148" s="1107">
        <f>IFERROR(VLOOKUP(S148,'TAB EMP'!A:B,2,0),0)</f>
        <v>279</v>
      </c>
      <c r="U148" s="1108">
        <v>0</v>
      </c>
      <c r="V148" s="1107">
        <f t="shared" si="290"/>
        <v>279</v>
      </c>
      <c r="W148" s="1108">
        <f t="shared" si="291"/>
        <v>139.5</v>
      </c>
      <c r="X148" s="1135" t="s">
        <v>2885</v>
      </c>
      <c r="Y148" s="1135"/>
      <c r="Z148" s="1135">
        <v>1</v>
      </c>
      <c r="AA148" s="1107">
        <f>ROUND(IF(H148&lt;&gt;"",VLOOKUP(SUM(I148+J148),'CONCEPTOS Y PARAMETROS'!F:G,2,0)*V148,0),2)</f>
        <v>17.3</v>
      </c>
      <c r="AB148" s="1107">
        <f>IF(S148&lt;&gt;"",IF(M148="",'CONCEPTOS Y PARAMETROS'!$C$4,0),0)</f>
        <v>130</v>
      </c>
      <c r="AC148" s="1107">
        <f>IF(S148&lt;&gt;"",IF(M148="",'CONCEPTOS Y PARAMETROS'!$C$7*Z148,0),0)</f>
        <v>12.5</v>
      </c>
      <c r="AD148" s="1107">
        <f>IFERROR(ROUND(VLOOKUP($X148,'CONCEPTOS Y PARAMETROS'!H:I,2,0)*($V148+AA148+AB148+AC148),2),0)</f>
        <v>109.7</v>
      </c>
      <c r="AE148" s="1107">
        <f t="shared" si="287"/>
        <v>269.5</v>
      </c>
      <c r="AF148" s="1107">
        <f t="shared" si="292"/>
        <v>8.65</v>
      </c>
      <c r="AG148" s="1107">
        <f t="shared" si="293"/>
        <v>8.65</v>
      </c>
      <c r="AH148" s="1107">
        <f t="shared" si="294"/>
        <v>65</v>
      </c>
      <c r="AI148" s="1107">
        <f t="shared" si="295"/>
        <v>65</v>
      </c>
      <c r="AJ148" s="1107">
        <f t="shared" si="296"/>
        <v>54.85</v>
      </c>
      <c r="AK148" s="1107">
        <f t="shared" si="297"/>
        <v>54.85</v>
      </c>
      <c r="AL148" s="1108">
        <f t="shared" si="298"/>
        <v>141</v>
      </c>
      <c r="AM148" s="1108">
        <f t="shared" si="299"/>
        <v>128.5</v>
      </c>
      <c r="AN148" s="990">
        <v>0</v>
      </c>
      <c r="AO148" s="1147">
        <f>'CONCEPTOS Y PARAMETROS'!$C$18*AN148</f>
        <v>0</v>
      </c>
      <c r="AP148" s="990">
        <v>0</v>
      </c>
      <c r="AQ148" s="1147">
        <f>'CONCEPTOS Y PARAMETROS'!$C$21*AP148</f>
        <v>0</v>
      </c>
      <c r="AR148" s="1318">
        <v>0</v>
      </c>
      <c r="AS148" s="1318">
        <v>0</v>
      </c>
      <c r="AT148" s="1318">
        <f t="shared" si="355"/>
        <v>0</v>
      </c>
      <c r="AU148" s="1108">
        <f t="shared" si="280"/>
        <v>548.5</v>
      </c>
      <c r="AV148" s="1133">
        <v>0</v>
      </c>
      <c r="AW148" s="1108">
        <f t="shared" si="352"/>
        <v>0</v>
      </c>
      <c r="AX148" s="1107">
        <f>IF(T148&lt;&gt;"0",(ROUND(IF(A148="EMPLEADO",eval_formula('CONCEPTOS Y PARAMETROS'!$C$8,NOMINA!V148,NOMINA!$AU148,NOMINA!I148+NOMINA!J148),eval_formula('CONCEPTOS Y PARAMETROS'!$D$8,NOMINA!V148,NOMINA!$AU148,NOMINA!I148+NOMINA!J148)),2))*IF(H148&lt;&gt;"",IF(MONTH(H148)=$BR$8,IF(YEAR(H148)&lt;$BT$7,1,0),0)))</f>
        <v>0</v>
      </c>
      <c r="AY148" s="1108">
        <v>180</v>
      </c>
      <c r="AZ148" s="1107">
        <f>IFERROR(VLOOKUP(AY148,'CONCEPTOS Y PARAMETROS'!Y:Z,2,0),0)</f>
        <v>150</v>
      </c>
      <c r="BA148" s="1107">
        <f t="shared" si="300"/>
        <v>4113.75</v>
      </c>
      <c r="BB148" s="1107">
        <f t="shared" si="353"/>
        <v>0</v>
      </c>
      <c r="BC148" s="990">
        <v>0</v>
      </c>
      <c r="BD148" s="1107" t="str">
        <f t="shared" si="281"/>
        <v>0</v>
      </c>
      <c r="BE148" s="990">
        <v>0</v>
      </c>
      <c r="BF148" s="1107">
        <f t="shared" si="329"/>
        <v>0</v>
      </c>
      <c r="BG148" s="1108">
        <v>320</v>
      </c>
      <c r="BH148" s="1108">
        <v>0</v>
      </c>
      <c r="BI148" s="1132">
        <v>0</v>
      </c>
      <c r="BJ148" s="1108">
        <v>12.5</v>
      </c>
      <c r="BK148" s="1108">
        <v>0</v>
      </c>
      <c r="BL148" s="1107">
        <f t="shared" si="324"/>
        <v>25.32</v>
      </c>
      <c r="BM148" s="1107">
        <f t="shared" si="325"/>
        <v>3.16</v>
      </c>
      <c r="BN148" s="1107">
        <f t="shared" si="262"/>
        <v>5.49</v>
      </c>
      <c r="BO148" s="1107">
        <v>0</v>
      </c>
      <c r="BP148" s="1107">
        <v>0</v>
      </c>
      <c r="BQ148" s="1320">
        <f t="shared" si="301"/>
        <v>33.97</v>
      </c>
      <c r="BR148" s="1107">
        <f t="shared" si="326"/>
        <v>56.96</v>
      </c>
      <c r="BS148" s="1107">
        <f t="shared" si="327"/>
        <v>12.66</v>
      </c>
      <c r="BT148" s="1107">
        <f t="shared" si="263"/>
        <v>10.98</v>
      </c>
      <c r="BU148" s="1107">
        <v>0</v>
      </c>
      <c r="BV148" s="1108">
        <f t="shared" si="302"/>
        <v>80.599999999999994</v>
      </c>
      <c r="BW148" s="1112">
        <f t="shared" si="303"/>
        <v>114.57</v>
      </c>
      <c r="BX148" s="1112">
        <f t="shared" si="328"/>
        <v>1028.44</v>
      </c>
      <c r="BY148" s="1108">
        <v>0</v>
      </c>
      <c r="BZ148" s="1108">
        <f t="shared" si="282"/>
        <v>1028.44</v>
      </c>
      <c r="CA148" s="1321">
        <f>'CONCEPTOS Y PARAMETROS'!$A$102</f>
        <v>6255</v>
      </c>
      <c r="CB148" s="1112">
        <f t="shared" si="264"/>
        <v>246.53</v>
      </c>
      <c r="CC148" s="1113">
        <f t="shared" si="265"/>
        <v>600.5</v>
      </c>
      <c r="CD148" s="512"/>
      <c r="CE148" s="512"/>
      <c r="CF148" s="470">
        <f t="shared" si="266"/>
        <v>908</v>
      </c>
      <c r="CG148" s="509">
        <f t="shared" si="283"/>
        <v>246.53</v>
      </c>
      <c r="CH148" s="1603">
        <f t="shared" si="267"/>
        <v>12.5</v>
      </c>
      <c r="CI148" s="1491">
        <f t="shared" si="284"/>
        <v>320</v>
      </c>
      <c r="CJ148" s="1502">
        <v>1</v>
      </c>
      <c r="CK148" s="509">
        <f t="shared" si="268"/>
        <v>588</v>
      </c>
      <c r="CL148" s="1689">
        <f t="shared" si="269"/>
        <v>588</v>
      </c>
      <c r="CM148" s="1689">
        <f t="shared" si="270"/>
        <v>0</v>
      </c>
      <c r="CN148" s="510">
        <f t="shared" si="271"/>
        <v>0</v>
      </c>
      <c r="CO148" s="511">
        <v>0</v>
      </c>
      <c r="CP148" s="510">
        <f t="shared" si="272"/>
        <v>0</v>
      </c>
      <c r="CQ148" s="510">
        <f t="shared" si="273"/>
        <v>0</v>
      </c>
      <c r="CR148" s="510">
        <f t="shared" si="274"/>
        <v>1176</v>
      </c>
      <c r="CS148" s="510">
        <f t="shared" si="275"/>
        <v>114.57</v>
      </c>
      <c r="CT148" s="510">
        <f t="shared" si="276"/>
        <v>6255</v>
      </c>
      <c r="CU148" s="512"/>
      <c r="CV148" s="512"/>
      <c r="CW148" s="512"/>
      <c r="CX148" s="512"/>
      <c r="CY148" s="1149" t="s">
        <v>6856</v>
      </c>
      <c r="CZ148" s="1149" t="s">
        <v>7124</v>
      </c>
      <c r="DA148" s="1152"/>
      <c r="DB148" s="1642" t="s">
        <v>7480</v>
      </c>
      <c r="DC148" s="1642"/>
      <c r="DD148" s="1642" t="s">
        <v>6150</v>
      </c>
      <c r="DE148" s="1642" t="s">
        <v>6187</v>
      </c>
      <c r="DF148" s="1642" t="s">
        <v>6203</v>
      </c>
      <c r="DG148" s="1642"/>
      <c r="DH148" s="512"/>
      <c r="DI148" s="512"/>
      <c r="DJ148" s="512"/>
      <c r="DK148" s="512"/>
      <c r="DL148" s="512"/>
      <c r="DN148" s="476" t="str">
        <f>VLOOKUP(X148,Hoja1!$A$4:$B$10,2,0)</f>
        <v>PROFESIONAL</v>
      </c>
      <c r="DO148" s="476" t="str">
        <f>VLOOKUP(S148,Hoja1!$D$4:$F$77,3,0)</f>
        <v>PII - III</v>
      </c>
      <c r="DP148" s="1594" t="str">
        <f t="shared" si="277"/>
        <v>0</v>
      </c>
      <c r="DQ148" s="1484">
        <f>IF(T148&lt;&gt;"0",(ROUND(IF(A148="EMPLEADO",eval_formula('CONCEPTOS Y PARAMETROS'!$C$8,NOMINA!V148,AU148+BF148,NOMINA!I148+NOMINA!J148),eval_formula('CONCEPTOS Y PARAMETROS'!$D$8,NOMINA!V148,AU148+BF148,NOMINA!I148+NOMINA!J148)),2))*IF(H148&lt;&gt;"",IF(MONTH(H148)=$BR$8,IF(YEAR(H148)&lt;$BT$7,1,0),0)))</f>
        <v>0</v>
      </c>
      <c r="DR148" s="1799" t="str">
        <f t="shared" si="278"/>
        <v>M</v>
      </c>
      <c r="DS148" s="1799"/>
    </row>
    <row r="149" spans="1:123" s="471" customFormat="1" ht="21.95" customHeight="1" x14ac:dyDescent="0.25">
      <c r="A149" s="508" t="s">
        <v>2846</v>
      </c>
      <c r="B149" s="1314">
        <f t="shared" ca="1" si="347"/>
        <v>106</v>
      </c>
      <c r="C149" s="1148">
        <v>14598687</v>
      </c>
      <c r="D149" s="1149" t="s">
        <v>4789</v>
      </c>
      <c r="E149" s="1135" t="s">
        <v>4622</v>
      </c>
      <c r="F149" s="1150">
        <v>29203</v>
      </c>
      <c r="G149" s="1135" t="s">
        <v>4621</v>
      </c>
      <c r="H149" s="1150">
        <v>44332</v>
      </c>
      <c r="I149" s="1140">
        <f t="shared" si="261"/>
        <v>4</v>
      </c>
      <c r="J149" s="1132">
        <v>0</v>
      </c>
      <c r="K149" s="1140">
        <f t="shared" si="279"/>
        <v>4</v>
      </c>
      <c r="L149" s="1145" t="s">
        <v>5531</v>
      </c>
      <c r="M149" s="1132"/>
      <c r="N149" s="1132"/>
      <c r="O149" s="1002" t="s">
        <v>5243</v>
      </c>
      <c r="P149" s="1132" t="s">
        <v>5352</v>
      </c>
      <c r="Q149" s="1315" t="str">
        <f>IFERROR(VLOOKUP(O149,CARGOS!A:E,2,0),"")</f>
        <v>34234</v>
      </c>
      <c r="R149" s="1327" t="s">
        <v>5243</v>
      </c>
      <c r="S149" s="1146" t="s">
        <v>5476</v>
      </c>
      <c r="T149" s="1107">
        <f>IFERROR(VLOOKUP(S149,'TAB EMP'!A:B,2,0),0)</f>
        <v>307</v>
      </c>
      <c r="U149" s="1108">
        <v>0</v>
      </c>
      <c r="V149" s="1107">
        <f t="shared" si="290"/>
        <v>307</v>
      </c>
      <c r="W149" s="1108">
        <f t="shared" si="291"/>
        <v>153.5</v>
      </c>
      <c r="X149" s="1135" t="s">
        <v>2887</v>
      </c>
      <c r="Y149" s="1135"/>
      <c r="Z149" s="1135">
        <v>1</v>
      </c>
      <c r="AA149" s="1107">
        <f>ROUND(IF(H149&lt;&gt;"",VLOOKUP(SUM(I149+J149),'CONCEPTOS Y PARAMETROS'!F:G,2,0)*V149,0),2)</f>
        <v>12.28</v>
      </c>
      <c r="AB149" s="1107">
        <f>IF(S149&lt;&gt;"",IF(M149="",'CONCEPTOS Y PARAMETROS'!$C$4,0),0)</f>
        <v>130</v>
      </c>
      <c r="AC149" s="1107">
        <f>IF(S149&lt;&gt;"",IF(M149="",'CONCEPTOS Y PARAMETROS'!$C$7*Z149,0),0)</f>
        <v>12.5</v>
      </c>
      <c r="AD149" s="1107">
        <f>IFERROR(ROUND(VLOOKUP($X149,'CONCEPTOS Y PARAMETROS'!H:I,2,0)*($V149+AA149+AB149+AC149),2),0)</f>
        <v>161.62</v>
      </c>
      <c r="AE149" s="1107">
        <f t="shared" si="287"/>
        <v>316.39999999999998</v>
      </c>
      <c r="AF149" s="1107">
        <f t="shared" si="292"/>
        <v>6.14</v>
      </c>
      <c r="AG149" s="1107">
        <f t="shared" si="293"/>
        <v>6.14</v>
      </c>
      <c r="AH149" s="1107">
        <f t="shared" si="294"/>
        <v>65</v>
      </c>
      <c r="AI149" s="1107">
        <f t="shared" si="295"/>
        <v>65</v>
      </c>
      <c r="AJ149" s="1107">
        <f t="shared" si="296"/>
        <v>80.81</v>
      </c>
      <c r="AK149" s="1107">
        <f t="shared" si="297"/>
        <v>80.81</v>
      </c>
      <c r="AL149" s="1108">
        <f t="shared" si="298"/>
        <v>164.45</v>
      </c>
      <c r="AM149" s="1108">
        <f t="shared" si="299"/>
        <v>151.94999999999999</v>
      </c>
      <c r="AN149" s="990">
        <v>0</v>
      </c>
      <c r="AO149" s="1147">
        <f>'CONCEPTOS Y PARAMETROS'!$C$18*AN149</f>
        <v>0</v>
      </c>
      <c r="AP149" s="990">
        <v>0</v>
      </c>
      <c r="AQ149" s="1147">
        <f>'CONCEPTOS Y PARAMETROS'!$C$21*AP149</f>
        <v>0</v>
      </c>
      <c r="AR149" s="1318">
        <v>0</v>
      </c>
      <c r="AS149" s="1318">
        <v>0</v>
      </c>
      <c r="AT149" s="1318">
        <f t="shared" si="355"/>
        <v>0</v>
      </c>
      <c r="AU149" s="1108">
        <f t="shared" si="280"/>
        <v>623.4</v>
      </c>
      <c r="AV149" s="1133">
        <v>0</v>
      </c>
      <c r="AW149" s="1108">
        <f t="shared" si="352"/>
        <v>0</v>
      </c>
      <c r="AX149" s="1107">
        <f>IF(T149&lt;&gt;"0",(ROUND(IF(A149="EMPLEADO",eval_formula('CONCEPTOS Y PARAMETROS'!$C$8,NOMINA!V149,NOMINA!$AU149,NOMINA!I149+NOMINA!J149),eval_formula('CONCEPTOS Y PARAMETROS'!$D$8,NOMINA!V149,NOMINA!$AU149,NOMINA!I149+NOMINA!J149)),2))*IF(H149&lt;&gt;"",IF(MONTH(H149)=$BR$8,IF(YEAR(H149)&lt;$BT$7,1,0),0)))</f>
        <v>0</v>
      </c>
      <c r="AY149" s="1108">
        <v>180</v>
      </c>
      <c r="AZ149" s="1107">
        <f>IFERROR(VLOOKUP(AY149,'CONCEPTOS Y PARAMETROS'!Y:Z,2,0),0)</f>
        <v>150</v>
      </c>
      <c r="BA149" s="1107">
        <f t="shared" si="300"/>
        <v>4675.5</v>
      </c>
      <c r="BB149" s="1107">
        <f t="shared" si="353"/>
        <v>0</v>
      </c>
      <c r="BC149" s="990">
        <v>0</v>
      </c>
      <c r="BD149" s="1107" t="str">
        <f t="shared" si="281"/>
        <v>0</v>
      </c>
      <c r="BE149" s="990">
        <v>0</v>
      </c>
      <c r="BF149" s="1107">
        <f t="shared" si="329"/>
        <v>0</v>
      </c>
      <c r="BG149" s="1108">
        <v>320</v>
      </c>
      <c r="BH149" s="1108">
        <v>0</v>
      </c>
      <c r="BI149" s="1132">
        <v>0</v>
      </c>
      <c r="BJ149" s="1108">
        <v>12.5</v>
      </c>
      <c r="BK149" s="1108">
        <v>0</v>
      </c>
      <c r="BL149" s="1107">
        <f t="shared" si="324"/>
        <v>28.77</v>
      </c>
      <c r="BM149" s="1107">
        <f t="shared" si="325"/>
        <v>3.6</v>
      </c>
      <c r="BN149" s="1107">
        <f t="shared" si="262"/>
        <v>6.23</v>
      </c>
      <c r="BO149" s="1107">
        <v>0</v>
      </c>
      <c r="BP149" s="1107">
        <v>0</v>
      </c>
      <c r="BQ149" s="1320">
        <f t="shared" si="301"/>
        <v>38.6</v>
      </c>
      <c r="BR149" s="1107">
        <f t="shared" si="326"/>
        <v>64.739999999999995</v>
      </c>
      <c r="BS149" s="1107">
        <f t="shared" si="327"/>
        <v>14.39</v>
      </c>
      <c r="BT149" s="1107">
        <f t="shared" si="263"/>
        <v>12.46</v>
      </c>
      <c r="BU149" s="1107">
        <v>0</v>
      </c>
      <c r="BV149" s="1108">
        <f t="shared" si="302"/>
        <v>91.59</v>
      </c>
      <c r="BW149" s="1112">
        <f t="shared" si="303"/>
        <v>130.19</v>
      </c>
      <c r="BX149" s="1112">
        <f t="shared" si="328"/>
        <v>1168.8800000000001</v>
      </c>
      <c r="BY149" s="1108">
        <v>0</v>
      </c>
      <c r="BZ149" s="1108">
        <f t="shared" si="282"/>
        <v>1168.8800000000001</v>
      </c>
      <c r="CA149" s="1321">
        <f>'CONCEPTOS Y PARAMETROS'!$A$102</f>
        <v>6255</v>
      </c>
      <c r="CB149" s="1112">
        <f t="shared" si="264"/>
        <v>279.34999999999997</v>
      </c>
      <c r="CC149" s="1113">
        <f t="shared" si="265"/>
        <v>637.95000000000005</v>
      </c>
      <c r="CD149" s="512"/>
      <c r="CE149" s="512"/>
      <c r="CF149" s="470">
        <f t="shared" si="266"/>
        <v>945.45</v>
      </c>
      <c r="CG149" s="495">
        <f t="shared" si="283"/>
        <v>279.34999999999997</v>
      </c>
      <c r="CH149" s="498">
        <f t="shared" si="267"/>
        <v>12.5</v>
      </c>
      <c r="CI149" s="1490">
        <f t="shared" si="284"/>
        <v>320</v>
      </c>
      <c r="CJ149" s="1500">
        <v>2</v>
      </c>
      <c r="CK149" s="495">
        <f t="shared" si="268"/>
        <v>625.45000000000005</v>
      </c>
      <c r="CL149" s="1689">
        <f t="shared" si="269"/>
        <v>300.22000000000003</v>
      </c>
      <c r="CM149" s="1689">
        <f t="shared" si="270"/>
        <v>325.23</v>
      </c>
      <c r="CN149" s="496">
        <f t="shared" si="271"/>
        <v>0</v>
      </c>
      <c r="CO149" s="497">
        <v>0</v>
      </c>
      <c r="CP149" s="496">
        <f t="shared" si="272"/>
        <v>0</v>
      </c>
      <c r="CQ149" s="496">
        <f t="shared" si="273"/>
        <v>0</v>
      </c>
      <c r="CR149" s="496">
        <f t="shared" si="274"/>
        <v>1250.9000000000001</v>
      </c>
      <c r="CS149" s="496">
        <f t="shared" si="275"/>
        <v>130.19</v>
      </c>
      <c r="CT149" s="496">
        <f t="shared" si="276"/>
        <v>6255</v>
      </c>
      <c r="CU149" s="470"/>
      <c r="CV149" s="470"/>
      <c r="CW149" s="470"/>
      <c r="CX149" s="470"/>
      <c r="CY149" s="1149" t="s">
        <v>6907</v>
      </c>
      <c r="CZ149" s="1149" t="s">
        <v>7083</v>
      </c>
      <c r="DA149" s="1152"/>
      <c r="DB149" s="1642" t="s">
        <v>6526</v>
      </c>
      <c r="DC149" s="1642"/>
      <c r="DD149" s="1642" t="s">
        <v>6135</v>
      </c>
      <c r="DE149" s="1642" t="s">
        <v>6147</v>
      </c>
      <c r="DF149" s="1642" t="s">
        <v>6562</v>
      </c>
      <c r="DG149" s="1642"/>
      <c r="DH149" s="512"/>
      <c r="DI149" s="512"/>
      <c r="DJ149" s="470"/>
      <c r="DK149" s="470"/>
      <c r="DL149" s="470"/>
      <c r="DN149" s="471" t="str">
        <f>VLOOKUP(X149,Hoja1!$A$4:$B$10,2,0)</f>
        <v>MAGISTER</v>
      </c>
      <c r="DO149" s="471" t="str">
        <f>VLOOKUP(S149,Hoja1!$D$4:$F$77,3,0)</f>
        <v>PIII - II</v>
      </c>
      <c r="DP149" s="1156" t="str">
        <f t="shared" si="277"/>
        <v>0</v>
      </c>
      <c r="DQ149" s="1484">
        <f>IF(T149&lt;&gt;"0",(ROUND(IF(A149="EMPLEADO",eval_formula('CONCEPTOS Y PARAMETROS'!$C$8,NOMINA!V149,AU149+BF149,NOMINA!I149+NOMINA!J149),eval_formula('CONCEPTOS Y PARAMETROS'!$D$8,NOMINA!V149,AU149+BF149,NOMINA!I149+NOMINA!J149)),2))*IF(H149&lt;&gt;"",IF(MONTH(H149)=$BR$8,IF(YEAR(H149)&lt;$BT$7,1,0),0)))</f>
        <v>0</v>
      </c>
      <c r="DR149" s="1801" t="str">
        <f t="shared" si="278"/>
        <v>M</v>
      </c>
      <c r="DS149" s="1801"/>
    </row>
    <row r="150" spans="1:123" s="471" customFormat="1" ht="21.95" customHeight="1" x14ac:dyDescent="0.25">
      <c r="A150" s="508" t="s">
        <v>2846</v>
      </c>
      <c r="B150" s="1314">
        <f t="shared" ca="1" si="347"/>
        <v>107</v>
      </c>
      <c r="C150" s="1148">
        <v>14719639</v>
      </c>
      <c r="D150" s="1149" t="s">
        <v>7353</v>
      </c>
      <c r="E150" s="1135" t="s">
        <v>4622</v>
      </c>
      <c r="F150" s="1150">
        <v>28832</v>
      </c>
      <c r="G150" s="1135" t="s">
        <v>4620</v>
      </c>
      <c r="H150" s="1150">
        <v>44896</v>
      </c>
      <c r="I150" s="1140">
        <f t="shared" si="261"/>
        <v>2</v>
      </c>
      <c r="J150" s="1132">
        <v>0</v>
      </c>
      <c r="K150" s="1140">
        <f t="shared" si="279"/>
        <v>2</v>
      </c>
      <c r="L150" s="1145" t="s">
        <v>5547</v>
      </c>
      <c r="M150" s="1132"/>
      <c r="N150" s="1132"/>
      <c r="O150" s="1002" t="s">
        <v>5218</v>
      </c>
      <c r="P150" s="1132" t="s">
        <v>5353</v>
      </c>
      <c r="Q150" s="1315" t="str">
        <f>IFERROR(VLOOKUP(O150,CARGOS!A:E,2,0),"")</f>
        <v>79511</v>
      </c>
      <c r="R150" s="1327" t="s">
        <v>5218</v>
      </c>
      <c r="S150" s="1146" t="s">
        <v>5470</v>
      </c>
      <c r="T150" s="1107">
        <f>IFERROR(VLOOKUP(S150,'TAB EMP'!A:B,2,0),0)</f>
        <v>130</v>
      </c>
      <c r="U150" s="1108">
        <v>0</v>
      </c>
      <c r="V150" s="1107">
        <f t="shared" si="290"/>
        <v>130</v>
      </c>
      <c r="W150" s="1108">
        <f t="shared" si="291"/>
        <v>65</v>
      </c>
      <c r="X150" s="1135" t="s">
        <v>2884</v>
      </c>
      <c r="Y150" s="1135"/>
      <c r="Z150" s="1135">
        <v>2</v>
      </c>
      <c r="AA150" s="1107">
        <f>ROUND(IF(H150&lt;&gt;"",VLOOKUP(SUM(I150+J150),'CONCEPTOS Y PARAMETROS'!F:G,2,0)*V150,0),2)</f>
        <v>2.6</v>
      </c>
      <c r="AB150" s="1107">
        <f>IF(S150&lt;&gt;"",IF(M150="",'CONCEPTOS Y PARAMETROS'!$C$4,0),0)</f>
        <v>130</v>
      </c>
      <c r="AC150" s="1107">
        <f>IF(S150&lt;&gt;"",IF(M150="",'CONCEPTOS Y PARAMETROS'!$C$7*Z150,0),0)</f>
        <v>25</v>
      </c>
      <c r="AD150" s="1107">
        <f>IFERROR(ROUND(VLOOKUP($X150,'CONCEPTOS Y PARAMETROS'!H:I,2,0)*($V150+AA150+AB150+AC150),2),0)</f>
        <v>0</v>
      </c>
      <c r="AE150" s="1107">
        <f t="shared" si="287"/>
        <v>157.6</v>
      </c>
      <c r="AF150" s="1107">
        <f t="shared" si="292"/>
        <v>1.3</v>
      </c>
      <c r="AG150" s="1107">
        <f t="shared" si="293"/>
        <v>1.3</v>
      </c>
      <c r="AH150" s="1107">
        <f t="shared" si="294"/>
        <v>65</v>
      </c>
      <c r="AI150" s="1107">
        <f t="shared" si="295"/>
        <v>65</v>
      </c>
      <c r="AJ150" s="1107">
        <f t="shared" si="296"/>
        <v>0</v>
      </c>
      <c r="AK150" s="1107">
        <f t="shared" si="297"/>
        <v>0</v>
      </c>
      <c r="AL150" s="1108">
        <f t="shared" si="298"/>
        <v>91.3</v>
      </c>
      <c r="AM150" s="1108">
        <f t="shared" si="299"/>
        <v>66.3</v>
      </c>
      <c r="AN150" s="990">
        <v>0</v>
      </c>
      <c r="AO150" s="1147">
        <f>'CONCEPTOS Y PARAMETROS'!$C$18*AN150</f>
        <v>0</v>
      </c>
      <c r="AP150" s="990">
        <v>0</v>
      </c>
      <c r="AQ150" s="1147">
        <f>'CONCEPTOS Y PARAMETROS'!$C$21*AP150</f>
        <v>0</v>
      </c>
      <c r="AR150" s="1318">
        <v>0</v>
      </c>
      <c r="AS150" s="1318">
        <v>0</v>
      </c>
      <c r="AT150" s="1318">
        <f t="shared" si="355"/>
        <v>0</v>
      </c>
      <c r="AU150" s="1108">
        <f t="shared" si="280"/>
        <v>373.88</v>
      </c>
      <c r="AV150" s="1133" t="s">
        <v>5080</v>
      </c>
      <c r="AW150" s="1108">
        <f t="shared" si="352"/>
        <v>86.28</v>
      </c>
      <c r="AX150" s="1107">
        <f>IF(T150&lt;&gt;"0",(ROUND(IF(A150="EMPLEADO",eval_formula('CONCEPTOS Y PARAMETROS'!$C$8,NOMINA!V150,NOMINA!$AU150,NOMINA!I150+NOMINA!J150),eval_formula('CONCEPTOS Y PARAMETROS'!$D$8,NOMINA!V150,NOMINA!$AU150,NOMINA!I150+NOMINA!J150)),2))*IF(H150&lt;&gt;"",IF(MONTH(H150)=$BR$8,IF(YEAR(H150)&lt;$BT$7,1,0),0)))</f>
        <v>0</v>
      </c>
      <c r="AY150" s="1108">
        <v>180</v>
      </c>
      <c r="AZ150" s="1107">
        <f>IFERROR(VLOOKUP(AY150,'CONCEPTOS Y PARAMETROS'!Y:Z,2,0),0)</f>
        <v>150</v>
      </c>
      <c r="BA150" s="1107">
        <f t="shared" si="300"/>
        <v>2804.1</v>
      </c>
      <c r="BB150" s="1107">
        <f t="shared" si="353"/>
        <v>0</v>
      </c>
      <c r="BC150" s="990">
        <v>0</v>
      </c>
      <c r="BD150" s="1107" t="str">
        <f t="shared" si="281"/>
        <v>0</v>
      </c>
      <c r="BE150" s="990">
        <v>3</v>
      </c>
      <c r="BF150" s="1107">
        <f t="shared" si="329"/>
        <v>56.08</v>
      </c>
      <c r="BG150" s="1108">
        <v>320</v>
      </c>
      <c r="BH150" s="1108">
        <v>0</v>
      </c>
      <c r="BI150" s="1132">
        <v>0</v>
      </c>
      <c r="BJ150" s="1108">
        <v>12.5</v>
      </c>
      <c r="BK150" s="1108">
        <v>0</v>
      </c>
      <c r="BL150" s="1107">
        <f t="shared" si="324"/>
        <v>17.260000000000002</v>
      </c>
      <c r="BM150" s="1107">
        <f t="shared" si="325"/>
        <v>2.16</v>
      </c>
      <c r="BN150" s="1107">
        <f t="shared" si="262"/>
        <v>3.74</v>
      </c>
      <c r="BO150" s="1107">
        <v>0</v>
      </c>
      <c r="BP150" s="1107">
        <v>0</v>
      </c>
      <c r="BQ150" s="1320">
        <f t="shared" si="301"/>
        <v>23.16</v>
      </c>
      <c r="BR150" s="1107">
        <f t="shared" si="326"/>
        <v>38.83</v>
      </c>
      <c r="BS150" s="1107">
        <f t="shared" si="327"/>
        <v>8.6300000000000008</v>
      </c>
      <c r="BT150" s="1107">
        <f t="shared" si="263"/>
        <v>7.48</v>
      </c>
      <c r="BU150" s="1107">
        <v>0</v>
      </c>
      <c r="BV150" s="1108">
        <f t="shared" si="302"/>
        <v>54.94</v>
      </c>
      <c r="BW150" s="1112">
        <f t="shared" si="303"/>
        <v>78.099999999999994</v>
      </c>
      <c r="BX150" s="1112">
        <f t="shared" si="328"/>
        <v>701.03</v>
      </c>
      <c r="BY150" s="1108">
        <v>0</v>
      </c>
      <c r="BZ150" s="1108">
        <f t="shared" si="282"/>
        <v>701.03</v>
      </c>
      <c r="CA150" s="1321">
        <f>'CONCEPTOS Y PARAMETROS'!$A$102</f>
        <v>6255</v>
      </c>
      <c r="CB150" s="1112">
        <f t="shared" si="264"/>
        <v>133.14000000000001</v>
      </c>
      <c r="CC150" s="1113">
        <f t="shared" si="265"/>
        <v>606.16</v>
      </c>
      <c r="CD150" s="512"/>
      <c r="CE150" s="512"/>
      <c r="CF150" s="470">
        <f t="shared" si="266"/>
        <v>771.3</v>
      </c>
      <c r="CG150" s="495">
        <f t="shared" si="283"/>
        <v>133.14000000000001</v>
      </c>
      <c r="CH150" s="498">
        <f t="shared" si="267"/>
        <v>12.5</v>
      </c>
      <c r="CI150" s="1490">
        <f t="shared" si="284"/>
        <v>320</v>
      </c>
      <c r="CJ150" s="1500">
        <v>1</v>
      </c>
      <c r="CK150" s="495">
        <f t="shared" si="268"/>
        <v>451.3</v>
      </c>
      <c r="CL150" s="1689">
        <f t="shared" si="269"/>
        <v>451.3</v>
      </c>
      <c r="CM150" s="1689">
        <f t="shared" si="270"/>
        <v>0</v>
      </c>
      <c r="CN150" s="496">
        <f t="shared" si="271"/>
        <v>56.08</v>
      </c>
      <c r="CO150" s="497">
        <v>0</v>
      </c>
      <c r="CP150" s="496">
        <f t="shared" si="272"/>
        <v>86.28</v>
      </c>
      <c r="CQ150" s="496">
        <f t="shared" si="273"/>
        <v>0</v>
      </c>
      <c r="CR150" s="496">
        <f t="shared" si="274"/>
        <v>1044.96</v>
      </c>
      <c r="CS150" s="496">
        <f t="shared" si="275"/>
        <v>78.099999999999994</v>
      </c>
      <c r="CT150" s="496">
        <f t="shared" si="276"/>
        <v>6255</v>
      </c>
      <c r="CU150" s="470"/>
      <c r="CV150" s="470"/>
      <c r="CW150" s="470"/>
      <c r="CX150" s="470"/>
      <c r="CY150" s="1149" t="s">
        <v>6989</v>
      </c>
      <c r="CZ150" s="1149" t="s">
        <v>6876</v>
      </c>
      <c r="DA150" s="480"/>
      <c r="DB150" s="1642" t="s">
        <v>7432</v>
      </c>
      <c r="DC150" s="1642"/>
      <c r="DD150" s="1642" t="s">
        <v>6563</v>
      </c>
      <c r="DE150" s="1642" t="s">
        <v>6325</v>
      </c>
      <c r="DF150" s="1642" t="s">
        <v>6492</v>
      </c>
      <c r="DG150" s="1642"/>
      <c r="DH150" s="512"/>
      <c r="DI150" s="512"/>
      <c r="DJ150" s="470"/>
      <c r="DK150" s="470"/>
      <c r="DL150" s="470"/>
      <c r="DN150" s="471" t="str">
        <f>VLOOKUP(X150,Hoja1!$A$4:$B$10,2,0)</f>
        <v>BACHILLER</v>
      </c>
      <c r="DO150" s="471" t="str">
        <f>VLOOKUP(S150,Hoja1!$D$4:$F$77,3,0)</f>
        <v>BI</v>
      </c>
      <c r="DP150" s="1156" t="str">
        <f t="shared" si="277"/>
        <v>SI</v>
      </c>
      <c r="DQ150" s="1484">
        <f>IF(T150&lt;&gt;"0",(ROUND(IF(A150="EMPLEADO",eval_formula('CONCEPTOS Y PARAMETROS'!$C$8,NOMINA!V150,AU150+BF150,NOMINA!I150+NOMINA!J150),eval_formula('CONCEPTOS Y PARAMETROS'!$D$8,NOMINA!V150,AU150+BF150,NOMINA!I150+NOMINA!J150)),2))*IF(H150&lt;&gt;"",IF(MONTH(H150)=$BR$8,IF(YEAR(H150)&lt;$BT$7,1,0),0)))</f>
        <v>0</v>
      </c>
      <c r="DR150" s="1801" t="str">
        <f t="shared" si="278"/>
        <v>F</v>
      </c>
      <c r="DS150" s="1801"/>
    </row>
    <row r="151" spans="1:123" s="471" customFormat="1" ht="21.95" customHeight="1" x14ac:dyDescent="0.25">
      <c r="A151" s="508" t="s">
        <v>2846</v>
      </c>
      <c r="B151" s="1314">
        <f t="shared" ca="1" si="347"/>
        <v>108</v>
      </c>
      <c r="C151" s="1148">
        <v>14739168</v>
      </c>
      <c r="D151" s="1149" t="s">
        <v>7574</v>
      </c>
      <c r="E151" s="1135" t="s">
        <v>4622</v>
      </c>
      <c r="F151" s="1150">
        <v>28975</v>
      </c>
      <c r="G151" s="1135" t="s">
        <v>4620</v>
      </c>
      <c r="H151" s="1150">
        <v>38841</v>
      </c>
      <c r="I151" s="1140">
        <f t="shared" si="261"/>
        <v>19</v>
      </c>
      <c r="J151" s="1132">
        <v>0</v>
      </c>
      <c r="K151" s="1140">
        <f t="shared" si="279"/>
        <v>19</v>
      </c>
      <c r="L151" s="1145" t="s">
        <v>5535</v>
      </c>
      <c r="M151" s="1132"/>
      <c r="N151" s="1132"/>
      <c r="O151" s="1002" t="s">
        <v>5254</v>
      </c>
      <c r="P151" s="1132" t="s">
        <v>5354</v>
      </c>
      <c r="Q151" s="1315" t="str">
        <f>IFERROR(VLOOKUP(O151,CARGOS!A:E,2,0),"")</f>
        <v>79353</v>
      </c>
      <c r="R151" s="1327" t="s">
        <v>5254</v>
      </c>
      <c r="S151" s="1146" t="s">
        <v>5471</v>
      </c>
      <c r="T151" s="1107">
        <f>IFERROR(VLOOKUP(S151,'TAB EMP'!A:B,2,0),0)</f>
        <v>228</v>
      </c>
      <c r="U151" s="1108">
        <v>0</v>
      </c>
      <c r="V151" s="1107">
        <f t="shared" si="290"/>
        <v>228</v>
      </c>
      <c r="W151" s="1108">
        <f t="shared" si="291"/>
        <v>114</v>
      </c>
      <c r="X151" s="1135" t="s">
        <v>2844</v>
      </c>
      <c r="Y151" s="1135"/>
      <c r="Z151" s="1135">
        <v>1</v>
      </c>
      <c r="AA151" s="1107">
        <f>ROUND(IF(H151&lt;&gt;"",VLOOKUP(SUM(I151+J151),'CONCEPTOS Y PARAMETROS'!F:G,2,0)*V151,0),2)</f>
        <v>55.63</v>
      </c>
      <c r="AB151" s="1107">
        <f>IF(S151&lt;&gt;"",IF(M151="",'CONCEPTOS Y PARAMETROS'!$C$4,0),0)</f>
        <v>130</v>
      </c>
      <c r="AC151" s="1107">
        <f>IF(S151&lt;&gt;"",IF(M151="",'CONCEPTOS Y PARAMETROS'!$C$7*Z151,0),0)</f>
        <v>12.5</v>
      </c>
      <c r="AD151" s="1107">
        <f>IFERROR(ROUND(VLOOKUP($X151,'CONCEPTOS Y PARAMETROS'!H:I,2,0)*($V151+AA151+AB151+AC151),2),0)</f>
        <v>85.23</v>
      </c>
      <c r="AE151" s="1107">
        <f t="shared" si="287"/>
        <v>283.36</v>
      </c>
      <c r="AF151" s="1107">
        <f t="shared" si="292"/>
        <v>27.82</v>
      </c>
      <c r="AG151" s="1107">
        <f t="shared" si="293"/>
        <v>27.81</v>
      </c>
      <c r="AH151" s="1107">
        <f t="shared" si="294"/>
        <v>65</v>
      </c>
      <c r="AI151" s="1107">
        <f t="shared" si="295"/>
        <v>65</v>
      </c>
      <c r="AJ151" s="1107">
        <f t="shared" si="296"/>
        <v>42.62</v>
      </c>
      <c r="AK151" s="1107">
        <f t="shared" si="297"/>
        <v>42.61</v>
      </c>
      <c r="AL151" s="1108">
        <f t="shared" si="298"/>
        <v>147.94</v>
      </c>
      <c r="AM151" s="1108">
        <f t="shared" si="299"/>
        <v>135.41999999999999</v>
      </c>
      <c r="AN151" s="1453">
        <v>1</v>
      </c>
      <c r="AO151" s="1147">
        <f>'CONCEPTOS Y PARAMETROS'!$C$18*AN151</f>
        <v>12.5</v>
      </c>
      <c r="AP151" s="990">
        <v>0</v>
      </c>
      <c r="AQ151" s="1147">
        <f>'CONCEPTOS Y PARAMETROS'!$C$21*AP151</f>
        <v>0</v>
      </c>
      <c r="AR151" s="1318">
        <v>0</v>
      </c>
      <c r="AS151" s="1318">
        <v>0</v>
      </c>
      <c r="AT151" s="1318">
        <f t="shared" si="355"/>
        <v>12.5</v>
      </c>
      <c r="AU151" s="1108">
        <f t="shared" si="280"/>
        <v>511.36</v>
      </c>
      <c r="AV151" s="1133">
        <v>0</v>
      </c>
      <c r="AW151" s="1108">
        <f t="shared" si="352"/>
        <v>0</v>
      </c>
      <c r="AX151" s="1107">
        <f>IF(T151&lt;&gt;"0",(ROUND(IF(A151="EMPLEADO",eval_formula('CONCEPTOS Y PARAMETROS'!$C$8,NOMINA!V151,NOMINA!$AU151,NOMINA!I151+NOMINA!J151),eval_formula('CONCEPTOS Y PARAMETROS'!$D$8,NOMINA!V151,NOMINA!$AU151,NOMINA!I151+NOMINA!J151)),2))*IF(H151&lt;&gt;"",IF(MONTH(H151)=$BR$8,IF(YEAR(H151)&lt;$BT$7,1,0),0)))</f>
        <v>0</v>
      </c>
      <c r="AY151" s="1108">
        <v>180</v>
      </c>
      <c r="AZ151" s="1107">
        <f>IFERROR(VLOOKUP(AY151,'CONCEPTOS Y PARAMETROS'!Y:Z,2,0),0)</f>
        <v>150</v>
      </c>
      <c r="BA151" s="1107">
        <f t="shared" si="300"/>
        <v>3835.2</v>
      </c>
      <c r="BB151" s="1107">
        <f t="shared" si="353"/>
        <v>0</v>
      </c>
      <c r="BC151" s="990">
        <v>0</v>
      </c>
      <c r="BD151" s="1107" t="str">
        <f t="shared" si="281"/>
        <v>0</v>
      </c>
      <c r="BE151" s="990">
        <v>0</v>
      </c>
      <c r="BF151" s="1107">
        <f t="shared" si="329"/>
        <v>0</v>
      </c>
      <c r="BG151" s="1108">
        <v>320</v>
      </c>
      <c r="BH151" s="1108">
        <v>0</v>
      </c>
      <c r="BI151" s="1132">
        <v>0</v>
      </c>
      <c r="BJ151" s="1108">
        <v>12.5</v>
      </c>
      <c r="BK151" s="1108">
        <v>0</v>
      </c>
      <c r="BL151" s="1107">
        <f t="shared" si="324"/>
        <v>23.6</v>
      </c>
      <c r="BM151" s="1107">
        <f t="shared" si="325"/>
        <v>2.95</v>
      </c>
      <c r="BN151" s="1107">
        <f t="shared" si="262"/>
        <v>5.1100000000000003</v>
      </c>
      <c r="BO151" s="1107">
        <v>0</v>
      </c>
      <c r="BP151" s="1107">
        <v>0</v>
      </c>
      <c r="BQ151" s="1320">
        <f t="shared" si="301"/>
        <v>31.66</v>
      </c>
      <c r="BR151" s="1107">
        <f t="shared" si="326"/>
        <v>53.1</v>
      </c>
      <c r="BS151" s="1107">
        <f t="shared" si="327"/>
        <v>11.8</v>
      </c>
      <c r="BT151" s="1107">
        <f t="shared" si="263"/>
        <v>10.220000000000001</v>
      </c>
      <c r="BU151" s="1107">
        <v>0</v>
      </c>
      <c r="BV151" s="1108">
        <f t="shared" si="302"/>
        <v>75.12</v>
      </c>
      <c r="BW151" s="1112">
        <f t="shared" si="303"/>
        <v>106.78</v>
      </c>
      <c r="BX151" s="1112">
        <f t="shared" si="328"/>
        <v>958.8</v>
      </c>
      <c r="BY151" s="1108">
        <v>0</v>
      </c>
      <c r="BZ151" s="1108">
        <f t="shared" si="282"/>
        <v>958.8</v>
      </c>
      <c r="CA151" s="1321">
        <f>'CONCEPTOS Y PARAMETROS'!$A$102</f>
        <v>6255</v>
      </c>
      <c r="CB151" s="1112">
        <f t="shared" si="264"/>
        <v>230.28</v>
      </c>
      <c r="CC151" s="1113">
        <f t="shared" si="265"/>
        <v>594.41999999999996</v>
      </c>
      <c r="CD151" s="512"/>
      <c r="CE151" s="512"/>
      <c r="CF151" s="470">
        <f t="shared" si="266"/>
        <v>889.42</v>
      </c>
      <c r="CG151" s="495">
        <f t="shared" si="283"/>
        <v>230.28</v>
      </c>
      <c r="CH151" s="498">
        <f t="shared" si="267"/>
        <v>25</v>
      </c>
      <c r="CI151" s="1490">
        <f t="shared" si="284"/>
        <v>320</v>
      </c>
      <c r="CJ151" s="1500">
        <v>1</v>
      </c>
      <c r="CK151" s="495">
        <f t="shared" si="268"/>
        <v>569.41999999999996</v>
      </c>
      <c r="CL151" s="1689">
        <f t="shared" si="269"/>
        <v>569.41999999999996</v>
      </c>
      <c r="CM151" s="1689">
        <f t="shared" si="270"/>
        <v>0</v>
      </c>
      <c r="CN151" s="496">
        <f t="shared" si="271"/>
        <v>0</v>
      </c>
      <c r="CO151" s="497">
        <v>0</v>
      </c>
      <c r="CP151" s="496">
        <f t="shared" si="272"/>
        <v>0</v>
      </c>
      <c r="CQ151" s="496">
        <f t="shared" si="273"/>
        <v>0</v>
      </c>
      <c r="CR151" s="496">
        <f t="shared" si="274"/>
        <v>1138.8399999999999</v>
      </c>
      <c r="CS151" s="496">
        <f t="shared" si="275"/>
        <v>106.78</v>
      </c>
      <c r="CT151" s="496">
        <f t="shared" si="276"/>
        <v>6255</v>
      </c>
      <c r="CU151" s="470"/>
      <c r="CV151" s="470"/>
      <c r="CW151" s="470"/>
      <c r="CX151" s="470"/>
      <c r="CY151" s="1149" t="s">
        <v>6829</v>
      </c>
      <c r="CZ151" s="1149" t="s">
        <v>7125</v>
      </c>
      <c r="DA151" s="480"/>
      <c r="DB151" s="1642" t="s">
        <v>6220</v>
      </c>
      <c r="DC151" s="1642"/>
      <c r="DD151" s="1642" t="s">
        <v>6158</v>
      </c>
      <c r="DE151" s="1642" t="s">
        <v>6159</v>
      </c>
      <c r="DF151" s="1642" t="s">
        <v>7456</v>
      </c>
      <c r="DG151" s="1642"/>
      <c r="DH151" s="512"/>
      <c r="DI151" s="512"/>
      <c r="DJ151" s="470"/>
      <c r="DK151" s="470"/>
      <c r="DL151" s="470"/>
      <c r="DN151" s="471" t="str">
        <f>VLOOKUP(X151,Hoja1!$A$4:$B$10,2,0)</f>
        <v>TÉCNICO SUPERIOR UNIVERSITARIO</v>
      </c>
      <c r="DO151" s="471" t="str">
        <f>VLOOKUP(S151,Hoja1!$D$4:$F$77,3,0)</f>
        <v>TII - VII</v>
      </c>
      <c r="DP151" s="1156" t="str">
        <f t="shared" si="277"/>
        <v>0</v>
      </c>
      <c r="DQ151" s="1484">
        <f>IF(T151&lt;&gt;"0",(ROUND(IF(A151="EMPLEADO",eval_formula('CONCEPTOS Y PARAMETROS'!$C$8,NOMINA!V151,AU151+BF151,NOMINA!I151+NOMINA!J151),eval_formula('CONCEPTOS Y PARAMETROS'!$D$8,NOMINA!V151,AU151+BF151,NOMINA!I151+NOMINA!J151)),2))*IF(H151&lt;&gt;"",IF(MONTH(H151)=$BR$8,IF(YEAR(H151)&lt;$BT$7,1,0),0)))</f>
        <v>0</v>
      </c>
      <c r="DR151" s="1801" t="str">
        <f t="shared" si="278"/>
        <v>F</v>
      </c>
      <c r="DS151" s="1801"/>
    </row>
    <row r="152" spans="1:123" s="471" customFormat="1" ht="21.95" customHeight="1" x14ac:dyDescent="0.25">
      <c r="A152" s="508" t="s">
        <v>2846</v>
      </c>
      <c r="B152" s="1314">
        <f t="shared" ca="1" si="347"/>
        <v>109</v>
      </c>
      <c r="C152" s="1148">
        <v>14928034</v>
      </c>
      <c r="D152" s="1149" t="s">
        <v>4795</v>
      </c>
      <c r="E152" s="1135" t="s">
        <v>4622</v>
      </c>
      <c r="F152" s="1150">
        <v>28306</v>
      </c>
      <c r="G152" s="1135" t="s">
        <v>4620</v>
      </c>
      <c r="H152" s="1150">
        <v>44302</v>
      </c>
      <c r="I152" s="1140">
        <f t="shared" si="261"/>
        <v>4</v>
      </c>
      <c r="J152" s="1132">
        <v>11</v>
      </c>
      <c r="K152" s="1140">
        <f t="shared" si="279"/>
        <v>15</v>
      </c>
      <c r="L152" s="1145" t="s">
        <v>5526</v>
      </c>
      <c r="M152" s="1132"/>
      <c r="N152" s="1132"/>
      <c r="O152" s="1002" t="s">
        <v>5213</v>
      </c>
      <c r="P152" s="1132" t="s">
        <v>5355</v>
      </c>
      <c r="Q152" s="1315" t="str">
        <f>IFERROR(VLOOKUP(O152,CARGOS!A:E,2,0),"")</f>
        <v>37921</v>
      </c>
      <c r="R152" s="1327" t="s">
        <v>5213</v>
      </c>
      <c r="S152" s="1146" t="s">
        <v>5457</v>
      </c>
      <c r="T152" s="1107">
        <f>IFERROR(VLOOKUP(S152,'TAB EMP'!A:B,2,0),0)</f>
        <v>176</v>
      </c>
      <c r="U152" s="1108">
        <v>0</v>
      </c>
      <c r="V152" s="1107">
        <f t="shared" si="290"/>
        <v>176</v>
      </c>
      <c r="W152" s="1108">
        <f t="shared" si="291"/>
        <v>88</v>
      </c>
      <c r="X152" s="1135" t="s">
        <v>2884</v>
      </c>
      <c r="Y152" s="1135"/>
      <c r="Z152" s="1135">
        <v>0</v>
      </c>
      <c r="AA152" s="1107">
        <f>ROUND(IF(H152&lt;&gt;"",VLOOKUP(SUM(I152+J152),'CONCEPTOS Y PARAMETROS'!F:G,2,0)*V152,0),2)</f>
        <v>31.68</v>
      </c>
      <c r="AB152" s="1107">
        <f>IF(S152&lt;&gt;"",IF(M152="",'CONCEPTOS Y PARAMETROS'!$C$4,0),0)</f>
        <v>130</v>
      </c>
      <c r="AC152" s="1107">
        <f>IF(S152&lt;&gt;"",IF(M152="",'CONCEPTOS Y PARAMETROS'!$C$7*Z152,0),0)</f>
        <v>0</v>
      </c>
      <c r="AD152" s="1107">
        <f>IFERROR(ROUND(VLOOKUP($X152,'CONCEPTOS Y PARAMETROS'!H:I,2,0)*($V152+AA152+AB152+AC152),2),0)</f>
        <v>0</v>
      </c>
      <c r="AE152" s="1107">
        <f t="shared" si="287"/>
        <v>161.68</v>
      </c>
      <c r="AF152" s="1107">
        <f t="shared" si="292"/>
        <v>15.84</v>
      </c>
      <c r="AG152" s="1107">
        <f t="shared" si="293"/>
        <v>15.84</v>
      </c>
      <c r="AH152" s="1107">
        <f t="shared" si="294"/>
        <v>65</v>
      </c>
      <c r="AI152" s="1107">
        <f t="shared" si="295"/>
        <v>65</v>
      </c>
      <c r="AJ152" s="1107">
        <f t="shared" si="296"/>
        <v>0</v>
      </c>
      <c r="AK152" s="1107">
        <f t="shared" si="297"/>
        <v>0</v>
      </c>
      <c r="AL152" s="1108">
        <f t="shared" si="298"/>
        <v>80.84</v>
      </c>
      <c r="AM152" s="1108">
        <f t="shared" si="299"/>
        <v>80.84</v>
      </c>
      <c r="AN152" s="990">
        <v>0</v>
      </c>
      <c r="AO152" s="1147">
        <f>'CONCEPTOS Y PARAMETROS'!$C$18*AN152</f>
        <v>0</v>
      </c>
      <c r="AP152" s="990">
        <v>0</v>
      </c>
      <c r="AQ152" s="1147">
        <f>'CONCEPTOS Y PARAMETROS'!$C$21*AP152</f>
        <v>0</v>
      </c>
      <c r="AR152" s="1318">
        <v>0</v>
      </c>
      <c r="AS152" s="1318">
        <v>0</v>
      </c>
      <c r="AT152" s="1318">
        <f t="shared" si="355"/>
        <v>0</v>
      </c>
      <c r="AU152" s="1108">
        <f t="shared" si="280"/>
        <v>337.68</v>
      </c>
      <c r="AV152" s="1133">
        <v>0</v>
      </c>
      <c r="AW152" s="1108">
        <f t="shared" si="352"/>
        <v>0</v>
      </c>
      <c r="AX152" s="1107">
        <f>IF(T152&lt;&gt;"0",(ROUND(IF(A152="EMPLEADO",eval_formula('CONCEPTOS Y PARAMETROS'!$C$8,NOMINA!V152,NOMINA!$AU152,NOMINA!I152+NOMINA!J152),eval_formula('CONCEPTOS Y PARAMETROS'!$D$8,NOMINA!V152,NOMINA!$AU152,NOMINA!I152+NOMINA!J152)),2))*IF(H152&lt;&gt;"",IF(MONTH(H152)=$BR$8,IF(YEAR(H152)&lt;$BT$7,1,0),0)))</f>
        <v>0</v>
      </c>
      <c r="AY152" s="1108">
        <v>180</v>
      </c>
      <c r="AZ152" s="1107">
        <f>IFERROR(VLOOKUP(AY152,'CONCEPTOS Y PARAMETROS'!Y:Z,2,0),0)</f>
        <v>150</v>
      </c>
      <c r="BA152" s="1107">
        <f t="shared" si="300"/>
        <v>2532.6</v>
      </c>
      <c r="BB152" s="1107">
        <f t="shared" si="353"/>
        <v>0</v>
      </c>
      <c r="BC152" s="990">
        <v>0</v>
      </c>
      <c r="BD152" s="1107" t="str">
        <f t="shared" si="281"/>
        <v>0</v>
      </c>
      <c r="BE152" s="990">
        <v>0</v>
      </c>
      <c r="BF152" s="1107">
        <f t="shared" si="329"/>
        <v>0</v>
      </c>
      <c r="BG152" s="1108">
        <v>320</v>
      </c>
      <c r="BH152" s="1108">
        <v>0</v>
      </c>
      <c r="BI152" s="1132">
        <v>0</v>
      </c>
      <c r="BJ152" s="1108">
        <v>12.5</v>
      </c>
      <c r="BK152" s="1108">
        <v>0</v>
      </c>
      <c r="BL152" s="1107">
        <f t="shared" si="324"/>
        <v>15.59</v>
      </c>
      <c r="BM152" s="1107">
        <f t="shared" si="325"/>
        <v>1.95</v>
      </c>
      <c r="BN152" s="1107">
        <f t="shared" si="262"/>
        <v>3.38</v>
      </c>
      <c r="BO152" s="1107">
        <v>0</v>
      </c>
      <c r="BP152" s="1107">
        <v>0</v>
      </c>
      <c r="BQ152" s="1320">
        <f t="shared" si="301"/>
        <v>20.92</v>
      </c>
      <c r="BR152" s="1107">
        <f t="shared" si="326"/>
        <v>35.07</v>
      </c>
      <c r="BS152" s="1107">
        <f t="shared" si="327"/>
        <v>7.79</v>
      </c>
      <c r="BT152" s="1107">
        <f t="shared" si="263"/>
        <v>6.76</v>
      </c>
      <c r="BU152" s="1107">
        <v>0</v>
      </c>
      <c r="BV152" s="1108">
        <f t="shared" si="302"/>
        <v>49.62</v>
      </c>
      <c r="BW152" s="1112">
        <f t="shared" si="303"/>
        <v>70.539999999999992</v>
      </c>
      <c r="BX152" s="1112">
        <f t="shared" si="328"/>
        <v>633.15</v>
      </c>
      <c r="BY152" s="1108">
        <v>0</v>
      </c>
      <c r="BZ152" s="1108">
        <f t="shared" si="282"/>
        <v>633.15</v>
      </c>
      <c r="CA152" s="1321">
        <f>'CONCEPTOS Y PARAMETROS'!$A$102</f>
        <v>6255</v>
      </c>
      <c r="CB152" s="1112">
        <f t="shared" si="264"/>
        <v>147.92000000000002</v>
      </c>
      <c r="CC152" s="1113">
        <f t="shared" si="265"/>
        <v>501.34</v>
      </c>
      <c r="CD152" s="512"/>
      <c r="CE152" s="512"/>
      <c r="CF152" s="470">
        <f t="shared" si="266"/>
        <v>808.84</v>
      </c>
      <c r="CG152" s="495">
        <f t="shared" si="283"/>
        <v>147.92000000000002</v>
      </c>
      <c r="CH152" s="498">
        <f t="shared" si="267"/>
        <v>12.5</v>
      </c>
      <c r="CI152" s="1490">
        <f t="shared" si="284"/>
        <v>320</v>
      </c>
      <c r="CJ152" s="1500">
        <v>1</v>
      </c>
      <c r="CK152" s="495">
        <f t="shared" si="268"/>
        <v>488.84000000000003</v>
      </c>
      <c r="CL152" s="1689">
        <f t="shared" si="269"/>
        <v>488.84</v>
      </c>
      <c r="CM152" s="1689">
        <f t="shared" si="270"/>
        <v>0</v>
      </c>
      <c r="CN152" s="496">
        <f t="shared" si="271"/>
        <v>0</v>
      </c>
      <c r="CO152" s="497">
        <v>0</v>
      </c>
      <c r="CP152" s="496">
        <f t="shared" si="272"/>
        <v>0</v>
      </c>
      <c r="CQ152" s="496">
        <f t="shared" si="273"/>
        <v>0</v>
      </c>
      <c r="CR152" s="496">
        <f t="shared" si="274"/>
        <v>977.68000000000006</v>
      </c>
      <c r="CS152" s="496">
        <f t="shared" si="275"/>
        <v>70.539999999999992</v>
      </c>
      <c r="CT152" s="496">
        <f t="shared" si="276"/>
        <v>6255</v>
      </c>
      <c r="CU152" s="470"/>
      <c r="CV152" s="470"/>
      <c r="CW152" s="470"/>
      <c r="CX152" s="470"/>
      <c r="CY152" s="1149" t="s">
        <v>6950</v>
      </c>
      <c r="CZ152" s="1149" t="s">
        <v>6858</v>
      </c>
      <c r="DA152" s="480"/>
      <c r="DB152" s="1642" t="s">
        <v>6334</v>
      </c>
      <c r="DC152" s="1642"/>
      <c r="DD152" s="1642" t="s">
        <v>6150</v>
      </c>
      <c r="DE152" s="1642" t="s">
        <v>6257</v>
      </c>
      <c r="DF152" s="1642" t="s">
        <v>7382</v>
      </c>
      <c r="DG152" s="1642" t="s">
        <v>7383</v>
      </c>
      <c r="DH152" s="512"/>
      <c r="DI152" s="512"/>
      <c r="DJ152" s="470"/>
      <c r="DK152" s="470"/>
      <c r="DL152" s="470"/>
      <c r="DN152" s="471" t="str">
        <f>VLOOKUP(X152,Hoja1!$A$4:$B$10,2,0)</f>
        <v>BACHILLER</v>
      </c>
      <c r="DO152" s="471" t="str">
        <f>VLOOKUP(S152,Hoja1!$D$4:$F$77,3,0)</f>
        <v>BIII - VI</v>
      </c>
      <c r="DP152" s="1156" t="str">
        <f t="shared" si="277"/>
        <v>0</v>
      </c>
      <c r="DQ152" s="1484">
        <f>IF(T152&lt;&gt;"0",(ROUND(IF(A152="EMPLEADO",eval_formula('CONCEPTOS Y PARAMETROS'!$C$8,NOMINA!V152,AU152+BF152,NOMINA!I152+NOMINA!J152),eval_formula('CONCEPTOS Y PARAMETROS'!$D$8,NOMINA!V152,AU152+BF152,NOMINA!I152+NOMINA!J152)),2))*IF(H152&lt;&gt;"",IF(MONTH(H152)=$BR$8,IF(YEAR(H152)&lt;$BT$7,1,0),0)))</f>
        <v>0</v>
      </c>
      <c r="DR152" s="1801" t="str">
        <f t="shared" si="278"/>
        <v>F</v>
      </c>
      <c r="DS152" s="1801"/>
    </row>
    <row r="153" spans="1:123" s="471" customFormat="1" ht="21.95" customHeight="1" x14ac:dyDescent="0.25">
      <c r="A153" s="508" t="s">
        <v>2846</v>
      </c>
      <c r="B153" s="1314">
        <f t="shared" ca="1" si="347"/>
        <v>110</v>
      </c>
      <c r="C153" s="1148">
        <v>14928260</v>
      </c>
      <c r="D153" s="1149" t="s">
        <v>4796</v>
      </c>
      <c r="E153" s="1135" t="s">
        <v>4622</v>
      </c>
      <c r="F153" s="1150">
        <v>29953</v>
      </c>
      <c r="G153" s="1135" t="s">
        <v>4620</v>
      </c>
      <c r="H153" s="1150">
        <v>39104</v>
      </c>
      <c r="I153" s="1140">
        <f t="shared" si="261"/>
        <v>18</v>
      </c>
      <c r="J153" s="1132">
        <v>0</v>
      </c>
      <c r="K153" s="1140">
        <f t="shared" si="279"/>
        <v>18</v>
      </c>
      <c r="L153" s="1145" t="s">
        <v>5539</v>
      </c>
      <c r="M153" s="1132"/>
      <c r="N153" s="1132"/>
      <c r="O153" s="1002" t="s">
        <v>5224</v>
      </c>
      <c r="P153" s="1132" t="s">
        <v>5356</v>
      </c>
      <c r="Q153" s="1315" t="str">
        <f>IFERROR(VLOOKUP(O153,CARGOS!A:E,2,0),"")</f>
        <v>79521</v>
      </c>
      <c r="R153" s="1327" t="s">
        <v>5224</v>
      </c>
      <c r="S153" s="1146" t="s">
        <v>5471</v>
      </c>
      <c r="T153" s="1107">
        <f>IFERROR(VLOOKUP(S153,'TAB EMP'!A:B,2,0),0)</f>
        <v>228</v>
      </c>
      <c r="U153" s="1108">
        <v>0</v>
      </c>
      <c r="V153" s="1107">
        <f t="shared" si="290"/>
        <v>228</v>
      </c>
      <c r="W153" s="1108">
        <f t="shared" si="291"/>
        <v>114</v>
      </c>
      <c r="X153" s="1135" t="s">
        <v>2844</v>
      </c>
      <c r="Y153" s="1135"/>
      <c r="Z153" s="1135">
        <v>1</v>
      </c>
      <c r="AA153" s="1107">
        <f>ROUND(IF(H153&lt;&gt;"",VLOOKUP(SUM(I153+J153),'CONCEPTOS Y PARAMETROS'!F:G,2,0)*V153,0),2)</f>
        <v>51.98</v>
      </c>
      <c r="AB153" s="1107">
        <f>IF(S153&lt;&gt;"",IF(M153="",'CONCEPTOS Y PARAMETROS'!$C$4,0),0)</f>
        <v>130</v>
      </c>
      <c r="AC153" s="1107">
        <f>IF(S153&lt;&gt;"",IF(M153="",'CONCEPTOS Y PARAMETROS'!$C$7*Z153,0),0)</f>
        <v>12.5</v>
      </c>
      <c r="AD153" s="1107">
        <f>IFERROR(ROUND(VLOOKUP($X153,'CONCEPTOS Y PARAMETROS'!H:I,2,0)*($V153+AA153+AB153+AC153),2),0)</f>
        <v>84.5</v>
      </c>
      <c r="AE153" s="1107">
        <f t="shared" si="287"/>
        <v>278.98</v>
      </c>
      <c r="AF153" s="1107">
        <f t="shared" si="292"/>
        <v>25.99</v>
      </c>
      <c r="AG153" s="1107">
        <f t="shared" si="293"/>
        <v>25.99</v>
      </c>
      <c r="AH153" s="1107">
        <f t="shared" si="294"/>
        <v>65</v>
      </c>
      <c r="AI153" s="1107">
        <f t="shared" si="295"/>
        <v>65</v>
      </c>
      <c r="AJ153" s="1107">
        <f t="shared" si="296"/>
        <v>42.25</v>
      </c>
      <c r="AK153" s="1107">
        <f t="shared" si="297"/>
        <v>42.25</v>
      </c>
      <c r="AL153" s="1108">
        <f t="shared" si="298"/>
        <v>145.74</v>
      </c>
      <c r="AM153" s="1108">
        <f t="shared" si="299"/>
        <v>133.24</v>
      </c>
      <c r="AN153" s="990">
        <v>0</v>
      </c>
      <c r="AO153" s="1147">
        <f>'CONCEPTOS Y PARAMETROS'!$C$18*AN153</f>
        <v>0</v>
      </c>
      <c r="AP153" s="990">
        <v>0</v>
      </c>
      <c r="AQ153" s="1147">
        <f>'CONCEPTOS Y PARAMETROS'!$C$21*AP153</f>
        <v>0</v>
      </c>
      <c r="AR153" s="1318">
        <v>0</v>
      </c>
      <c r="AS153" s="1318">
        <v>0</v>
      </c>
      <c r="AT153" s="1318">
        <f t="shared" si="355"/>
        <v>0</v>
      </c>
      <c r="AU153" s="1108">
        <f t="shared" si="280"/>
        <v>506.98</v>
      </c>
      <c r="AV153" s="1133">
        <v>0</v>
      </c>
      <c r="AW153" s="1108">
        <f t="shared" si="352"/>
        <v>0</v>
      </c>
      <c r="AX153" s="1107">
        <f>IF(T153&lt;&gt;"0",(ROUND(IF(A153="EMPLEADO",eval_formula('CONCEPTOS Y PARAMETROS'!$C$8,NOMINA!V153,NOMINA!$AU153,NOMINA!I153+NOMINA!J153),eval_formula('CONCEPTOS Y PARAMETROS'!$D$8,NOMINA!V153,NOMINA!$AU153,NOMINA!I153+NOMINA!J153)),2))*IF(H153&lt;&gt;"",IF(MONTH(H153)=$BR$8,IF(YEAR(H153)&lt;$BT$7,1,0),0)))</f>
        <v>0</v>
      </c>
      <c r="AY153" s="1108">
        <v>180</v>
      </c>
      <c r="AZ153" s="1107">
        <f>IFERROR(VLOOKUP(AY153,'CONCEPTOS Y PARAMETROS'!Y:Z,2,0),0)</f>
        <v>150</v>
      </c>
      <c r="BA153" s="1107">
        <f t="shared" si="300"/>
        <v>3802.35</v>
      </c>
      <c r="BB153" s="1107">
        <f t="shared" si="353"/>
        <v>0</v>
      </c>
      <c r="BC153" s="990">
        <v>0</v>
      </c>
      <c r="BD153" s="1107" t="str">
        <f t="shared" si="281"/>
        <v>0</v>
      </c>
      <c r="BE153" s="990">
        <v>0</v>
      </c>
      <c r="BF153" s="1107">
        <f t="shared" si="329"/>
        <v>0</v>
      </c>
      <c r="BG153" s="1108">
        <v>320</v>
      </c>
      <c r="BH153" s="1108">
        <v>0</v>
      </c>
      <c r="BI153" s="1132">
        <v>0</v>
      </c>
      <c r="BJ153" s="1108">
        <v>12.5</v>
      </c>
      <c r="BK153" s="1108">
        <v>0</v>
      </c>
      <c r="BL153" s="1107">
        <f t="shared" si="324"/>
        <v>23.4</v>
      </c>
      <c r="BM153" s="1107">
        <f t="shared" si="325"/>
        <v>2.92</v>
      </c>
      <c r="BN153" s="1107">
        <f t="shared" si="262"/>
        <v>5.07</v>
      </c>
      <c r="BO153" s="1107">
        <v>0</v>
      </c>
      <c r="BP153" s="1107">
        <v>0</v>
      </c>
      <c r="BQ153" s="1320">
        <f t="shared" si="301"/>
        <v>31.39</v>
      </c>
      <c r="BR153" s="1107">
        <f t="shared" si="326"/>
        <v>52.65</v>
      </c>
      <c r="BS153" s="1107">
        <f t="shared" si="327"/>
        <v>11.7</v>
      </c>
      <c r="BT153" s="1107">
        <f t="shared" si="263"/>
        <v>10.14</v>
      </c>
      <c r="BU153" s="1107">
        <v>0</v>
      </c>
      <c r="BV153" s="1108">
        <f t="shared" si="302"/>
        <v>74.489999999999995</v>
      </c>
      <c r="BW153" s="1112">
        <f t="shared" si="303"/>
        <v>105.88</v>
      </c>
      <c r="BX153" s="1112">
        <f t="shared" ref="BX153:BX183" si="356">ROUND(BA153/4,2)</f>
        <v>950.59</v>
      </c>
      <c r="BY153" s="1108">
        <v>0</v>
      </c>
      <c r="BZ153" s="1108">
        <f t="shared" si="282"/>
        <v>950.59</v>
      </c>
      <c r="CA153" s="1321">
        <f>'CONCEPTOS Y PARAMETROS'!$A$102</f>
        <v>6255</v>
      </c>
      <c r="CB153" s="1112">
        <f t="shared" si="264"/>
        <v>228.35000000000002</v>
      </c>
      <c r="CC153" s="1113">
        <f t="shared" si="265"/>
        <v>579.74</v>
      </c>
      <c r="CD153" s="512"/>
      <c r="CE153" s="512"/>
      <c r="CF153" s="470">
        <f t="shared" si="266"/>
        <v>887.24</v>
      </c>
      <c r="CG153" s="495">
        <f t="shared" si="283"/>
        <v>228.35000000000002</v>
      </c>
      <c r="CH153" s="498">
        <f t="shared" si="267"/>
        <v>12.5</v>
      </c>
      <c r="CI153" s="1490">
        <f t="shared" si="284"/>
        <v>320</v>
      </c>
      <c r="CJ153" s="1500">
        <v>1</v>
      </c>
      <c r="CK153" s="495">
        <f t="shared" si="268"/>
        <v>567.24</v>
      </c>
      <c r="CL153" s="1689">
        <f t="shared" si="269"/>
        <v>567.24</v>
      </c>
      <c r="CM153" s="1689">
        <f t="shared" si="270"/>
        <v>0</v>
      </c>
      <c r="CN153" s="496">
        <f t="shared" si="271"/>
        <v>0</v>
      </c>
      <c r="CO153" s="497">
        <v>0</v>
      </c>
      <c r="CP153" s="496">
        <f t="shared" si="272"/>
        <v>0</v>
      </c>
      <c r="CQ153" s="496">
        <f t="shared" si="273"/>
        <v>0</v>
      </c>
      <c r="CR153" s="496">
        <f t="shared" si="274"/>
        <v>1134.48</v>
      </c>
      <c r="CS153" s="496">
        <f t="shared" si="275"/>
        <v>105.88</v>
      </c>
      <c r="CT153" s="496">
        <f t="shared" si="276"/>
        <v>6255</v>
      </c>
      <c r="CU153" s="470"/>
      <c r="CV153" s="470"/>
      <c r="CW153" s="470"/>
      <c r="CX153" s="470"/>
      <c r="CY153" s="1149" t="s">
        <v>6880</v>
      </c>
      <c r="CZ153" s="1149" t="s">
        <v>6857</v>
      </c>
      <c r="DA153" s="480"/>
      <c r="DB153" s="1642" t="s">
        <v>6356</v>
      </c>
      <c r="DC153" s="1642"/>
      <c r="DD153" s="1642" t="s">
        <v>6156</v>
      </c>
      <c r="DE153" s="1642" t="s">
        <v>6217</v>
      </c>
      <c r="DF153" s="1642" t="s">
        <v>6559</v>
      </c>
      <c r="DG153" s="1152"/>
      <c r="DH153" s="512"/>
      <c r="DI153" s="512"/>
      <c r="DJ153" s="470"/>
      <c r="DK153" s="470"/>
      <c r="DL153" s="470"/>
      <c r="DN153" s="471" t="str">
        <f>VLOOKUP(X153,Hoja1!$A$4:$B$10,2,0)</f>
        <v>TÉCNICO SUPERIOR UNIVERSITARIO</v>
      </c>
      <c r="DO153" s="471" t="str">
        <f>VLOOKUP(S153,Hoja1!$D$4:$F$77,3,0)</f>
        <v>TII - VII</v>
      </c>
      <c r="DP153" s="1156" t="str">
        <f t="shared" si="277"/>
        <v>0</v>
      </c>
      <c r="DQ153" s="1484">
        <f>IF(T153&lt;&gt;"0",(ROUND(IF(A153="EMPLEADO",eval_formula('CONCEPTOS Y PARAMETROS'!$C$8,NOMINA!V153,AU153+BF153,NOMINA!I153+NOMINA!J153),eval_formula('CONCEPTOS Y PARAMETROS'!$D$8,NOMINA!V153,AU153+BF153,NOMINA!I153+NOMINA!J153)),2))*IF(H153&lt;&gt;"",IF(MONTH(H153)=$BR$8,IF(YEAR(H153)&lt;$BT$7,1,0),0)))</f>
        <v>0</v>
      </c>
      <c r="DR153" s="1801" t="str">
        <f t="shared" si="278"/>
        <v>F</v>
      </c>
      <c r="DS153" s="1801"/>
    </row>
    <row r="154" spans="1:123" s="471" customFormat="1" ht="21.95" customHeight="1" x14ac:dyDescent="0.25">
      <c r="A154" s="508" t="s">
        <v>2846</v>
      </c>
      <c r="B154" s="1314">
        <f t="shared" ca="1" si="347"/>
        <v>111</v>
      </c>
      <c r="C154" s="1148">
        <v>14929642</v>
      </c>
      <c r="D154" s="1149" t="s">
        <v>7575</v>
      </c>
      <c r="E154" s="1135" t="s">
        <v>4622</v>
      </c>
      <c r="F154" s="1150">
        <v>29896</v>
      </c>
      <c r="G154" s="1135" t="s">
        <v>4620</v>
      </c>
      <c r="H154" s="1150">
        <v>43419</v>
      </c>
      <c r="I154" s="1140">
        <f t="shared" si="261"/>
        <v>6</v>
      </c>
      <c r="J154" s="1132">
        <v>0</v>
      </c>
      <c r="K154" s="1140">
        <f t="shared" si="279"/>
        <v>6</v>
      </c>
      <c r="L154" s="1145" t="s">
        <v>5535</v>
      </c>
      <c r="M154" s="1132"/>
      <c r="N154" s="1132"/>
      <c r="O154" s="1002" t="s">
        <v>1164</v>
      </c>
      <c r="P154" s="1132" t="s">
        <v>5357</v>
      </c>
      <c r="Q154" s="1315" t="str">
        <f>IFERROR(VLOOKUP(O154,CARGOS!A:E,2,0),"")</f>
        <v>79512</v>
      </c>
      <c r="R154" s="1327" t="s">
        <v>5217</v>
      </c>
      <c r="S154" s="1146" t="s">
        <v>5478</v>
      </c>
      <c r="T154" s="1107">
        <f>IFERROR(VLOOKUP(S154,'TAB EMP'!A:B,2,0),0)</f>
        <v>221</v>
      </c>
      <c r="U154" s="1108">
        <v>0</v>
      </c>
      <c r="V154" s="1107">
        <f t="shared" si="290"/>
        <v>221</v>
      </c>
      <c r="W154" s="1108">
        <f t="shared" si="291"/>
        <v>110.5</v>
      </c>
      <c r="X154" s="1135" t="s">
        <v>2844</v>
      </c>
      <c r="Y154" s="1135"/>
      <c r="Z154" s="1135">
        <v>1</v>
      </c>
      <c r="AA154" s="1107">
        <f>ROUND(IF(H154&lt;&gt;"",VLOOKUP(SUM(I154+J154),'CONCEPTOS Y PARAMETROS'!F:G,2,0)*V154,0),2)</f>
        <v>13.7</v>
      </c>
      <c r="AB154" s="1107">
        <f>IF(S154&lt;&gt;"",IF(M154="",'CONCEPTOS Y PARAMETROS'!$C$4,0),0)</f>
        <v>130</v>
      </c>
      <c r="AC154" s="1107">
        <f>IF(S154&lt;&gt;"",IF(M154="",'CONCEPTOS Y PARAMETROS'!$C$7*Z154,0),0)</f>
        <v>12.5</v>
      </c>
      <c r="AD154" s="1107">
        <f>IFERROR(ROUND(VLOOKUP($X154,'CONCEPTOS Y PARAMETROS'!H:I,2,0)*($V154+AA154+AB154+AC154),2),0)</f>
        <v>75.44</v>
      </c>
      <c r="AE154" s="1107">
        <f t="shared" si="287"/>
        <v>231.64</v>
      </c>
      <c r="AF154" s="1107">
        <f t="shared" si="292"/>
        <v>6.85</v>
      </c>
      <c r="AG154" s="1107">
        <f t="shared" si="293"/>
        <v>6.85</v>
      </c>
      <c r="AH154" s="1107">
        <f t="shared" si="294"/>
        <v>65</v>
      </c>
      <c r="AI154" s="1107">
        <f t="shared" si="295"/>
        <v>65</v>
      </c>
      <c r="AJ154" s="1107">
        <f t="shared" si="296"/>
        <v>37.72</v>
      </c>
      <c r="AK154" s="1107">
        <f t="shared" si="297"/>
        <v>37.72</v>
      </c>
      <c r="AL154" s="1108">
        <f t="shared" si="298"/>
        <v>122.07</v>
      </c>
      <c r="AM154" s="1108">
        <f t="shared" si="299"/>
        <v>109.57</v>
      </c>
      <c r="AN154" s="1453">
        <v>1</v>
      </c>
      <c r="AO154" s="1147">
        <f>'CONCEPTOS Y PARAMETROS'!$C$18*AN154</f>
        <v>12.5</v>
      </c>
      <c r="AP154" s="990">
        <v>0</v>
      </c>
      <c r="AQ154" s="1147">
        <f>'CONCEPTOS Y PARAMETROS'!$C$21*AP154</f>
        <v>0</v>
      </c>
      <c r="AR154" s="1318">
        <v>0</v>
      </c>
      <c r="AS154" s="1318">
        <v>0</v>
      </c>
      <c r="AT154" s="1318">
        <f t="shared" si="355"/>
        <v>12.5</v>
      </c>
      <c r="AU154" s="1108">
        <f t="shared" si="280"/>
        <v>588.42999999999995</v>
      </c>
      <c r="AV154" s="1133" t="s">
        <v>5080</v>
      </c>
      <c r="AW154" s="1108">
        <f t="shared" si="352"/>
        <v>135.79</v>
      </c>
      <c r="AX154" s="1107">
        <f>IF(T154&lt;&gt;"0",(ROUND(IF(A154="EMPLEADO",eval_formula('CONCEPTOS Y PARAMETROS'!$C$8,NOMINA!V154,NOMINA!$AU154,NOMINA!I154+NOMINA!J154),eval_formula('CONCEPTOS Y PARAMETROS'!$D$8,NOMINA!V154,NOMINA!$AU154,NOMINA!I154+NOMINA!J154)),2))*IF(H154&lt;&gt;"",IF(MONTH(H154)=$BR$8,IF(YEAR(H154)&lt;$BT$7,1,0),0)))</f>
        <v>0</v>
      </c>
      <c r="AY154" s="1108">
        <v>180</v>
      </c>
      <c r="AZ154" s="1107">
        <f>IFERROR(VLOOKUP(AY154,'CONCEPTOS Y PARAMETROS'!Y:Z,2,0),0)</f>
        <v>150</v>
      </c>
      <c r="BA154" s="1107">
        <f t="shared" si="300"/>
        <v>4413.2299999999996</v>
      </c>
      <c r="BB154" s="1107">
        <f t="shared" si="353"/>
        <v>0</v>
      </c>
      <c r="BC154" s="990">
        <v>0</v>
      </c>
      <c r="BD154" s="1107" t="str">
        <f t="shared" si="281"/>
        <v>0</v>
      </c>
      <c r="BE154" s="990">
        <v>3</v>
      </c>
      <c r="BF154" s="1107">
        <f t="shared" ref="BF154:BF184" si="357">ROUND(IF(BE154&gt;0,(((V154+AA154+AB154+AC154+AD154+AW154)/30)*50%+((V154+AA154+AB154+AC154+AD154+AW154)/30))*BE154,"0"),2)</f>
        <v>88.26</v>
      </c>
      <c r="BG154" s="1108">
        <v>320</v>
      </c>
      <c r="BH154" s="1108">
        <v>0</v>
      </c>
      <c r="BI154" s="1132">
        <v>0</v>
      </c>
      <c r="BJ154" s="1108">
        <v>12.5</v>
      </c>
      <c r="BK154" s="1108">
        <v>0</v>
      </c>
      <c r="BL154" s="1107">
        <f t="shared" si="324"/>
        <v>27.16</v>
      </c>
      <c r="BM154" s="1107">
        <f t="shared" si="325"/>
        <v>3.39</v>
      </c>
      <c r="BN154" s="1107">
        <f t="shared" si="262"/>
        <v>5.88</v>
      </c>
      <c r="BO154" s="1107">
        <v>0</v>
      </c>
      <c r="BP154" s="1107">
        <v>0</v>
      </c>
      <c r="BQ154" s="1320">
        <f t="shared" si="301"/>
        <v>36.43</v>
      </c>
      <c r="BR154" s="1107">
        <f t="shared" si="326"/>
        <v>61.11</v>
      </c>
      <c r="BS154" s="1107">
        <f t="shared" si="327"/>
        <v>13.58</v>
      </c>
      <c r="BT154" s="1107">
        <f t="shared" si="263"/>
        <v>11.76</v>
      </c>
      <c r="BU154" s="1107">
        <v>0</v>
      </c>
      <c r="BV154" s="1108">
        <f t="shared" si="302"/>
        <v>86.45</v>
      </c>
      <c r="BW154" s="1112">
        <f t="shared" si="303"/>
        <v>122.88</v>
      </c>
      <c r="BX154" s="1112">
        <f t="shared" si="356"/>
        <v>1103.31</v>
      </c>
      <c r="BY154" s="1108">
        <v>0</v>
      </c>
      <c r="BZ154" s="1108">
        <f t="shared" si="282"/>
        <v>1103.31</v>
      </c>
      <c r="CA154" s="1321">
        <f>'CONCEPTOS Y PARAMETROS'!$A$102</f>
        <v>6255</v>
      </c>
      <c r="CB154" s="1112">
        <f t="shared" si="264"/>
        <v>196.14</v>
      </c>
      <c r="CC154" s="1113">
        <f t="shared" si="265"/>
        <v>789.12</v>
      </c>
      <c r="CD154" s="512"/>
      <c r="CE154" s="512"/>
      <c r="CF154" s="470">
        <f t="shared" si="266"/>
        <v>860.06999999999994</v>
      </c>
      <c r="CG154" s="495">
        <f t="shared" si="283"/>
        <v>196.14</v>
      </c>
      <c r="CH154" s="498">
        <f t="shared" si="267"/>
        <v>25</v>
      </c>
      <c r="CI154" s="1490">
        <f t="shared" si="284"/>
        <v>320</v>
      </c>
      <c r="CJ154" s="1500">
        <v>1</v>
      </c>
      <c r="CK154" s="495">
        <f t="shared" si="268"/>
        <v>540.06999999999994</v>
      </c>
      <c r="CL154" s="1689">
        <f t="shared" si="269"/>
        <v>540.07000000000005</v>
      </c>
      <c r="CM154" s="1689">
        <f t="shared" si="270"/>
        <v>0</v>
      </c>
      <c r="CN154" s="496">
        <f t="shared" si="271"/>
        <v>88.26</v>
      </c>
      <c r="CO154" s="497">
        <v>0</v>
      </c>
      <c r="CP154" s="496">
        <f t="shared" si="272"/>
        <v>135.79</v>
      </c>
      <c r="CQ154" s="496">
        <f t="shared" si="273"/>
        <v>0</v>
      </c>
      <c r="CR154" s="496">
        <f t="shared" si="274"/>
        <v>1304.1899999999998</v>
      </c>
      <c r="CS154" s="496">
        <f t="shared" si="275"/>
        <v>122.88</v>
      </c>
      <c r="CT154" s="496">
        <f t="shared" si="276"/>
        <v>6255</v>
      </c>
      <c r="CU154" s="470"/>
      <c r="CV154" s="470"/>
      <c r="CW154" s="470"/>
      <c r="CX154" s="470"/>
      <c r="CY154" s="1149" t="s">
        <v>6859</v>
      </c>
      <c r="CZ154" s="1149" t="s">
        <v>7126</v>
      </c>
      <c r="DA154" s="480"/>
      <c r="DB154" s="1642" t="s">
        <v>6221</v>
      </c>
      <c r="DC154" s="1642"/>
      <c r="DD154" s="1642" t="s">
        <v>6158</v>
      </c>
      <c r="DE154" s="1642" t="s">
        <v>6222</v>
      </c>
      <c r="DF154" s="1642" t="s">
        <v>6223</v>
      </c>
      <c r="DG154" s="1642"/>
      <c r="DH154" s="512"/>
      <c r="DI154" s="512"/>
      <c r="DJ154" s="470"/>
      <c r="DK154" s="470"/>
      <c r="DL154" s="470"/>
      <c r="DN154" s="471" t="str">
        <f>VLOOKUP(X154,Hoja1!$A$4:$B$10,2,0)</f>
        <v>TÉCNICO SUPERIOR UNIVERSITARIO</v>
      </c>
      <c r="DO154" s="471" t="str">
        <f>VLOOKUP(S154,Hoja1!$D$4:$F$77,3,0)</f>
        <v>TII - III</v>
      </c>
      <c r="DP154" s="1156" t="str">
        <f t="shared" si="277"/>
        <v>SI</v>
      </c>
      <c r="DQ154" s="1484">
        <f>IF(T154&lt;&gt;"0",(ROUND(IF(A154="EMPLEADO",eval_formula('CONCEPTOS Y PARAMETROS'!$C$8,NOMINA!V154,AU154+BF154,NOMINA!I154+NOMINA!J154),eval_formula('CONCEPTOS Y PARAMETROS'!$D$8,NOMINA!V154,AU154+BF154,NOMINA!I154+NOMINA!J154)),2))*IF(H154&lt;&gt;"",IF(MONTH(H154)=$BR$8,IF(YEAR(H154)&lt;$BT$7,1,0),0)))</f>
        <v>0</v>
      </c>
      <c r="DR154" s="1801" t="str">
        <f t="shared" si="278"/>
        <v>F</v>
      </c>
      <c r="DS154" s="1801"/>
    </row>
    <row r="155" spans="1:123" s="476" customFormat="1" ht="21.95" customHeight="1" x14ac:dyDescent="0.25">
      <c r="A155" s="508" t="s">
        <v>2846</v>
      </c>
      <c r="B155" s="1314">
        <f ca="1">OFFSET(B155,-1,0)+1</f>
        <v>112</v>
      </c>
      <c r="C155" s="1148">
        <v>14986675</v>
      </c>
      <c r="D155" s="1149" t="s">
        <v>5020</v>
      </c>
      <c r="E155" s="1135" t="s">
        <v>4622</v>
      </c>
      <c r="F155" s="1118">
        <v>29947</v>
      </c>
      <c r="G155" s="1135" t="s">
        <v>4620</v>
      </c>
      <c r="H155" s="1118">
        <v>44805</v>
      </c>
      <c r="I155" s="1140">
        <f t="shared" si="261"/>
        <v>3</v>
      </c>
      <c r="J155" s="1132">
        <v>0</v>
      </c>
      <c r="K155" s="1140">
        <f t="shared" si="279"/>
        <v>3</v>
      </c>
      <c r="L155" s="1352" t="s">
        <v>5524</v>
      </c>
      <c r="M155" s="1132"/>
      <c r="N155" s="1132"/>
      <c r="O155" s="1324" t="s">
        <v>5224</v>
      </c>
      <c r="P155" s="1132" t="s">
        <v>5195</v>
      </c>
      <c r="Q155" s="1315" t="str">
        <f>IFERROR(VLOOKUP(O155,CARGOS!A:E,2,0),"")</f>
        <v>79521</v>
      </c>
      <c r="R155" s="1324" t="s">
        <v>5224</v>
      </c>
      <c r="S155" s="1146" t="s">
        <v>5467</v>
      </c>
      <c r="T155" s="1107">
        <f>IFERROR(VLOOKUP(S155,'TAB EMP'!A:B,2,0),0)</f>
        <v>277</v>
      </c>
      <c r="U155" s="1108">
        <v>0</v>
      </c>
      <c r="V155" s="1107">
        <f>T155-U155</f>
        <v>277</v>
      </c>
      <c r="W155" s="1108">
        <f>ROUND(V155/2,2)</f>
        <v>138.5</v>
      </c>
      <c r="X155" s="1135" t="s">
        <v>2885</v>
      </c>
      <c r="Y155" s="1135"/>
      <c r="Z155" s="1135">
        <v>1</v>
      </c>
      <c r="AA155" s="1107">
        <f>ROUND(IF(H155&lt;&gt;"",VLOOKUP(SUM(I155+J155),'CONCEPTOS Y PARAMETROS'!F:G,2,0)*V155,0),2)</f>
        <v>8.31</v>
      </c>
      <c r="AB155" s="1107">
        <f>IF(S155&lt;&gt;"",IF(M155="",'CONCEPTOS Y PARAMETROS'!$C$4,0),0)</f>
        <v>130</v>
      </c>
      <c r="AC155" s="1107">
        <f>IF(S155&lt;&gt;"",IF(M155="",'CONCEPTOS Y PARAMETROS'!$C$7*Z155,0),0)</f>
        <v>12.5</v>
      </c>
      <c r="AD155" s="1107">
        <f>IFERROR(ROUND(VLOOKUP($X155,'CONCEPTOS Y PARAMETROS'!H:I,2,0)*($V155+AA155+AB155+AC155),2),0)</f>
        <v>106.95</v>
      </c>
      <c r="AE155" s="1107">
        <f>SUM(AA155:AD155)</f>
        <v>257.76</v>
      </c>
      <c r="AF155" s="1107">
        <f>ROUND(AA155/2,2)</f>
        <v>4.16</v>
      </c>
      <c r="AG155" s="1107">
        <f>ROUND(AA155-AF155,2)</f>
        <v>4.1500000000000004</v>
      </c>
      <c r="AH155" s="1107">
        <f>ROUND(AB155/2,2)</f>
        <v>65</v>
      </c>
      <c r="AI155" s="1107">
        <f>ROUND(AB155-AH155,2)</f>
        <v>65</v>
      </c>
      <c r="AJ155" s="1107">
        <f>ROUND(AD155/2,2)</f>
        <v>53.48</v>
      </c>
      <c r="AK155" s="1107">
        <f>ROUND(AD155-AJ155,2)</f>
        <v>53.47</v>
      </c>
      <c r="AL155" s="1108">
        <f>ROUND(AF155+AH155+AJ155+AC155,2)</f>
        <v>135.13999999999999</v>
      </c>
      <c r="AM155" s="1108">
        <f>ROUND(AG155+AI155+AK155,2)</f>
        <v>122.62</v>
      </c>
      <c r="AN155" s="990">
        <v>0</v>
      </c>
      <c r="AO155" s="1147">
        <f>'CONCEPTOS Y PARAMETROS'!$C$18*AN155</f>
        <v>0</v>
      </c>
      <c r="AP155" s="990">
        <v>0</v>
      </c>
      <c r="AQ155" s="1147">
        <f>'CONCEPTOS Y PARAMETROS'!$C$21*AP155</f>
        <v>0</v>
      </c>
      <c r="AR155" s="1318">
        <v>0</v>
      </c>
      <c r="AS155" s="1318">
        <v>0</v>
      </c>
      <c r="AT155" s="1318">
        <f>+AO155+AQ155+AR155+AS155</f>
        <v>0</v>
      </c>
      <c r="AU155" s="1108">
        <f t="shared" si="280"/>
        <v>534.76</v>
      </c>
      <c r="AV155" s="1133">
        <v>0</v>
      </c>
      <c r="AW155" s="1108">
        <f>ROUND(IF(O155="VIGILANTE",(V155+AE155)*30%,0),2)</f>
        <v>0</v>
      </c>
      <c r="AX155" s="1107">
        <f>IF(T155&lt;&gt;"0",(ROUND(IF(A155="EMPLEADO",eval_formula('CONCEPTOS Y PARAMETROS'!$C$8,NOMINA!V155,NOMINA!$AU155,NOMINA!I155+NOMINA!J155),eval_formula('CONCEPTOS Y PARAMETROS'!$D$8,NOMINA!V155,NOMINA!$AU155,NOMINA!I155+NOMINA!J155)),2))*IF(H155&lt;&gt;"",IF(MONTH(H155)=$BR$8,IF(YEAR(H155)&lt;$BT$7,1,0),0)))</f>
        <v>4278.08</v>
      </c>
      <c r="AY155" s="1108">
        <v>180</v>
      </c>
      <c r="AZ155" s="1107">
        <f>IFERROR(VLOOKUP(AY155,'CONCEPTOS Y PARAMETROS'!Y:Z,2,0),0)</f>
        <v>150</v>
      </c>
      <c r="BA155" s="1107">
        <f>ROUND((((AU155))/30*AY155/12+(AU155))/30*AZ155,2)</f>
        <v>4010.7</v>
      </c>
      <c r="BB155" s="1107">
        <f t="shared" si="353"/>
        <v>0</v>
      </c>
      <c r="BC155" s="990">
        <v>0</v>
      </c>
      <c r="BD155" s="1107" t="str">
        <f t="shared" si="281"/>
        <v>0</v>
      </c>
      <c r="BE155" s="990">
        <v>0</v>
      </c>
      <c r="BF155" s="1107">
        <f t="shared" si="357"/>
        <v>0</v>
      </c>
      <c r="BG155" s="1108">
        <v>320</v>
      </c>
      <c r="BH155" s="1108">
        <v>0</v>
      </c>
      <c r="BI155" s="1132">
        <v>0</v>
      </c>
      <c r="BJ155" s="1108">
        <v>12.5</v>
      </c>
      <c r="BK155" s="1108">
        <v>0</v>
      </c>
      <c r="BL155" s="1107">
        <f t="shared" si="324"/>
        <v>24.68</v>
      </c>
      <c r="BM155" s="1107">
        <f t="shared" si="325"/>
        <v>3.09</v>
      </c>
      <c r="BN155" s="1107">
        <f t="shared" si="262"/>
        <v>5.35</v>
      </c>
      <c r="BO155" s="1107">
        <v>0</v>
      </c>
      <c r="BP155" s="1107">
        <v>0</v>
      </c>
      <c r="BQ155" s="1320">
        <f t="shared" ref="BQ155" si="358">ROUND(SUM(BL155:BP155),2)</f>
        <v>33.119999999999997</v>
      </c>
      <c r="BR155" s="1107">
        <f t="shared" si="326"/>
        <v>55.53</v>
      </c>
      <c r="BS155" s="1107">
        <f t="shared" si="327"/>
        <v>12.34</v>
      </c>
      <c r="BT155" s="1107">
        <f t="shared" si="263"/>
        <v>10.7</v>
      </c>
      <c r="BU155" s="1107">
        <v>0</v>
      </c>
      <c r="BV155" s="1108">
        <f t="shared" ref="BV155" si="359">ROUND(SUM(BR155:BT155),2)</f>
        <v>78.569999999999993</v>
      </c>
      <c r="BW155" s="1112">
        <f>BQ155+BV155</f>
        <v>111.69</v>
      </c>
      <c r="BX155" s="1112">
        <f t="shared" si="356"/>
        <v>1002.68</v>
      </c>
      <c r="BY155" s="1108">
        <v>0</v>
      </c>
      <c r="BZ155" s="1108">
        <f t="shared" si="282"/>
        <v>1002.68</v>
      </c>
      <c r="CA155" s="1321">
        <f>'CONCEPTOS Y PARAMETROS'!$A$102</f>
        <v>6255</v>
      </c>
      <c r="CB155" s="1112">
        <f t="shared" si="264"/>
        <v>240.51999999999998</v>
      </c>
      <c r="CC155" s="1113">
        <f t="shared" si="265"/>
        <v>4871.7</v>
      </c>
      <c r="CD155" s="512"/>
      <c r="CE155" s="512"/>
      <c r="CF155" s="470">
        <f t="shared" si="266"/>
        <v>901.12</v>
      </c>
      <c r="CG155" s="509">
        <f t="shared" si="283"/>
        <v>240.51999999999998</v>
      </c>
      <c r="CH155" s="498">
        <f t="shared" si="267"/>
        <v>12.5</v>
      </c>
      <c r="CI155" s="1491">
        <f t="shared" si="284"/>
        <v>320</v>
      </c>
      <c r="CJ155" s="1500">
        <v>1</v>
      </c>
      <c r="CK155" s="509">
        <f t="shared" si="268"/>
        <v>581.12</v>
      </c>
      <c r="CL155" s="1689">
        <f t="shared" si="269"/>
        <v>581.12</v>
      </c>
      <c r="CM155" s="1689">
        <f t="shared" si="270"/>
        <v>0</v>
      </c>
      <c r="CN155" s="510">
        <f t="shared" si="271"/>
        <v>0</v>
      </c>
      <c r="CO155" s="511">
        <v>0</v>
      </c>
      <c r="CP155" s="510">
        <f t="shared" si="272"/>
        <v>0</v>
      </c>
      <c r="CQ155" s="510">
        <f t="shared" si="273"/>
        <v>4278.08</v>
      </c>
      <c r="CR155" s="496">
        <f t="shared" si="274"/>
        <v>5440.32</v>
      </c>
      <c r="CS155" s="510">
        <f t="shared" si="275"/>
        <v>111.69</v>
      </c>
      <c r="CT155" s="510">
        <f t="shared" si="276"/>
        <v>6255</v>
      </c>
      <c r="CU155" s="470"/>
      <c r="CV155" s="470"/>
      <c r="CW155" s="470"/>
      <c r="CX155" s="470"/>
      <c r="CY155" s="1149" t="s">
        <v>6860</v>
      </c>
      <c r="CZ155" s="1149" t="s">
        <v>6861</v>
      </c>
      <c r="DA155" s="1152"/>
      <c r="DB155" s="1152" t="s">
        <v>6151</v>
      </c>
      <c r="DC155" s="1152"/>
      <c r="DD155" s="1152" t="s">
        <v>6133</v>
      </c>
      <c r="DE155" s="1152" t="s">
        <v>6133</v>
      </c>
      <c r="DF155" s="1152" t="s">
        <v>6152</v>
      </c>
      <c r="DG155" s="1152"/>
      <c r="DH155" s="512"/>
      <c r="DI155" s="512"/>
      <c r="DJ155" s="512"/>
      <c r="DK155" s="512"/>
      <c r="DL155" s="512"/>
      <c r="DN155" s="476" t="str">
        <f>VLOOKUP(X155,Hoja1!$A$4:$B$10,2,0)</f>
        <v>PROFESIONAL</v>
      </c>
      <c r="DO155" s="476" t="str">
        <f>VLOOKUP(S155,Hoja1!$D$4:$F$77,3,0)</f>
        <v>PII - II</v>
      </c>
      <c r="DP155" s="1178" t="str">
        <f t="shared" si="277"/>
        <v>0</v>
      </c>
      <c r="DQ155" s="1484">
        <f>IF(T155&lt;&gt;"0",(ROUND(IF(A155="EMPLEADO",eval_formula('CONCEPTOS Y PARAMETROS'!$C$8,NOMINA!V155,AU155+BF155,NOMINA!I155+NOMINA!J155),eval_formula('CONCEPTOS Y PARAMETROS'!$D$8,NOMINA!V155,AU155+BF155,NOMINA!I155+NOMINA!J155)),2))*IF(H155&lt;&gt;"",IF(MONTH(H155)=$BR$8,IF(YEAR(H155)&lt;$BT$7,1,0),0)))</f>
        <v>4278.08</v>
      </c>
      <c r="DR155" s="1799" t="str">
        <f t="shared" si="278"/>
        <v>F</v>
      </c>
      <c r="DS155" s="1799"/>
    </row>
    <row r="156" spans="1:123" s="471" customFormat="1" ht="21.95" customHeight="1" x14ac:dyDescent="0.25">
      <c r="A156" s="508" t="s">
        <v>2846</v>
      </c>
      <c r="B156" s="1314">
        <f t="shared" ca="1" si="347"/>
        <v>113</v>
      </c>
      <c r="C156" s="1148">
        <v>15188927</v>
      </c>
      <c r="D156" s="1149" t="s">
        <v>4798</v>
      </c>
      <c r="E156" s="1135" t="s">
        <v>4622</v>
      </c>
      <c r="F156" s="1150">
        <v>29902</v>
      </c>
      <c r="G156" s="1135" t="s">
        <v>4620</v>
      </c>
      <c r="H156" s="1150">
        <v>44409</v>
      </c>
      <c r="I156" s="1140">
        <f t="shared" si="261"/>
        <v>4</v>
      </c>
      <c r="J156" s="1132">
        <v>0</v>
      </c>
      <c r="K156" s="1140">
        <f t="shared" si="279"/>
        <v>4</v>
      </c>
      <c r="L156" s="1145" t="s">
        <v>5547</v>
      </c>
      <c r="M156" s="1132"/>
      <c r="N156" s="1132"/>
      <c r="O156" s="1002" t="s">
        <v>5217</v>
      </c>
      <c r="P156" s="1132" t="s">
        <v>5358</v>
      </c>
      <c r="Q156" s="1315" t="str">
        <f>IFERROR(VLOOKUP(O156,CARGOS!A:E,2,0),"")</f>
        <v>79512</v>
      </c>
      <c r="R156" s="1327" t="s">
        <v>5217</v>
      </c>
      <c r="S156" s="1146" t="s">
        <v>5477</v>
      </c>
      <c r="T156" s="1107">
        <f>IFERROR(VLOOKUP(S156,'TAB EMP'!A:B,2,0),0)</f>
        <v>150</v>
      </c>
      <c r="U156" s="1108">
        <v>0</v>
      </c>
      <c r="V156" s="1107">
        <f t="shared" si="290"/>
        <v>150</v>
      </c>
      <c r="W156" s="1108">
        <f t="shared" si="291"/>
        <v>75</v>
      </c>
      <c r="X156" s="1135" t="s">
        <v>2884</v>
      </c>
      <c r="Y156" s="1135"/>
      <c r="Z156" s="1135">
        <v>2</v>
      </c>
      <c r="AA156" s="1107">
        <f>ROUND(IF(H156&lt;&gt;"",VLOOKUP(SUM(I156+J156),'CONCEPTOS Y PARAMETROS'!F:G,2,0)*V156,0),2)</f>
        <v>6</v>
      </c>
      <c r="AB156" s="1107">
        <f>IF(S156&lt;&gt;"",IF(M156="",'CONCEPTOS Y PARAMETROS'!$C$4,0),0)</f>
        <v>130</v>
      </c>
      <c r="AC156" s="1107">
        <f>IF(S156&lt;&gt;"",IF(M156="",'CONCEPTOS Y PARAMETROS'!$C$7*Z156,0),0)</f>
        <v>25</v>
      </c>
      <c r="AD156" s="1107">
        <f>IFERROR(ROUND(VLOOKUP($X156,'CONCEPTOS Y PARAMETROS'!H:I,2,0)*($V156+AA156+AB156+AC156),2),0)</f>
        <v>0</v>
      </c>
      <c r="AE156" s="1107">
        <f t="shared" si="287"/>
        <v>161</v>
      </c>
      <c r="AF156" s="1107">
        <f t="shared" si="292"/>
        <v>3</v>
      </c>
      <c r="AG156" s="1107">
        <f t="shared" si="293"/>
        <v>3</v>
      </c>
      <c r="AH156" s="1107">
        <f t="shared" si="294"/>
        <v>65</v>
      </c>
      <c r="AI156" s="1107">
        <f t="shared" si="295"/>
        <v>65</v>
      </c>
      <c r="AJ156" s="1107">
        <f t="shared" si="296"/>
        <v>0</v>
      </c>
      <c r="AK156" s="1107">
        <f t="shared" si="297"/>
        <v>0</v>
      </c>
      <c r="AL156" s="1108">
        <f t="shared" si="298"/>
        <v>93</v>
      </c>
      <c r="AM156" s="1108">
        <f t="shared" si="299"/>
        <v>68</v>
      </c>
      <c r="AN156" s="990">
        <v>0</v>
      </c>
      <c r="AO156" s="1147">
        <f>'CONCEPTOS Y PARAMETROS'!$C$18*AN156</f>
        <v>0</v>
      </c>
      <c r="AP156" s="990">
        <v>0</v>
      </c>
      <c r="AQ156" s="1147">
        <f>'CONCEPTOS Y PARAMETROS'!$C$21*AP156</f>
        <v>0</v>
      </c>
      <c r="AR156" s="1318">
        <v>0</v>
      </c>
      <c r="AS156" s="1318">
        <v>0</v>
      </c>
      <c r="AT156" s="1318">
        <f t="shared" si="355"/>
        <v>0</v>
      </c>
      <c r="AU156" s="1108">
        <f t="shared" si="280"/>
        <v>404.3</v>
      </c>
      <c r="AV156" s="1133" t="s">
        <v>5080</v>
      </c>
      <c r="AW156" s="1108">
        <f>ROUND(IF(AV156="NOCTURN",(V156+AE156)*30%,0),2)</f>
        <v>93.3</v>
      </c>
      <c r="AX156" s="1107">
        <f>IF(T156&lt;&gt;"0",(ROUND(IF(A156="EMPLEADO",eval_formula('CONCEPTOS Y PARAMETROS'!$C$8,NOMINA!V156,NOMINA!$AU156,NOMINA!I156+NOMINA!J156),eval_formula('CONCEPTOS Y PARAMETROS'!$D$8,NOMINA!V156,NOMINA!$AU156,NOMINA!I156+NOMINA!J156)),2))*IF(H156&lt;&gt;"",IF(MONTH(H156)=$BR$8,IF(YEAR(H156)&lt;$BT$7,1,0),0)))</f>
        <v>0</v>
      </c>
      <c r="AY156" s="1108">
        <v>180</v>
      </c>
      <c r="AZ156" s="1107">
        <f>IFERROR(VLOOKUP(AY156,'CONCEPTOS Y PARAMETROS'!Y:Z,2,0),0)</f>
        <v>150</v>
      </c>
      <c r="BA156" s="1107">
        <f t="shared" si="300"/>
        <v>3032.25</v>
      </c>
      <c r="BB156" s="1107">
        <f t="shared" si="353"/>
        <v>0</v>
      </c>
      <c r="BC156" s="990">
        <v>0</v>
      </c>
      <c r="BD156" s="1107" t="str">
        <f t="shared" si="281"/>
        <v>0</v>
      </c>
      <c r="BE156" s="990">
        <v>3</v>
      </c>
      <c r="BF156" s="1107">
        <f t="shared" si="357"/>
        <v>60.65</v>
      </c>
      <c r="BG156" s="1108">
        <v>320</v>
      </c>
      <c r="BH156" s="1108">
        <v>0</v>
      </c>
      <c r="BI156" s="1132">
        <v>0</v>
      </c>
      <c r="BJ156" s="1108">
        <v>12.5</v>
      </c>
      <c r="BK156" s="1108">
        <v>0</v>
      </c>
      <c r="BL156" s="1107">
        <f t="shared" si="324"/>
        <v>18.66</v>
      </c>
      <c r="BM156" s="1107">
        <f t="shared" si="325"/>
        <v>2.33</v>
      </c>
      <c r="BN156" s="1107">
        <f t="shared" si="262"/>
        <v>4.04</v>
      </c>
      <c r="BO156" s="1107">
        <v>0</v>
      </c>
      <c r="BP156" s="1107">
        <v>0</v>
      </c>
      <c r="BQ156" s="1320">
        <f t="shared" si="301"/>
        <v>25.03</v>
      </c>
      <c r="BR156" s="1107">
        <f t="shared" si="326"/>
        <v>41.99</v>
      </c>
      <c r="BS156" s="1107">
        <f t="shared" si="327"/>
        <v>9.33</v>
      </c>
      <c r="BT156" s="1107">
        <f t="shared" si="263"/>
        <v>8.08</v>
      </c>
      <c r="BU156" s="1107">
        <v>0</v>
      </c>
      <c r="BV156" s="1108">
        <f t="shared" si="302"/>
        <v>59.4</v>
      </c>
      <c r="BW156" s="1112">
        <f t="shared" si="303"/>
        <v>84.43</v>
      </c>
      <c r="BX156" s="1112">
        <f t="shared" si="356"/>
        <v>758.06</v>
      </c>
      <c r="BY156" s="1108">
        <v>0</v>
      </c>
      <c r="BZ156" s="1108">
        <f t="shared" si="282"/>
        <v>758.06</v>
      </c>
      <c r="CA156" s="1321">
        <f>'CONCEPTOS Y PARAMETROS'!$A$102</f>
        <v>6255</v>
      </c>
      <c r="CB156" s="1112">
        <f t="shared" si="264"/>
        <v>142.97</v>
      </c>
      <c r="CC156" s="1113">
        <f t="shared" si="265"/>
        <v>629.45000000000005</v>
      </c>
      <c r="CD156" s="512"/>
      <c r="CE156" s="512"/>
      <c r="CF156" s="470">
        <f t="shared" si="266"/>
        <v>783</v>
      </c>
      <c r="CG156" s="495">
        <f t="shared" si="283"/>
        <v>142.97</v>
      </c>
      <c r="CH156" s="498">
        <f t="shared" si="267"/>
        <v>12.5</v>
      </c>
      <c r="CI156" s="1490">
        <f t="shared" si="284"/>
        <v>320</v>
      </c>
      <c r="CJ156" s="1500">
        <v>1</v>
      </c>
      <c r="CK156" s="495">
        <f t="shared" si="268"/>
        <v>463</v>
      </c>
      <c r="CL156" s="1689">
        <f t="shared" si="269"/>
        <v>463</v>
      </c>
      <c r="CM156" s="1689">
        <f t="shared" si="270"/>
        <v>0</v>
      </c>
      <c r="CN156" s="496">
        <f t="shared" si="271"/>
        <v>60.65</v>
      </c>
      <c r="CO156" s="497">
        <v>0</v>
      </c>
      <c r="CP156" s="496">
        <f t="shared" si="272"/>
        <v>93.3</v>
      </c>
      <c r="CQ156" s="496">
        <f t="shared" si="273"/>
        <v>0</v>
      </c>
      <c r="CR156" s="496">
        <f t="shared" si="274"/>
        <v>1079.95</v>
      </c>
      <c r="CS156" s="496">
        <f t="shared" si="275"/>
        <v>84.43</v>
      </c>
      <c r="CT156" s="496">
        <f t="shared" si="276"/>
        <v>6255</v>
      </c>
      <c r="CU156" s="470"/>
      <c r="CV156" s="470"/>
      <c r="CW156" s="470"/>
      <c r="CX156" s="470"/>
      <c r="CY156" s="1149" t="s">
        <v>6839</v>
      </c>
      <c r="CZ156" s="1149" t="s">
        <v>7127</v>
      </c>
      <c r="DA156" s="480"/>
      <c r="DB156" s="1642" t="s">
        <v>6224</v>
      </c>
      <c r="DC156" s="1642"/>
      <c r="DD156" s="1642" t="s">
        <v>6153</v>
      </c>
      <c r="DE156" s="1642" t="s">
        <v>6225</v>
      </c>
      <c r="DF156" s="1642" t="s">
        <v>7447</v>
      </c>
      <c r="DG156" s="1642" t="s">
        <v>7446</v>
      </c>
      <c r="DH156" s="512"/>
      <c r="DI156" s="512"/>
      <c r="DJ156" s="470"/>
      <c r="DK156" s="470"/>
      <c r="DL156" s="470"/>
      <c r="DN156" s="471" t="str">
        <f>VLOOKUP(X156,Hoja1!$A$4:$B$10,2,0)</f>
        <v>BACHILLER</v>
      </c>
      <c r="DO156" s="471" t="str">
        <f>VLOOKUP(S156,Hoja1!$D$4:$F$77,3,0)</f>
        <v>BII - II</v>
      </c>
      <c r="DP156" s="1156" t="str">
        <f t="shared" si="277"/>
        <v>SI</v>
      </c>
      <c r="DQ156" s="1484">
        <f>IF(T156&lt;&gt;"0",(ROUND(IF(A156="EMPLEADO",eval_formula('CONCEPTOS Y PARAMETROS'!$C$8,NOMINA!V156,AU156+BF156,NOMINA!I156+NOMINA!J156),eval_formula('CONCEPTOS Y PARAMETROS'!$D$8,NOMINA!V156,AU156+BF156,NOMINA!I156+NOMINA!J156)),2))*IF(H156&lt;&gt;"",IF(MONTH(H156)=$BR$8,IF(YEAR(H156)&lt;$BT$7,1,0),0)))</f>
        <v>0</v>
      </c>
      <c r="DR156" s="1801" t="str">
        <f t="shared" si="278"/>
        <v>F</v>
      </c>
      <c r="DS156" s="1801"/>
    </row>
    <row r="157" spans="1:123" s="476" customFormat="1" ht="21.95" customHeight="1" x14ac:dyDescent="0.25">
      <c r="A157" s="508" t="s">
        <v>2846</v>
      </c>
      <c r="B157" s="1314">
        <f t="shared" ca="1" si="347"/>
        <v>114</v>
      </c>
      <c r="C157" s="1148">
        <v>15560762</v>
      </c>
      <c r="D157" s="1149" t="s">
        <v>6639</v>
      </c>
      <c r="E157" s="1135" t="s">
        <v>4622</v>
      </c>
      <c r="F157" s="1150">
        <v>29774</v>
      </c>
      <c r="G157" s="1135" t="s">
        <v>4621</v>
      </c>
      <c r="H157" s="1150">
        <v>45474</v>
      </c>
      <c r="I157" s="1140">
        <f t="shared" si="261"/>
        <v>1</v>
      </c>
      <c r="J157" s="1132">
        <v>0</v>
      </c>
      <c r="K157" s="1140">
        <f t="shared" si="279"/>
        <v>1</v>
      </c>
      <c r="L157" s="1145" t="s">
        <v>5532</v>
      </c>
      <c r="M157" s="1132"/>
      <c r="N157" s="1132"/>
      <c r="O157" s="1002" t="s">
        <v>5243</v>
      </c>
      <c r="P157" s="1151" t="s">
        <v>6640</v>
      </c>
      <c r="Q157" s="1315" t="str">
        <f>IFERROR(VLOOKUP(O157,CARGOS!A:E,2,0),"")</f>
        <v>34234</v>
      </c>
      <c r="R157" s="1327" t="s">
        <v>5243</v>
      </c>
      <c r="S157" s="1146" t="s">
        <v>5456</v>
      </c>
      <c r="T157" s="1107">
        <f>IFERROR(VLOOKUP(S157,'TAB EMP'!A:B,2,0),0)</f>
        <v>246</v>
      </c>
      <c r="U157" s="1108">
        <v>0</v>
      </c>
      <c r="V157" s="1107">
        <f t="shared" si="290"/>
        <v>246</v>
      </c>
      <c r="W157" s="1108">
        <f t="shared" si="291"/>
        <v>123</v>
      </c>
      <c r="X157" s="1135" t="s">
        <v>2885</v>
      </c>
      <c r="Y157" s="1135"/>
      <c r="Z157" s="1135">
        <v>1</v>
      </c>
      <c r="AA157" s="1107">
        <f>ROUND(IF(H157&lt;&gt;"",VLOOKUP(SUM(I157+J157),'CONCEPTOS Y PARAMETROS'!F:G,2,0)*V157,0),2)</f>
        <v>2.46</v>
      </c>
      <c r="AB157" s="1107">
        <f>IF(S157&lt;&gt;"",IF(M157="",'CONCEPTOS Y PARAMETROS'!$C$4,0),0)</f>
        <v>130</v>
      </c>
      <c r="AC157" s="1107">
        <f>IF(S157&lt;&gt;"",IF(M157="",'CONCEPTOS Y PARAMETROS'!$C$7*Z157,0),0)</f>
        <v>12.5</v>
      </c>
      <c r="AD157" s="1107">
        <f>IFERROR(ROUND(VLOOKUP($X157,'CONCEPTOS Y PARAMETROS'!H:I,2,0)*($V157+AA157+AB157+AC157),2),0)</f>
        <v>97.74</v>
      </c>
      <c r="AE157" s="1107">
        <f t="shared" si="287"/>
        <v>242.7</v>
      </c>
      <c r="AF157" s="1107">
        <f t="shared" si="292"/>
        <v>1.23</v>
      </c>
      <c r="AG157" s="1107">
        <f t="shared" si="293"/>
        <v>1.23</v>
      </c>
      <c r="AH157" s="1107">
        <f t="shared" si="294"/>
        <v>65</v>
      </c>
      <c r="AI157" s="1107">
        <f t="shared" si="295"/>
        <v>65</v>
      </c>
      <c r="AJ157" s="1107">
        <f t="shared" si="296"/>
        <v>48.87</v>
      </c>
      <c r="AK157" s="1107">
        <f t="shared" si="297"/>
        <v>48.87</v>
      </c>
      <c r="AL157" s="1108">
        <f t="shared" si="298"/>
        <v>127.6</v>
      </c>
      <c r="AM157" s="1108">
        <f t="shared" si="299"/>
        <v>115.1</v>
      </c>
      <c r="AN157" s="1453">
        <v>1</v>
      </c>
      <c r="AO157" s="1147">
        <f>'CONCEPTOS Y PARAMETROS'!$C$18*AN157</f>
        <v>12.5</v>
      </c>
      <c r="AP157" s="990">
        <v>0</v>
      </c>
      <c r="AQ157" s="1147">
        <f>'CONCEPTOS Y PARAMETROS'!$C$21*AP157</f>
        <v>0</v>
      </c>
      <c r="AR157" s="1318">
        <v>0</v>
      </c>
      <c r="AS157" s="1318">
        <v>0</v>
      </c>
      <c r="AT157" s="1318">
        <f t="shared" si="355"/>
        <v>12.5</v>
      </c>
      <c r="AU157" s="1108">
        <f t="shared" si="280"/>
        <v>488.7</v>
      </c>
      <c r="AV157" s="1133">
        <v>0</v>
      </c>
      <c r="AW157" s="1108">
        <f>ROUND(IF(AV157="NOCTURN",(V157+AE157)*30%,0),2)</f>
        <v>0</v>
      </c>
      <c r="AX157" s="1107">
        <f>IF(T157&lt;&gt;"0",(ROUND(IF(A157="EMPLEADO",eval_formula('CONCEPTOS Y PARAMETROS'!$C$8,NOMINA!V157,NOMINA!$AU157,NOMINA!I157+NOMINA!J157),eval_formula('CONCEPTOS Y PARAMETROS'!$D$8,NOMINA!V157,NOMINA!$AU157,NOMINA!I157+NOMINA!J157)),2))*IF(H157&lt;&gt;"",IF(MONTH(H157)=$BR$8,IF(YEAR(H157)&lt;$BT$7,1,0),0)))</f>
        <v>0</v>
      </c>
      <c r="AY157" s="1108">
        <v>90</v>
      </c>
      <c r="AZ157" s="1107">
        <f>IFERROR(VLOOKUP(AY157,'CONCEPTOS Y PARAMETROS'!Y:Z,2,0),0)</f>
        <v>75</v>
      </c>
      <c r="BA157" s="1107">
        <f t="shared" si="300"/>
        <v>1527.19</v>
      </c>
      <c r="BB157" s="1107">
        <f t="shared" si="353"/>
        <v>0</v>
      </c>
      <c r="BC157" s="990">
        <v>0</v>
      </c>
      <c r="BD157" s="1107" t="str">
        <f t="shared" si="281"/>
        <v>0</v>
      </c>
      <c r="BE157" s="990">
        <v>0</v>
      </c>
      <c r="BF157" s="1107">
        <f t="shared" si="357"/>
        <v>0</v>
      </c>
      <c r="BG157" s="1108">
        <v>320</v>
      </c>
      <c r="BH157" s="1108">
        <v>0</v>
      </c>
      <c r="BI157" s="1132">
        <v>0</v>
      </c>
      <c r="BJ157" s="1108">
        <v>12.5</v>
      </c>
      <c r="BK157" s="1108">
        <v>0</v>
      </c>
      <c r="BL157" s="1107">
        <f t="shared" si="324"/>
        <v>22.56</v>
      </c>
      <c r="BM157" s="1107">
        <f t="shared" si="325"/>
        <v>2.82</v>
      </c>
      <c r="BN157" s="1107">
        <f t="shared" si="262"/>
        <v>4.8899999999999997</v>
      </c>
      <c r="BO157" s="1107">
        <v>0</v>
      </c>
      <c r="BP157" s="1107">
        <v>0</v>
      </c>
      <c r="BQ157" s="1320">
        <f t="shared" si="301"/>
        <v>30.27</v>
      </c>
      <c r="BR157" s="1107">
        <f t="shared" si="326"/>
        <v>50.75</v>
      </c>
      <c r="BS157" s="1107">
        <f t="shared" si="327"/>
        <v>11.28</v>
      </c>
      <c r="BT157" s="1107">
        <f t="shared" si="263"/>
        <v>9.7799999999999994</v>
      </c>
      <c r="BU157" s="1107">
        <v>0</v>
      </c>
      <c r="BV157" s="1108">
        <f t="shared" si="302"/>
        <v>71.81</v>
      </c>
      <c r="BW157" s="1112">
        <f t="shared" si="303"/>
        <v>102.08</v>
      </c>
      <c r="BX157" s="1112">
        <f t="shared" si="356"/>
        <v>381.8</v>
      </c>
      <c r="BY157" s="1108">
        <v>0</v>
      </c>
      <c r="BZ157" s="1108">
        <f t="shared" si="282"/>
        <v>381.8</v>
      </c>
      <c r="CA157" s="1321">
        <f>'CONCEPTOS Y PARAMETROS'!$A$102</f>
        <v>6255</v>
      </c>
      <c r="CB157" s="1112">
        <f t="shared" si="264"/>
        <v>220.32999999999998</v>
      </c>
      <c r="CC157" s="1113">
        <f t="shared" si="265"/>
        <v>583.1</v>
      </c>
      <c r="CD157" s="512"/>
      <c r="CE157" s="512"/>
      <c r="CF157" s="470">
        <f t="shared" si="266"/>
        <v>878.1</v>
      </c>
      <c r="CG157" s="509">
        <f t="shared" si="283"/>
        <v>220.32999999999998</v>
      </c>
      <c r="CH157" s="498">
        <f t="shared" si="267"/>
        <v>25</v>
      </c>
      <c r="CI157" s="1491">
        <f t="shared" si="284"/>
        <v>320</v>
      </c>
      <c r="CJ157" s="1500">
        <v>1</v>
      </c>
      <c r="CK157" s="509">
        <f t="shared" si="268"/>
        <v>558.1</v>
      </c>
      <c r="CL157" s="1689">
        <f t="shared" si="269"/>
        <v>558.1</v>
      </c>
      <c r="CM157" s="1689">
        <f t="shared" si="270"/>
        <v>0</v>
      </c>
      <c r="CN157" s="510">
        <f t="shared" si="271"/>
        <v>0</v>
      </c>
      <c r="CO157" s="511">
        <v>0</v>
      </c>
      <c r="CP157" s="510">
        <f t="shared" si="272"/>
        <v>0</v>
      </c>
      <c r="CQ157" s="510">
        <f t="shared" si="273"/>
        <v>0</v>
      </c>
      <c r="CR157" s="496">
        <f t="shared" si="274"/>
        <v>1116.2</v>
      </c>
      <c r="CS157" s="510">
        <f t="shared" si="275"/>
        <v>102.08</v>
      </c>
      <c r="CT157" s="510">
        <f t="shared" si="276"/>
        <v>6255</v>
      </c>
      <c r="CU157" s="470"/>
      <c r="CV157" s="470"/>
      <c r="CW157" s="470"/>
      <c r="CX157" s="470"/>
      <c r="CY157" s="1149" t="s">
        <v>6862</v>
      </c>
      <c r="CZ157" s="1149" t="s">
        <v>6863</v>
      </c>
      <c r="DA157" s="1152"/>
      <c r="DB157" s="1642" t="s">
        <v>6641</v>
      </c>
      <c r="DC157" s="1642"/>
      <c r="DD157" s="1642" t="s">
        <v>6133</v>
      </c>
      <c r="DE157" s="1642" t="s">
        <v>6393</v>
      </c>
      <c r="DF157" s="1642" t="s">
        <v>7544</v>
      </c>
      <c r="DG157" s="1152"/>
      <c r="DH157" s="512"/>
      <c r="DI157" s="512"/>
      <c r="DJ157" s="512"/>
      <c r="DK157" s="512"/>
      <c r="DL157" s="512"/>
      <c r="DN157" s="476" t="str">
        <f>VLOOKUP(X157,Hoja1!$A$4:$B$10,2,0)</f>
        <v>PROFESIONAL</v>
      </c>
      <c r="DO157" s="476" t="str">
        <f>VLOOKUP(S157,Hoja1!$D$4:$F$77,3,0)</f>
        <v>PI</v>
      </c>
      <c r="DP157" s="1158" t="str">
        <f t="shared" si="277"/>
        <v>0</v>
      </c>
      <c r="DQ157" s="1484">
        <f>IF(T157&lt;&gt;"0",(ROUND(IF(A157="EMPLEADO",eval_formula('CONCEPTOS Y PARAMETROS'!$C$8,NOMINA!V157,AU157+BF157,NOMINA!I157+NOMINA!J157),eval_formula('CONCEPTOS Y PARAMETROS'!$D$8,NOMINA!V157,AU157+BF157,NOMINA!I157+NOMINA!J157)),2))*IF(H157&lt;&gt;"",IF(MONTH(H157)=$BR$8,IF(YEAR(H157)&lt;$BT$7,1,0),0)))</f>
        <v>0</v>
      </c>
      <c r="DR157" s="1799" t="str">
        <f t="shared" si="278"/>
        <v>M</v>
      </c>
      <c r="DS157" s="1799"/>
    </row>
    <row r="158" spans="1:123" s="476" customFormat="1" ht="21.95" customHeight="1" x14ac:dyDescent="0.25">
      <c r="A158" s="508" t="s">
        <v>2846</v>
      </c>
      <c r="B158" s="1314">
        <f t="shared" ca="1" si="347"/>
        <v>115</v>
      </c>
      <c r="C158" s="1148">
        <v>15583745</v>
      </c>
      <c r="D158" s="1149" t="s">
        <v>4801</v>
      </c>
      <c r="E158" s="1135" t="s">
        <v>4622</v>
      </c>
      <c r="F158" s="1150">
        <v>29241</v>
      </c>
      <c r="G158" s="1135" t="s">
        <v>4621</v>
      </c>
      <c r="H158" s="1150">
        <v>43481</v>
      </c>
      <c r="I158" s="1140">
        <f t="shared" si="261"/>
        <v>6</v>
      </c>
      <c r="J158" s="1132">
        <v>0</v>
      </c>
      <c r="K158" s="1140">
        <f t="shared" si="279"/>
        <v>6</v>
      </c>
      <c r="L158" s="1145" t="s">
        <v>5524</v>
      </c>
      <c r="M158" s="1132"/>
      <c r="N158" s="1132"/>
      <c r="O158" s="1002" t="s">
        <v>7267</v>
      </c>
      <c r="P158" s="1132" t="s">
        <v>5359</v>
      </c>
      <c r="Q158" s="1315" t="str">
        <f>IFERROR(VLOOKUP(O158,CARGOS!A:E,2,0),"")</f>
        <v>12122</v>
      </c>
      <c r="R158" s="1327" t="s">
        <v>7267</v>
      </c>
      <c r="S158" s="1146" t="s">
        <v>5475</v>
      </c>
      <c r="T158" s="1107">
        <f>IFERROR(VLOOKUP(S158,'TAB EMP'!A:B,2,0),0)</f>
        <v>279</v>
      </c>
      <c r="U158" s="1108">
        <v>0</v>
      </c>
      <c r="V158" s="1107">
        <f t="shared" si="290"/>
        <v>279</v>
      </c>
      <c r="W158" s="1108">
        <f t="shared" si="291"/>
        <v>139.5</v>
      </c>
      <c r="X158" s="1135" t="s">
        <v>2885</v>
      </c>
      <c r="Y158" s="1135"/>
      <c r="Z158" s="1135">
        <v>0</v>
      </c>
      <c r="AA158" s="1107">
        <f>ROUND(IF(H158&lt;&gt;"",VLOOKUP(SUM(I158+J158),'CONCEPTOS Y PARAMETROS'!F:G,2,0)*V158,0),2)</f>
        <v>17.3</v>
      </c>
      <c r="AB158" s="1107">
        <f>IF(S158&lt;&gt;"",IF(M158="",'CONCEPTOS Y PARAMETROS'!$C$4,0),0)</f>
        <v>130</v>
      </c>
      <c r="AC158" s="1107">
        <f>IF(S158&lt;&gt;"",IF(M158="",'CONCEPTOS Y PARAMETROS'!$C$7*Z158,0),0)</f>
        <v>0</v>
      </c>
      <c r="AD158" s="1107">
        <f>IFERROR(ROUND(VLOOKUP($X158,'CONCEPTOS Y PARAMETROS'!H:I,2,0)*($V158+AA158+AB158+AC158),2),0)</f>
        <v>106.58</v>
      </c>
      <c r="AE158" s="1107">
        <f t="shared" si="287"/>
        <v>253.88</v>
      </c>
      <c r="AF158" s="1107">
        <f t="shared" si="292"/>
        <v>8.65</v>
      </c>
      <c r="AG158" s="1107">
        <f t="shared" si="293"/>
        <v>8.65</v>
      </c>
      <c r="AH158" s="1107">
        <f t="shared" si="294"/>
        <v>65</v>
      </c>
      <c r="AI158" s="1107">
        <f t="shared" si="295"/>
        <v>65</v>
      </c>
      <c r="AJ158" s="1107">
        <f t="shared" si="296"/>
        <v>53.29</v>
      </c>
      <c r="AK158" s="1107">
        <f t="shared" si="297"/>
        <v>53.29</v>
      </c>
      <c r="AL158" s="1108">
        <f t="shared" si="298"/>
        <v>126.94</v>
      </c>
      <c r="AM158" s="1108">
        <f t="shared" si="299"/>
        <v>126.94</v>
      </c>
      <c r="AN158" s="990">
        <v>0</v>
      </c>
      <c r="AO158" s="1147">
        <f>'CONCEPTOS Y PARAMETROS'!$C$18*AN158</f>
        <v>0</v>
      </c>
      <c r="AP158" s="990">
        <v>0</v>
      </c>
      <c r="AQ158" s="1147">
        <f>'CONCEPTOS Y PARAMETROS'!$C$21*AP158</f>
        <v>0</v>
      </c>
      <c r="AR158" s="1318">
        <v>0</v>
      </c>
      <c r="AS158" s="1318">
        <v>0</v>
      </c>
      <c r="AT158" s="1318">
        <f t="shared" si="355"/>
        <v>0</v>
      </c>
      <c r="AU158" s="1108">
        <f t="shared" si="280"/>
        <v>532.88</v>
      </c>
      <c r="AV158" s="1133">
        <v>0</v>
      </c>
      <c r="AW158" s="1108">
        <f>ROUND(IF(AV158="NOCTURN",(V158+AE158)*30%,0),2)</f>
        <v>0</v>
      </c>
      <c r="AX158" s="1107">
        <f>IF(T158&lt;&gt;"0",(ROUND(IF(A158="EMPLEADO",eval_formula('CONCEPTOS Y PARAMETROS'!$C$8,NOMINA!V158,NOMINA!$AU158,NOMINA!I158+NOMINA!J158),eval_formula('CONCEPTOS Y PARAMETROS'!$D$8,NOMINA!V158,NOMINA!$AU158,NOMINA!I158+NOMINA!J158)),2))*IF(H158&lt;&gt;"",IF(MONTH(H158)=$BR$8,IF(YEAR(H158)&lt;$BT$7,1,0),0)))</f>
        <v>0</v>
      </c>
      <c r="AY158" s="1108">
        <v>180</v>
      </c>
      <c r="AZ158" s="1107">
        <f>IFERROR(VLOOKUP(AY158,'CONCEPTOS Y PARAMETROS'!Y:Z,2,0),0)</f>
        <v>150</v>
      </c>
      <c r="BA158" s="1107">
        <f t="shared" si="300"/>
        <v>3996.6</v>
      </c>
      <c r="BB158" s="1107">
        <f t="shared" si="353"/>
        <v>0</v>
      </c>
      <c r="BC158" s="990">
        <v>0</v>
      </c>
      <c r="BD158" s="1107" t="str">
        <f t="shared" si="281"/>
        <v>0</v>
      </c>
      <c r="BE158" s="990">
        <v>0</v>
      </c>
      <c r="BF158" s="1107">
        <f t="shared" si="357"/>
        <v>0</v>
      </c>
      <c r="BG158" s="1108">
        <v>320</v>
      </c>
      <c r="BH158" s="1108">
        <v>0</v>
      </c>
      <c r="BI158" s="1132">
        <v>0</v>
      </c>
      <c r="BJ158" s="1108">
        <v>12.5</v>
      </c>
      <c r="BK158" s="1108">
        <v>0</v>
      </c>
      <c r="BL158" s="1107">
        <f t="shared" si="324"/>
        <v>24.59</v>
      </c>
      <c r="BM158" s="1107">
        <f t="shared" si="325"/>
        <v>3.07</v>
      </c>
      <c r="BN158" s="1107">
        <f t="shared" si="262"/>
        <v>5.33</v>
      </c>
      <c r="BO158" s="1107">
        <v>0</v>
      </c>
      <c r="BP158" s="1107">
        <v>0</v>
      </c>
      <c r="BQ158" s="1320">
        <f t="shared" si="301"/>
        <v>32.99</v>
      </c>
      <c r="BR158" s="1107">
        <f t="shared" si="326"/>
        <v>55.34</v>
      </c>
      <c r="BS158" s="1107">
        <f t="shared" si="327"/>
        <v>12.3</v>
      </c>
      <c r="BT158" s="1107">
        <f t="shared" si="263"/>
        <v>10.66</v>
      </c>
      <c r="BU158" s="1107">
        <v>0</v>
      </c>
      <c r="BV158" s="1108">
        <f t="shared" si="302"/>
        <v>78.3</v>
      </c>
      <c r="BW158" s="1112">
        <f t="shared" si="303"/>
        <v>111.28999999999999</v>
      </c>
      <c r="BX158" s="1112">
        <f t="shared" si="356"/>
        <v>999.15</v>
      </c>
      <c r="BY158" s="1108">
        <v>0</v>
      </c>
      <c r="BZ158" s="1108">
        <f t="shared" si="282"/>
        <v>999.15</v>
      </c>
      <c r="CA158" s="1321">
        <f>'CONCEPTOS Y PARAMETROS'!$A$102</f>
        <v>6255</v>
      </c>
      <c r="CB158" s="1112">
        <f t="shared" si="264"/>
        <v>233.45</v>
      </c>
      <c r="CC158" s="1113">
        <f t="shared" si="265"/>
        <v>598.94000000000005</v>
      </c>
      <c r="CD158" s="512"/>
      <c r="CE158" s="512"/>
      <c r="CF158" s="470">
        <f t="shared" si="266"/>
        <v>906.44</v>
      </c>
      <c r="CG158" s="509">
        <f t="shared" si="283"/>
        <v>233.45</v>
      </c>
      <c r="CH158" s="1603">
        <f t="shared" si="267"/>
        <v>12.5</v>
      </c>
      <c r="CI158" s="1491">
        <f t="shared" si="284"/>
        <v>320</v>
      </c>
      <c r="CJ158" s="1502">
        <v>1</v>
      </c>
      <c r="CK158" s="509">
        <f t="shared" si="268"/>
        <v>586.44000000000005</v>
      </c>
      <c r="CL158" s="1689">
        <f t="shared" si="269"/>
        <v>586.44000000000005</v>
      </c>
      <c r="CM158" s="1689">
        <f t="shared" si="270"/>
        <v>0</v>
      </c>
      <c r="CN158" s="510">
        <f t="shared" si="271"/>
        <v>0</v>
      </c>
      <c r="CO158" s="511">
        <v>0</v>
      </c>
      <c r="CP158" s="510">
        <f t="shared" si="272"/>
        <v>0</v>
      </c>
      <c r="CQ158" s="510">
        <f t="shared" si="273"/>
        <v>0</v>
      </c>
      <c r="CR158" s="510">
        <f t="shared" si="274"/>
        <v>1172.8800000000001</v>
      </c>
      <c r="CS158" s="510">
        <f t="shared" si="275"/>
        <v>111.28999999999999</v>
      </c>
      <c r="CT158" s="510">
        <f t="shared" si="276"/>
        <v>6255</v>
      </c>
      <c r="CU158" s="512"/>
      <c r="CV158" s="512"/>
      <c r="CW158" s="512"/>
      <c r="CX158" s="512"/>
      <c r="CY158" s="1149" t="s">
        <v>6829</v>
      </c>
      <c r="CZ158" s="1149" t="s">
        <v>7128</v>
      </c>
      <c r="DA158" s="1152"/>
      <c r="DB158" s="1642" t="s">
        <v>7404</v>
      </c>
      <c r="DC158" s="1642"/>
      <c r="DD158" s="1642" t="s">
        <v>6135</v>
      </c>
      <c r="DE158" s="1642" t="s">
        <v>6162</v>
      </c>
      <c r="DF158" s="1642" t="s">
        <v>7405</v>
      </c>
      <c r="DG158" s="1642"/>
      <c r="DH158" s="512"/>
      <c r="DI158" s="512"/>
      <c r="DJ158" s="512"/>
      <c r="DK158" s="512"/>
      <c r="DL158" s="512"/>
      <c r="DN158" s="476" t="str">
        <f>VLOOKUP(X158,Hoja1!$A$4:$B$10,2,0)</f>
        <v>PROFESIONAL</v>
      </c>
      <c r="DO158" s="476" t="str">
        <f>VLOOKUP(S158,Hoja1!$D$4:$F$77,3,0)</f>
        <v>PII - III</v>
      </c>
      <c r="DP158" s="1594" t="str">
        <f t="shared" si="277"/>
        <v>0</v>
      </c>
      <c r="DQ158" s="1484">
        <f>IF(T158&lt;&gt;"0",(ROUND(IF(A158="EMPLEADO",eval_formula('CONCEPTOS Y PARAMETROS'!$C$8,NOMINA!V158,AU158+BF158,NOMINA!I158+NOMINA!J158),eval_formula('CONCEPTOS Y PARAMETROS'!$D$8,NOMINA!V158,AU158+BF158,NOMINA!I158+NOMINA!J158)),2))*IF(H158&lt;&gt;"",IF(MONTH(H158)=$BR$8,IF(YEAR(H158)&lt;$BT$7,1,0),0)))</f>
        <v>0</v>
      </c>
      <c r="DR158" s="1799" t="str">
        <f t="shared" si="278"/>
        <v>M</v>
      </c>
      <c r="DS158" s="1799"/>
    </row>
    <row r="159" spans="1:123" s="471" customFormat="1" ht="21.95" customHeight="1" x14ac:dyDescent="0.25">
      <c r="A159" s="508" t="s">
        <v>2846</v>
      </c>
      <c r="B159" s="1314">
        <f t="shared" ca="1" si="347"/>
        <v>116</v>
      </c>
      <c r="C159" s="1148">
        <v>15588470</v>
      </c>
      <c r="D159" s="1149" t="s">
        <v>4804</v>
      </c>
      <c r="E159" s="1135" t="s">
        <v>4622</v>
      </c>
      <c r="F159" s="1150">
        <v>30058</v>
      </c>
      <c r="G159" s="1135" t="s">
        <v>4620</v>
      </c>
      <c r="H159" s="1150">
        <v>39098</v>
      </c>
      <c r="I159" s="1140">
        <f t="shared" si="261"/>
        <v>18</v>
      </c>
      <c r="J159" s="1132">
        <v>0</v>
      </c>
      <c r="K159" s="1140">
        <f t="shared" si="279"/>
        <v>18</v>
      </c>
      <c r="L159" s="1326" t="s">
        <v>5542</v>
      </c>
      <c r="M159" s="1132"/>
      <c r="N159" s="1132"/>
      <c r="O159" s="1002" t="s">
        <v>5256</v>
      </c>
      <c r="P159" s="1132" t="s">
        <v>5360</v>
      </c>
      <c r="Q159" s="1315" t="str">
        <f>IFERROR(VLOOKUP(O159,CARGOS!A:E,2,0),"")</f>
        <v>79352</v>
      </c>
      <c r="R159" s="1327" t="s">
        <v>5256</v>
      </c>
      <c r="S159" s="1146" t="s">
        <v>5471</v>
      </c>
      <c r="T159" s="1107">
        <f>IFERROR(VLOOKUP(S159,'TAB EMP'!A:B,2,0),0)</f>
        <v>228</v>
      </c>
      <c r="U159" s="1108">
        <v>0</v>
      </c>
      <c r="V159" s="1107">
        <f t="shared" si="290"/>
        <v>228</v>
      </c>
      <c r="W159" s="1108">
        <f t="shared" si="291"/>
        <v>114</v>
      </c>
      <c r="X159" s="1135" t="s">
        <v>2844</v>
      </c>
      <c r="Y159" s="1135"/>
      <c r="Z159" s="1135">
        <v>1</v>
      </c>
      <c r="AA159" s="1107">
        <f>ROUND(IF(H159&lt;&gt;"",VLOOKUP(SUM(I159+J159),'CONCEPTOS Y PARAMETROS'!F:G,2,0)*V159,0),2)</f>
        <v>51.98</v>
      </c>
      <c r="AB159" s="1107">
        <f>IF(S159&lt;&gt;"",IF(M159="",'CONCEPTOS Y PARAMETROS'!$C$4,0),0)</f>
        <v>130</v>
      </c>
      <c r="AC159" s="1107">
        <f>IF(S159&lt;&gt;"",IF(M159="",'CONCEPTOS Y PARAMETROS'!$C$7*Z159,0),0)</f>
        <v>12.5</v>
      </c>
      <c r="AD159" s="1107">
        <f>IFERROR(ROUND(VLOOKUP($X159,'CONCEPTOS Y PARAMETROS'!H:I,2,0)*($V159+AA159+AB159+AC159),2),0)</f>
        <v>84.5</v>
      </c>
      <c r="AE159" s="1107">
        <f t="shared" si="287"/>
        <v>278.98</v>
      </c>
      <c r="AF159" s="1107">
        <f t="shared" si="292"/>
        <v>25.99</v>
      </c>
      <c r="AG159" s="1107">
        <f t="shared" si="293"/>
        <v>25.99</v>
      </c>
      <c r="AH159" s="1107">
        <f t="shared" si="294"/>
        <v>65</v>
      </c>
      <c r="AI159" s="1107">
        <f t="shared" si="295"/>
        <v>65</v>
      </c>
      <c r="AJ159" s="1107">
        <f t="shared" si="296"/>
        <v>42.25</v>
      </c>
      <c r="AK159" s="1107">
        <f t="shared" si="297"/>
        <v>42.25</v>
      </c>
      <c r="AL159" s="1108">
        <f t="shared" si="298"/>
        <v>145.74</v>
      </c>
      <c r="AM159" s="1108">
        <f t="shared" si="299"/>
        <v>133.24</v>
      </c>
      <c r="AN159" s="1453">
        <v>1</v>
      </c>
      <c r="AO159" s="1147">
        <f>'CONCEPTOS Y PARAMETROS'!$C$18*AN159</f>
        <v>12.5</v>
      </c>
      <c r="AP159" s="990">
        <v>0</v>
      </c>
      <c r="AQ159" s="1147">
        <f>'CONCEPTOS Y PARAMETROS'!$C$21*AP159</f>
        <v>0</v>
      </c>
      <c r="AR159" s="1318">
        <v>0</v>
      </c>
      <c r="AS159" s="1318">
        <v>0</v>
      </c>
      <c r="AT159" s="1318">
        <f t="shared" si="355"/>
        <v>12.5</v>
      </c>
      <c r="AU159" s="1108">
        <f t="shared" si="280"/>
        <v>506.98</v>
      </c>
      <c r="AV159" s="1133">
        <v>0</v>
      </c>
      <c r="AW159" s="1108">
        <f>ROUND(IF(AV159="NOCTURN",(V159+AE159)*30%,0),2)</f>
        <v>0</v>
      </c>
      <c r="AX159" s="1107">
        <f>IF(T159&lt;&gt;"0",(ROUND(IF(A159="EMPLEADO",eval_formula('CONCEPTOS Y PARAMETROS'!$C$8,NOMINA!V159,NOMINA!$AU159,NOMINA!I159+NOMINA!J159),eval_formula('CONCEPTOS Y PARAMETROS'!$D$8,NOMINA!V159,NOMINA!$AU159,NOMINA!I159+NOMINA!J159)),2))*IF(H159&lt;&gt;"",IF(MONTH(H159)=$BR$8,IF(YEAR(H159)&lt;$BT$7,1,0),0)))</f>
        <v>0</v>
      </c>
      <c r="AY159" s="1108">
        <v>180</v>
      </c>
      <c r="AZ159" s="1107">
        <f>IFERROR(VLOOKUP(AY159,'CONCEPTOS Y PARAMETROS'!Y:Z,2,0),0)</f>
        <v>150</v>
      </c>
      <c r="BA159" s="1107">
        <f t="shared" si="300"/>
        <v>3802.35</v>
      </c>
      <c r="BB159" s="1107">
        <f t="shared" si="353"/>
        <v>0</v>
      </c>
      <c r="BC159" s="990">
        <v>0</v>
      </c>
      <c r="BD159" s="1107" t="str">
        <f t="shared" si="281"/>
        <v>0</v>
      </c>
      <c r="BE159" s="990">
        <v>0</v>
      </c>
      <c r="BF159" s="1107">
        <f t="shared" si="357"/>
        <v>0</v>
      </c>
      <c r="BG159" s="1108">
        <v>320</v>
      </c>
      <c r="BH159" s="1108">
        <v>0</v>
      </c>
      <c r="BI159" s="1132">
        <v>0</v>
      </c>
      <c r="BJ159" s="1108">
        <v>12.5</v>
      </c>
      <c r="BK159" s="1108">
        <v>0</v>
      </c>
      <c r="BL159" s="1107">
        <f t="shared" si="324"/>
        <v>23.4</v>
      </c>
      <c r="BM159" s="1107">
        <f t="shared" si="325"/>
        <v>2.92</v>
      </c>
      <c r="BN159" s="1107">
        <f t="shared" si="262"/>
        <v>5.07</v>
      </c>
      <c r="BO159" s="1107">
        <v>0</v>
      </c>
      <c r="BP159" s="1107">
        <v>0</v>
      </c>
      <c r="BQ159" s="1320">
        <f t="shared" si="301"/>
        <v>31.39</v>
      </c>
      <c r="BR159" s="1107">
        <f t="shared" si="326"/>
        <v>52.65</v>
      </c>
      <c r="BS159" s="1107">
        <f t="shared" si="327"/>
        <v>11.7</v>
      </c>
      <c r="BT159" s="1107">
        <f t="shared" si="263"/>
        <v>10.14</v>
      </c>
      <c r="BU159" s="1107">
        <v>0</v>
      </c>
      <c r="BV159" s="1108">
        <f t="shared" si="302"/>
        <v>74.489999999999995</v>
      </c>
      <c r="BW159" s="1112">
        <f t="shared" si="303"/>
        <v>105.88</v>
      </c>
      <c r="BX159" s="1112">
        <f t="shared" si="356"/>
        <v>950.59</v>
      </c>
      <c r="BY159" s="1108">
        <v>0</v>
      </c>
      <c r="BZ159" s="1108">
        <f t="shared" si="282"/>
        <v>950.59</v>
      </c>
      <c r="CA159" s="1321">
        <f>'CONCEPTOS Y PARAMETROS'!$A$102</f>
        <v>6255</v>
      </c>
      <c r="CB159" s="1112">
        <f t="shared" si="264"/>
        <v>228.35000000000002</v>
      </c>
      <c r="CC159" s="1113">
        <f t="shared" si="265"/>
        <v>592.24</v>
      </c>
      <c r="CD159" s="512"/>
      <c r="CE159" s="512"/>
      <c r="CF159" s="470">
        <f t="shared" si="266"/>
        <v>887.24</v>
      </c>
      <c r="CG159" s="495">
        <f t="shared" si="283"/>
        <v>228.35000000000002</v>
      </c>
      <c r="CH159" s="498">
        <f t="shared" si="267"/>
        <v>25</v>
      </c>
      <c r="CI159" s="1490">
        <f t="shared" si="284"/>
        <v>320</v>
      </c>
      <c r="CJ159" s="1500">
        <v>1</v>
      </c>
      <c r="CK159" s="495">
        <f t="shared" si="268"/>
        <v>567.24</v>
      </c>
      <c r="CL159" s="1689">
        <f t="shared" si="269"/>
        <v>567.24</v>
      </c>
      <c r="CM159" s="1689">
        <f t="shared" si="270"/>
        <v>0</v>
      </c>
      <c r="CN159" s="496">
        <f t="shared" si="271"/>
        <v>0</v>
      </c>
      <c r="CO159" s="497">
        <v>0</v>
      </c>
      <c r="CP159" s="496">
        <f t="shared" si="272"/>
        <v>0</v>
      </c>
      <c r="CQ159" s="496">
        <f t="shared" si="273"/>
        <v>0</v>
      </c>
      <c r="CR159" s="496">
        <f t="shared" si="274"/>
        <v>1134.48</v>
      </c>
      <c r="CS159" s="496">
        <f t="shared" si="275"/>
        <v>105.88</v>
      </c>
      <c r="CT159" s="496">
        <f t="shared" si="276"/>
        <v>6255</v>
      </c>
      <c r="CU159" s="470"/>
      <c r="CV159" s="470"/>
      <c r="CW159" s="470"/>
      <c r="CX159" s="470"/>
      <c r="CY159" s="1149" t="s">
        <v>6829</v>
      </c>
      <c r="CZ159" s="1149" t="s">
        <v>7129</v>
      </c>
      <c r="DA159" s="480"/>
      <c r="DB159" s="1152" t="s">
        <v>6574</v>
      </c>
      <c r="DC159" s="1152" t="s">
        <v>7546</v>
      </c>
      <c r="DD159" s="1152" t="s">
        <v>6179</v>
      </c>
      <c r="DE159" s="1152" t="s">
        <v>6185</v>
      </c>
      <c r="DF159" s="1152" t="s">
        <v>6546</v>
      </c>
      <c r="DG159" s="1152"/>
      <c r="DH159" s="512"/>
      <c r="DI159" s="512"/>
      <c r="DJ159" s="470"/>
      <c r="DK159" s="470"/>
      <c r="DL159" s="470"/>
      <c r="DN159" s="471" t="str">
        <f>VLOOKUP(X159,Hoja1!$A$4:$B$10,2,0)</f>
        <v>TÉCNICO SUPERIOR UNIVERSITARIO</v>
      </c>
      <c r="DO159" s="471" t="str">
        <f>VLOOKUP(S159,Hoja1!$D$4:$F$77,3,0)</f>
        <v>TII - VII</v>
      </c>
      <c r="DP159" s="1156" t="str">
        <f t="shared" si="277"/>
        <v>0</v>
      </c>
      <c r="DQ159" s="1484">
        <f>IF(T159&lt;&gt;"0",(ROUND(IF(A159="EMPLEADO",eval_formula('CONCEPTOS Y PARAMETROS'!$C$8,NOMINA!V159,AU159+BF159,NOMINA!I159+NOMINA!J159),eval_formula('CONCEPTOS Y PARAMETROS'!$D$8,NOMINA!V159,AU159+BF159,NOMINA!I159+NOMINA!J159)),2))*IF(H159&lt;&gt;"",IF(MONTH(H159)=$BR$8,IF(YEAR(H159)&lt;$BT$7,1,0),0)))</f>
        <v>0</v>
      </c>
      <c r="DR159" s="1801" t="str">
        <f t="shared" si="278"/>
        <v>F</v>
      </c>
      <c r="DS159" s="1801"/>
    </row>
    <row r="160" spans="1:123" s="471" customFormat="1" ht="21.95" customHeight="1" x14ac:dyDescent="0.25">
      <c r="A160" s="508" t="s">
        <v>2846</v>
      </c>
      <c r="B160" s="1314">
        <f ca="1">OFFSET(B160,-1,0)+1</f>
        <v>117</v>
      </c>
      <c r="C160" s="1148">
        <v>15752048</v>
      </c>
      <c r="D160" s="1149" t="s">
        <v>4674</v>
      </c>
      <c r="E160" s="1135" t="s">
        <v>4622</v>
      </c>
      <c r="F160" s="1150">
        <v>29824</v>
      </c>
      <c r="G160" s="1135" t="s">
        <v>4620</v>
      </c>
      <c r="H160" s="1150">
        <v>39679</v>
      </c>
      <c r="I160" s="1140">
        <f t="shared" si="261"/>
        <v>17</v>
      </c>
      <c r="J160" s="1132">
        <v>0</v>
      </c>
      <c r="K160" s="1140">
        <f t="shared" si="279"/>
        <v>17</v>
      </c>
      <c r="L160" s="1145" t="s">
        <v>5526</v>
      </c>
      <c r="M160" s="1132"/>
      <c r="N160" s="1132"/>
      <c r="O160" s="1002" t="s">
        <v>5217</v>
      </c>
      <c r="P160" s="1132" t="s">
        <v>5364</v>
      </c>
      <c r="Q160" s="1315" t="str">
        <f>IFERROR(VLOOKUP(O160,CARGOS!A:E,2,0),"")</f>
        <v>79512</v>
      </c>
      <c r="R160" s="1327" t="s">
        <v>5217</v>
      </c>
      <c r="S160" s="1146" t="s">
        <v>5479</v>
      </c>
      <c r="T160" s="1107">
        <f>IFERROR(VLOOKUP(S160,'TAB EMP'!A:B,2,0),0)</f>
        <v>314</v>
      </c>
      <c r="U160" s="1108">
        <v>0</v>
      </c>
      <c r="V160" s="1107">
        <f t="shared" si="290"/>
        <v>314</v>
      </c>
      <c r="W160" s="1108">
        <f t="shared" si="291"/>
        <v>157</v>
      </c>
      <c r="X160" s="1135" t="s">
        <v>2887</v>
      </c>
      <c r="Y160" s="1135"/>
      <c r="Z160" s="1135">
        <v>0</v>
      </c>
      <c r="AA160" s="1107">
        <f>ROUND(IF(H160&lt;&gt;"",VLOOKUP(SUM(I160+J160),'CONCEPTOS Y PARAMETROS'!F:G,2,0)*V160,0),2)</f>
        <v>66.569999999999993</v>
      </c>
      <c r="AB160" s="1107">
        <f>IF(S160&lt;&gt;"",IF(M160="",'CONCEPTOS Y PARAMETROS'!$C$4,0),0)</f>
        <v>130</v>
      </c>
      <c r="AC160" s="1107">
        <f>IF(S160&lt;&gt;"",IF(M160="",'CONCEPTOS Y PARAMETROS'!$C$7*Z160,0),0)</f>
        <v>0</v>
      </c>
      <c r="AD160" s="1107">
        <f>IFERROR(ROUND(VLOOKUP($X160,'CONCEPTOS Y PARAMETROS'!H:I,2,0)*($V160+AA160+AB160+AC160),2),0)</f>
        <v>178.7</v>
      </c>
      <c r="AE160" s="1107">
        <f t="shared" si="287"/>
        <v>375.27</v>
      </c>
      <c r="AF160" s="1107">
        <f t="shared" si="292"/>
        <v>33.29</v>
      </c>
      <c r="AG160" s="1107">
        <f t="shared" si="293"/>
        <v>33.28</v>
      </c>
      <c r="AH160" s="1107">
        <f t="shared" si="294"/>
        <v>65</v>
      </c>
      <c r="AI160" s="1107">
        <f t="shared" si="295"/>
        <v>65</v>
      </c>
      <c r="AJ160" s="1107">
        <f t="shared" si="296"/>
        <v>89.35</v>
      </c>
      <c r="AK160" s="1107">
        <f t="shared" si="297"/>
        <v>89.35</v>
      </c>
      <c r="AL160" s="1108">
        <f t="shared" si="298"/>
        <v>187.64</v>
      </c>
      <c r="AM160" s="1108">
        <f t="shared" si="299"/>
        <v>187.63</v>
      </c>
      <c r="AN160" s="990">
        <v>0</v>
      </c>
      <c r="AO160" s="1147">
        <f>'CONCEPTOS Y PARAMETROS'!$C$18*AN160</f>
        <v>0</v>
      </c>
      <c r="AP160" s="990">
        <v>0</v>
      </c>
      <c r="AQ160" s="1147">
        <f>'CONCEPTOS Y PARAMETROS'!$C$21*AP160</f>
        <v>0</v>
      </c>
      <c r="AR160" s="1318">
        <v>0</v>
      </c>
      <c r="AS160" s="1318">
        <v>0</v>
      </c>
      <c r="AT160" s="1318">
        <f>+AO160+AQ160+AR160+AS160</f>
        <v>0</v>
      </c>
      <c r="AU160" s="1318">
        <f t="shared" si="280"/>
        <v>689.27</v>
      </c>
      <c r="AV160" s="1133">
        <v>0</v>
      </c>
      <c r="AW160" s="1318">
        <f>ROUND(IF(AV160="NOCTURN",(V160+AE160)*30%,0),2)</f>
        <v>0</v>
      </c>
      <c r="AX160" s="1107">
        <f>IF(T160&lt;&gt;"0",(ROUND(IF(A160="EMPLEADO",eval_formula('CONCEPTOS Y PARAMETROS'!$C$8,NOMINA!V160,NOMINA!$AU160,NOMINA!I160+NOMINA!J160),eval_formula('CONCEPTOS Y PARAMETROS'!$D$8,NOMINA!V160,NOMINA!$AU160,NOMINA!I160+NOMINA!J160)),2))*IF(H160&lt;&gt;"",IF(MONTH(H160)=$BR$8,IF(YEAR(H160)&lt;$BT$7,1,0),0)))</f>
        <v>0</v>
      </c>
      <c r="AY160" s="1108">
        <v>180</v>
      </c>
      <c r="AZ160" s="1107">
        <f>IFERROR(VLOOKUP(AY160,'CONCEPTOS Y PARAMETROS'!Y:Z,2,0),0)</f>
        <v>150</v>
      </c>
      <c r="BA160" s="1107">
        <f t="shared" si="300"/>
        <v>5169.53</v>
      </c>
      <c r="BB160" s="1107">
        <f t="shared" si="353"/>
        <v>0</v>
      </c>
      <c r="BC160" s="990">
        <v>0</v>
      </c>
      <c r="BD160" s="1107" t="str">
        <f t="shared" si="281"/>
        <v>0</v>
      </c>
      <c r="BE160" s="990">
        <v>0</v>
      </c>
      <c r="BF160" s="1107">
        <f t="shared" si="357"/>
        <v>0</v>
      </c>
      <c r="BG160" s="1108">
        <v>320</v>
      </c>
      <c r="BH160" s="1108">
        <v>0</v>
      </c>
      <c r="BI160" s="1132">
        <v>0</v>
      </c>
      <c r="BJ160" s="1108">
        <v>12.5</v>
      </c>
      <c r="BK160" s="1108">
        <v>0</v>
      </c>
      <c r="BL160" s="1107">
        <f t="shared" si="324"/>
        <v>31.81</v>
      </c>
      <c r="BM160" s="1107">
        <f t="shared" si="325"/>
        <v>3.98</v>
      </c>
      <c r="BN160" s="1107">
        <f t="shared" si="262"/>
        <v>6.89</v>
      </c>
      <c r="BO160" s="1107">
        <v>0</v>
      </c>
      <c r="BP160" s="1107">
        <v>0</v>
      </c>
      <c r="BQ160" s="1320">
        <f>ROUND(SUM(BL160:BP160),2)</f>
        <v>42.68</v>
      </c>
      <c r="BR160" s="1107">
        <f t="shared" si="326"/>
        <v>71.58</v>
      </c>
      <c r="BS160" s="1107">
        <f t="shared" si="327"/>
        <v>15.91</v>
      </c>
      <c r="BT160" s="1107">
        <f t="shared" si="263"/>
        <v>13.78</v>
      </c>
      <c r="BU160" s="1107">
        <v>0</v>
      </c>
      <c r="BV160" s="1107">
        <f>ROUND(SUM(BR160:BT160),2)</f>
        <v>101.27</v>
      </c>
      <c r="BW160" s="1107">
        <f>BQ160+BV160</f>
        <v>143.94999999999999</v>
      </c>
      <c r="BX160" s="1112">
        <f t="shared" si="356"/>
        <v>1292.3800000000001</v>
      </c>
      <c r="BY160" s="1108">
        <v>0</v>
      </c>
      <c r="BZ160" s="1108">
        <f t="shared" si="282"/>
        <v>1292.3800000000001</v>
      </c>
      <c r="CA160" s="1321">
        <f>'CONCEPTOS Y PARAMETROS'!$A$102</f>
        <v>6255</v>
      </c>
      <c r="CB160" s="1112">
        <f t="shared" si="264"/>
        <v>301.95999999999998</v>
      </c>
      <c r="CC160" s="1113">
        <f t="shared" si="265"/>
        <v>677.13</v>
      </c>
      <c r="CD160" s="512"/>
      <c r="CE160" s="512"/>
      <c r="CF160" s="470">
        <f t="shared" si="266"/>
        <v>984.63</v>
      </c>
      <c r="CG160" s="495">
        <f t="shared" si="283"/>
        <v>301.95999999999998</v>
      </c>
      <c r="CH160" s="498">
        <f t="shared" si="267"/>
        <v>12.5</v>
      </c>
      <c r="CI160" s="1490">
        <f t="shared" si="284"/>
        <v>320</v>
      </c>
      <c r="CJ160" s="1500">
        <v>2</v>
      </c>
      <c r="CK160" s="495">
        <f t="shared" si="268"/>
        <v>664.63</v>
      </c>
      <c r="CL160" s="1689">
        <f t="shared" si="269"/>
        <v>319.02</v>
      </c>
      <c r="CM160" s="1689">
        <f t="shared" si="270"/>
        <v>345.61</v>
      </c>
      <c r="CN160" s="496">
        <f t="shared" si="271"/>
        <v>0</v>
      </c>
      <c r="CO160" s="497">
        <v>0</v>
      </c>
      <c r="CP160" s="496">
        <f t="shared" si="272"/>
        <v>0</v>
      </c>
      <c r="CQ160" s="496">
        <f t="shared" si="273"/>
        <v>0</v>
      </c>
      <c r="CR160" s="496">
        <f t="shared" si="274"/>
        <v>1329.26</v>
      </c>
      <c r="CS160" s="496">
        <f t="shared" si="275"/>
        <v>143.94999999999999</v>
      </c>
      <c r="CT160" s="496">
        <f t="shared" si="276"/>
        <v>6255</v>
      </c>
      <c r="CU160" s="470"/>
      <c r="CV160" s="470"/>
      <c r="CW160" s="470"/>
      <c r="CX160" s="470"/>
      <c r="CY160" s="1149" t="s">
        <v>6829</v>
      </c>
      <c r="CZ160" s="1149" t="s">
        <v>7130</v>
      </c>
      <c r="DA160" s="1152"/>
      <c r="DB160" s="1642" t="s">
        <v>6186</v>
      </c>
      <c r="DC160" s="1642"/>
      <c r="DD160" s="1642" t="s">
        <v>6150</v>
      </c>
      <c r="DE160" s="1642" t="s">
        <v>6187</v>
      </c>
      <c r="DF160" s="1642" t="s">
        <v>6520</v>
      </c>
      <c r="DG160" s="1642" t="s">
        <v>7377</v>
      </c>
      <c r="DH160" s="512"/>
      <c r="DI160" s="512"/>
      <c r="DJ160" s="512"/>
      <c r="DK160" s="512"/>
      <c r="DL160" s="512"/>
      <c r="DM160" s="476"/>
      <c r="DN160" s="471" t="str">
        <f>VLOOKUP(X160,Hoja1!$A$4:$B$10,2,0)</f>
        <v>MAGISTER</v>
      </c>
      <c r="DO160" s="471" t="str">
        <f>VLOOKUP(S160,Hoja1!$D$4:$F$77,3,0)</f>
        <v>PIII - VI</v>
      </c>
      <c r="DP160" s="1156" t="str">
        <f t="shared" si="277"/>
        <v>0</v>
      </c>
      <c r="DQ160" s="1484">
        <f>IF(T160&lt;&gt;"0",(ROUND(IF(A160="EMPLEADO",eval_formula('CONCEPTOS Y PARAMETROS'!$C$8,NOMINA!V160,AU160+BF160,NOMINA!I160+NOMINA!J160),eval_formula('CONCEPTOS Y PARAMETROS'!$D$8,NOMINA!V160,AU160+BF160,NOMINA!I160+NOMINA!J160)),2))*IF(H160&lt;&gt;"",IF(MONTH(H160)=$BR$8,IF(YEAR(H160)&lt;$BT$7,1,0),0)))</f>
        <v>0</v>
      </c>
      <c r="DR160" s="1801" t="str">
        <f t="shared" si="278"/>
        <v>F</v>
      </c>
      <c r="DS160" s="1801"/>
    </row>
    <row r="161" spans="1:123" s="911" customFormat="1" ht="21.95" customHeight="1" x14ac:dyDescent="0.25">
      <c r="A161" s="910" t="s">
        <v>2846</v>
      </c>
      <c r="B161" s="1328">
        <f ca="1">OFFSET(B161,-1,0)+1</f>
        <v>118</v>
      </c>
      <c r="C161" s="1329">
        <v>15752183</v>
      </c>
      <c r="D161" s="1330" t="s">
        <v>7576</v>
      </c>
      <c r="E161" s="1331" t="s">
        <v>4622</v>
      </c>
      <c r="F161" s="1332">
        <v>30390</v>
      </c>
      <c r="G161" s="1331" t="s">
        <v>4620</v>
      </c>
      <c r="H161" s="1332">
        <v>38930</v>
      </c>
      <c r="I161" s="1333">
        <f t="shared" si="261"/>
        <v>19</v>
      </c>
      <c r="J161" s="1334">
        <v>0</v>
      </c>
      <c r="K161" s="1333">
        <f t="shared" si="279"/>
        <v>19</v>
      </c>
      <c r="L161" s="1333" t="s">
        <v>5524</v>
      </c>
      <c r="M161" s="1334"/>
      <c r="N161" s="1334"/>
      <c r="O161" s="1336" t="s">
        <v>5259</v>
      </c>
      <c r="P161" s="1334" t="s">
        <v>5361</v>
      </c>
      <c r="Q161" s="1337" t="str">
        <f>IFERROR(VLOOKUP(O161,CARGOS!A:E,2,0),"")</f>
        <v>13414</v>
      </c>
      <c r="R161" s="1336" t="s">
        <v>5259</v>
      </c>
      <c r="S161" s="1338" t="s">
        <v>5463</v>
      </c>
      <c r="T161" s="1339">
        <v>0</v>
      </c>
      <c r="U161" s="1307">
        <v>0</v>
      </c>
      <c r="V161" s="1339">
        <f>T161-U161</f>
        <v>0</v>
      </c>
      <c r="W161" s="1307">
        <f>ROUND(V161/2,2)</f>
        <v>0</v>
      </c>
      <c r="X161" s="1331" t="s">
        <v>2884</v>
      </c>
      <c r="Y161" s="1331"/>
      <c r="Z161" s="1331">
        <v>0</v>
      </c>
      <c r="AA161" s="1339">
        <f>ROUND(IF(H161&lt;&gt;"",VLOOKUP(SUM(I161+J161),'CONCEPTOS Y PARAMETROS'!F:G,2,0)*V161,0),2)</f>
        <v>0</v>
      </c>
      <c r="AB161" s="1339">
        <v>0</v>
      </c>
      <c r="AC161" s="1339">
        <v>0</v>
      </c>
      <c r="AD161" s="1339">
        <f>IFERROR(ROUND(VLOOKUP($X161,'CONCEPTOS Y PARAMETROS'!H:I,2,0)*($V161+AA161+AB161+AC161),2),0)</f>
        <v>0</v>
      </c>
      <c r="AE161" s="1339">
        <f>SUM(AA161:AD161)</f>
        <v>0</v>
      </c>
      <c r="AF161" s="1339">
        <f>ROUND(AA161/2,2)</f>
        <v>0</v>
      </c>
      <c r="AG161" s="1339">
        <f>ROUND(AA161-AF161,2)</f>
        <v>0</v>
      </c>
      <c r="AH161" s="1339">
        <f>ROUND(AB161/2,2)</f>
        <v>0</v>
      </c>
      <c r="AI161" s="1339">
        <f>ROUND(AB161-AH161,2)</f>
        <v>0</v>
      </c>
      <c r="AJ161" s="1339">
        <f>ROUND(AD161/2,2)</f>
        <v>0</v>
      </c>
      <c r="AK161" s="1339">
        <f>ROUND(AD161-AJ161,2)</f>
        <v>0</v>
      </c>
      <c r="AL161" s="1307">
        <f>ROUND(AF161+AH161+AJ161+AC161,2)</f>
        <v>0</v>
      </c>
      <c r="AM161" s="1307">
        <f>ROUND(AG161+AI161+AK161,2)</f>
        <v>0</v>
      </c>
      <c r="AN161" s="1340">
        <v>0</v>
      </c>
      <c r="AO161" s="1341">
        <v>0</v>
      </c>
      <c r="AP161" s="1340">
        <v>0</v>
      </c>
      <c r="AQ161" s="1341">
        <f>'CONCEPTOS Y PARAMETROS'!$C$21*AP161</f>
        <v>0</v>
      </c>
      <c r="AR161" s="1342">
        <v>0</v>
      </c>
      <c r="AS161" s="1342">
        <v>0</v>
      </c>
      <c r="AT161" s="1342">
        <f>+AO161+AQ161+AR161+AS161</f>
        <v>0</v>
      </c>
      <c r="AU161" s="1307">
        <f t="shared" si="280"/>
        <v>0</v>
      </c>
      <c r="AV161" s="1343">
        <v>0</v>
      </c>
      <c r="AW161" s="1307">
        <f>ROUND(IF(O161="VIGILANTE",(V161+AE161)*30%,0),2)</f>
        <v>0</v>
      </c>
      <c r="AX161" s="1307">
        <f>IF(T161&lt;&gt;"0",(ROUND(IF(A161="EMPLEADO",eval_formula('CONCEPTOS Y PARAMETROS'!$C$8,NOMINA!V161,NOMINA!$AU161,NOMINA!I161+NOMINA!J161),eval_formula('CONCEPTOS Y PARAMETROS'!$D$8,NOMINA!V161,NOMINA!$AU161,NOMINA!I161+NOMINA!J161)),2))*IF(H161&lt;&gt;"",IF(MONTH(H161)=$BR$8,IF(YEAR(H161)&lt;$BT$7,1,0),0)))</f>
        <v>0</v>
      </c>
      <c r="AY161" s="1307">
        <v>180</v>
      </c>
      <c r="AZ161" s="1339">
        <f>IFERROR(VLOOKUP(AY161,'CONCEPTOS Y PARAMETROS'!Y:Z,2,0),0)</f>
        <v>150</v>
      </c>
      <c r="BA161" s="1339">
        <f>ROUND((((AU161))/30*AY161/12+(AU161))/30*AZ161,2)</f>
        <v>0</v>
      </c>
      <c r="BB161" s="1339">
        <f t="shared" si="353"/>
        <v>0</v>
      </c>
      <c r="BC161" s="1340">
        <v>0</v>
      </c>
      <c r="BD161" s="1339" t="str">
        <f t="shared" si="281"/>
        <v>0</v>
      </c>
      <c r="BE161" s="1340">
        <v>0</v>
      </c>
      <c r="BF161" s="1339">
        <f t="shared" si="357"/>
        <v>0</v>
      </c>
      <c r="BG161" s="1307">
        <v>0</v>
      </c>
      <c r="BH161" s="1307">
        <v>0</v>
      </c>
      <c r="BI161" s="1334">
        <v>0</v>
      </c>
      <c r="BJ161" s="1307">
        <v>0</v>
      </c>
      <c r="BK161" s="1307">
        <v>0</v>
      </c>
      <c r="BL161" s="1339">
        <f t="shared" si="324"/>
        <v>0</v>
      </c>
      <c r="BM161" s="1339">
        <f t="shared" si="325"/>
        <v>0</v>
      </c>
      <c r="BN161" s="1339">
        <f t="shared" si="262"/>
        <v>0</v>
      </c>
      <c r="BO161" s="1339">
        <v>0</v>
      </c>
      <c r="BP161" s="1339">
        <v>0</v>
      </c>
      <c r="BQ161" s="1344">
        <f>ROUND(SUM(BL161:BP161),2)</f>
        <v>0</v>
      </c>
      <c r="BR161" s="1339">
        <f t="shared" si="326"/>
        <v>0</v>
      </c>
      <c r="BS161" s="1339">
        <f t="shared" si="327"/>
        <v>0</v>
      </c>
      <c r="BT161" s="1339">
        <f t="shared" si="263"/>
        <v>0</v>
      </c>
      <c r="BU161" s="1339">
        <v>0</v>
      </c>
      <c r="BV161" s="1307">
        <f>ROUND(SUM(BR161:BT161),2)</f>
        <v>0</v>
      </c>
      <c r="BW161" s="1305">
        <f>BQ161+BV161</f>
        <v>0</v>
      </c>
      <c r="BX161" s="1305">
        <f t="shared" si="356"/>
        <v>0</v>
      </c>
      <c r="BY161" s="1307">
        <v>0</v>
      </c>
      <c r="BZ161" s="1307">
        <f t="shared" si="282"/>
        <v>0</v>
      </c>
      <c r="CA161" s="1345">
        <v>0</v>
      </c>
      <c r="CB161" s="1305">
        <f t="shared" si="264"/>
        <v>0</v>
      </c>
      <c r="CC161" s="1346">
        <f t="shared" si="265"/>
        <v>0</v>
      </c>
      <c r="CD161" s="512"/>
      <c r="CE161" s="512"/>
      <c r="CF161" s="470">
        <f t="shared" si="266"/>
        <v>0</v>
      </c>
      <c r="CG161" s="912">
        <f t="shared" si="283"/>
        <v>0</v>
      </c>
      <c r="CH161" s="498">
        <f t="shared" si="267"/>
        <v>0</v>
      </c>
      <c r="CI161" s="1492">
        <f t="shared" si="284"/>
        <v>0</v>
      </c>
      <c r="CJ161" s="1504">
        <v>0</v>
      </c>
      <c r="CK161" s="912">
        <f t="shared" si="268"/>
        <v>0</v>
      </c>
      <c r="CL161" s="912">
        <f t="shared" si="269"/>
        <v>0</v>
      </c>
      <c r="CM161" s="912">
        <f t="shared" si="270"/>
        <v>0</v>
      </c>
      <c r="CN161" s="913">
        <f t="shared" si="271"/>
        <v>0</v>
      </c>
      <c r="CO161" s="914">
        <v>0</v>
      </c>
      <c r="CP161" s="913">
        <f t="shared" si="272"/>
        <v>0</v>
      </c>
      <c r="CQ161" s="913">
        <f t="shared" si="273"/>
        <v>0</v>
      </c>
      <c r="CR161" s="496">
        <f t="shared" si="274"/>
        <v>0</v>
      </c>
      <c r="CS161" s="913">
        <f t="shared" si="275"/>
        <v>0</v>
      </c>
      <c r="CT161" s="913">
        <f t="shared" si="276"/>
        <v>0</v>
      </c>
      <c r="CU161" s="470"/>
      <c r="CV161" s="470"/>
      <c r="CW161" s="470"/>
      <c r="CX161" s="470"/>
      <c r="CY161" s="1330" t="s">
        <v>6864</v>
      </c>
      <c r="CZ161" s="1330" t="s">
        <v>7075</v>
      </c>
      <c r="DA161" s="1613"/>
      <c r="DB161" s="1143"/>
      <c r="DC161" s="1143"/>
      <c r="DD161" s="1143"/>
      <c r="DE161" s="1143"/>
      <c r="DF161" s="1143"/>
      <c r="DG161" s="1143"/>
      <c r="DH161" s="512"/>
      <c r="DI161" s="512"/>
      <c r="DJ161" s="915"/>
      <c r="DK161" s="915"/>
      <c r="DL161" s="915"/>
      <c r="DN161" s="911" t="str">
        <f>VLOOKUP(X161,Hoja1!$A$4:$B$10,2,0)</f>
        <v>BACHILLER</v>
      </c>
      <c r="DO161" s="911" t="str">
        <f>VLOOKUP(S161,Hoja1!$D$4:$F$77,3,0)</f>
        <v>BIII - VII</v>
      </c>
      <c r="DP161" s="1157" t="str">
        <f t="shared" si="277"/>
        <v>0</v>
      </c>
      <c r="DQ161" s="1484">
        <f>IF(T161&lt;&gt;"0",(ROUND(IF(A161="EMPLEADO",eval_formula('CONCEPTOS Y PARAMETROS'!$C$8,NOMINA!V161,AU161+BF161,NOMINA!I161+NOMINA!J161),eval_formula('CONCEPTOS Y PARAMETROS'!$D$8,NOMINA!V161,AU161+BF161,NOMINA!I161+NOMINA!J161)),2))*IF(H161&lt;&gt;"",IF(MONTH(H161)=$BR$8,IF(YEAR(H161)&lt;$BT$7,1,0),0)))</f>
        <v>0</v>
      </c>
      <c r="DR161" s="1800" t="str">
        <f t="shared" si="278"/>
        <v>F</v>
      </c>
      <c r="DS161" s="1800"/>
    </row>
    <row r="162" spans="1:123" s="471" customFormat="1" ht="21.95" customHeight="1" x14ac:dyDescent="0.25">
      <c r="A162" s="508" t="s">
        <v>2846</v>
      </c>
      <c r="B162" s="1314">
        <f t="shared" ca="1" si="347"/>
        <v>119</v>
      </c>
      <c r="C162" s="1148">
        <v>15752386</v>
      </c>
      <c r="D162" s="1149" t="s">
        <v>4805</v>
      </c>
      <c r="E162" s="1135" t="s">
        <v>4622</v>
      </c>
      <c r="F162" s="1150">
        <v>30093</v>
      </c>
      <c r="G162" s="1135" t="s">
        <v>4620</v>
      </c>
      <c r="H162" s="1150">
        <v>38930</v>
      </c>
      <c r="I162" s="1140">
        <f t="shared" si="261"/>
        <v>19</v>
      </c>
      <c r="J162" s="1132">
        <v>0</v>
      </c>
      <c r="K162" s="1140">
        <f t="shared" si="279"/>
        <v>19</v>
      </c>
      <c r="L162" s="1145" t="s">
        <v>5535</v>
      </c>
      <c r="M162" s="1132"/>
      <c r="N162" s="1132"/>
      <c r="O162" s="1002" t="s">
        <v>5217</v>
      </c>
      <c r="P162" s="1132" t="s">
        <v>5362</v>
      </c>
      <c r="Q162" s="1315" t="str">
        <f>IFERROR(VLOOKUP(O162,CARGOS!A:E,2,0),"")</f>
        <v>79512</v>
      </c>
      <c r="R162" s="1327" t="s">
        <v>5217</v>
      </c>
      <c r="S162" s="1146" t="s">
        <v>5471</v>
      </c>
      <c r="T162" s="1107">
        <f>IFERROR(VLOOKUP(S162,'TAB EMP'!A:B,2,0),0)</f>
        <v>228</v>
      </c>
      <c r="U162" s="1108">
        <v>0</v>
      </c>
      <c r="V162" s="1107">
        <f t="shared" si="290"/>
        <v>228</v>
      </c>
      <c r="W162" s="1108">
        <f t="shared" si="291"/>
        <v>114</v>
      </c>
      <c r="X162" s="1135" t="s">
        <v>2844</v>
      </c>
      <c r="Y162" s="1135"/>
      <c r="Z162" s="1135">
        <v>2</v>
      </c>
      <c r="AA162" s="1107">
        <f>ROUND(IF(H162&lt;&gt;"",VLOOKUP(SUM(I162+J162),'CONCEPTOS Y PARAMETROS'!F:G,2,0)*V162,0),2)</f>
        <v>55.63</v>
      </c>
      <c r="AB162" s="1107">
        <f>IF(S162&lt;&gt;"",IF(M162="",'CONCEPTOS Y PARAMETROS'!$C$4,0),0)</f>
        <v>130</v>
      </c>
      <c r="AC162" s="1107">
        <f>IF(S162&lt;&gt;"",IF(M162="",'CONCEPTOS Y PARAMETROS'!$C$7*Z162,0),0)</f>
        <v>25</v>
      </c>
      <c r="AD162" s="1107">
        <f>IFERROR(ROUND(VLOOKUP($X162,'CONCEPTOS Y PARAMETROS'!H:I,2,0)*($V162+AA162+AB162+AC162),2),0)</f>
        <v>87.73</v>
      </c>
      <c r="AE162" s="1107">
        <f t="shared" si="287"/>
        <v>298.36</v>
      </c>
      <c r="AF162" s="1107">
        <f t="shared" si="292"/>
        <v>27.82</v>
      </c>
      <c r="AG162" s="1107">
        <f t="shared" si="293"/>
        <v>27.81</v>
      </c>
      <c r="AH162" s="1107">
        <f t="shared" si="294"/>
        <v>65</v>
      </c>
      <c r="AI162" s="1107">
        <f t="shared" si="295"/>
        <v>65</v>
      </c>
      <c r="AJ162" s="1107">
        <f t="shared" si="296"/>
        <v>43.87</v>
      </c>
      <c r="AK162" s="1107">
        <f t="shared" si="297"/>
        <v>43.86</v>
      </c>
      <c r="AL162" s="1108">
        <f t="shared" si="298"/>
        <v>161.69</v>
      </c>
      <c r="AM162" s="1108">
        <f t="shared" si="299"/>
        <v>136.66999999999999</v>
      </c>
      <c r="AN162" s="990">
        <v>0</v>
      </c>
      <c r="AO162" s="1147">
        <f>'CONCEPTOS Y PARAMETROS'!$C$18*AN162</f>
        <v>0</v>
      </c>
      <c r="AP162" s="990">
        <v>0</v>
      </c>
      <c r="AQ162" s="1147">
        <f>'CONCEPTOS Y PARAMETROS'!$C$21*AP162</f>
        <v>0</v>
      </c>
      <c r="AR162" s="1318">
        <v>0</v>
      </c>
      <c r="AS162" s="1318">
        <v>0</v>
      </c>
      <c r="AT162" s="1318">
        <f t="shared" si="355"/>
        <v>0</v>
      </c>
      <c r="AU162" s="1108">
        <f t="shared" si="280"/>
        <v>684.27</v>
      </c>
      <c r="AV162" s="1133" t="s">
        <v>5080</v>
      </c>
      <c r="AW162" s="1108">
        <f>ROUND(IF(AV162="NOCTURN",(V162+AE162)*30%,0),2)</f>
        <v>157.91</v>
      </c>
      <c r="AX162" s="1107">
        <f>IF(T162&lt;&gt;"0",(ROUND(IF(A162="EMPLEADO",eval_formula('CONCEPTOS Y PARAMETROS'!$C$8,NOMINA!V162,NOMINA!$AU162,NOMINA!I162+NOMINA!J162),eval_formula('CONCEPTOS Y PARAMETROS'!$D$8,NOMINA!V162,NOMINA!$AU162,NOMINA!I162+NOMINA!J162)),2))*IF(H162&lt;&gt;"",IF(MONTH(H162)=$BR$8,IF(YEAR(H162)&lt;$BT$7,1,0),0)))</f>
        <v>0</v>
      </c>
      <c r="AY162" s="1108">
        <v>180</v>
      </c>
      <c r="AZ162" s="1107">
        <f>IFERROR(VLOOKUP(AY162,'CONCEPTOS Y PARAMETROS'!Y:Z,2,0),0)</f>
        <v>150</v>
      </c>
      <c r="BA162" s="1107">
        <f t="shared" si="300"/>
        <v>5132.03</v>
      </c>
      <c r="BB162" s="1107">
        <f t="shared" si="353"/>
        <v>0</v>
      </c>
      <c r="BC162" s="990">
        <v>0</v>
      </c>
      <c r="BD162" s="1107" t="str">
        <f t="shared" si="281"/>
        <v>0</v>
      </c>
      <c r="BE162" s="990">
        <v>3</v>
      </c>
      <c r="BF162" s="1107">
        <f t="shared" si="357"/>
        <v>102.64</v>
      </c>
      <c r="BG162" s="1108">
        <v>320</v>
      </c>
      <c r="BH162" s="1108">
        <v>0</v>
      </c>
      <c r="BI162" s="1132">
        <v>0</v>
      </c>
      <c r="BJ162" s="1108">
        <v>12.5</v>
      </c>
      <c r="BK162" s="1108">
        <v>0</v>
      </c>
      <c r="BL162" s="1107">
        <f t="shared" si="324"/>
        <v>31.58</v>
      </c>
      <c r="BM162" s="1107">
        <f t="shared" si="325"/>
        <v>3.95</v>
      </c>
      <c r="BN162" s="1107">
        <f t="shared" si="262"/>
        <v>6.84</v>
      </c>
      <c r="BO162" s="1107">
        <v>0</v>
      </c>
      <c r="BP162" s="1107">
        <v>0</v>
      </c>
      <c r="BQ162" s="1320">
        <f t="shared" si="301"/>
        <v>42.37</v>
      </c>
      <c r="BR162" s="1107">
        <f t="shared" si="326"/>
        <v>71.06</v>
      </c>
      <c r="BS162" s="1107">
        <f t="shared" si="327"/>
        <v>15.79</v>
      </c>
      <c r="BT162" s="1107">
        <f t="shared" si="263"/>
        <v>13.68</v>
      </c>
      <c r="BU162" s="1107">
        <v>0</v>
      </c>
      <c r="BV162" s="1108">
        <f t="shared" si="302"/>
        <v>100.53</v>
      </c>
      <c r="BW162" s="1112">
        <f t="shared" si="303"/>
        <v>142.9</v>
      </c>
      <c r="BX162" s="1112">
        <f t="shared" si="356"/>
        <v>1283.01</v>
      </c>
      <c r="BY162" s="1108">
        <v>0</v>
      </c>
      <c r="BZ162" s="1108">
        <f t="shared" si="282"/>
        <v>1283.01</v>
      </c>
      <c r="CA162" s="1321">
        <f>'CONCEPTOS Y PARAMETROS'!$A$102</f>
        <v>6255</v>
      </c>
      <c r="CB162" s="1112">
        <f t="shared" si="264"/>
        <v>233.32</v>
      </c>
      <c r="CC162" s="1113">
        <f t="shared" si="265"/>
        <v>843.72</v>
      </c>
      <c r="CD162" s="512"/>
      <c r="CE162" s="512"/>
      <c r="CF162" s="470">
        <f t="shared" si="266"/>
        <v>890.67</v>
      </c>
      <c r="CG162" s="495">
        <f t="shared" si="283"/>
        <v>233.32</v>
      </c>
      <c r="CH162" s="498">
        <f t="shared" si="267"/>
        <v>12.5</v>
      </c>
      <c r="CI162" s="1490">
        <f t="shared" si="284"/>
        <v>320</v>
      </c>
      <c r="CJ162" s="1500">
        <v>1</v>
      </c>
      <c r="CK162" s="495">
        <f t="shared" si="268"/>
        <v>570.66999999999996</v>
      </c>
      <c r="CL162" s="1689">
        <f t="shared" si="269"/>
        <v>570.66999999999996</v>
      </c>
      <c r="CM162" s="1689">
        <f t="shared" si="270"/>
        <v>0</v>
      </c>
      <c r="CN162" s="496">
        <f t="shared" si="271"/>
        <v>102.64</v>
      </c>
      <c r="CO162" s="497">
        <v>0</v>
      </c>
      <c r="CP162" s="496">
        <f t="shared" si="272"/>
        <v>157.91</v>
      </c>
      <c r="CQ162" s="496">
        <f t="shared" si="273"/>
        <v>0</v>
      </c>
      <c r="CR162" s="496">
        <f t="shared" si="274"/>
        <v>1401.89</v>
      </c>
      <c r="CS162" s="496">
        <f t="shared" si="275"/>
        <v>142.9</v>
      </c>
      <c r="CT162" s="496">
        <f t="shared" si="276"/>
        <v>6255</v>
      </c>
      <c r="CU162" s="470"/>
      <c r="CV162" s="470"/>
      <c r="CW162" s="470"/>
      <c r="CX162" s="470"/>
      <c r="CY162" s="1149" t="s">
        <v>6844</v>
      </c>
      <c r="CZ162" s="1149" t="s">
        <v>7131</v>
      </c>
      <c r="DA162" s="480"/>
      <c r="DB162" s="1642" t="s">
        <v>6226</v>
      </c>
      <c r="DC162" s="1642"/>
      <c r="DD162" s="1642" t="s">
        <v>6158</v>
      </c>
      <c r="DE162" s="1642" t="s">
        <v>6222</v>
      </c>
      <c r="DF162" s="1642" t="s">
        <v>6384</v>
      </c>
      <c r="DG162" s="1642"/>
      <c r="DH162" s="512"/>
      <c r="DI162" s="512"/>
      <c r="DJ162" s="470"/>
      <c r="DK162" s="470"/>
      <c r="DL162" s="470"/>
      <c r="DN162" s="471" t="str">
        <f>VLOOKUP(X162,Hoja1!$A$4:$B$10,2,0)</f>
        <v>TÉCNICO SUPERIOR UNIVERSITARIO</v>
      </c>
      <c r="DO162" s="471" t="str">
        <f>VLOOKUP(S162,Hoja1!$D$4:$F$77,3,0)</f>
        <v>TII - VII</v>
      </c>
      <c r="DP162" s="1156" t="str">
        <f t="shared" si="277"/>
        <v>SI</v>
      </c>
      <c r="DQ162" s="1484">
        <f>IF(T162&lt;&gt;"0",(ROUND(IF(A162="EMPLEADO",eval_formula('CONCEPTOS Y PARAMETROS'!$C$8,NOMINA!V162,AU162+BF162,NOMINA!I162+NOMINA!J162),eval_formula('CONCEPTOS Y PARAMETROS'!$D$8,NOMINA!V162,AU162+BF162,NOMINA!I162+NOMINA!J162)),2))*IF(H162&lt;&gt;"",IF(MONTH(H162)=$BR$8,IF(YEAR(H162)&lt;$BT$7,1,0),0)))</f>
        <v>0</v>
      </c>
      <c r="DR162" s="1801" t="str">
        <f t="shared" si="278"/>
        <v>F</v>
      </c>
      <c r="DS162" s="1801"/>
    </row>
    <row r="163" spans="1:123" s="471" customFormat="1" ht="21.95" customHeight="1" x14ac:dyDescent="0.25">
      <c r="A163" s="508" t="s">
        <v>2846</v>
      </c>
      <c r="B163" s="1314">
        <f ca="1">OFFSET(B163,-1,0)+1</f>
        <v>120</v>
      </c>
      <c r="C163" s="1148">
        <v>15752435</v>
      </c>
      <c r="D163" s="1149" t="s">
        <v>7033</v>
      </c>
      <c r="E163" s="1135" t="s">
        <v>4622</v>
      </c>
      <c r="F163" s="1118">
        <v>30285</v>
      </c>
      <c r="G163" s="1135" t="s">
        <v>4620</v>
      </c>
      <c r="H163" s="1118">
        <v>38930</v>
      </c>
      <c r="I163" s="1140">
        <f t="shared" si="261"/>
        <v>19</v>
      </c>
      <c r="J163" s="1132">
        <v>0</v>
      </c>
      <c r="K163" s="1140">
        <f t="shared" si="279"/>
        <v>19</v>
      </c>
      <c r="L163" s="1145" t="s">
        <v>7602</v>
      </c>
      <c r="M163" s="1132"/>
      <c r="N163" s="1132"/>
      <c r="O163" s="1002" t="s">
        <v>5256</v>
      </c>
      <c r="P163" s="1132" t="s">
        <v>5363</v>
      </c>
      <c r="Q163" s="1315" t="str">
        <f>IFERROR(VLOOKUP(O163,CARGOS!A:E,2,0),"")</f>
        <v>79352</v>
      </c>
      <c r="R163" s="1327" t="s">
        <v>5256</v>
      </c>
      <c r="S163" s="1146" t="s">
        <v>5471</v>
      </c>
      <c r="T163" s="1107">
        <f>IFERROR(VLOOKUP(S163,'TAB EMP'!A:B,2,0),0)</f>
        <v>228</v>
      </c>
      <c r="U163" s="1108">
        <v>0</v>
      </c>
      <c r="V163" s="1107">
        <f t="shared" si="290"/>
        <v>228</v>
      </c>
      <c r="W163" s="1108">
        <f t="shared" si="291"/>
        <v>114</v>
      </c>
      <c r="X163" s="1135" t="s">
        <v>2844</v>
      </c>
      <c r="Y163" s="1135"/>
      <c r="Z163" s="1135">
        <v>2</v>
      </c>
      <c r="AA163" s="1107">
        <f>ROUND(IF(H163&lt;&gt;"",VLOOKUP(SUM(I163+J163),'CONCEPTOS Y PARAMETROS'!F:G,2,0)*V163,0),2)</f>
        <v>55.63</v>
      </c>
      <c r="AB163" s="1107">
        <f>IF(S163&lt;&gt;"",IF(M163="",'CONCEPTOS Y PARAMETROS'!$C$4,0),0)</f>
        <v>130</v>
      </c>
      <c r="AC163" s="1107">
        <f>IF(S163&lt;&gt;"",IF(M163="",'CONCEPTOS Y PARAMETROS'!$C$7*Z163,0),0)</f>
        <v>25</v>
      </c>
      <c r="AD163" s="1107">
        <f>IFERROR(ROUND(VLOOKUP($X163,'CONCEPTOS Y PARAMETROS'!H:I,2,0)*($V163+AA163+AB163+AC163),2),0)</f>
        <v>87.73</v>
      </c>
      <c r="AE163" s="1107">
        <f t="shared" si="287"/>
        <v>298.36</v>
      </c>
      <c r="AF163" s="1107">
        <f t="shared" si="292"/>
        <v>27.82</v>
      </c>
      <c r="AG163" s="1107">
        <f t="shared" si="293"/>
        <v>27.81</v>
      </c>
      <c r="AH163" s="1107">
        <f t="shared" si="294"/>
        <v>65</v>
      </c>
      <c r="AI163" s="1107">
        <f t="shared" si="295"/>
        <v>65</v>
      </c>
      <c r="AJ163" s="1107">
        <f t="shared" si="296"/>
        <v>43.87</v>
      </c>
      <c r="AK163" s="1107">
        <f t="shared" si="297"/>
        <v>43.86</v>
      </c>
      <c r="AL163" s="1108">
        <f t="shared" si="298"/>
        <v>161.69</v>
      </c>
      <c r="AM163" s="1108">
        <f t="shared" si="299"/>
        <v>136.66999999999999</v>
      </c>
      <c r="AN163" s="990">
        <v>0</v>
      </c>
      <c r="AO163" s="1147">
        <f>'CONCEPTOS Y PARAMETROS'!$C$18*AN163</f>
        <v>0</v>
      </c>
      <c r="AP163" s="990">
        <v>0</v>
      </c>
      <c r="AQ163" s="1147">
        <f>'CONCEPTOS Y PARAMETROS'!$C$21*AP163</f>
        <v>0</v>
      </c>
      <c r="AR163" s="1318">
        <v>0</v>
      </c>
      <c r="AS163" s="1318">
        <v>0</v>
      </c>
      <c r="AT163" s="1318">
        <f t="shared" ref="AT163" si="360">+AO163+AQ163+AR163+AS163</f>
        <v>0</v>
      </c>
      <c r="AU163" s="1108">
        <f t="shared" si="280"/>
        <v>526.36</v>
      </c>
      <c r="AV163" s="1133">
        <v>0</v>
      </c>
      <c r="AW163" s="1108">
        <f>ROUND(IF(O163="VIGILANTE",(V163+AE163)*30%,0),2)</f>
        <v>0</v>
      </c>
      <c r="AX163" s="1107">
        <f>IF(T163&lt;&gt;"0",(ROUND(IF(A163="EMPLEADO",eval_formula('CONCEPTOS Y PARAMETROS'!$C$8,NOMINA!V163,NOMINA!$AU163,NOMINA!I163+NOMINA!J163),eval_formula('CONCEPTOS Y PARAMETROS'!$D$8,NOMINA!V163,NOMINA!$AU163,NOMINA!I163+NOMINA!J163)),2))*IF(H163&lt;&gt;"",IF(MONTH(H163)=$BR$8,IF(YEAR(H163)&lt;$BT$7,1,0),0)))</f>
        <v>0</v>
      </c>
      <c r="AY163" s="1108">
        <v>180</v>
      </c>
      <c r="AZ163" s="1107">
        <f>IFERROR(VLOOKUP(AY163,'CONCEPTOS Y PARAMETROS'!Y:Z,2,0),0)</f>
        <v>150</v>
      </c>
      <c r="BA163" s="1107">
        <f t="shared" si="300"/>
        <v>3947.7</v>
      </c>
      <c r="BB163" s="1107">
        <f t="shared" si="353"/>
        <v>0</v>
      </c>
      <c r="BC163" s="990">
        <v>0</v>
      </c>
      <c r="BD163" s="1107" t="str">
        <f t="shared" si="281"/>
        <v>0</v>
      </c>
      <c r="BE163" s="990">
        <v>0</v>
      </c>
      <c r="BF163" s="1107">
        <f t="shared" si="357"/>
        <v>0</v>
      </c>
      <c r="BG163" s="1108">
        <v>320</v>
      </c>
      <c r="BH163" s="1108">
        <v>0</v>
      </c>
      <c r="BI163" s="1132">
        <v>0</v>
      </c>
      <c r="BJ163" s="1108">
        <v>12.5</v>
      </c>
      <c r="BK163" s="1108">
        <v>0</v>
      </c>
      <c r="BL163" s="1107">
        <f t="shared" si="324"/>
        <v>24.29</v>
      </c>
      <c r="BM163" s="1107">
        <f t="shared" si="325"/>
        <v>3.04</v>
      </c>
      <c r="BN163" s="1107">
        <f t="shared" si="262"/>
        <v>5.26</v>
      </c>
      <c r="BO163" s="1107">
        <v>0</v>
      </c>
      <c r="BP163" s="1107">
        <v>0</v>
      </c>
      <c r="BQ163" s="1320">
        <f t="shared" ref="BQ163" si="361">ROUND(SUM(BL163:BP163),2)</f>
        <v>32.590000000000003</v>
      </c>
      <c r="BR163" s="1107">
        <f t="shared" si="326"/>
        <v>54.66</v>
      </c>
      <c r="BS163" s="1107">
        <f t="shared" si="327"/>
        <v>12.15</v>
      </c>
      <c r="BT163" s="1107">
        <f t="shared" si="263"/>
        <v>10.52</v>
      </c>
      <c r="BU163" s="1107">
        <v>0</v>
      </c>
      <c r="BV163" s="1108">
        <f t="shared" ref="BV163" si="362">ROUND(SUM(BR163:BT163),2)</f>
        <v>77.33</v>
      </c>
      <c r="BW163" s="1112">
        <f t="shared" ref="BW163" si="363">BQ163+BV163</f>
        <v>109.92</v>
      </c>
      <c r="BX163" s="1112">
        <f t="shared" si="356"/>
        <v>986.93</v>
      </c>
      <c r="BY163" s="1108">
        <v>0</v>
      </c>
      <c r="BZ163" s="1108">
        <f t="shared" si="282"/>
        <v>986.93</v>
      </c>
      <c r="CA163" s="1321">
        <f>'CONCEPTOS Y PARAMETROS'!$A$102</f>
        <v>6255</v>
      </c>
      <c r="CB163" s="1112">
        <f t="shared" si="264"/>
        <v>243.1</v>
      </c>
      <c r="CC163" s="1113">
        <f t="shared" si="265"/>
        <v>583.16999999999996</v>
      </c>
      <c r="CD163" s="512"/>
      <c r="CE163" s="512"/>
      <c r="CF163" s="470">
        <f t="shared" si="266"/>
        <v>890.67</v>
      </c>
      <c r="CG163" s="495">
        <f t="shared" si="283"/>
        <v>243.1</v>
      </c>
      <c r="CH163" s="498">
        <f t="shared" si="267"/>
        <v>12.5</v>
      </c>
      <c r="CI163" s="1490">
        <f t="shared" si="284"/>
        <v>320</v>
      </c>
      <c r="CJ163" s="1500">
        <v>1</v>
      </c>
      <c r="CK163" s="495">
        <f t="shared" si="268"/>
        <v>570.66999999999996</v>
      </c>
      <c r="CL163" s="1689">
        <f t="shared" si="269"/>
        <v>570.66999999999996</v>
      </c>
      <c r="CM163" s="1689">
        <f t="shared" si="270"/>
        <v>0</v>
      </c>
      <c r="CN163" s="496">
        <f t="shared" si="271"/>
        <v>0</v>
      </c>
      <c r="CO163" s="497">
        <v>0</v>
      </c>
      <c r="CP163" s="496">
        <f t="shared" si="272"/>
        <v>0</v>
      </c>
      <c r="CQ163" s="496">
        <f t="shared" si="273"/>
        <v>0</v>
      </c>
      <c r="CR163" s="496">
        <f t="shared" si="274"/>
        <v>1141.3399999999999</v>
      </c>
      <c r="CS163" s="496">
        <f t="shared" si="275"/>
        <v>109.92</v>
      </c>
      <c r="CT163" s="496">
        <f t="shared" si="276"/>
        <v>6255</v>
      </c>
      <c r="CU163" s="470"/>
      <c r="CV163" s="470"/>
      <c r="CW163" s="470"/>
      <c r="CX163" s="470"/>
      <c r="CY163" s="1149" t="s">
        <v>6865</v>
      </c>
      <c r="CZ163" s="1149" t="s">
        <v>7132</v>
      </c>
      <c r="DA163" s="1152"/>
      <c r="DB163" s="1642" t="s">
        <v>6320</v>
      </c>
      <c r="DC163" s="1642"/>
      <c r="DD163" s="1642" t="s">
        <v>6150</v>
      </c>
      <c r="DE163" s="1642" t="s">
        <v>6257</v>
      </c>
      <c r="DF163" s="1642" t="s">
        <v>7526</v>
      </c>
      <c r="DG163" s="1642" t="s">
        <v>7527</v>
      </c>
      <c r="DH163" s="512"/>
      <c r="DI163" s="512"/>
      <c r="DJ163" s="512"/>
      <c r="DK163" s="512"/>
      <c r="DL163" s="512"/>
      <c r="DM163" s="476"/>
      <c r="DN163" s="471" t="str">
        <f>VLOOKUP(X163,Hoja1!$A$4:$B$10,2,0)</f>
        <v>TÉCNICO SUPERIOR UNIVERSITARIO</v>
      </c>
      <c r="DO163" s="471" t="str">
        <f>VLOOKUP(S163,Hoja1!$D$4:$F$77,3,0)</f>
        <v>TII - VII</v>
      </c>
      <c r="DP163" s="1156" t="str">
        <f t="shared" si="277"/>
        <v>0</v>
      </c>
      <c r="DQ163" s="1484">
        <f>IF(T163&lt;&gt;"0",(ROUND(IF(A163="EMPLEADO",eval_formula('CONCEPTOS Y PARAMETROS'!$C$8,NOMINA!V163,AU163+BF163,NOMINA!I163+NOMINA!J163),eval_formula('CONCEPTOS Y PARAMETROS'!$D$8,NOMINA!V163,AU163+BF163,NOMINA!I163+NOMINA!J163)),2))*IF(H163&lt;&gt;"",IF(MONTH(H163)=$BR$8,IF(YEAR(H163)&lt;$BT$7,1,0),0)))</f>
        <v>0</v>
      </c>
      <c r="DR163" s="1801" t="str">
        <f t="shared" si="278"/>
        <v>F</v>
      </c>
      <c r="DS163" s="1801"/>
    </row>
    <row r="164" spans="1:123" s="471" customFormat="1" ht="21.95" customHeight="1" x14ac:dyDescent="0.25">
      <c r="A164" s="508" t="s">
        <v>2846</v>
      </c>
      <c r="B164" s="1314">
        <f t="shared" ca="1" si="347"/>
        <v>121</v>
      </c>
      <c r="C164" s="1148">
        <v>15780354</v>
      </c>
      <c r="D164" s="1149" t="s">
        <v>4807</v>
      </c>
      <c r="E164" s="1135" t="s">
        <v>4622</v>
      </c>
      <c r="F164" s="1150">
        <v>29466</v>
      </c>
      <c r="G164" s="1135" t="s">
        <v>4620</v>
      </c>
      <c r="H164" s="1150">
        <v>44409</v>
      </c>
      <c r="I164" s="1140">
        <f t="shared" si="261"/>
        <v>4</v>
      </c>
      <c r="J164" s="1132">
        <v>0</v>
      </c>
      <c r="K164" s="1140">
        <f t="shared" si="279"/>
        <v>4</v>
      </c>
      <c r="L164" s="1145" t="s">
        <v>5536</v>
      </c>
      <c r="M164" s="1132"/>
      <c r="N164" s="1132"/>
      <c r="O164" s="1002" t="s">
        <v>5218</v>
      </c>
      <c r="P164" s="1132" t="s">
        <v>5365</v>
      </c>
      <c r="Q164" s="1315" t="str">
        <f>IFERROR(VLOOKUP(O164,CARGOS!A:E,2,0),"")</f>
        <v>79511</v>
      </c>
      <c r="R164" s="1327" t="s">
        <v>5218</v>
      </c>
      <c r="S164" s="1146" t="s">
        <v>5468</v>
      </c>
      <c r="T164" s="1107">
        <f>IFERROR(VLOOKUP(S164,'TAB EMP'!A:B,2,0),0)</f>
        <v>219</v>
      </c>
      <c r="U164" s="1108">
        <v>0</v>
      </c>
      <c r="V164" s="1107">
        <f t="shared" si="290"/>
        <v>219</v>
      </c>
      <c r="W164" s="1108">
        <f t="shared" si="291"/>
        <v>109.5</v>
      </c>
      <c r="X164" s="1135" t="s">
        <v>2885</v>
      </c>
      <c r="Y164" s="1135"/>
      <c r="Z164" s="1135">
        <v>0</v>
      </c>
      <c r="AA164" s="1107">
        <f>ROUND(IF(H164&lt;&gt;"",VLOOKUP(SUM(I164+J164),'CONCEPTOS Y PARAMETROS'!F:G,2,0)*V164,0),2)</f>
        <v>8.76</v>
      </c>
      <c r="AB164" s="1107">
        <f>IF(S164&lt;&gt;"",IF(M164="",'CONCEPTOS Y PARAMETROS'!$C$4,0),0)</f>
        <v>130</v>
      </c>
      <c r="AC164" s="1107">
        <f>IF(S164&lt;&gt;"",IF(M164="",'CONCEPTOS Y PARAMETROS'!$C$7*Z164,0),0)</f>
        <v>0</v>
      </c>
      <c r="AD164" s="1107">
        <f>IFERROR(ROUND(VLOOKUP($X164,'CONCEPTOS Y PARAMETROS'!H:I,2,0)*($V164+AA164+AB164+AC164),2),0)</f>
        <v>89.44</v>
      </c>
      <c r="AE164" s="1107">
        <f t="shared" si="287"/>
        <v>228.2</v>
      </c>
      <c r="AF164" s="1107">
        <f t="shared" si="292"/>
        <v>4.38</v>
      </c>
      <c r="AG164" s="1107">
        <f t="shared" si="293"/>
        <v>4.38</v>
      </c>
      <c r="AH164" s="1107">
        <f t="shared" si="294"/>
        <v>65</v>
      </c>
      <c r="AI164" s="1107">
        <f t="shared" si="295"/>
        <v>65</v>
      </c>
      <c r="AJ164" s="1107">
        <f t="shared" si="296"/>
        <v>44.72</v>
      </c>
      <c r="AK164" s="1107">
        <f t="shared" si="297"/>
        <v>44.72</v>
      </c>
      <c r="AL164" s="1108">
        <f t="shared" si="298"/>
        <v>114.1</v>
      </c>
      <c r="AM164" s="1108">
        <f t="shared" si="299"/>
        <v>114.1</v>
      </c>
      <c r="AN164" s="990">
        <v>0</v>
      </c>
      <c r="AO164" s="1147">
        <f>'CONCEPTOS Y PARAMETROS'!$C$18*AN164</f>
        <v>0</v>
      </c>
      <c r="AP164" s="990">
        <v>0</v>
      </c>
      <c r="AQ164" s="1147">
        <f>'CONCEPTOS Y PARAMETROS'!$C$21*AP164</f>
        <v>0</v>
      </c>
      <c r="AR164" s="1318">
        <v>0</v>
      </c>
      <c r="AS164" s="1318">
        <v>0</v>
      </c>
      <c r="AT164" s="1318">
        <f t="shared" si="355"/>
        <v>0</v>
      </c>
      <c r="AU164" s="1108">
        <f t="shared" si="280"/>
        <v>581.36</v>
      </c>
      <c r="AV164" s="1133" t="s">
        <v>5080</v>
      </c>
      <c r="AW164" s="1108">
        <f t="shared" ref="AW164:AW195" si="364">ROUND(IF(AV164="NOCTURN",(V164+AE164)*30%,0),2)</f>
        <v>134.16</v>
      </c>
      <c r="AX164" s="1107">
        <f>IF(T164&lt;&gt;"0",(ROUND(IF(A164="EMPLEADO",eval_formula('CONCEPTOS Y PARAMETROS'!$C$8,NOMINA!V164,NOMINA!$AU164,NOMINA!I164+NOMINA!J164),eval_formula('CONCEPTOS Y PARAMETROS'!$D$8,NOMINA!V164,NOMINA!$AU164,NOMINA!I164+NOMINA!J164)),2))*IF(H164&lt;&gt;"",IF(MONTH(H164)=$BR$8,IF(YEAR(H164)&lt;$BT$7,1,0),0)))</f>
        <v>0</v>
      </c>
      <c r="AY164" s="1108">
        <v>180</v>
      </c>
      <c r="AZ164" s="1107">
        <f>IFERROR(VLOOKUP(AY164,'CONCEPTOS Y PARAMETROS'!Y:Z,2,0),0)</f>
        <v>150</v>
      </c>
      <c r="BA164" s="1107">
        <f t="shared" si="300"/>
        <v>4360.2</v>
      </c>
      <c r="BB164" s="1107">
        <f t="shared" si="353"/>
        <v>0</v>
      </c>
      <c r="BC164" s="990">
        <v>0</v>
      </c>
      <c r="BD164" s="1107" t="str">
        <f t="shared" si="281"/>
        <v>0</v>
      </c>
      <c r="BE164" s="990">
        <v>0</v>
      </c>
      <c r="BF164" s="1107">
        <f t="shared" si="357"/>
        <v>0</v>
      </c>
      <c r="BG164" s="1108">
        <v>320</v>
      </c>
      <c r="BH164" s="1108">
        <v>0</v>
      </c>
      <c r="BI164" s="1132">
        <v>0</v>
      </c>
      <c r="BJ164" s="1108">
        <v>12.5</v>
      </c>
      <c r="BK164" s="1108">
        <v>0</v>
      </c>
      <c r="BL164" s="1107">
        <f t="shared" si="324"/>
        <v>26.83</v>
      </c>
      <c r="BM164" s="1107">
        <f t="shared" si="325"/>
        <v>3.35</v>
      </c>
      <c r="BN164" s="1107">
        <f t="shared" si="262"/>
        <v>5.81</v>
      </c>
      <c r="BO164" s="1107">
        <v>0</v>
      </c>
      <c r="BP164" s="1107">
        <v>0</v>
      </c>
      <c r="BQ164" s="1320">
        <f t="shared" si="301"/>
        <v>35.99</v>
      </c>
      <c r="BR164" s="1107">
        <f t="shared" si="326"/>
        <v>60.37</v>
      </c>
      <c r="BS164" s="1107">
        <f t="shared" si="327"/>
        <v>13.42</v>
      </c>
      <c r="BT164" s="1107">
        <f t="shared" si="263"/>
        <v>11.62</v>
      </c>
      <c r="BU164" s="1107">
        <v>0</v>
      </c>
      <c r="BV164" s="1108">
        <f t="shared" si="302"/>
        <v>85.41</v>
      </c>
      <c r="BW164" s="1112">
        <f t="shared" si="303"/>
        <v>121.4</v>
      </c>
      <c r="BX164" s="1112">
        <f t="shared" si="356"/>
        <v>1090.05</v>
      </c>
      <c r="BY164" s="1108">
        <v>0</v>
      </c>
      <c r="BZ164" s="1108">
        <f t="shared" si="282"/>
        <v>1090.05</v>
      </c>
      <c r="CA164" s="1321">
        <f>'CONCEPTOS Y PARAMETROS'!$A$102</f>
        <v>6255</v>
      </c>
      <c r="CB164" s="1112">
        <f t="shared" si="264"/>
        <v>187.60999999999999</v>
      </c>
      <c r="CC164" s="1113">
        <f t="shared" si="265"/>
        <v>690.26</v>
      </c>
      <c r="CD164" s="512"/>
      <c r="CE164" s="512"/>
      <c r="CF164" s="470">
        <f t="shared" si="266"/>
        <v>863.6</v>
      </c>
      <c r="CG164" s="495">
        <f t="shared" si="283"/>
        <v>187.60999999999999</v>
      </c>
      <c r="CH164" s="498">
        <f t="shared" si="267"/>
        <v>12.5</v>
      </c>
      <c r="CI164" s="1490">
        <f t="shared" si="284"/>
        <v>320</v>
      </c>
      <c r="CJ164" s="1500">
        <v>1</v>
      </c>
      <c r="CK164" s="495">
        <f t="shared" si="268"/>
        <v>543.6</v>
      </c>
      <c r="CL164" s="1689">
        <f t="shared" si="269"/>
        <v>543.6</v>
      </c>
      <c r="CM164" s="1689">
        <f t="shared" si="270"/>
        <v>0</v>
      </c>
      <c r="CN164" s="496">
        <f t="shared" si="271"/>
        <v>0</v>
      </c>
      <c r="CO164" s="497">
        <v>0</v>
      </c>
      <c r="CP164" s="496">
        <f t="shared" si="272"/>
        <v>134.16</v>
      </c>
      <c r="CQ164" s="496">
        <f t="shared" si="273"/>
        <v>0</v>
      </c>
      <c r="CR164" s="496">
        <f t="shared" si="274"/>
        <v>1221.3600000000001</v>
      </c>
      <c r="CS164" s="496">
        <f t="shared" si="275"/>
        <v>121.4</v>
      </c>
      <c r="CT164" s="496">
        <f t="shared" si="276"/>
        <v>6255</v>
      </c>
      <c r="CU164" s="470"/>
      <c r="CV164" s="470"/>
      <c r="CW164" s="470"/>
      <c r="CX164" s="470"/>
      <c r="CY164" s="1149" t="s">
        <v>7067</v>
      </c>
      <c r="CZ164" s="1149" t="s">
        <v>7133</v>
      </c>
      <c r="DA164" s="480"/>
      <c r="DB164" s="1642" t="s">
        <v>7463</v>
      </c>
      <c r="DC164" s="1642" t="s">
        <v>7512</v>
      </c>
      <c r="DD164" s="1642" t="s">
        <v>6174</v>
      </c>
      <c r="DE164" s="1642" t="s">
        <v>6245</v>
      </c>
      <c r="DF164" s="1642" t="s">
        <v>6372</v>
      </c>
      <c r="DG164" s="1642"/>
      <c r="DH164" s="512"/>
      <c r="DI164" s="512"/>
      <c r="DJ164" s="470"/>
      <c r="DK164" s="470"/>
      <c r="DL164" s="470"/>
      <c r="DN164" s="471" t="str">
        <f>VLOOKUP(X164,Hoja1!$A$4:$B$10,2,0)</f>
        <v>PROFESIONAL</v>
      </c>
      <c r="DO164" s="471" t="str">
        <f>VLOOKUP(S164,Hoja1!$D$4:$F$77,3,0)</f>
        <v>TII - II</v>
      </c>
      <c r="DP164" s="1156" t="str">
        <f t="shared" si="277"/>
        <v>SI</v>
      </c>
      <c r="DQ164" s="1484">
        <f>IF(T164&lt;&gt;"0",(ROUND(IF(A164="EMPLEADO",eval_formula('CONCEPTOS Y PARAMETROS'!$C$8,NOMINA!V164,AU164+BF164,NOMINA!I164+NOMINA!J164),eval_formula('CONCEPTOS Y PARAMETROS'!$D$8,NOMINA!V164,AU164+BF164,NOMINA!I164+NOMINA!J164)),2))*IF(H164&lt;&gt;"",IF(MONTH(H164)=$BR$8,IF(YEAR(H164)&lt;$BT$7,1,0),0)))</f>
        <v>0</v>
      </c>
      <c r="DR164" s="1801" t="str">
        <f t="shared" si="278"/>
        <v>F</v>
      </c>
      <c r="DS164" s="1801"/>
    </row>
    <row r="165" spans="1:123" s="476" customFormat="1" ht="21.95" customHeight="1" x14ac:dyDescent="0.25">
      <c r="A165" s="508" t="s">
        <v>2846</v>
      </c>
      <c r="B165" s="1314">
        <f t="shared" ca="1" si="347"/>
        <v>122</v>
      </c>
      <c r="C165" s="1148">
        <v>15824548</v>
      </c>
      <c r="D165" s="1149" t="s">
        <v>4809</v>
      </c>
      <c r="E165" s="1135" t="s">
        <v>4622</v>
      </c>
      <c r="F165" s="1150">
        <v>29225</v>
      </c>
      <c r="G165" s="1135" t="s">
        <v>4620</v>
      </c>
      <c r="H165" s="1150">
        <v>44317</v>
      </c>
      <c r="I165" s="1140">
        <f t="shared" si="261"/>
        <v>4</v>
      </c>
      <c r="J165" s="1132">
        <v>0</v>
      </c>
      <c r="K165" s="1140">
        <f t="shared" si="279"/>
        <v>4</v>
      </c>
      <c r="L165" s="1145" t="s">
        <v>7429</v>
      </c>
      <c r="M165" s="1132"/>
      <c r="N165" s="1132"/>
      <c r="O165" s="1002" t="s">
        <v>5250</v>
      </c>
      <c r="P165" s="1132" t="s">
        <v>5366</v>
      </c>
      <c r="Q165" s="1315" t="str">
        <f>IFERROR(VLOOKUP(O165,CARGOS!A:E,2,0),"")</f>
        <v>79342</v>
      </c>
      <c r="R165" s="1327" t="s">
        <v>5250</v>
      </c>
      <c r="S165" s="1146" t="s">
        <v>5468</v>
      </c>
      <c r="T165" s="1107">
        <f>IFERROR(VLOOKUP(S165,'TAB EMP'!A:B,2,0),0)</f>
        <v>219</v>
      </c>
      <c r="U165" s="1108">
        <v>0</v>
      </c>
      <c r="V165" s="1107">
        <f t="shared" si="290"/>
        <v>219</v>
      </c>
      <c r="W165" s="1108">
        <f t="shared" si="291"/>
        <v>109.5</v>
      </c>
      <c r="X165" s="1135" t="s">
        <v>2844</v>
      </c>
      <c r="Y165" s="1135"/>
      <c r="Z165" s="1135">
        <v>1</v>
      </c>
      <c r="AA165" s="1107">
        <f>ROUND(IF(H165&lt;&gt;"",VLOOKUP(SUM(I165+J165),'CONCEPTOS Y PARAMETROS'!F:G,2,0)*V165,0),2)</f>
        <v>8.76</v>
      </c>
      <c r="AB165" s="1107">
        <f>IF(S165&lt;&gt;"",IF(M165="",'CONCEPTOS Y PARAMETROS'!$C$4,0),0)</f>
        <v>130</v>
      </c>
      <c r="AC165" s="1107">
        <f>IF(S165&lt;&gt;"",IF(M165="",'CONCEPTOS Y PARAMETROS'!$C$7*Z165,0),0)</f>
        <v>12.5</v>
      </c>
      <c r="AD165" s="1107">
        <f>IFERROR(ROUND(VLOOKUP($X165,'CONCEPTOS Y PARAMETROS'!H:I,2,0)*($V165+AA165+AB165+AC165),2),0)</f>
        <v>74.05</v>
      </c>
      <c r="AE165" s="1107">
        <f t="shared" si="287"/>
        <v>225.31</v>
      </c>
      <c r="AF165" s="1107">
        <f t="shared" si="292"/>
        <v>4.38</v>
      </c>
      <c r="AG165" s="1107">
        <f t="shared" si="293"/>
        <v>4.38</v>
      </c>
      <c r="AH165" s="1107">
        <f t="shared" si="294"/>
        <v>65</v>
      </c>
      <c r="AI165" s="1107">
        <f t="shared" si="295"/>
        <v>65</v>
      </c>
      <c r="AJ165" s="1107">
        <f t="shared" si="296"/>
        <v>37.03</v>
      </c>
      <c r="AK165" s="1107">
        <f t="shared" si="297"/>
        <v>37.020000000000003</v>
      </c>
      <c r="AL165" s="1108">
        <f t="shared" si="298"/>
        <v>118.91</v>
      </c>
      <c r="AM165" s="1108">
        <f t="shared" si="299"/>
        <v>106.4</v>
      </c>
      <c r="AN165" s="990">
        <v>1</v>
      </c>
      <c r="AO165" s="1147">
        <f>'CONCEPTOS Y PARAMETROS'!$C$18*AN165</f>
        <v>12.5</v>
      </c>
      <c r="AP165" s="990">
        <v>0</v>
      </c>
      <c r="AQ165" s="1147">
        <f>'CONCEPTOS Y PARAMETROS'!$C$21*AP165</f>
        <v>0</v>
      </c>
      <c r="AR165" s="1318">
        <v>0</v>
      </c>
      <c r="AS165" s="1318">
        <v>0</v>
      </c>
      <c r="AT165" s="1318">
        <f t="shared" si="355"/>
        <v>12.5</v>
      </c>
      <c r="AU165" s="1108">
        <f t="shared" si="280"/>
        <v>444.31</v>
      </c>
      <c r="AV165" s="1133">
        <v>0</v>
      </c>
      <c r="AW165" s="1108">
        <f t="shared" si="364"/>
        <v>0</v>
      </c>
      <c r="AX165" s="1107">
        <f>IF(T165&lt;&gt;"0",(ROUND(IF(A165="EMPLEADO",eval_formula('CONCEPTOS Y PARAMETROS'!$C$8,NOMINA!V165,NOMINA!$AU165,NOMINA!I165+NOMINA!J165),eval_formula('CONCEPTOS Y PARAMETROS'!$D$8,NOMINA!V165,NOMINA!$AU165,NOMINA!I165+NOMINA!J165)),2))*IF(H165&lt;&gt;"",IF(MONTH(H165)=$BR$8,IF(YEAR(H165)&lt;$BT$7,1,0),0)))</f>
        <v>0</v>
      </c>
      <c r="AY165" s="1108">
        <v>180</v>
      </c>
      <c r="AZ165" s="1107">
        <f>IFERROR(VLOOKUP(AY165,'CONCEPTOS Y PARAMETROS'!Y:Z,2,0),0)</f>
        <v>150</v>
      </c>
      <c r="BA165" s="1107">
        <f t="shared" si="300"/>
        <v>3332.33</v>
      </c>
      <c r="BB165" s="1107">
        <f t="shared" si="353"/>
        <v>0</v>
      </c>
      <c r="BC165" s="990">
        <v>0</v>
      </c>
      <c r="BD165" s="1107" t="str">
        <f t="shared" si="281"/>
        <v>0</v>
      </c>
      <c r="BE165" s="990">
        <v>0</v>
      </c>
      <c r="BF165" s="1107">
        <f t="shared" si="357"/>
        <v>0</v>
      </c>
      <c r="BG165" s="1108">
        <v>320</v>
      </c>
      <c r="BH165" s="1108">
        <v>0</v>
      </c>
      <c r="BI165" s="1132">
        <v>0</v>
      </c>
      <c r="BJ165" s="1108">
        <v>12.5</v>
      </c>
      <c r="BK165" s="1108">
        <v>0</v>
      </c>
      <c r="BL165" s="1107">
        <f t="shared" si="324"/>
        <v>20.51</v>
      </c>
      <c r="BM165" s="1107">
        <f t="shared" si="325"/>
        <v>2.56</v>
      </c>
      <c r="BN165" s="1107">
        <f t="shared" si="262"/>
        <v>4.4400000000000004</v>
      </c>
      <c r="BO165" s="1107">
        <v>0</v>
      </c>
      <c r="BP165" s="1107">
        <v>0</v>
      </c>
      <c r="BQ165" s="1320">
        <f t="shared" si="301"/>
        <v>27.51</v>
      </c>
      <c r="BR165" s="1107">
        <f t="shared" si="326"/>
        <v>46.14</v>
      </c>
      <c r="BS165" s="1107">
        <f t="shared" si="327"/>
        <v>10.25</v>
      </c>
      <c r="BT165" s="1107">
        <f t="shared" si="263"/>
        <v>8.8800000000000008</v>
      </c>
      <c r="BU165" s="1107">
        <v>0</v>
      </c>
      <c r="BV165" s="1108">
        <f t="shared" si="302"/>
        <v>65.27</v>
      </c>
      <c r="BW165" s="1112">
        <f t="shared" si="303"/>
        <v>92.78</v>
      </c>
      <c r="BX165" s="1112">
        <f t="shared" si="356"/>
        <v>833.08</v>
      </c>
      <c r="BY165" s="1108">
        <v>0</v>
      </c>
      <c r="BZ165" s="1108">
        <f t="shared" si="282"/>
        <v>833.08</v>
      </c>
      <c r="CA165" s="1321">
        <f>'CONCEPTOS Y PARAMETROS'!$A$102</f>
        <v>6255</v>
      </c>
      <c r="CB165" s="1112">
        <f t="shared" si="264"/>
        <v>200.9</v>
      </c>
      <c r="CC165" s="1113">
        <f t="shared" si="265"/>
        <v>560.9</v>
      </c>
      <c r="CD165" s="512"/>
      <c r="CE165" s="512"/>
      <c r="CF165" s="470">
        <f t="shared" si="266"/>
        <v>855.9</v>
      </c>
      <c r="CG165" s="509">
        <f t="shared" si="283"/>
        <v>200.9</v>
      </c>
      <c r="CH165" s="1603">
        <f t="shared" si="267"/>
        <v>25</v>
      </c>
      <c r="CI165" s="1491">
        <f t="shared" si="284"/>
        <v>320</v>
      </c>
      <c r="CJ165" s="1502">
        <v>1</v>
      </c>
      <c r="CK165" s="509">
        <f t="shared" si="268"/>
        <v>535.9</v>
      </c>
      <c r="CL165" s="1689">
        <f t="shared" si="269"/>
        <v>535.9</v>
      </c>
      <c r="CM165" s="1689">
        <f t="shared" si="270"/>
        <v>0</v>
      </c>
      <c r="CN165" s="510">
        <f t="shared" si="271"/>
        <v>0</v>
      </c>
      <c r="CO165" s="511">
        <v>0</v>
      </c>
      <c r="CP165" s="510">
        <f t="shared" si="272"/>
        <v>0</v>
      </c>
      <c r="CQ165" s="510">
        <f t="shared" si="273"/>
        <v>0</v>
      </c>
      <c r="CR165" s="510">
        <f t="shared" si="274"/>
        <v>1071.8</v>
      </c>
      <c r="CS165" s="510">
        <f t="shared" si="275"/>
        <v>92.78</v>
      </c>
      <c r="CT165" s="510">
        <f t="shared" si="276"/>
        <v>6255</v>
      </c>
      <c r="CU165" s="512"/>
      <c r="CV165" s="512"/>
      <c r="CW165" s="512"/>
      <c r="CX165" s="512"/>
      <c r="CY165" s="1149" t="s">
        <v>6998</v>
      </c>
      <c r="CZ165" s="1149" t="s">
        <v>6805</v>
      </c>
      <c r="DA165" s="1152"/>
      <c r="DB165" s="1642" t="s">
        <v>6227</v>
      </c>
      <c r="DC165" s="1642"/>
      <c r="DD165" s="1642" t="s">
        <v>6158</v>
      </c>
      <c r="DE165" s="1642" t="s">
        <v>6222</v>
      </c>
      <c r="DF165" s="1642" t="s">
        <v>7430</v>
      </c>
      <c r="DG165" s="1642"/>
      <c r="DH165" s="512"/>
      <c r="DI165" s="512"/>
      <c r="DJ165" s="512"/>
      <c r="DK165" s="512"/>
      <c r="DL165" s="512"/>
      <c r="DN165" s="476" t="str">
        <f>VLOOKUP(X165,Hoja1!$A$4:$B$10,2,0)</f>
        <v>TÉCNICO SUPERIOR UNIVERSITARIO</v>
      </c>
      <c r="DO165" s="476" t="str">
        <f>VLOOKUP(S165,Hoja1!$D$4:$F$77,3,0)</f>
        <v>TII - II</v>
      </c>
      <c r="DP165" s="1594" t="str">
        <f t="shared" si="277"/>
        <v>0</v>
      </c>
      <c r="DQ165" s="1484">
        <f>IF(T165&lt;&gt;"0",(ROUND(IF(A165="EMPLEADO",eval_formula('CONCEPTOS Y PARAMETROS'!$C$8,NOMINA!V165,AU165+BF165,NOMINA!I165+NOMINA!J165),eval_formula('CONCEPTOS Y PARAMETROS'!$D$8,NOMINA!V165,AU165+BF165,NOMINA!I165+NOMINA!J165)),2))*IF(H165&lt;&gt;"",IF(MONTH(H165)=$BR$8,IF(YEAR(H165)&lt;$BT$7,1,0),0)))</f>
        <v>0</v>
      </c>
      <c r="DR165" s="1799" t="str">
        <f t="shared" si="278"/>
        <v>F</v>
      </c>
      <c r="DS165" s="1799"/>
    </row>
    <row r="166" spans="1:123" s="476" customFormat="1" ht="21.95" customHeight="1" x14ac:dyDescent="0.25">
      <c r="A166" s="508" t="s">
        <v>2846</v>
      </c>
      <c r="B166" s="1314">
        <f t="shared" ca="1" si="347"/>
        <v>123</v>
      </c>
      <c r="C166" s="1148">
        <v>15904692</v>
      </c>
      <c r="D166" s="1149" t="s">
        <v>4810</v>
      </c>
      <c r="E166" s="1135" t="s">
        <v>4622</v>
      </c>
      <c r="F166" s="1150">
        <v>29684</v>
      </c>
      <c r="G166" s="1135" t="s">
        <v>4620</v>
      </c>
      <c r="H166" s="1150">
        <v>39756</v>
      </c>
      <c r="I166" s="1140">
        <f t="shared" si="261"/>
        <v>16</v>
      </c>
      <c r="J166" s="1132">
        <v>0</v>
      </c>
      <c r="K166" s="1140">
        <f t="shared" si="279"/>
        <v>16</v>
      </c>
      <c r="L166" s="1145" t="s">
        <v>5528</v>
      </c>
      <c r="M166" s="1132"/>
      <c r="N166" s="1132"/>
      <c r="O166" s="1002" t="s">
        <v>5217</v>
      </c>
      <c r="P166" s="1132" t="s">
        <v>5367</v>
      </c>
      <c r="Q166" s="1315" t="str">
        <f>IFERROR(VLOOKUP(O166,CARGOS!A:E,2,0),"")</f>
        <v>79512</v>
      </c>
      <c r="R166" s="1327" t="s">
        <v>5217</v>
      </c>
      <c r="S166" s="1146" t="s">
        <v>5461</v>
      </c>
      <c r="T166" s="1107">
        <f>IFERROR(VLOOKUP(S166,'TAB EMP'!A:B,2,0),0)</f>
        <v>226</v>
      </c>
      <c r="U166" s="1108">
        <v>0</v>
      </c>
      <c r="V166" s="1107">
        <f t="shared" si="290"/>
        <v>226</v>
      </c>
      <c r="W166" s="1108">
        <f t="shared" si="291"/>
        <v>113</v>
      </c>
      <c r="X166" s="1135" t="s">
        <v>2844</v>
      </c>
      <c r="Y166" s="1135"/>
      <c r="Z166" s="1135">
        <v>2</v>
      </c>
      <c r="AA166" s="1107">
        <f>ROUND(IF(H166&lt;&gt;"",VLOOKUP(SUM(I166+J166),'CONCEPTOS Y PARAMETROS'!F:G,2,0)*V166,0),2)</f>
        <v>44.3</v>
      </c>
      <c r="AB166" s="1107">
        <f>IF(S166&lt;&gt;"",IF(M166="",'CONCEPTOS Y PARAMETROS'!$C$4,0),0)</f>
        <v>130</v>
      </c>
      <c r="AC166" s="1107">
        <f>IF(S166&lt;&gt;"",IF(M166="",'CONCEPTOS Y PARAMETROS'!$C$7*Z166,0),0)</f>
        <v>25</v>
      </c>
      <c r="AD166" s="1107">
        <f>IFERROR(ROUND(VLOOKUP($X166,'CONCEPTOS Y PARAMETROS'!H:I,2,0)*($V166+AA166+AB166+AC166),2),0)</f>
        <v>85.06</v>
      </c>
      <c r="AE166" s="1107">
        <f t="shared" si="287"/>
        <v>284.36</v>
      </c>
      <c r="AF166" s="1107">
        <f t="shared" si="292"/>
        <v>22.15</v>
      </c>
      <c r="AG166" s="1107">
        <f t="shared" si="293"/>
        <v>22.15</v>
      </c>
      <c r="AH166" s="1107">
        <f t="shared" si="294"/>
        <v>65</v>
      </c>
      <c r="AI166" s="1107">
        <f t="shared" si="295"/>
        <v>65</v>
      </c>
      <c r="AJ166" s="1107">
        <f t="shared" si="296"/>
        <v>42.53</v>
      </c>
      <c r="AK166" s="1107">
        <f t="shared" si="297"/>
        <v>42.53</v>
      </c>
      <c r="AL166" s="1108">
        <f t="shared" si="298"/>
        <v>154.68</v>
      </c>
      <c r="AM166" s="1108">
        <f t="shared" si="299"/>
        <v>129.68</v>
      </c>
      <c r="AN166" s="990">
        <v>2</v>
      </c>
      <c r="AO166" s="1147">
        <f>'CONCEPTOS Y PARAMETROS'!$C$18*AN166</f>
        <v>25</v>
      </c>
      <c r="AP166" s="990">
        <v>0</v>
      </c>
      <c r="AQ166" s="1147">
        <f>'CONCEPTOS Y PARAMETROS'!$C$21*AP166</f>
        <v>0</v>
      </c>
      <c r="AR166" s="1318">
        <v>0</v>
      </c>
      <c r="AS166" s="1318">
        <v>0</v>
      </c>
      <c r="AT166" s="1318">
        <f t="shared" si="355"/>
        <v>25</v>
      </c>
      <c r="AU166" s="1108">
        <f t="shared" si="280"/>
        <v>663.47</v>
      </c>
      <c r="AV166" s="1133" t="s">
        <v>5080</v>
      </c>
      <c r="AW166" s="1108">
        <f t="shared" si="364"/>
        <v>153.11000000000001</v>
      </c>
      <c r="AX166" s="1107">
        <f>IF(T166&lt;&gt;"0",(ROUND(IF(A166="EMPLEADO",eval_formula('CONCEPTOS Y PARAMETROS'!$C$8,NOMINA!V166,NOMINA!$AU166,NOMINA!I166+NOMINA!J166),eval_formula('CONCEPTOS Y PARAMETROS'!$D$8,NOMINA!V166,NOMINA!$AU166,NOMINA!I166+NOMINA!J166)),2))*IF(H166&lt;&gt;"",IF(MONTH(H166)=$BR$8,IF(YEAR(H166)&lt;$BT$7,1,0),0)))</f>
        <v>0</v>
      </c>
      <c r="AY166" s="1108">
        <v>180</v>
      </c>
      <c r="AZ166" s="1107">
        <f>IFERROR(VLOOKUP(AY166,'CONCEPTOS Y PARAMETROS'!Y:Z,2,0),0)</f>
        <v>150</v>
      </c>
      <c r="BA166" s="1107">
        <f t="shared" si="300"/>
        <v>4976.03</v>
      </c>
      <c r="BB166" s="1107">
        <f t="shared" si="353"/>
        <v>0</v>
      </c>
      <c r="BC166" s="990">
        <v>0</v>
      </c>
      <c r="BD166" s="1107" t="str">
        <f t="shared" si="281"/>
        <v>0</v>
      </c>
      <c r="BE166" s="990">
        <v>0</v>
      </c>
      <c r="BF166" s="1107">
        <f t="shared" si="357"/>
        <v>0</v>
      </c>
      <c r="BG166" s="1108">
        <v>320</v>
      </c>
      <c r="BH166" s="1108">
        <v>0</v>
      </c>
      <c r="BI166" s="1132">
        <v>0</v>
      </c>
      <c r="BJ166" s="1108">
        <v>12.5</v>
      </c>
      <c r="BK166" s="1108">
        <v>0</v>
      </c>
      <c r="BL166" s="1107">
        <f t="shared" si="324"/>
        <v>30.62</v>
      </c>
      <c r="BM166" s="1107">
        <f t="shared" si="325"/>
        <v>3.83</v>
      </c>
      <c r="BN166" s="1107">
        <f t="shared" si="262"/>
        <v>6.63</v>
      </c>
      <c r="BO166" s="1107">
        <v>0</v>
      </c>
      <c r="BP166" s="1107">
        <v>0</v>
      </c>
      <c r="BQ166" s="1320">
        <f t="shared" si="301"/>
        <v>41.08</v>
      </c>
      <c r="BR166" s="1107">
        <f t="shared" si="326"/>
        <v>68.900000000000006</v>
      </c>
      <c r="BS166" s="1107">
        <f t="shared" si="327"/>
        <v>15.31</v>
      </c>
      <c r="BT166" s="1107">
        <f t="shared" si="263"/>
        <v>13.26</v>
      </c>
      <c r="BU166" s="1107">
        <v>0</v>
      </c>
      <c r="BV166" s="1108">
        <f t="shared" si="302"/>
        <v>97.47</v>
      </c>
      <c r="BW166" s="1112">
        <f t="shared" si="303"/>
        <v>138.55000000000001</v>
      </c>
      <c r="BX166" s="1112">
        <f t="shared" si="356"/>
        <v>1244.01</v>
      </c>
      <c r="BY166" s="1108">
        <v>0</v>
      </c>
      <c r="BZ166" s="1108">
        <f t="shared" ref="BZ166:BZ224" si="365">+BX166+BY166</f>
        <v>1244.01</v>
      </c>
      <c r="CA166" s="1321">
        <f>'CONCEPTOS Y PARAMETROS'!$A$102</f>
        <v>6255</v>
      </c>
      <c r="CB166" s="1112">
        <f t="shared" si="264"/>
        <v>226.60000000000002</v>
      </c>
      <c r="CC166" s="1113">
        <f t="shared" si="265"/>
        <v>753.29</v>
      </c>
      <c r="CD166" s="512"/>
      <c r="CE166" s="512"/>
      <c r="CF166" s="470">
        <f t="shared" si="266"/>
        <v>882.68000000000006</v>
      </c>
      <c r="CG166" s="509">
        <f t="shared" si="283"/>
        <v>226.60000000000002</v>
      </c>
      <c r="CH166" s="1603">
        <f t="shared" si="267"/>
        <v>37.5</v>
      </c>
      <c r="CI166" s="1491">
        <f t="shared" si="284"/>
        <v>320</v>
      </c>
      <c r="CJ166" s="1502">
        <v>1</v>
      </c>
      <c r="CK166" s="509">
        <f t="shared" si="268"/>
        <v>562.68000000000006</v>
      </c>
      <c r="CL166" s="1689">
        <f t="shared" si="269"/>
        <v>562.67999999999995</v>
      </c>
      <c r="CM166" s="1689">
        <f t="shared" si="270"/>
        <v>0</v>
      </c>
      <c r="CN166" s="510">
        <f t="shared" si="271"/>
        <v>0</v>
      </c>
      <c r="CO166" s="511">
        <v>0</v>
      </c>
      <c r="CP166" s="510">
        <f t="shared" si="272"/>
        <v>153.11000000000001</v>
      </c>
      <c r="CQ166" s="510">
        <f t="shared" si="273"/>
        <v>0</v>
      </c>
      <c r="CR166" s="510">
        <f t="shared" si="274"/>
        <v>1278.4700000000003</v>
      </c>
      <c r="CS166" s="510">
        <f t="shared" si="275"/>
        <v>138.55000000000001</v>
      </c>
      <c r="CT166" s="510">
        <f t="shared" si="276"/>
        <v>6255</v>
      </c>
      <c r="CU166" s="512"/>
      <c r="CV166" s="512"/>
      <c r="CW166" s="512"/>
      <c r="CX166" s="512"/>
      <c r="CY166" s="1149" t="s">
        <v>7068</v>
      </c>
      <c r="CZ166" s="1149" t="s">
        <v>6866</v>
      </c>
      <c r="DA166" s="1152"/>
      <c r="DB166" s="1642" t="s">
        <v>6575</v>
      </c>
      <c r="DC166" s="1642"/>
      <c r="DD166" s="1642" t="s">
        <v>6560</v>
      </c>
      <c r="DE166" s="1642" t="s">
        <v>6230</v>
      </c>
      <c r="DF166" s="1642" t="s">
        <v>6267</v>
      </c>
      <c r="DG166" s="1642"/>
      <c r="DH166" s="512"/>
      <c r="DI166" s="512"/>
      <c r="DJ166" s="512"/>
      <c r="DK166" s="512"/>
      <c r="DL166" s="512"/>
      <c r="DN166" s="476" t="str">
        <f>VLOOKUP(X166,Hoja1!$A$4:$B$10,2,0)</f>
        <v>TÉCNICO SUPERIOR UNIVERSITARIO</v>
      </c>
      <c r="DO166" s="476" t="str">
        <f>VLOOKUP(S166,Hoja1!$D$4:$F$77,3,0)</f>
        <v>TII - VI</v>
      </c>
      <c r="DP166" s="1594" t="str">
        <f t="shared" si="277"/>
        <v>SI</v>
      </c>
      <c r="DQ166" s="1484">
        <f>IF(T166&lt;&gt;"0",(ROUND(IF(A166="EMPLEADO",eval_formula('CONCEPTOS Y PARAMETROS'!$C$8,NOMINA!V166,AU166+BF166,NOMINA!I166+NOMINA!J166),eval_formula('CONCEPTOS Y PARAMETROS'!$D$8,NOMINA!V166,AU166+BF166,NOMINA!I166+NOMINA!J166)),2))*IF(H166&lt;&gt;"",IF(MONTH(H166)=$BR$8,IF(YEAR(H166)&lt;$BT$7,1,0),0)))</f>
        <v>0</v>
      </c>
      <c r="DR166" s="1799" t="str">
        <f t="shared" si="278"/>
        <v>F</v>
      </c>
      <c r="DS166" s="1799"/>
    </row>
    <row r="167" spans="1:123" s="476" customFormat="1" ht="21.95" customHeight="1" x14ac:dyDescent="0.25">
      <c r="A167" s="508" t="s">
        <v>2846</v>
      </c>
      <c r="B167" s="1314">
        <f t="shared" ca="1" si="347"/>
        <v>124</v>
      </c>
      <c r="C167" s="1148">
        <v>16015833</v>
      </c>
      <c r="D167" s="1149" t="s">
        <v>4811</v>
      </c>
      <c r="E167" s="1135" t="s">
        <v>4622</v>
      </c>
      <c r="F167" s="1150">
        <v>30771</v>
      </c>
      <c r="G167" s="1135" t="s">
        <v>4620</v>
      </c>
      <c r="H167" s="1150">
        <v>42948</v>
      </c>
      <c r="I167" s="1140">
        <f t="shared" si="261"/>
        <v>8</v>
      </c>
      <c r="J167" s="1132">
        <v>0</v>
      </c>
      <c r="K167" s="1140">
        <f t="shared" si="279"/>
        <v>8</v>
      </c>
      <c r="L167" s="1145" t="s">
        <v>5535</v>
      </c>
      <c r="M167" s="1132"/>
      <c r="N167" s="1132"/>
      <c r="O167" s="1002" t="s">
        <v>5217</v>
      </c>
      <c r="P167" s="1132" t="s">
        <v>5368</v>
      </c>
      <c r="Q167" s="1315" t="str">
        <f>IFERROR(VLOOKUP(O167,CARGOS!A:E,2,0),"")</f>
        <v>79512</v>
      </c>
      <c r="R167" s="1327" t="s">
        <v>5217</v>
      </c>
      <c r="S167" s="1146" t="s">
        <v>5475</v>
      </c>
      <c r="T167" s="1107">
        <f>IFERROR(VLOOKUP(S167,'TAB EMP'!A:B,2,0),0)</f>
        <v>279</v>
      </c>
      <c r="U167" s="1108">
        <v>0</v>
      </c>
      <c r="V167" s="1107">
        <f t="shared" si="290"/>
        <v>279</v>
      </c>
      <c r="W167" s="1108">
        <f t="shared" si="291"/>
        <v>139.5</v>
      </c>
      <c r="X167" s="1135" t="s">
        <v>2885</v>
      </c>
      <c r="Y167" s="1135"/>
      <c r="Z167" s="1135">
        <v>1</v>
      </c>
      <c r="AA167" s="1107">
        <f>ROUND(IF(H167&lt;&gt;"",VLOOKUP(SUM(I167+J167),'CONCEPTOS Y PARAMETROS'!F:G,2,0)*V167,0),2)</f>
        <v>23.99</v>
      </c>
      <c r="AB167" s="1107">
        <f>IF(S167&lt;&gt;"",IF(M167="",'CONCEPTOS Y PARAMETROS'!$C$4,0),0)</f>
        <v>130</v>
      </c>
      <c r="AC167" s="1107">
        <f>IF(S167&lt;&gt;"",IF(M167="",'CONCEPTOS Y PARAMETROS'!$C$7*Z167,0),0)</f>
        <v>12.5</v>
      </c>
      <c r="AD167" s="1107">
        <f>IFERROR(ROUND(VLOOKUP($X167,'CONCEPTOS Y PARAMETROS'!H:I,2,0)*($V167+AA167+AB167+AC167),2),0)</f>
        <v>111.37</v>
      </c>
      <c r="AE167" s="1107">
        <f t="shared" si="287"/>
        <v>277.86</v>
      </c>
      <c r="AF167" s="1107">
        <f t="shared" si="292"/>
        <v>12</v>
      </c>
      <c r="AG167" s="1107">
        <f t="shared" si="293"/>
        <v>11.99</v>
      </c>
      <c r="AH167" s="1107">
        <f t="shared" si="294"/>
        <v>65</v>
      </c>
      <c r="AI167" s="1107">
        <f t="shared" si="295"/>
        <v>65</v>
      </c>
      <c r="AJ167" s="1107">
        <f t="shared" si="296"/>
        <v>55.69</v>
      </c>
      <c r="AK167" s="1107">
        <f t="shared" si="297"/>
        <v>55.68</v>
      </c>
      <c r="AL167" s="1108">
        <f t="shared" si="298"/>
        <v>145.19</v>
      </c>
      <c r="AM167" s="1108">
        <f t="shared" si="299"/>
        <v>132.66999999999999</v>
      </c>
      <c r="AN167" s="990">
        <v>1</v>
      </c>
      <c r="AO167" s="1147">
        <f>'CONCEPTOS Y PARAMETROS'!$C$18*AN167</f>
        <v>12.5</v>
      </c>
      <c r="AP167" s="990">
        <v>0</v>
      </c>
      <c r="AQ167" s="1147">
        <f>'CONCEPTOS Y PARAMETROS'!$C$21*AP167</f>
        <v>0</v>
      </c>
      <c r="AR167" s="1318">
        <v>0</v>
      </c>
      <c r="AS167" s="1318">
        <v>0</v>
      </c>
      <c r="AT167" s="1318">
        <f t="shared" si="355"/>
        <v>12.5</v>
      </c>
      <c r="AU167" s="1108">
        <f t="shared" si="280"/>
        <v>723.92000000000007</v>
      </c>
      <c r="AV167" s="1133" t="s">
        <v>5080</v>
      </c>
      <c r="AW167" s="1108">
        <f t="shared" si="364"/>
        <v>167.06</v>
      </c>
      <c r="AX167" s="1107">
        <f>IF(T167&lt;&gt;"0",(ROUND(IF(A167="EMPLEADO",eval_formula('CONCEPTOS Y PARAMETROS'!$C$8,NOMINA!V167,NOMINA!$AU167,NOMINA!I167+NOMINA!J167),eval_formula('CONCEPTOS Y PARAMETROS'!$D$8,NOMINA!V167,NOMINA!$AU167,NOMINA!I167+NOMINA!J167)),2))*IF(H167&lt;&gt;"",IF(MONTH(H167)=$BR$8,IF(YEAR(H167)&lt;$BT$7,1,0),0)))</f>
        <v>0</v>
      </c>
      <c r="AY167" s="1108">
        <v>180</v>
      </c>
      <c r="AZ167" s="1107">
        <f>IFERROR(VLOOKUP(AY167,'CONCEPTOS Y PARAMETROS'!Y:Z,2,0),0)</f>
        <v>150</v>
      </c>
      <c r="BA167" s="1107">
        <f t="shared" si="300"/>
        <v>5429.4</v>
      </c>
      <c r="BB167" s="1107">
        <f t="shared" si="353"/>
        <v>0</v>
      </c>
      <c r="BC167" s="990">
        <v>0</v>
      </c>
      <c r="BD167" s="1107" t="str">
        <f t="shared" si="281"/>
        <v>0</v>
      </c>
      <c r="BE167" s="990">
        <v>0</v>
      </c>
      <c r="BF167" s="1107">
        <f t="shared" si="357"/>
        <v>0</v>
      </c>
      <c r="BG167" s="1108">
        <v>320</v>
      </c>
      <c r="BH167" s="1108">
        <v>0</v>
      </c>
      <c r="BI167" s="1132">
        <v>0</v>
      </c>
      <c r="BJ167" s="1108">
        <v>12.5</v>
      </c>
      <c r="BK167" s="1108">
        <v>0</v>
      </c>
      <c r="BL167" s="1107">
        <f t="shared" si="324"/>
        <v>33.409999999999997</v>
      </c>
      <c r="BM167" s="1107">
        <f t="shared" si="325"/>
        <v>4.18</v>
      </c>
      <c r="BN167" s="1107">
        <f t="shared" si="262"/>
        <v>7.24</v>
      </c>
      <c r="BO167" s="1107">
        <v>0</v>
      </c>
      <c r="BP167" s="1107">
        <v>0</v>
      </c>
      <c r="BQ167" s="1320">
        <f t="shared" si="301"/>
        <v>44.83</v>
      </c>
      <c r="BR167" s="1107">
        <f t="shared" si="326"/>
        <v>75.180000000000007</v>
      </c>
      <c r="BS167" s="1107">
        <f t="shared" si="327"/>
        <v>16.71</v>
      </c>
      <c r="BT167" s="1107">
        <f t="shared" si="263"/>
        <v>14.48</v>
      </c>
      <c r="BU167" s="1107">
        <v>0</v>
      </c>
      <c r="BV167" s="1108">
        <f t="shared" si="302"/>
        <v>106.37</v>
      </c>
      <c r="BW167" s="1112">
        <f t="shared" si="303"/>
        <v>151.19999999999999</v>
      </c>
      <c r="BX167" s="1112">
        <f t="shared" si="356"/>
        <v>1357.35</v>
      </c>
      <c r="BY167" s="1108">
        <v>0</v>
      </c>
      <c r="BZ167" s="1108">
        <f t="shared" si="365"/>
        <v>1357.35</v>
      </c>
      <c r="CA167" s="1321">
        <f>'CONCEPTOS Y PARAMETROS'!$A$102</f>
        <v>6255</v>
      </c>
      <c r="CB167" s="1112">
        <f t="shared" si="264"/>
        <v>239.86</v>
      </c>
      <c r="CC167" s="1113">
        <f t="shared" si="265"/>
        <v>784.23</v>
      </c>
      <c r="CD167" s="512"/>
      <c r="CE167" s="512"/>
      <c r="CF167" s="470">
        <f t="shared" si="266"/>
        <v>912.17</v>
      </c>
      <c r="CG167" s="509">
        <f t="shared" si="283"/>
        <v>239.86</v>
      </c>
      <c r="CH167" s="1603">
        <f t="shared" si="267"/>
        <v>25</v>
      </c>
      <c r="CI167" s="1491">
        <f t="shared" si="284"/>
        <v>320</v>
      </c>
      <c r="CJ167" s="1502">
        <v>1</v>
      </c>
      <c r="CK167" s="509">
        <f t="shared" si="268"/>
        <v>592.16999999999996</v>
      </c>
      <c r="CL167" s="1689">
        <f t="shared" si="269"/>
        <v>592.16999999999996</v>
      </c>
      <c r="CM167" s="1689">
        <f t="shared" si="270"/>
        <v>0</v>
      </c>
      <c r="CN167" s="510">
        <f t="shared" si="271"/>
        <v>0</v>
      </c>
      <c r="CO167" s="511">
        <v>0</v>
      </c>
      <c r="CP167" s="510">
        <f t="shared" si="272"/>
        <v>167.06</v>
      </c>
      <c r="CQ167" s="510">
        <f t="shared" si="273"/>
        <v>0</v>
      </c>
      <c r="CR167" s="510">
        <f t="shared" si="274"/>
        <v>1351.3999999999999</v>
      </c>
      <c r="CS167" s="510">
        <f t="shared" si="275"/>
        <v>151.19999999999999</v>
      </c>
      <c r="CT167" s="510">
        <f t="shared" si="276"/>
        <v>6255</v>
      </c>
      <c r="CU167" s="512"/>
      <c r="CV167" s="512"/>
      <c r="CW167" s="512"/>
      <c r="CX167" s="512"/>
      <c r="CY167" s="1149" t="s">
        <v>6829</v>
      </c>
      <c r="CZ167" s="1149" t="s">
        <v>6867</v>
      </c>
      <c r="DA167" s="1152"/>
      <c r="DB167" s="1642" t="s">
        <v>6576</v>
      </c>
      <c r="DC167" s="1642"/>
      <c r="DD167" s="1642" t="s">
        <v>6143</v>
      </c>
      <c r="DE167" s="1642" t="s">
        <v>6554</v>
      </c>
      <c r="DF167" s="1642" t="s">
        <v>7474</v>
      </c>
      <c r="DG167" s="1642"/>
      <c r="DH167" s="512"/>
      <c r="DI167" s="512"/>
      <c r="DJ167" s="512"/>
      <c r="DK167" s="512"/>
      <c r="DL167" s="512"/>
      <c r="DN167" s="476" t="str">
        <f>VLOOKUP(X167,Hoja1!$A$4:$B$10,2,0)</f>
        <v>PROFESIONAL</v>
      </c>
      <c r="DO167" s="476" t="str">
        <f>VLOOKUP(S167,Hoja1!$D$4:$F$77,3,0)</f>
        <v>PII - III</v>
      </c>
      <c r="DP167" s="1594" t="str">
        <f t="shared" si="277"/>
        <v>SI</v>
      </c>
      <c r="DQ167" s="1484">
        <f>IF(T167&lt;&gt;"0",(ROUND(IF(A167="EMPLEADO",eval_formula('CONCEPTOS Y PARAMETROS'!$C$8,NOMINA!V167,AU167+BF167,NOMINA!I167+NOMINA!J167),eval_formula('CONCEPTOS Y PARAMETROS'!$D$8,NOMINA!V167,AU167+BF167,NOMINA!I167+NOMINA!J167)),2))*IF(H167&lt;&gt;"",IF(MONTH(H167)=$BR$8,IF(YEAR(H167)&lt;$BT$7,1,0),0)))</f>
        <v>0</v>
      </c>
      <c r="DR167" s="1799" t="str">
        <f t="shared" si="278"/>
        <v>F</v>
      </c>
      <c r="DS167" s="1799"/>
    </row>
    <row r="168" spans="1:123" s="476" customFormat="1" ht="21.95" customHeight="1" x14ac:dyDescent="0.25">
      <c r="A168" s="508" t="s">
        <v>2846</v>
      </c>
      <c r="B168" s="1314">
        <f t="shared" ca="1" si="347"/>
        <v>125</v>
      </c>
      <c r="C168" s="1148">
        <v>16065580</v>
      </c>
      <c r="D168" s="1149" t="s">
        <v>4812</v>
      </c>
      <c r="E168" s="1135" t="s">
        <v>4622</v>
      </c>
      <c r="F168" s="1150">
        <v>29958</v>
      </c>
      <c r="G168" s="1135" t="s">
        <v>4620</v>
      </c>
      <c r="H168" s="1150">
        <v>44363</v>
      </c>
      <c r="I168" s="1140">
        <f t="shared" si="261"/>
        <v>4</v>
      </c>
      <c r="J168" s="1132">
        <v>0</v>
      </c>
      <c r="K168" s="1140">
        <f t="shared" si="279"/>
        <v>4</v>
      </c>
      <c r="L168" s="1145" t="s">
        <v>5535</v>
      </c>
      <c r="M168" s="1132"/>
      <c r="N168" s="1132"/>
      <c r="O168" s="1002" t="s">
        <v>5226</v>
      </c>
      <c r="P168" s="1132" t="s">
        <v>5369</v>
      </c>
      <c r="Q168" s="1315" t="str">
        <f>IFERROR(VLOOKUP(O168,CARGOS!A:E,2,0),"")</f>
        <v>79522</v>
      </c>
      <c r="R168" s="1327" t="s">
        <v>5226</v>
      </c>
      <c r="S168" s="1146" t="s">
        <v>5467</v>
      </c>
      <c r="T168" s="1107">
        <f>IFERROR(VLOOKUP(S168,'TAB EMP'!A:B,2,0),0)</f>
        <v>277</v>
      </c>
      <c r="U168" s="1108">
        <v>0</v>
      </c>
      <c r="V168" s="1107">
        <f t="shared" si="290"/>
        <v>277</v>
      </c>
      <c r="W168" s="1108">
        <f t="shared" si="291"/>
        <v>138.5</v>
      </c>
      <c r="X168" s="1135" t="s">
        <v>2885</v>
      </c>
      <c r="Y168" s="1135"/>
      <c r="Z168" s="1135">
        <v>1</v>
      </c>
      <c r="AA168" s="1107">
        <f>ROUND(IF(H168&lt;&gt;"",VLOOKUP(SUM(I168+J168),'CONCEPTOS Y PARAMETROS'!F:G,2,0)*V168,0),2)</f>
        <v>11.08</v>
      </c>
      <c r="AB168" s="1107">
        <f>IF(S168&lt;&gt;"",IF(M168="",'CONCEPTOS Y PARAMETROS'!$C$4,0),0)</f>
        <v>130</v>
      </c>
      <c r="AC168" s="1107">
        <f>IF(S168&lt;&gt;"",IF(M168="",'CONCEPTOS Y PARAMETROS'!$C$7*Z168,0),0)</f>
        <v>12.5</v>
      </c>
      <c r="AD168" s="1107">
        <f>IFERROR(ROUND(VLOOKUP($X168,'CONCEPTOS Y PARAMETROS'!H:I,2,0)*($V168+AA168+AB168+AC168),2),0)</f>
        <v>107.65</v>
      </c>
      <c r="AE168" s="1107">
        <f t="shared" si="287"/>
        <v>261.23</v>
      </c>
      <c r="AF168" s="1107">
        <f t="shared" si="292"/>
        <v>5.54</v>
      </c>
      <c r="AG168" s="1107">
        <f t="shared" si="293"/>
        <v>5.54</v>
      </c>
      <c r="AH168" s="1107">
        <f t="shared" si="294"/>
        <v>65</v>
      </c>
      <c r="AI168" s="1107">
        <f t="shared" si="295"/>
        <v>65</v>
      </c>
      <c r="AJ168" s="1107">
        <f t="shared" si="296"/>
        <v>53.83</v>
      </c>
      <c r="AK168" s="1107">
        <f t="shared" si="297"/>
        <v>53.82</v>
      </c>
      <c r="AL168" s="1108">
        <f t="shared" si="298"/>
        <v>136.87</v>
      </c>
      <c r="AM168" s="1108">
        <f t="shared" si="299"/>
        <v>124.36</v>
      </c>
      <c r="AN168" s="990">
        <v>0</v>
      </c>
      <c r="AO168" s="1147">
        <f>'CONCEPTOS Y PARAMETROS'!$C$18*AN168</f>
        <v>0</v>
      </c>
      <c r="AP168" s="990">
        <v>0</v>
      </c>
      <c r="AQ168" s="1147">
        <f>'CONCEPTOS Y PARAMETROS'!$C$21*AP168</f>
        <v>0</v>
      </c>
      <c r="AR168" s="1318">
        <v>0</v>
      </c>
      <c r="AS168" s="1318">
        <v>0</v>
      </c>
      <c r="AT168" s="1318">
        <f t="shared" si="355"/>
        <v>0</v>
      </c>
      <c r="AU168" s="1108">
        <f t="shared" si="280"/>
        <v>538.23</v>
      </c>
      <c r="AV168" s="1133">
        <v>0</v>
      </c>
      <c r="AW168" s="1108">
        <f t="shared" si="364"/>
        <v>0</v>
      </c>
      <c r="AX168" s="1107">
        <f>IF(T168&lt;&gt;"0",(ROUND(IF(A168="EMPLEADO",eval_formula('CONCEPTOS Y PARAMETROS'!$C$8,NOMINA!V168,NOMINA!$AU168,NOMINA!I168+NOMINA!J168),eval_formula('CONCEPTOS Y PARAMETROS'!$D$8,NOMINA!V168,NOMINA!$AU168,NOMINA!I168+NOMINA!J168)),2))*IF(H168&lt;&gt;"",IF(MONTH(H168)=$BR$8,IF(YEAR(H168)&lt;$BT$7,1,0),0)))</f>
        <v>0</v>
      </c>
      <c r="AY168" s="1108">
        <v>180</v>
      </c>
      <c r="AZ168" s="1107">
        <f>IFERROR(VLOOKUP(AY168,'CONCEPTOS Y PARAMETROS'!Y:Z,2,0),0)</f>
        <v>150</v>
      </c>
      <c r="BA168" s="1107">
        <f t="shared" si="300"/>
        <v>4036.73</v>
      </c>
      <c r="BB168" s="1107">
        <f t="shared" si="353"/>
        <v>0</v>
      </c>
      <c r="BC168" s="990">
        <v>0</v>
      </c>
      <c r="BD168" s="1107" t="str">
        <f t="shared" si="281"/>
        <v>0</v>
      </c>
      <c r="BE168" s="990">
        <v>0</v>
      </c>
      <c r="BF168" s="1107">
        <f t="shared" si="357"/>
        <v>0</v>
      </c>
      <c r="BG168" s="1108">
        <v>320</v>
      </c>
      <c r="BH168" s="1108">
        <v>0</v>
      </c>
      <c r="BI168" s="1132">
        <v>0</v>
      </c>
      <c r="BJ168" s="1108">
        <v>12.5</v>
      </c>
      <c r="BK168" s="1108">
        <v>0</v>
      </c>
      <c r="BL168" s="1107">
        <f t="shared" si="324"/>
        <v>24.84</v>
      </c>
      <c r="BM168" s="1107">
        <f t="shared" si="325"/>
        <v>3.11</v>
      </c>
      <c r="BN168" s="1107">
        <f t="shared" si="262"/>
        <v>5.38</v>
      </c>
      <c r="BO168" s="1107">
        <v>0</v>
      </c>
      <c r="BP168" s="1107">
        <v>0</v>
      </c>
      <c r="BQ168" s="1320">
        <f t="shared" ref="BQ168:BQ238" si="366">ROUND(SUM(BL168:BP168),2)</f>
        <v>33.33</v>
      </c>
      <c r="BR168" s="1107">
        <f t="shared" si="326"/>
        <v>55.89</v>
      </c>
      <c r="BS168" s="1107">
        <f t="shared" si="327"/>
        <v>12.42</v>
      </c>
      <c r="BT168" s="1107">
        <f t="shared" si="263"/>
        <v>10.76</v>
      </c>
      <c r="BU168" s="1107">
        <v>0</v>
      </c>
      <c r="BV168" s="1108">
        <f t="shared" ref="BV168:BV238" si="367">ROUND(SUM(BR168:BT168),2)</f>
        <v>79.069999999999993</v>
      </c>
      <c r="BW168" s="1112">
        <f t="shared" ref="BW168:BW238" si="368">BQ168+BV168</f>
        <v>112.39999999999999</v>
      </c>
      <c r="BX168" s="1112">
        <f t="shared" si="356"/>
        <v>1009.18</v>
      </c>
      <c r="BY168" s="1108">
        <v>0</v>
      </c>
      <c r="BZ168" s="1108">
        <f t="shared" si="365"/>
        <v>1009.18</v>
      </c>
      <c r="CA168" s="1321">
        <f>'CONCEPTOS Y PARAMETROS'!$A$102</f>
        <v>6255</v>
      </c>
      <c r="CB168" s="1112">
        <f t="shared" si="264"/>
        <v>242.04000000000002</v>
      </c>
      <c r="CC168" s="1113">
        <f t="shared" si="265"/>
        <v>595.36</v>
      </c>
      <c r="CD168" s="512"/>
      <c r="CE168" s="512"/>
      <c r="CF168" s="470">
        <f t="shared" si="266"/>
        <v>902.86</v>
      </c>
      <c r="CG168" s="509">
        <f t="shared" si="283"/>
        <v>242.04000000000002</v>
      </c>
      <c r="CH168" s="1603">
        <f t="shared" si="267"/>
        <v>12.5</v>
      </c>
      <c r="CI168" s="1491">
        <f t="shared" si="284"/>
        <v>320</v>
      </c>
      <c r="CJ168" s="1502">
        <v>1</v>
      </c>
      <c r="CK168" s="509">
        <f t="shared" si="268"/>
        <v>582.86</v>
      </c>
      <c r="CL168" s="1689">
        <f t="shared" si="269"/>
        <v>582.86</v>
      </c>
      <c r="CM168" s="1689">
        <f t="shared" si="270"/>
        <v>0</v>
      </c>
      <c r="CN168" s="510">
        <f t="shared" si="271"/>
        <v>0</v>
      </c>
      <c r="CO168" s="511">
        <v>0</v>
      </c>
      <c r="CP168" s="510">
        <f t="shared" si="272"/>
        <v>0</v>
      </c>
      <c r="CQ168" s="510">
        <f t="shared" si="273"/>
        <v>0</v>
      </c>
      <c r="CR168" s="510">
        <f t="shared" si="274"/>
        <v>1165.72</v>
      </c>
      <c r="CS168" s="510">
        <f t="shared" si="275"/>
        <v>112.39999999999999</v>
      </c>
      <c r="CT168" s="510">
        <f t="shared" si="276"/>
        <v>6255</v>
      </c>
      <c r="CU168" s="512"/>
      <c r="CV168" s="512"/>
      <c r="CW168" s="512"/>
      <c r="CX168" s="512"/>
      <c r="CY168" s="1149" t="s">
        <v>7069</v>
      </c>
      <c r="CZ168" s="1149" t="s">
        <v>6868</v>
      </c>
      <c r="DA168" s="1152"/>
      <c r="DB168" s="1642" t="s">
        <v>7465</v>
      </c>
      <c r="DC168" s="1642"/>
      <c r="DD168" s="1642" t="s">
        <v>6150</v>
      </c>
      <c r="DE168" s="1642" t="s">
        <v>6187</v>
      </c>
      <c r="DF168" s="1642" t="s">
        <v>6203</v>
      </c>
      <c r="DG168" s="1642"/>
      <c r="DH168" s="512"/>
      <c r="DI168" s="512"/>
      <c r="DJ168" s="512"/>
      <c r="DK168" s="512"/>
      <c r="DL168" s="512"/>
      <c r="DN168" s="476" t="str">
        <f>VLOOKUP(X168,Hoja1!$A$4:$B$10,2,0)</f>
        <v>PROFESIONAL</v>
      </c>
      <c r="DO168" s="476" t="str">
        <f>VLOOKUP(S168,Hoja1!$D$4:$F$77,3,0)</f>
        <v>PII - II</v>
      </c>
      <c r="DP168" s="1594" t="str">
        <f t="shared" si="277"/>
        <v>0</v>
      </c>
      <c r="DQ168" s="1484">
        <f>IF(T168&lt;&gt;"0",(ROUND(IF(A168="EMPLEADO",eval_formula('CONCEPTOS Y PARAMETROS'!$C$8,NOMINA!V168,AU168+BF168,NOMINA!I168+NOMINA!J168),eval_formula('CONCEPTOS Y PARAMETROS'!$D$8,NOMINA!V168,AU168+BF168,NOMINA!I168+NOMINA!J168)),2))*IF(H168&lt;&gt;"",IF(MONTH(H168)=$BR$8,IF(YEAR(H168)&lt;$BT$7,1,0),0)))</f>
        <v>0</v>
      </c>
      <c r="DR168" s="1799" t="str">
        <f t="shared" si="278"/>
        <v>F</v>
      </c>
      <c r="DS168" s="1799"/>
    </row>
    <row r="169" spans="1:123" s="476" customFormat="1" ht="21.95" customHeight="1" x14ac:dyDescent="0.25">
      <c r="A169" s="508" t="s">
        <v>2846</v>
      </c>
      <c r="B169" s="1314">
        <f t="shared" ca="1" si="347"/>
        <v>126</v>
      </c>
      <c r="C169" s="1148">
        <v>16065861</v>
      </c>
      <c r="D169" s="1149" t="s">
        <v>4813</v>
      </c>
      <c r="E169" s="1135" t="s">
        <v>4622</v>
      </c>
      <c r="F169" s="1150">
        <v>29958</v>
      </c>
      <c r="G169" s="1135" t="s">
        <v>4621</v>
      </c>
      <c r="H169" s="1150">
        <v>43906</v>
      </c>
      <c r="I169" s="1140">
        <f t="shared" si="261"/>
        <v>5</v>
      </c>
      <c r="J169" s="1132">
        <v>13</v>
      </c>
      <c r="K169" s="1140">
        <f t="shared" si="279"/>
        <v>18</v>
      </c>
      <c r="L169" s="1145" t="s">
        <v>5539</v>
      </c>
      <c r="M169" s="1132"/>
      <c r="N169" s="1132"/>
      <c r="O169" s="1002" t="s">
        <v>7268</v>
      </c>
      <c r="P169" s="1132" t="s">
        <v>5370</v>
      </c>
      <c r="Q169" s="1315" t="str">
        <f>IFERROR(VLOOKUP(O169,CARGOS!A:E,2,0),"")</f>
        <v>34236</v>
      </c>
      <c r="R169" s="1327" t="s">
        <v>7268</v>
      </c>
      <c r="S169" s="1146" t="s">
        <v>5458</v>
      </c>
      <c r="T169" s="1107">
        <f>IFERROR(VLOOKUP(S169,'TAB EMP'!A:B,2,0),0)</f>
        <v>287</v>
      </c>
      <c r="U169" s="1108">
        <v>0</v>
      </c>
      <c r="V169" s="1107">
        <f t="shared" si="290"/>
        <v>287</v>
      </c>
      <c r="W169" s="1108">
        <f t="shared" si="291"/>
        <v>143.5</v>
      </c>
      <c r="X169" s="1135" t="s">
        <v>2885</v>
      </c>
      <c r="Y169" s="1135"/>
      <c r="Z169" s="1135">
        <v>0</v>
      </c>
      <c r="AA169" s="1107">
        <f>ROUND(IF(H169&lt;&gt;"",VLOOKUP(SUM(I169+J169),'CONCEPTOS Y PARAMETROS'!F:G,2,0)*V169,0),2)</f>
        <v>65.44</v>
      </c>
      <c r="AB169" s="1107">
        <f>IF(S169&lt;&gt;"",IF(M169="",'CONCEPTOS Y PARAMETROS'!$C$4,0),0)</f>
        <v>130</v>
      </c>
      <c r="AC169" s="1107">
        <f>IF(S169&lt;&gt;"",IF(M169="",'CONCEPTOS Y PARAMETROS'!$C$7*Z169,0),0)</f>
        <v>0</v>
      </c>
      <c r="AD169" s="1107">
        <f>IFERROR(ROUND(VLOOKUP($X169,'CONCEPTOS Y PARAMETROS'!H:I,2,0)*($V169+AA169+AB169+AC169),2),0)</f>
        <v>120.61</v>
      </c>
      <c r="AE169" s="1107">
        <f t="shared" ref="AE169:AE240" si="369">SUM(AA169:AD169)</f>
        <v>316.05</v>
      </c>
      <c r="AF169" s="1107">
        <f t="shared" si="292"/>
        <v>32.72</v>
      </c>
      <c r="AG169" s="1107">
        <f t="shared" si="293"/>
        <v>32.72</v>
      </c>
      <c r="AH169" s="1107">
        <f t="shared" si="294"/>
        <v>65</v>
      </c>
      <c r="AI169" s="1107">
        <f t="shared" si="295"/>
        <v>65</v>
      </c>
      <c r="AJ169" s="1107">
        <f t="shared" si="296"/>
        <v>60.31</v>
      </c>
      <c r="AK169" s="1107">
        <f t="shared" si="297"/>
        <v>60.3</v>
      </c>
      <c r="AL169" s="1108">
        <f t="shared" si="298"/>
        <v>158.03</v>
      </c>
      <c r="AM169" s="1108">
        <f t="shared" si="299"/>
        <v>158.02000000000001</v>
      </c>
      <c r="AN169" s="990">
        <v>0</v>
      </c>
      <c r="AO169" s="1147">
        <f>'CONCEPTOS Y PARAMETROS'!$C$18*AN169</f>
        <v>0</v>
      </c>
      <c r="AP169" s="990">
        <v>0</v>
      </c>
      <c r="AQ169" s="1147">
        <f>'CONCEPTOS Y PARAMETROS'!$C$21*AP169</f>
        <v>0</v>
      </c>
      <c r="AR169" s="1318">
        <v>0</v>
      </c>
      <c r="AS169" s="1318">
        <v>0</v>
      </c>
      <c r="AT169" s="1318">
        <f t="shared" ref="AT169:AT194" si="370">+AO169+AQ169+AR169+AS169</f>
        <v>0</v>
      </c>
      <c r="AU169" s="1108">
        <f t="shared" si="280"/>
        <v>603.04999999999995</v>
      </c>
      <c r="AV169" s="1133">
        <v>0</v>
      </c>
      <c r="AW169" s="1108">
        <f t="shared" si="364"/>
        <v>0</v>
      </c>
      <c r="AX169" s="1107">
        <f>IF(T169&lt;&gt;"0",(ROUND(IF(A169="EMPLEADO",eval_formula('CONCEPTOS Y PARAMETROS'!$C$8,NOMINA!V169,NOMINA!$AU169,NOMINA!I169+NOMINA!J169),eval_formula('CONCEPTOS Y PARAMETROS'!$D$8,NOMINA!V169,NOMINA!$AU169,NOMINA!I169+NOMINA!J169)),2))*IF(H169&lt;&gt;"",IF(MONTH(H169)=$BR$8,IF(YEAR(H169)&lt;$BT$7,1,0),0)))</f>
        <v>0</v>
      </c>
      <c r="AY169" s="1108">
        <v>180</v>
      </c>
      <c r="AZ169" s="1107">
        <f>IFERROR(VLOOKUP(AY169,'CONCEPTOS Y PARAMETROS'!Y:Z,2,0),0)</f>
        <v>150</v>
      </c>
      <c r="BA169" s="1107">
        <f t="shared" si="300"/>
        <v>4522.88</v>
      </c>
      <c r="BB169" s="1107">
        <f t="shared" si="353"/>
        <v>0</v>
      </c>
      <c r="BC169" s="990">
        <v>0</v>
      </c>
      <c r="BD169" s="1107" t="str">
        <f t="shared" si="281"/>
        <v>0</v>
      </c>
      <c r="BE169" s="990">
        <v>0</v>
      </c>
      <c r="BF169" s="1107">
        <f t="shared" si="357"/>
        <v>0</v>
      </c>
      <c r="BG169" s="1108">
        <v>320</v>
      </c>
      <c r="BH169" s="1108">
        <v>0</v>
      </c>
      <c r="BI169" s="1132">
        <v>0</v>
      </c>
      <c r="BJ169" s="1108">
        <v>12.5</v>
      </c>
      <c r="BK169" s="1108">
        <v>0</v>
      </c>
      <c r="BL169" s="1107">
        <f t="shared" si="324"/>
        <v>27.83</v>
      </c>
      <c r="BM169" s="1107">
        <f t="shared" si="325"/>
        <v>3.48</v>
      </c>
      <c r="BN169" s="1107">
        <f t="shared" si="262"/>
        <v>6.03</v>
      </c>
      <c r="BO169" s="1107">
        <v>0</v>
      </c>
      <c r="BP169" s="1107">
        <v>0</v>
      </c>
      <c r="BQ169" s="1320">
        <f t="shared" si="366"/>
        <v>37.340000000000003</v>
      </c>
      <c r="BR169" s="1107">
        <f t="shared" si="326"/>
        <v>62.62</v>
      </c>
      <c r="BS169" s="1107">
        <f t="shared" si="327"/>
        <v>13.92</v>
      </c>
      <c r="BT169" s="1107">
        <f t="shared" si="263"/>
        <v>12.06</v>
      </c>
      <c r="BU169" s="1107">
        <v>0</v>
      </c>
      <c r="BV169" s="1108">
        <f t="shared" si="367"/>
        <v>88.6</v>
      </c>
      <c r="BW169" s="1112">
        <f t="shared" si="368"/>
        <v>125.94</v>
      </c>
      <c r="BX169" s="1112">
        <f t="shared" si="356"/>
        <v>1130.72</v>
      </c>
      <c r="BY169" s="1108">
        <v>0</v>
      </c>
      <c r="BZ169" s="1108">
        <f t="shared" si="365"/>
        <v>1130.72</v>
      </c>
      <c r="CA169" s="1321">
        <f>'CONCEPTOS Y PARAMETROS'!$A$102</f>
        <v>6255</v>
      </c>
      <c r="CB169" s="1112">
        <f t="shared" si="264"/>
        <v>264.18999999999994</v>
      </c>
      <c r="CC169" s="1113">
        <f t="shared" si="265"/>
        <v>634.02</v>
      </c>
      <c r="CD169" s="512"/>
      <c r="CE169" s="512"/>
      <c r="CF169" s="470">
        <f t="shared" si="266"/>
        <v>941.52</v>
      </c>
      <c r="CG169" s="509">
        <f t="shared" si="283"/>
        <v>264.18999999999994</v>
      </c>
      <c r="CH169" s="1603">
        <f t="shared" si="267"/>
        <v>12.5</v>
      </c>
      <c r="CI169" s="1491">
        <f t="shared" si="284"/>
        <v>320</v>
      </c>
      <c r="CJ169" s="1502">
        <v>2</v>
      </c>
      <c r="CK169" s="509">
        <f t="shared" si="268"/>
        <v>621.52</v>
      </c>
      <c r="CL169" s="1689">
        <f t="shared" si="269"/>
        <v>298.33</v>
      </c>
      <c r="CM169" s="1689">
        <f t="shared" si="270"/>
        <v>323.19</v>
      </c>
      <c r="CN169" s="510">
        <f t="shared" si="271"/>
        <v>0</v>
      </c>
      <c r="CO169" s="511">
        <v>0</v>
      </c>
      <c r="CP169" s="510">
        <f t="shared" si="272"/>
        <v>0</v>
      </c>
      <c r="CQ169" s="510">
        <f t="shared" si="273"/>
        <v>0</v>
      </c>
      <c r="CR169" s="510">
        <f t="shared" si="274"/>
        <v>1243.04</v>
      </c>
      <c r="CS169" s="510">
        <f t="shared" si="275"/>
        <v>125.94</v>
      </c>
      <c r="CT169" s="510">
        <f t="shared" si="276"/>
        <v>6255</v>
      </c>
      <c r="CU169" s="512"/>
      <c r="CV169" s="512"/>
      <c r="CW169" s="512"/>
      <c r="CX169" s="512"/>
      <c r="CY169" s="1149" t="s">
        <v>6865</v>
      </c>
      <c r="CZ169" s="1149" t="s">
        <v>6945</v>
      </c>
      <c r="DA169" s="1152"/>
      <c r="DB169" s="1642" t="s">
        <v>6357</v>
      </c>
      <c r="DC169" s="1642"/>
      <c r="DD169" s="1642" t="s">
        <v>6156</v>
      </c>
      <c r="DE169" s="1642" t="s">
        <v>6217</v>
      </c>
      <c r="DF169" s="1642" t="s">
        <v>7540</v>
      </c>
      <c r="DG169" s="1152"/>
      <c r="DH169" s="512"/>
      <c r="DI169" s="512"/>
      <c r="DJ169" s="512"/>
      <c r="DK169" s="512"/>
      <c r="DL169" s="512"/>
      <c r="DN169" s="476" t="str">
        <f>VLOOKUP(X169,Hoja1!$A$4:$B$10,2,0)</f>
        <v>PROFESIONAL</v>
      </c>
      <c r="DO169" s="476" t="str">
        <f>VLOOKUP(S169,Hoja1!$D$4:$F$77,3,0)</f>
        <v>PII - VII</v>
      </c>
      <c r="DP169" s="1594" t="str">
        <f t="shared" si="277"/>
        <v>0</v>
      </c>
      <c r="DQ169" s="1484">
        <f>IF(T169&lt;&gt;"0",(ROUND(IF(A169="EMPLEADO",eval_formula('CONCEPTOS Y PARAMETROS'!$C$8,NOMINA!V169,AU169+BF169,NOMINA!I169+NOMINA!J169),eval_formula('CONCEPTOS Y PARAMETROS'!$D$8,NOMINA!V169,AU169+BF169,NOMINA!I169+NOMINA!J169)),2))*IF(H169&lt;&gt;"",IF(MONTH(H169)=$BR$8,IF(YEAR(H169)&lt;$BT$7,1,0),0)))</f>
        <v>0</v>
      </c>
      <c r="DR169" s="1799" t="str">
        <f t="shared" si="278"/>
        <v>M</v>
      </c>
      <c r="DS169" s="1799"/>
    </row>
    <row r="170" spans="1:123" s="911" customFormat="1" ht="21.95" customHeight="1" x14ac:dyDescent="0.25">
      <c r="A170" s="910" t="s">
        <v>2846</v>
      </c>
      <c r="B170" s="1328">
        <f t="shared" ca="1" si="347"/>
        <v>127</v>
      </c>
      <c r="C170" s="1329">
        <v>16066524</v>
      </c>
      <c r="D170" s="1330" t="s">
        <v>4814</v>
      </c>
      <c r="E170" s="1331" t="s">
        <v>4622</v>
      </c>
      <c r="F170" s="1347">
        <v>30061</v>
      </c>
      <c r="G170" s="1331" t="s">
        <v>4620</v>
      </c>
      <c r="H170" s="1347">
        <v>41456</v>
      </c>
      <c r="I170" s="1333">
        <f t="shared" si="261"/>
        <v>12</v>
      </c>
      <c r="J170" s="1334">
        <v>0</v>
      </c>
      <c r="K170" s="1333">
        <f t="shared" ref="K170:K229" si="371">I170+J170</f>
        <v>12</v>
      </c>
      <c r="L170" s="1335" t="s">
        <v>5543</v>
      </c>
      <c r="M170" s="1334"/>
      <c r="N170" s="1334"/>
      <c r="O170" s="996" t="s">
        <v>5215</v>
      </c>
      <c r="P170" s="1334" t="s">
        <v>5371</v>
      </c>
      <c r="Q170" s="1337" t="str">
        <f>IFERROR(VLOOKUP(O170,CARGOS!A:E,2,0),"")</f>
        <v>12113</v>
      </c>
      <c r="R170" s="1660" t="s">
        <v>5215</v>
      </c>
      <c r="S170" s="1338" t="s">
        <v>5459</v>
      </c>
      <c r="T170" s="1339">
        <f>IFERROR(VLOOKUP(S170,'TAB EMP'!A:B,2,0),0)*0</f>
        <v>0</v>
      </c>
      <c r="U170" s="1307">
        <v>0</v>
      </c>
      <c r="V170" s="1339">
        <f t="shared" si="290"/>
        <v>0</v>
      </c>
      <c r="W170" s="1307">
        <f t="shared" si="291"/>
        <v>0</v>
      </c>
      <c r="X170" s="1331" t="s">
        <v>2844</v>
      </c>
      <c r="Y170" s="1331"/>
      <c r="Z170" s="1331">
        <v>0</v>
      </c>
      <c r="AA170" s="1339">
        <f>ROUND(IF(H170&lt;&gt;"",VLOOKUP(SUM(I170+J170),'CONCEPTOS Y PARAMETROS'!F:G,2,0)*V170,0),2)</f>
        <v>0</v>
      </c>
      <c r="AB170" s="1339">
        <f>IF(S170&lt;&gt;"",IF(M170="",'CONCEPTOS Y PARAMETROS'!$C$4,0),0)*0</f>
        <v>0</v>
      </c>
      <c r="AC170" s="1339">
        <f>IF(S170&lt;&gt;"",IF(M170="",'CONCEPTOS Y PARAMETROS'!$C$7*Z170,0),0)</f>
        <v>0</v>
      </c>
      <c r="AD170" s="1339">
        <f>IFERROR(ROUND(VLOOKUP($X170,'CONCEPTOS Y PARAMETROS'!H:I,2,0)*($V170+AA170+AB170+AC170),2),0)*0</f>
        <v>0</v>
      </c>
      <c r="AE170" s="1339">
        <f>SUM(AA170:AD170)*0</f>
        <v>0</v>
      </c>
      <c r="AF170" s="1339">
        <f t="shared" si="292"/>
        <v>0</v>
      </c>
      <c r="AG170" s="1339">
        <f t="shared" si="293"/>
        <v>0</v>
      </c>
      <c r="AH170" s="1339">
        <f>ROUND(AB170/2,2)*0</f>
        <v>0</v>
      </c>
      <c r="AI170" s="1339">
        <f t="shared" si="295"/>
        <v>0</v>
      </c>
      <c r="AJ170" s="1339">
        <f t="shared" si="296"/>
        <v>0</v>
      </c>
      <c r="AK170" s="1339">
        <f t="shared" si="297"/>
        <v>0</v>
      </c>
      <c r="AL170" s="1307">
        <f t="shared" si="298"/>
        <v>0</v>
      </c>
      <c r="AM170" s="1307">
        <f t="shared" si="299"/>
        <v>0</v>
      </c>
      <c r="AN170" s="1340">
        <f>2*0</f>
        <v>0</v>
      </c>
      <c r="AO170" s="1341">
        <f>'CONCEPTOS Y PARAMETROS'!$C$18*AN170</f>
        <v>0</v>
      </c>
      <c r="AP170" s="1340">
        <v>0</v>
      </c>
      <c r="AQ170" s="1341">
        <f>'CONCEPTOS Y PARAMETROS'!$C$21*AP170</f>
        <v>0</v>
      </c>
      <c r="AR170" s="1342">
        <v>0</v>
      </c>
      <c r="AS170" s="1342">
        <v>0</v>
      </c>
      <c r="AT170" s="1342">
        <f t="shared" si="370"/>
        <v>0</v>
      </c>
      <c r="AU170" s="1307">
        <f t="shared" si="280"/>
        <v>0</v>
      </c>
      <c r="AV170" s="1343">
        <v>0</v>
      </c>
      <c r="AW170" s="1307">
        <f t="shared" si="364"/>
        <v>0</v>
      </c>
      <c r="AX170" s="1339">
        <f>IF(T170&lt;&gt;"0",(ROUND(IF(A170="EMPLEADO",eval_formula('CONCEPTOS Y PARAMETROS'!$C$8,NOMINA!V170,NOMINA!$AU170,NOMINA!I170+NOMINA!J170),eval_formula('CONCEPTOS Y PARAMETROS'!$D$8,NOMINA!V170,NOMINA!$AU170,NOMINA!I170+NOMINA!J170)),2))*IF(H170&lt;&gt;"",IF(MONTH(H170)=$BR$8,IF(YEAR(H170)&lt;$BT$7,1,0),0)))</f>
        <v>0</v>
      </c>
      <c r="AY170" s="1307">
        <v>180</v>
      </c>
      <c r="AZ170" s="1339">
        <f>IFERROR(VLOOKUP(AY170,'CONCEPTOS Y PARAMETROS'!Y:Z,2,0),0)</f>
        <v>150</v>
      </c>
      <c r="BA170" s="1339">
        <f t="shared" si="300"/>
        <v>0</v>
      </c>
      <c r="BB170" s="1339">
        <f t="shared" si="353"/>
        <v>0</v>
      </c>
      <c r="BC170" s="1340">
        <v>0</v>
      </c>
      <c r="BD170" s="1339" t="str">
        <f t="shared" si="281"/>
        <v>0</v>
      </c>
      <c r="BE170" s="1340">
        <v>0</v>
      </c>
      <c r="BF170" s="1339">
        <f t="shared" si="357"/>
        <v>0</v>
      </c>
      <c r="BG170" s="1307">
        <f>320*0</f>
        <v>0</v>
      </c>
      <c r="BH170" s="1307">
        <v>0</v>
      </c>
      <c r="BI170" s="1334">
        <v>0</v>
      </c>
      <c r="BJ170" s="1307">
        <v>0</v>
      </c>
      <c r="BK170" s="1307">
        <v>0</v>
      </c>
      <c r="BL170" s="1339">
        <f t="shared" si="324"/>
        <v>0</v>
      </c>
      <c r="BM170" s="1339">
        <f t="shared" si="325"/>
        <v>0</v>
      </c>
      <c r="BN170" s="1339">
        <f t="shared" si="262"/>
        <v>0</v>
      </c>
      <c r="BO170" s="1339">
        <v>0</v>
      </c>
      <c r="BP170" s="1339">
        <v>0</v>
      </c>
      <c r="BQ170" s="1344">
        <f t="shared" si="366"/>
        <v>0</v>
      </c>
      <c r="BR170" s="1339">
        <f t="shared" si="326"/>
        <v>0</v>
      </c>
      <c r="BS170" s="1339">
        <f t="shared" si="327"/>
        <v>0</v>
      </c>
      <c r="BT170" s="1339">
        <f t="shared" si="263"/>
        <v>0</v>
      </c>
      <c r="BU170" s="1339">
        <v>0</v>
      </c>
      <c r="BV170" s="1307">
        <f t="shared" si="367"/>
        <v>0</v>
      </c>
      <c r="BW170" s="1305">
        <f t="shared" si="368"/>
        <v>0</v>
      </c>
      <c r="BX170" s="1305">
        <f t="shared" si="356"/>
        <v>0</v>
      </c>
      <c r="BY170" s="1307">
        <v>0</v>
      </c>
      <c r="BZ170" s="1307">
        <f t="shared" si="365"/>
        <v>0</v>
      </c>
      <c r="CA170" s="1345">
        <v>0</v>
      </c>
      <c r="CB170" s="1305">
        <f t="shared" si="264"/>
        <v>0</v>
      </c>
      <c r="CC170" s="1346">
        <f t="shared" si="265"/>
        <v>0</v>
      </c>
      <c r="CD170" s="915"/>
      <c r="CE170" s="915"/>
      <c r="CF170" s="915">
        <f t="shared" si="266"/>
        <v>0</v>
      </c>
      <c r="CG170" s="912">
        <f t="shared" si="283"/>
        <v>0</v>
      </c>
      <c r="CH170" s="1661">
        <f t="shared" si="267"/>
        <v>0</v>
      </c>
      <c r="CI170" s="1492">
        <f t="shared" si="284"/>
        <v>0</v>
      </c>
      <c r="CJ170" s="1504">
        <v>1</v>
      </c>
      <c r="CK170" s="912">
        <f t="shared" si="268"/>
        <v>0</v>
      </c>
      <c r="CL170" s="912">
        <f t="shared" si="269"/>
        <v>0</v>
      </c>
      <c r="CM170" s="912">
        <f t="shared" si="270"/>
        <v>0</v>
      </c>
      <c r="CN170" s="913">
        <f t="shared" si="271"/>
        <v>0</v>
      </c>
      <c r="CO170" s="914">
        <v>0</v>
      </c>
      <c r="CP170" s="913">
        <f t="shared" si="272"/>
        <v>0</v>
      </c>
      <c r="CQ170" s="913">
        <f t="shared" si="273"/>
        <v>0</v>
      </c>
      <c r="CR170" s="913">
        <f t="shared" si="274"/>
        <v>0</v>
      </c>
      <c r="CS170" s="913">
        <f t="shared" si="275"/>
        <v>0</v>
      </c>
      <c r="CT170" s="913">
        <f t="shared" si="276"/>
        <v>0</v>
      </c>
      <c r="CU170" s="915"/>
      <c r="CV170" s="915"/>
      <c r="CW170" s="915"/>
      <c r="CX170" s="915"/>
      <c r="CY170" s="1330" t="s">
        <v>7070</v>
      </c>
      <c r="CZ170" s="1330" t="s">
        <v>6869</v>
      </c>
      <c r="DA170" s="1613"/>
      <c r="DB170" s="1613" t="s">
        <v>6229</v>
      </c>
      <c r="DC170" s="1613"/>
      <c r="DD170" s="1613" t="s">
        <v>6560</v>
      </c>
      <c r="DE170" s="1613" t="s">
        <v>6230</v>
      </c>
      <c r="DF170" s="1613" t="s">
        <v>7495</v>
      </c>
      <c r="DG170" s="1613"/>
      <c r="DH170" s="915"/>
      <c r="DI170" s="915"/>
      <c r="DJ170" s="915"/>
      <c r="DK170" s="915"/>
      <c r="DL170" s="915"/>
      <c r="DN170" s="911" t="str">
        <f>VLOOKUP(X170,Hoja1!$A$4:$B$10,2,0)</f>
        <v>TÉCNICO SUPERIOR UNIVERSITARIO</v>
      </c>
      <c r="DO170" s="911" t="str">
        <f>VLOOKUP(S170,Hoja1!$D$4:$F$77,3,0)</f>
        <v>TII - V</v>
      </c>
      <c r="DP170" s="1657" t="str">
        <f t="shared" si="277"/>
        <v>0</v>
      </c>
      <c r="DQ170" s="1484">
        <f>IF(T170&lt;&gt;"0",(ROUND(IF(A170="EMPLEADO",eval_formula('CONCEPTOS Y PARAMETROS'!$C$8,NOMINA!V170,AU170+BF170,NOMINA!I170+NOMINA!J170),eval_formula('CONCEPTOS Y PARAMETROS'!$D$8,NOMINA!V170,AU170+BF170,NOMINA!I170+NOMINA!J170)),2))*IF(H170&lt;&gt;"",IF(MONTH(H170)=$BR$8,IF(YEAR(H170)&lt;$BT$7,1,0),0)))</f>
        <v>0</v>
      </c>
      <c r="DR170" s="1800" t="str">
        <f t="shared" si="278"/>
        <v>F</v>
      </c>
      <c r="DS170" s="1800"/>
    </row>
    <row r="171" spans="1:123" s="476" customFormat="1" ht="18.75" customHeight="1" x14ac:dyDescent="0.25">
      <c r="A171" s="508" t="s">
        <v>2846</v>
      </c>
      <c r="B171" s="1314">
        <f t="shared" ca="1" si="347"/>
        <v>128</v>
      </c>
      <c r="C171" s="1148">
        <v>16066554</v>
      </c>
      <c r="D171" s="1149" t="s">
        <v>4815</v>
      </c>
      <c r="E171" s="1135" t="s">
        <v>4622</v>
      </c>
      <c r="F171" s="1150">
        <v>29238</v>
      </c>
      <c r="G171" s="1135" t="s">
        <v>4620</v>
      </c>
      <c r="H171" s="1150">
        <v>38797</v>
      </c>
      <c r="I171" s="1140">
        <f t="shared" si="261"/>
        <v>19</v>
      </c>
      <c r="J171" s="1132">
        <v>0</v>
      </c>
      <c r="K171" s="1140">
        <f t="shared" si="371"/>
        <v>19</v>
      </c>
      <c r="L171" s="1145" t="s">
        <v>5540</v>
      </c>
      <c r="M171" s="1132"/>
      <c r="N171" s="1653" t="s">
        <v>7558</v>
      </c>
      <c r="O171" s="1002" t="s">
        <v>5257</v>
      </c>
      <c r="P171" s="1132" t="s">
        <v>5372</v>
      </c>
      <c r="Q171" s="1315" t="str">
        <f>IFERROR(VLOOKUP(O171,CARGOS!A:E,2,0),"")</f>
        <v>21214</v>
      </c>
      <c r="R171" s="1327" t="s">
        <v>5257</v>
      </c>
      <c r="S171" s="1146" t="s">
        <v>5458</v>
      </c>
      <c r="T171" s="1107">
        <f>IFERROR(VLOOKUP(S171,'TAB EMP'!A:B,2,0),0)</f>
        <v>287</v>
      </c>
      <c r="U171" s="1108">
        <v>0</v>
      </c>
      <c r="V171" s="1107">
        <f t="shared" si="290"/>
        <v>287</v>
      </c>
      <c r="W171" s="1108">
        <f t="shared" si="291"/>
        <v>143.5</v>
      </c>
      <c r="X171" s="1135" t="s">
        <v>2885</v>
      </c>
      <c r="Y171" s="1135"/>
      <c r="Z171" s="1135">
        <v>2</v>
      </c>
      <c r="AA171" s="1107">
        <f>ROUND(IF(H171&lt;&gt;"",VLOOKUP(SUM(I171+J171),'CONCEPTOS Y PARAMETROS'!F:G,2,0)*V171,0),2)</f>
        <v>70.03</v>
      </c>
      <c r="AB171" s="1107">
        <f>IF(S171&lt;&gt;"",IF(M171="",'CONCEPTOS Y PARAMETROS'!$C$4,0),0)</f>
        <v>130</v>
      </c>
      <c r="AC171" s="1107">
        <f>IF(S171&lt;&gt;"",IF(M171="",'CONCEPTOS Y PARAMETROS'!$C$7*Z171,0),0)</f>
        <v>25</v>
      </c>
      <c r="AD171" s="1107">
        <f>IFERROR(ROUND(VLOOKUP($X171,'CONCEPTOS Y PARAMETROS'!H:I,2,0)*($V171+AA171+AB171+AC171),2),0)</f>
        <v>128.01</v>
      </c>
      <c r="AE171" s="1107">
        <f t="shared" si="369"/>
        <v>353.03999999999996</v>
      </c>
      <c r="AF171" s="1107">
        <f t="shared" si="292"/>
        <v>35.020000000000003</v>
      </c>
      <c r="AG171" s="1107">
        <f t="shared" si="293"/>
        <v>35.01</v>
      </c>
      <c r="AH171" s="1107">
        <f t="shared" si="294"/>
        <v>65</v>
      </c>
      <c r="AI171" s="1107">
        <f t="shared" si="295"/>
        <v>65</v>
      </c>
      <c r="AJ171" s="1107">
        <f t="shared" si="296"/>
        <v>64.010000000000005</v>
      </c>
      <c r="AK171" s="1107">
        <f t="shared" si="297"/>
        <v>64</v>
      </c>
      <c r="AL171" s="1108">
        <f t="shared" si="298"/>
        <v>189.03</v>
      </c>
      <c r="AM171" s="1108">
        <f t="shared" si="299"/>
        <v>164.01</v>
      </c>
      <c r="AN171" s="990">
        <v>0</v>
      </c>
      <c r="AO171" s="1147">
        <f>'CONCEPTOS Y PARAMETROS'!$C$18*AN171</f>
        <v>0</v>
      </c>
      <c r="AP171" s="990">
        <v>0</v>
      </c>
      <c r="AQ171" s="1147">
        <f>'CONCEPTOS Y PARAMETROS'!$C$21*AP171</f>
        <v>0</v>
      </c>
      <c r="AR171" s="1318">
        <v>0</v>
      </c>
      <c r="AS171" s="1318">
        <v>0</v>
      </c>
      <c r="AT171" s="1318">
        <f t="shared" si="370"/>
        <v>0</v>
      </c>
      <c r="AU171" s="1108">
        <f t="shared" ref="AU171:AU233" si="372">V171+AE171+AW171</f>
        <v>640.04</v>
      </c>
      <c r="AV171" s="1133">
        <v>0</v>
      </c>
      <c r="AW171" s="1108">
        <f t="shared" si="364"/>
        <v>0</v>
      </c>
      <c r="AX171" s="1107">
        <f>IF(T171&lt;&gt;"0",(ROUND(IF(A171="EMPLEADO",eval_formula('CONCEPTOS Y PARAMETROS'!$C$8,NOMINA!V171,NOMINA!$AU171,NOMINA!I171+NOMINA!J171),eval_formula('CONCEPTOS Y PARAMETROS'!$D$8,NOMINA!V171,NOMINA!$AU171,NOMINA!I171+NOMINA!J171)),2))*IF(H171&lt;&gt;"",IF(MONTH(H171)=$BR$8,IF(YEAR(H171)&lt;$BT$7,1,0),0)))</f>
        <v>0</v>
      </c>
      <c r="AY171" s="1108">
        <v>180</v>
      </c>
      <c r="AZ171" s="1107">
        <f>IFERROR(VLOOKUP(AY171,'CONCEPTOS Y PARAMETROS'!Y:Z,2,0),0)</f>
        <v>150</v>
      </c>
      <c r="BA171" s="1107">
        <f t="shared" si="300"/>
        <v>4800.3</v>
      </c>
      <c r="BB171" s="1107">
        <f t="shared" si="353"/>
        <v>0</v>
      </c>
      <c r="BC171" s="990">
        <v>0</v>
      </c>
      <c r="BD171" s="1107" t="str">
        <f t="shared" ref="BD171:BD233" si="373">IF(BC171&gt;0,((((((V171+AA171+AB171+AC171+AD171)/30)/8)*50%)+((((V171+AA171+AB171+AC171+AD171)/30)/8)))*30%+(((((V171+AA171+AB171+AC171+AD171)/30)/8)*50%)+((((V171+AA171+AB171+AC171+AD171)/30)/8))))*BC171,"0")</f>
        <v>0</v>
      </c>
      <c r="BE171" s="990">
        <v>0</v>
      </c>
      <c r="BF171" s="1107">
        <f t="shared" si="357"/>
        <v>0</v>
      </c>
      <c r="BG171" s="1108">
        <v>320</v>
      </c>
      <c r="BH171" s="1108">
        <v>0</v>
      </c>
      <c r="BI171" s="1132">
        <v>0</v>
      </c>
      <c r="BJ171" s="1108">
        <v>12.5</v>
      </c>
      <c r="BK171" s="1108">
        <v>0</v>
      </c>
      <c r="BL171" s="1107">
        <f t="shared" si="324"/>
        <v>29.54</v>
      </c>
      <c r="BM171" s="1107">
        <f t="shared" si="325"/>
        <v>3.69</v>
      </c>
      <c r="BN171" s="1107">
        <f t="shared" si="262"/>
        <v>6.4</v>
      </c>
      <c r="BO171" s="1107">
        <v>0</v>
      </c>
      <c r="BP171" s="1107">
        <v>0</v>
      </c>
      <c r="BQ171" s="1320">
        <f t="shared" si="366"/>
        <v>39.630000000000003</v>
      </c>
      <c r="BR171" s="1107">
        <f t="shared" si="326"/>
        <v>66.47</v>
      </c>
      <c r="BS171" s="1107">
        <f t="shared" si="327"/>
        <v>14.77</v>
      </c>
      <c r="BT171" s="1107">
        <f t="shared" si="263"/>
        <v>12.8</v>
      </c>
      <c r="BU171" s="1107">
        <v>0</v>
      </c>
      <c r="BV171" s="1108">
        <f t="shared" si="367"/>
        <v>94.04</v>
      </c>
      <c r="BW171" s="1112">
        <f t="shared" si="368"/>
        <v>133.67000000000002</v>
      </c>
      <c r="BX171" s="1112">
        <f t="shared" si="356"/>
        <v>1200.08</v>
      </c>
      <c r="BY171" s="1108">
        <v>0</v>
      </c>
      <c r="BZ171" s="1108">
        <f t="shared" si="365"/>
        <v>1200.08</v>
      </c>
      <c r="CA171" s="1321">
        <f>'CONCEPTOS Y PARAMETROS'!$A$102</f>
        <v>6255</v>
      </c>
      <c r="CB171" s="1112">
        <f t="shared" si="264"/>
        <v>292.89999999999998</v>
      </c>
      <c r="CC171" s="1113">
        <f t="shared" si="265"/>
        <v>640.01</v>
      </c>
      <c r="CD171" s="512"/>
      <c r="CE171" s="512"/>
      <c r="CF171" s="470">
        <f t="shared" si="266"/>
        <v>947.51</v>
      </c>
      <c r="CG171" s="509">
        <f t="shared" si="283"/>
        <v>292.89999999999998</v>
      </c>
      <c r="CH171" s="1603">
        <f t="shared" si="267"/>
        <v>12.5</v>
      </c>
      <c r="CI171" s="1491">
        <f t="shared" ref="CI171:CI233" si="374">BG171</f>
        <v>320</v>
      </c>
      <c r="CJ171" s="1502">
        <v>2</v>
      </c>
      <c r="CK171" s="509">
        <f t="shared" si="268"/>
        <v>627.51</v>
      </c>
      <c r="CL171" s="1689">
        <f t="shared" si="269"/>
        <v>301.2</v>
      </c>
      <c r="CM171" s="1689">
        <f t="shared" ref="CM171:CM234" si="375">+CK171-CL171</f>
        <v>326.31</v>
      </c>
      <c r="CN171" s="510">
        <f t="shared" si="271"/>
        <v>0</v>
      </c>
      <c r="CO171" s="511">
        <v>0</v>
      </c>
      <c r="CP171" s="510">
        <f t="shared" si="272"/>
        <v>0</v>
      </c>
      <c r="CQ171" s="510">
        <f t="shared" si="273"/>
        <v>0</v>
      </c>
      <c r="CR171" s="510">
        <f t="shared" si="274"/>
        <v>1255.02</v>
      </c>
      <c r="CS171" s="510">
        <f t="shared" si="275"/>
        <v>133.67000000000002</v>
      </c>
      <c r="CT171" s="510">
        <f t="shared" si="276"/>
        <v>6255</v>
      </c>
      <c r="CU171" s="512"/>
      <c r="CV171" s="512"/>
      <c r="CW171" s="512"/>
      <c r="CX171" s="512"/>
      <c r="CY171" s="1149" t="s">
        <v>6865</v>
      </c>
      <c r="CZ171" s="1149" t="s">
        <v>6805</v>
      </c>
      <c r="DA171" s="480"/>
      <c r="DB171" s="1152" t="s">
        <v>6414</v>
      </c>
      <c r="DC171" s="1152" t="s">
        <v>7549</v>
      </c>
      <c r="DD171" s="1152" t="s">
        <v>6415</v>
      </c>
      <c r="DE171" s="1152" t="s">
        <v>6416</v>
      </c>
      <c r="DF171" s="1152" t="s">
        <v>6417</v>
      </c>
      <c r="DG171" s="1152"/>
      <c r="DH171" s="512"/>
      <c r="DI171" s="512"/>
      <c r="DJ171" s="512"/>
      <c r="DK171" s="512"/>
      <c r="DL171" s="512"/>
      <c r="DN171" s="476" t="str">
        <f>VLOOKUP(X171,Hoja1!$A$4:$B$10,2,0)</f>
        <v>PROFESIONAL</v>
      </c>
      <c r="DO171" s="476" t="str">
        <f>VLOOKUP(S171,Hoja1!$D$4:$F$77,3,0)</f>
        <v>PII - VII</v>
      </c>
      <c r="DP171" s="1594" t="str">
        <f t="shared" si="277"/>
        <v>0</v>
      </c>
      <c r="DQ171" s="1484">
        <f>IF(T171&lt;&gt;"0",(ROUND(IF(A171="EMPLEADO",eval_formula('CONCEPTOS Y PARAMETROS'!$C$8,NOMINA!V171,AU171+BF171,NOMINA!I171+NOMINA!J171),eval_formula('CONCEPTOS Y PARAMETROS'!$D$8,NOMINA!V171,AU171+BF171,NOMINA!I171+NOMINA!J171)),2))*IF(H171&lt;&gt;"",IF(MONTH(H171)=$BR$8,IF(YEAR(H171)&lt;$BT$7,1,0),0)))</f>
        <v>0</v>
      </c>
      <c r="DR171" s="1799" t="str">
        <f t="shared" si="278"/>
        <v>F</v>
      </c>
      <c r="DS171" s="1799"/>
    </row>
    <row r="172" spans="1:123" s="476" customFormat="1" ht="21.95" customHeight="1" x14ac:dyDescent="0.25">
      <c r="A172" s="508" t="s">
        <v>2846</v>
      </c>
      <c r="B172" s="1314">
        <f t="shared" ca="1" si="347"/>
        <v>129</v>
      </c>
      <c r="C172" s="1148">
        <v>16266033</v>
      </c>
      <c r="D172" s="1149" t="s">
        <v>4816</v>
      </c>
      <c r="E172" s="1135" t="s">
        <v>4622</v>
      </c>
      <c r="F172" s="1150">
        <v>30376</v>
      </c>
      <c r="G172" s="1135" t="s">
        <v>4620</v>
      </c>
      <c r="H172" s="1150">
        <v>44713</v>
      </c>
      <c r="I172" s="1140">
        <f t="shared" ref="I172:I236" si="376">IF(AND(YEAR(H172)&lt;YEAR($H$10),MONTH(H172)&gt;$BR$8),YEAR($H$10)-YEAR(H172)-1,IF(OR(H172="",YEAR(H172)&gt;YEAR($H$10)),0,YEAR($H$10)-YEAR(H172)))</f>
        <v>3</v>
      </c>
      <c r="J172" s="1132">
        <v>0</v>
      </c>
      <c r="K172" s="1140">
        <f t="shared" si="371"/>
        <v>3</v>
      </c>
      <c r="L172" s="1145" t="s">
        <v>5535</v>
      </c>
      <c r="M172" s="1132"/>
      <c r="N172" s="1132"/>
      <c r="O172" s="1002" t="s">
        <v>5218</v>
      </c>
      <c r="P172" s="1132" t="s">
        <v>5373</v>
      </c>
      <c r="Q172" s="1315" t="str">
        <f>IFERROR(VLOOKUP(O172,CARGOS!A:E,2,0),"")</f>
        <v>79511</v>
      </c>
      <c r="R172" s="1327" t="s">
        <v>5218</v>
      </c>
      <c r="S172" s="1146" t="s">
        <v>5468</v>
      </c>
      <c r="T172" s="1107">
        <f>IFERROR(VLOOKUP(S172,'TAB EMP'!A:B,2,0),0)</f>
        <v>219</v>
      </c>
      <c r="U172" s="1108">
        <v>0</v>
      </c>
      <c r="V172" s="1107">
        <f t="shared" si="290"/>
        <v>219</v>
      </c>
      <c r="W172" s="1108">
        <f t="shared" si="291"/>
        <v>109.5</v>
      </c>
      <c r="X172" s="1135" t="s">
        <v>2885</v>
      </c>
      <c r="Y172" s="1135"/>
      <c r="Z172" s="1135">
        <v>2</v>
      </c>
      <c r="AA172" s="1107">
        <f>ROUND(IF(H172&lt;&gt;"",VLOOKUP(SUM(I172+J172),'CONCEPTOS Y PARAMETROS'!F:G,2,0)*V172,0),2)</f>
        <v>6.57</v>
      </c>
      <c r="AB172" s="1107">
        <f>IF(S172&lt;&gt;"",IF(M172="",'CONCEPTOS Y PARAMETROS'!$C$4,0),0)</f>
        <v>130</v>
      </c>
      <c r="AC172" s="1107">
        <f>IF(S172&lt;&gt;"",IF(M172="",'CONCEPTOS Y PARAMETROS'!$C$7*Z172,0),0)</f>
        <v>25</v>
      </c>
      <c r="AD172" s="1107">
        <f>IFERROR(ROUND(VLOOKUP($X172,'CONCEPTOS Y PARAMETROS'!H:I,2,0)*($V172+AA172+AB172+AC172),2),0)</f>
        <v>95.14</v>
      </c>
      <c r="AE172" s="1107">
        <f t="shared" si="369"/>
        <v>256.70999999999998</v>
      </c>
      <c r="AF172" s="1107">
        <f t="shared" si="292"/>
        <v>3.29</v>
      </c>
      <c r="AG172" s="1107">
        <f t="shared" si="293"/>
        <v>3.28</v>
      </c>
      <c r="AH172" s="1107">
        <f t="shared" si="294"/>
        <v>65</v>
      </c>
      <c r="AI172" s="1107">
        <f t="shared" si="295"/>
        <v>65</v>
      </c>
      <c r="AJ172" s="1107">
        <f t="shared" si="296"/>
        <v>47.57</v>
      </c>
      <c r="AK172" s="1107">
        <f t="shared" si="297"/>
        <v>47.57</v>
      </c>
      <c r="AL172" s="1108">
        <f t="shared" si="298"/>
        <v>140.86000000000001</v>
      </c>
      <c r="AM172" s="1108">
        <f t="shared" si="299"/>
        <v>115.85</v>
      </c>
      <c r="AN172" s="990">
        <v>2</v>
      </c>
      <c r="AO172" s="1147">
        <f>'CONCEPTOS Y PARAMETROS'!$C$18*AN172</f>
        <v>25</v>
      </c>
      <c r="AP172" s="990">
        <v>0</v>
      </c>
      <c r="AQ172" s="1147">
        <f>'CONCEPTOS Y PARAMETROS'!$C$21*AP172</f>
        <v>0</v>
      </c>
      <c r="AR172" s="1318">
        <v>0</v>
      </c>
      <c r="AS172" s="1318">
        <v>0</v>
      </c>
      <c r="AT172" s="1318">
        <f t="shared" si="370"/>
        <v>25</v>
      </c>
      <c r="AU172" s="1108">
        <f t="shared" si="372"/>
        <v>618.41999999999996</v>
      </c>
      <c r="AV172" s="1133" t="s">
        <v>5080</v>
      </c>
      <c r="AW172" s="1108">
        <f t="shared" si="364"/>
        <v>142.71</v>
      </c>
      <c r="AX172" s="1107">
        <f>IF(T172&lt;&gt;"0",(ROUND(IF(A172="EMPLEADO",eval_formula('CONCEPTOS Y PARAMETROS'!$C$8,NOMINA!V172,NOMINA!$AU172,NOMINA!I172+NOMINA!J172),eval_formula('CONCEPTOS Y PARAMETROS'!$D$8,NOMINA!V172,NOMINA!$AU172,NOMINA!I172+NOMINA!J172)),2))*IF(H172&lt;&gt;"",IF(MONTH(H172)=$BR$8,IF(YEAR(H172)&lt;$BT$7,1,0),0)))</f>
        <v>0</v>
      </c>
      <c r="AY172" s="1108">
        <v>180</v>
      </c>
      <c r="AZ172" s="1107">
        <f>IFERROR(VLOOKUP(AY172,'CONCEPTOS Y PARAMETROS'!Y:Z,2,0),0)</f>
        <v>150</v>
      </c>
      <c r="BA172" s="1107">
        <f t="shared" si="300"/>
        <v>4638.1499999999996</v>
      </c>
      <c r="BB172" s="1107">
        <f t="shared" si="353"/>
        <v>0</v>
      </c>
      <c r="BC172" s="990">
        <v>0</v>
      </c>
      <c r="BD172" s="1107" t="str">
        <f t="shared" si="373"/>
        <v>0</v>
      </c>
      <c r="BE172" s="990">
        <v>3</v>
      </c>
      <c r="BF172" s="1107">
        <f t="shared" si="357"/>
        <v>92.76</v>
      </c>
      <c r="BG172" s="1108">
        <v>320</v>
      </c>
      <c r="BH172" s="1108">
        <v>0</v>
      </c>
      <c r="BI172" s="1132">
        <v>0</v>
      </c>
      <c r="BJ172" s="1108">
        <v>12.5</v>
      </c>
      <c r="BK172" s="1108">
        <v>0</v>
      </c>
      <c r="BL172" s="1107">
        <f t="shared" si="324"/>
        <v>28.54</v>
      </c>
      <c r="BM172" s="1107">
        <f t="shared" si="325"/>
        <v>3.57</v>
      </c>
      <c r="BN172" s="1107">
        <f t="shared" ref="BN172:BN236" si="377">ROUND(IF(M172="",(AU172*1%),0),2)</f>
        <v>6.18</v>
      </c>
      <c r="BO172" s="1107">
        <v>0</v>
      </c>
      <c r="BP172" s="1107">
        <v>0</v>
      </c>
      <c r="BQ172" s="1320">
        <f t="shared" si="366"/>
        <v>38.29</v>
      </c>
      <c r="BR172" s="1107">
        <f t="shared" si="326"/>
        <v>64.22</v>
      </c>
      <c r="BS172" s="1107">
        <f t="shared" si="327"/>
        <v>14.27</v>
      </c>
      <c r="BT172" s="1107">
        <f t="shared" ref="BT172:BT236" si="378">ROUND(IF(M172="",(BN172*2),0),2)</f>
        <v>12.36</v>
      </c>
      <c r="BU172" s="1107">
        <v>0</v>
      </c>
      <c r="BV172" s="1108">
        <f t="shared" si="367"/>
        <v>90.85</v>
      </c>
      <c r="BW172" s="1112">
        <f t="shared" si="368"/>
        <v>129.13999999999999</v>
      </c>
      <c r="BX172" s="1112">
        <f t="shared" si="356"/>
        <v>1159.54</v>
      </c>
      <c r="BY172" s="1108">
        <v>0</v>
      </c>
      <c r="BZ172" s="1108">
        <f t="shared" si="365"/>
        <v>1159.54</v>
      </c>
      <c r="CA172" s="1321">
        <f>'CONCEPTOS Y PARAMETROS'!$A$102</f>
        <v>6255</v>
      </c>
      <c r="CB172" s="1112">
        <f t="shared" ref="CB172:CB235" si="379">W172+AL172-BQ172</f>
        <v>212.07000000000002</v>
      </c>
      <c r="CC172" s="1113">
        <f t="shared" ref="CC172:CC235" si="380">ROUND((W172+AM172+AW172+AX172+BB172+BD172+BF172+BK172+BG172+BH172+BJ172+AT172),2)</f>
        <v>818.32</v>
      </c>
      <c r="CD172" s="512"/>
      <c r="CE172" s="512"/>
      <c r="CF172" s="470">
        <f t="shared" ref="CF172:CF235" si="381">+CI172+CK172</f>
        <v>865.35</v>
      </c>
      <c r="CG172" s="509">
        <f t="shared" si="283"/>
        <v>212.07000000000002</v>
      </c>
      <c r="CH172" s="1603">
        <f t="shared" ref="CH172:CH235" si="382">AT172+BJ172</f>
        <v>37.5</v>
      </c>
      <c r="CI172" s="1491">
        <f t="shared" si="374"/>
        <v>320</v>
      </c>
      <c r="CJ172" s="1502">
        <v>1</v>
      </c>
      <c r="CK172" s="509">
        <f t="shared" ref="CK172:CK235" si="383">W172+AM172+BG172</f>
        <v>545.35</v>
      </c>
      <c r="CL172" s="1689">
        <f t="shared" ref="CL172:CL235" si="384">ROUND(IF(CK172&gt;600,CK172*48%,CK172),2)</f>
        <v>545.35</v>
      </c>
      <c r="CM172" s="1689">
        <f t="shared" si="375"/>
        <v>0</v>
      </c>
      <c r="CN172" s="510">
        <f t="shared" ref="CN172:CN235" si="385">BF172+BB172</f>
        <v>92.76</v>
      </c>
      <c r="CO172" s="511">
        <v>0</v>
      </c>
      <c r="CP172" s="510">
        <f t="shared" ref="CP172:CP235" si="386">AW172</f>
        <v>142.71</v>
      </c>
      <c r="CQ172" s="510">
        <f t="shared" ref="CQ172:CQ235" si="387">AX172</f>
        <v>0</v>
      </c>
      <c r="CR172" s="510">
        <f t="shared" ref="CR172:CR235" si="388">SUM(CK172:CQ172)</f>
        <v>1326.17</v>
      </c>
      <c r="CS172" s="510">
        <f t="shared" ref="CS172:CS235" si="389">BQ172+BV172</f>
        <v>129.13999999999999</v>
      </c>
      <c r="CT172" s="510">
        <f t="shared" ref="CT172:CT235" si="390">CA172</f>
        <v>6255</v>
      </c>
      <c r="CU172" s="512"/>
      <c r="CV172" s="512"/>
      <c r="CW172" s="512"/>
      <c r="CX172" s="512"/>
      <c r="CY172" s="1149" t="s">
        <v>6840</v>
      </c>
      <c r="CZ172" s="1149" t="s">
        <v>7134</v>
      </c>
      <c r="DA172" s="480"/>
      <c r="DB172" s="1642" t="s">
        <v>6231</v>
      </c>
      <c r="DC172" s="1642"/>
      <c r="DD172" s="1642" t="s">
        <v>6158</v>
      </c>
      <c r="DE172" s="1642" t="s">
        <v>6159</v>
      </c>
      <c r="DF172" s="1642" t="s">
        <v>6160</v>
      </c>
      <c r="DG172" s="1642"/>
      <c r="DH172" s="512"/>
      <c r="DI172" s="512"/>
      <c r="DJ172" s="512"/>
      <c r="DK172" s="512"/>
      <c r="DL172" s="512"/>
      <c r="DN172" s="476" t="str">
        <f>VLOOKUP(X172,Hoja1!$A$4:$B$10,2,0)</f>
        <v>PROFESIONAL</v>
      </c>
      <c r="DO172" s="476" t="str">
        <f>VLOOKUP(S172,Hoja1!$D$4:$F$77,3,0)</f>
        <v>TII - II</v>
      </c>
      <c r="DP172" s="1594" t="str">
        <f t="shared" ref="DP172:DP235" si="391">IF(AV172="NOCTURN","SI","0")</f>
        <v>SI</v>
      </c>
      <c r="DQ172" s="1484">
        <f>IF(T172&lt;&gt;"0",(ROUND(IF(A172="EMPLEADO",eval_formula('CONCEPTOS Y PARAMETROS'!$C$8,NOMINA!V172,AU172+BF172,NOMINA!I172+NOMINA!J172),eval_formula('CONCEPTOS Y PARAMETROS'!$D$8,NOMINA!V172,AU172+BF172,NOMINA!I172+NOMINA!J172)),2))*IF(H172&lt;&gt;"",IF(MONTH(H172)=$BR$8,IF(YEAR(H172)&lt;$BT$7,1,0),0)))</f>
        <v>0</v>
      </c>
      <c r="DR172" s="1799" t="str">
        <f t="shared" ref="DR172:DR235" si="392">+G172</f>
        <v>F</v>
      </c>
      <c r="DS172" s="1799"/>
    </row>
    <row r="173" spans="1:123" s="476" customFormat="1" ht="21.95" customHeight="1" x14ac:dyDescent="0.25">
      <c r="A173" s="508" t="s">
        <v>2846</v>
      </c>
      <c r="B173" s="1314">
        <f ca="1">OFFSET(B173,-1,0)+1</f>
        <v>130</v>
      </c>
      <c r="C173" s="1148">
        <v>16266989</v>
      </c>
      <c r="D173" s="1149" t="s">
        <v>4817</v>
      </c>
      <c r="E173" s="1135" t="s">
        <v>4622</v>
      </c>
      <c r="F173" s="1150">
        <v>29759</v>
      </c>
      <c r="G173" s="1135" t="s">
        <v>4620</v>
      </c>
      <c r="H173" s="1150">
        <v>43040</v>
      </c>
      <c r="I173" s="1140">
        <f t="shared" si="376"/>
        <v>7</v>
      </c>
      <c r="J173" s="1132">
        <v>0</v>
      </c>
      <c r="K173" s="1140">
        <f t="shared" si="371"/>
        <v>7</v>
      </c>
      <c r="L173" s="1145" t="s">
        <v>5528</v>
      </c>
      <c r="M173" s="1132"/>
      <c r="N173" s="1132"/>
      <c r="O173" s="1002" t="s">
        <v>5217</v>
      </c>
      <c r="P173" s="1132" t="s">
        <v>5374</v>
      </c>
      <c r="Q173" s="1315" t="str">
        <f>IFERROR(VLOOKUP(O173,CARGOS!A:E,2,0),"")</f>
        <v>79512</v>
      </c>
      <c r="R173" s="1327" t="s">
        <v>5217</v>
      </c>
      <c r="S173" s="1146" t="s">
        <v>5475</v>
      </c>
      <c r="T173" s="1107">
        <f>IFERROR(VLOOKUP(S173,'TAB EMP'!A:B,2,0),0)</f>
        <v>279</v>
      </c>
      <c r="U173" s="1108">
        <v>0</v>
      </c>
      <c r="V173" s="1107">
        <f t="shared" ref="V173:V244" si="393">T173-U173</f>
        <v>279</v>
      </c>
      <c r="W173" s="1108">
        <f t="shared" ref="W173:W244" si="394">ROUND(V173/2,2)</f>
        <v>139.5</v>
      </c>
      <c r="X173" s="1135" t="s">
        <v>2885</v>
      </c>
      <c r="Y173" s="1135"/>
      <c r="Z173" s="1135">
        <v>2</v>
      </c>
      <c r="AA173" s="1107">
        <f>ROUND(IF(H173&lt;&gt;"",VLOOKUP(SUM(I173+J173),'CONCEPTOS Y PARAMETROS'!F:G,2,0)*V173,0),2)</f>
        <v>20.65</v>
      </c>
      <c r="AB173" s="1107">
        <f>IF(S173&lt;&gt;"",IF(M173="",'CONCEPTOS Y PARAMETROS'!$C$4,0),0)</f>
        <v>130</v>
      </c>
      <c r="AC173" s="1107">
        <f>IF(S173&lt;&gt;"",IF(M173="",'CONCEPTOS Y PARAMETROS'!$C$7*Z173,0),0)</f>
        <v>25</v>
      </c>
      <c r="AD173" s="1107">
        <f>IFERROR(ROUND(VLOOKUP($X173,'CONCEPTOS Y PARAMETROS'!H:I,2,0)*($V173+AA173+AB173+AC173),2),0)</f>
        <v>113.66</v>
      </c>
      <c r="AE173" s="1107">
        <f t="shared" si="369"/>
        <v>289.31</v>
      </c>
      <c r="AF173" s="1107">
        <f t="shared" ref="AF173:AF244" si="395">ROUND(AA173/2,2)</f>
        <v>10.33</v>
      </c>
      <c r="AG173" s="1107">
        <f t="shared" ref="AG173:AG244" si="396">ROUND(AA173-AF173,2)</f>
        <v>10.32</v>
      </c>
      <c r="AH173" s="1107">
        <f t="shared" ref="AH173:AH244" si="397">ROUND(AB173/2,2)</f>
        <v>65</v>
      </c>
      <c r="AI173" s="1107">
        <f t="shared" ref="AI173:AI244" si="398">ROUND(AB173-AH173,2)</f>
        <v>65</v>
      </c>
      <c r="AJ173" s="1107">
        <f t="shared" ref="AJ173:AJ244" si="399">ROUND(AD173/2,2)</f>
        <v>56.83</v>
      </c>
      <c r="AK173" s="1107">
        <f t="shared" ref="AK173:AK244" si="400">ROUND(AD173-AJ173,2)</f>
        <v>56.83</v>
      </c>
      <c r="AL173" s="1108">
        <f t="shared" ref="AL173:AL244" si="401">ROUND(AF173+AH173+AJ173+AC173,2)</f>
        <v>157.16</v>
      </c>
      <c r="AM173" s="1108">
        <f t="shared" ref="AM173:AM244" si="402">ROUND(AG173+AI173+AK173,2)</f>
        <v>132.15</v>
      </c>
      <c r="AN173" s="990">
        <v>0</v>
      </c>
      <c r="AO173" s="1147">
        <f>'CONCEPTOS Y PARAMETROS'!$C$18*AN173</f>
        <v>0</v>
      </c>
      <c r="AP173" s="990">
        <v>0</v>
      </c>
      <c r="AQ173" s="1147">
        <f>'CONCEPTOS Y PARAMETROS'!$C$21*AP173</f>
        <v>0</v>
      </c>
      <c r="AR173" s="1318">
        <v>0</v>
      </c>
      <c r="AS173" s="1318">
        <v>0</v>
      </c>
      <c r="AT173" s="1318">
        <f t="shared" si="370"/>
        <v>0</v>
      </c>
      <c r="AU173" s="1108">
        <f t="shared" si="372"/>
        <v>738.8</v>
      </c>
      <c r="AV173" s="1133" t="s">
        <v>5080</v>
      </c>
      <c r="AW173" s="1108">
        <f t="shared" si="364"/>
        <v>170.49</v>
      </c>
      <c r="AX173" s="1107">
        <f>IF(T173&lt;&gt;"0",(ROUND(IF(A173="EMPLEADO",eval_formula('CONCEPTOS Y PARAMETROS'!$C$8,NOMINA!V173,NOMINA!$AU173,NOMINA!I173+NOMINA!J173),eval_formula('CONCEPTOS Y PARAMETROS'!$D$8,NOMINA!V173,NOMINA!$AU173,NOMINA!I173+NOMINA!J173)),2))*IF(H173&lt;&gt;"",IF(MONTH(H173)=$BR$8,IF(YEAR(H173)&lt;$BT$7,1,0),0)))</f>
        <v>0</v>
      </c>
      <c r="AY173" s="1108">
        <v>180</v>
      </c>
      <c r="AZ173" s="1107">
        <f>IFERROR(VLOOKUP(AY173,'CONCEPTOS Y PARAMETROS'!Y:Z,2,0),0)</f>
        <v>150</v>
      </c>
      <c r="BA173" s="1107">
        <f t="shared" ref="BA173:BA244" si="403">ROUND((((AU173))/30*AY173/12+(AU173))/30*AZ173,2)</f>
        <v>5541</v>
      </c>
      <c r="BB173" s="1107">
        <f t="shared" si="353"/>
        <v>0</v>
      </c>
      <c r="BC173" s="990">
        <v>0</v>
      </c>
      <c r="BD173" s="1107" t="str">
        <f t="shared" si="373"/>
        <v>0</v>
      </c>
      <c r="BE173" s="990">
        <v>0</v>
      </c>
      <c r="BF173" s="1107">
        <f t="shared" si="357"/>
        <v>0</v>
      </c>
      <c r="BG173" s="1108">
        <v>320</v>
      </c>
      <c r="BH173" s="1108">
        <v>0</v>
      </c>
      <c r="BI173" s="1132">
        <v>0</v>
      </c>
      <c r="BJ173" s="1108">
        <v>12.5</v>
      </c>
      <c r="BK173" s="1108">
        <v>0</v>
      </c>
      <c r="BL173" s="1107">
        <f t="shared" si="324"/>
        <v>34.1</v>
      </c>
      <c r="BM173" s="1107">
        <f t="shared" si="325"/>
        <v>4.26</v>
      </c>
      <c r="BN173" s="1107">
        <f t="shared" si="377"/>
        <v>7.39</v>
      </c>
      <c r="BO173" s="1107">
        <v>0</v>
      </c>
      <c r="BP173" s="1107">
        <v>0</v>
      </c>
      <c r="BQ173" s="1320">
        <f t="shared" si="366"/>
        <v>45.75</v>
      </c>
      <c r="BR173" s="1107">
        <f t="shared" si="326"/>
        <v>76.72</v>
      </c>
      <c r="BS173" s="1107">
        <f t="shared" si="327"/>
        <v>17.05</v>
      </c>
      <c r="BT173" s="1107">
        <f t="shared" si="378"/>
        <v>14.78</v>
      </c>
      <c r="BU173" s="1107">
        <v>0</v>
      </c>
      <c r="BV173" s="1108">
        <f t="shared" si="367"/>
        <v>108.55</v>
      </c>
      <c r="BW173" s="1112">
        <f t="shared" si="368"/>
        <v>154.30000000000001</v>
      </c>
      <c r="BX173" s="1112">
        <f t="shared" si="356"/>
        <v>1385.25</v>
      </c>
      <c r="BY173" s="1108">
        <v>0</v>
      </c>
      <c r="BZ173" s="1108">
        <f t="shared" si="365"/>
        <v>1385.25</v>
      </c>
      <c r="CA173" s="1321">
        <f>'CONCEPTOS Y PARAMETROS'!$A$102</f>
        <v>6255</v>
      </c>
      <c r="CB173" s="1112">
        <f t="shared" si="379"/>
        <v>250.90999999999997</v>
      </c>
      <c r="CC173" s="1113">
        <f t="shared" si="380"/>
        <v>774.64</v>
      </c>
      <c r="CD173" s="512"/>
      <c r="CE173" s="512"/>
      <c r="CF173" s="470">
        <f t="shared" si="381"/>
        <v>911.65</v>
      </c>
      <c r="CG173" s="509">
        <f t="shared" ref="CG173:CG236" si="404">W173+AL173-BQ173</f>
        <v>250.90999999999997</v>
      </c>
      <c r="CH173" s="1603">
        <f t="shared" si="382"/>
        <v>12.5</v>
      </c>
      <c r="CI173" s="1491">
        <f t="shared" si="374"/>
        <v>320</v>
      </c>
      <c r="CJ173" s="1502">
        <v>1</v>
      </c>
      <c r="CK173" s="509">
        <f t="shared" si="383"/>
        <v>591.65</v>
      </c>
      <c r="CL173" s="1689">
        <f t="shared" si="384"/>
        <v>591.65</v>
      </c>
      <c r="CM173" s="1689">
        <f t="shared" si="375"/>
        <v>0</v>
      </c>
      <c r="CN173" s="510">
        <f t="shared" si="385"/>
        <v>0</v>
      </c>
      <c r="CO173" s="511">
        <v>0</v>
      </c>
      <c r="CP173" s="510">
        <f t="shared" si="386"/>
        <v>170.49</v>
      </c>
      <c r="CQ173" s="510">
        <f t="shared" si="387"/>
        <v>0</v>
      </c>
      <c r="CR173" s="510">
        <f t="shared" si="388"/>
        <v>1353.79</v>
      </c>
      <c r="CS173" s="510">
        <f t="shared" si="389"/>
        <v>154.30000000000001</v>
      </c>
      <c r="CT173" s="510">
        <f t="shared" si="390"/>
        <v>6255</v>
      </c>
      <c r="CU173" s="512"/>
      <c r="CV173" s="512"/>
      <c r="CW173" s="512"/>
      <c r="CX173" s="512"/>
      <c r="CY173" s="1149" t="s">
        <v>7071</v>
      </c>
      <c r="CZ173" s="1149" t="s">
        <v>6870</v>
      </c>
      <c r="DA173" s="480"/>
      <c r="DB173" s="1642" t="s">
        <v>6314</v>
      </c>
      <c r="DC173" s="1642"/>
      <c r="DD173" s="1642" t="s">
        <v>6133</v>
      </c>
      <c r="DE173" s="1642" t="s">
        <v>6133</v>
      </c>
      <c r="DF173" s="1642" t="s">
        <v>6449</v>
      </c>
      <c r="DG173" s="1642"/>
      <c r="DH173" s="512"/>
      <c r="DI173" s="512"/>
      <c r="DJ173" s="512"/>
      <c r="DK173" s="512"/>
      <c r="DL173" s="512"/>
      <c r="DN173" s="476" t="str">
        <f>VLOOKUP(X173,Hoja1!$A$4:$B$10,2,0)</f>
        <v>PROFESIONAL</v>
      </c>
      <c r="DO173" s="476" t="str">
        <f>VLOOKUP(S173,Hoja1!$D$4:$F$77,3,0)</f>
        <v>PII - III</v>
      </c>
      <c r="DP173" s="1594" t="str">
        <f t="shared" si="391"/>
        <v>SI</v>
      </c>
      <c r="DQ173" s="1484">
        <f>IF(T173&lt;&gt;"0",(ROUND(IF(A173="EMPLEADO",eval_formula('CONCEPTOS Y PARAMETROS'!$C$8,NOMINA!V173,AU173+BF173,NOMINA!I173+NOMINA!J173),eval_formula('CONCEPTOS Y PARAMETROS'!$D$8,NOMINA!V173,AU173+BF173,NOMINA!I173+NOMINA!J173)),2))*IF(H173&lt;&gt;"",IF(MONTH(H173)=$BR$8,IF(YEAR(H173)&lt;$BT$7,1,0),0)))</f>
        <v>0</v>
      </c>
      <c r="DR173" s="1799" t="str">
        <f t="shared" si="392"/>
        <v>F</v>
      </c>
      <c r="DS173" s="1799"/>
    </row>
    <row r="174" spans="1:123" s="476" customFormat="1" ht="21.95" customHeight="1" x14ac:dyDescent="0.25">
      <c r="A174" s="508" t="s">
        <v>2846</v>
      </c>
      <c r="B174" s="1314">
        <f t="shared" ca="1" si="347"/>
        <v>131</v>
      </c>
      <c r="C174" s="1148">
        <v>16267940</v>
      </c>
      <c r="D174" s="1149" t="s">
        <v>4818</v>
      </c>
      <c r="E174" s="1135" t="s">
        <v>4622</v>
      </c>
      <c r="F174" s="1150">
        <v>30438</v>
      </c>
      <c r="G174" s="1135" t="s">
        <v>4620</v>
      </c>
      <c r="H174" s="1150">
        <v>44600</v>
      </c>
      <c r="I174" s="1140">
        <f t="shared" si="376"/>
        <v>3</v>
      </c>
      <c r="J174" s="1132">
        <v>0</v>
      </c>
      <c r="K174" s="1140">
        <f t="shared" si="371"/>
        <v>3</v>
      </c>
      <c r="L174" s="1145" t="s">
        <v>5528</v>
      </c>
      <c r="M174" s="1132"/>
      <c r="N174" s="1132"/>
      <c r="O174" s="1002" t="s">
        <v>5250</v>
      </c>
      <c r="P174" s="1132" t="s">
        <v>5375</v>
      </c>
      <c r="Q174" s="1315" t="str">
        <f>IFERROR(VLOOKUP(O174,CARGOS!A:E,2,0),"")</f>
        <v>79342</v>
      </c>
      <c r="R174" s="1327" t="s">
        <v>5250</v>
      </c>
      <c r="S174" s="1146" t="s">
        <v>5468</v>
      </c>
      <c r="T174" s="1107">
        <f>IFERROR(VLOOKUP(S174,'TAB EMP'!A:B,2,0),0)</f>
        <v>219</v>
      </c>
      <c r="U174" s="1108">
        <v>0</v>
      </c>
      <c r="V174" s="1107">
        <f t="shared" si="393"/>
        <v>219</v>
      </c>
      <c r="W174" s="1108">
        <f t="shared" si="394"/>
        <v>109.5</v>
      </c>
      <c r="X174" s="1135" t="s">
        <v>2844</v>
      </c>
      <c r="Y174" s="1135"/>
      <c r="Z174" s="1135">
        <v>1</v>
      </c>
      <c r="AA174" s="1107">
        <f>ROUND(IF(H174&lt;&gt;"",VLOOKUP(SUM(I174+J174),'CONCEPTOS Y PARAMETROS'!F:G,2,0)*V174,0),2)</f>
        <v>6.57</v>
      </c>
      <c r="AB174" s="1107">
        <f>IF(S174&lt;&gt;"",IF(M174="",'CONCEPTOS Y PARAMETROS'!$C$4,0),0)</f>
        <v>130</v>
      </c>
      <c r="AC174" s="1107">
        <f>IF(S174&lt;&gt;"",IF(M174="",'CONCEPTOS Y PARAMETROS'!$C$7*Z174,0),0)</f>
        <v>12.5</v>
      </c>
      <c r="AD174" s="1107">
        <f>IFERROR(ROUND(VLOOKUP($X174,'CONCEPTOS Y PARAMETROS'!H:I,2,0)*($V174+AA174+AB174+AC174),2),0)</f>
        <v>73.61</v>
      </c>
      <c r="AE174" s="1107">
        <f t="shared" si="369"/>
        <v>222.68</v>
      </c>
      <c r="AF174" s="1107">
        <f t="shared" si="395"/>
        <v>3.29</v>
      </c>
      <c r="AG174" s="1107">
        <f t="shared" si="396"/>
        <v>3.28</v>
      </c>
      <c r="AH174" s="1107">
        <f t="shared" si="397"/>
        <v>65</v>
      </c>
      <c r="AI174" s="1107">
        <f t="shared" si="398"/>
        <v>65</v>
      </c>
      <c r="AJ174" s="1107">
        <f t="shared" si="399"/>
        <v>36.81</v>
      </c>
      <c r="AK174" s="1107">
        <f t="shared" si="400"/>
        <v>36.799999999999997</v>
      </c>
      <c r="AL174" s="1108">
        <f t="shared" si="401"/>
        <v>117.6</v>
      </c>
      <c r="AM174" s="1108">
        <f t="shared" si="402"/>
        <v>105.08</v>
      </c>
      <c r="AN174" s="990">
        <v>0</v>
      </c>
      <c r="AO174" s="1147">
        <f>'CONCEPTOS Y PARAMETROS'!$C$18*AN174</f>
        <v>0</v>
      </c>
      <c r="AP174" s="990">
        <v>0</v>
      </c>
      <c r="AQ174" s="1147">
        <f>'CONCEPTOS Y PARAMETROS'!$C$21*AP174</f>
        <v>0</v>
      </c>
      <c r="AR174" s="1318">
        <v>0</v>
      </c>
      <c r="AS174" s="1318">
        <v>0</v>
      </c>
      <c r="AT174" s="1318">
        <f t="shared" si="370"/>
        <v>0</v>
      </c>
      <c r="AU174" s="1108">
        <f t="shared" si="372"/>
        <v>441.68</v>
      </c>
      <c r="AV174" s="1133">
        <v>0</v>
      </c>
      <c r="AW174" s="1108">
        <f t="shared" si="364"/>
        <v>0</v>
      </c>
      <c r="AX174" s="1107">
        <f>IF(T174&lt;&gt;"0",(ROUND(IF(A174="EMPLEADO",eval_formula('CONCEPTOS Y PARAMETROS'!$C$8,NOMINA!V174,NOMINA!$AU174,NOMINA!I174+NOMINA!J174),eval_formula('CONCEPTOS Y PARAMETROS'!$D$8,NOMINA!V174,NOMINA!$AU174,NOMINA!I174+NOMINA!J174)),2))*IF(H174&lt;&gt;"",IF(MONTH(H174)=$BR$8,IF(YEAR(H174)&lt;$BT$7,1,0),0)))</f>
        <v>0</v>
      </c>
      <c r="AY174" s="1108">
        <v>180</v>
      </c>
      <c r="AZ174" s="1107">
        <f>IFERROR(VLOOKUP(AY174,'CONCEPTOS Y PARAMETROS'!Y:Z,2,0),0)</f>
        <v>150</v>
      </c>
      <c r="BA174" s="1107">
        <f t="shared" si="403"/>
        <v>3312.6</v>
      </c>
      <c r="BB174" s="1107">
        <f t="shared" ref="BB174:BB205" si="405">ROUND(AU174/30*$BB$10,2)</f>
        <v>0</v>
      </c>
      <c r="BC174" s="990">
        <v>0</v>
      </c>
      <c r="BD174" s="1107" t="str">
        <f t="shared" si="373"/>
        <v>0</v>
      </c>
      <c r="BE174" s="990">
        <v>0</v>
      </c>
      <c r="BF174" s="1107">
        <f t="shared" si="357"/>
        <v>0</v>
      </c>
      <c r="BG174" s="1108">
        <v>320</v>
      </c>
      <c r="BH174" s="1108">
        <v>0</v>
      </c>
      <c r="BI174" s="1132">
        <v>0</v>
      </c>
      <c r="BJ174" s="1108">
        <v>12.5</v>
      </c>
      <c r="BK174" s="1108">
        <v>0</v>
      </c>
      <c r="BL174" s="1107">
        <f t="shared" si="324"/>
        <v>20.39</v>
      </c>
      <c r="BM174" s="1107">
        <f t="shared" si="325"/>
        <v>2.5499999999999998</v>
      </c>
      <c r="BN174" s="1107">
        <f t="shared" si="377"/>
        <v>4.42</v>
      </c>
      <c r="BO174" s="1107">
        <v>0</v>
      </c>
      <c r="BP174" s="1107">
        <v>0</v>
      </c>
      <c r="BQ174" s="1320">
        <f t="shared" si="366"/>
        <v>27.36</v>
      </c>
      <c r="BR174" s="1107">
        <f t="shared" si="326"/>
        <v>45.87</v>
      </c>
      <c r="BS174" s="1107">
        <f t="shared" si="327"/>
        <v>10.19</v>
      </c>
      <c r="BT174" s="1107">
        <f t="shared" si="378"/>
        <v>8.84</v>
      </c>
      <c r="BU174" s="1107">
        <v>0</v>
      </c>
      <c r="BV174" s="1108">
        <f t="shared" si="367"/>
        <v>64.900000000000006</v>
      </c>
      <c r="BW174" s="1112">
        <f t="shared" si="368"/>
        <v>92.26</v>
      </c>
      <c r="BX174" s="1112">
        <f t="shared" si="356"/>
        <v>828.15</v>
      </c>
      <c r="BY174" s="1108">
        <v>0</v>
      </c>
      <c r="BZ174" s="1108">
        <f t="shared" si="365"/>
        <v>828.15</v>
      </c>
      <c r="CA174" s="1321">
        <f>'CONCEPTOS Y PARAMETROS'!$A$102</f>
        <v>6255</v>
      </c>
      <c r="CB174" s="1112">
        <f t="shared" si="379"/>
        <v>199.74</v>
      </c>
      <c r="CC174" s="1113">
        <f t="shared" si="380"/>
        <v>547.08000000000004</v>
      </c>
      <c r="CD174" s="512"/>
      <c r="CE174" s="512"/>
      <c r="CF174" s="470">
        <f t="shared" si="381"/>
        <v>854.57999999999993</v>
      </c>
      <c r="CG174" s="509">
        <f t="shared" si="404"/>
        <v>199.74</v>
      </c>
      <c r="CH174" s="1603">
        <f t="shared" si="382"/>
        <v>12.5</v>
      </c>
      <c r="CI174" s="1491">
        <f t="shared" si="374"/>
        <v>320</v>
      </c>
      <c r="CJ174" s="1502">
        <v>1</v>
      </c>
      <c r="CK174" s="509">
        <f t="shared" si="383"/>
        <v>534.57999999999993</v>
      </c>
      <c r="CL174" s="1689">
        <f t="shared" si="384"/>
        <v>534.58000000000004</v>
      </c>
      <c r="CM174" s="1689">
        <f t="shared" si="375"/>
        <v>0</v>
      </c>
      <c r="CN174" s="510">
        <f t="shared" si="385"/>
        <v>0</v>
      </c>
      <c r="CO174" s="511">
        <v>0</v>
      </c>
      <c r="CP174" s="510">
        <f t="shared" si="386"/>
        <v>0</v>
      </c>
      <c r="CQ174" s="510">
        <f t="shared" si="387"/>
        <v>0</v>
      </c>
      <c r="CR174" s="510">
        <f t="shared" si="388"/>
        <v>1069.1599999999999</v>
      </c>
      <c r="CS174" s="510">
        <f t="shared" si="389"/>
        <v>92.26</v>
      </c>
      <c r="CT174" s="510">
        <f t="shared" si="390"/>
        <v>6255</v>
      </c>
      <c r="CU174" s="512"/>
      <c r="CV174" s="512"/>
      <c r="CW174" s="512"/>
      <c r="CX174" s="512"/>
      <c r="CY174" s="1149" t="s">
        <v>6940</v>
      </c>
      <c r="CZ174" s="1149" t="s">
        <v>6871</v>
      </c>
      <c r="DA174" s="1152"/>
      <c r="DB174" s="1642" t="s">
        <v>6268</v>
      </c>
      <c r="DC174" s="1642"/>
      <c r="DD174" s="1642" t="s">
        <v>6158</v>
      </c>
      <c r="DE174" s="1642" t="s">
        <v>6206</v>
      </c>
      <c r="DF174" s="1642" t="s">
        <v>6486</v>
      </c>
      <c r="DG174" s="1642"/>
      <c r="DH174" s="512"/>
      <c r="DI174" s="512"/>
      <c r="DJ174" s="512"/>
      <c r="DK174" s="512"/>
      <c r="DL174" s="512"/>
      <c r="DN174" s="476" t="str">
        <f>VLOOKUP(X174,Hoja1!$A$4:$B$10,2,0)</f>
        <v>TÉCNICO SUPERIOR UNIVERSITARIO</v>
      </c>
      <c r="DO174" s="476" t="str">
        <f>VLOOKUP(S174,Hoja1!$D$4:$F$77,3,0)</f>
        <v>TII - II</v>
      </c>
      <c r="DP174" s="1594" t="str">
        <f t="shared" si="391"/>
        <v>0</v>
      </c>
      <c r="DQ174" s="1484">
        <f>IF(T174&lt;&gt;"0",(ROUND(IF(A174="EMPLEADO",eval_formula('CONCEPTOS Y PARAMETROS'!$C$8,NOMINA!V174,AU174+BF174,NOMINA!I174+NOMINA!J174),eval_formula('CONCEPTOS Y PARAMETROS'!$D$8,NOMINA!V174,AU174+BF174,NOMINA!I174+NOMINA!J174)),2))*IF(H174&lt;&gt;"",IF(MONTH(H174)=$BR$8,IF(YEAR(H174)&lt;$BT$7,1,0),0)))</f>
        <v>0</v>
      </c>
      <c r="DR174" s="1799" t="str">
        <f t="shared" si="392"/>
        <v>F</v>
      </c>
      <c r="DS174" s="1799"/>
    </row>
    <row r="175" spans="1:123" s="471" customFormat="1" ht="21.95" customHeight="1" x14ac:dyDescent="0.25">
      <c r="A175" s="508" t="s">
        <v>2846</v>
      </c>
      <c r="B175" s="1314">
        <f t="shared" ca="1" si="347"/>
        <v>132</v>
      </c>
      <c r="C175" s="1148">
        <v>16376534</v>
      </c>
      <c r="D175" s="1149" t="s">
        <v>4820</v>
      </c>
      <c r="E175" s="1135" t="s">
        <v>4622</v>
      </c>
      <c r="F175" s="1150">
        <v>30354</v>
      </c>
      <c r="G175" s="1135" t="s">
        <v>4620</v>
      </c>
      <c r="H175" s="1150">
        <v>43754</v>
      </c>
      <c r="I175" s="1140">
        <f t="shared" si="376"/>
        <v>5</v>
      </c>
      <c r="J175" s="1132">
        <v>0</v>
      </c>
      <c r="K175" s="1140">
        <f t="shared" si="371"/>
        <v>5</v>
      </c>
      <c r="L175" s="1145" t="s">
        <v>5535</v>
      </c>
      <c r="M175" s="1132"/>
      <c r="N175" s="1132"/>
      <c r="O175" s="1002" t="s">
        <v>5217</v>
      </c>
      <c r="P175" s="1132" t="s">
        <v>5376</v>
      </c>
      <c r="Q175" s="1315" t="str">
        <f>IFERROR(VLOOKUP(O175,CARGOS!A:E,2,0),"")</f>
        <v>79512</v>
      </c>
      <c r="R175" s="1327" t="s">
        <v>5217</v>
      </c>
      <c r="S175" s="1146" t="s">
        <v>5467</v>
      </c>
      <c r="T175" s="1107">
        <f>IFERROR(VLOOKUP(S175,'TAB EMP'!A:B,2,0),0)</f>
        <v>277</v>
      </c>
      <c r="U175" s="1108">
        <v>0</v>
      </c>
      <c r="V175" s="1107">
        <f t="shared" si="393"/>
        <v>277</v>
      </c>
      <c r="W175" s="1108">
        <f t="shared" si="394"/>
        <v>138.5</v>
      </c>
      <c r="X175" s="1135" t="s">
        <v>2885</v>
      </c>
      <c r="Y175" s="1135"/>
      <c r="Z175" s="1135">
        <v>1</v>
      </c>
      <c r="AA175" s="1107">
        <f>ROUND(IF(H175&lt;&gt;"",VLOOKUP(SUM(I175+J175),'CONCEPTOS Y PARAMETROS'!F:G,2,0)*V175,0),2)</f>
        <v>13.85</v>
      </c>
      <c r="AB175" s="1107">
        <f>IF(S175&lt;&gt;"",IF(M175="",'CONCEPTOS Y PARAMETROS'!$C$4,0),0)</f>
        <v>130</v>
      </c>
      <c r="AC175" s="1107">
        <f>IF(S175&lt;&gt;"",IF(M175="",'CONCEPTOS Y PARAMETROS'!$C$7*Z175,0),0)</f>
        <v>12.5</v>
      </c>
      <c r="AD175" s="1107">
        <f>IFERROR(ROUND(VLOOKUP($X175,'CONCEPTOS Y PARAMETROS'!H:I,2,0)*($V175+AA175+AB175+AC175),2),0)</f>
        <v>108.34</v>
      </c>
      <c r="AE175" s="1107">
        <f t="shared" si="369"/>
        <v>264.69</v>
      </c>
      <c r="AF175" s="1107">
        <f t="shared" si="395"/>
        <v>6.93</v>
      </c>
      <c r="AG175" s="1107">
        <f t="shared" si="396"/>
        <v>6.92</v>
      </c>
      <c r="AH175" s="1107">
        <f t="shared" si="397"/>
        <v>65</v>
      </c>
      <c r="AI175" s="1107">
        <f t="shared" si="398"/>
        <v>65</v>
      </c>
      <c r="AJ175" s="1107">
        <f t="shared" si="399"/>
        <v>54.17</v>
      </c>
      <c r="AK175" s="1107">
        <f t="shared" si="400"/>
        <v>54.17</v>
      </c>
      <c r="AL175" s="1108">
        <f t="shared" si="401"/>
        <v>138.6</v>
      </c>
      <c r="AM175" s="1108">
        <f t="shared" si="402"/>
        <v>126.09</v>
      </c>
      <c r="AN175" s="990">
        <v>0</v>
      </c>
      <c r="AO175" s="1147">
        <f>'CONCEPTOS Y PARAMETROS'!$C$18*AN175</f>
        <v>0</v>
      </c>
      <c r="AP175" s="990">
        <v>0</v>
      </c>
      <c r="AQ175" s="1147">
        <f>'CONCEPTOS Y PARAMETROS'!$C$21*AP175</f>
        <v>0</v>
      </c>
      <c r="AR175" s="1318">
        <v>0</v>
      </c>
      <c r="AS175" s="1318">
        <v>0</v>
      </c>
      <c r="AT175" s="1318">
        <f t="shared" si="370"/>
        <v>0</v>
      </c>
      <c r="AU175" s="1108">
        <f t="shared" si="372"/>
        <v>704.2</v>
      </c>
      <c r="AV175" s="1133" t="s">
        <v>5080</v>
      </c>
      <c r="AW175" s="1108">
        <f t="shared" si="364"/>
        <v>162.51</v>
      </c>
      <c r="AX175" s="1107">
        <f>IF(T175&lt;&gt;"0",(ROUND(IF(A175="EMPLEADO",eval_formula('CONCEPTOS Y PARAMETROS'!$C$8,NOMINA!V175,NOMINA!$AU175,NOMINA!I175+NOMINA!J175),eval_formula('CONCEPTOS Y PARAMETROS'!$D$8,NOMINA!V175,NOMINA!$AU175,NOMINA!I175+NOMINA!J175)),2))*IF(H175&lt;&gt;"",IF(MONTH(H175)=$BR$8,IF(YEAR(H175)&lt;$BT$7,1,0),0)))</f>
        <v>0</v>
      </c>
      <c r="AY175" s="1108">
        <v>180</v>
      </c>
      <c r="AZ175" s="1107">
        <f>IFERROR(VLOOKUP(AY175,'CONCEPTOS Y PARAMETROS'!Y:Z,2,0),0)</f>
        <v>150</v>
      </c>
      <c r="BA175" s="1107">
        <f t="shared" si="403"/>
        <v>5281.5</v>
      </c>
      <c r="BB175" s="1107">
        <f t="shared" si="405"/>
        <v>0</v>
      </c>
      <c r="BC175" s="990">
        <v>0</v>
      </c>
      <c r="BD175" s="1107" t="str">
        <f t="shared" si="373"/>
        <v>0</v>
      </c>
      <c r="BE175" s="990">
        <v>3</v>
      </c>
      <c r="BF175" s="1107">
        <f t="shared" si="357"/>
        <v>105.63</v>
      </c>
      <c r="BG175" s="1108">
        <v>320</v>
      </c>
      <c r="BH175" s="1108">
        <v>0</v>
      </c>
      <c r="BI175" s="1132">
        <v>0</v>
      </c>
      <c r="BJ175" s="1108">
        <v>12.5</v>
      </c>
      <c r="BK175" s="1108">
        <v>0</v>
      </c>
      <c r="BL175" s="1107">
        <f t="shared" si="324"/>
        <v>32.5</v>
      </c>
      <c r="BM175" s="1107">
        <f t="shared" si="325"/>
        <v>4.0599999999999996</v>
      </c>
      <c r="BN175" s="1107">
        <f t="shared" si="377"/>
        <v>7.04</v>
      </c>
      <c r="BO175" s="1107">
        <v>0</v>
      </c>
      <c r="BP175" s="1107">
        <v>0</v>
      </c>
      <c r="BQ175" s="1320">
        <f t="shared" si="366"/>
        <v>43.6</v>
      </c>
      <c r="BR175" s="1107">
        <f t="shared" si="326"/>
        <v>73.13</v>
      </c>
      <c r="BS175" s="1107">
        <f t="shared" si="327"/>
        <v>16.25</v>
      </c>
      <c r="BT175" s="1107">
        <f t="shared" si="378"/>
        <v>14.08</v>
      </c>
      <c r="BU175" s="1107">
        <v>0</v>
      </c>
      <c r="BV175" s="1108">
        <f t="shared" si="367"/>
        <v>103.46</v>
      </c>
      <c r="BW175" s="1112">
        <f t="shared" si="368"/>
        <v>147.06</v>
      </c>
      <c r="BX175" s="1112">
        <f t="shared" si="356"/>
        <v>1320.38</v>
      </c>
      <c r="BY175" s="1108">
        <v>0</v>
      </c>
      <c r="BZ175" s="1108">
        <f t="shared" si="365"/>
        <v>1320.38</v>
      </c>
      <c r="CA175" s="1321">
        <f>'CONCEPTOS Y PARAMETROS'!$A$102</f>
        <v>6255</v>
      </c>
      <c r="CB175" s="1112">
        <f t="shared" si="379"/>
        <v>233.50000000000003</v>
      </c>
      <c r="CC175" s="1113">
        <f t="shared" si="380"/>
        <v>865.23</v>
      </c>
      <c r="CD175" s="512"/>
      <c r="CE175" s="512"/>
      <c r="CF175" s="470">
        <f t="shared" si="381"/>
        <v>904.59</v>
      </c>
      <c r="CG175" s="495">
        <f t="shared" si="404"/>
        <v>233.50000000000003</v>
      </c>
      <c r="CH175" s="498">
        <f t="shared" si="382"/>
        <v>12.5</v>
      </c>
      <c r="CI175" s="1490">
        <f t="shared" si="374"/>
        <v>320</v>
      </c>
      <c r="CJ175" s="1500">
        <v>1</v>
      </c>
      <c r="CK175" s="495">
        <f t="shared" si="383"/>
        <v>584.59</v>
      </c>
      <c r="CL175" s="1689">
        <f t="shared" si="384"/>
        <v>584.59</v>
      </c>
      <c r="CM175" s="1689">
        <f t="shared" si="375"/>
        <v>0</v>
      </c>
      <c r="CN175" s="496">
        <f t="shared" si="385"/>
        <v>105.63</v>
      </c>
      <c r="CO175" s="497">
        <v>0</v>
      </c>
      <c r="CP175" s="496">
        <f t="shared" si="386"/>
        <v>162.51</v>
      </c>
      <c r="CQ175" s="496">
        <f t="shared" si="387"/>
        <v>0</v>
      </c>
      <c r="CR175" s="496">
        <f t="shared" si="388"/>
        <v>1437.32</v>
      </c>
      <c r="CS175" s="496">
        <f t="shared" si="389"/>
        <v>147.06</v>
      </c>
      <c r="CT175" s="496">
        <f t="shared" si="390"/>
        <v>6255</v>
      </c>
      <c r="CU175" s="470"/>
      <c r="CV175" s="470"/>
      <c r="CW175" s="470"/>
      <c r="CX175" s="470"/>
      <c r="CY175" s="1149" t="s">
        <v>6888</v>
      </c>
      <c r="CZ175" s="1149" t="s">
        <v>6895</v>
      </c>
      <c r="DA175" s="1152"/>
      <c r="DB175" s="1642" t="s">
        <v>6232</v>
      </c>
      <c r="DC175" s="1642"/>
      <c r="DD175" s="1642" t="s">
        <v>6158</v>
      </c>
      <c r="DE175" s="1642" t="s">
        <v>6233</v>
      </c>
      <c r="DF175" s="1642" t="s">
        <v>6203</v>
      </c>
      <c r="DG175" s="1642"/>
      <c r="DH175" s="512"/>
      <c r="DI175" s="512"/>
      <c r="DJ175" s="470"/>
      <c r="DK175" s="470"/>
      <c r="DL175" s="470"/>
      <c r="DN175" s="471" t="str">
        <f>VLOOKUP(X175,Hoja1!$A$4:$B$10,2,0)</f>
        <v>PROFESIONAL</v>
      </c>
      <c r="DO175" s="471" t="str">
        <f>VLOOKUP(S175,Hoja1!$D$4:$F$77,3,0)</f>
        <v>PII - II</v>
      </c>
      <c r="DP175" s="1156" t="str">
        <f t="shared" si="391"/>
        <v>SI</v>
      </c>
      <c r="DQ175" s="1484">
        <f>IF(T175&lt;&gt;"0",(ROUND(IF(A175="EMPLEADO",eval_formula('CONCEPTOS Y PARAMETROS'!$C$8,NOMINA!V175,AU175+BF175,NOMINA!I175+NOMINA!J175),eval_formula('CONCEPTOS Y PARAMETROS'!$D$8,NOMINA!V175,AU175+BF175,NOMINA!I175+NOMINA!J175)),2))*IF(H175&lt;&gt;"",IF(MONTH(H175)=$BR$8,IF(YEAR(H175)&lt;$BT$7,1,0),0)))</f>
        <v>0</v>
      </c>
      <c r="DR175" s="1801" t="str">
        <f t="shared" si="392"/>
        <v>F</v>
      </c>
      <c r="DS175" s="1801"/>
    </row>
    <row r="176" spans="1:123" s="471" customFormat="1" ht="21.95" customHeight="1" x14ac:dyDescent="0.25">
      <c r="A176" s="508" t="s">
        <v>2846</v>
      </c>
      <c r="B176" s="1314">
        <f t="shared" ca="1" si="347"/>
        <v>133</v>
      </c>
      <c r="C176" s="1148">
        <v>16376698</v>
      </c>
      <c r="D176" s="1149" t="s">
        <v>4821</v>
      </c>
      <c r="E176" s="1135" t="s">
        <v>4622</v>
      </c>
      <c r="F176" s="1150">
        <v>29766</v>
      </c>
      <c r="G176" s="1135" t="s">
        <v>4621</v>
      </c>
      <c r="H176" s="1150">
        <v>40909</v>
      </c>
      <c r="I176" s="1140">
        <f t="shared" si="376"/>
        <v>13</v>
      </c>
      <c r="J176" s="1132">
        <v>0</v>
      </c>
      <c r="K176" s="1140">
        <f t="shared" si="371"/>
        <v>13</v>
      </c>
      <c r="L176" s="1145" t="s">
        <v>5544</v>
      </c>
      <c r="M176" s="1132"/>
      <c r="N176" s="1132"/>
      <c r="O176" s="1002" t="s">
        <v>5229</v>
      </c>
      <c r="P176" s="1132" t="s">
        <v>5377</v>
      </c>
      <c r="Q176" s="1315">
        <v>22414</v>
      </c>
      <c r="R176" s="1327" t="s">
        <v>5229</v>
      </c>
      <c r="S176" s="1146" t="s">
        <v>5464</v>
      </c>
      <c r="T176" s="1107">
        <f>IFERROR(VLOOKUP(S176,'TAB EMP'!A:B,2,0),0)</f>
        <v>174</v>
      </c>
      <c r="U176" s="1108">
        <v>0</v>
      </c>
      <c r="V176" s="1107">
        <f t="shared" si="393"/>
        <v>174</v>
      </c>
      <c r="W176" s="1108">
        <f t="shared" si="394"/>
        <v>87</v>
      </c>
      <c r="X176" s="1135" t="s">
        <v>2884</v>
      </c>
      <c r="Y176" s="1135"/>
      <c r="Z176" s="1135">
        <v>2</v>
      </c>
      <c r="AA176" s="1107">
        <f>ROUND(IF(H176&lt;&gt;"",VLOOKUP(SUM(I176+J176),'CONCEPTOS Y PARAMETROS'!F:G,2,0)*V176,0),2)</f>
        <v>26.45</v>
      </c>
      <c r="AB176" s="1107">
        <f>IF(S176&lt;&gt;"",IF(M176="",'CONCEPTOS Y PARAMETROS'!$C$4,0),0)</f>
        <v>130</v>
      </c>
      <c r="AC176" s="1107">
        <f>IF(S176&lt;&gt;"",IF(M176="",'CONCEPTOS Y PARAMETROS'!$C$7*Z176,0),0)</f>
        <v>25</v>
      </c>
      <c r="AD176" s="1107">
        <f>IFERROR(ROUND(VLOOKUP($X176,'CONCEPTOS Y PARAMETROS'!H:I,2,0)*($V176+AA176+AB176+AC176),2),0)</f>
        <v>0</v>
      </c>
      <c r="AE176" s="1107">
        <f t="shared" si="369"/>
        <v>181.45</v>
      </c>
      <c r="AF176" s="1107">
        <f t="shared" si="395"/>
        <v>13.23</v>
      </c>
      <c r="AG176" s="1107">
        <f t="shared" si="396"/>
        <v>13.22</v>
      </c>
      <c r="AH176" s="1107">
        <f t="shared" si="397"/>
        <v>65</v>
      </c>
      <c r="AI176" s="1107">
        <f t="shared" si="398"/>
        <v>65</v>
      </c>
      <c r="AJ176" s="1107">
        <f t="shared" si="399"/>
        <v>0</v>
      </c>
      <c r="AK176" s="1107">
        <f t="shared" si="400"/>
        <v>0</v>
      </c>
      <c r="AL176" s="1108">
        <f t="shared" si="401"/>
        <v>103.23</v>
      </c>
      <c r="AM176" s="1108">
        <f t="shared" si="402"/>
        <v>78.22</v>
      </c>
      <c r="AN176" s="990">
        <v>0</v>
      </c>
      <c r="AO176" s="1147">
        <f>'CONCEPTOS Y PARAMETROS'!$C$18*AN176</f>
        <v>0</v>
      </c>
      <c r="AP176" s="990">
        <v>0</v>
      </c>
      <c r="AQ176" s="1147">
        <f>'CONCEPTOS Y PARAMETROS'!$C$21*AP176</f>
        <v>0</v>
      </c>
      <c r="AR176" s="1318">
        <v>0</v>
      </c>
      <c r="AS176" s="1318">
        <v>0</v>
      </c>
      <c r="AT176" s="1318">
        <f t="shared" si="370"/>
        <v>0</v>
      </c>
      <c r="AU176" s="1108">
        <f t="shared" si="372"/>
        <v>355.45</v>
      </c>
      <c r="AV176" s="1133">
        <v>0</v>
      </c>
      <c r="AW176" s="1108">
        <f t="shared" si="364"/>
        <v>0</v>
      </c>
      <c r="AX176" s="1107">
        <f>IF(T176&lt;&gt;"0",(ROUND(IF(A176="EMPLEADO",eval_formula('CONCEPTOS Y PARAMETROS'!$C$8,NOMINA!V176,NOMINA!$AU176,NOMINA!I176+NOMINA!J176),eval_formula('CONCEPTOS Y PARAMETROS'!$D$8,NOMINA!V176,NOMINA!$AU176,NOMINA!I176+NOMINA!J176)),2))*IF(H176&lt;&gt;"",IF(MONTH(H176)=$BR$8,IF(YEAR(H176)&lt;$BT$7,1,0),0)))</f>
        <v>0</v>
      </c>
      <c r="AY176" s="1108">
        <v>180</v>
      </c>
      <c r="AZ176" s="1107">
        <f>IFERROR(VLOOKUP(AY176,'CONCEPTOS Y PARAMETROS'!Y:Z,2,0),0)</f>
        <v>150</v>
      </c>
      <c r="BA176" s="1107">
        <f t="shared" si="403"/>
        <v>2665.88</v>
      </c>
      <c r="BB176" s="1107">
        <f t="shared" si="405"/>
        <v>0</v>
      </c>
      <c r="BC176" s="990">
        <v>0</v>
      </c>
      <c r="BD176" s="1107" t="str">
        <f t="shared" si="373"/>
        <v>0</v>
      </c>
      <c r="BE176" s="990">
        <v>0</v>
      </c>
      <c r="BF176" s="1107">
        <f t="shared" si="357"/>
        <v>0</v>
      </c>
      <c r="BG176" s="1108">
        <v>320</v>
      </c>
      <c r="BH176" s="1108">
        <v>0</v>
      </c>
      <c r="BI176" s="1132">
        <v>0</v>
      </c>
      <c r="BJ176" s="1108">
        <v>12.5</v>
      </c>
      <c r="BK176" s="1108">
        <v>0</v>
      </c>
      <c r="BL176" s="1107">
        <f t="shared" si="324"/>
        <v>16.41</v>
      </c>
      <c r="BM176" s="1107">
        <f t="shared" si="325"/>
        <v>2.0499999999999998</v>
      </c>
      <c r="BN176" s="1107">
        <f t="shared" si="377"/>
        <v>3.55</v>
      </c>
      <c r="BO176" s="1107">
        <v>0</v>
      </c>
      <c r="BP176" s="1107">
        <v>0</v>
      </c>
      <c r="BQ176" s="1320">
        <f t="shared" si="366"/>
        <v>22.01</v>
      </c>
      <c r="BR176" s="1107">
        <f t="shared" si="326"/>
        <v>36.909999999999997</v>
      </c>
      <c r="BS176" s="1107">
        <f t="shared" si="327"/>
        <v>8.1999999999999993</v>
      </c>
      <c r="BT176" s="1107">
        <f t="shared" si="378"/>
        <v>7.1</v>
      </c>
      <c r="BU176" s="1107">
        <v>0</v>
      </c>
      <c r="BV176" s="1108">
        <f t="shared" si="367"/>
        <v>52.21</v>
      </c>
      <c r="BW176" s="1112">
        <f t="shared" si="368"/>
        <v>74.22</v>
      </c>
      <c r="BX176" s="1112">
        <f t="shared" si="356"/>
        <v>666.47</v>
      </c>
      <c r="BY176" s="1108">
        <v>0</v>
      </c>
      <c r="BZ176" s="1108">
        <f t="shared" si="365"/>
        <v>666.47</v>
      </c>
      <c r="CA176" s="1321">
        <f>'CONCEPTOS Y PARAMETROS'!$A$102</f>
        <v>6255</v>
      </c>
      <c r="CB176" s="1112">
        <f t="shared" si="379"/>
        <v>168.22000000000003</v>
      </c>
      <c r="CC176" s="1113">
        <f t="shared" si="380"/>
        <v>497.72</v>
      </c>
      <c r="CD176" s="512"/>
      <c r="CE176" s="512"/>
      <c r="CF176" s="470">
        <f t="shared" si="381"/>
        <v>805.22</v>
      </c>
      <c r="CG176" s="495">
        <f t="shared" si="404"/>
        <v>168.22000000000003</v>
      </c>
      <c r="CH176" s="498">
        <f t="shared" si="382"/>
        <v>12.5</v>
      </c>
      <c r="CI176" s="1490">
        <f t="shared" si="374"/>
        <v>320</v>
      </c>
      <c r="CJ176" s="1500">
        <v>1</v>
      </c>
      <c r="CK176" s="495">
        <f t="shared" si="383"/>
        <v>485.22</v>
      </c>
      <c r="CL176" s="1689">
        <f t="shared" si="384"/>
        <v>485.22</v>
      </c>
      <c r="CM176" s="1689">
        <f t="shared" si="375"/>
        <v>0</v>
      </c>
      <c r="CN176" s="496">
        <f t="shared" si="385"/>
        <v>0</v>
      </c>
      <c r="CO176" s="497">
        <v>0</v>
      </c>
      <c r="CP176" s="496">
        <f t="shared" si="386"/>
        <v>0</v>
      </c>
      <c r="CQ176" s="496">
        <f t="shared" si="387"/>
        <v>0</v>
      </c>
      <c r="CR176" s="496">
        <f t="shared" si="388"/>
        <v>970.44</v>
      </c>
      <c r="CS176" s="496">
        <f t="shared" si="389"/>
        <v>74.22</v>
      </c>
      <c r="CT176" s="496">
        <f t="shared" si="390"/>
        <v>6255</v>
      </c>
      <c r="CU176" s="470"/>
      <c r="CV176" s="470"/>
      <c r="CW176" s="470"/>
      <c r="CX176" s="470"/>
      <c r="CY176" s="1149" t="s">
        <v>6887</v>
      </c>
      <c r="CZ176" s="1149" t="s">
        <v>6813</v>
      </c>
      <c r="DA176" s="1152"/>
      <c r="DB176" s="1642" t="s">
        <v>6410</v>
      </c>
      <c r="DC176" s="1642"/>
      <c r="DD176" s="1642" t="s">
        <v>6135</v>
      </c>
      <c r="DE176" s="1642" t="s">
        <v>6162</v>
      </c>
      <c r="DF176" s="1642" t="s">
        <v>6228</v>
      </c>
      <c r="DG176" s="1152"/>
      <c r="DH176" s="512"/>
      <c r="DI176" s="512"/>
      <c r="DJ176" s="470"/>
      <c r="DK176" s="470"/>
      <c r="DL176" s="470"/>
      <c r="DN176" s="471" t="str">
        <f>VLOOKUP(X176,Hoja1!$A$4:$B$10,2,0)</f>
        <v>BACHILLER</v>
      </c>
      <c r="DO176" s="471" t="str">
        <f>VLOOKUP(S176,Hoja1!$D$4:$F$77,3,0)</f>
        <v>BIII - V</v>
      </c>
      <c r="DP176" s="1156" t="str">
        <f t="shared" si="391"/>
        <v>0</v>
      </c>
      <c r="DQ176" s="1484">
        <f>IF(T176&lt;&gt;"0",(ROUND(IF(A176="EMPLEADO",eval_formula('CONCEPTOS Y PARAMETROS'!$C$8,NOMINA!V176,AU176+BF176,NOMINA!I176+NOMINA!J176),eval_formula('CONCEPTOS Y PARAMETROS'!$D$8,NOMINA!V176,AU176+BF176,NOMINA!I176+NOMINA!J176)),2))*IF(H176&lt;&gt;"",IF(MONTH(H176)=$BR$8,IF(YEAR(H176)&lt;$BT$7,1,0),0)))</f>
        <v>0</v>
      </c>
      <c r="DR176" s="1801" t="str">
        <f t="shared" si="392"/>
        <v>M</v>
      </c>
      <c r="DS176" s="1801"/>
    </row>
    <row r="177" spans="1:123" s="471" customFormat="1" ht="21.95" customHeight="1" x14ac:dyDescent="0.2">
      <c r="A177" s="508" t="s">
        <v>2846</v>
      </c>
      <c r="B177" s="1314">
        <f t="shared" ca="1" si="347"/>
        <v>134</v>
      </c>
      <c r="C177" s="1148">
        <v>16377159</v>
      </c>
      <c r="D177" s="1149" t="s">
        <v>4822</v>
      </c>
      <c r="E177" s="1135" t="s">
        <v>4622</v>
      </c>
      <c r="F177" s="1150">
        <v>30763</v>
      </c>
      <c r="G177" s="1135" t="s">
        <v>4620</v>
      </c>
      <c r="H177" s="1150">
        <v>44743</v>
      </c>
      <c r="I177" s="1140">
        <f t="shared" si="376"/>
        <v>3</v>
      </c>
      <c r="J177" s="1132">
        <v>0</v>
      </c>
      <c r="K177" s="1140">
        <f t="shared" si="371"/>
        <v>3</v>
      </c>
      <c r="L177" s="1145" t="s">
        <v>5525</v>
      </c>
      <c r="M177" s="1132"/>
      <c r="N177" s="1132"/>
      <c r="O177" s="1002" t="s">
        <v>5218</v>
      </c>
      <c r="P177" s="1132" t="s">
        <v>5378</v>
      </c>
      <c r="Q177" s="1315" t="str">
        <f>IFERROR(VLOOKUP(O177,CARGOS!A:E,2,0),"")</f>
        <v>79511</v>
      </c>
      <c r="R177" s="1327" t="s">
        <v>5218</v>
      </c>
      <c r="S177" s="1146" t="s">
        <v>5468</v>
      </c>
      <c r="T177" s="1107">
        <f>IFERROR(VLOOKUP(S177,'TAB EMP'!A:B,2,0),0)</f>
        <v>219</v>
      </c>
      <c r="U177" s="1108">
        <v>0</v>
      </c>
      <c r="V177" s="1107">
        <f t="shared" si="393"/>
        <v>219</v>
      </c>
      <c r="W177" s="1108">
        <f t="shared" si="394"/>
        <v>109.5</v>
      </c>
      <c r="X177" s="1135" t="s">
        <v>2844</v>
      </c>
      <c r="Y177" s="1135"/>
      <c r="Z177" s="1135">
        <v>2</v>
      </c>
      <c r="AA177" s="1107">
        <f>ROUND(IF(H177&lt;&gt;"",VLOOKUP(SUM(I177+J177),'CONCEPTOS Y PARAMETROS'!F:G,2,0)*V177,0),2)</f>
        <v>6.57</v>
      </c>
      <c r="AB177" s="1107">
        <f>IF(S177&lt;&gt;"",IF(M177="",'CONCEPTOS Y PARAMETROS'!$C$4,0),0)</f>
        <v>130</v>
      </c>
      <c r="AC177" s="1107">
        <f>IF(S177&lt;&gt;"",IF(M177="",'CONCEPTOS Y PARAMETROS'!$C$7*Z177,0),0)</f>
        <v>25</v>
      </c>
      <c r="AD177" s="1107">
        <f>IFERROR(ROUND(VLOOKUP($X177,'CONCEPTOS Y PARAMETROS'!H:I,2,0)*($V177+AA177+AB177+AC177),2),0)</f>
        <v>76.11</v>
      </c>
      <c r="AE177" s="1107">
        <f t="shared" si="369"/>
        <v>237.68</v>
      </c>
      <c r="AF177" s="1107">
        <f t="shared" si="395"/>
        <v>3.29</v>
      </c>
      <c r="AG177" s="1107">
        <f t="shared" si="396"/>
        <v>3.28</v>
      </c>
      <c r="AH177" s="1107">
        <f t="shared" si="397"/>
        <v>65</v>
      </c>
      <c r="AI177" s="1107">
        <f t="shared" si="398"/>
        <v>65</v>
      </c>
      <c r="AJ177" s="1107">
        <f t="shared" si="399"/>
        <v>38.06</v>
      </c>
      <c r="AK177" s="1107">
        <f t="shared" si="400"/>
        <v>38.049999999999997</v>
      </c>
      <c r="AL177" s="1108">
        <f t="shared" si="401"/>
        <v>131.35</v>
      </c>
      <c r="AM177" s="1108">
        <f t="shared" si="402"/>
        <v>106.33</v>
      </c>
      <c r="AN177" s="990">
        <v>0</v>
      </c>
      <c r="AO177" s="1147">
        <f>'CONCEPTOS Y PARAMETROS'!$C$18*AN177</f>
        <v>0</v>
      </c>
      <c r="AP177" s="990">
        <v>0</v>
      </c>
      <c r="AQ177" s="1147">
        <f>'CONCEPTOS Y PARAMETROS'!$C$21*AP177</f>
        <v>0</v>
      </c>
      <c r="AR177" s="1318">
        <v>0</v>
      </c>
      <c r="AS177" s="1318">
        <v>0</v>
      </c>
      <c r="AT177" s="1318">
        <f t="shared" si="370"/>
        <v>0</v>
      </c>
      <c r="AU177" s="1108">
        <f t="shared" si="372"/>
        <v>593.68000000000006</v>
      </c>
      <c r="AV177" s="1133" t="s">
        <v>5080</v>
      </c>
      <c r="AW177" s="1108">
        <f t="shared" si="364"/>
        <v>137</v>
      </c>
      <c r="AX177" s="1107">
        <f>IF(T177&lt;&gt;"0",(ROUND(IF(A177="EMPLEADO",eval_formula('CONCEPTOS Y PARAMETROS'!$C$8,NOMINA!V177,NOMINA!$AU177,NOMINA!I177+NOMINA!J177),eval_formula('CONCEPTOS Y PARAMETROS'!$D$8,NOMINA!V177,NOMINA!$AU177,NOMINA!I177+NOMINA!J177)),2))*IF(H177&lt;&gt;"",IF(MONTH(H177)=$BR$8,IF(YEAR(H177)&lt;$BT$7,1,0),0)))</f>
        <v>0</v>
      </c>
      <c r="AY177" s="1108">
        <v>180</v>
      </c>
      <c r="AZ177" s="1107">
        <f>IFERROR(VLOOKUP(AY177,'CONCEPTOS Y PARAMETROS'!Y:Z,2,0),0)</f>
        <v>150</v>
      </c>
      <c r="BA177" s="1107">
        <f t="shared" si="403"/>
        <v>4452.6000000000004</v>
      </c>
      <c r="BB177" s="1107">
        <f t="shared" si="405"/>
        <v>0</v>
      </c>
      <c r="BC177" s="990">
        <v>0</v>
      </c>
      <c r="BD177" s="1107" t="str">
        <f t="shared" si="373"/>
        <v>0</v>
      </c>
      <c r="BE177" s="990">
        <v>3</v>
      </c>
      <c r="BF177" s="1107">
        <f t="shared" si="357"/>
        <v>89.05</v>
      </c>
      <c r="BG177" s="1108">
        <v>320</v>
      </c>
      <c r="BH177" s="1108">
        <v>0</v>
      </c>
      <c r="BI177" s="1132">
        <v>0</v>
      </c>
      <c r="BJ177" s="1108">
        <v>12.5</v>
      </c>
      <c r="BK177" s="1108">
        <v>0</v>
      </c>
      <c r="BL177" s="1107">
        <f t="shared" si="324"/>
        <v>27.4</v>
      </c>
      <c r="BM177" s="1107">
        <f t="shared" si="325"/>
        <v>3.43</v>
      </c>
      <c r="BN177" s="1107">
        <f t="shared" si="377"/>
        <v>5.94</v>
      </c>
      <c r="BO177" s="1107">
        <v>0</v>
      </c>
      <c r="BP177" s="1107">
        <v>0</v>
      </c>
      <c r="BQ177" s="1320">
        <f t="shared" si="366"/>
        <v>36.770000000000003</v>
      </c>
      <c r="BR177" s="1107">
        <f t="shared" si="326"/>
        <v>61.65</v>
      </c>
      <c r="BS177" s="1107">
        <f t="shared" si="327"/>
        <v>13.7</v>
      </c>
      <c r="BT177" s="1107">
        <f t="shared" si="378"/>
        <v>11.88</v>
      </c>
      <c r="BU177" s="1107">
        <v>0</v>
      </c>
      <c r="BV177" s="1108">
        <f t="shared" si="367"/>
        <v>87.23</v>
      </c>
      <c r="BW177" s="1112">
        <f t="shared" si="368"/>
        <v>124</v>
      </c>
      <c r="BX177" s="1112">
        <f t="shared" si="356"/>
        <v>1113.1500000000001</v>
      </c>
      <c r="BY177" s="1108">
        <v>0</v>
      </c>
      <c r="BZ177" s="1108">
        <f t="shared" si="365"/>
        <v>1113.1500000000001</v>
      </c>
      <c r="CA177" s="1321">
        <f>'CONCEPTOS Y PARAMETROS'!$A$102</f>
        <v>6255</v>
      </c>
      <c r="CB177" s="1112">
        <f t="shared" si="379"/>
        <v>204.07999999999998</v>
      </c>
      <c r="CC177" s="1113">
        <f t="shared" si="380"/>
        <v>774.38</v>
      </c>
      <c r="CD177" s="512"/>
      <c r="CE177" s="512"/>
      <c r="CF177" s="470">
        <f t="shared" si="381"/>
        <v>855.82999999999993</v>
      </c>
      <c r="CG177" s="495">
        <f t="shared" si="404"/>
        <v>204.07999999999998</v>
      </c>
      <c r="CH177" s="498">
        <f t="shared" si="382"/>
        <v>12.5</v>
      </c>
      <c r="CI177" s="1490">
        <f t="shared" si="374"/>
        <v>320</v>
      </c>
      <c r="CJ177" s="1500">
        <v>1</v>
      </c>
      <c r="CK177" s="495">
        <f t="shared" si="383"/>
        <v>535.82999999999993</v>
      </c>
      <c r="CL177" s="1689">
        <f t="shared" si="384"/>
        <v>535.83000000000004</v>
      </c>
      <c r="CM177" s="1689">
        <f t="shared" si="375"/>
        <v>0</v>
      </c>
      <c r="CN177" s="496">
        <f t="shared" si="385"/>
        <v>89.05</v>
      </c>
      <c r="CO177" s="497">
        <v>0</v>
      </c>
      <c r="CP177" s="496">
        <f t="shared" si="386"/>
        <v>137</v>
      </c>
      <c r="CQ177" s="496">
        <f t="shared" si="387"/>
        <v>0</v>
      </c>
      <c r="CR177" s="496">
        <f t="shared" si="388"/>
        <v>1297.7099999999998</v>
      </c>
      <c r="CS177" s="496">
        <f t="shared" si="389"/>
        <v>124</v>
      </c>
      <c r="CT177" s="496">
        <f t="shared" si="390"/>
        <v>6255</v>
      </c>
      <c r="CU177" s="470"/>
      <c r="CV177" s="470"/>
      <c r="CW177" s="470"/>
      <c r="CX177" s="470"/>
      <c r="CY177" s="1149" t="s">
        <v>6872</v>
      </c>
      <c r="CZ177" s="1149" t="s">
        <v>6894</v>
      </c>
      <c r="DA177" s="1152"/>
      <c r="DB177" s="1642" t="s">
        <v>6295</v>
      </c>
      <c r="DC177" s="1642"/>
      <c r="DD177" s="1647" t="s">
        <v>6199</v>
      </c>
      <c r="DE177" s="1642" t="s">
        <v>6230</v>
      </c>
      <c r="DF177" s="1642" t="s">
        <v>6500</v>
      </c>
      <c r="DG177" s="1642"/>
      <c r="DH177" s="512"/>
      <c r="DI177" s="512"/>
      <c r="DJ177" s="470"/>
      <c r="DK177" s="470"/>
      <c r="DL177" s="470"/>
      <c r="DN177" s="471" t="str">
        <f>VLOOKUP(X177,Hoja1!$A$4:$B$10,2,0)</f>
        <v>TÉCNICO SUPERIOR UNIVERSITARIO</v>
      </c>
      <c r="DO177" s="471" t="str">
        <f>VLOOKUP(S177,Hoja1!$D$4:$F$77,3,0)</f>
        <v>TII - II</v>
      </c>
      <c r="DP177" s="1156" t="str">
        <f t="shared" si="391"/>
        <v>SI</v>
      </c>
      <c r="DQ177" s="1484">
        <f>IF(T177&lt;&gt;"0",(ROUND(IF(A177="EMPLEADO",eval_formula('CONCEPTOS Y PARAMETROS'!$C$8,NOMINA!V177,AU177+BF177,NOMINA!I177+NOMINA!J177),eval_formula('CONCEPTOS Y PARAMETROS'!$D$8,NOMINA!V177,AU177+BF177,NOMINA!I177+NOMINA!J177)),2))*IF(H177&lt;&gt;"",IF(MONTH(H177)=$BR$8,IF(YEAR(H177)&lt;$BT$7,1,0),0)))</f>
        <v>0</v>
      </c>
      <c r="DR177" s="1801" t="str">
        <f t="shared" si="392"/>
        <v>F</v>
      </c>
      <c r="DS177" s="1801"/>
    </row>
    <row r="178" spans="1:123" s="476" customFormat="1" ht="21.95" customHeight="1" x14ac:dyDescent="0.25">
      <c r="A178" s="508" t="s">
        <v>2846</v>
      </c>
      <c r="B178" s="1314">
        <f t="shared" ca="1" si="347"/>
        <v>135</v>
      </c>
      <c r="C178" s="1148">
        <v>16377588</v>
      </c>
      <c r="D178" s="1149" t="s">
        <v>4823</v>
      </c>
      <c r="E178" s="1135" t="s">
        <v>4622</v>
      </c>
      <c r="F178" s="1150">
        <v>30894</v>
      </c>
      <c r="G178" s="1135" t="s">
        <v>4620</v>
      </c>
      <c r="H178" s="1150">
        <v>44059</v>
      </c>
      <c r="I178" s="1140">
        <f t="shared" si="376"/>
        <v>5</v>
      </c>
      <c r="J178" s="1132">
        <v>0</v>
      </c>
      <c r="K178" s="1140">
        <f t="shared" si="371"/>
        <v>5</v>
      </c>
      <c r="L178" s="1145" t="s">
        <v>5535</v>
      </c>
      <c r="M178" s="1132"/>
      <c r="N178" s="1132"/>
      <c r="O178" s="1002" t="s">
        <v>5226</v>
      </c>
      <c r="P178" s="1132" t="s">
        <v>5379</v>
      </c>
      <c r="Q178" s="1315" t="str">
        <f>IFERROR(VLOOKUP(O178,CARGOS!A:E,2,0),"")</f>
        <v>79522</v>
      </c>
      <c r="R178" s="1327" t="s">
        <v>5226</v>
      </c>
      <c r="S178" s="1146" t="s">
        <v>5467</v>
      </c>
      <c r="T178" s="1107">
        <f>IFERROR(VLOOKUP(S178,'TAB EMP'!A:B,2,0),0)</f>
        <v>277</v>
      </c>
      <c r="U178" s="1108">
        <v>0</v>
      </c>
      <c r="V178" s="1107">
        <f t="shared" si="393"/>
        <v>277</v>
      </c>
      <c r="W178" s="1108">
        <f t="shared" si="394"/>
        <v>138.5</v>
      </c>
      <c r="X178" s="1135" t="s">
        <v>2885</v>
      </c>
      <c r="Y178" s="1135"/>
      <c r="Z178" s="1135">
        <v>1</v>
      </c>
      <c r="AA178" s="1107">
        <f>ROUND(IF(H178&lt;&gt;"",VLOOKUP(SUM(I178+J178),'CONCEPTOS Y PARAMETROS'!F:G,2,0)*V178,0),2)</f>
        <v>13.85</v>
      </c>
      <c r="AB178" s="1107">
        <f>IF(S178&lt;&gt;"",IF(M178="",'CONCEPTOS Y PARAMETROS'!$C$4,0),0)</f>
        <v>130</v>
      </c>
      <c r="AC178" s="1107">
        <f>IF(S178&lt;&gt;"",IF(M178="",'CONCEPTOS Y PARAMETROS'!$C$7*Z178,0),0)</f>
        <v>12.5</v>
      </c>
      <c r="AD178" s="1107">
        <f>IFERROR(ROUND(VLOOKUP($X178,'CONCEPTOS Y PARAMETROS'!H:I,2,0)*($V178+AA178+AB178+AC178),2),0)</f>
        <v>108.34</v>
      </c>
      <c r="AE178" s="1107">
        <f t="shared" si="369"/>
        <v>264.69</v>
      </c>
      <c r="AF178" s="1107">
        <f t="shared" si="395"/>
        <v>6.93</v>
      </c>
      <c r="AG178" s="1107">
        <f t="shared" si="396"/>
        <v>6.92</v>
      </c>
      <c r="AH178" s="1107">
        <f t="shared" si="397"/>
        <v>65</v>
      </c>
      <c r="AI178" s="1107">
        <f t="shared" si="398"/>
        <v>65</v>
      </c>
      <c r="AJ178" s="1107">
        <f t="shared" si="399"/>
        <v>54.17</v>
      </c>
      <c r="AK178" s="1107">
        <f t="shared" si="400"/>
        <v>54.17</v>
      </c>
      <c r="AL178" s="1108">
        <f t="shared" si="401"/>
        <v>138.6</v>
      </c>
      <c r="AM178" s="1108">
        <f t="shared" si="402"/>
        <v>126.09</v>
      </c>
      <c r="AN178" s="990">
        <v>0</v>
      </c>
      <c r="AO178" s="1147">
        <f>'CONCEPTOS Y PARAMETROS'!$C$18*AN178</f>
        <v>0</v>
      </c>
      <c r="AP178" s="990">
        <v>0</v>
      </c>
      <c r="AQ178" s="1147">
        <f>'CONCEPTOS Y PARAMETROS'!$C$21*AP178</f>
        <v>0</v>
      </c>
      <c r="AR178" s="1318">
        <v>0</v>
      </c>
      <c r="AS178" s="1318">
        <v>0</v>
      </c>
      <c r="AT178" s="1318">
        <f t="shared" si="370"/>
        <v>0</v>
      </c>
      <c r="AU178" s="1108">
        <f t="shared" si="372"/>
        <v>541.69000000000005</v>
      </c>
      <c r="AV178" s="1133">
        <v>0</v>
      </c>
      <c r="AW178" s="1108">
        <f t="shared" si="364"/>
        <v>0</v>
      </c>
      <c r="AX178" s="1107">
        <f>IF(T178&lt;&gt;"0",(ROUND(IF(A178="EMPLEADO",eval_formula('CONCEPTOS Y PARAMETROS'!$C$8,NOMINA!V178,NOMINA!$AU178,NOMINA!I178+NOMINA!J178),eval_formula('CONCEPTOS Y PARAMETROS'!$D$8,NOMINA!V178,NOMINA!$AU178,NOMINA!I178+NOMINA!J178)),2))*IF(H178&lt;&gt;"",IF(MONTH(H178)=$BR$8,IF(YEAR(H178)&lt;$BT$7,1,0),0)))</f>
        <v>0</v>
      </c>
      <c r="AY178" s="1108">
        <v>180</v>
      </c>
      <c r="AZ178" s="1107">
        <f>IFERROR(VLOOKUP(AY178,'CONCEPTOS Y PARAMETROS'!Y:Z,2,0),0)</f>
        <v>150</v>
      </c>
      <c r="BA178" s="1107">
        <f t="shared" si="403"/>
        <v>4062.68</v>
      </c>
      <c r="BB178" s="1107">
        <f t="shared" si="405"/>
        <v>0</v>
      </c>
      <c r="BC178" s="990">
        <v>0</v>
      </c>
      <c r="BD178" s="1107" t="str">
        <f t="shared" si="373"/>
        <v>0</v>
      </c>
      <c r="BE178" s="990">
        <v>0</v>
      </c>
      <c r="BF178" s="1107">
        <f t="shared" si="357"/>
        <v>0</v>
      </c>
      <c r="BG178" s="1108">
        <v>320</v>
      </c>
      <c r="BH178" s="1108">
        <v>0</v>
      </c>
      <c r="BI178" s="1132">
        <v>0</v>
      </c>
      <c r="BJ178" s="1108">
        <v>12.5</v>
      </c>
      <c r="BK178" s="1108">
        <v>0</v>
      </c>
      <c r="BL178" s="1107">
        <f t="shared" si="324"/>
        <v>25</v>
      </c>
      <c r="BM178" s="1107">
        <f t="shared" si="325"/>
        <v>3.13</v>
      </c>
      <c r="BN178" s="1107">
        <f t="shared" si="377"/>
        <v>5.42</v>
      </c>
      <c r="BO178" s="1107">
        <v>0</v>
      </c>
      <c r="BP178" s="1107">
        <v>0</v>
      </c>
      <c r="BQ178" s="1320">
        <f t="shared" si="366"/>
        <v>33.549999999999997</v>
      </c>
      <c r="BR178" s="1107">
        <f t="shared" si="326"/>
        <v>56.25</v>
      </c>
      <c r="BS178" s="1107">
        <f t="shared" si="327"/>
        <v>12.5</v>
      </c>
      <c r="BT178" s="1107">
        <f t="shared" si="378"/>
        <v>10.84</v>
      </c>
      <c r="BU178" s="1107">
        <v>0</v>
      </c>
      <c r="BV178" s="1108">
        <f t="shared" si="367"/>
        <v>79.59</v>
      </c>
      <c r="BW178" s="1112">
        <f t="shared" si="368"/>
        <v>113.14</v>
      </c>
      <c r="BX178" s="1112">
        <f t="shared" si="356"/>
        <v>1015.67</v>
      </c>
      <c r="BY178" s="1108">
        <v>0</v>
      </c>
      <c r="BZ178" s="1108">
        <f t="shared" si="365"/>
        <v>1015.67</v>
      </c>
      <c r="CA178" s="1321">
        <f>'CONCEPTOS Y PARAMETROS'!$A$102</f>
        <v>6255</v>
      </c>
      <c r="CB178" s="1112">
        <f t="shared" si="379"/>
        <v>243.55</v>
      </c>
      <c r="CC178" s="1113">
        <f t="shared" si="380"/>
        <v>597.09</v>
      </c>
      <c r="CD178" s="512"/>
      <c r="CE178" s="512"/>
      <c r="CF178" s="470">
        <f t="shared" si="381"/>
        <v>904.59</v>
      </c>
      <c r="CG178" s="509">
        <f t="shared" si="404"/>
        <v>243.55</v>
      </c>
      <c r="CH178" s="1603">
        <f t="shared" si="382"/>
        <v>12.5</v>
      </c>
      <c r="CI178" s="1491">
        <f t="shared" si="374"/>
        <v>320</v>
      </c>
      <c r="CJ178" s="1502">
        <v>1</v>
      </c>
      <c r="CK178" s="509">
        <f t="shared" si="383"/>
        <v>584.59</v>
      </c>
      <c r="CL178" s="1689">
        <f t="shared" si="384"/>
        <v>584.59</v>
      </c>
      <c r="CM178" s="1689">
        <f t="shared" si="375"/>
        <v>0</v>
      </c>
      <c r="CN178" s="510">
        <f t="shared" si="385"/>
        <v>0</v>
      </c>
      <c r="CO178" s="511">
        <v>0</v>
      </c>
      <c r="CP178" s="510">
        <f t="shared" si="386"/>
        <v>0</v>
      </c>
      <c r="CQ178" s="510">
        <f t="shared" si="387"/>
        <v>0</v>
      </c>
      <c r="CR178" s="510">
        <f t="shared" si="388"/>
        <v>1169.18</v>
      </c>
      <c r="CS178" s="510">
        <f t="shared" si="389"/>
        <v>113.14</v>
      </c>
      <c r="CT178" s="510">
        <f t="shared" si="390"/>
        <v>6255</v>
      </c>
      <c r="CU178" s="512"/>
      <c r="CV178" s="512"/>
      <c r="CW178" s="512"/>
      <c r="CX178" s="512"/>
      <c r="CY178" s="1149" t="s">
        <v>6873</v>
      </c>
      <c r="CZ178" s="1149" t="s">
        <v>6893</v>
      </c>
      <c r="DA178" s="1152"/>
      <c r="DB178" s="1642" t="s">
        <v>7457</v>
      </c>
      <c r="DC178" s="1642"/>
      <c r="DD178" s="1642" t="s">
        <v>6150</v>
      </c>
      <c r="DE178" s="1642" t="s">
        <v>6244</v>
      </c>
      <c r="DF178" s="1642" t="s">
        <v>6486</v>
      </c>
      <c r="DG178" s="1642"/>
      <c r="DH178" s="512"/>
      <c r="DI178" s="512"/>
      <c r="DJ178" s="512"/>
      <c r="DK178" s="512"/>
      <c r="DL178" s="512"/>
      <c r="DN178" s="476" t="str">
        <f>VLOOKUP(X178,Hoja1!$A$4:$B$10,2,0)</f>
        <v>PROFESIONAL</v>
      </c>
      <c r="DO178" s="476" t="str">
        <f>VLOOKUP(S178,Hoja1!$D$4:$F$77,3,0)</f>
        <v>PII - II</v>
      </c>
      <c r="DP178" s="1594" t="str">
        <f t="shared" si="391"/>
        <v>0</v>
      </c>
      <c r="DQ178" s="1484">
        <f>IF(T178&lt;&gt;"0",(ROUND(IF(A178="EMPLEADO",eval_formula('CONCEPTOS Y PARAMETROS'!$C$8,NOMINA!V178,AU178+BF178,NOMINA!I178+NOMINA!J178),eval_formula('CONCEPTOS Y PARAMETROS'!$D$8,NOMINA!V178,AU178+BF178,NOMINA!I178+NOMINA!J178)),2))*IF(H178&lt;&gt;"",IF(MONTH(H178)=$BR$8,IF(YEAR(H178)&lt;$BT$7,1,0),0)))</f>
        <v>0</v>
      </c>
      <c r="DR178" s="1799" t="str">
        <f t="shared" si="392"/>
        <v>F</v>
      </c>
      <c r="DS178" s="1799"/>
    </row>
    <row r="179" spans="1:123" s="471" customFormat="1" ht="21.95" customHeight="1" x14ac:dyDescent="0.25">
      <c r="A179" s="508" t="s">
        <v>2846</v>
      </c>
      <c r="B179" s="1314">
        <f t="shared" ca="1" si="347"/>
        <v>136</v>
      </c>
      <c r="C179" s="1148">
        <v>16377628</v>
      </c>
      <c r="D179" s="1149" t="s">
        <v>4824</v>
      </c>
      <c r="E179" s="1135" t="s">
        <v>4622</v>
      </c>
      <c r="F179" s="1150">
        <v>31161</v>
      </c>
      <c r="G179" s="1135" t="s">
        <v>4620</v>
      </c>
      <c r="H179" s="1150">
        <v>44743</v>
      </c>
      <c r="I179" s="1140">
        <f t="shared" si="376"/>
        <v>3</v>
      </c>
      <c r="J179" s="1132">
        <v>9</v>
      </c>
      <c r="K179" s="1140">
        <f t="shared" si="371"/>
        <v>12</v>
      </c>
      <c r="L179" s="1145" t="s">
        <v>5528</v>
      </c>
      <c r="M179" s="1132"/>
      <c r="N179" s="1132"/>
      <c r="O179" s="1002" t="s">
        <v>5217</v>
      </c>
      <c r="P179" s="1132" t="s">
        <v>5380</v>
      </c>
      <c r="Q179" s="1315" t="str">
        <f>IFERROR(VLOOKUP(O179,CARGOS!A:E,2,0),"")</f>
        <v>79512</v>
      </c>
      <c r="R179" s="1327" t="s">
        <v>5217</v>
      </c>
      <c r="S179" s="1146" t="s">
        <v>5466</v>
      </c>
      <c r="T179" s="1107">
        <f>IFERROR(VLOOKUP(S179,'TAB EMP'!A:B,2,0),0)</f>
        <v>283</v>
      </c>
      <c r="U179" s="1108">
        <v>0</v>
      </c>
      <c r="V179" s="1107">
        <f t="shared" si="393"/>
        <v>283</v>
      </c>
      <c r="W179" s="1108">
        <f t="shared" si="394"/>
        <v>141.5</v>
      </c>
      <c r="X179" s="1135" t="s">
        <v>2885</v>
      </c>
      <c r="Y179" s="1135"/>
      <c r="Z179" s="1135">
        <v>1</v>
      </c>
      <c r="AA179" s="1107">
        <f>ROUND(IF(H179&lt;&gt;"",VLOOKUP(SUM(I179+J179),'CONCEPTOS Y PARAMETROS'!F:G,2,0)*V179,0),2)</f>
        <v>39.049999999999997</v>
      </c>
      <c r="AB179" s="1107">
        <f>IF(S179&lt;&gt;"",IF(M179="",'CONCEPTOS Y PARAMETROS'!$C$4,0),0)</f>
        <v>130</v>
      </c>
      <c r="AC179" s="1107">
        <f>IF(S179&lt;&gt;"",IF(M179="",'CONCEPTOS Y PARAMETROS'!$C$7*Z179,0),0)</f>
        <v>12.5</v>
      </c>
      <c r="AD179" s="1107">
        <f>IFERROR(ROUND(VLOOKUP($X179,'CONCEPTOS Y PARAMETROS'!H:I,2,0)*($V179+AA179+AB179+AC179),2),0)</f>
        <v>116.14</v>
      </c>
      <c r="AE179" s="1107">
        <f t="shared" si="369"/>
        <v>297.69</v>
      </c>
      <c r="AF179" s="1107">
        <f t="shared" si="395"/>
        <v>19.53</v>
      </c>
      <c r="AG179" s="1107">
        <f t="shared" si="396"/>
        <v>19.52</v>
      </c>
      <c r="AH179" s="1107">
        <f t="shared" si="397"/>
        <v>65</v>
      </c>
      <c r="AI179" s="1107">
        <f t="shared" si="398"/>
        <v>65</v>
      </c>
      <c r="AJ179" s="1107">
        <f t="shared" si="399"/>
        <v>58.07</v>
      </c>
      <c r="AK179" s="1107">
        <f t="shared" si="400"/>
        <v>58.07</v>
      </c>
      <c r="AL179" s="1108">
        <f t="shared" si="401"/>
        <v>155.1</v>
      </c>
      <c r="AM179" s="1108">
        <f t="shared" si="402"/>
        <v>142.59</v>
      </c>
      <c r="AN179" s="990">
        <v>0</v>
      </c>
      <c r="AO179" s="1147">
        <f>'CONCEPTOS Y PARAMETROS'!$C$18*AN179</f>
        <v>0</v>
      </c>
      <c r="AP179" s="990">
        <v>0</v>
      </c>
      <c r="AQ179" s="1147">
        <f>'CONCEPTOS Y PARAMETROS'!$C$21*AP179</f>
        <v>0</v>
      </c>
      <c r="AR179" s="1318">
        <v>0</v>
      </c>
      <c r="AS179" s="1318">
        <v>0</v>
      </c>
      <c r="AT179" s="1318">
        <f t="shared" si="370"/>
        <v>0</v>
      </c>
      <c r="AU179" s="1108">
        <f t="shared" si="372"/>
        <v>754.90000000000009</v>
      </c>
      <c r="AV179" s="1133" t="s">
        <v>5080</v>
      </c>
      <c r="AW179" s="1108">
        <f t="shared" si="364"/>
        <v>174.21</v>
      </c>
      <c r="AX179" s="1107">
        <f>IF(T179&lt;&gt;"0",(ROUND(IF(A179="EMPLEADO",eval_formula('CONCEPTOS Y PARAMETROS'!$C$8,NOMINA!V179,NOMINA!$AU179,NOMINA!I179+NOMINA!J179),eval_formula('CONCEPTOS Y PARAMETROS'!$D$8,NOMINA!V179,NOMINA!$AU179,NOMINA!I179+NOMINA!J179)),2))*IF(H179&lt;&gt;"",IF(MONTH(H179)=$BR$8,IF(YEAR(H179)&lt;$BT$7,1,0),0)))</f>
        <v>0</v>
      </c>
      <c r="AY179" s="1108">
        <v>180</v>
      </c>
      <c r="AZ179" s="1107">
        <f>IFERROR(VLOOKUP(AY179,'CONCEPTOS Y PARAMETROS'!Y:Z,2,0),0)</f>
        <v>150</v>
      </c>
      <c r="BA179" s="1107">
        <f t="shared" si="403"/>
        <v>5661.75</v>
      </c>
      <c r="BB179" s="1107">
        <f t="shared" si="405"/>
        <v>0</v>
      </c>
      <c r="BC179" s="990">
        <v>0</v>
      </c>
      <c r="BD179" s="1107" t="str">
        <f t="shared" si="373"/>
        <v>0</v>
      </c>
      <c r="BE179" s="990">
        <v>3</v>
      </c>
      <c r="BF179" s="1107">
        <f t="shared" si="357"/>
        <v>113.24</v>
      </c>
      <c r="BG179" s="1108">
        <v>320</v>
      </c>
      <c r="BH179" s="1108">
        <v>0</v>
      </c>
      <c r="BI179" s="1132">
        <v>0</v>
      </c>
      <c r="BJ179" s="1108">
        <v>12.5</v>
      </c>
      <c r="BK179" s="1108">
        <v>0</v>
      </c>
      <c r="BL179" s="1107">
        <f t="shared" si="324"/>
        <v>34.840000000000003</v>
      </c>
      <c r="BM179" s="1107">
        <f t="shared" si="325"/>
        <v>4.3600000000000003</v>
      </c>
      <c r="BN179" s="1107">
        <f t="shared" si="377"/>
        <v>7.55</v>
      </c>
      <c r="BO179" s="1107">
        <v>0</v>
      </c>
      <c r="BP179" s="1107">
        <v>0</v>
      </c>
      <c r="BQ179" s="1320">
        <f t="shared" si="366"/>
        <v>46.75</v>
      </c>
      <c r="BR179" s="1107">
        <f t="shared" si="326"/>
        <v>78.39</v>
      </c>
      <c r="BS179" s="1107">
        <f t="shared" si="327"/>
        <v>17.420000000000002</v>
      </c>
      <c r="BT179" s="1107">
        <f t="shared" si="378"/>
        <v>15.1</v>
      </c>
      <c r="BU179" s="1107">
        <v>0</v>
      </c>
      <c r="BV179" s="1108">
        <f t="shared" si="367"/>
        <v>110.91</v>
      </c>
      <c r="BW179" s="1112">
        <f t="shared" si="368"/>
        <v>157.66</v>
      </c>
      <c r="BX179" s="1112">
        <f t="shared" si="356"/>
        <v>1415.44</v>
      </c>
      <c r="BY179" s="1108">
        <v>0</v>
      </c>
      <c r="BZ179" s="1108">
        <f t="shared" si="365"/>
        <v>1415.44</v>
      </c>
      <c r="CA179" s="1321">
        <f>'CONCEPTOS Y PARAMETROS'!$A$102</f>
        <v>6255</v>
      </c>
      <c r="CB179" s="1112">
        <f t="shared" si="379"/>
        <v>249.85000000000002</v>
      </c>
      <c r="CC179" s="1113">
        <f t="shared" si="380"/>
        <v>904.04</v>
      </c>
      <c r="CD179" s="512"/>
      <c r="CE179" s="512"/>
      <c r="CF179" s="470">
        <f t="shared" si="381"/>
        <v>924.09</v>
      </c>
      <c r="CG179" s="495">
        <f t="shared" si="404"/>
        <v>249.85000000000002</v>
      </c>
      <c r="CH179" s="498">
        <f t="shared" si="382"/>
        <v>12.5</v>
      </c>
      <c r="CI179" s="1490">
        <f t="shared" si="374"/>
        <v>320</v>
      </c>
      <c r="CJ179" s="1500">
        <v>1</v>
      </c>
      <c r="CK179" s="495">
        <f t="shared" si="383"/>
        <v>604.09</v>
      </c>
      <c r="CL179" s="1689">
        <f t="shared" si="384"/>
        <v>289.95999999999998</v>
      </c>
      <c r="CM179" s="1689">
        <f t="shared" si="375"/>
        <v>314.13000000000005</v>
      </c>
      <c r="CN179" s="496">
        <f t="shared" si="385"/>
        <v>113.24</v>
      </c>
      <c r="CO179" s="497">
        <v>0</v>
      </c>
      <c r="CP179" s="496">
        <f t="shared" si="386"/>
        <v>174.21</v>
      </c>
      <c r="CQ179" s="496">
        <f t="shared" si="387"/>
        <v>0</v>
      </c>
      <c r="CR179" s="496">
        <f t="shared" si="388"/>
        <v>1495.63</v>
      </c>
      <c r="CS179" s="496">
        <f t="shared" si="389"/>
        <v>157.66</v>
      </c>
      <c r="CT179" s="496">
        <f t="shared" si="390"/>
        <v>6255</v>
      </c>
      <c r="CU179" s="470"/>
      <c r="CV179" s="470"/>
      <c r="CW179" s="470"/>
      <c r="CX179" s="470"/>
      <c r="CY179" s="1149" t="s">
        <v>6885</v>
      </c>
      <c r="CZ179" s="1149" t="s">
        <v>6805</v>
      </c>
      <c r="DA179" s="1152"/>
      <c r="DB179" s="1642" t="s">
        <v>6269</v>
      </c>
      <c r="DC179" s="1642"/>
      <c r="DD179" s="1642" t="s">
        <v>6158</v>
      </c>
      <c r="DE179" s="1642" t="s">
        <v>6247</v>
      </c>
      <c r="DF179" s="1642" t="s">
        <v>6533</v>
      </c>
      <c r="DG179" s="1642"/>
      <c r="DH179" s="512"/>
      <c r="DI179" s="512"/>
      <c r="DJ179" s="470"/>
      <c r="DK179" s="470"/>
      <c r="DL179" s="470"/>
      <c r="DN179" s="471" t="str">
        <f>VLOOKUP(X179,Hoja1!$A$4:$B$10,2,0)</f>
        <v>PROFESIONAL</v>
      </c>
      <c r="DO179" s="471" t="str">
        <f>VLOOKUP(S179,Hoja1!$D$4:$F$77,3,0)</f>
        <v>PII - V</v>
      </c>
      <c r="DP179" s="1156" t="str">
        <f t="shared" si="391"/>
        <v>SI</v>
      </c>
      <c r="DQ179" s="1484">
        <f>IF(T179&lt;&gt;"0",(ROUND(IF(A179="EMPLEADO",eval_formula('CONCEPTOS Y PARAMETROS'!$C$8,NOMINA!V179,AU179+BF179,NOMINA!I179+NOMINA!J179),eval_formula('CONCEPTOS Y PARAMETROS'!$D$8,NOMINA!V179,AU179+BF179,NOMINA!I179+NOMINA!J179)),2))*IF(H179&lt;&gt;"",IF(MONTH(H179)=$BR$8,IF(YEAR(H179)&lt;$BT$7,1,0),0)))</f>
        <v>0</v>
      </c>
      <c r="DR179" s="1801" t="str">
        <f t="shared" si="392"/>
        <v>F</v>
      </c>
      <c r="DS179" s="1801"/>
    </row>
    <row r="180" spans="1:123" s="471" customFormat="1" ht="21.95" customHeight="1" x14ac:dyDescent="0.25">
      <c r="A180" s="508" t="s">
        <v>2846</v>
      </c>
      <c r="B180" s="1314">
        <f t="shared" ca="1" si="347"/>
        <v>137</v>
      </c>
      <c r="C180" s="1148">
        <v>16533566</v>
      </c>
      <c r="D180" s="1149" t="s">
        <v>4826</v>
      </c>
      <c r="E180" s="1135" t="s">
        <v>4622</v>
      </c>
      <c r="F180" s="1150">
        <v>30410</v>
      </c>
      <c r="G180" s="1135" t="s">
        <v>4620</v>
      </c>
      <c r="H180" s="1150">
        <v>44683</v>
      </c>
      <c r="I180" s="1140">
        <f t="shared" si="376"/>
        <v>3</v>
      </c>
      <c r="J180" s="1132">
        <v>0</v>
      </c>
      <c r="K180" s="1140">
        <f t="shared" si="371"/>
        <v>3</v>
      </c>
      <c r="L180" s="1145" t="s">
        <v>5528</v>
      </c>
      <c r="M180" s="1132"/>
      <c r="N180" s="1132"/>
      <c r="O180" s="1002" t="s">
        <v>5218</v>
      </c>
      <c r="P180" s="1132" t="s">
        <v>5381</v>
      </c>
      <c r="Q180" s="1315" t="str">
        <f>IFERROR(VLOOKUP(O180,CARGOS!A:E,2,0),"")</f>
        <v>79511</v>
      </c>
      <c r="R180" s="1327" t="s">
        <v>5218</v>
      </c>
      <c r="S180" s="1146" t="s">
        <v>5477</v>
      </c>
      <c r="T180" s="1107">
        <f>IFERROR(VLOOKUP(S180,'TAB EMP'!A:B,2,0),0)</f>
        <v>150</v>
      </c>
      <c r="U180" s="1108">
        <v>0</v>
      </c>
      <c r="V180" s="1107">
        <f t="shared" si="393"/>
        <v>150</v>
      </c>
      <c r="W180" s="1108">
        <f t="shared" si="394"/>
        <v>75</v>
      </c>
      <c r="X180" s="1135" t="s">
        <v>2884</v>
      </c>
      <c r="Y180" s="1135"/>
      <c r="Z180" s="1135">
        <v>2</v>
      </c>
      <c r="AA180" s="1107">
        <f>ROUND(IF(H180&lt;&gt;"",VLOOKUP(SUM(I180+J180),'CONCEPTOS Y PARAMETROS'!F:G,2,0)*V180,0),2)</f>
        <v>4.5</v>
      </c>
      <c r="AB180" s="1107">
        <f>IF(S180&lt;&gt;"",IF(M180="",'CONCEPTOS Y PARAMETROS'!$C$4,0),0)</f>
        <v>130</v>
      </c>
      <c r="AC180" s="1107">
        <f>IF(S180&lt;&gt;"",IF(M180="",'CONCEPTOS Y PARAMETROS'!$C$7*Z180,0),0)</f>
        <v>25</v>
      </c>
      <c r="AD180" s="1107">
        <f>IFERROR(ROUND(VLOOKUP($X180,'CONCEPTOS Y PARAMETROS'!H:I,2,0)*($V180+AA180+AB180+AC180),2),0)</f>
        <v>0</v>
      </c>
      <c r="AE180" s="1107">
        <f t="shared" si="369"/>
        <v>159.5</v>
      </c>
      <c r="AF180" s="1107">
        <f t="shared" si="395"/>
        <v>2.25</v>
      </c>
      <c r="AG180" s="1107">
        <f t="shared" si="396"/>
        <v>2.25</v>
      </c>
      <c r="AH180" s="1107">
        <f t="shared" si="397"/>
        <v>65</v>
      </c>
      <c r="AI180" s="1107">
        <f t="shared" si="398"/>
        <v>65</v>
      </c>
      <c r="AJ180" s="1107">
        <f t="shared" si="399"/>
        <v>0</v>
      </c>
      <c r="AK180" s="1107">
        <f t="shared" si="400"/>
        <v>0</v>
      </c>
      <c r="AL180" s="1108">
        <f t="shared" si="401"/>
        <v>92.25</v>
      </c>
      <c r="AM180" s="1108">
        <f t="shared" si="402"/>
        <v>67.25</v>
      </c>
      <c r="AN180" s="990">
        <v>0</v>
      </c>
      <c r="AO180" s="1147">
        <f>'CONCEPTOS Y PARAMETROS'!$C$18*AN180</f>
        <v>0</v>
      </c>
      <c r="AP180" s="990">
        <v>0</v>
      </c>
      <c r="AQ180" s="1147">
        <f>'CONCEPTOS Y PARAMETROS'!$C$21*AP180</f>
        <v>0</v>
      </c>
      <c r="AR180" s="1318">
        <v>0</v>
      </c>
      <c r="AS180" s="1318">
        <v>0</v>
      </c>
      <c r="AT180" s="1318">
        <f t="shared" si="370"/>
        <v>0</v>
      </c>
      <c r="AU180" s="1108">
        <f t="shared" si="372"/>
        <v>402.35</v>
      </c>
      <c r="AV180" s="1133" t="s">
        <v>5080</v>
      </c>
      <c r="AW180" s="1108">
        <f t="shared" si="364"/>
        <v>92.85</v>
      </c>
      <c r="AX180" s="1107">
        <f>IF(T180&lt;&gt;"0",(ROUND(IF(A180="EMPLEADO",eval_formula('CONCEPTOS Y PARAMETROS'!$C$8,NOMINA!V180,NOMINA!$AU180,NOMINA!I180+NOMINA!J180),eval_formula('CONCEPTOS Y PARAMETROS'!$D$8,NOMINA!V180,NOMINA!$AU180,NOMINA!I180+NOMINA!J180)),2))*IF(H180&lt;&gt;"",IF(MONTH(H180)=$BR$8,IF(YEAR(H180)&lt;$BT$7,1,0),0)))</f>
        <v>0</v>
      </c>
      <c r="AY180" s="1108">
        <v>180</v>
      </c>
      <c r="AZ180" s="1107">
        <f>IFERROR(VLOOKUP(AY180,'CONCEPTOS Y PARAMETROS'!Y:Z,2,0),0)</f>
        <v>150</v>
      </c>
      <c r="BA180" s="1107">
        <f t="shared" si="403"/>
        <v>3017.63</v>
      </c>
      <c r="BB180" s="1107">
        <f t="shared" si="405"/>
        <v>0</v>
      </c>
      <c r="BC180" s="990">
        <v>0</v>
      </c>
      <c r="BD180" s="1107" t="str">
        <f t="shared" si="373"/>
        <v>0</v>
      </c>
      <c r="BE180" s="990">
        <v>3</v>
      </c>
      <c r="BF180" s="1107">
        <f t="shared" si="357"/>
        <v>60.35</v>
      </c>
      <c r="BG180" s="1108">
        <v>320</v>
      </c>
      <c r="BH180" s="1108">
        <v>0</v>
      </c>
      <c r="BI180" s="1132">
        <v>0</v>
      </c>
      <c r="BJ180" s="1108">
        <v>12.5</v>
      </c>
      <c r="BK180" s="1108">
        <v>0</v>
      </c>
      <c r="BL180" s="1107">
        <f t="shared" si="324"/>
        <v>18.57</v>
      </c>
      <c r="BM180" s="1107">
        <f t="shared" si="325"/>
        <v>2.3199999999999998</v>
      </c>
      <c r="BN180" s="1107">
        <f t="shared" si="377"/>
        <v>4.0199999999999996</v>
      </c>
      <c r="BO180" s="1107">
        <v>0</v>
      </c>
      <c r="BP180" s="1107">
        <v>0</v>
      </c>
      <c r="BQ180" s="1320">
        <f t="shared" si="366"/>
        <v>24.91</v>
      </c>
      <c r="BR180" s="1107">
        <f t="shared" si="326"/>
        <v>41.78</v>
      </c>
      <c r="BS180" s="1107">
        <f t="shared" si="327"/>
        <v>9.2899999999999991</v>
      </c>
      <c r="BT180" s="1107">
        <f t="shared" si="378"/>
        <v>8.0399999999999991</v>
      </c>
      <c r="BU180" s="1107">
        <v>0</v>
      </c>
      <c r="BV180" s="1108">
        <f t="shared" si="367"/>
        <v>59.11</v>
      </c>
      <c r="BW180" s="1112">
        <f t="shared" si="368"/>
        <v>84.02</v>
      </c>
      <c r="BX180" s="1112">
        <f t="shared" si="356"/>
        <v>754.41</v>
      </c>
      <c r="BY180" s="1108">
        <v>0</v>
      </c>
      <c r="BZ180" s="1108">
        <f t="shared" si="365"/>
        <v>754.41</v>
      </c>
      <c r="CA180" s="1321">
        <f>'CONCEPTOS Y PARAMETROS'!$A$102</f>
        <v>6255</v>
      </c>
      <c r="CB180" s="1112">
        <f t="shared" si="379"/>
        <v>142.34</v>
      </c>
      <c r="CC180" s="1113">
        <f t="shared" si="380"/>
        <v>627.95000000000005</v>
      </c>
      <c r="CD180" s="512"/>
      <c r="CE180" s="512"/>
      <c r="CF180" s="470">
        <f t="shared" si="381"/>
        <v>782.25</v>
      </c>
      <c r="CG180" s="495">
        <f t="shared" si="404"/>
        <v>142.34</v>
      </c>
      <c r="CH180" s="498">
        <f t="shared" si="382"/>
        <v>12.5</v>
      </c>
      <c r="CI180" s="1490">
        <f t="shared" si="374"/>
        <v>320</v>
      </c>
      <c r="CJ180" s="1500">
        <v>1</v>
      </c>
      <c r="CK180" s="495">
        <f t="shared" si="383"/>
        <v>462.25</v>
      </c>
      <c r="CL180" s="1689">
        <f t="shared" si="384"/>
        <v>462.25</v>
      </c>
      <c r="CM180" s="1689">
        <f t="shared" si="375"/>
        <v>0</v>
      </c>
      <c r="CN180" s="496">
        <f t="shared" si="385"/>
        <v>60.35</v>
      </c>
      <c r="CO180" s="497">
        <v>0</v>
      </c>
      <c r="CP180" s="496">
        <f t="shared" si="386"/>
        <v>92.85</v>
      </c>
      <c r="CQ180" s="496">
        <f t="shared" si="387"/>
        <v>0</v>
      </c>
      <c r="CR180" s="496">
        <f t="shared" si="388"/>
        <v>1077.7</v>
      </c>
      <c r="CS180" s="496">
        <f t="shared" si="389"/>
        <v>84.02</v>
      </c>
      <c r="CT180" s="496">
        <f t="shared" si="390"/>
        <v>6255</v>
      </c>
      <c r="CU180" s="470"/>
      <c r="CV180" s="470"/>
      <c r="CW180" s="470"/>
      <c r="CX180" s="470"/>
      <c r="CY180" s="1149" t="s">
        <v>6884</v>
      </c>
      <c r="CZ180" s="1149" t="s">
        <v>6892</v>
      </c>
      <c r="DA180" s="1152"/>
      <c r="DB180" s="1642" t="s">
        <v>6270</v>
      </c>
      <c r="DC180" s="1642"/>
      <c r="DD180" s="1642" t="s">
        <v>6560</v>
      </c>
      <c r="DE180" s="1642" t="s">
        <v>6271</v>
      </c>
      <c r="DF180" s="1642" t="s">
        <v>6201</v>
      </c>
      <c r="DG180" s="1642"/>
      <c r="DH180" s="512"/>
      <c r="DI180" s="512"/>
      <c r="DJ180" s="470"/>
      <c r="DK180" s="470"/>
      <c r="DL180" s="470"/>
      <c r="DN180" s="471" t="str">
        <f>VLOOKUP(X180,Hoja1!$A$4:$B$10,2,0)</f>
        <v>BACHILLER</v>
      </c>
      <c r="DO180" s="471" t="str">
        <f>VLOOKUP(S180,Hoja1!$D$4:$F$77,3,0)</f>
        <v>BII - II</v>
      </c>
      <c r="DP180" s="1156" t="str">
        <f t="shared" si="391"/>
        <v>SI</v>
      </c>
      <c r="DQ180" s="1484">
        <f>IF(T180&lt;&gt;"0",(ROUND(IF(A180="EMPLEADO",eval_formula('CONCEPTOS Y PARAMETROS'!$C$8,NOMINA!V180,AU180+BF180,NOMINA!I180+NOMINA!J180),eval_formula('CONCEPTOS Y PARAMETROS'!$D$8,NOMINA!V180,AU180+BF180,NOMINA!I180+NOMINA!J180)),2))*IF(H180&lt;&gt;"",IF(MONTH(H180)=$BR$8,IF(YEAR(H180)&lt;$BT$7,1,0),0)))</f>
        <v>0</v>
      </c>
      <c r="DR180" s="1801" t="str">
        <f t="shared" si="392"/>
        <v>F</v>
      </c>
      <c r="DS180" s="1801"/>
    </row>
    <row r="181" spans="1:123" s="476" customFormat="1" ht="21.95" customHeight="1" x14ac:dyDescent="0.25">
      <c r="A181" s="508" t="s">
        <v>2846</v>
      </c>
      <c r="B181" s="1314">
        <f t="shared" ca="1" si="347"/>
        <v>138</v>
      </c>
      <c r="C181" s="1148">
        <v>16533615</v>
      </c>
      <c r="D181" s="1149" t="s">
        <v>6635</v>
      </c>
      <c r="E181" s="1135" t="s">
        <v>4622</v>
      </c>
      <c r="F181" s="1150">
        <v>30697</v>
      </c>
      <c r="G181" s="1135" t="s">
        <v>4620</v>
      </c>
      <c r="H181" s="1150">
        <v>45474</v>
      </c>
      <c r="I181" s="1140">
        <f t="shared" si="376"/>
        <v>1</v>
      </c>
      <c r="J181" s="1132">
        <v>0</v>
      </c>
      <c r="K181" s="1140">
        <f t="shared" si="371"/>
        <v>1</v>
      </c>
      <c r="L181" s="1140" t="s">
        <v>5535</v>
      </c>
      <c r="M181" s="1132"/>
      <c r="N181" s="1132"/>
      <c r="O181" s="1002" t="s">
        <v>5218</v>
      </c>
      <c r="P181" s="1151" t="s">
        <v>6636</v>
      </c>
      <c r="Q181" s="1315" t="str">
        <f>IFERROR(VLOOKUP(O181,CARGOS!A:E,2,0),"")</f>
        <v>79511</v>
      </c>
      <c r="R181" s="1327" t="s">
        <v>5218</v>
      </c>
      <c r="S181" s="1146" t="s">
        <v>5456</v>
      </c>
      <c r="T181" s="1107">
        <f>IFERROR(VLOOKUP(S181,'TAB EMP'!A:B,2,0),0)</f>
        <v>246</v>
      </c>
      <c r="U181" s="1108">
        <v>0</v>
      </c>
      <c r="V181" s="1107">
        <f t="shared" ref="V181" si="406">T181-U181</f>
        <v>246</v>
      </c>
      <c r="W181" s="1108">
        <f t="shared" ref="W181" si="407">ROUND(V181/2,2)</f>
        <v>123</v>
      </c>
      <c r="X181" s="1135" t="s">
        <v>2885</v>
      </c>
      <c r="Y181" s="1135"/>
      <c r="Z181" s="1135">
        <v>1</v>
      </c>
      <c r="AA181" s="1107">
        <f>ROUND(IF(H181&lt;&gt;"",VLOOKUP(SUM(I181+J181),'CONCEPTOS Y PARAMETROS'!F:G,2,0)*V181,0),2)</f>
        <v>2.46</v>
      </c>
      <c r="AB181" s="1107">
        <f>IF(S181&lt;&gt;"",IF(M181="",'CONCEPTOS Y PARAMETROS'!$C$4,0),0)</f>
        <v>130</v>
      </c>
      <c r="AC181" s="1107">
        <f>IF(S181&lt;&gt;"",IF(M181="",'CONCEPTOS Y PARAMETROS'!$C$7*Z181,0),0)</f>
        <v>12.5</v>
      </c>
      <c r="AD181" s="1107">
        <f>IFERROR(ROUND(VLOOKUP($X181,'CONCEPTOS Y PARAMETROS'!H:I,2,0)*($V181+AA181+AB181+AC181),2),0)</f>
        <v>97.74</v>
      </c>
      <c r="AE181" s="1107">
        <f t="shared" ref="AE181" si="408">SUM(AA181:AD181)</f>
        <v>242.7</v>
      </c>
      <c r="AF181" s="1107">
        <f t="shared" ref="AF181" si="409">ROUND(AA181/2,2)</f>
        <v>1.23</v>
      </c>
      <c r="AG181" s="1107">
        <f t="shared" ref="AG181" si="410">ROUND(AA181-AF181,2)</f>
        <v>1.23</v>
      </c>
      <c r="AH181" s="1107">
        <f t="shared" ref="AH181" si="411">ROUND(AB181/2,2)</f>
        <v>65</v>
      </c>
      <c r="AI181" s="1107">
        <f t="shared" ref="AI181" si="412">ROUND(AB181-AH181,2)</f>
        <v>65</v>
      </c>
      <c r="AJ181" s="1107">
        <f t="shared" ref="AJ181" si="413">ROUND(AD181/2,2)</f>
        <v>48.87</v>
      </c>
      <c r="AK181" s="1107">
        <f t="shared" ref="AK181" si="414">ROUND(AD181-AJ181,2)</f>
        <v>48.87</v>
      </c>
      <c r="AL181" s="1108">
        <f t="shared" ref="AL181" si="415">ROUND(AF181+AH181+AJ181+AC181,2)</f>
        <v>127.6</v>
      </c>
      <c r="AM181" s="1108">
        <f t="shared" ref="AM181" si="416">ROUND(AG181+AI181+AK181,2)</f>
        <v>115.1</v>
      </c>
      <c r="AN181" s="1453">
        <v>1</v>
      </c>
      <c r="AO181" s="1147">
        <f>'CONCEPTOS Y PARAMETROS'!$C$18*AN181</f>
        <v>12.5</v>
      </c>
      <c r="AP181" s="990">
        <v>0</v>
      </c>
      <c r="AQ181" s="1147">
        <f>'CONCEPTOS Y PARAMETROS'!$C$21*AP181</f>
        <v>0</v>
      </c>
      <c r="AR181" s="1318">
        <v>0</v>
      </c>
      <c r="AS181" s="1318">
        <v>0</v>
      </c>
      <c r="AT181" s="1318">
        <f t="shared" ref="AT181" si="417">+AO181+AQ181+AR181+AS181</f>
        <v>12.5</v>
      </c>
      <c r="AU181" s="1108">
        <f t="shared" si="372"/>
        <v>635.30999999999995</v>
      </c>
      <c r="AV181" s="1133" t="s">
        <v>5080</v>
      </c>
      <c r="AW181" s="1108">
        <f t="shared" si="364"/>
        <v>146.61000000000001</v>
      </c>
      <c r="AX181" s="1107">
        <f>IF(T181&lt;&gt;"0",(ROUND(IF(A181="EMPLEADO",eval_formula('CONCEPTOS Y PARAMETROS'!$C$8,NOMINA!V181,NOMINA!$AU181,NOMINA!I181+NOMINA!J181),eval_formula('CONCEPTOS Y PARAMETROS'!$D$8,NOMINA!V181,NOMINA!$AU181,NOMINA!I181+NOMINA!J181)),2))*IF(H181&lt;&gt;"",IF(MONTH(H181)=$BR$8,IF(YEAR(H181)&lt;$BT$7,1,0),0)))</f>
        <v>0</v>
      </c>
      <c r="AY181" s="1108">
        <v>90</v>
      </c>
      <c r="AZ181" s="1107">
        <f>IFERROR(VLOOKUP(AY181,'CONCEPTOS Y PARAMETROS'!Y:Z,2,0),0)</f>
        <v>75</v>
      </c>
      <c r="BA181" s="1107">
        <f t="shared" ref="BA181" si="418">ROUND((((AU181))/30*AY181/12+(AU181))/30*AZ181,2)</f>
        <v>1985.34</v>
      </c>
      <c r="BB181" s="1107">
        <f t="shared" si="405"/>
        <v>0</v>
      </c>
      <c r="BC181" s="990">
        <v>0</v>
      </c>
      <c r="BD181" s="1107" t="str">
        <f t="shared" si="373"/>
        <v>0</v>
      </c>
      <c r="BE181" s="990">
        <v>3</v>
      </c>
      <c r="BF181" s="1107">
        <f t="shared" si="357"/>
        <v>95.3</v>
      </c>
      <c r="BG181" s="1108">
        <v>320</v>
      </c>
      <c r="BH181" s="1108">
        <v>0</v>
      </c>
      <c r="BI181" s="1132">
        <v>0</v>
      </c>
      <c r="BJ181" s="1108">
        <v>12.5</v>
      </c>
      <c r="BK181" s="1108">
        <v>0</v>
      </c>
      <c r="BL181" s="1107">
        <f t="shared" si="324"/>
        <v>29.32</v>
      </c>
      <c r="BM181" s="1107">
        <f t="shared" si="325"/>
        <v>3.67</v>
      </c>
      <c r="BN181" s="1107">
        <f t="shared" si="377"/>
        <v>6.35</v>
      </c>
      <c r="BO181" s="1107">
        <v>0</v>
      </c>
      <c r="BP181" s="1107">
        <v>0</v>
      </c>
      <c r="BQ181" s="1320">
        <f t="shared" ref="BQ181" si="419">ROUND(SUM(BL181:BP181),2)</f>
        <v>39.340000000000003</v>
      </c>
      <c r="BR181" s="1107">
        <f t="shared" si="326"/>
        <v>65.97</v>
      </c>
      <c r="BS181" s="1107">
        <f t="shared" si="327"/>
        <v>14.66</v>
      </c>
      <c r="BT181" s="1107">
        <f t="shared" si="378"/>
        <v>12.7</v>
      </c>
      <c r="BU181" s="1107">
        <v>0</v>
      </c>
      <c r="BV181" s="1108">
        <f t="shared" ref="BV181" si="420">ROUND(SUM(BR181:BT181),2)</f>
        <v>93.33</v>
      </c>
      <c r="BW181" s="1112">
        <f t="shared" ref="BW181" si="421">BQ181+BV181</f>
        <v>132.67000000000002</v>
      </c>
      <c r="BX181" s="1112">
        <f t="shared" si="356"/>
        <v>496.34</v>
      </c>
      <c r="BY181" s="1108">
        <v>0</v>
      </c>
      <c r="BZ181" s="1108">
        <f t="shared" si="365"/>
        <v>496.34</v>
      </c>
      <c r="CA181" s="1321">
        <f>'CONCEPTOS Y PARAMETROS'!$A$102</f>
        <v>6255</v>
      </c>
      <c r="CB181" s="1112">
        <f t="shared" si="379"/>
        <v>211.26</v>
      </c>
      <c r="CC181" s="1113">
        <f t="shared" si="380"/>
        <v>825.01</v>
      </c>
      <c r="CD181" s="512"/>
      <c r="CE181" s="512"/>
      <c r="CF181" s="470">
        <f t="shared" si="381"/>
        <v>878.1</v>
      </c>
      <c r="CG181" s="509">
        <f t="shared" si="404"/>
        <v>211.26</v>
      </c>
      <c r="CH181" s="498">
        <f t="shared" si="382"/>
        <v>25</v>
      </c>
      <c r="CI181" s="1491">
        <f t="shared" si="374"/>
        <v>320</v>
      </c>
      <c r="CJ181" s="1500">
        <v>1</v>
      </c>
      <c r="CK181" s="509">
        <f t="shared" si="383"/>
        <v>558.1</v>
      </c>
      <c r="CL181" s="1689">
        <f t="shared" si="384"/>
        <v>558.1</v>
      </c>
      <c r="CM181" s="1689">
        <f t="shared" si="375"/>
        <v>0</v>
      </c>
      <c r="CN181" s="510">
        <f t="shared" si="385"/>
        <v>95.3</v>
      </c>
      <c r="CO181" s="511">
        <v>0</v>
      </c>
      <c r="CP181" s="510">
        <f t="shared" si="386"/>
        <v>146.61000000000001</v>
      </c>
      <c r="CQ181" s="510">
        <f t="shared" si="387"/>
        <v>0</v>
      </c>
      <c r="CR181" s="496">
        <f t="shared" si="388"/>
        <v>1358.1100000000001</v>
      </c>
      <c r="CS181" s="510">
        <f t="shared" si="389"/>
        <v>132.67000000000002</v>
      </c>
      <c r="CT181" s="510">
        <f t="shared" si="390"/>
        <v>6255</v>
      </c>
      <c r="CU181" s="470"/>
      <c r="CV181" s="470"/>
      <c r="CW181" s="470"/>
      <c r="CX181" s="470"/>
      <c r="CY181" s="1149" t="s">
        <v>6883</v>
      </c>
      <c r="CZ181" s="1149" t="s">
        <v>6891</v>
      </c>
      <c r="DA181" s="1152"/>
      <c r="DB181" s="1642" t="s">
        <v>6637</v>
      </c>
      <c r="DC181" s="1642"/>
      <c r="DD181" s="1642" t="s">
        <v>6143</v>
      </c>
      <c r="DE181" s="1642" t="s">
        <v>6142</v>
      </c>
      <c r="DF181" s="1642" t="s">
        <v>6557</v>
      </c>
      <c r="DG181" s="1642"/>
      <c r="DH181" s="512"/>
      <c r="DI181" s="512"/>
      <c r="DJ181" s="512"/>
      <c r="DK181" s="512"/>
      <c r="DL181" s="512"/>
      <c r="DN181" s="476" t="str">
        <f>VLOOKUP(X181,Hoja1!$A$4:$B$10,2,0)</f>
        <v>PROFESIONAL</v>
      </c>
      <c r="DO181" s="476" t="str">
        <f>VLOOKUP(S181,Hoja1!$D$4:$F$77,3,0)</f>
        <v>PI</v>
      </c>
      <c r="DP181" s="1158" t="str">
        <f t="shared" si="391"/>
        <v>SI</v>
      </c>
      <c r="DQ181" s="1484">
        <f>IF(T181&lt;&gt;"0",(ROUND(IF(A181="EMPLEADO",eval_formula('CONCEPTOS Y PARAMETROS'!$C$8,NOMINA!V181,AU181+BF181,NOMINA!I181+NOMINA!J181),eval_formula('CONCEPTOS Y PARAMETROS'!$D$8,NOMINA!V181,AU181+BF181,NOMINA!I181+NOMINA!J181)),2))*IF(H181&lt;&gt;"",IF(MONTH(H181)=$BR$8,IF(YEAR(H181)&lt;$BT$7,1,0),0)))</f>
        <v>0</v>
      </c>
      <c r="DR181" s="1799" t="str">
        <f t="shared" si="392"/>
        <v>F</v>
      </c>
      <c r="DS181" s="1799"/>
    </row>
    <row r="182" spans="1:123" s="476" customFormat="1" ht="21.95" customHeight="1" x14ac:dyDescent="0.25">
      <c r="A182" s="508" t="s">
        <v>2846</v>
      </c>
      <c r="B182" s="1314">
        <f t="shared" ca="1" si="347"/>
        <v>139</v>
      </c>
      <c r="C182" s="1148">
        <v>16533986</v>
      </c>
      <c r="D182" s="1149" t="s">
        <v>4827</v>
      </c>
      <c r="E182" s="1135" t="s">
        <v>4622</v>
      </c>
      <c r="F182" s="1150">
        <v>30272</v>
      </c>
      <c r="G182" s="1135" t="s">
        <v>4620</v>
      </c>
      <c r="H182" s="1150">
        <v>42948</v>
      </c>
      <c r="I182" s="1140">
        <f t="shared" si="376"/>
        <v>8</v>
      </c>
      <c r="J182" s="1132">
        <v>0</v>
      </c>
      <c r="K182" s="1140">
        <f t="shared" si="371"/>
        <v>8</v>
      </c>
      <c r="L182" s="1145" t="s">
        <v>5544</v>
      </c>
      <c r="M182" s="1132"/>
      <c r="N182" s="1132"/>
      <c r="O182" s="1002" t="s">
        <v>1250</v>
      </c>
      <c r="P182" s="1132" t="s">
        <v>5382</v>
      </c>
      <c r="Q182" s="1315" t="str">
        <f>IFERROR(VLOOKUP(O182,CARGOS!A:E,2,0),"")</f>
        <v>46520</v>
      </c>
      <c r="R182" s="1327" t="s">
        <v>7269</v>
      </c>
      <c r="S182" s="1146" t="s">
        <v>5475</v>
      </c>
      <c r="T182" s="1107">
        <f>IFERROR(VLOOKUP(S182,'TAB EMP'!A:B,2,0),0)</f>
        <v>279</v>
      </c>
      <c r="U182" s="1108">
        <v>0</v>
      </c>
      <c r="V182" s="1107">
        <f t="shared" si="393"/>
        <v>279</v>
      </c>
      <c r="W182" s="1108">
        <f t="shared" si="394"/>
        <v>139.5</v>
      </c>
      <c r="X182" s="1135" t="s">
        <v>2885</v>
      </c>
      <c r="Y182" s="1135"/>
      <c r="Z182" s="1135">
        <v>1</v>
      </c>
      <c r="AA182" s="1107">
        <f>ROUND(IF(H182&lt;&gt;"",VLOOKUP(SUM(I182+J182),'CONCEPTOS Y PARAMETROS'!F:G,2,0)*V182,0),2)</f>
        <v>23.99</v>
      </c>
      <c r="AB182" s="1107">
        <f>IF(S182&lt;&gt;"",IF(M182="",'CONCEPTOS Y PARAMETROS'!$C$4,0),0)</f>
        <v>130</v>
      </c>
      <c r="AC182" s="1107">
        <f>IF(S182&lt;&gt;"",IF(M182="",'CONCEPTOS Y PARAMETROS'!$C$7*Z182,0),0)</f>
        <v>12.5</v>
      </c>
      <c r="AD182" s="1107">
        <f>IFERROR(ROUND(VLOOKUP($X182,'CONCEPTOS Y PARAMETROS'!H:I,2,0)*($V182+AA182+AB182+AC182),2),0)</f>
        <v>111.37</v>
      </c>
      <c r="AE182" s="1107">
        <f t="shared" si="369"/>
        <v>277.86</v>
      </c>
      <c r="AF182" s="1107">
        <f t="shared" si="395"/>
        <v>12</v>
      </c>
      <c r="AG182" s="1107">
        <f t="shared" si="396"/>
        <v>11.99</v>
      </c>
      <c r="AH182" s="1107">
        <f t="shared" si="397"/>
        <v>65</v>
      </c>
      <c r="AI182" s="1107">
        <f t="shared" si="398"/>
        <v>65</v>
      </c>
      <c r="AJ182" s="1107">
        <f t="shared" si="399"/>
        <v>55.69</v>
      </c>
      <c r="AK182" s="1107">
        <f t="shared" si="400"/>
        <v>55.68</v>
      </c>
      <c r="AL182" s="1108">
        <f t="shared" si="401"/>
        <v>145.19</v>
      </c>
      <c r="AM182" s="1108">
        <f t="shared" si="402"/>
        <v>132.66999999999999</v>
      </c>
      <c r="AN182" s="990">
        <v>0</v>
      </c>
      <c r="AO182" s="1147">
        <f>'CONCEPTOS Y PARAMETROS'!$C$18*AN182</f>
        <v>0</v>
      </c>
      <c r="AP182" s="990">
        <v>0</v>
      </c>
      <c r="AQ182" s="1147">
        <f>'CONCEPTOS Y PARAMETROS'!$C$21*AP182</f>
        <v>0</v>
      </c>
      <c r="AR182" s="1318">
        <v>0</v>
      </c>
      <c r="AS182" s="1318">
        <v>0</v>
      </c>
      <c r="AT182" s="1318">
        <f t="shared" si="370"/>
        <v>0</v>
      </c>
      <c r="AU182" s="1108">
        <f t="shared" si="372"/>
        <v>556.86</v>
      </c>
      <c r="AV182" s="1133">
        <v>0</v>
      </c>
      <c r="AW182" s="1108">
        <f t="shared" si="364"/>
        <v>0</v>
      </c>
      <c r="AX182" s="1107">
        <f>IF(T182&lt;&gt;"0",(ROUND(IF(A182="EMPLEADO",eval_formula('CONCEPTOS Y PARAMETROS'!$C$8,NOMINA!V182,NOMINA!$AU182,NOMINA!I182+NOMINA!J182),eval_formula('CONCEPTOS Y PARAMETROS'!$D$8,NOMINA!V182,NOMINA!$AU182,NOMINA!I182+NOMINA!J182)),2))*IF(H182&lt;&gt;"",IF(MONTH(H182)=$BR$8,IF(YEAR(H182)&lt;$BT$7,1,0),0)))</f>
        <v>0</v>
      </c>
      <c r="AY182" s="1108">
        <v>180</v>
      </c>
      <c r="AZ182" s="1107">
        <f>IFERROR(VLOOKUP(AY182,'CONCEPTOS Y PARAMETROS'!Y:Z,2,0),0)</f>
        <v>150</v>
      </c>
      <c r="BA182" s="1107">
        <f t="shared" si="403"/>
        <v>4176.45</v>
      </c>
      <c r="BB182" s="1107">
        <f t="shared" si="405"/>
        <v>0</v>
      </c>
      <c r="BC182" s="990">
        <v>0</v>
      </c>
      <c r="BD182" s="1107" t="str">
        <f t="shared" si="373"/>
        <v>0</v>
      </c>
      <c r="BE182" s="990">
        <v>0</v>
      </c>
      <c r="BF182" s="1107">
        <f t="shared" si="357"/>
        <v>0</v>
      </c>
      <c r="BG182" s="1108">
        <v>320</v>
      </c>
      <c r="BH182" s="1108">
        <v>0</v>
      </c>
      <c r="BI182" s="1132">
        <v>0</v>
      </c>
      <c r="BJ182" s="1108">
        <v>12.5</v>
      </c>
      <c r="BK182" s="1108">
        <v>0</v>
      </c>
      <c r="BL182" s="1107">
        <f t="shared" si="324"/>
        <v>25.7</v>
      </c>
      <c r="BM182" s="1107">
        <f t="shared" si="325"/>
        <v>3.21</v>
      </c>
      <c r="BN182" s="1107">
        <f t="shared" si="377"/>
        <v>5.57</v>
      </c>
      <c r="BO182" s="1107">
        <v>0</v>
      </c>
      <c r="BP182" s="1107">
        <v>0</v>
      </c>
      <c r="BQ182" s="1320">
        <f t="shared" si="366"/>
        <v>34.479999999999997</v>
      </c>
      <c r="BR182" s="1107">
        <f t="shared" si="326"/>
        <v>57.83</v>
      </c>
      <c r="BS182" s="1107">
        <f t="shared" si="327"/>
        <v>12.85</v>
      </c>
      <c r="BT182" s="1107">
        <f t="shared" si="378"/>
        <v>11.14</v>
      </c>
      <c r="BU182" s="1107">
        <v>0</v>
      </c>
      <c r="BV182" s="1108">
        <f t="shared" si="367"/>
        <v>81.819999999999993</v>
      </c>
      <c r="BW182" s="1112">
        <f t="shared" si="368"/>
        <v>116.29999999999998</v>
      </c>
      <c r="BX182" s="1112">
        <f t="shared" si="356"/>
        <v>1044.1099999999999</v>
      </c>
      <c r="BY182" s="1108">
        <v>0</v>
      </c>
      <c r="BZ182" s="1108">
        <f t="shared" si="365"/>
        <v>1044.1099999999999</v>
      </c>
      <c r="CA182" s="1321">
        <f>'CONCEPTOS Y PARAMETROS'!$A$102</f>
        <v>6255</v>
      </c>
      <c r="CB182" s="1112">
        <f t="shared" si="379"/>
        <v>250.21</v>
      </c>
      <c r="CC182" s="1113">
        <f t="shared" si="380"/>
        <v>604.66999999999996</v>
      </c>
      <c r="CD182" s="512"/>
      <c r="CE182" s="512"/>
      <c r="CF182" s="470">
        <f t="shared" si="381"/>
        <v>912.17</v>
      </c>
      <c r="CG182" s="509">
        <f t="shared" si="404"/>
        <v>250.21</v>
      </c>
      <c r="CH182" s="1603">
        <f t="shared" si="382"/>
        <v>12.5</v>
      </c>
      <c r="CI182" s="1491">
        <f t="shared" si="374"/>
        <v>320</v>
      </c>
      <c r="CJ182" s="1502">
        <v>1</v>
      </c>
      <c r="CK182" s="509">
        <f t="shared" si="383"/>
        <v>592.16999999999996</v>
      </c>
      <c r="CL182" s="1689">
        <f t="shared" si="384"/>
        <v>592.16999999999996</v>
      </c>
      <c r="CM182" s="1689">
        <f t="shared" si="375"/>
        <v>0</v>
      </c>
      <c r="CN182" s="510">
        <f t="shared" si="385"/>
        <v>0</v>
      </c>
      <c r="CO182" s="511">
        <v>0</v>
      </c>
      <c r="CP182" s="510">
        <f t="shared" si="386"/>
        <v>0</v>
      </c>
      <c r="CQ182" s="510">
        <f t="shared" si="387"/>
        <v>0</v>
      </c>
      <c r="CR182" s="510">
        <f t="shared" si="388"/>
        <v>1184.3399999999999</v>
      </c>
      <c r="CS182" s="510">
        <f t="shared" si="389"/>
        <v>116.29999999999998</v>
      </c>
      <c r="CT182" s="510">
        <f t="shared" si="390"/>
        <v>6255</v>
      </c>
      <c r="CU182" s="512"/>
      <c r="CV182" s="512"/>
      <c r="CW182" s="512"/>
      <c r="CX182" s="512"/>
      <c r="CY182" s="1149" t="s">
        <v>6882</v>
      </c>
      <c r="CZ182" s="1149" t="s">
        <v>6890</v>
      </c>
      <c r="DA182" s="1152"/>
      <c r="DB182" s="1152" t="s">
        <v>6335</v>
      </c>
      <c r="DC182" s="1152"/>
      <c r="DD182" s="1152" t="s">
        <v>6158</v>
      </c>
      <c r="DE182" s="1152" t="s">
        <v>6162</v>
      </c>
      <c r="DF182" s="1152" t="s">
        <v>6228</v>
      </c>
      <c r="DG182" s="1152"/>
      <c r="DH182" s="512"/>
      <c r="DI182" s="512"/>
      <c r="DJ182" s="512"/>
      <c r="DK182" s="512"/>
      <c r="DL182" s="512"/>
      <c r="DN182" s="476" t="str">
        <f>VLOOKUP(X182,Hoja1!$A$4:$B$10,2,0)</f>
        <v>PROFESIONAL</v>
      </c>
      <c r="DO182" s="476" t="str">
        <f>VLOOKUP(S182,Hoja1!$D$4:$F$77,3,0)</f>
        <v>PII - III</v>
      </c>
      <c r="DP182" s="1594" t="str">
        <f t="shared" si="391"/>
        <v>0</v>
      </c>
      <c r="DQ182" s="1484">
        <f>IF(T182&lt;&gt;"0",(ROUND(IF(A182="EMPLEADO",eval_formula('CONCEPTOS Y PARAMETROS'!$C$8,NOMINA!V182,AU182+BF182,NOMINA!I182+NOMINA!J182),eval_formula('CONCEPTOS Y PARAMETROS'!$D$8,NOMINA!V182,AU182+BF182,NOMINA!I182+NOMINA!J182)),2))*IF(H182&lt;&gt;"",IF(MONTH(H182)=$BR$8,IF(YEAR(H182)&lt;$BT$7,1,0),0)))</f>
        <v>0</v>
      </c>
      <c r="DR182" s="1799" t="str">
        <f t="shared" si="392"/>
        <v>F</v>
      </c>
      <c r="DS182" s="1799"/>
    </row>
    <row r="183" spans="1:123" s="1173" customFormat="1" ht="21.95" customHeight="1" x14ac:dyDescent="0.25">
      <c r="A183" s="1171" t="s">
        <v>2846</v>
      </c>
      <c r="B183" s="1353">
        <f t="shared" ca="1" si="347"/>
        <v>140</v>
      </c>
      <c r="C183" s="1354">
        <v>16739081</v>
      </c>
      <c r="D183" s="1355" t="s">
        <v>4828</v>
      </c>
      <c r="E183" s="1356" t="s">
        <v>4622</v>
      </c>
      <c r="F183" s="1357">
        <v>30771</v>
      </c>
      <c r="G183" s="1356" t="s">
        <v>4620</v>
      </c>
      <c r="H183" s="1357">
        <v>42948</v>
      </c>
      <c r="I183" s="1358">
        <f t="shared" si="376"/>
        <v>8</v>
      </c>
      <c r="J183" s="1359">
        <v>0</v>
      </c>
      <c r="K183" s="1358">
        <f t="shared" si="371"/>
        <v>8</v>
      </c>
      <c r="L183" s="1360" t="s">
        <v>5534</v>
      </c>
      <c r="M183" s="1359"/>
      <c r="N183" s="1359"/>
      <c r="O183" s="1361" t="s">
        <v>5215</v>
      </c>
      <c r="P183" s="1359" t="s">
        <v>5383</v>
      </c>
      <c r="Q183" s="1362" t="str">
        <f>IFERROR(VLOOKUP(O183,CARGOS!A:E,2,0),"")</f>
        <v>12113</v>
      </c>
      <c r="R183" s="1363" t="s">
        <v>5215</v>
      </c>
      <c r="S183" s="1364" t="s">
        <v>5478</v>
      </c>
      <c r="T183" s="1365">
        <f>IFERROR(VLOOKUP(S183,'TAB EMP'!A:B,2,0),0)*0</f>
        <v>0</v>
      </c>
      <c r="U183" s="1308">
        <v>0</v>
      </c>
      <c r="V183" s="1365">
        <f t="shared" si="393"/>
        <v>0</v>
      </c>
      <c r="W183" s="1308">
        <f t="shared" si="394"/>
        <v>0</v>
      </c>
      <c r="X183" s="1356" t="s">
        <v>2844</v>
      </c>
      <c r="Y183" s="1356"/>
      <c r="Z183" s="1356">
        <v>0</v>
      </c>
      <c r="AA183" s="1365">
        <f>ROUND(IF(H183&lt;&gt;"",VLOOKUP(SUM(I183+J183),'CONCEPTOS Y PARAMETROS'!F:G,2,0)*V183,0),2)</f>
        <v>0</v>
      </c>
      <c r="AB183" s="1365">
        <f>IF(S183&lt;&gt;"",IF(M183="",'CONCEPTOS Y PARAMETROS'!$C$4,0),0)*0</f>
        <v>0</v>
      </c>
      <c r="AC183" s="1365">
        <f>IF(S183&lt;&gt;"",IF(M183="",'CONCEPTOS Y PARAMETROS'!$C$7*Z183,0),0)</f>
        <v>0</v>
      </c>
      <c r="AD183" s="1365">
        <f>IFERROR(ROUND(VLOOKUP($X183,'CONCEPTOS Y PARAMETROS'!H:I,2,0)*($V183+AA183+AB183+AC183),2),0)</f>
        <v>0</v>
      </c>
      <c r="AE183" s="1365">
        <f t="shared" si="369"/>
        <v>0</v>
      </c>
      <c r="AF183" s="1365">
        <f t="shared" si="395"/>
        <v>0</v>
      </c>
      <c r="AG183" s="1365">
        <f t="shared" si="396"/>
        <v>0</v>
      </c>
      <c r="AH183" s="1365">
        <f t="shared" si="397"/>
        <v>0</v>
      </c>
      <c r="AI183" s="1365">
        <f t="shared" si="398"/>
        <v>0</v>
      </c>
      <c r="AJ183" s="1365">
        <f t="shared" si="399"/>
        <v>0</v>
      </c>
      <c r="AK183" s="1365">
        <f t="shared" si="400"/>
        <v>0</v>
      </c>
      <c r="AL183" s="1308">
        <f t="shared" si="401"/>
        <v>0</v>
      </c>
      <c r="AM183" s="1308">
        <f t="shared" si="402"/>
        <v>0</v>
      </c>
      <c r="AN183" s="1366">
        <v>0</v>
      </c>
      <c r="AO183" s="1367">
        <f>'CONCEPTOS Y PARAMETROS'!$C$18*AN183</f>
        <v>0</v>
      </c>
      <c r="AP183" s="1366">
        <v>0</v>
      </c>
      <c r="AQ183" s="1367">
        <f>'CONCEPTOS Y PARAMETROS'!$C$21*AP183</f>
        <v>0</v>
      </c>
      <c r="AR183" s="1368">
        <v>0</v>
      </c>
      <c r="AS183" s="1368">
        <v>0</v>
      </c>
      <c r="AT183" s="1368">
        <f t="shared" si="370"/>
        <v>0</v>
      </c>
      <c r="AU183" s="1308">
        <f t="shared" si="372"/>
        <v>0</v>
      </c>
      <c r="AV183" s="1369">
        <v>0</v>
      </c>
      <c r="AW183" s="1308">
        <f t="shared" si="364"/>
        <v>0</v>
      </c>
      <c r="AX183" s="1365">
        <f>IF(T183&lt;&gt;"0",(ROUND(IF(A183="EMPLEADO",eval_formula('CONCEPTOS Y PARAMETROS'!$C$8,NOMINA!V183,NOMINA!$AU183,NOMINA!I183+NOMINA!J183),eval_formula('CONCEPTOS Y PARAMETROS'!$D$8,NOMINA!V183,NOMINA!$AU183,NOMINA!I183+NOMINA!J183)),2))*IF(H183&lt;&gt;"",IF(MONTH(H183)=$BR$8,IF(YEAR(H183)&lt;$BT$7,1,0),0)))</f>
        <v>0</v>
      </c>
      <c r="AY183" s="1308">
        <v>180</v>
      </c>
      <c r="AZ183" s="1365">
        <f>IFERROR(VLOOKUP(AY183,'CONCEPTOS Y PARAMETROS'!Y:Z,2,0),0)</f>
        <v>150</v>
      </c>
      <c r="BA183" s="1365">
        <f t="shared" si="403"/>
        <v>0</v>
      </c>
      <c r="BB183" s="1365">
        <f t="shared" si="405"/>
        <v>0</v>
      </c>
      <c r="BC183" s="1366">
        <v>0</v>
      </c>
      <c r="BD183" s="1365" t="str">
        <f t="shared" si="373"/>
        <v>0</v>
      </c>
      <c r="BE183" s="1340">
        <v>0</v>
      </c>
      <c r="BF183" s="1365">
        <f t="shared" si="357"/>
        <v>0</v>
      </c>
      <c r="BG183" s="1308">
        <v>0</v>
      </c>
      <c r="BH183" s="1308">
        <v>0</v>
      </c>
      <c r="BI183" s="1359">
        <v>0</v>
      </c>
      <c r="BJ183" s="1308">
        <v>0</v>
      </c>
      <c r="BK183" s="1308">
        <v>0</v>
      </c>
      <c r="BL183" s="1365">
        <f t="shared" si="324"/>
        <v>0</v>
      </c>
      <c r="BM183" s="1365">
        <f t="shared" si="325"/>
        <v>0</v>
      </c>
      <c r="BN183" s="1365">
        <f t="shared" si="377"/>
        <v>0</v>
      </c>
      <c r="BO183" s="1365">
        <v>0</v>
      </c>
      <c r="BP183" s="1365">
        <v>0</v>
      </c>
      <c r="BQ183" s="1370">
        <f t="shared" si="366"/>
        <v>0</v>
      </c>
      <c r="BR183" s="1365">
        <f t="shared" si="326"/>
        <v>0</v>
      </c>
      <c r="BS183" s="1365">
        <f t="shared" si="327"/>
        <v>0</v>
      </c>
      <c r="BT183" s="1365">
        <f t="shared" si="378"/>
        <v>0</v>
      </c>
      <c r="BU183" s="1365">
        <v>0</v>
      </c>
      <c r="BV183" s="1308">
        <f t="shared" si="367"/>
        <v>0</v>
      </c>
      <c r="BW183" s="1306">
        <f t="shared" si="368"/>
        <v>0</v>
      </c>
      <c r="BX183" s="1306">
        <f t="shared" si="356"/>
        <v>0</v>
      </c>
      <c r="BY183" s="1308">
        <v>0</v>
      </c>
      <c r="BZ183" s="1308">
        <f t="shared" si="365"/>
        <v>0</v>
      </c>
      <c r="CA183" s="1371">
        <v>0</v>
      </c>
      <c r="CB183" s="1306">
        <f t="shared" si="379"/>
        <v>0</v>
      </c>
      <c r="CC183" s="1372">
        <f t="shared" si="380"/>
        <v>0</v>
      </c>
      <c r="CD183" s="1172"/>
      <c r="CE183" s="1172"/>
      <c r="CF183" s="470">
        <f t="shared" si="381"/>
        <v>0</v>
      </c>
      <c r="CG183" s="1174">
        <f t="shared" si="404"/>
        <v>0</v>
      </c>
      <c r="CH183" s="498">
        <f t="shared" si="382"/>
        <v>0</v>
      </c>
      <c r="CI183" s="1493">
        <f t="shared" si="374"/>
        <v>0</v>
      </c>
      <c r="CJ183" s="1505">
        <v>0</v>
      </c>
      <c r="CK183" s="1174">
        <f t="shared" si="383"/>
        <v>0</v>
      </c>
      <c r="CL183" s="912">
        <f t="shared" si="384"/>
        <v>0</v>
      </c>
      <c r="CM183" s="912">
        <f t="shared" si="375"/>
        <v>0</v>
      </c>
      <c r="CN183" s="1175">
        <f t="shared" si="385"/>
        <v>0</v>
      </c>
      <c r="CO183" s="1176">
        <v>0</v>
      </c>
      <c r="CP183" s="1175">
        <f t="shared" si="386"/>
        <v>0</v>
      </c>
      <c r="CQ183" s="1175">
        <f t="shared" si="387"/>
        <v>0</v>
      </c>
      <c r="CR183" s="496">
        <f t="shared" si="388"/>
        <v>0</v>
      </c>
      <c r="CS183" s="1175">
        <f t="shared" si="389"/>
        <v>0</v>
      </c>
      <c r="CT183" s="1175">
        <f t="shared" si="390"/>
        <v>0</v>
      </c>
      <c r="CU183" s="470"/>
      <c r="CV183" s="470"/>
      <c r="CW183" s="470"/>
      <c r="CX183" s="470"/>
      <c r="CY183" s="1355" t="s">
        <v>6881</v>
      </c>
      <c r="CZ183" s="1355" t="s">
        <v>6815</v>
      </c>
      <c r="DA183" s="1267"/>
      <c r="DB183" s="1267" t="s">
        <v>6246</v>
      </c>
      <c r="DC183" s="1267"/>
      <c r="DD183" s="1267" t="s">
        <v>6135</v>
      </c>
      <c r="DE183" s="1267" t="s">
        <v>6247</v>
      </c>
      <c r="DF183" s="1267" t="s">
        <v>6328</v>
      </c>
      <c r="DG183" s="1267"/>
      <c r="DH183" s="1172"/>
      <c r="DI183" s="1172"/>
      <c r="DJ183" s="1172"/>
      <c r="DK183" s="1172"/>
      <c r="DL183" s="1172"/>
      <c r="DN183" s="1173" t="str">
        <f>VLOOKUP(X183,Hoja1!$A$4:$B$10,2,0)</f>
        <v>TÉCNICO SUPERIOR UNIVERSITARIO</v>
      </c>
      <c r="DO183" s="1173" t="str">
        <f>VLOOKUP(S183,Hoja1!$D$4:$F$77,3,0)</f>
        <v>TII - III</v>
      </c>
      <c r="DP183" s="1264" t="str">
        <f t="shared" si="391"/>
        <v>0</v>
      </c>
      <c r="DQ183" s="1484">
        <f>IF(T183&lt;&gt;"0",(ROUND(IF(A183="EMPLEADO",eval_formula('CONCEPTOS Y PARAMETROS'!$C$8,NOMINA!V183,AU183+BF183,NOMINA!I183+NOMINA!J183),eval_formula('CONCEPTOS Y PARAMETROS'!$D$8,NOMINA!V183,AU183+BF183,NOMINA!I183+NOMINA!J183)),2))*IF(H183&lt;&gt;"",IF(MONTH(H183)=$BR$8,IF(YEAR(H183)&lt;$BT$7,1,0),0)))</f>
        <v>0</v>
      </c>
      <c r="DR183" s="1821" t="str">
        <f t="shared" si="392"/>
        <v>F</v>
      </c>
      <c r="DS183" s="1821"/>
    </row>
    <row r="184" spans="1:123" s="476" customFormat="1" ht="21.95" customHeight="1" x14ac:dyDescent="0.2">
      <c r="A184" s="508" t="s">
        <v>2846</v>
      </c>
      <c r="B184" s="1314">
        <f t="shared" ca="1" si="347"/>
        <v>141</v>
      </c>
      <c r="C184" s="1148">
        <v>16740261</v>
      </c>
      <c r="D184" s="1149" t="s">
        <v>6674</v>
      </c>
      <c r="E184" s="1135" t="s">
        <v>4622</v>
      </c>
      <c r="F184" s="1150">
        <v>30879</v>
      </c>
      <c r="G184" s="1135" t="s">
        <v>4620</v>
      </c>
      <c r="H184" s="1150">
        <v>45505</v>
      </c>
      <c r="I184" s="1140">
        <f t="shared" si="376"/>
        <v>1</v>
      </c>
      <c r="J184" s="1132">
        <v>0</v>
      </c>
      <c r="K184" s="1140">
        <f t="shared" si="371"/>
        <v>1</v>
      </c>
      <c r="L184" s="1145" t="s">
        <v>5535</v>
      </c>
      <c r="M184" s="1132"/>
      <c r="N184" s="1132"/>
      <c r="O184" s="1002" t="s">
        <v>5220</v>
      </c>
      <c r="P184" s="1151" t="s">
        <v>6675</v>
      </c>
      <c r="Q184" s="1315" t="s">
        <v>2380</v>
      </c>
      <c r="R184" s="1327" t="s">
        <v>5220</v>
      </c>
      <c r="S184" s="1146" t="s">
        <v>5462</v>
      </c>
      <c r="T184" s="1107">
        <f>IFERROR(VLOOKUP(S184,'TAB EMP'!A:B,2,0),0)</f>
        <v>192</v>
      </c>
      <c r="U184" s="1108">
        <v>0</v>
      </c>
      <c r="V184" s="1107">
        <f t="shared" ref="V184" si="422">T184-U184</f>
        <v>192</v>
      </c>
      <c r="W184" s="1108">
        <f t="shared" ref="W184" si="423">ROUND(V184/2,2)</f>
        <v>96</v>
      </c>
      <c r="X184" s="1135" t="s">
        <v>2844</v>
      </c>
      <c r="Y184" s="1135"/>
      <c r="Z184" s="1135">
        <v>1</v>
      </c>
      <c r="AA184" s="1107">
        <f>ROUND(IF(H184&lt;&gt;"",VLOOKUP(SUM(I184+J184),'CONCEPTOS Y PARAMETROS'!F:G,2,0)*V184,0),2)</f>
        <v>1.92</v>
      </c>
      <c r="AB184" s="1107">
        <f>IF(S184&lt;&gt;"",IF(M184="",'CONCEPTOS Y PARAMETROS'!$C$4,0),0)</f>
        <v>130</v>
      </c>
      <c r="AC184" s="1107">
        <f>IF(S184&lt;&gt;"",IF(M184="",'CONCEPTOS Y PARAMETROS'!$C$7*Z184,0),0)</f>
        <v>12.5</v>
      </c>
      <c r="AD184" s="1107">
        <f>IFERROR(ROUND(VLOOKUP($X184,'CONCEPTOS Y PARAMETROS'!H:I,2,0)*($V184+AA184+AB184+AC184),2),0)</f>
        <v>67.28</v>
      </c>
      <c r="AE184" s="1107">
        <f t="shared" ref="AE184" si="424">SUM(AA184:AD184)</f>
        <v>211.7</v>
      </c>
      <c r="AF184" s="1107">
        <f t="shared" ref="AF184" si="425">ROUND(AA184/2,2)</f>
        <v>0.96</v>
      </c>
      <c r="AG184" s="1107">
        <f t="shared" ref="AG184" si="426">ROUND(AA184-AF184,2)</f>
        <v>0.96</v>
      </c>
      <c r="AH184" s="1107">
        <f t="shared" ref="AH184" si="427">ROUND(AB184/2,2)</f>
        <v>65</v>
      </c>
      <c r="AI184" s="1107">
        <f t="shared" ref="AI184" si="428">ROUND(AB184-AH184,2)</f>
        <v>65</v>
      </c>
      <c r="AJ184" s="1107">
        <f t="shared" ref="AJ184" si="429">ROUND(AD184/2,2)</f>
        <v>33.64</v>
      </c>
      <c r="AK184" s="1107">
        <f t="shared" ref="AK184" si="430">ROUND(AD184-AJ184,2)</f>
        <v>33.64</v>
      </c>
      <c r="AL184" s="1108">
        <f t="shared" ref="AL184" si="431">ROUND(AF184+AH184+AJ184+AC184,2)</f>
        <v>112.1</v>
      </c>
      <c r="AM184" s="1108">
        <f t="shared" ref="AM184" si="432">ROUND(AG184+AI184+AK184,2)</f>
        <v>99.6</v>
      </c>
      <c r="AN184" s="990">
        <v>0</v>
      </c>
      <c r="AO184" s="1147">
        <f>'CONCEPTOS Y PARAMETROS'!$C$18*AN184</f>
        <v>0</v>
      </c>
      <c r="AP184" s="990">
        <v>0</v>
      </c>
      <c r="AQ184" s="1147">
        <f>'CONCEPTOS Y PARAMETROS'!$C$21*AP184</f>
        <v>0</v>
      </c>
      <c r="AR184" s="1318">
        <v>0</v>
      </c>
      <c r="AS184" s="1318">
        <v>0</v>
      </c>
      <c r="AT184" s="1318">
        <f t="shared" si="370"/>
        <v>0</v>
      </c>
      <c r="AU184" s="1108">
        <f t="shared" si="372"/>
        <v>403.7</v>
      </c>
      <c r="AV184" s="1108">
        <v>0</v>
      </c>
      <c r="AW184" s="1108">
        <f t="shared" si="364"/>
        <v>0</v>
      </c>
      <c r="AX184" s="1108">
        <f>IF(T184&lt;&gt;"0",(ROUND(IF(A184="EMPLEADO",eval_formula('CONCEPTOS Y PARAMETROS'!$C$8,NOMINA!V184,NOMINA!$AU184,NOMINA!I184+NOMINA!J184),eval_formula('CONCEPTOS Y PARAMETROS'!$D$8,NOMINA!V184,NOMINA!$AU184,NOMINA!I184+NOMINA!J184)),2))*IF(H184&lt;&gt;"",IF(MONTH(H184)=$BR$8,IF(YEAR(H184)&lt;$BT$7,1,0),0)))</f>
        <v>0</v>
      </c>
      <c r="AY184" s="1108">
        <v>75</v>
      </c>
      <c r="AZ184" s="1107">
        <f>IFERROR(VLOOKUP(AY184,'CONCEPTOS Y PARAMETROS'!Y:Z,2,0),0)</f>
        <v>62.5</v>
      </c>
      <c r="BA184" s="1107">
        <f t="shared" ref="BA184" si="433">ROUND((((AU184))/30*AY184/12+(AU184))/30*AZ184,2)</f>
        <v>1016.26</v>
      </c>
      <c r="BB184" s="1107">
        <f t="shared" si="405"/>
        <v>0</v>
      </c>
      <c r="BC184" s="990">
        <v>0</v>
      </c>
      <c r="BD184" s="1107" t="str">
        <f t="shared" si="373"/>
        <v>0</v>
      </c>
      <c r="BE184" s="990">
        <v>0</v>
      </c>
      <c r="BF184" s="1107">
        <f t="shared" si="357"/>
        <v>0</v>
      </c>
      <c r="BG184" s="1108">
        <v>320</v>
      </c>
      <c r="BH184" s="1108">
        <v>0</v>
      </c>
      <c r="BI184" s="1132">
        <v>0</v>
      </c>
      <c r="BJ184" s="1108">
        <v>12.5</v>
      </c>
      <c r="BK184" s="1108">
        <v>0</v>
      </c>
      <c r="BL184" s="1107">
        <f t="shared" si="324"/>
        <v>18.63</v>
      </c>
      <c r="BM184" s="1107">
        <f t="shared" si="325"/>
        <v>2.33</v>
      </c>
      <c r="BN184" s="1107">
        <f t="shared" si="377"/>
        <v>4.04</v>
      </c>
      <c r="BO184" s="1107">
        <v>0</v>
      </c>
      <c r="BP184" s="1107">
        <v>0</v>
      </c>
      <c r="BQ184" s="1320">
        <f t="shared" ref="BQ184" si="434">ROUND(SUM(BL184:BP184),2)</f>
        <v>25</v>
      </c>
      <c r="BR184" s="1107">
        <f t="shared" si="326"/>
        <v>41.92</v>
      </c>
      <c r="BS184" s="1107">
        <f t="shared" si="327"/>
        <v>9.32</v>
      </c>
      <c r="BT184" s="1107">
        <f t="shared" si="378"/>
        <v>8.08</v>
      </c>
      <c r="BU184" s="1107">
        <v>0</v>
      </c>
      <c r="BV184" s="1108">
        <f t="shared" si="367"/>
        <v>59.32</v>
      </c>
      <c r="BW184" s="1112">
        <f t="shared" si="368"/>
        <v>84.32</v>
      </c>
      <c r="BX184" s="1112">
        <f t="shared" ref="BX184:BX211" si="435">ROUND(BA184/4,2)</f>
        <v>254.07</v>
      </c>
      <c r="BY184" s="1108">
        <v>0</v>
      </c>
      <c r="BZ184" s="1108">
        <f t="shared" si="365"/>
        <v>254.07</v>
      </c>
      <c r="CA184" s="1321">
        <f>'CONCEPTOS Y PARAMETROS'!$A$102</f>
        <v>6255</v>
      </c>
      <c r="CB184" s="1112">
        <f t="shared" si="379"/>
        <v>183.1</v>
      </c>
      <c r="CC184" s="1113">
        <f t="shared" si="380"/>
        <v>528.1</v>
      </c>
      <c r="CD184" s="512"/>
      <c r="CE184" s="512"/>
      <c r="CF184" s="470">
        <f t="shared" si="381"/>
        <v>835.6</v>
      </c>
      <c r="CG184" s="509">
        <f t="shared" si="404"/>
        <v>183.1</v>
      </c>
      <c r="CH184" s="498">
        <f t="shared" si="382"/>
        <v>12.5</v>
      </c>
      <c r="CI184" s="1491">
        <f t="shared" si="374"/>
        <v>320</v>
      </c>
      <c r="CJ184" s="1502">
        <v>1</v>
      </c>
      <c r="CK184" s="509">
        <f t="shared" si="383"/>
        <v>515.6</v>
      </c>
      <c r="CL184" s="1689">
        <f t="shared" si="384"/>
        <v>515.6</v>
      </c>
      <c r="CM184" s="1689">
        <f t="shared" si="375"/>
        <v>0</v>
      </c>
      <c r="CN184" s="510">
        <f t="shared" si="385"/>
        <v>0</v>
      </c>
      <c r="CO184" s="511">
        <v>0</v>
      </c>
      <c r="CP184" s="510">
        <f t="shared" si="386"/>
        <v>0</v>
      </c>
      <c r="CQ184" s="510">
        <f t="shared" si="387"/>
        <v>0</v>
      </c>
      <c r="CR184" s="496">
        <f t="shared" si="388"/>
        <v>1031.2</v>
      </c>
      <c r="CS184" s="510">
        <f t="shared" si="389"/>
        <v>84.32</v>
      </c>
      <c r="CT184" s="510">
        <f t="shared" si="390"/>
        <v>6255</v>
      </c>
      <c r="CU184" s="470"/>
      <c r="CV184" s="470"/>
      <c r="CW184" s="470"/>
      <c r="CX184" s="470"/>
      <c r="CY184" s="1149" t="s">
        <v>6880</v>
      </c>
      <c r="CZ184" s="1149" t="s">
        <v>6874</v>
      </c>
      <c r="DA184" s="1152"/>
      <c r="DB184" s="1642" t="s">
        <v>6685</v>
      </c>
      <c r="DC184" s="1642"/>
      <c r="DD184" s="1642" t="s">
        <v>6135</v>
      </c>
      <c r="DE184" s="1642" t="s">
        <v>6162</v>
      </c>
      <c r="DF184" s="1648" t="s">
        <v>7470</v>
      </c>
      <c r="DG184" s="1648" t="s">
        <v>7471</v>
      </c>
      <c r="DH184" s="512"/>
      <c r="DI184" s="512"/>
      <c r="DJ184" s="512"/>
      <c r="DK184" s="512"/>
      <c r="DL184" s="512"/>
      <c r="DN184" s="476" t="str">
        <f>VLOOKUP(X184,Hoja1!$A$4:$B$10,2,0)</f>
        <v>TÉCNICO SUPERIOR UNIVERSITARIO</v>
      </c>
      <c r="DO184" s="476" t="str">
        <f>VLOOKUP(S184,Hoja1!$D$4:$F$77,3,0)</f>
        <v>TI</v>
      </c>
      <c r="DP184" s="1164" t="str">
        <f t="shared" si="391"/>
        <v>0</v>
      </c>
      <c r="DQ184" s="1484">
        <f>IF(T184&lt;&gt;"0",(ROUND(IF(A184="EMPLEADO",eval_formula('CONCEPTOS Y PARAMETROS'!$C$8,NOMINA!V184,AU184+BF184,NOMINA!I184+NOMINA!J184),eval_formula('CONCEPTOS Y PARAMETROS'!$D$8,NOMINA!V184,AU184+BF184,NOMINA!I184+NOMINA!J184)),2))*IF(H184&lt;&gt;"",IF(MONTH(H184)=$BR$8,IF(YEAR(H184)&lt;$BT$7,1,0),0)))</f>
        <v>0</v>
      </c>
      <c r="DR184" s="1799" t="str">
        <f t="shared" si="392"/>
        <v>F</v>
      </c>
      <c r="DS184" s="1799"/>
    </row>
    <row r="185" spans="1:123" s="471" customFormat="1" ht="21.95" customHeight="1" x14ac:dyDescent="0.25">
      <c r="A185" s="508" t="s">
        <v>2846</v>
      </c>
      <c r="B185" s="1314">
        <f t="shared" ca="1" si="347"/>
        <v>142</v>
      </c>
      <c r="C185" s="1148">
        <v>16881384</v>
      </c>
      <c r="D185" s="1149" t="s">
        <v>4829</v>
      </c>
      <c r="E185" s="1135" t="s">
        <v>4622</v>
      </c>
      <c r="F185" s="1150">
        <v>30355</v>
      </c>
      <c r="G185" s="1135" t="s">
        <v>4621</v>
      </c>
      <c r="H185" s="1150">
        <v>43906</v>
      </c>
      <c r="I185" s="1140">
        <f t="shared" si="376"/>
        <v>5</v>
      </c>
      <c r="J185" s="1132">
        <v>9</v>
      </c>
      <c r="K185" s="1140">
        <f t="shared" si="371"/>
        <v>14</v>
      </c>
      <c r="L185" s="1145" t="s">
        <v>5536</v>
      </c>
      <c r="M185" s="1132"/>
      <c r="N185" s="1132"/>
      <c r="O185" s="1002" t="s">
        <v>5217</v>
      </c>
      <c r="P185" s="1132" t="s">
        <v>5384</v>
      </c>
      <c r="Q185" s="1315" t="str">
        <f>IFERROR(VLOOKUP(O185,CARGOS!A:E,2,0),"")</f>
        <v>79512</v>
      </c>
      <c r="R185" s="1327" t="s">
        <v>5217</v>
      </c>
      <c r="S185" s="1146" t="s">
        <v>5459</v>
      </c>
      <c r="T185" s="1107">
        <f>IFERROR(VLOOKUP(S185,'TAB EMP'!A:B,2,0),0)</f>
        <v>225</v>
      </c>
      <c r="U185" s="1108">
        <v>0</v>
      </c>
      <c r="V185" s="1107">
        <f t="shared" si="393"/>
        <v>225</v>
      </c>
      <c r="W185" s="1108">
        <f t="shared" si="394"/>
        <v>112.5</v>
      </c>
      <c r="X185" s="1135" t="s">
        <v>2844</v>
      </c>
      <c r="Y185" s="1135"/>
      <c r="Z185" s="1135">
        <v>0</v>
      </c>
      <c r="AA185" s="1107">
        <f>ROUND(IF(H185&lt;&gt;"",VLOOKUP(SUM(I185+J185),'CONCEPTOS Y PARAMETROS'!F:G,2,0)*V185,0),2)</f>
        <v>37.35</v>
      </c>
      <c r="AB185" s="1107">
        <f>IF(S185&lt;&gt;"",IF(M185="",'CONCEPTOS Y PARAMETROS'!$C$4,0),0)</f>
        <v>130</v>
      </c>
      <c r="AC185" s="1107">
        <f>IF(S185&lt;&gt;"",IF(M185="",'CONCEPTOS Y PARAMETROS'!$C$7*Z185,0),0)</f>
        <v>0</v>
      </c>
      <c r="AD185" s="1107">
        <f>IFERROR(ROUND(VLOOKUP($X185,'CONCEPTOS Y PARAMETROS'!H:I,2,0)*($V185+AA185+AB185+AC185),2),0)</f>
        <v>78.47</v>
      </c>
      <c r="AE185" s="1107">
        <f t="shared" si="369"/>
        <v>245.82</v>
      </c>
      <c r="AF185" s="1107">
        <f t="shared" si="395"/>
        <v>18.68</v>
      </c>
      <c r="AG185" s="1107">
        <f t="shared" si="396"/>
        <v>18.670000000000002</v>
      </c>
      <c r="AH185" s="1107">
        <f t="shared" si="397"/>
        <v>65</v>
      </c>
      <c r="AI185" s="1107">
        <f t="shared" si="398"/>
        <v>65</v>
      </c>
      <c r="AJ185" s="1107">
        <f t="shared" si="399"/>
        <v>39.24</v>
      </c>
      <c r="AK185" s="1107">
        <f t="shared" si="400"/>
        <v>39.229999999999997</v>
      </c>
      <c r="AL185" s="1108">
        <f t="shared" si="401"/>
        <v>122.92</v>
      </c>
      <c r="AM185" s="1108">
        <f t="shared" si="402"/>
        <v>122.9</v>
      </c>
      <c r="AN185" s="990">
        <v>0</v>
      </c>
      <c r="AO185" s="1147">
        <f>'CONCEPTOS Y PARAMETROS'!$C$18*AN185</f>
        <v>0</v>
      </c>
      <c r="AP185" s="990">
        <v>0</v>
      </c>
      <c r="AQ185" s="1147">
        <f>'CONCEPTOS Y PARAMETROS'!$C$21*AP185</f>
        <v>0</v>
      </c>
      <c r="AR185" s="1318">
        <v>0</v>
      </c>
      <c r="AS185" s="1318">
        <v>0</v>
      </c>
      <c r="AT185" s="1318">
        <f t="shared" si="370"/>
        <v>0</v>
      </c>
      <c r="AU185" s="1108">
        <f t="shared" si="372"/>
        <v>612.06999999999994</v>
      </c>
      <c r="AV185" s="1133" t="s">
        <v>5080</v>
      </c>
      <c r="AW185" s="1108">
        <f t="shared" si="364"/>
        <v>141.25</v>
      </c>
      <c r="AX185" s="1107">
        <f>IF(T185&lt;&gt;"0",(ROUND(IF(A185="EMPLEADO",eval_formula('CONCEPTOS Y PARAMETROS'!$C$8,NOMINA!V185,NOMINA!$AU185,NOMINA!I185+NOMINA!J185),eval_formula('CONCEPTOS Y PARAMETROS'!$D$8,NOMINA!V185,NOMINA!$AU185,NOMINA!I185+NOMINA!J185)),2))*IF(H185&lt;&gt;"",IF(MONTH(H185)=$BR$8,IF(YEAR(H185)&lt;$BT$7,1,0),0)))</f>
        <v>0</v>
      </c>
      <c r="AY185" s="1108">
        <v>180</v>
      </c>
      <c r="AZ185" s="1107">
        <f>IFERROR(VLOOKUP(AY185,'CONCEPTOS Y PARAMETROS'!Y:Z,2,0),0)</f>
        <v>150</v>
      </c>
      <c r="BA185" s="1107">
        <f t="shared" si="403"/>
        <v>4590.53</v>
      </c>
      <c r="BB185" s="1107">
        <f t="shared" si="405"/>
        <v>0</v>
      </c>
      <c r="BC185" s="990">
        <v>0</v>
      </c>
      <c r="BD185" s="1107" t="str">
        <f t="shared" si="373"/>
        <v>0</v>
      </c>
      <c r="BE185" s="990">
        <v>3</v>
      </c>
      <c r="BF185" s="1107">
        <f t="shared" ref="BF185:BF217" si="436">ROUND(IF(BE185&gt;0,(((V185+AA185+AB185+AC185+AD185+AW185)/30)*50%+((V185+AA185+AB185+AC185+AD185+AW185)/30))*BE185,"0"),2)</f>
        <v>91.81</v>
      </c>
      <c r="BG185" s="1108">
        <v>320</v>
      </c>
      <c r="BH185" s="1108">
        <v>0</v>
      </c>
      <c r="BI185" s="1132">
        <v>0</v>
      </c>
      <c r="BJ185" s="1108">
        <v>12.5</v>
      </c>
      <c r="BK185" s="1108">
        <v>0</v>
      </c>
      <c r="BL185" s="1107">
        <f t="shared" ref="BL185:BL248" si="437">ROUND(IF(M185="", (((AU185*12)/52)*4%)*$BS$8,0),2)</f>
        <v>28.25</v>
      </c>
      <c r="BM185" s="1107">
        <f t="shared" ref="BM185:BM248" si="438">ROUND(IF(M185="",(((AU185*12)/52)*0.5%)*$BS$8,0),2)</f>
        <v>3.53</v>
      </c>
      <c r="BN185" s="1107">
        <f t="shared" si="377"/>
        <v>6.12</v>
      </c>
      <c r="BO185" s="1107">
        <v>0</v>
      </c>
      <c r="BP185" s="1107">
        <v>0</v>
      </c>
      <c r="BQ185" s="1320">
        <f t="shared" si="366"/>
        <v>37.9</v>
      </c>
      <c r="BR185" s="1107">
        <f t="shared" ref="BR185:BR248" si="439">ROUND(IF(M185="", (((AU185*12)/52)*9%)*$BS$8,0),2)</f>
        <v>63.56</v>
      </c>
      <c r="BS185" s="1107">
        <f t="shared" ref="BS185:BS248" si="440">ROUND(IF(M185="",(((AU185*12)/52)*2%)*$BS$8,0),2)</f>
        <v>14.12</v>
      </c>
      <c r="BT185" s="1107">
        <f t="shared" si="378"/>
        <v>12.24</v>
      </c>
      <c r="BU185" s="1107">
        <v>0</v>
      </c>
      <c r="BV185" s="1108">
        <f t="shared" si="367"/>
        <v>89.92</v>
      </c>
      <c r="BW185" s="1112">
        <f t="shared" si="368"/>
        <v>127.82</v>
      </c>
      <c r="BX185" s="1112">
        <f t="shared" si="435"/>
        <v>1147.6300000000001</v>
      </c>
      <c r="BY185" s="1108">
        <v>0</v>
      </c>
      <c r="BZ185" s="1108">
        <f t="shared" si="365"/>
        <v>1147.6300000000001</v>
      </c>
      <c r="CA185" s="1321">
        <f>'CONCEPTOS Y PARAMETROS'!$A$102</f>
        <v>6255</v>
      </c>
      <c r="CB185" s="1112">
        <f t="shared" si="379"/>
        <v>197.52</v>
      </c>
      <c r="CC185" s="1113">
        <f t="shared" si="380"/>
        <v>800.96</v>
      </c>
      <c r="CD185" s="512"/>
      <c r="CE185" s="512"/>
      <c r="CF185" s="470">
        <f t="shared" si="381"/>
        <v>875.4</v>
      </c>
      <c r="CG185" s="495">
        <f t="shared" si="404"/>
        <v>197.52</v>
      </c>
      <c r="CH185" s="498">
        <f t="shared" si="382"/>
        <v>12.5</v>
      </c>
      <c r="CI185" s="1490">
        <f t="shared" si="374"/>
        <v>320</v>
      </c>
      <c r="CJ185" s="1502">
        <v>1</v>
      </c>
      <c r="CK185" s="495">
        <f t="shared" si="383"/>
        <v>555.4</v>
      </c>
      <c r="CL185" s="1689">
        <f t="shared" si="384"/>
        <v>555.4</v>
      </c>
      <c r="CM185" s="1689">
        <f t="shared" si="375"/>
        <v>0</v>
      </c>
      <c r="CN185" s="496">
        <f t="shared" si="385"/>
        <v>91.81</v>
      </c>
      <c r="CO185" s="497">
        <v>0</v>
      </c>
      <c r="CP185" s="496">
        <f t="shared" si="386"/>
        <v>141.25</v>
      </c>
      <c r="CQ185" s="496">
        <f t="shared" si="387"/>
        <v>0</v>
      </c>
      <c r="CR185" s="496">
        <f t="shared" si="388"/>
        <v>1343.86</v>
      </c>
      <c r="CS185" s="496">
        <f t="shared" si="389"/>
        <v>127.82</v>
      </c>
      <c r="CT185" s="496">
        <f t="shared" si="390"/>
        <v>6255</v>
      </c>
      <c r="CU185" s="470"/>
      <c r="CV185" s="470"/>
      <c r="CW185" s="470"/>
      <c r="CX185" s="470"/>
      <c r="CY185" s="1149" t="s">
        <v>6801</v>
      </c>
      <c r="CZ185" s="1149" t="s">
        <v>6875</v>
      </c>
      <c r="DA185" s="480"/>
      <c r="DB185" s="1642" t="s">
        <v>6310</v>
      </c>
      <c r="DC185" s="1642"/>
      <c r="DD185" s="1642" t="s">
        <v>6153</v>
      </c>
      <c r="DE185" s="1642" t="s">
        <v>6255</v>
      </c>
      <c r="DF185" s="1642" t="s">
        <v>6311</v>
      </c>
      <c r="DG185" s="1642"/>
      <c r="DH185" s="512"/>
      <c r="DI185" s="512"/>
      <c r="DJ185" s="470"/>
      <c r="DK185" s="470"/>
      <c r="DL185" s="470"/>
      <c r="DN185" s="471" t="str">
        <f>VLOOKUP(X185,Hoja1!$A$4:$B$10,2,0)</f>
        <v>TÉCNICO SUPERIOR UNIVERSITARIO</v>
      </c>
      <c r="DO185" s="471" t="str">
        <f>VLOOKUP(S185,Hoja1!$D$4:$F$77,3,0)</f>
        <v>TII - V</v>
      </c>
      <c r="DP185" s="1156" t="str">
        <f t="shared" si="391"/>
        <v>SI</v>
      </c>
      <c r="DQ185" s="1484">
        <f>IF(T185&lt;&gt;"0",(ROUND(IF(A185="EMPLEADO",eval_formula('CONCEPTOS Y PARAMETROS'!$C$8,NOMINA!V185,AU185+BF185,NOMINA!I185+NOMINA!J185),eval_formula('CONCEPTOS Y PARAMETROS'!$D$8,NOMINA!V185,AU185+BF185,NOMINA!I185+NOMINA!J185)),2))*IF(H185&lt;&gt;"",IF(MONTH(H185)=$BR$8,IF(YEAR(H185)&lt;$BT$7,1,0),0)))</f>
        <v>0</v>
      </c>
      <c r="DR185" s="1801" t="str">
        <f t="shared" si="392"/>
        <v>M</v>
      </c>
      <c r="DS185" s="1801"/>
    </row>
    <row r="186" spans="1:123" s="476" customFormat="1" ht="21.95" customHeight="1" x14ac:dyDescent="0.25">
      <c r="A186" s="508" t="s">
        <v>2846</v>
      </c>
      <c r="B186" s="1314">
        <f t="shared" ca="1" si="347"/>
        <v>143</v>
      </c>
      <c r="C186" s="1148">
        <v>16882467</v>
      </c>
      <c r="D186" s="1149" t="s">
        <v>4830</v>
      </c>
      <c r="E186" s="1135" t="s">
        <v>4622</v>
      </c>
      <c r="F186" s="1150">
        <v>30918</v>
      </c>
      <c r="G186" s="1135" t="s">
        <v>4620</v>
      </c>
      <c r="H186" s="1150">
        <v>42948</v>
      </c>
      <c r="I186" s="1140">
        <f t="shared" si="376"/>
        <v>8</v>
      </c>
      <c r="J186" s="1132">
        <v>7</v>
      </c>
      <c r="K186" s="1140">
        <f t="shared" si="371"/>
        <v>15</v>
      </c>
      <c r="L186" s="1145" t="s">
        <v>5537</v>
      </c>
      <c r="M186" s="1132"/>
      <c r="N186" s="1132"/>
      <c r="O186" s="1002" t="s">
        <v>7270</v>
      </c>
      <c r="P186" s="1132" t="s">
        <v>5385</v>
      </c>
      <c r="Q186" s="1315" t="str">
        <f>IFERROR(VLOOKUP(O186,CARGOS!A:E,2,0),"")</f>
        <v>15124</v>
      </c>
      <c r="R186" s="1327" t="s">
        <v>7270</v>
      </c>
      <c r="S186" s="1146" t="s">
        <v>5460</v>
      </c>
      <c r="T186" s="1107">
        <f>IFERROR(VLOOKUP(S186,'TAB EMP'!A:B,2,0),0)</f>
        <v>285</v>
      </c>
      <c r="U186" s="1108">
        <v>0</v>
      </c>
      <c r="V186" s="1107">
        <f t="shared" si="393"/>
        <v>285</v>
      </c>
      <c r="W186" s="1108">
        <f t="shared" si="394"/>
        <v>142.5</v>
      </c>
      <c r="X186" s="1135" t="s">
        <v>2885</v>
      </c>
      <c r="Y186" s="1135"/>
      <c r="Z186" s="1135">
        <v>0</v>
      </c>
      <c r="AA186" s="1107">
        <f>ROUND(IF(H186&lt;&gt;"",VLOOKUP(SUM(I186+J186),'CONCEPTOS Y PARAMETROS'!F:G,2,0)*V186,0),2)</f>
        <v>51.3</v>
      </c>
      <c r="AB186" s="1107">
        <f>IF(S186&lt;&gt;"",IF(M186="",'CONCEPTOS Y PARAMETROS'!$C$4,0),0)</f>
        <v>130</v>
      </c>
      <c r="AC186" s="1107">
        <f>IF(S186&lt;&gt;"",IF(M186="",'CONCEPTOS Y PARAMETROS'!$C$7*Z186,0),0)</f>
        <v>0</v>
      </c>
      <c r="AD186" s="1107">
        <f>IFERROR(ROUND(VLOOKUP($X186,'CONCEPTOS Y PARAMETROS'!H:I,2,0)*($V186+AA186+AB186+AC186),2),0)</f>
        <v>116.58</v>
      </c>
      <c r="AE186" s="1107">
        <f t="shared" si="369"/>
        <v>297.88</v>
      </c>
      <c r="AF186" s="1107">
        <f t="shared" si="395"/>
        <v>25.65</v>
      </c>
      <c r="AG186" s="1107">
        <f t="shared" si="396"/>
        <v>25.65</v>
      </c>
      <c r="AH186" s="1107">
        <f t="shared" si="397"/>
        <v>65</v>
      </c>
      <c r="AI186" s="1107">
        <f t="shared" si="398"/>
        <v>65</v>
      </c>
      <c r="AJ186" s="1107">
        <f t="shared" si="399"/>
        <v>58.29</v>
      </c>
      <c r="AK186" s="1107">
        <f t="shared" si="400"/>
        <v>58.29</v>
      </c>
      <c r="AL186" s="1108">
        <f t="shared" si="401"/>
        <v>148.94</v>
      </c>
      <c r="AM186" s="1108">
        <f t="shared" si="402"/>
        <v>148.94</v>
      </c>
      <c r="AN186" s="990">
        <v>1</v>
      </c>
      <c r="AO186" s="1147">
        <f>'CONCEPTOS Y PARAMETROS'!$C$18*AN186</f>
        <v>12.5</v>
      </c>
      <c r="AP186" s="990">
        <v>0</v>
      </c>
      <c r="AQ186" s="1147">
        <f>'CONCEPTOS Y PARAMETROS'!$C$21*AP186</f>
        <v>0</v>
      </c>
      <c r="AR186" s="1318">
        <v>0</v>
      </c>
      <c r="AS186" s="1318">
        <v>0</v>
      </c>
      <c r="AT186" s="1318">
        <f t="shared" si="370"/>
        <v>12.5</v>
      </c>
      <c r="AU186" s="1108">
        <f t="shared" si="372"/>
        <v>582.88</v>
      </c>
      <c r="AV186" s="1133">
        <v>0</v>
      </c>
      <c r="AW186" s="1108">
        <f t="shared" si="364"/>
        <v>0</v>
      </c>
      <c r="AX186" s="1107">
        <f>IF(T186&lt;&gt;"0",(ROUND(IF(A186="EMPLEADO",eval_formula('CONCEPTOS Y PARAMETROS'!$C$8,NOMINA!V186,NOMINA!$AU186,NOMINA!I186+NOMINA!J186),eval_formula('CONCEPTOS Y PARAMETROS'!$D$8,NOMINA!V186,NOMINA!$AU186,NOMINA!I186+NOMINA!J186)),2))*IF(H186&lt;&gt;"",IF(MONTH(H186)=$BR$8,IF(YEAR(H186)&lt;$BT$7,1,0),0)))</f>
        <v>0</v>
      </c>
      <c r="AY186" s="1108">
        <v>180</v>
      </c>
      <c r="AZ186" s="1107">
        <f>IFERROR(VLOOKUP(AY186,'CONCEPTOS Y PARAMETROS'!Y:Z,2,0),0)</f>
        <v>150</v>
      </c>
      <c r="BA186" s="1107">
        <f t="shared" si="403"/>
        <v>4371.6000000000004</v>
      </c>
      <c r="BB186" s="1107">
        <f t="shared" si="405"/>
        <v>0</v>
      </c>
      <c r="BC186" s="990">
        <v>0</v>
      </c>
      <c r="BD186" s="1107" t="str">
        <f t="shared" si="373"/>
        <v>0</v>
      </c>
      <c r="BE186" s="990">
        <v>0</v>
      </c>
      <c r="BF186" s="1107">
        <f t="shared" si="436"/>
        <v>0</v>
      </c>
      <c r="BG186" s="1108">
        <v>320</v>
      </c>
      <c r="BH186" s="1108">
        <v>0</v>
      </c>
      <c r="BI186" s="1132">
        <v>0</v>
      </c>
      <c r="BJ186" s="1108">
        <v>12.5</v>
      </c>
      <c r="BK186" s="1108">
        <v>0</v>
      </c>
      <c r="BL186" s="1107">
        <f t="shared" si="437"/>
        <v>26.9</v>
      </c>
      <c r="BM186" s="1107">
        <f t="shared" si="438"/>
        <v>3.36</v>
      </c>
      <c r="BN186" s="1107">
        <f t="shared" si="377"/>
        <v>5.83</v>
      </c>
      <c r="BO186" s="1107">
        <v>0</v>
      </c>
      <c r="BP186" s="1107">
        <v>0</v>
      </c>
      <c r="BQ186" s="1320">
        <f t="shared" si="366"/>
        <v>36.090000000000003</v>
      </c>
      <c r="BR186" s="1107">
        <f t="shared" si="439"/>
        <v>60.53</v>
      </c>
      <c r="BS186" s="1107">
        <f t="shared" si="440"/>
        <v>13.45</v>
      </c>
      <c r="BT186" s="1107">
        <f t="shared" si="378"/>
        <v>11.66</v>
      </c>
      <c r="BU186" s="1107">
        <v>0</v>
      </c>
      <c r="BV186" s="1108">
        <f t="shared" si="367"/>
        <v>85.64</v>
      </c>
      <c r="BW186" s="1112">
        <f t="shared" si="368"/>
        <v>121.73</v>
      </c>
      <c r="BX186" s="1112">
        <f t="shared" si="435"/>
        <v>1092.9000000000001</v>
      </c>
      <c r="BY186" s="1108">
        <v>0</v>
      </c>
      <c r="BZ186" s="1108">
        <f t="shared" si="365"/>
        <v>1092.9000000000001</v>
      </c>
      <c r="CA186" s="1321">
        <f>'CONCEPTOS Y PARAMETROS'!$A$102</f>
        <v>6255</v>
      </c>
      <c r="CB186" s="1112">
        <f t="shared" si="379"/>
        <v>255.35</v>
      </c>
      <c r="CC186" s="1113">
        <f t="shared" si="380"/>
        <v>636.44000000000005</v>
      </c>
      <c r="CD186" s="512"/>
      <c r="CE186" s="512"/>
      <c r="CF186" s="470">
        <f t="shared" si="381"/>
        <v>931.44</v>
      </c>
      <c r="CG186" s="509">
        <f t="shared" si="404"/>
        <v>255.35</v>
      </c>
      <c r="CH186" s="1603">
        <f t="shared" si="382"/>
        <v>25</v>
      </c>
      <c r="CI186" s="1491">
        <f t="shared" si="374"/>
        <v>320</v>
      </c>
      <c r="CJ186" s="1502">
        <v>1</v>
      </c>
      <c r="CK186" s="509">
        <f t="shared" si="383"/>
        <v>611.44000000000005</v>
      </c>
      <c r="CL186" s="1689">
        <f t="shared" si="384"/>
        <v>293.49</v>
      </c>
      <c r="CM186" s="1689">
        <f t="shared" si="375"/>
        <v>317.95000000000005</v>
      </c>
      <c r="CN186" s="510">
        <f t="shared" si="385"/>
        <v>0</v>
      </c>
      <c r="CO186" s="511">
        <v>0</v>
      </c>
      <c r="CP186" s="510">
        <f t="shared" si="386"/>
        <v>0</v>
      </c>
      <c r="CQ186" s="510">
        <f t="shared" si="387"/>
        <v>0</v>
      </c>
      <c r="CR186" s="510">
        <f t="shared" si="388"/>
        <v>1222.8800000000001</v>
      </c>
      <c r="CS186" s="510">
        <f t="shared" si="389"/>
        <v>121.73</v>
      </c>
      <c r="CT186" s="510">
        <f t="shared" si="390"/>
        <v>6255</v>
      </c>
      <c r="CU186" s="512"/>
      <c r="CV186" s="512"/>
      <c r="CW186" s="512"/>
      <c r="CX186" s="512"/>
      <c r="CY186" s="1149" t="s">
        <v>6819</v>
      </c>
      <c r="CZ186" s="1149" t="s">
        <v>6876</v>
      </c>
      <c r="DA186" s="1152"/>
      <c r="DB186" s="1642" t="s">
        <v>6408</v>
      </c>
      <c r="DC186" s="1642"/>
      <c r="DD186" s="1642" t="s">
        <v>6135</v>
      </c>
      <c r="DE186" s="1642" t="s">
        <v>6162</v>
      </c>
      <c r="DF186" s="1642" t="s">
        <v>6405</v>
      </c>
      <c r="DG186" s="1642"/>
      <c r="DH186" s="512"/>
      <c r="DI186" s="512"/>
      <c r="DJ186" s="512"/>
      <c r="DK186" s="512"/>
      <c r="DL186" s="512"/>
      <c r="DN186" s="476" t="str">
        <f>VLOOKUP(X186,Hoja1!$A$4:$B$10,2,0)</f>
        <v>PROFESIONAL</v>
      </c>
      <c r="DO186" s="476" t="str">
        <f>VLOOKUP(S186,Hoja1!$D$4:$F$77,3,0)</f>
        <v>PII - VI</v>
      </c>
      <c r="DP186" s="1594" t="str">
        <f t="shared" si="391"/>
        <v>0</v>
      </c>
      <c r="DQ186" s="1484">
        <f>IF(T186&lt;&gt;"0",(ROUND(IF(A186="EMPLEADO",eval_formula('CONCEPTOS Y PARAMETROS'!$C$8,NOMINA!V186,AU186+BF186,NOMINA!I186+NOMINA!J186),eval_formula('CONCEPTOS Y PARAMETROS'!$D$8,NOMINA!V186,AU186+BF186,NOMINA!I186+NOMINA!J186)),2))*IF(H186&lt;&gt;"",IF(MONTH(H186)=$BR$8,IF(YEAR(H186)&lt;$BT$7,1,0),0)))</f>
        <v>0</v>
      </c>
      <c r="DR186" s="1799" t="str">
        <f t="shared" si="392"/>
        <v>F</v>
      </c>
      <c r="DS186" s="1799"/>
    </row>
    <row r="187" spans="1:123" s="471" customFormat="1" ht="21.95" customHeight="1" x14ac:dyDescent="0.25">
      <c r="A187" s="508" t="s">
        <v>2846</v>
      </c>
      <c r="B187" s="1314">
        <f t="shared" ca="1" si="347"/>
        <v>144</v>
      </c>
      <c r="C187" s="1148">
        <v>16883267</v>
      </c>
      <c r="D187" s="1149" t="s">
        <v>4831</v>
      </c>
      <c r="E187" s="1135" t="s">
        <v>4622</v>
      </c>
      <c r="F187" s="1150">
        <v>30449</v>
      </c>
      <c r="G187" s="1135" t="s">
        <v>4620</v>
      </c>
      <c r="H187" s="1150">
        <v>38930</v>
      </c>
      <c r="I187" s="1140">
        <f t="shared" si="376"/>
        <v>19</v>
      </c>
      <c r="J187" s="1132">
        <v>0</v>
      </c>
      <c r="K187" s="1140">
        <f t="shared" si="371"/>
        <v>19</v>
      </c>
      <c r="L187" s="1145" t="s">
        <v>5527</v>
      </c>
      <c r="M187" s="1132"/>
      <c r="N187" s="1132"/>
      <c r="O187" s="1002" t="s">
        <v>5217</v>
      </c>
      <c r="P187" s="1132" t="s">
        <v>5386</v>
      </c>
      <c r="Q187" s="1315" t="str">
        <f>IFERROR(VLOOKUP(O187,CARGOS!A:E,2,0),"")</f>
        <v>79512</v>
      </c>
      <c r="R187" s="1327" t="s">
        <v>5217</v>
      </c>
      <c r="S187" s="1146" t="s">
        <v>5471</v>
      </c>
      <c r="T187" s="1107">
        <f>IFERROR(VLOOKUP(S187,'TAB EMP'!A:B,2,0),0)</f>
        <v>228</v>
      </c>
      <c r="U187" s="1108">
        <v>0</v>
      </c>
      <c r="V187" s="1107">
        <f t="shared" si="393"/>
        <v>228</v>
      </c>
      <c r="W187" s="1108">
        <f t="shared" si="394"/>
        <v>114</v>
      </c>
      <c r="X187" s="1135" t="s">
        <v>2844</v>
      </c>
      <c r="Y187" s="1135"/>
      <c r="Z187" s="1135">
        <v>0</v>
      </c>
      <c r="AA187" s="1107">
        <f>ROUND(IF(H187&lt;&gt;"",VLOOKUP(SUM(I187+J187),'CONCEPTOS Y PARAMETROS'!F:G,2,0)*V187,0),2)</f>
        <v>55.63</v>
      </c>
      <c r="AB187" s="1107">
        <f>IF(S187&lt;&gt;"",IF(M187="",'CONCEPTOS Y PARAMETROS'!$C$4,0),0)</f>
        <v>130</v>
      </c>
      <c r="AC187" s="1107">
        <f>IF(S187&lt;&gt;"",IF(M187="",'CONCEPTOS Y PARAMETROS'!$C$7*Z187,0),0)</f>
        <v>0</v>
      </c>
      <c r="AD187" s="1107">
        <f>IFERROR(ROUND(VLOOKUP($X187,'CONCEPTOS Y PARAMETROS'!H:I,2,0)*($V187+AA187+AB187+AC187),2),0)</f>
        <v>82.73</v>
      </c>
      <c r="AE187" s="1107">
        <f t="shared" si="369"/>
        <v>268.36</v>
      </c>
      <c r="AF187" s="1107">
        <f t="shared" si="395"/>
        <v>27.82</v>
      </c>
      <c r="AG187" s="1107">
        <f t="shared" si="396"/>
        <v>27.81</v>
      </c>
      <c r="AH187" s="1107">
        <f t="shared" si="397"/>
        <v>65</v>
      </c>
      <c r="AI187" s="1107">
        <f t="shared" si="398"/>
        <v>65</v>
      </c>
      <c r="AJ187" s="1107">
        <f t="shared" si="399"/>
        <v>41.37</v>
      </c>
      <c r="AK187" s="1107">
        <f t="shared" si="400"/>
        <v>41.36</v>
      </c>
      <c r="AL187" s="1108">
        <f t="shared" si="401"/>
        <v>134.19</v>
      </c>
      <c r="AM187" s="1108">
        <f t="shared" si="402"/>
        <v>134.16999999999999</v>
      </c>
      <c r="AN187" s="990">
        <v>0</v>
      </c>
      <c r="AO187" s="1147">
        <f>'CONCEPTOS Y PARAMETROS'!$C$18*AN187</f>
        <v>0</v>
      </c>
      <c r="AP187" s="990">
        <v>0</v>
      </c>
      <c r="AQ187" s="1147">
        <f>'CONCEPTOS Y PARAMETROS'!$C$21*AP187</f>
        <v>0</v>
      </c>
      <c r="AR187" s="1318">
        <v>0</v>
      </c>
      <c r="AS187" s="1318">
        <v>0</v>
      </c>
      <c r="AT187" s="1318">
        <f t="shared" si="370"/>
        <v>0</v>
      </c>
      <c r="AU187" s="1108">
        <f t="shared" si="372"/>
        <v>496.36</v>
      </c>
      <c r="AV187" s="1133">
        <v>0</v>
      </c>
      <c r="AW187" s="1108">
        <f t="shared" si="364"/>
        <v>0</v>
      </c>
      <c r="AX187" s="1107">
        <f>IF(T187&lt;&gt;"0",(ROUND(IF(A187="EMPLEADO",eval_formula('CONCEPTOS Y PARAMETROS'!$C$8,NOMINA!V187,NOMINA!$AU187,NOMINA!I187+NOMINA!J187),eval_formula('CONCEPTOS Y PARAMETROS'!$D$8,NOMINA!V187,NOMINA!$AU187,NOMINA!I187+NOMINA!J187)),2))*IF(H187&lt;&gt;"",IF(MONTH(H187)=$BR$8,IF(YEAR(H187)&lt;$BT$7,1,0),0)))</f>
        <v>0</v>
      </c>
      <c r="AY187" s="1108">
        <v>180</v>
      </c>
      <c r="AZ187" s="1107">
        <f>IFERROR(VLOOKUP(AY187,'CONCEPTOS Y PARAMETROS'!Y:Z,2,0),0)</f>
        <v>150</v>
      </c>
      <c r="BA187" s="1107">
        <f t="shared" si="403"/>
        <v>3722.7</v>
      </c>
      <c r="BB187" s="1107">
        <f t="shared" si="405"/>
        <v>0</v>
      </c>
      <c r="BC187" s="990">
        <v>0</v>
      </c>
      <c r="BD187" s="1107" t="str">
        <f t="shared" si="373"/>
        <v>0</v>
      </c>
      <c r="BE187" s="990">
        <v>0</v>
      </c>
      <c r="BF187" s="1107">
        <f t="shared" si="436"/>
        <v>0</v>
      </c>
      <c r="BG187" s="1108">
        <v>320</v>
      </c>
      <c r="BH187" s="1108">
        <v>0</v>
      </c>
      <c r="BI187" s="1132">
        <v>0</v>
      </c>
      <c r="BJ187" s="1108">
        <v>12.5</v>
      </c>
      <c r="BK187" s="1108">
        <v>0</v>
      </c>
      <c r="BL187" s="1107">
        <f t="shared" si="437"/>
        <v>22.91</v>
      </c>
      <c r="BM187" s="1107">
        <f t="shared" si="438"/>
        <v>2.86</v>
      </c>
      <c r="BN187" s="1107">
        <f t="shared" si="377"/>
        <v>4.96</v>
      </c>
      <c r="BO187" s="1107">
        <v>0</v>
      </c>
      <c r="BP187" s="1107">
        <v>0</v>
      </c>
      <c r="BQ187" s="1320">
        <f t="shared" si="366"/>
        <v>30.73</v>
      </c>
      <c r="BR187" s="1107">
        <f t="shared" si="439"/>
        <v>51.55</v>
      </c>
      <c r="BS187" s="1107">
        <f t="shared" si="440"/>
        <v>11.45</v>
      </c>
      <c r="BT187" s="1107">
        <f t="shared" si="378"/>
        <v>9.92</v>
      </c>
      <c r="BU187" s="1107">
        <v>0</v>
      </c>
      <c r="BV187" s="1108">
        <f t="shared" si="367"/>
        <v>72.92</v>
      </c>
      <c r="BW187" s="1112">
        <f t="shared" si="368"/>
        <v>103.65</v>
      </c>
      <c r="BX187" s="1112">
        <f t="shared" si="435"/>
        <v>930.68</v>
      </c>
      <c r="BY187" s="1108">
        <v>0</v>
      </c>
      <c r="BZ187" s="1108">
        <f t="shared" si="365"/>
        <v>930.68</v>
      </c>
      <c r="CA187" s="1321">
        <v>0</v>
      </c>
      <c r="CB187" s="1112">
        <f t="shared" si="379"/>
        <v>217.46</v>
      </c>
      <c r="CC187" s="1113">
        <f t="shared" si="380"/>
        <v>580.66999999999996</v>
      </c>
      <c r="CD187" s="512"/>
      <c r="CE187" s="512"/>
      <c r="CF187" s="470">
        <f t="shared" si="381"/>
        <v>888.17</v>
      </c>
      <c r="CG187" s="495">
        <f t="shared" si="404"/>
        <v>217.46</v>
      </c>
      <c r="CH187" s="498">
        <f t="shared" si="382"/>
        <v>12.5</v>
      </c>
      <c r="CI187" s="1490">
        <f t="shared" si="374"/>
        <v>320</v>
      </c>
      <c r="CJ187" s="1502">
        <v>1</v>
      </c>
      <c r="CK187" s="495">
        <f t="shared" si="383"/>
        <v>568.16999999999996</v>
      </c>
      <c r="CL187" s="1689">
        <f t="shared" si="384"/>
        <v>568.16999999999996</v>
      </c>
      <c r="CM187" s="1689">
        <f t="shared" si="375"/>
        <v>0</v>
      </c>
      <c r="CN187" s="496">
        <f t="shared" si="385"/>
        <v>0</v>
      </c>
      <c r="CO187" s="497">
        <v>0</v>
      </c>
      <c r="CP187" s="496">
        <f t="shared" si="386"/>
        <v>0</v>
      </c>
      <c r="CQ187" s="496">
        <f t="shared" si="387"/>
        <v>0</v>
      </c>
      <c r="CR187" s="496">
        <f t="shared" si="388"/>
        <v>1136.3399999999999</v>
      </c>
      <c r="CS187" s="496">
        <f t="shared" si="389"/>
        <v>103.65</v>
      </c>
      <c r="CT187" s="496">
        <f t="shared" si="390"/>
        <v>0</v>
      </c>
      <c r="CU187" s="470"/>
      <c r="CV187" s="470"/>
      <c r="CW187" s="470"/>
      <c r="CX187" s="470"/>
      <c r="CY187" s="1149" t="s">
        <v>6877</v>
      </c>
      <c r="CZ187" s="1149" t="s">
        <v>6878</v>
      </c>
      <c r="DA187" s="1152"/>
      <c r="DB187" s="1152" t="s">
        <v>6577</v>
      </c>
      <c r="DC187" s="1152" t="s">
        <v>7546</v>
      </c>
      <c r="DD187" s="1152" t="s">
        <v>6199</v>
      </c>
      <c r="DE187" s="1152" t="s">
        <v>6200</v>
      </c>
      <c r="DF187" s="1152" t="s">
        <v>6201</v>
      </c>
      <c r="DG187" s="1152"/>
      <c r="DH187" s="512"/>
      <c r="DI187" s="512"/>
      <c r="DJ187" s="470"/>
      <c r="DK187" s="470"/>
      <c r="DL187" s="470"/>
      <c r="DN187" s="471" t="str">
        <f>VLOOKUP(X187,Hoja1!$A$4:$B$10,2,0)</f>
        <v>TÉCNICO SUPERIOR UNIVERSITARIO</v>
      </c>
      <c r="DO187" s="471" t="str">
        <f>VLOOKUP(S187,Hoja1!$D$4:$F$77,3,0)</f>
        <v>TII - VII</v>
      </c>
      <c r="DP187" s="1156" t="str">
        <f t="shared" si="391"/>
        <v>0</v>
      </c>
      <c r="DQ187" s="1484">
        <f>IF(T187&lt;&gt;"0",(ROUND(IF(A187="EMPLEADO",eval_formula('CONCEPTOS Y PARAMETROS'!$C$8,NOMINA!V187,AU187+BF187,NOMINA!I187+NOMINA!J187),eval_formula('CONCEPTOS Y PARAMETROS'!$D$8,NOMINA!V187,AU187+BF187,NOMINA!I187+NOMINA!J187)),2))*IF(H187&lt;&gt;"",IF(MONTH(H187)=$BR$8,IF(YEAR(H187)&lt;$BT$7,1,0),0)))</f>
        <v>0</v>
      </c>
      <c r="DR187" s="1801" t="str">
        <f t="shared" si="392"/>
        <v>F</v>
      </c>
      <c r="DS187" s="1801"/>
    </row>
    <row r="188" spans="1:123" s="471" customFormat="1" ht="21.95" customHeight="1" x14ac:dyDescent="0.25">
      <c r="A188" s="508" t="s">
        <v>2846</v>
      </c>
      <c r="B188" s="1314">
        <f t="shared" ca="1" si="347"/>
        <v>145</v>
      </c>
      <c r="C188" s="1148">
        <v>17037244</v>
      </c>
      <c r="D188" s="1149" t="s">
        <v>7577</v>
      </c>
      <c r="E188" s="1135" t="s">
        <v>4622</v>
      </c>
      <c r="F188" s="1150">
        <v>30767</v>
      </c>
      <c r="G188" s="1135" t="s">
        <v>4620</v>
      </c>
      <c r="H188" s="1150">
        <v>40087</v>
      </c>
      <c r="I188" s="1140">
        <f t="shared" si="376"/>
        <v>15</v>
      </c>
      <c r="J188" s="1132">
        <v>0</v>
      </c>
      <c r="K188" s="1140">
        <f t="shared" si="371"/>
        <v>15</v>
      </c>
      <c r="L188" s="1145" t="s">
        <v>5525</v>
      </c>
      <c r="M188" s="1132"/>
      <c r="N188" s="1132"/>
      <c r="O188" s="1002" t="s">
        <v>5217</v>
      </c>
      <c r="P188" s="1132" t="s">
        <v>5387</v>
      </c>
      <c r="Q188" s="1315" t="str">
        <f>IFERROR(VLOOKUP(O188,CARGOS!A:E,2,0),"")</f>
        <v>79512</v>
      </c>
      <c r="R188" s="1327" t="s">
        <v>5217</v>
      </c>
      <c r="S188" s="1146" t="s">
        <v>5461</v>
      </c>
      <c r="T188" s="1107">
        <f>IFERROR(VLOOKUP(S188,'TAB EMP'!A:B,2,0),0)</f>
        <v>226</v>
      </c>
      <c r="U188" s="1108">
        <v>0</v>
      </c>
      <c r="V188" s="1107">
        <f t="shared" si="393"/>
        <v>226</v>
      </c>
      <c r="W188" s="1108">
        <f t="shared" si="394"/>
        <v>113</v>
      </c>
      <c r="X188" s="1135" t="s">
        <v>2844</v>
      </c>
      <c r="Y188" s="1135"/>
      <c r="Z188" s="1135">
        <v>2</v>
      </c>
      <c r="AA188" s="1107">
        <f>ROUND(IF(H188&lt;&gt;"",VLOOKUP(SUM(I188+J188),'CONCEPTOS Y PARAMETROS'!F:G,2,0)*V188,0),2)</f>
        <v>40.68</v>
      </c>
      <c r="AB188" s="1107">
        <f>IF(S188&lt;&gt;"",IF(M188="",'CONCEPTOS Y PARAMETROS'!$C$4,0),0)</f>
        <v>130</v>
      </c>
      <c r="AC188" s="1107">
        <f>IF(S188&lt;&gt;"",IF(M188="",'CONCEPTOS Y PARAMETROS'!$C$7*Z188,0),0)</f>
        <v>25</v>
      </c>
      <c r="AD188" s="1107">
        <f>IFERROR(ROUND(VLOOKUP($X188,'CONCEPTOS Y PARAMETROS'!H:I,2,0)*($V188+AA188+AB188+AC188),2),0)</f>
        <v>84.34</v>
      </c>
      <c r="AE188" s="1107">
        <f t="shared" si="369"/>
        <v>280.02</v>
      </c>
      <c r="AF188" s="1107">
        <f t="shared" si="395"/>
        <v>20.34</v>
      </c>
      <c r="AG188" s="1107">
        <f t="shared" si="396"/>
        <v>20.34</v>
      </c>
      <c r="AH188" s="1107">
        <f t="shared" si="397"/>
        <v>65</v>
      </c>
      <c r="AI188" s="1107">
        <f t="shared" si="398"/>
        <v>65</v>
      </c>
      <c r="AJ188" s="1107">
        <f t="shared" si="399"/>
        <v>42.17</v>
      </c>
      <c r="AK188" s="1107">
        <f t="shared" si="400"/>
        <v>42.17</v>
      </c>
      <c r="AL188" s="1108">
        <f t="shared" si="401"/>
        <v>152.51</v>
      </c>
      <c r="AM188" s="1108">
        <f t="shared" si="402"/>
        <v>127.51</v>
      </c>
      <c r="AN188" s="990">
        <v>0</v>
      </c>
      <c r="AO188" s="1147">
        <f>'CONCEPTOS Y PARAMETROS'!$C$18*AN188</f>
        <v>0</v>
      </c>
      <c r="AP188" s="990">
        <v>0</v>
      </c>
      <c r="AQ188" s="1147">
        <f>'CONCEPTOS Y PARAMETROS'!$C$21*AP188</f>
        <v>0</v>
      </c>
      <c r="AR188" s="1318">
        <v>0</v>
      </c>
      <c r="AS188" s="1318">
        <v>0</v>
      </c>
      <c r="AT188" s="1318">
        <f t="shared" si="370"/>
        <v>0</v>
      </c>
      <c r="AU188" s="1108">
        <f t="shared" si="372"/>
        <v>657.82999999999993</v>
      </c>
      <c r="AV188" s="1133" t="s">
        <v>5080</v>
      </c>
      <c r="AW188" s="1108">
        <f t="shared" si="364"/>
        <v>151.81</v>
      </c>
      <c r="AX188" s="1107">
        <f>IF(T188&lt;&gt;"0",(ROUND(IF(A188="EMPLEADO",eval_formula('CONCEPTOS Y PARAMETROS'!$C$8,NOMINA!V188,NOMINA!$AU188,NOMINA!I188+NOMINA!J188),eval_formula('CONCEPTOS Y PARAMETROS'!$D$8,NOMINA!V188,NOMINA!$AU188,NOMINA!I188+NOMINA!J188)),2))*IF(H188&lt;&gt;"",IF(MONTH(H188)=$BR$8,IF(YEAR(H188)&lt;$BT$7,1,0),0)))</f>
        <v>0</v>
      </c>
      <c r="AY188" s="1108">
        <v>180</v>
      </c>
      <c r="AZ188" s="1107">
        <f>IFERROR(VLOOKUP(AY188,'CONCEPTOS Y PARAMETROS'!Y:Z,2,0),0)</f>
        <v>150</v>
      </c>
      <c r="BA188" s="1107">
        <f t="shared" si="403"/>
        <v>4933.7299999999996</v>
      </c>
      <c r="BB188" s="1107">
        <f t="shared" si="405"/>
        <v>0</v>
      </c>
      <c r="BC188" s="990">
        <v>0</v>
      </c>
      <c r="BD188" s="1107" t="str">
        <f t="shared" si="373"/>
        <v>0</v>
      </c>
      <c r="BE188" s="990">
        <v>3</v>
      </c>
      <c r="BF188" s="1107">
        <f t="shared" si="436"/>
        <v>98.67</v>
      </c>
      <c r="BG188" s="1108">
        <v>320</v>
      </c>
      <c r="BH188" s="1108">
        <v>0</v>
      </c>
      <c r="BI188" s="1132">
        <v>0</v>
      </c>
      <c r="BJ188" s="1108">
        <v>12.5</v>
      </c>
      <c r="BK188" s="1108">
        <v>0</v>
      </c>
      <c r="BL188" s="1107">
        <f t="shared" si="437"/>
        <v>30.36</v>
      </c>
      <c r="BM188" s="1107">
        <f t="shared" si="438"/>
        <v>3.8</v>
      </c>
      <c r="BN188" s="1107">
        <f t="shared" si="377"/>
        <v>6.58</v>
      </c>
      <c r="BO188" s="1107">
        <v>0</v>
      </c>
      <c r="BP188" s="1107">
        <v>0</v>
      </c>
      <c r="BQ188" s="1320">
        <f t="shared" si="366"/>
        <v>40.74</v>
      </c>
      <c r="BR188" s="1107">
        <f t="shared" si="439"/>
        <v>68.31</v>
      </c>
      <c r="BS188" s="1107">
        <f t="shared" si="440"/>
        <v>15.18</v>
      </c>
      <c r="BT188" s="1107">
        <f t="shared" si="378"/>
        <v>13.16</v>
      </c>
      <c r="BU188" s="1107">
        <v>0</v>
      </c>
      <c r="BV188" s="1108">
        <f t="shared" si="367"/>
        <v>96.65</v>
      </c>
      <c r="BW188" s="1112">
        <f t="shared" si="368"/>
        <v>137.39000000000001</v>
      </c>
      <c r="BX188" s="1112">
        <f t="shared" si="435"/>
        <v>1233.43</v>
      </c>
      <c r="BY188" s="1108">
        <v>0</v>
      </c>
      <c r="BZ188" s="1108">
        <f t="shared" si="365"/>
        <v>1233.43</v>
      </c>
      <c r="CA188" s="1321">
        <f>'CONCEPTOS Y PARAMETROS'!$A$102</f>
        <v>6255</v>
      </c>
      <c r="CB188" s="1112">
        <f t="shared" si="379"/>
        <v>224.76999999999998</v>
      </c>
      <c r="CC188" s="1113">
        <f t="shared" si="380"/>
        <v>823.49</v>
      </c>
      <c r="CD188" s="512"/>
      <c r="CE188" s="512"/>
      <c r="CF188" s="470">
        <f t="shared" si="381"/>
        <v>880.51</v>
      </c>
      <c r="CG188" s="495">
        <f t="shared" si="404"/>
        <v>224.76999999999998</v>
      </c>
      <c r="CH188" s="498">
        <f t="shared" si="382"/>
        <v>12.5</v>
      </c>
      <c r="CI188" s="1490">
        <f t="shared" si="374"/>
        <v>320</v>
      </c>
      <c r="CJ188" s="1502">
        <v>1</v>
      </c>
      <c r="CK188" s="495">
        <f t="shared" si="383"/>
        <v>560.51</v>
      </c>
      <c r="CL188" s="1689">
        <f t="shared" si="384"/>
        <v>560.51</v>
      </c>
      <c r="CM188" s="1689">
        <f t="shared" si="375"/>
        <v>0</v>
      </c>
      <c r="CN188" s="496">
        <f t="shared" si="385"/>
        <v>98.67</v>
      </c>
      <c r="CO188" s="497">
        <v>0</v>
      </c>
      <c r="CP188" s="496">
        <f t="shared" si="386"/>
        <v>151.81</v>
      </c>
      <c r="CQ188" s="496">
        <f t="shared" si="387"/>
        <v>0</v>
      </c>
      <c r="CR188" s="496">
        <f t="shared" si="388"/>
        <v>1371.5</v>
      </c>
      <c r="CS188" s="496">
        <f t="shared" si="389"/>
        <v>137.39000000000001</v>
      </c>
      <c r="CT188" s="496">
        <f t="shared" si="390"/>
        <v>6255</v>
      </c>
      <c r="CU188" s="470"/>
      <c r="CV188" s="470"/>
      <c r="CW188" s="470"/>
      <c r="CX188" s="470"/>
      <c r="CY188" s="1149" t="s">
        <v>6816</v>
      </c>
      <c r="CZ188" s="1149" t="s">
        <v>6879</v>
      </c>
      <c r="DA188" s="1152"/>
      <c r="DB188" s="1642" t="s">
        <v>6578</v>
      </c>
      <c r="DC188" s="1642"/>
      <c r="DD188" s="1642" t="s">
        <v>6137</v>
      </c>
      <c r="DE188" s="1642" t="s">
        <v>6138</v>
      </c>
      <c r="DF188" s="1642" t="s">
        <v>6540</v>
      </c>
      <c r="DG188" s="1642"/>
      <c r="DH188" s="512"/>
      <c r="DI188" s="512"/>
      <c r="DJ188" s="470"/>
      <c r="DK188" s="470"/>
      <c r="DL188" s="470"/>
      <c r="DN188" s="471" t="str">
        <f>VLOOKUP(X188,Hoja1!$A$4:$B$10,2,0)</f>
        <v>TÉCNICO SUPERIOR UNIVERSITARIO</v>
      </c>
      <c r="DO188" s="471" t="str">
        <f>VLOOKUP(S188,Hoja1!$D$4:$F$77,3,0)</f>
        <v>TII - VI</v>
      </c>
      <c r="DP188" s="1156" t="str">
        <f t="shared" si="391"/>
        <v>SI</v>
      </c>
      <c r="DQ188" s="1484">
        <f>IF(T188&lt;&gt;"0",(ROUND(IF(A188="EMPLEADO",eval_formula('CONCEPTOS Y PARAMETROS'!$C$8,NOMINA!V188,AU188+BF188,NOMINA!I188+NOMINA!J188),eval_formula('CONCEPTOS Y PARAMETROS'!$D$8,NOMINA!V188,AU188+BF188,NOMINA!I188+NOMINA!J188)),2))*IF(H188&lt;&gt;"",IF(MONTH(H188)=$BR$8,IF(YEAR(H188)&lt;$BT$7,1,0),0)))</f>
        <v>0</v>
      </c>
      <c r="DR188" s="1801" t="str">
        <f t="shared" si="392"/>
        <v>F</v>
      </c>
      <c r="DS188" s="1801"/>
    </row>
    <row r="189" spans="1:123" s="476" customFormat="1" ht="21.95" customHeight="1" x14ac:dyDescent="0.25">
      <c r="A189" s="508" t="s">
        <v>2846</v>
      </c>
      <c r="B189" s="1314">
        <f t="shared" ca="1" si="347"/>
        <v>146</v>
      </c>
      <c r="C189" s="1148">
        <v>17038061</v>
      </c>
      <c r="D189" s="1149" t="s">
        <v>7601</v>
      </c>
      <c r="E189" s="1135" t="s">
        <v>4622</v>
      </c>
      <c r="F189" s="1150">
        <v>31453</v>
      </c>
      <c r="G189" s="1135" t="s">
        <v>4620</v>
      </c>
      <c r="H189" s="1150">
        <v>45809</v>
      </c>
      <c r="I189" s="1140">
        <f t="shared" si="376"/>
        <v>0</v>
      </c>
      <c r="J189" s="1132">
        <v>1</v>
      </c>
      <c r="K189" s="1140">
        <f t="shared" ref="K189" si="441">I189+J189</f>
        <v>1</v>
      </c>
      <c r="L189" s="1145" t="s">
        <v>5525</v>
      </c>
      <c r="M189" s="1132"/>
      <c r="N189" s="1132"/>
      <c r="O189" s="1002" t="s">
        <v>5218</v>
      </c>
      <c r="P189" s="1151" t="s">
        <v>7584</v>
      </c>
      <c r="Q189" s="1315" t="str">
        <f>IFERROR(VLOOKUP(O189,CARGOS!A:E,2,0),"")</f>
        <v>79511</v>
      </c>
      <c r="R189" s="1327" t="s">
        <v>5218</v>
      </c>
      <c r="S189" s="1146" t="s">
        <v>5470</v>
      </c>
      <c r="T189" s="1107">
        <f>IFERROR(VLOOKUP(S189,'TAB EMP'!A:B,2,0),0)</f>
        <v>130</v>
      </c>
      <c r="U189" s="1108">
        <v>0</v>
      </c>
      <c r="V189" s="1107">
        <f t="shared" ref="V189" si="442">T189-U189</f>
        <v>130</v>
      </c>
      <c r="W189" s="1108">
        <f t="shared" ref="W189" si="443">ROUND(V189/2,2)</f>
        <v>65</v>
      </c>
      <c r="X189" s="1135" t="s">
        <v>2884</v>
      </c>
      <c r="Y189" s="1135"/>
      <c r="Z189" s="1135">
        <v>2</v>
      </c>
      <c r="AA189" s="1107">
        <f>ROUND(IF(H189&lt;&gt;"",VLOOKUP(SUM(I189+J189),'CONCEPTOS Y PARAMETROS'!F:G,2,0)*V189,0),2)</f>
        <v>1.3</v>
      </c>
      <c r="AB189" s="1107">
        <f>IF(S189&lt;&gt;"",IF(M189="",'CONCEPTOS Y PARAMETROS'!$C$4,0),0)</f>
        <v>130</v>
      </c>
      <c r="AC189" s="1107">
        <f>IF(S189&lt;&gt;"",IF(M189="",'CONCEPTOS Y PARAMETROS'!$C$7*Z189,0),0)</f>
        <v>25</v>
      </c>
      <c r="AD189" s="1107">
        <f>IFERROR(ROUND(VLOOKUP($X189,'CONCEPTOS Y PARAMETROS'!H:I,2,0)*($V189+AA189+AB189+AC189),2),0)</f>
        <v>0</v>
      </c>
      <c r="AE189" s="1107">
        <f t="shared" ref="AE189" si="444">SUM(AA189:AD189)</f>
        <v>156.30000000000001</v>
      </c>
      <c r="AF189" s="1107">
        <f t="shared" ref="AF189" si="445">ROUND(AA189/2,2)</f>
        <v>0.65</v>
      </c>
      <c r="AG189" s="1107">
        <f t="shared" ref="AG189" si="446">ROUND(AA189-AF189,2)</f>
        <v>0.65</v>
      </c>
      <c r="AH189" s="1107">
        <f t="shared" ref="AH189" si="447">ROUND(AB189/2,2)</f>
        <v>65</v>
      </c>
      <c r="AI189" s="1107">
        <f t="shared" ref="AI189" si="448">ROUND(AB189-AH189,2)</f>
        <v>65</v>
      </c>
      <c r="AJ189" s="1107">
        <f t="shared" ref="AJ189" si="449">ROUND(AD189/2,2)</f>
        <v>0</v>
      </c>
      <c r="AK189" s="1107">
        <f t="shared" ref="AK189" si="450">ROUND(AD189-AJ189,2)</f>
        <v>0</v>
      </c>
      <c r="AL189" s="1108">
        <f t="shared" ref="AL189" si="451">ROUND(AF189+AH189+AJ189+AC189,2)</f>
        <v>90.65</v>
      </c>
      <c r="AM189" s="1108">
        <f t="shared" ref="AM189" si="452">ROUND(AG189+AI189+AK189,2)</f>
        <v>65.650000000000006</v>
      </c>
      <c r="AN189" s="990">
        <v>0</v>
      </c>
      <c r="AO189" s="1147">
        <f>'CONCEPTOS Y PARAMETROS'!$C$18*AN189</f>
        <v>0</v>
      </c>
      <c r="AP189" s="990">
        <v>0</v>
      </c>
      <c r="AQ189" s="1147">
        <f>'CONCEPTOS Y PARAMETROS'!$C$21*AP189</f>
        <v>0</v>
      </c>
      <c r="AR189" s="1318">
        <v>0</v>
      </c>
      <c r="AS189" s="1318">
        <v>0</v>
      </c>
      <c r="AT189" s="1318">
        <f t="shared" ref="AT189" si="453">+AO189+AQ189+AR189+AS189</f>
        <v>0</v>
      </c>
      <c r="AU189" s="1108">
        <f t="shared" ref="AU189" si="454">V189+AE189+AW189</f>
        <v>372.19</v>
      </c>
      <c r="AV189" s="1133" t="s">
        <v>5080</v>
      </c>
      <c r="AW189" s="1108">
        <f t="shared" ref="AW189" si="455">ROUND(IF(AV189="NOCTURN",(V189+AE189)*30%,0),2)</f>
        <v>85.89</v>
      </c>
      <c r="AX189" s="1107">
        <f>IF(T189&lt;&gt;"0",(ROUND(IF(A189="EMPLEADO",eval_formula('CONCEPTOS Y PARAMETROS'!$C$8,NOMINA!V189,NOMINA!$AU189,NOMINA!I189+NOMINA!J189),eval_formula('CONCEPTOS Y PARAMETROS'!$D$8,NOMINA!V189,NOMINA!$AU189,NOMINA!I189+NOMINA!J189)),2))*IF(H189&lt;&gt;"",IF(MONTH(H189)=$BR$8,IF(YEAR(H189)&lt;$BT$7,1,0),0)))</f>
        <v>0</v>
      </c>
      <c r="AY189" s="1108">
        <v>180</v>
      </c>
      <c r="AZ189" s="1107">
        <f>IFERROR(VLOOKUP(AY189,'CONCEPTOS Y PARAMETROS'!Y:Z,2,0),0)</f>
        <v>150</v>
      </c>
      <c r="BA189" s="1107">
        <f t="shared" ref="BA189" si="456">ROUND((((AU189))/30*AY189/12+(AU189))/30*AZ189,2)</f>
        <v>2791.43</v>
      </c>
      <c r="BB189" s="1107">
        <f t="shared" ref="BB189" si="457">ROUND(AU189/30*$BB$10,2)</f>
        <v>0</v>
      </c>
      <c r="BC189" s="990">
        <v>0</v>
      </c>
      <c r="BD189" s="1107" t="str">
        <f t="shared" ref="BD189" si="458">IF(BC189&gt;0,((((((V189+AA189+AB189+AC189+AD189)/30)/8)*50%)+((((V189+AA189+AB189+AC189+AD189)/30)/8)))*30%+(((((V189+AA189+AB189+AC189+AD189)/30)/8)*50%)+((((V189+AA189+AB189+AC189+AD189)/30)/8))))*BC189,"0")</f>
        <v>0</v>
      </c>
      <c r="BE189" s="990">
        <v>3</v>
      </c>
      <c r="BF189" s="1107">
        <f t="shared" ref="BF189" si="459">ROUND(IF(BE189&gt;0,(((V189+AA189+AB189+AC189+AD189+AW189)/30)*50%+((V189+AA189+AB189+AC189+AD189+AW189)/30))*BE189,"0"),2)</f>
        <v>55.83</v>
      </c>
      <c r="BG189" s="1108">
        <v>320</v>
      </c>
      <c r="BH189" s="1108">
        <v>0</v>
      </c>
      <c r="BI189" s="1132">
        <v>0</v>
      </c>
      <c r="BJ189" s="1108">
        <v>12.5</v>
      </c>
      <c r="BK189" s="1108">
        <v>0</v>
      </c>
      <c r="BL189" s="1107">
        <f t="shared" si="437"/>
        <v>17.18</v>
      </c>
      <c r="BM189" s="1107">
        <f t="shared" si="438"/>
        <v>2.15</v>
      </c>
      <c r="BN189" s="1107">
        <f t="shared" si="377"/>
        <v>3.72</v>
      </c>
      <c r="BO189" s="1107">
        <v>0</v>
      </c>
      <c r="BP189" s="1107">
        <v>0</v>
      </c>
      <c r="BQ189" s="1320">
        <f t="shared" ref="BQ189" si="460">ROUND(SUM(BL189:BP189),2)</f>
        <v>23.05</v>
      </c>
      <c r="BR189" s="1107">
        <f t="shared" si="439"/>
        <v>38.65</v>
      </c>
      <c r="BS189" s="1107">
        <f t="shared" si="440"/>
        <v>8.59</v>
      </c>
      <c r="BT189" s="1107">
        <f t="shared" si="378"/>
        <v>7.44</v>
      </c>
      <c r="BU189" s="1107">
        <v>0</v>
      </c>
      <c r="BV189" s="1108">
        <f t="shared" ref="BV189" si="461">ROUND(SUM(BR189:BT189),2)</f>
        <v>54.68</v>
      </c>
      <c r="BW189" s="1112">
        <f t="shared" ref="BW189" si="462">BQ189+BV189</f>
        <v>77.73</v>
      </c>
      <c r="BX189" s="1112">
        <f t="shared" ref="BX189" si="463">ROUND(BA189/4,2)</f>
        <v>697.86</v>
      </c>
      <c r="BY189" s="1108">
        <v>0</v>
      </c>
      <c r="BZ189" s="1108">
        <f t="shared" ref="BZ189" si="464">+BX189+BY189</f>
        <v>697.86</v>
      </c>
      <c r="CA189" s="1321">
        <f>'CONCEPTOS Y PARAMETROS'!$A$102</f>
        <v>6255</v>
      </c>
      <c r="CB189" s="1112">
        <f t="shared" si="379"/>
        <v>132.6</v>
      </c>
      <c r="CC189" s="1113">
        <f t="shared" si="380"/>
        <v>604.87</v>
      </c>
      <c r="CD189" s="512"/>
      <c r="CE189" s="512"/>
      <c r="CF189" s="512">
        <f t="shared" si="381"/>
        <v>770.65</v>
      </c>
      <c r="CG189" s="509">
        <f t="shared" ref="CG189" si="465">W189+AL189-BQ189</f>
        <v>132.6</v>
      </c>
      <c r="CH189" s="1603">
        <f t="shared" si="382"/>
        <v>12.5</v>
      </c>
      <c r="CI189" s="1491">
        <f t="shared" ref="CI189" si="466">BG189</f>
        <v>320</v>
      </c>
      <c r="CJ189" s="1502">
        <v>1</v>
      </c>
      <c r="CK189" s="509">
        <f t="shared" si="383"/>
        <v>450.65</v>
      </c>
      <c r="CL189" s="1689">
        <f t="shared" si="384"/>
        <v>450.65</v>
      </c>
      <c r="CM189" s="1689">
        <f t="shared" si="375"/>
        <v>0</v>
      </c>
      <c r="CN189" s="510">
        <f t="shared" si="385"/>
        <v>55.83</v>
      </c>
      <c r="CO189" s="511">
        <v>0</v>
      </c>
      <c r="CP189" s="510">
        <f t="shared" si="386"/>
        <v>85.89</v>
      </c>
      <c r="CQ189" s="510">
        <f t="shared" si="387"/>
        <v>0</v>
      </c>
      <c r="CR189" s="510">
        <f t="shared" si="388"/>
        <v>1043.02</v>
      </c>
      <c r="CS189" s="510">
        <f t="shared" si="389"/>
        <v>77.73</v>
      </c>
      <c r="CT189" s="510">
        <f t="shared" si="390"/>
        <v>6255</v>
      </c>
      <c r="CU189" s="512"/>
      <c r="CV189" s="512"/>
      <c r="CW189" s="512"/>
      <c r="CX189" s="512"/>
      <c r="CY189" s="1149" t="s">
        <v>7582</v>
      </c>
      <c r="CZ189" s="1149" t="s">
        <v>7585</v>
      </c>
      <c r="DA189" s="1152"/>
      <c r="DB189" s="1152" t="s">
        <v>7586</v>
      </c>
      <c r="DC189" s="1152"/>
      <c r="DD189" s="1152" t="s">
        <v>6143</v>
      </c>
      <c r="DE189" s="1152" t="s">
        <v>6142</v>
      </c>
      <c r="DF189" s="1152" t="s">
        <v>7593</v>
      </c>
      <c r="DG189" s="1152"/>
      <c r="DH189" s="512"/>
      <c r="DI189" s="512"/>
      <c r="DJ189" s="512"/>
      <c r="DK189" s="512"/>
      <c r="DL189" s="512"/>
      <c r="DN189" s="476" t="str">
        <f>VLOOKUP(X189,Hoja1!$A$4:$B$10,2,0)</f>
        <v>BACHILLER</v>
      </c>
      <c r="DO189" s="476" t="str">
        <f>VLOOKUP(S189,Hoja1!$D$4:$F$77,3,0)</f>
        <v>BI</v>
      </c>
      <c r="DP189" s="1687" t="str">
        <f t="shared" si="391"/>
        <v>SI</v>
      </c>
      <c r="DQ189" s="1484">
        <f>IF(T189&lt;&gt;"0",(ROUND(IF(A189="EMPLEADO",eval_formula('CONCEPTOS Y PARAMETROS'!$C$8,NOMINA!V189,AU189+BF189,NOMINA!I189+NOMINA!J189),eval_formula('CONCEPTOS Y PARAMETROS'!$D$8,NOMINA!V189,AU189+BF189,NOMINA!I189+NOMINA!J189)),2))*IF(H189&lt;&gt;"",IF(MONTH(H189)=$BR$8,IF(YEAR(H189)&lt;$BT$7,1,0),0)))</f>
        <v>0</v>
      </c>
      <c r="DR189" s="1799" t="str">
        <f t="shared" si="392"/>
        <v>F</v>
      </c>
      <c r="DS189" s="1799"/>
    </row>
    <row r="190" spans="1:123" s="471" customFormat="1" ht="21.95" customHeight="1" x14ac:dyDescent="0.25">
      <c r="A190" s="508" t="s">
        <v>2846</v>
      </c>
      <c r="B190" s="1314">
        <f t="shared" ca="1" si="347"/>
        <v>147</v>
      </c>
      <c r="C190" s="1148">
        <v>17094419</v>
      </c>
      <c r="D190" s="1149" t="s">
        <v>4833</v>
      </c>
      <c r="E190" s="1135" t="s">
        <v>4622</v>
      </c>
      <c r="F190" s="1150">
        <v>31052</v>
      </c>
      <c r="G190" s="1135" t="s">
        <v>4620</v>
      </c>
      <c r="H190" s="1150">
        <v>44409</v>
      </c>
      <c r="I190" s="1140">
        <f t="shared" si="376"/>
        <v>4</v>
      </c>
      <c r="J190" s="1132">
        <v>0</v>
      </c>
      <c r="K190" s="1140">
        <f t="shared" si="371"/>
        <v>4</v>
      </c>
      <c r="L190" s="1145" t="s">
        <v>5528</v>
      </c>
      <c r="M190" s="1132"/>
      <c r="N190" s="1132"/>
      <c r="O190" s="1002" t="s">
        <v>5218</v>
      </c>
      <c r="P190" s="1151" t="s">
        <v>6621</v>
      </c>
      <c r="Q190" s="1315" t="str">
        <f>IFERROR(VLOOKUP(O190,CARGOS!A:E,2,0),"")</f>
        <v>79511</v>
      </c>
      <c r="R190" s="1327" t="s">
        <v>5218</v>
      </c>
      <c r="S190" s="1146" t="s">
        <v>5477</v>
      </c>
      <c r="T190" s="1107">
        <f>IFERROR(VLOOKUP(S190,'TAB EMP'!A:B,2,0),0)</f>
        <v>150</v>
      </c>
      <c r="U190" s="1108">
        <v>0</v>
      </c>
      <c r="V190" s="1107">
        <f t="shared" si="393"/>
        <v>150</v>
      </c>
      <c r="W190" s="1108">
        <f t="shared" si="394"/>
        <v>75</v>
      </c>
      <c r="X190" s="1135" t="s">
        <v>2884</v>
      </c>
      <c r="Y190" s="1135"/>
      <c r="Z190" s="1135">
        <v>1</v>
      </c>
      <c r="AA190" s="1107">
        <f>ROUND(IF(H190&lt;&gt;"",VLOOKUP(SUM(I190+J190),'CONCEPTOS Y PARAMETROS'!F:G,2,0)*V190,0),2)</f>
        <v>6</v>
      </c>
      <c r="AB190" s="1107">
        <f>IF(S190&lt;&gt;"",IF(M190="",'CONCEPTOS Y PARAMETROS'!$C$4,0),0)</f>
        <v>130</v>
      </c>
      <c r="AC190" s="1107">
        <f>IF(S190&lt;&gt;"",IF(M190="",'CONCEPTOS Y PARAMETROS'!$C$7*Z190,0),0)</f>
        <v>12.5</v>
      </c>
      <c r="AD190" s="1107">
        <f>IFERROR(ROUND(VLOOKUP($X190,'CONCEPTOS Y PARAMETROS'!H:I,2,0)*($V190+AA190+AB190+AC190),2),0)</f>
        <v>0</v>
      </c>
      <c r="AE190" s="1107">
        <f t="shared" si="369"/>
        <v>148.5</v>
      </c>
      <c r="AF190" s="1107">
        <f t="shared" si="395"/>
        <v>3</v>
      </c>
      <c r="AG190" s="1107">
        <f t="shared" si="396"/>
        <v>3</v>
      </c>
      <c r="AH190" s="1107">
        <f t="shared" si="397"/>
        <v>65</v>
      </c>
      <c r="AI190" s="1107">
        <f t="shared" si="398"/>
        <v>65</v>
      </c>
      <c r="AJ190" s="1107">
        <f t="shared" si="399"/>
        <v>0</v>
      </c>
      <c r="AK190" s="1107">
        <f t="shared" si="400"/>
        <v>0</v>
      </c>
      <c r="AL190" s="1108">
        <f t="shared" si="401"/>
        <v>80.5</v>
      </c>
      <c r="AM190" s="1108">
        <f t="shared" si="402"/>
        <v>68</v>
      </c>
      <c r="AN190" s="990">
        <v>0</v>
      </c>
      <c r="AO190" s="1147">
        <f>'CONCEPTOS Y PARAMETROS'!$C$18*AN190</f>
        <v>0</v>
      </c>
      <c r="AP190" s="990">
        <v>0</v>
      </c>
      <c r="AQ190" s="1147">
        <f>'CONCEPTOS Y PARAMETROS'!$C$21*AP190</f>
        <v>0</v>
      </c>
      <c r="AR190" s="1318">
        <v>0</v>
      </c>
      <c r="AS190" s="1318">
        <v>0</v>
      </c>
      <c r="AT190" s="1318">
        <f t="shared" si="370"/>
        <v>0</v>
      </c>
      <c r="AU190" s="1108">
        <f t="shared" si="372"/>
        <v>388.05</v>
      </c>
      <c r="AV190" s="1133" t="s">
        <v>5080</v>
      </c>
      <c r="AW190" s="1108">
        <f t="shared" si="364"/>
        <v>89.55</v>
      </c>
      <c r="AX190" s="1107">
        <f>IF(T190&lt;&gt;"0",(ROUND(IF(A190="EMPLEADO",eval_formula('CONCEPTOS Y PARAMETROS'!$C$8,NOMINA!V190,NOMINA!$AU190,NOMINA!I190+NOMINA!J190),eval_formula('CONCEPTOS Y PARAMETROS'!$D$8,NOMINA!V190,NOMINA!$AU190,NOMINA!I190+NOMINA!J190)),2))*IF(H190&lt;&gt;"",IF(MONTH(H190)=$BR$8,IF(YEAR(H190)&lt;$BT$7,1,0),0)))</f>
        <v>0</v>
      </c>
      <c r="AY190" s="1108">
        <v>180</v>
      </c>
      <c r="AZ190" s="1107">
        <f>IFERROR(VLOOKUP(AY190,'CONCEPTOS Y PARAMETROS'!Y:Z,2,0),0)</f>
        <v>150</v>
      </c>
      <c r="BA190" s="1107">
        <f t="shared" si="403"/>
        <v>2910.38</v>
      </c>
      <c r="BB190" s="1107">
        <f t="shared" si="405"/>
        <v>0</v>
      </c>
      <c r="BC190" s="990">
        <v>0</v>
      </c>
      <c r="BD190" s="1107" t="str">
        <f t="shared" si="373"/>
        <v>0</v>
      </c>
      <c r="BE190" s="1637">
        <v>3</v>
      </c>
      <c r="BF190" s="1107">
        <f t="shared" si="436"/>
        <v>58.21</v>
      </c>
      <c r="BG190" s="1108">
        <v>320</v>
      </c>
      <c r="BH190" s="1108">
        <v>0</v>
      </c>
      <c r="BI190" s="1132">
        <v>0</v>
      </c>
      <c r="BJ190" s="1108">
        <v>12.5</v>
      </c>
      <c r="BK190" s="1108">
        <v>0</v>
      </c>
      <c r="BL190" s="1107">
        <f t="shared" si="437"/>
        <v>17.91</v>
      </c>
      <c r="BM190" s="1107">
        <f t="shared" si="438"/>
        <v>2.2400000000000002</v>
      </c>
      <c r="BN190" s="1107">
        <f t="shared" si="377"/>
        <v>3.88</v>
      </c>
      <c r="BO190" s="1107">
        <v>0</v>
      </c>
      <c r="BP190" s="1107">
        <v>0</v>
      </c>
      <c r="BQ190" s="1320">
        <f t="shared" si="366"/>
        <v>24.03</v>
      </c>
      <c r="BR190" s="1107">
        <f t="shared" si="439"/>
        <v>40.299999999999997</v>
      </c>
      <c r="BS190" s="1107">
        <f t="shared" si="440"/>
        <v>8.9600000000000009</v>
      </c>
      <c r="BT190" s="1107">
        <f t="shared" si="378"/>
        <v>7.76</v>
      </c>
      <c r="BU190" s="1107">
        <v>0</v>
      </c>
      <c r="BV190" s="1108">
        <f t="shared" si="367"/>
        <v>57.02</v>
      </c>
      <c r="BW190" s="1112">
        <f t="shared" si="368"/>
        <v>81.050000000000011</v>
      </c>
      <c r="BX190" s="1112">
        <f t="shared" si="435"/>
        <v>727.6</v>
      </c>
      <c r="BY190" s="1108">
        <v>0</v>
      </c>
      <c r="BZ190" s="1108">
        <f t="shared" si="365"/>
        <v>727.6</v>
      </c>
      <c r="CA190" s="1321">
        <f>'CONCEPTOS Y PARAMETROS'!$A$102</f>
        <v>6255</v>
      </c>
      <c r="CB190" s="1112">
        <f t="shared" si="379"/>
        <v>131.47</v>
      </c>
      <c r="CC190" s="1113">
        <f t="shared" si="380"/>
        <v>623.26</v>
      </c>
      <c r="CD190" s="512"/>
      <c r="CE190" s="512"/>
      <c r="CF190" s="470">
        <f t="shared" si="381"/>
        <v>783</v>
      </c>
      <c r="CG190" s="495">
        <f t="shared" si="404"/>
        <v>131.47</v>
      </c>
      <c r="CH190" s="498">
        <f t="shared" si="382"/>
        <v>12.5</v>
      </c>
      <c r="CI190" s="1490">
        <f t="shared" si="374"/>
        <v>320</v>
      </c>
      <c r="CJ190" s="1502">
        <v>1</v>
      </c>
      <c r="CK190" s="495">
        <f t="shared" si="383"/>
        <v>463</v>
      </c>
      <c r="CL190" s="1689">
        <f t="shared" si="384"/>
        <v>463</v>
      </c>
      <c r="CM190" s="1689">
        <f t="shared" si="375"/>
        <v>0</v>
      </c>
      <c r="CN190" s="496">
        <f t="shared" si="385"/>
        <v>58.21</v>
      </c>
      <c r="CO190" s="497">
        <v>0</v>
      </c>
      <c r="CP190" s="496">
        <f t="shared" si="386"/>
        <v>89.55</v>
      </c>
      <c r="CQ190" s="496">
        <f t="shared" si="387"/>
        <v>0</v>
      </c>
      <c r="CR190" s="496">
        <f t="shared" si="388"/>
        <v>1073.76</v>
      </c>
      <c r="CS190" s="496">
        <f t="shared" si="389"/>
        <v>81.050000000000011</v>
      </c>
      <c r="CT190" s="496">
        <f t="shared" si="390"/>
        <v>6255</v>
      </c>
      <c r="CU190" s="470"/>
      <c r="CV190" s="470"/>
      <c r="CW190" s="470"/>
      <c r="CX190" s="470"/>
      <c r="CY190" s="1149" t="s">
        <v>6843</v>
      </c>
      <c r="CZ190" s="1149" t="s">
        <v>6896</v>
      </c>
      <c r="DA190" s="1152"/>
      <c r="DB190" s="1642" t="s">
        <v>6579</v>
      </c>
      <c r="DC190" s="1642"/>
      <c r="DD190" s="1642" t="s">
        <v>6153</v>
      </c>
      <c r="DE190" s="1642" t="s">
        <v>6256</v>
      </c>
      <c r="DF190" s="1642" t="s">
        <v>6598</v>
      </c>
      <c r="DG190" s="1642"/>
      <c r="DH190" s="512"/>
      <c r="DI190" s="512"/>
      <c r="DJ190" s="470"/>
      <c r="DK190" s="470"/>
      <c r="DL190" s="470"/>
      <c r="DN190" s="471" t="str">
        <f>VLOOKUP(X190,Hoja1!$A$4:$B$10,2,0)</f>
        <v>BACHILLER</v>
      </c>
      <c r="DO190" s="471" t="str">
        <f>VLOOKUP(S190,Hoja1!$D$4:$F$77,3,0)</f>
        <v>BII - II</v>
      </c>
      <c r="DP190" s="1156" t="str">
        <f t="shared" si="391"/>
        <v>SI</v>
      </c>
      <c r="DQ190" s="1484">
        <f>IF(T190&lt;&gt;"0",(ROUND(IF(A190="EMPLEADO",eval_formula('CONCEPTOS Y PARAMETROS'!$C$8,NOMINA!V190,AU190+BF190,NOMINA!I190+NOMINA!J190),eval_formula('CONCEPTOS Y PARAMETROS'!$D$8,NOMINA!V190,AU190+BF190,NOMINA!I190+NOMINA!J190)),2))*IF(H190&lt;&gt;"",IF(MONTH(H190)=$BR$8,IF(YEAR(H190)&lt;$BT$7,1,0),0)))</f>
        <v>0</v>
      </c>
      <c r="DR190" s="1801" t="str">
        <f t="shared" si="392"/>
        <v>F</v>
      </c>
      <c r="DS190" s="1801"/>
    </row>
    <row r="191" spans="1:123" s="471" customFormat="1" ht="21.95" customHeight="1" x14ac:dyDescent="0.25">
      <c r="A191" s="508" t="s">
        <v>2846</v>
      </c>
      <c r="B191" s="1314">
        <f t="shared" ca="1" si="347"/>
        <v>148</v>
      </c>
      <c r="C191" s="1148">
        <v>17094426</v>
      </c>
      <c r="D191" s="1149" t="s">
        <v>4834</v>
      </c>
      <c r="E191" s="1135" t="s">
        <v>4622</v>
      </c>
      <c r="F191" s="1150">
        <v>30910</v>
      </c>
      <c r="G191" s="1135" t="s">
        <v>4621</v>
      </c>
      <c r="H191" s="1150">
        <v>43344</v>
      </c>
      <c r="I191" s="1140">
        <f t="shared" si="376"/>
        <v>7</v>
      </c>
      <c r="J191" s="1132">
        <v>0</v>
      </c>
      <c r="K191" s="1140">
        <f t="shared" si="371"/>
        <v>7</v>
      </c>
      <c r="L191" s="1145" t="s">
        <v>5536</v>
      </c>
      <c r="M191" s="1132"/>
      <c r="N191" s="1132"/>
      <c r="O191" s="1002" t="s">
        <v>5217</v>
      </c>
      <c r="P191" s="1132" t="s">
        <v>5388</v>
      </c>
      <c r="Q191" s="1315" t="str">
        <f>IFERROR(VLOOKUP(O191,CARGOS!A:E,2,0),"")</f>
        <v>79512</v>
      </c>
      <c r="R191" s="1327" t="s">
        <v>5217</v>
      </c>
      <c r="S191" s="1146" t="s">
        <v>5475</v>
      </c>
      <c r="T191" s="1107">
        <f>IFERROR(VLOOKUP(S191,'TAB EMP'!A:B,2,0),0)</f>
        <v>279</v>
      </c>
      <c r="U191" s="1108">
        <v>0</v>
      </c>
      <c r="V191" s="1107">
        <f t="shared" si="393"/>
        <v>279</v>
      </c>
      <c r="W191" s="1108">
        <f t="shared" si="394"/>
        <v>139.5</v>
      </c>
      <c r="X191" s="1135" t="s">
        <v>2885</v>
      </c>
      <c r="Y191" s="1135"/>
      <c r="Z191" s="1135">
        <v>1</v>
      </c>
      <c r="AA191" s="1107">
        <f>ROUND(IF(H191&lt;&gt;"",VLOOKUP(SUM(I191+J191),'CONCEPTOS Y PARAMETROS'!F:G,2,0)*V191,0),2)</f>
        <v>20.65</v>
      </c>
      <c r="AB191" s="1107">
        <f>IF(S191&lt;&gt;"",IF(M191="",'CONCEPTOS Y PARAMETROS'!$C$4,0),0)</f>
        <v>130</v>
      </c>
      <c r="AC191" s="1107">
        <f>IF(S191&lt;&gt;"",IF(M191="",'CONCEPTOS Y PARAMETROS'!$C$7*Z191,0),0)</f>
        <v>12.5</v>
      </c>
      <c r="AD191" s="1107">
        <f>IFERROR(ROUND(VLOOKUP($X191,'CONCEPTOS Y PARAMETROS'!H:I,2,0)*($V191+AA191+AB191+AC191),2),0)</f>
        <v>110.54</v>
      </c>
      <c r="AE191" s="1107">
        <f t="shared" si="369"/>
        <v>273.69</v>
      </c>
      <c r="AF191" s="1107">
        <f t="shared" si="395"/>
        <v>10.33</v>
      </c>
      <c r="AG191" s="1107">
        <f t="shared" si="396"/>
        <v>10.32</v>
      </c>
      <c r="AH191" s="1107">
        <f t="shared" si="397"/>
        <v>65</v>
      </c>
      <c r="AI191" s="1107">
        <f t="shared" si="398"/>
        <v>65</v>
      </c>
      <c r="AJ191" s="1107">
        <f t="shared" si="399"/>
        <v>55.27</v>
      </c>
      <c r="AK191" s="1107">
        <f t="shared" si="400"/>
        <v>55.27</v>
      </c>
      <c r="AL191" s="1108">
        <f t="shared" si="401"/>
        <v>143.1</v>
      </c>
      <c r="AM191" s="1108">
        <f t="shared" si="402"/>
        <v>130.59</v>
      </c>
      <c r="AN191" s="990">
        <v>0</v>
      </c>
      <c r="AO191" s="1147">
        <f>'CONCEPTOS Y PARAMETROS'!$C$18*AN191</f>
        <v>0</v>
      </c>
      <c r="AP191" s="990">
        <v>0</v>
      </c>
      <c r="AQ191" s="1147">
        <f>'CONCEPTOS Y PARAMETROS'!$C$21*AP191</f>
        <v>0</v>
      </c>
      <c r="AR191" s="1318">
        <v>0</v>
      </c>
      <c r="AS191" s="1318">
        <v>0</v>
      </c>
      <c r="AT191" s="1318">
        <f t="shared" si="370"/>
        <v>0</v>
      </c>
      <c r="AU191" s="1108">
        <f t="shared" si="372"/>
        <v>718.5</v>
      </c>
      <c r="AV191" s="1133" t="s">
        <v>5080</v>
      </c>
      <c r="AW191" s="1108">
        <f t="shared" si="364"/>
        <v>165.81</v>
      </c>
      <c r="AX191" s="1107">
        <f>IF(T191&lt;&gt;"0",(ROUND(IF(A191="EMPLEADO",eval_formula('CONCEPTOS Y PARAMETROS'!$C$8,NOMINA!V191,NOMINA!$AU191,NOMINA!I191+NOMINA!J191),eval_formula('CONCEPTOS Y PARAMETROS'!$D$8,NOMINA!V191,NOMINA!$AU191,NOMINA!I191+NOMINA!J191)),2))*IF(H191&lt;&gt;"",IF(MONTH(H191)=$BR$8,IF(YEAR(H191)&lt;$BT$7,1,0),0)))</f>
        <v>5748</v>
      </c>
      <c r="AY191" s="1108">
        <v>180</v>
      </c>
      <c r="AZ191" s="1107">
        <f>IFERROR(VLOOKUP(AY191,'CONCEPTOS Y PARAMETROS'!Y:Z,2,0),0)</f>
        <v>150</v>
      </c>
      <c r="BA191" s="1107">
        <f t="shared" si="403"/>
        <v>5388.75</v>
      </c>
      <c r="BB191" s="1107">
        <f t="shared" si="405"/>
        <v>0</v>
      </c>
      <c r="BC191" s="990">
        <v>0</v>
      </c>
      <c r="BD191" s="1107" t="str">
        <f t="shared" si="373"/>
        <v>0</v>
      </c>
      <c r="BE191" s="1637">
        <v>4</v>
      </c>
      <c r="BF191" s="1107">
        <f t="shared" si="436"/>
        <v>143.69999999999999</v>
      </c>
      <c r="BG191" s="1108">
        <v>320</v>
      </c>
      <c r="BH191" s="1108">
        <v>0</v>
      </c>
      <c r="BI191" s="1132">
        <v>0</v>
      </c>
      <c r="BJ191" s="1108">
        <v>12.5</v>
      </c>
      <c r="BK191" s="1108">
        <v>0</v>
      </c>
      <c r="BL191" s="1107">
        <f t="shared" si="437"/>
        <v>33.159999999999997</v>
      </c>
      <c r="BM191" s="1107">
        <f t="shared" si="438"/>
        <v>4.1500000000000004</v>
      </c>
      <c r="BN191" s="1107">
        <f t="shared" si="377"/>
        <v>7.19</v>
      </c>
      <c r="BO191" s="1107">
        <v>0</v>
      </c>
      <c r="BP191" s="1107">
        <v>0</v>
      </c>
      <c r="BQ191" s="1320">
        <f t="shared" si="366"/>
        <v>44.5</v>
      </c>
      <c r="BR191" s="1107">
        <f t="shared" si="439"/>
        <v>74.61</v>
      </c>
      <c r="BS191" s="1107">
        <f t="shared" si="440"/>
        <v>16.579999999999998</v>
      </c>
      <c r="BT191" s="1107">
        <f t="shared" si="378"/>
        <v>14.38</v>
      </c>
      <c r="BU191" s="1107">
        <v>0</v>
      </c>
      <c r="BV191" s="1108">
        <f t="shared" si="367"/>
        <v>105.57</v>
      </c>
      <c r="BW191" s="1112">
        <f t="shared" si="368"/>
        <v>150.07</v>
      </c>
      <c r="BX191" s="1112">
        <f t="shared" si="435"/>
        <v>1347.19</v>
      </c>
      <c r="BY191" s="1108">
        <v>0</v>
      </c>
      <c r="BZ191" s="1108">
        <f t="shared" si="365"/>
        <v>1347.19</v>
      </c>
      <c r="CA191" s="1321">
        <f>'CONCEPTOS Y PARAMETROS'!$A$102</f>
        <v>6255</v>
      </c>
      <c r="CB191" s="1112">
        <f t="shared" si="379"/>
        <v>238.10000000000002</v>
      </c>
      <c r="CC191" s="1113">
        <f t="shared" si="380"/>
        <v>6660.1</v>
      </c>
      <c r="CD191" s="512"/>
      <c r="CE191" s="512"/>
      <c r="CF191" s="470">
        <f t="shared" si="381"/>
        <v>910.09</v>
      </c>
      <c r="CG191" s="495">
        <f t="shared" si="404"/>
        <v>238.10000000000002</v>
      </c>
      <c r="CH191" s="498">
        <f t="shared" si="382"/>
        <v>12.5</v>
      </c>
      <c r="CI191" s="1490">
        <f t="shared" si="374"/>
        <v>320</v>
      </c>
      <c r="CJ191" s="1500">
        <v>1</v>
      </c>
      <c r="CK191" s="495">
        <f t="shared" si="383"/>
        <v>590.09</v>
      </c>
      <c r="CL191" s="1689">
        <f t="shared" si="384"/>
        <v>590.09</v>
      </c>
      <c r="CM191" s="1689">
        <f t="shared" si="375"/>
        <v>0</v>
      </c>
      <c r="CN191" s="496">
        <f t="shared" si="385"/>
        <v>143.69999999999999</v>
      </c>
      <c r="CO191" s="497">
        <v>0</v>
      </c>
      <c r="CP191" s="496">
        <f t="shared" si="386"/>
        <v>165.81</v>
      </c>
      <c r="CQ191" s="496">
        <f t="shared" si="387"/>
        <v>5748</v>
      </c>
      <c r="CR191" s="496">
        <f t="shared" si="388"/>
        <v>7237.6900000000005</v>
      </c>
      <c r="CS191" s="496">
        <f t="shared" si="389"/>
        <v>150.07</v>
      </c>
      <c r="CT191" s="496">
        <f t="shared" si="390"/>
        <v>6255</v>
      </c>
      <c r="CU191" s="470"/>
      <c r="CV191" s="470"/>
      <c r="CW191" s="470"/>
      <c r="CX191" s="470"/>
      <c r="CY191" s="1149" t="s">
        <v>6897</v>
      </c>
      <c r="CZ191" s="1149" t="s">
        <v>6898</v>
      </c>
      <c r="DA191" s="1152"/>
      <c r="DB191" s="1642" t="s">
        <v>7488</v>
      </c>
      <c r="DC191" s="1642"/>
      <c r="DD191" s="1642" t="s">
        <v>6135</v>
      </c>
      <c r="DE191" s="1642" t="s">
        <v>6240</v>
      </c>
      <c r="DF191" s="1642" t="s">
        <v>6488</v>
      </c>
      <c r="DG191" s="1642"/>
      <c r="DH191" s="512"/>
      <c r="DI191" s="512"/>
      <c r="DJ191" s="470"/>
      <c r="DK191" s="470"/>
      <c r="DL191" s="470"/>
      <c r="DN191" s="471" t="str">
        <f>VLOOKUP(X191,Hoja1!$A$4:$B$10,2,0)</f>
        <v>PROFESIONAL</v>
      </c>
      <c r="DO191" s="471" t="str">
        <f>VLOOKUP(S191,Hoja1!$D$4:$F$77,3,0)</f>
        <v>PII - III</v>
      </c>
      <c r="DP191" s="1156" t="str">
        <f t="shared" si="391"/>
        <v>SI</v>
      </c>
      <c r="DQ191" s="1484">
        <f>IF(T191&lt;&gt;"0",(ROUND(IF(A191="EMPLEADO",eval_formula('CONCEPTOS Y PARAMETROS'!$C$8,NOMINA!V191,AU191+BF191,NOMINA!I191+NOMINA!J191),eval_formula('CONCEPTOS Y PARAMETROS'!$D$8,NOMINA!V191,AU191+BF191,NOMINA!I191+NOMINA!J191)),2))*IF(H191&lt;&gt;"",IF(MONTH(H191)=$BR$8,IF(YEAR(H191)&lt;$BT$7,1,0),0)))</f>
        <v>6897.6</v>
      </c>
      <c r="DR191" s="1801" t="str">
        <f t="shared" si="392"/>
        <v>M</v>
      </c>
      <c r="DS191" s="1801"/>
    </row>
    <row r="192" spans="1:123" s="476" customFormat="1" ht="21.95" customHeight="1" x14ac:dyDescent="0.25">
      <c r="A192" s="508" t="s">
        <v>2846</v>
      </c>
      <c r="B192" s="1314">
        <f t="shared" ca="1" si="347"/>
        <v>149</v>
      </c>
      <c r="C192" s="1148">
        <v>17130893</v>
      </c>
      <c r="D192" s="1149" t="s">
        <v>4835</v>
      </c>
      <c r="E192" s="1135" t="s">
        <v>4622</v>
      </c>
      <c r="F192" s="1150">
        <v>30823</v>
      </c>
      <c r="G192" s="1135" t="s">
        <v>4620</v>
      </c>
      <c r="H192" s="1150">
        <v>39602</v>
      </c>
      <c r="I192" s="1140">
        <f t="shared" si="376"/>
        <v>17</v>
      </c>
      <c r="J192" s="1132">
        <v>0</v>
      </c>
      <c r="K192" s="1140">
        <f t="shared" si="371"/>
        <v>17</v>
      </c>
      <c r="L192" s="1145" t="s">
        <v>5542</v>
      </c>
      <c r="M192" s="1132"/>
      <c r="N192" s="1132"/>
      <c r="O192" s="1002" t="s">
        <v>5233</v>
      </c>
      <c r="P192" s="1132" t="s">
        <v>5389</v>
      </c>
      <c r="Q192" s="1315" t="str">
        <f>IFERROR(VLOOKUP(O192,CARGOS!A:E,2,0),"")</f>
        <v>79523</v>
      </c>
      <c r="R192" s="1327" t="s">
        <v>5233</v>
      </c>
      <c r="S192" s="1146" t="s">
        <v>5460</v>
      </c>
      <c r="T192" s="1107">
        <f>IFERROR(VLOOKUP(S192,'TAB EMP'!A:B,2,0),0)</f>
        <v>285</v>
      </c>
      <c r="U192" s="1108">
        <v>0</v>
      </c>
      <c r="V192" s="1107">
        <f t="shared" si="393"/>
        <v>285</v>
      </c>
      <c r="W192" s="1108">
        <f t="shared" si="394"/>
        <v>142.5</v>
      </c>
      <c r="X192" s="1135" t="s">
        <v>2885</v>
      </c>
      <c r="Y192" s="1135"/>
      <c r="Z192" s="1135">
        <v>2</v>
      </c>
      <c r="AA192" s="1107">
        <f>ROUND(IF(H192&lt;&gt;"",VLOOKUP(SUM(I192+J192),'CONCEPTOS Y PARAMETROS'!F:G,2,0)*V192,0),2)</f>
        <v>60.42</v>
      </c>
      <c r="AB192" s="1107">
        <f>IF(S192&lt;&gt;"",IF(M192="",'CONCEPTOS Y PARAMETROS'!$C$4,0),0)</f>
        <v>130</v>
      </c>
      <c r="AC192" s="1107">
        <f>IF(S192&lt;&gt;"",IF(M192="",'CONCEPTOS Y PARAMETROS'!$C$7*Z192,0),0)</f>
        <v>25</v>
      </c>
      <c r="AD192" s="1107">
        <f>IFERROR(ROUND(VLOOKUP($X192,'CONCEPTOS Y PARAMETROS'!H:I,2,0)*($V192+AA192+AB192+AC192),2),0)</f>
        <v>125.11</v>
      </c>
      <c r="AE192" s="1107">
        <f t="shared" si="369"/>
        <v>340.53000000000003</v>
      </c>
      <c r="AF192" s="1107">
        <f t="shared" si="395"/>
        <v>30.21</v>
      </c>
      <c r="AG192" s="1107">
        <f t="shared" si="396"/>
        <v>30.21</v>
      </c>
      <c r="AH192" s="1107">
        <f t="shared" si="397"/>
        <v>65</v>
      </c>
      <c r="AI192" s="1107">
        <f t="shared" si="398"/>
        <v>65</v>
      </c>
      <c r="AJ192" s="1107">
        <f t="shared" si="399"/>
        <v>62.56</v>
      </c>
      <c r="AK192" s="1107">
        <f t="shared" si="400"/>
        <v>62.55</v>
      </c>
      <c r="AL192" s="1108">
        <f t="shared" si="401"/>
        <v>182.77</v>
      </c>
      <c r="AM192" s="1108">
        <f t="shared" si="402"/>
        <v>157.76</v>
      </c>
      <c r="AN192" s="990">
        <v>2</v>
      </c>
      <c r="AO192" s="1147">
        <f>'CONCEPTOS Y PARAMETROS'!$C$18*AN192</f>
        <v>25</v>
      </c>
      <c r="AP192" s="990">
        <v>0</v>
      </c>
      <c r="AQ192" s="1147">
        <f>'CONCEPTOS Y PARAMETROS'!$C$21*AP192</f>
        <v>0</v>
      </c>
      <c r="AR192" s="1318">
        <v>0</v>
      </c>
      <c r="AS192" s="1318">
        <v>0</v>
      </c>
      <c r="AT192" s="1318">
        <f t="shared" si="370"/>
        <v>25</v>
      </c>
      <c r="AU192" s="1108">
        <f t="shared" si="372"/>
        <v>625.53</v>
      </c>
      <c r="AV192" s="1133">
        <v>0</v>
      </c>
      <c r="AW192" s="1108">
        <f t="shared" si="364"/>
        <v>0</v>
      </c>
      <c r="AX192" s="1107">
        <f>IF(T192&lt;&gt;"0",(ROUND(IF(A192="EMPLEADO",eval_formula('CONCEPTOS Y PARAMETROS'!$C$8,NOMINA!V192,NOMINA!$AU192,NOMINA!I192+NOMINA!J192),eval_formula('CONCEPTOS Y PARAMETROS'!$D$8,NOMINA!V192,NOMINA!$AU192,NOMINA!I192+NOMINA!J192)),2))*IF(H192&lt;&gt;"",IF(MONTH(H192)=$BR$8,IF(YEAR(H192)&lt;$BT$7,1,0),0)))</f>
        <v>0</v>
      </c>
      <c r="AY192" s="1108">
        <v>180</v>
      </c>
      <c r="AZ192" s="1107">
        <f>IFERROR(VLOOKUP(AY192,'CONCEPTOS Y PARAMETROS'!Y:Z,2,0),0)</f>
        <v>150</v>
      </c>
      <c r="BA192" s="1107">
        <f t="shared" si="403"/>
        <v>4691.4799999999996</v>
      </c>
      <c r="BB192" s="1107">
        <f t="shared" si="405"/>
        <v>0</v>
      </c>
      <c r="BC192" s="990">
        <v>0</v>
      </c>
      <c r="BD192" s="1107" t="str">
        <f t="shared" si="373"/>
        <v>0</v>
      </c>
      <c r="BE192" s="990">
        <v>0</v>
      </c>
      <c r="BF192" s="1107">
        <f t="shared" si="436"/>
        <v>0</v>
      </c>
      <c r="BG192" s="1108">
        <v>320</v>
      </c>
      <c r="BH192" s="1108">
        <v>0</v>
      </c>
      <c r="BI192" s="1132">
        <v>0</v>
      </c>
      <c r="BJ192" s="1108">
        <v>12.5</v>
      </c>
      <c r="BK192" s="1108">
        <v>0</v>
      </c>
      <c r="BL192" s="1107">
        <f t="shared" si="437"/>
        <v>28.87</v>
      </c>
      <c r="BM192" s="1107">
        <f t="shared" si="438"/>
        <v>3.61</v>
      </c>
      <c r="BN192" s="1107">
        <f t="shared" si="377"/>
        <v>6.26</v>
      </c>
      <c r="BO192" s="1107">
        <v>0</v>
      </c>
      <c r="BP192" s="1107">
        <v>0</v>
      </c>
      <c r="BQ192" s="1320">
        <f t="shared" si="366"/>
        <v>38.74</v>
      </c>
      <c r="BR192" s="1107">
        <f t="shared" si="439"/>
        <v>64.959999999999994</v>
      </c>
      <c r="BS192" s="1107">
        <f t="shared" si="440"/>
        <v>14.44</v>
      </c>
      <c r="BT192" s="1107">
        <f t="shared" si="378"/>
        <v>12.52</v>
      </c>
      <c r="BU192" s="1107">
        <v>0</v>
      </c>
      <c r="BV192" s="1108">
        <f t="shared" si="367"/>
        <v>91.92</v>
      </c>
      <c r="BW192" s="1112">
        <f t="shared" si="368"/>
        <v>130.66</v>
      </c>
      <c r="BX192" s="1112">
        <f t="shared" si="435"/>
        <v>1172.8699999999999</v>
      </c>
      <c r="BY192" s="1108">
        <v>0</v>
      </c>
      <c r="BZ192" s="1108">
        <f t="shared" si="365"/>
        <v>1172.8699999999999</v>
      </c>
      <c r="CA192" s="1321">
        <f>'CONCEPTOS Y PARAMETROS'!$A$102</f>
        <v>6255</v>
      </c>
      <c r="CB192" s="1112">
        <f t="shared" si="379"/>
        <v>286.52999999999997</v>
      </c>
      <c r="CC192" s="1113">
        <f t="shared" si="380"/>
        <v>657.76</v>
      </c>
      <c r="CD192" s="512"/>
      <c r="CE192" s="512"/>
      <c r="CF192" s="470">
        <f t="shared" si="381"/>
        <v>940.26</v>
      </c>
      <c r="CG192" s="509">
        <f t="shared" si="404"/>
        <v>286.52999999999997</v>
      </c>
      <c r="CH192" s="1603">
        <f t="shared" si="382"/>
        <v>37.5</v>
      </c>
      <c r="CI192" s="1491">
        <f t="shared" si="374"/>
        <v>320</v>
      </c>
      <c r="CJ192" s="1502">
        <v>2</v>
      </c>
      <c r="CK192" s="509">
        <f t="shared" si="383"/>
        <v>620.26</v>
      </c>
      <c r="CL192" s="1689">
        <f t="shared" si="384"/>
        <v>297.72000000000003</v>
      </c>
      <c r="CM192" s="1689">
        <f t="shared" si="375"/>
        <v>322.53999999999996</v>
      </c>
      <c r="CN192" s="510">
        <f t="shared" si="385"/>
        <v>0</v>
      </c>
      <c r="CO192" s="511">
        <v>0</v>
      </c>
      <c r="CP192" s="510">
        <f t="shared" si="386"/>
        <v>0</v>
      </c>
      <c r="CQ192" s="510">
        <f t="shared" si="387"/>
        <v>0</v>
      </c>
      <c r="CR192" s="510">
        <f t="shared" si="388"/>
        <v>1240.52</v>
      </c>
      <c r="CS192" s="510">
        <f t="shared" si="389"/>
        <v>130.66</v>
      </c>
      <c r="CT192" s="510">
        <f t="shared" si="390"/>
        <v>6255</v>
      </c>
      <c r="CU192" s="512"/>
      <c r="CV192" s="512"/>
      <c r="CW192" s="512"/>
      <c r="CX192" s="512"/>
      <c r="CY192" s="1149" t="s">
        <v>6899</v>
      </c>
      <c r="CZ192" s="1149" t="s">
        <v>6900</v>
      </c>
      <c r="DA192" s="1152"/>
      <c r="DB192" s="1152" t="s">
        <v>6188</v>
      </c>
      <c r="DC192" s="1152" t="s">
        <v>7546</v>
      </c>
      <c r="DD192" s="1152" t="s">
        <v>6179</v>
      </c>
      <c r="DE192" s="1152" t="s">
        <v>6185</v>
      </c>
      <c r="DF192" s="1152" t="s">
        <v>6599</v>
      </c>
      <c r="DG192" s="1152"/>
      <c r="DH192" s="512"/>
      <c r="DI192" s="512"/>
      <c r="DJ192" s="512"/>
      <c r="DK192" s="512"/>
      <c r="DL192" s="512"/>
      <c r="DN192" s="476" t="str">
        <f>VLOOKUP(X192,Hoja1!$A$4:$B$10,2,0)</f>
        <v>PROFESIONAL</v>
      </c>
      <c r="DO192" s="476" t="str">
        <f>VLOOKUP(S192,Hoja1!$D$4:$F$77,3,0)</f>
        <v>PII - VI</v>
      </c>
      <c r="DP192" s="1594" t="str">
        <f t="shared" si="391"/>
        <v>0</v>
      </c>
      <c r="DQ192" s="1484">
        <f>IF(T192&lt;&gt;"0",(ROUND(IF(A192="EMPLEADO",eval_formula('CONCEPTOS Y PARAMETROS'!$C$8,NOMINA!V192,AU192+BF192,NOMINA!I192+NOMINA!J192),eval_formula('CONCEPTOS Y PARAMETROS'!$D$8,NOMINA!V192,AU192+BF192,NOMINA!I192+NOMINA!J192)),2))*IF(H192&lt;&gt;"",IF(MONTH(H192)=$BR$8,IF(YEAR(H192)&lt;$BT$7,1,0),0)))</f>
        <v>0</v>
      </c>
      <c r="DR192" s="1799" t="str">
        <f t="shared" si="392"/>
        <v>F</v>
      </c>
      <c r="DS192" s="1799"/>
    </row>
    <row r="193" spans="1:123" s="476" customFormat="1" ht="21.95" customHeight="1" x14ac:dyDescent="0.2">
      <c r="A193" s="508" t="s">
        <v>2846</v>
      </c>
      <c r="B193" s="1314">
        <f t="shared" ca="1" si="347"/>
        <v>150</v>
      </c>
      <c r="C193" s="1148">
        <v>17265578</v>
      </c>
      <c r="D193" s="1149" t="s">
        <v>5513</v>
      </c>
      <c r="E193" s="1135" t="s">
        <v>4622</v>
      </c>
      <c r="F193" s="1150">
        <v>30869</v>
      </c>
      <c r="G193" s="1135" t="s">
        <v>4620</v>
      </c>
      <c r="H193" s="1150">
        <v>45047</v>
      </c>
      <c r="I193" s="1140">
        <f t="shared" si="376"/>
        <v>2</v>
      </c>
      <c r="J193" s="1132">
        <f>1+1</f>
        <v>2</v>
      </c>
      <c r="K193" s="1140">
        <f t="shared" si="371"/>
        <v>4</v>
      </c>
      <c r="L193" s="1145" t="s">
        <v>5548</v>
      </c>
      <c r="M193" s="1132"/>
      <c r="N193" s="1132"/>
      <c r="O193" s="1002" t="s">
        <v>5250</v>
      </c>
      <c r="P193" s="1132" t="s">
        <v>5724</v>
      </c>
      <c r="Q193" s="1315" t="str">
        <f>IFERROR(VLOOKUP(O193,CARGOS!A:E,2,0),"")</f>
        <v>79342</v>
      </c>
      <c r="R193" s="1327" t="s">
        <v>5250</v>
      </c>
      <c r="S193" s="1146" t="s">
        <v>5468</v>
      </c>
      <c r="T193" s="1107">
        <f>IFERROR(VLOOKUP(S193,'TAB EMP'!A:B,2,0),0)</f>
        <v>219</v>
      </c>
      <c r="U193" s="1108">
        <v>0</v>
      </c>
      <c r="V193" s="1107">
        <f t="shared" si="393"/>
        <v>219</v>
      </c>
      <c r="W193" s="1108">
        <f t="shared" si="394"/>
        <v>109.5</v>
      </c>
      <c r="X193" s="1135" t="s">
        <v>2844</v>
      </c>
      <c r="Y193" s="1135"/>
      <c r="Z193" s="1135">
        <v>1</v>
      </c>
      <c r="AA193" s="1107">
        <f>ROUND(IF(H193&lt;&gt;"",VLOOKUP(SUM(I193+J193),'CONCEPTOS Y PARAMETROS'!F:G,2,0)*V193,0),2)</f>
        <v>8.76</v>
      </c>
      <c r="AB193" s="1107">
        <f>IF(S193&lt;&gt;"",IF(M193="",'CONCEPTOS Y PARAMETROS'!$C$4,0),0)</f>
        <v>130</v>
      </c>
      <c r="AC193" s="1107">
        <f>IF(S193&lt;&gt;"",IF(M193="",'CONCEPTOS Y PARAMETROS'!$C$7*Z193,0),0)</f>
        <v>12.5</v>
      </c>
      <c r="AD193" s="1107">
        <f>IFERROR(ROUND(VLOOKUP($X193,'CONCEPTOS Y PARAMETROS'!H:I,2,0)*($V193+AA193+AB193+AC193),2),0)</f>
        <v>74.05</v>
      </c>
      <c r="AE193" s="1107">
        <f t="shared" si="369"/>
        <v>225.31</v>
      </c>
      <c r="AF193" s="1107">
        <f t="shared" si="395"/>
        <v>4.38</v>
      </c>
      <c r="AG193" s="1107">
        <f t="shared" si="396"/>
        <v>4.38</v>
      </c>
      <c r="AH193" s="1107">
        <f t="shared" si="397"/>
        <v>65</v>
      </c>
      <c r="AI193" s="1107">
        <f t="shared" si="398"/>
        <v>65</v>
      </c>
      <c r="AJ193" s="1107">
        <f t="shared" si="399"/>
        <v>37.03</v>
      </c>
      <c r="AK193" s="1107">
        <f t="shared" si="400"/>
        <v>37.020000000000003</v>
      </c>
      <c r="AL193" s="1108">
        <f t="shared" si="401"/>
        <v>118.91</v>
      </c>
      <c r="AM193" s="1108">
        <f t="shared" si="402"/>
        <v>106.4</v>
      </c>
      <c r="AN193" s="990">
        <v>0</v>
      </c>
      <c r="AO193" s="1147">
        <f>'CONCEPTOS Y PARAMETROS'!$C$18*AN193</f>
        <v>0</v>
      </c>
      <c r="AP193" s="990">
        <v>0</v>
      </c>
      <c r="AQ193" s="1147">
        <f>'CONCEPTOS Y PARAMETROS'!$C$21*AP193</f>
        <v>0</v>
      </c>
      <c r="AR193" s="1318">
        <v>0</v>
      </c>
      <c r="AS193" s="1318">
        <v>0</v>
      </c>
      <c r="AT193" s="1318">
        <f t="shared" ref="AT193" si="467">+AO193+AQ193+AR193+AS193</f>
        <v>0</v>
      </c>
      <c r="AU193" s="1108">
        <f t="shared" si="372"/>
        <v>444.31</v>
      </c>
      <c r="AV193" s="1108">
        <v>0</v>
      </c>
      <c r="AW193" s="1108">
        <f t="shared" si="364"/>
        <v>0</v>
      </c>
      <c r="AX193" s="1108">
        <f>IF(T193&lt;&gt;"0",(ROUND(IF(A193="EMPLEADO",eval_formula('CONCEPTOS Y PARAMETROS'!$C$8,NOMINA!V193,NOMINA!$AU193,NOMINA!I193+NOMINA!J193),eval_formula('CONCEPTOS Y PARAMETROS'!$D$8,NOMINA!V193,NOMINA!$AU193,NOMINA!I193+NOMINA!J193)),2))*IF(H193&lt;&gt;"",IF(MONTH(H193)=$BR$8,IF(YEAR(H193)&lt;$BT$7,1,0),0)))</f>
        <v>0</v>
      </c>
      <c r="AY193" s="1108">
        <v>180</v>
      </c>
      <c r="AZ193" s="1107">
        <f>IFERROR(VLOOKUP(AY193,'CONCEPTOS Y PARAMETROS'!Y:Z,2,0),0)</f>
        <v>150</v>
      </c>
      <c r="BA193" s="1107">
        <f t="shared" si="403"/>
        <v>3332.33</v>
      </c>
      <c r="BB193" s="1107">
        <f t="shared" si="405"/>
        <v>0</v>
      </c>
      <c r="BC193" s="990">
        <v>0</v>
      </c>
      <c r="BD193" s="1107" t="str">
        <f t="shared" si="373"/>
        <v>0</v>
      </c>
      <c r="BE193" s="990">
        <v>0</v>
      </c>
      <c r="BF193" s="1107">
        <f t="shared" si="436"/>
        <v>0</v>
      </c>
      <c r="BG193" s="1108">
        <v>320</v>
      </c>
      <c r="BH193" s="1108">
        <v>0</v>
      </c>
      <c r="BI193" s="1132">
        <v>0</v>
      </c>
      <c r="BJ193" s="1108">
        <v>12.5</v>
      </c>
      <c r="BK193" s="1108">
        <v>0</v>
      </c>
      <c r="BL193" s="1107">
        <f t="shared" si="437"/>
        <v>20.51</v>
      </c>
      <c r="BM193" s="1107">
        <f t="shared" si="438"/>
        <v>2.56</v>
      </c>
      <c r="BN193" s="1107">
        <f t="shared" si="377"/>
        <v>4.4400000000000004</v>
      </c>
      <c r="BO193" s="1107">
        <v>0</v>
      </c>
      <c r="BP193" s="1107">
        <v>0</v>
      </c>
      <c r="BQ193" s="1320">
        <f t="shared" ref="BQ193" si="468">ROUND(SUM(BL193:BP193),2)</f>
        <v>27.51</v>
      </c>
      <c r="BR193" s="1107">
        <f t="shared" si="439"/>
        <v>46.14</v>
      </c>
      <c r="BS193" s="1107">
        <f t="shared" si="440"/>
        <v>10.25</v>
      </c>
      <c r="BT193" s="1107">
        <f t="shared" si="378"/>
        <v>8.8800000000000008</v>
      </c>
      <c r="BU193" s="1107">
        <v>0</v>
      </c>
      <c r="BV193" s="1108">
        <f t="shared" ref="BV193" si="469">ROUND(SUM(BR193:BT193),2)</f>
        <v>65.27</v>
      </c>
      <c r="BW193" s="1112">
        <f t="shared" ref="BW193" si="470">BQ193+BV193</f>
        <v>92.78</v>
      </c>
      <c r="BX193" s="1112">
        <f t="shared" si="435"/>
        <v>833.08</v>
      </c>
      <c r="BY193" s="1108">
        <v>0</v>
      </c>
      <c r="BZ193" s="1108">
        <f t="shared" si="365"/>
        <v>833.08</v>
      </c>
      <c r="CA193" s="1321">
        <f>'CONCEPTOS Y PARAMETROS'!$A$102</f>
        <v>6255</v>
      </c>
      <c r="CB193" s="1112">
        <f t="shared" si="379"/>
        <v>200.9</v>
      </c>
      <c r="CC193" s="1113">
        <f t="shared" si="380"/>
        <v>548.4</v>
      </c>
      <c r="CD193" s="512"/>
      <c r="CE193" s="512"/>
      <c r="CF193" s="470">
        <f t="shared" si="381"/>
        <v>855.9</v>
      </c>
      <c r="CG193" s="509">
        <f t="shared" si="404"/>
        <v>200.9</v>
      </c>
      <c r="CH193" s="1603">
        <f t="shared" si="382"/>
        <v>12.5</v>
      </c>
      <c r="CI193" s="1491">
        <f t="shared" si="374"/>
        <v>320</v>
      </c>
      <c r="CJ193" s="1502">
        <v>1</v>
      </c>
      <c r="CK193" s="509">
        <f t="shared" si="383"/>
        <v>535.9</v>
      </c>
      <c r="CL193" s="1689">
        <f t="shared" si="384"/>
        <v>535.9</v>
      </c>
      <c r="CM193" s="1689">
        <f t="shared" si="375"/>
        <v>0</v>
      </c>
      <c r="CN193" s="510">
        <f t="shared" si="385"/>
        <v>0</v>
      </c>
      <c r="CO193" s="511">
        <v>0</v>
      </c>
      <c r="CP193" s="510">
        <f t="shared" si="386"/>
        <v>0</v>
      </c>
      <c r="CQ193" s="510">
        <f t="shared" si="387"/>
        <v>0</v>
      </c>
      <c r="CR193" s="510">
        <f t="shared" si="388"/>
        <v>1071.8</v>
      </c>
      <c r="CS193" s="510">
        <f t="shared" si="389"/>
        <v>92.78</v>
      </c>
      <c r="CT193" s="510">
        <f t="shared" si="390"/>
        <v>6255</v>
      </c>
      <c r="CU193" s="512"/>
      <c r="CV193" s="512"/>
      <c r="CW193" s="512"/>
      <c r="CX193" s="512"/>
      <c r="CY193" s="1149" t="s">
        <v>6829</v>
      </c>
      <c r="CZ193" s="1149" t="s">
        <v>6902</v>
      </c>
      <c r="DA193" s="1152"/>
      <c r="DB193" s="1152" t="s">
        <v>6502</v>
      </c>
      <c r="DC193" s="1152"/>
      <c r="DD193" s="1152" t="s">
        <v>6273</v>
      </c>
      <c r="DE193" s="1153" t="s">
        <v>6494</v>
      </c>
      <c r="DF193" s="1152" t="s">
        <v>6279</v>
      </c>
      <c r="DG193" s="1152"/>
      <c r="DH193" s="512"/>
      <c r="DI193" s="512"/>
      <c r="DJ193" s="512"/>
      <c r="DK193" s="512"/>
      <c r="DL193" s="512"/>
      <c r="DN193" s="476" t="str">
        <f>VLOOKUP(X193,Hoja1!$A$4:$B$10,2,0)</f>
        <v>TÉCNICO SUPERIOR UNIVERSITARIO</v>
      </c>
      <c r="DO193" s="476" t="str">
        <f>VLOOKUP(S193,Hoja1!$D$4:$F$77,3,0)</f>
        <v>TII - II</v>
      </c>
      <c r="DP193" s="1594" t="str">
        <f t="shared" si="391"/>
        <v>0</v>
      </c>
      <c r="DQ193" s="1484">
        <f>IF(T193&lt;&gt;"0",(ROUND(IF(A193="EMPLEADO",eval_formula('CONCEPTOS Y PARAMETROS'!$C$8,NOMINA!V193,AU193+BF193,NOMINA!I193+NOMINA!J193),eval_formula('CONCEPTOS Y PARAMETROS'!$D$8,NOMINA!V193,AU193+BF193,NOMINA!I193+NOMINA!J193)),2))*IF(H193&lt;&gt;"",IF(MONTH(H193)=$BR$8,IF(YEAR(H193)&lt;$BT$7,1,0),0)))</f>
        <v>0</v>
      </c>
      <c r="DR193" s="1799" t="str">
        <f t="shared" si="392"/>
        <v>F</v>
      </c>
      <c r="DS193" s="1799"/>
    </row>
    <row r="194" spans="1:123" s="471" customFormat="1" ht="21.95" customHeight="1" x14ac:dyDescent="0.25">
      <c r="A194" s="508" t="s">
        <v>2846</v>
      </c>
      <c r="B194" s="1314">
        <f t="shared" ref="B194:B264" ca="1" si="471">OFFSET(B194,-1,0)+1</f>
        <v>151</v>
      </c>
      <c r="C194" s="1148">
        <v>17265648</v>
      </c>
      <c r="D194" s="1149" t="s">
        <v>4836</v>
      </c>
      <c r="E194" s="1135" t="s">
        <v>4622</v>
      </c>
      <c r="F194" s="1150">
        <v>31212</v>
      </c>
      <c r="G194" s="1135" t="s">
        <v>4620</v>
      </c>
      <c r="H194" s="1150">
        <v>43709</v>
      </c>
      <c r="I194" s="1140">
        <f t="shared" si="376"/>
        <v>6</v>
      </c>
      <c r="J194" s="1132">
        <v>0</v>
      </c>
      <c r="K194" s="1140">
        <f t="shared" si="371"/>
        <v>6</v>
      </c>
      <c r="L194" s="1145" t="s">
        <v>5535</v>
      </c>
      <c r="M194" s="1132"/>
      <c r="N194" s="1132"/>
      <c r="O194" s="1002" t="s">
        <v>5217</v>
      </c>
      <c r="P194" s="1132" t="s">
        <v>5390</v>
      </c>
      <c r="Q194" s="1315" t="str">
        <f>IFERROR(VLOOKUP(O194,CARGOS!A:E,2,0),"")</f>
        <v>79512</v>
      </c>
      <c r="R194" s="1327" t="s">
        <v>5217</v>
      </c>
      <c r="S194" s="1146" t="s">
        <v>5480</v>
      </c>
      <c r="T194" s="1107">
        <f>IFERROR(VLOOKUP(S194,'TAB EMP'!A:B,2,0),0)</f>
        <v>170</v>
      </c>
      <c r="U194" s="1108">
        <v>0</v>
      </c>
      <c r="V194" s="1107">
        <f t="shared" si="393"/>
        <v>170</v>
      </c>
      <c r="W194" s="1108">
        <f t="shared" si="394"/>
        <v>85</v>
      </c>
      <c r="X194" s="1135" t="s">
        <v>2884</v>
      </c>
      <c r="Y194" s="1135"/>
      <c r="Z194" s="1135">
        <v>2</v>
      </c>
      <c r="AA194" s="1107">
        <f>ROUND(IF(H194&lt;&gt;"",VLOOKUP(SUM(I194+J194),'CONCEPTOS Y PARAMETROS'!F:G,2,0)*V194,0),2)</f>
        <v>10.54</v>
      </c>
      <c r="AB194" s="1107">
        <f>IF(S194&lt;&gt;"",IF(M194="",'CONCEPTOS Y PARAMETROS'!$C$4,0),0)</f>
        <v>130</v>
      </c>
      <c r="AC194" s="1107">
        <f>IF(S194&lt;&gt;"",IF(M194="",'CONCEPTOS Y PARAMETROS'!$C$7*Z194,0),0)</f>
        <v>25</v>
      </c>
      <c r="AD194" s="1107">
        <f>IFERROR(ROUND(VLOOKUP($X194,'CONCEPTOS Y PARAMETROS'!H:I,2,0)*($V194+AA194+AB194+AC194),2),0)</f>
        <v>0</v>
      </c>
      <c r="AE194" s="1107">
        <f t="shared" si="369"/>
        <v>165.54</v>
      </c>
      <c r="AF194" s="1107">
        <f t="shared" si="395"/>
        <v>5.27</v>
      </c>
      <c r="AG194" s="1107">
        <f t="shared" si="396"/>
        <v>5.27</v>
      </c>
      <c r="AH194" s="1107">
        <f t="shared" si="397"/>
        <v>65</v>
      </c>
      <c r="AI194" s="1107">
        <f t="shared" si="398"/>
        <v>65</v>
      </c>
      <c r="AJ194" s="1107">
        <f t="shared" si="399"/>
        <v>0</v>
      </c>
      <c r="AK194" s="1107">
        <f t="shared" si="400"/>
        <v>0</v>
      </c>
      <c r="AL194" s="1108">
        <f t="shared" si="401"/>
        <v>95.27</v>
      </c>
      <c r="AM194" s="1108">
        <f t="shared" si="402"/>
        <v>70.27</v>
      </c>
      <c r="AN194" s="990">
        <v>0</v>
      </c>
      <c r="AO194" s="1147">
        <f>'CONCEPTOS Y PARAMETROS'!$C$18*AN194</f>
        <v>0</v>
      </c>
      <c r="AP194" s="990">
        <v>0</v>
      </c>
      <c r="AQ194" s="1147">
        <f>'CONCEPTOS Y PARAMETROS'!$C$21*AP194</f>
        <v>0</v>
      </c>
      <c r="AR194" s="1318">
        <v>0</v>
      </c>
      <c r="AS194" s="1318">
        <v>0</v>
      </c>
      <c r="AT194" s="1318">
        <f t="shared" si="370"/>
        <v>0</v>
      </c>
      <c r="AU194" s="1108">
        <f t="shared" si="372"/>
        <v>436.19999999999993</v>
      </c>
      <c r="AV194" s="1133" t="s">
        <v>5080</v>
      </c>
      <c r="AW194" s="1108">
        <f t="shared" si="364"/>
        <v>100.66</v>
      </c>
      <c r="AX194" s="1107">
        <f>IF(T194&lt;&gt;"0",(ROUND(IF(A194="EMPLEADO",eval_formula('CONCEPTOS Y PARAMETROS'!$C$8,NOMINA!V194,NOMINA!$AU194,NOMINA!I194+NOMINA!J194),eval_formula('CONCEPTOS Y PARAMETROS'!$D$8,NOMINA!V194,NOMINA!$AU194,NOMINA!I194+NOMINA!J194)),2))*IF(H194&lt;&gt;"",IF(MONTH(H194)=$BR$8,IF(YEAR(H194)&lt;$BT$7,1,0),0)))</f>
        <v>3489.6</v>
      </c>
      <c r="AY194" s="1108">
        <v>180</v>
      </c>
      <c r="AZ194" s="1107">
        <f>IFERROR(VLOOKUP(AY194,'CONCEPTOS Y PARAMETROS'!Y:Z,2,0),0)</f>
        <v>150</v>
      </c>
      <c r="BA194" s="1107">
        <f t="shared" si="403"/>
        <v>3271.5</v>
      </c>
      <c r="BB194" s="1107">
        <f t="shared" si="405"/>
        <v>0</v>
      </c>
      <c r="BC194" s="990">
        <v>0</v>
      </c>
      <c r="BD194" s="1107" t="str">
        <f t="shared" si="373"/>
        <v>0</v>
      </c>
      <c r="BE194" s="990">
        <v>3</v>
      </c>
      <c r="BF194" s="1107">
        <f t="shared" si="436"/>
        <v>65.430000000000007</v>
      </c>
      <c r="BG194" s="1108">
        <v>320</v>
      </c>
      <c r="BH194" s="1108">
        <v>0</v>
      </c>
      <c r="BI194" s="1132">
        <v>0</v>
      </c>
      <c r="BJ194" s="1108">
        <v>12.5</v>
      </c>
      <c r="BK194" s="1108">
        <v>0</v>
      </c>
      <c r="BL194" s="1107">
        <f t="shared" si="437"/>
        <v>20.13</v>
      </c>
      <c r="BM194" s="1107">
        <f t="shared" si="438"/>
        <v>2.52</v>
      </c>
      <c r="BN194" s="1107">
        <f t="shared" si="377"/>
        <v>4.3600000000000003</v>
      </c>
      <c r="BO194" s="1107">
        <v>0</v>
      </c>
      <c r="BP194" s="1107">
        <v>0</v>
      </c>
      <c r="BQ194" s="1320">
        <f t="shared" si="366"/>
        <v>27.01</v>
      </c>
      <c r="BR194" s="1107">
        <f t="shared" si="439"/>
        <v>45.3</v>
      </c>
      <c r="BS194" s="1107">
        <f t="shared" si="440"/>
        <v>10.07</v>
      </c>
      <c r="BT194" s="1107">
        <f t="shared" si="378"/>
        <v>8.7200000000000006</v>
      </c>
      <c r="BU194" s="1107">
        <v>0</v>
      </c>
      <c r="BV194" s="1108">
        <f t="shared" si="367"/>
        <v>64.09</v>
      </c>
      <c r="BW194" s="1112">
        <f t="shared" si="368"/>
        <v>91.100000000000009</v>
      </c>
      <c r="BX194" s="1112">
        <f t="shared" si="435"/>
        <v>817.88</v>
      </c>
      <c r="BY194" s="1108">
        <v>0</v>
      </c>
      <c r="BZ194" s="1108">
        <f t="shared" si="365"/>
        <v>817.88</v>
      </c>
      <c r="CA194" s="1321">
        <f>'CONCEPTOS Y PARAMETROS'!$A$102</f>
        <v>6255</v>
      </c>
      <c r="CB194" s="1112">
        <f t="shared" si="379"/>
        <v>153.26</v>
      </c>
      <c r="CC194" s="1113">
        <f t="shared" si="380"/>
        <v>4143.46</v>
      </c>
      <c r="CD194" s="512"/>
      <c r="CE194" s="512"/>
      <c r="CF194" s="470">
        <f t="shared" si="381"/>
        <v>795.27</v>
      </c>
      <c r="CG194" s="495">
        <f t="shared" si="404"/>
        <v>153.26</v>
      </c>
      <c r="CH194" s="498">
        <f t="shared" si="382"/>
        <v>12.5</v>
      </c>
      <c r="CI194" s="1490">
        <f t="shared" si="374"/>
        <v>320</v>
      </c>
      <c r="CJ194" s="1502">
        <v>1</v>
      </c>
      <c r="CK194" s="495">
        <f t="shared" si="383"/>
        <v>475.27</v>
      </c>
      <c r="CL194" s="1689">
        <f t="shared" si="384"/>
        <v>475.27</v>
      </c>
      <c r="CM194" s="1689">
        <f t="shared" si="375"/>
        <v>0</v>
      </c>
      <c r="CN194" s="496">
        <f t="shared" si="385"/>
        <v>65.430000000000007</v>
      </c>
      <c r="CO194" s="497">
        <v>0</v>
      </c>
      <c r="CP194" s="496">
        <f t="shared" si="386"/>
        <v>100.66</v>
      </c>
      <c r="CQ194" s="496">
        <f t="shared" si="387"/>
        <v>3489.6</v>
      </c>
      <c r="CR194" s="496">
        <f t="shared" si="388"/>
        <v>4606.2299999999996</v>
      </c>
      <c r="CS194" s="496">
        <f t="shared" si="389"/>
        <v>91.100000000000009</v>
      </c>
      <c r="CT194" s="496">
        <f t="shared" si="390"/>
        <v>6255</v>
      </c>
      <c r="CU194" s="470"/>
      <c r="CV194" s="470"/>
      <c r="CW194" s="470"/>
      <c r="CX194" s="470"/>
      <c r="CY194" s="1149" t="s">
        <v>6848</v>
      </c>
      <c r="CZ194" s="1149" t="s">
        <v>6903</v>
      </c>
      <c r="DA194" s="1152"/>
      <c r="DB194" s="1642" t="s">
        <v>6296</v>
      </c>
      <c r="DC194" s="1642"/>
      <c r="DD194" s="1642" t="s">
        <v>6150</v>
      </c>
      <c r="DE194" s="1642" t="s">
        <v>6257</v>
      </c>
      <c r="DF194" s="1642" t="s">
        <v>7461</v>
      </c>
      <c r="DG194" s="1642"/>
      <c r="DH194" s="512"/>
      <c r="DI194" s="512"/>
      <c r="DJ194" s="470"/>
      <c r="DK194" s="470"/>
      <c r="DL194" s="470"/>
      <c r="DN194" s="471" t="str">
        <f>VLOOKUP(X194,Hoja1!$A$4:$B$10,2,0)</f>
        <v>BACHILLER</v>
      </c>
      <c r="DO194" s="471" t="str">
        <f>VLOOKUP(S194,Hoja1!$D$4:$F$77,3,0)</f>
        <v>BIII - III</v>
      </c>
      <c r="DP194" s="1156" t="str">
        <f t="shared" si="391"/>
        <v>SI</v>
      </c>
      <c r="DQ194" s="1484">
        <f>IF(T194&lt;&gt;"0",(ROUND(IF(A194="EMPLEADO",eval_formula('CONCEPTOS Y PARAMETROS'!$C$8,NOMINA!V194,AU194+BF194,NOMINA!I194+NOMINA!J194),eval_formula('CONCEPTOS Y PARAMETROS'!$D$8,NOMINA!V194,AU194+BF194,NOMINA!I194+NOMINA!J194)),2))*IF(H194&lt;&gt;"",IF(MONTH(H194)=$BR$8,IF(YEAR(H194)&lt;$BT$7,1,0),0)))</f>
        <v>4013.04</v>
      </c>
      <c r="DR194" s="1801" t="str">
        <f t="shared" si="392"/>
        <v>F</v>
      </c>
      <c r="DS194" s="1801"/>
    </row>
    <row r="195" spans="1:123" s="471" customFormat="1" ht="21.95" customHeight="1" x14ac:dyDescent="0.25">
      <c r="A195" s="508" t="s">
        <v>2846</v>
      </c>
      <c r="B195" s="1314">
        <f t="shared" ca="1" si="471"/>
        <v>152</v>
      </c>
      <c r="C195" s="1148">
        <v>17267324</v>
      </c>
      <c r="D195" s="1149" t="s">
        <v>4837</v>
      </c>
      <c r="E195" s="1135" t="s">
        <v>4622</v>
      </c>
      <c r="F195" s="1150">
        <v>31145</v>
      </c>
      <c r="G195" s="1135" t="s">
        <v>4620</v>
      </c>
      <c r="H195" s="1150">
        <v>43785</v>
      </c>
      <c r="I195" s="1140">
        <f t="shared" si="376"/>
        <v>5</v>
      </c>
      <c r="J195" s="1132">
        <v>0</v>
      </c>
      <c r="K195" s="1140">
        <f t="shared" si="371"/>
        <v>5</v>
      </c>
      <c r="L195" s="1145" t="s">
        <v>7472</v>
      </c>
      <c r="M195" s="1132"/>
      <c r="N195" s="1132"/>
      <c r="O195" s="1002" t="s">
        <v>5217</v>
      </c>
      <c r="P195" s="1132" t="s">
        <v>5391</v>
      </c>
      <c r="Q195" s="1315" t="str">
        <f>IFERROR(VLOOKUP(O195,CARGOS!A:E,2,0),"")</f>
        <v>79512</v>
      </c>
      <c r="R195" s="1327" t="s">
        <v>5217</v>
      </c>
      <c r="S195" s="1146" t="s">
        <v>5477</v>
      </c>
      <c r="T195" s="1107">
        <f>IFERROR(VLOOKUP(S195,'TAB EMP'!A:B,2,0),0)</f>
        <v>150</v>
      </c>
      <c r="U195" s="1108">
        <v>0</v>
      </c>
      <c r="V195" s="1107">
        <f t="shared" si="393"/>
        <v>150</v>
      </c>
      <c r="W195" s="1108">
        <f t="shared" si="394"/>
        <v>75</v>
      </c>
      <c r="X195" s="1135" t="s">
        <v>2884</v>
      </c>
      <c r="Y195" s="1135"/>
      <c r="Z195" s="1135">
        <v>1</v>
      </c>
      <c r="AA195" s="1107">
        <f>ROUND(IF(H195&lt;&gt;"",VLOOKUP(SUM(I195+J195),'CONCEPTOS Y PARAMETROS'!F:G,2,0)*V195,0),2)</f>
        <v>7.5</v>
      </c>
      <c r="AB195" s="1107">
        <f>IF(S195&lt;&gt;"",IF(M195="",'CONCEPTOS Y PARAMETROS'!$C$4,0),0)</f>
        <v>130</v>
      </c>
      <c r="AC195" s="1107">
        <f>IF(S195&lt;&gt;"",IF(M195="",'CONCEPTOS Y PARAMETROS'!$C$7*Z195,0),0)</f>
        <v>12.5</v>
      </c>
      <c r="AD195" s="1107">
        <f>IFERROR(ROUND(VLOOKUP($X195,'CONCEPTOS Y PARAMETROS'!H:I,2,0)*($V195+AA195+AB195+AC195),2),0)</f>
        <v>0</v>
      </c>
      <c r="AE195" s="1107">
        <f t="shared" si="369"/>
        <v>150</v>
      </c>
      <c r="AF195" s="1107">
        <f t="shared" si="395"/>
        <v>3.75</v>
      </c>
      <c r="AG195" s="1107">
        <f t="shared" si="396"/>
        <v>3.75</v>
      </c>
      <c r="AH195" s="1107">
        <f t="shared" si="397"/>
        <v>65</v>
      </c>
      <c r="AI195" s="1107">
        <f t="shared" si="398"/>
        <v>65</v>
      </c>
      <c r="AJ195" s="1107">
        <f t="shared" si="399"/>
        <v>0</v>
      </c>
      <c r="AK195" s="1107">
        <f t="shared" si="400"/>
        <v>0</v>
      </c>
      <c r="AL195" s="1108">
        <f t="shared" si="401"/>
        <v>81.25</v>
      </c>
      <c r="AM195" s="1108">
        <f t="shared" si="402"/>
        <v>68.75</v>
      </c>
      <c r="AN195" s="990">
        <v>0</v>
      </c>
      <c r="AO195" s="1147">
        <f>'CONCEPTOS Y PARAMETROS'!$C$18*AN195</f>
        <v>0</v>
      </c>
      <c r="AP195" s="990">
        <v>0</v>
      </c>
      <c r="AQ195" s="1147">
        <f>'CONCEPTOS Y PARAMETROS'!$C$21*AP195</f>
        <v>0</v>
      </c>
      <c r="AR195" s="1318">
        <v>0</v>
      </c>
      <c r="AS195" s="1318">
        <v>0</v>
      </c>
      <c r="AT195" s="1318">
        <f t="shared" ref="AT195:AT234" si="472">+AO195+AQ195+AR195+AS195</f>
        <v>0</v>
      </c>
      <c r="AU195" s="1108">
        <f t="shared" si="372"/>
        <v>390</v>
      </c>
      <c r="AV195" s="1133" t="s">
        <v>5080</v>
      </c>
      <c r="AW195" s="1108">
        <f t="shared" si="364"/>
        <v>90</v>
      </c>
      <c r="AX195" s="1107">
        <f>IF(T195&lt;&gt;"0",(ROUND(IF(A195="EMPLEADO",eval_formula('CONCEPTOS Y PARAMETROS'!$C$8,NOMINA!V195,NOMINA!$AU195,NOMINA!I195+NOMINA!J195),eval_formula('CONCEPTOS Y PARAMETROS'!$D$8,NOMINA!V195,NOMINA!$AU195,NOMINA!I195+NOMINA!J195)),2))*IF(H195&lt;&gt;"",IF(MONTH(H195)=$BR$8,IF(YEAR(H195)&lt;$BT$7,1,0),0)))</f>
        <v>0</v>
      </c>
      <c r="AY195" s="1108">
        <v>180</v>
      </c>
      <c r="AZ195" s="1107">
        <f>IFERROR(VLOOKUP(AY195,'CONCEPTOS Y PARAMETROS'!Y:Z,2,0),0)</f>
        <v>150</v>
      </c>
      <c r="BA195" s="1107">
        <f t="shared" si="403"/>
        <v>2925</v>
      </c>
      <c r="BB195" s="1107">
        <f t="shared" si="405"/>
        <v>0</v>
      </c>
      <c r="BC195" s="990">
        <v>0</v>
      </c>
      <c r="BD195" s="1107" t="str">
        <f t="shared" si="373"/>
        <v>0</v>
      </c>
      <c r="BE195" s="990">
        <v>3</v>
      </c>
      <c r="BF195" s="1107">
        <f t="shared" si="436"/>
        <v>58.5</v>
      </c>
      <c r="BG195" s="1108">
        <v>320</v>
      </c>
      <c r="BH195" s="1108">
        <v>0</v>
      </c>
      <c r="BI195" s="1132">
        <v>0</v>
      </c>
      <c r="BJ195" s="1108">
        <v>12.5</v>
      </c>
      <c r="BK195" s="1108">
        <v>0</v>
      </c>
      <c r="BL195" s="1107">
        <f t="shared" si="437"/>
        <v>18</v>
      </c>
      <c r="BM195" s="1107">
        <f t="shared" si="438"/>
        <v>2.25</v>
      </c>
      <c r="BN195" s="1107">
        <f t="shared" si="377"/>
        <v>3.9</v>
      </c>
      <c r="BO195" s="1107">
        <v>0</v>
      </c>
      <c r="BP195" s="1107">
        <v>0</v>
      </c>
      <c r="BQ195" s="1320">
        <f t="shared" si="366"/>
        <v>24.15</v>
      </c>
      <c r="BR195" s="1107">
        <f t="shared" si="439"/>
        <v>40.5</v>
      </c>
      <c r="BS195" s="1107">
        <f t="shared" si="440"/>
        <v>9</v>
      </c>
      <c r="BT195" s="1107">
        <f t="shared" si="378"/>
        <v>7.8</v>
      </c>
      <c r="BU195" s="1107">
        <v>0</v>
      </c>
      <c r="BV195" s="1108">
        <f t="shared" si="367"/>
        <v>57.3</v>
      </c>
      <c r="BW195" s="1112">
        <f t="shared" si="368"/>
        <v>81.449999999999989</v>
      </c>
      <c r="BX195" s="1112">
        <f t="shared" si="435"/>
        <v>731.25</v>
      </c>
      <c r="BY195" s="1108">
        <v>0</v>
      </c>
      <c r="BZ195" s="1108">
        <f t="shared" si="365"/>
        <v>731.25</v>
      </c>
      <c r="CA195" s="1321">
        <f>'CONCEPTOS Y PARAMETROS'!$A$102</f>
        <v>6255</v>
      </c>
      <c r="CB195" s="1112">
        <f t="shared" si="379"/>
        <v>132.1</v>
      </c>
      <c r="CC195" s="1113">
        <f t="shared" si="380"/>
        <v>624.75</v>
      </c>
      <c r="CD195" s="512"/>
      <c r="CE195" s="512"/>
      <c r="CF195" s="470">
        <f t="shared" si="381"/>
        <v>783.75</v>
      </c>
      <c r="CG195" s="495">
        <f t="shared" si="404"/>
        <v>132.1</v>
      </c>
      <c r="CH195" s="498">
        <f t="shared" si="382"/>
        <v>12.5</v>
      </c>
      <c r="CI195" s="1490">
        <f t="shared" si="374"/>
        <v>320</v>
      </c>
      <c r="CJ195" s="1502">
        <v>1</v>
      </c>
      <c r="CK195" s="495">
        <f t="shared" si="383"/>
        <v>463.75</v>
      </c>
      <c r="CL195" s="1689">
        <f t="shared" si="384"/>
        <v>463.75</v>
      </c>
      <c r="CM195" s="1689">
        <f t="shared" si="375"/>
        <v>0</v>
      </c>
      <c r="CN195" s="496">
        <f t="shared" si="385"/>
        <v>58.5</v>
      </c>
      <c r="CO195" s="497">
        <v>0</v>
      </c>
      <c r="CP195" s="496">
        <f t="shared" si="386"/>
        <v>90</v>
      </c>
      <c r="CQ195" s="496">
        <f t="shared" si="387"/>
        <v>0</v>
      </c>
      <c r="CR195" s="496">
        <f t="shared" si="388"/>
        <v>1076</v>
      </c>
      <c r="CS195" s="496">
        <f t="shared" si="389"/>
        <v>81.449999999999989</v>
      </c>
      <c r="CT195" s="496">
        <f t="shared" si="390"/>
        <v>6255</v>
      </c>
      <c r="CU195" s="470"/>
      <c r="CV195" s="470"/>
      <c r="CW195" s="470"/>
      <c r="CX195" s="470"/>
      <c r="CY195" s="1149" t="s">
        <v>6904</v>
      </c>
      <c r="CZ195" s="1149" t="s">
        <v>6905</v>
      </c>
      <c r="DA195" s="1152"/>
      <c r="DB195" s="1642" t="s">
        <v>6594</v>
      </c>
      <c r="DC195" s="1642"/>
      <c r="DD195" s="1642" t="s">
        <v>6297</v>
      </c>
      <c r="DE195" s="1642" t="s">
        <v>6195</v>
      </c>
      <c r="DF195" s="1642" t="s">
        <v>6604</v>
      </c>
      <c r="DG195" s="1642"/>
      <c r="DH195" s="512"/>
      <c r="DI195" s="512"/>
      <c r="DJ195" s="470"/>
      <c r="DK195" s="470"/>
      <c r="DL195" s="470"/>
      <c r="DN195" s="471" t="str">
        <f>VLOOKUP(X195,Hoja1!$A$4:$B$10,2,0)</f>
        <v>BACHILLER</v>
      </c>
      <c r="DO195" s="471" t="str">
        <f>VLOOKUP(S195,Hoja1!$D$4:$F$77,3,0)</f>
        <v>BII - II</v>
      </c>
      <c r="DP195" s="1156" t="str">
        <f t="shared" si="391"/>
        <v>SI</v>
      </c>
      <c r="DQ195" s="1484">
        <f>IF(T195&lt;&gt;"0",(ROUND(IF(A195="EMPLEADO",eval_formula('CONCEPTOS Y PARAMETROS'!$C$8,NOMINA!V195,AU195+BF195,NOMINA!I195+NOMINA!J195),eval_formula('CONCEPTOS Y PARAMETROS'!$D$8,NOMINA!V195,AU195+BF195,NOMINA!I195+NOMINA!J195)),2))*IF(H195&lt;&gt;"",IF(MONTH(H195)=$BR$8,IF(YEAR(H195)&lt;$BT$7,1,0),0)))</f>
        <v>0</v>
      </c>
      <c r="DR195" s="1801" t="str">
        <f t="shared" si="392"/>
        <v>F</v>
      </c>
      <c r="DS195" s="1801"/>
    </row>
    <row r="196" spans="1:123" s="471" customFormat="1" ht="21.95" customHeight="1" x14ac:dyDescent="0.25">
      <c r="A196" s="508" t="s">
        <v>2846</v>
      </c>
      <c r="B196" s="1314">
        <f t="shared" ca="1" si="471"/>
        <v>153</v>
      </c>
      <c r="C196" s="1148">
        <v>17391316</v>
      </c>
      <c r="D196" s="1149" t="s">
        <v>4838</v>
      </c>
      <c r="E196" s="1135" t="s">
        <v>4622</v>
      </c>
      <c r="F196" s="1150">
        <v>31577</v>
      </c>
      <c r="G196" s="1135" t="s">
        <v>4620</v>
      </c>
      <c r="H196" s="1150">
        <v>44713</v>
      </c>
      <c r="I196" s="1140">
        <f t="shared" si="376"/>
        <v>3</v>
      </c>
      <c r="J196" s="1132">
        <v>0</v>
      </c>
      <c r="K196" s="1140">
        <f t="shared" si="371"/>
        <v>3</v>
      </c>
      <c r="L196" s="1145" t="s">
        <v>5525</v>
      </c>
      <c r="M196" s="1132"/>
      <c r="N196" s="1132"/>
      <c r="O196" s="1002" t="s">
        <v>5218</v>
      </c>
      <c r="P196" s="1132" t="s">
        <v>5392</v>
      </c>
      <c r="Q196" s="1315" t="str">
        <f>IFERROR(VLOOKUP(O196,CARGOS!A:E,2,0),"")</f>
        <v>79511</v>
      </c>
      <c r="R196" s="1327" t="s">
        <v>5218</v>
      </c>
      <c r="S196" s="1146" t="s">
        <v>5468</v>
      </c>
      <c r="T196" s="1107">
        <f>IFERROR(VLOOKUP(S196,'TAB EMP'!A:B,2,0),0)</f>
        <v>219</v>
      </c>
      <c r="U196" s="1108">
        <v>0</v>
      </c>
      <c r="V196" s="1107">
        <f t="shared" si="393"/>
        <v>219</v>
      </c>
      <c r="W196" s="1108">
        <f t="shared" si="394"/>
        <v>109.5</v>
      </c>
      <c r="X196" s="1135" t="s">
        <v>2844</v>
      </c>
      <c r="Y196" s="1135"/>
      <c r="Z196" s="1135">
        <v>1</v>
      </c>
      <c r="AA196" s="1107">
        <f>ROUND(IF(H196&lt;&gt;"",VLOOKUP(SUM(I196+J196),'CONCEPTOS Y PARAMETROS'!F:G,2,0)*V196,0),2)</f>
        <v>6.57</v>
      </c>
      <c r="AB196" s="1107">
        <f>IF(S196&lt;&gt;"",IF(M196="",'CONCEPTOS Y PARAMETROS'!$C$4,0),0)</f>
        <v>130</v>
      </c>
      <c r="AC196" s="1107">
        <f>IF(S196&lt;&gt;"",IF(M196="",'CONCEPTOS Y PARAMETROS'!$C$7*Z196,0),0)</f>
        <v>12.5</v>
      </c>
      <c r="AD196" s="1107">
        <f>IFERROR(ROUND(VLOOKUP($X196,'CONCEPTOS Y PARAMETROS'!H:I,2,0)*($V196+AA196+AB196+AC196),2),0)</f>
        <v>73.61</v>
      </c>
      <c r="AE196" s="1107">
        <f t="shared" si="369"/>
        <v>222.68</v>
      </c>
      <c r="AF196" s="1107">
        <f t="shared" si="395"/>
        <v>3.29</v>
      </c>
      <c r="AG196" s="1107">
        <f t="shared" si="396"/>
        <v>3.28</v>
      </c>
      <c r="AH196" s="1107">
        <f t="shared" si="397"/>
        <v>65</v>
      </c>
      <c r="AI196" s="1107">
        <f t="shared" si="398"/>
        <v>65</v>
      </c>
      <c r="AJ196" s="1107">
        <f t="shared" si="399"/>
        <v>36.81</v>
      </c>
      <c r="AK196" s="1107">
        <f t="shared" si="400"/>
        <v>36.799999999999997</v>
      </c>
      <c r="AL196" s="1108">
        <f t="shared" si="401"/>
        <v>117.6</v>
      </c>
      <c r="AM196" s="1108">
        <f t="shared" si="402"/>
        <v>105.08</v>
      </c>
      <c r="AN196" s="990">
        <v>0</v>
      </c>
      <c r="AO196" s="1147">
        <f>'CONCEPTOS Y PARAMETROS'!$C$18*AN196</f>
        <v>0</v>
      </c>
      <c r="AP196" s="990">
        <v>0</v>
      </c>
      <c r="AQ196" s="1147">
        <f>'CONCEPTOS Y PARAMETROS'!$C$21*AP196</f>
        <v>0</v>
      </c>
      <c r="AR196" s="1318">
        <v>0</v>
      </c>
      <c r="AS196" s="1318">
        <v>0</v>
      </c>
      <c r="AT196" s="1318">
        <f t="shared" si="472"/>
        <v>0</v>
      </c>
      <c r="AU196" s="1108">
        <f t="shared" si="372"/>
        <v>574.18000000000006</v>
      </c>
      <c r="AV196" s="1133" t="s">
        <v>5080</v>
      </c>
      <c r="AW196" s="1108">
        <f t="shared" ref="AW196:AW213" si="473">ROUND(IF(AV196="NOCTURN",(V196+AE196)*30%,0),2)</f>
        <v>132.5</v>
      </c>
      <c r="AX196" s="1107">
        <f>IF(T196&lt;&gt;"0",(ROUND(IF(A196="EMPLEADO",eval_formula('CONCEPTOS Y PARAMETROS'!$C$8,NOMINA!V196,NOMINA!$AU196,NOMINA!I196+NOMINA!J196),eval_formula('CONCEPTOS Y PARAMETROS'!$D$8,NOMINA!V196,NOMINA!$AU196,NOMINA!I196+NOMINA!J196)),2))*IF(H196&lt;&gt;"",IF(MONTH(H196)=$BR$8,IF(YEAR(H196)&lt;$BT$7,1,0),0)))</f>
        <v>0</v>
      </c>
      <c r="AY196" s="1108">
        <v>180</v>
      </c>
      <c r="AZ196" s="1107">
        <f>IFERROR(VLOOKUP(AY196,'CONCEPTOS Y PARAMETROS'!Y:Z,2,0),0)</f>
        <v>150</v>
      </c>
      <c r="BA196" s="1107">
        <f t="shared" si="403"/>
        <v>4306.3500000000004</v>
      </c>
      <c r="BB196" s="1107">
        <f t="shared" si="405"/>
        <v>0</v>
      </c>
      <c r="BC196" s="990">
        <v>0</v>
      </c>
      <c r="BD196" s="1107" t="str">
        <f t="shared" si="373"/>
        <v>0</v>
      </c>
      <c r="BE196" s="990">
        <v>3</v>
      </c>
      <c r="BF196" s="1107">
        <f t="shared" si="436"/>
        <v>86.13</v>
      </c>
      <c r="BG196" s="1108">
        <v>320</v>
      </c>
      <c r="BH196" s="1108">
        <v>0</v>
      </c>
      <c r="BI196" s="1132">
        <v>0</v>
      </c>
      <c r="BJ196" s="1108">
        <v>12.5</v>
      </c>
      <c r="BK196" s="1108">
        <v>0</v>
      </c>
      <c r="BL196" s="1107">
        <f t="shared" si="437"/>
        <v>26.5</v>
      </c>
      <c r="BM196" s="1107">
        <f t="shared" si="438"/>
        <v>3.31</v>
      </c>
      <c r="BN196" s="1107">
        <f t="shared" si="377"/>
        <v>5.74</v>
      </c>
      <c r="BO196" s="1107">
        <v>0</v>
      </c>
      <c r="BP196" s="1107">
        <v>0</v>
      </c>
      <c r="BQ196" s="1320">
        <f t="shared" si="366"/>
        <v>35.549999999999997</v>
      </c>
      <c r="BR196" s="1107">
        <f t="shared" si="439"/>
        <v>59.63</v>
      </c>
      <c r="BS196" s="1107">
        <f t="shared" si="440"/>
        <v>13.25</v>
      </c>
      <c r="BT196" s="1107">
        <f t="shared" si="378"/>
        <v>11.48</v>
      </c>
      <c r="BU196" s="1107">
        <v>0</v>
      </c>
      <c r="BV196" s="1108">
        <f t="shared" si="367"/>
        <v>84.36</v>
      </c>
      <c r="BW196" s="1112">
        <f t="shared" si="368"/>
        <v>119.91</v>
      </c>
      <c r="BX196" s="1112">
        <f t="shared" si="435"/>
        <v>1076.5899999999999</v>
      </c>
      <c r="BY196" s="1108">
        <v>0</v>
      </c>
      <c r="BZ196" s="1108">
        <f t="shared" si="365"/>
        <v>1076.5899999999999</v>
      </c>
      <c r="CA196" s="1321">
        <f>'CONCEPTOS Y PARAMETROS'!$A$102</f>
        <v>6255</v>
      </c>
      <c r="CB196" s="1112">
        <f t="shared" si="379"/>
        <v>191.55</v>
      </c>
      <c r="CC196" s="1113">
        <f t="shared" si="380"/>
        <v>765.71</v>
      </c>
      <c r="CD196" s="512"/>
      <c r="CE196" s="512"/>
      <c r="CF196" s="470">
        <f t="shared" si="381"/>
        <v>854.57999999999993</v>
      </c>
      <c r="CG196" s="495">
        <f t="shared" si="404"/>
        <v>191.55</v>
      </c>
      <c r="CH196" s="498">
        <f t="shared" si="382"/>
        <v>12.5</v>
      </c>
      <c r="CI196" s="1490">
        <f t="shared" si="374"/>
        <v>320</v>
      </c>
      <c r="CJ196" s="1502">
        <v>1</v>
      </c>
      <c r="CK196" s="495">
        <f t="shared" si="383"/>
        <v>534.57999999999993</v>
      </c>
      <c r="CL196" s="1689">
        <f t="shared" si="384"/>
        <v>534.58000000000004</v>
      </c>
      <c r="CM196" s="1689">
        <f t="shared" si="375"/>
        <v>0</v>
      </c>
      <c r="CN196" s="496">
        <f t="shared" si="385"/>
        <v>86.13</v>
      </c>
      <c r="CO196" s="497">
        <v>0</v>
      </c>
      <c r="CP196" s="496">
        <f t="shared" si="386"/>
        <v>132.5</v>
      </c>
      <c r="CQ196" s="496">
        <f t="shared" si="387"/>
        <v>0</v>
      </c>
      <c r="CR196" s="496">
        <f t="shared" si="388"/>
        <v>1287.79</v>
      </c>
      <c r="CS196" s="496">
        <f t="shared" si="389"/>
        <v>119.91</v>
      </c>
      <c r="CT196" s="496">
        <f t="shared" si="390"/>
        <v>6255</v>
      </c>
      <c r="CU196" s="470"/>
      <c r="CV196" s="470"/>
      <c r="CW196" s="470"/>
      <c r="CX196" s="470"/>
      <c r="CY196" s="1149" t="s">
        <v>6827</v>
      </c>
      <c r="CZ196" s="1149" t="s">
        <v>6906</v>
      </c>
      <c r="DA196" s="1152"/>
      <c r="DB196" s="1642" t="s">
        <v>6272</v>
      </c>
      <c r="DC196" s="1642"/>
      <c r="DD196" s="1642" t="s">
        <v>6273</v>
      </c>
      <c r="DE196" s="1642" t="s">
        <v>6230</v>
      </c>
      <c r="DF196" s="1642" t="s">
        <v>6500</v>
      </c>
      <c r="DG196" s="1642"/>
      <c r="DH196" s="512"/>
      <c r="DI196" s="512"/>
      <c r="DJ196" s="470"/>
      <c r="DK196" s="470"/>
      <c r="DL196" s="470"/>
      <c r="DN196" s="471" t="str">
        <f>VLOOKUP(X196,Hoja1!$A$4:$B$10,2,0)</f>
        <v>TÉCNICO SUPERIOR UNIVERSITARIO</v>
      </c>
      <c r="DO196" s="471" t="str">
        <f>VLOOKUP(S196,Hoja1!$D$4:$F$77,3,0)</f>
        <v>TII - II</v>
      </c>
      <c r="DP196" s="1156" t="str">
        <f t="shared" si="391"/>
        <v>SI</v>
      </c>
      <c r="DQ196" s="1484">
        <f>IF(T196&lt;&gt;"0",(ROUND(IF(A196="EMPLEADO",eval_formula('CONCEPTOS Y PARAMETROS'!$C$8,NOMINA!V196,AU196+BF196,NOMINA!I196+NOMINA!J196),eval_formula('CONCEPTOS Y PARAMETROS'!$D$8,NOMINA!V196,AU196+BF196,NOMINA!I196+NOMINA!J196)),2))*IF(H196&lt;&gt;"",IF(MONTH(H196)=$BR$8,IF(YEAR(H196)&lt;$BT$7,1,0),0)))</f>
        <v>0</v>
      </c>
      <c r="DR196" s="1801" t="str">
        <f t="shared" si="392"/>
        <v>F</v>
      </c>
      <c r="DS196" s="1801"/>
    </row>
    <row r="197" spans="1:123" s="476" customFormat="1" ht="21.95" customHeight="1" x14ac:dyDescent="0.25">
      <c r="A197" s="508" t="s">
        <v>2846</v>
      </c>
      <c r="B197" s="1314">
        <f t="shared" ca="1" si="471"/>
        <v>154</v>
      </c>
      <c r="C197" s="1148">
        <v>17391892</v>
      </c>
      <c r="D197" s="1149" t="s">
        <v>5965</v>
      </c>
      <c r="E197" s="1135" t="s">
        <v>4622</v>
      </c>
      <c r="F197" s="1150">
        <v>31576</v>
      </c>
      <c r="G197" s="1135" t="s">
        <v>4620</v>
      </c>
      <c r="H197" s="1150">
        <v>45323</v>
      </c>
      <c r="I197" s="1140">
        <f t="shared" si="376"/>
        <v>1</v>
      </c>
      <c r="J197" s="1132">
        <v>2</v>
      </c>
      <c r="K197" s="1140">
        <f t="shared" si="371"/>
        <v>3</v>
      </c>
      <c r="L197" s="1145" t="s">
        <v>5537</v>
      </c>
      <c r="M197" s="1132"/>
      <c r="N197" s="1132"/>
      <c r="O197" s="1002" t="s">
        <v>5261</v>
      </c>
      <c r="P197" s="1151" t="s">
        <v>5972</v>
      </c>
      <c r="Q197" s="1315" t="str">
        <f>IFERROR(VLOOKUP(O197,CARGOS!A:E,2,0),"")</f>
        <v>15121</v>
      </c>
      <c r="R197" s="1327" t="s">
        <v>5261</v>
      </c>
      <c r="S197" s="1146" t="s">
        <v>5467</v>
      </c>
      <c r="T197" s="1107">
        <f>IFERROR(VLOOKUP(S197,'TAB EMP'!A:B,2,0),0)</f>
        <v>277</v>
      </c>
      <c r="U197" s="1108">
        <v>0</v>
      </c>
      <c r="V197" s="1107">
        <f t="shared" ref="V197" si="474">T197-U197</f>
        <v>277</v>
      </c>
      <c r="W197" s="1108">
        <f t="shared" ref="W197" si="475">ROUND(V197/2,2)</f>
        <v>138.5</v>
      </c>
      <c r="X197" s="1135" t="s">
        <v>2885</v>
      </c>
      <c r="Y197" s="1135"/>
      <c r="Z197" s="1135">
        <v>2</v>
      </c>
      <c r="AA197" s="1107">
        <f>ROUND(IF(H197&lt;&gt;"",VLOOKUP(SUM(I197+J197),'CONCEPTOS Y PARAMETROS'!F:G,2,0)*V197,0),2)</f>
        <v>8.31</v>
      </c>
      <c r="AB197" s="1107">
        <f>IF(S197&lt;&gt;"",IF(M197="",'CONCEPTOS Y PARAMETROS'!$C$4,0),0)</f>
        <v>130</v>
      </c>
      <c r="AC197" s="1107">
        <f>IF(S197&lt;&gt;"",IF(M197="",'CONCEPTOS Y PARAMETROS'!$C$7*Z197,0),0)</f>
        <v>25</v>
      </c>
      <c r="AD197" s="1107">
        <f>IFERROR(ROUND(VLOOKUP($X197,'CONCEPTOS Y PARAMETROS'!H:I,2,0)*($V197+AA197+AB197+AC197),2),0)</f>
        <v>110.08</v>
      </c>
      <c r="AE197" s="1107">
        <f t="shared" ref="AE197" si="476">SUM(AA197:AD197)</f>
        <v>273.39</v>
      </c>
      <c r="AF197" s="1107">
        <f t="shared" ref="AF197" si="477">ROUND(AA197/2,2)</f>
        <v>4.16</v>
      </c>
      <c r="AG197" s="1107">
        <f t="shared" ref="AG197" si="478">ROUND(AA197-AF197,2)</f>
        <v>4.1500000000000004</v>
      </c>
      <c r="AH197" s="1107">
        <f t="shared" ref="AH197" si="479">ROUND(AB197/2,2)</f>
        <v>65</v>
      </c>
      <c r="AI197" s="1107">
        <f t="shared" ref="AI197" si="480">ROUND(AB197-AH197,2)</f>
        <v>65</v>
      </c>
      <c r="AJ197" s="1107">
        <f t="shared" ref="AJ197" si="481">ROUND(AD197/2,2)</f>
        <v>55.04</v>
      </c>
      <c r="AK197" s="1107">
        <f t="shared" ref="AK197" si="482">ROUND(AD197-AJ197,2)</f>
        <v>55.04</v>
      </c>
      <c r="AL197" s="1108">
        <f t="shared" ref="AL197" si="483">ROUND(AF197+AH197+AJ197+AC197,2)</f>
        <v>149.19999999999999</v>
      </c>
      <c r="AM197" s="1108">
        <f t="shared" ref="AM197" si="484">ROUND(AG197+AI197+AK197,2)</f>
        <v>124.19</v>
      </c>
      <c r="AN197" s="1453">
        <v>2</v>
      </c>
      <c r="AO197" s="1147">
        <f>'CONCEPTOS Y PARAMETROS'!$C$18*AN197</f>
        <v>25</v>
      </c>
      <c r="AP197" s="990">
        <v>0</v>
      </c>
      <c r="AQ197" s="1147">
        <f>'CONCEPTOS Y PARAMETROS'!$C$21*AP197</f>
        <v>0</v>
      </c>
      <c r="AR197" s="1318">
        <v>0</v>
      </c>
      <c r="AS197" s="1318">
        <v>0</v>
      </c>
      <c r="AT197" s="1318">
        <f t="shared" si="472"/>
        <v>25</v>
      </c>
      <c r="AU197" s="1108">
        <f t="shared" si="372"/>
        <v>550.39</v>
      </c>
      <c r="AV197" s="1133">
        <v>0</v>
      </c>
      <c r="AW197" s="1108">
        <f t="shared" si="473"/>
        <v>0</v>
      </c>
      <c r="AX197" s="1107">
        <f>IF(T197&lt;&gt;"0",(ROUND(IF(A197="EMPLEADO",eval_formula('CONCEPTOS Y PARAMETROS'!$C$8,NOMINA!V197,NOMINA!$AU197,NOMINA!I197+NOMINA!J197),eval_formula('CONCEPTOS Y PARAMETROS'!$D$8,NOMINA!V197,NOMINA!$AU197,NOMINA!I197+NOMINA!J197)),2))*IF(H197&lt;&gt;"",IF(MONTH(H197)=$BR$8,IF(YEAR(H197)&lt;$BT$7,1,0),0)))</f>
        <v>0</v>
      </c>
      <c r="AY197" s="1108">
        <v>165</v>
      </c>
      <c r="AZ197" s="1107">
        <f>IFERROR(VLOOKUP(AY197,'CONCEPTOS Y PARAMETROS'!Y:Z,2,0),0)</f>
        <v>137.5</v>
      </c>
      <c r="BA197" s="1107">
        <f t="shared" ref="BA197" si="485">ROUND((((AU197))/30*AY197/12+(AU197))/30*AZ197,2)</f>
        <v>3678.82</v>
      </c>
      <c r="BB197" s="1107">
        <f t="shared" si="405"/>
        <v>0</v>
      </c>
      <c r="BC197" s="990">
        <v>0</v>
      </c>
      <c r="BD197" s="1107" t="str">
        <f t="shared" si="373"/>
        <v>0</v>
      </c>
      <c r="BE197" s="990">
        <v>0</v>
      </c>
      <c r="BF197" s="1107">
        <f t="shared" si="436"/>
        <v>0</v>
      </c>
      <c r="BG197" s="1108">
        <v>320</v>
      </c>
      <c r="BH197" s="1108">
        <v>0</v>
      </c>
      <c r="BI197" s="1132">
        <v>0</v>
      </c>
      <c r="BJ197" s="1108">
        <v>12.5</v>
      </c>
      <c r="BK197" s="1108">
        <v>0</v>
      </c>
      <c r="BL197" s="1107">
        <f t="shared" si="437"/>
        <v>25.4</v>
      </c>
      <c r="BM197" s="1107">
        <f t="shared" si="438"/>
        <v>3.18</v>
      </c>
      <c r="BN197" s="1107">
        <f t="shared" si="377"/>
        <v>5.5</v>
      </c>
      <c r="BO197" s="1107">
        <v>0</v>
      </c>
      <c r="BP197" s="1107">
        <v>0</v>
      </c>
      <c r="BQ197" s="1320">
        <f t="shared" ref="BQ197" si="486">ROUND(SUM(BL197:BP197),2)</f>
        <v>34.08</v>
      </c>
      <c r="BR197" s="1107">
        <f t="shared" si="439"/>
        <v>57.16</v>
      </c>
      <c r="BS197" s="1107">
        <f t="shared" si="440"/>
        <v>12.7</v>
      </c>
      <c r="BT197" s="1107">
        <f t="shared" si="378"/>
        <v>11</v>
      </c>
      <c r="BU197" s="1107">
        <v>0</v>
      </c>
      <c r="BV197" s="1108">
        <f t="shared" ref="BV197" si="487">ROUND(SUM(BR197:BT197),2)</f>
        <v>80.86</v>
      </c>
      <c r="BW197" s="1112">
        <f t="shared" ref="BW197" si="488">BQ197+BV197</f>
        <v>114.94</v>
      </c>
      <c r="BX197" s="1112">
        <f t="shared" si="435"/>
        <v>919.71</v>
      </c>
      <c r="BY197" s="1108">
        <v>0</v>
      </c>
      <c r="BZ197" s="1108">
        <f t="shared" si="365"/>
        <v>919.71</v>
      </c>
      <c r="CA197" s="1321">
        <f>'CONCEPTOS Y PARAMETROS'!$A$102</f>
        <v>6255</v>
      </c>
      <c r="CB197" s="1112">
        <f t="shared" si="379"/>
        <v>253.62</v>
      </c>
      <c r="CC197" s="1113">
        <f t="shared" si="380"/>
        <v>620.19000000000005</v>
      </c>
      <c r="CD197" s="512"/>
      <c r="CE197" s="512"/>
      <c r="CF197" s="470">
        <f t="shared" si="381"/>
        <v>902.69</v>
      </c>
      <c r="CG197" s="509">
        <f t="shared" si="404"/>
        <v>253.62</v>
      </c>
      <c r="CH197" s="498">
        <f t="shared" si="382"/>
        <v>37.5</v>
      </c>
      <c r="CI197" s="1491">
        <f t="shared" si="374"/>
        <v>320</v>
      </c>
      <c r="CJ197" s="1500">
        <v>1</v>
      </c>
      <c r="CK197" s="509">
        <f t="shared" si="383"/>
        <v>582.69000000000005</v>
      </c>
      <c r="CL197" s="1689">
        <f t="shared" si="384"/>
        <v>582.69000000000005</v>
      </c>
      <c r="CM197" s="1689">
        <f t="shared" si="375"/>
        <v>0</v>
      </c>
      <c r="CN197" s="510">
        <f t="shared" si="385"/>
        <v>0</v>
      </c>
      <c r="CO197" s="511">
        <v>0</v>
      </c>
      <c r="CP197" s="510">
        <f t="shared" si="386"/>
        <v>0</v>
      </c>
      <c r="CQ197" s="510">
        <f t="shared" si="387"/>
        <v>0</v>
      </c>
      <c r="CR197" s="496">
        <f t="shared" si="388"/>
        <v>1165.3800000000001</v>
      </c>
      <c r="CS197" s="510">
        <f t="shared" si="389"/>
        <v>114.94</v>
      </c>
      <c r="CT197" s="510">
        <f t="shared" si="390"/>
        <v>6255</v>
      </c>
      <c r="CU197" s="470"/>
      <c r="CV197" s="470"/>
      <c r="CW197" s="470"/>
      <c r="CX197" s="470"/>
      <c r="CY197" s="1149" t="s">
        <v>6907</v>
      </c>
      <c r="CZ197" s="1149" t="s">
        <v>6908</v>
      </c>
      <c r="DA197" s="1152"/>
      <c r="DB197" s="1646" t="s">
        <v>6481</v>
      </c>
      <c r="DC197" s="1646"/>
      <c r="DD197" s="1645" t="s">
        <v>6150</v>
      </c>
      <c r="DE197" s="1645" t="s">
        <v>6132</v>
      </c>
      <c r="DF197" s="1645" t="s">
        <v>6480</v>
      </c>
      <c r="DG197" s="1645"/>
      <c r="DH197" s="512"/>
      <c r="DI197" s="512"/>
      <c r="DJ197" s="512"/>
      <c r="DK197" s="512"/>
      <c r="DL197" s="512"/>
      <c r="DN197" s="476" t="str">
        <f>VLOOKUP(X197,Hoja1!$A$4:$B$10,2,0)</f>
        <v>PROFESIONAL</v>
      </c>
      <c r="DO197" s="476" t="str">
        <f>VLOOKUP(S197,Hoja1!$D$4:$F$77,3,0)</f>
        <v>PII - II</v>
      </c>
      <c r="DP197" s="1158" t="str">
        <f t="shared" si="391"/>
        <v>0</v>
      </c>
      <c r="DQ197" s="1484">
        <f>IF(T197&lt;&gt;"0",(ROUND(IF(A197="EMPLEADO",eval_formula('CONCEPTOS Y PARAMETROS'!$C$8,NOMINA!V197,AU197+BF197,NOMINA!I197+NOMINA!J197),eval_formula('CONCEPTOS Y PARAMETROS'!$D$8,NOMINA!V197,AU197+BF197,NOMINA!I197+NOMINA!J197)),2))*IF(H197&lt;&gt;"",IF(MONTH(H197)=$BR$8,IF(YEAR(H197)&lt;$BT$7,1,0),0)))</f>
        <v>0</v>
      </c>
      <c r="DR197" s="1799" t="str">
        <f t="shared" si="392"/>
        <v>F</v>
      </c>
      <c r="DS197" s="1799"/>
    </row>
    <row r="198" spans="1:123" s="476" customFormat="1" ht="21.95" customHeight="1" x14ac:dyDescent="0.25">
      <c r="A198" s="508" t="s">
        <v>2846</v>
      </c>
      <c r="B198" s="1314">
        <f t="shared" ca="1" si="471"/>
        <v>155</v>
      </c>
      <c r="C198" s="1148">
        <v>17392309</v>
      </c>
      <c r="D198" s="1149" t="s">
        <v>7578</v>
      </c>
      <c r="E198" s="1135" t="s">
        <v>4622</v>
      </c>
      <c r="F198" s="1150">
        <v>30702</v>
      </c>
      <c r="G198" s="1135" t="s">
        <v>4620</v>
      </c>
      <c r="H198" s="1150">
        <v>43116</v>
      </c>
      <c r="I198" s="1140">
        <f t="shared" si="376"/>
        <v>7</v>
      </c>
      <c r="J198" s="1132">
        <v>0</v>
      </c>
      <c r="K198" s="1140">
        <f t="shared" si="371"/>
        <v>7</v>
      </c>
      <c r="L198" s="1145" t="s">
        <v>5524</v>
      </c>
      <c r="M198" s="1132"/>
      <c r="N198" s="1132"/>
      <c r="O198" s="1002" t="s">
        <v>7267</v>
      </c>
      <c r="P198" s="1132" t="s">
        <v>5393</v>
      </c>
      <c r="Q198" s="1315" t="str">
        <f>IFERROR(VLOOKUP(O198,CARGOS!A:E,2,0),"")</f>
        <v>12122</v>
      </c>
      <c r="R198" s="1327" t="s">
        <v>7267</v>
      </c>
      <c r="S198" s="1146" t="s">
        <v>5475</v>
      </c>
      <c r="T198" s="1107">
        <f>IFERROR(VLOOKUP(S198,'TAB EMP'!A:B,2,0),0)</f>
        <v>279</v>
      </c>
      <c r="U198" s="1108">
        <v>0</v>
      </c>
      <c r="V198" s="1107">
        <f t="shared" si="393"/>
        <v>279</v>
      </c>
      <c r="W198" s="1108">
        <f t="shared" si="394"/>
        <v>139.5</v>
      </c>
      <c r="X198" s="1135" t="s">
        <v>2885</v>
      </c>
      <c r="Y198" s="1135"/>
      <c r="Z198" s="1135">
        <v>1</v>
      </c>
      <c r="AA198" s="1107">
        <f>ROUND(IF(H198&lt;&gt;"",VLOOKUP(SUM(I198+J198),'CONCEPTOS Y PARAMETROS'!F:G,2,0)*V198,0),2)</f>
        <v>20.65</v>
      </c>
      <c r="AB198" s="1107">
        <f>IF(S198&lt;&gt;"",IF(M198="",'CONCEPTOS Y PARAMETROS'!$C$4,0),0)</f>
        <v>130</v>
      </c>
      <c r="AC198" s="1107">
        <f>IF(S198&lt;&gt;"",IF(M198="",'CONCEPTOS Y PARAMETROS'!$C$7*Z198,0),0)</f>
        <v>12.5</v>
      </c>
      <c r="AD198" s="1107">
        <f>IFERROR(ROUND(VLOOKUP($X198,'CONCEPTOS Y PARAMETROS'!H:I,2,0)*($V198+AA198+AB198+AC198),2),0)</f>
        <v>110.54</v>
      </c>
      <c r="AE198" s="1107">
        <f t="shared" si="369"/>
        <v>273.69</v>
      </c>
      <c r="AF198" s="1107">
        <f t="shared" si="395"/>
        <v>10.33</v>
      </c>
      <c r="AG198" s="1107">
        <f t="shared" si="396"/>
        <v>10.32</v>
      </c>
      <c r="AH198" s="1107">
        <f t="shared" si="397"/>
        <v>65</v>
      </c>
      <c r="AI198" s="1107">
        <f t="shared" si="398"/>
        <v>65</v>
      </c>
      <c r="AJ198" s="1107">
        <f t="shared" si="399"/>
        <v>55.27</v>
      </c>
      <c r="AK198" s="1107">
        <f t="shared" si="400"/>
        <v>55.27</v>
      </c>
      <c r="AL198" s="1108">
        <f t="shared" si="401"/>
        <v>143.1</v>
      </c>
      <c r="AM198" s="1108">
        <f t="shared" si="402"/>
        <v>130.59</v>
      </c>
      <c r="AN198" s="1604">
        <v>1</v>
      </c>
      <c r="AO198" s="1147">
        <f>'CONCEPTOS Y PARAMETROS'!$C$18*AN198</f>
        <v>12.5</v>
      </c>
      <c r="AP198" s="990">
        <v>0</v>
      </c>
      <c r="AQ198" s="1147">
        <f>'CONCEPTOS Y PARAMETROS'!$C$21*AP198</f>
        <v>0</v>
      </c>
      <c r="AR198" s="1318">
        <v>0</v>
      </c>
      <c r="AS198" s="1318">
        <v>0</v>
      </c>
      <c r="AT198" s="1318">
        <f t="shared" si="472"/>
        <v>12.5</v>
      </c>
      <c r="AU198" s="1108">
        <f t="shared" si="372"/>
        <v>552.69000000000005</v>
      </c>
      <c r="AV198" s="1133">
        <v>0</v>
      </c>
      <c r="AW198" s="1108">
        <f t="shared" si="473"/>
        <v>0</v>
      </c>
      <c r="AX198" s="1107">
        <f>IF(T198&lt;&gt;"0",(ROUND(IF(A198="EMPLEADO",eval_formula('CONCEPTOS Y PARAMETROS'!$C$8,NOMINA!V198,NOMINA!$AU198,NOMINA!I198+NOMINA!J198),eval_formula('CONCEPTOS Y PARAMETROS'!$D$8,NOMINA!V198,NOMINA!$AU198,NOMINA!I198+NOMINA!J198)),2))*IF(H198&lt;&gt;"",IF(MONTH(H198)=$BR$8,IF(YEAR(H198)&lt;$BT$7,1,0),0)))</f>
        <v>0</v>
      </c>
      <c r="AY198" s="1108">
        <v>180</v>
      </c>
      <c r="AZ198" s="1107">
        <f>IFERROR(VLOOKUP(AY198,'CONCEPTOS Y PARAMETROS'!Y:Z,2,0),0)</f>
        <v>150</v>
      </c>
      <c r="BA198" s="1107">
        <f t="shared" si="403"/>
        <v>4145.18</v>
      </c>
      <c r="BB198" s="1107">
        <f t="shared" si="405"/>
        <v>0</v>
      </c>
      <c r="BC198" s="990">
        <v>0</v>
      </c>
      <c r="BD198" s="1107" t="str">
        <f t="shared" si="373"/>
        <v>0</v>
      </c>
      <c r="BE198" s="990">
        <v>0</v>
      </c>
      <c r="BF198" s="1107">
        <f t="shared" si="436"/>
        <v>0</v>
      </c>
      <c r="BG198" s="1108">
        <v>320</v>
      </c>
      <c r="BH198" s="1108">
        <v>0</v>
      </c>
      <c r="BI198" s="1132">
        <v>0</v>
      </c>
      <c r="BJ198" s="1108">
        <v>12.5</v>
      </c>
      <c r="BK198" s="1108">
        <v>0</v>
      </c>
      <c r="BL198" s="1107">
        <f t="shared" si="437"/>
        <v>25.51</v>
      </c>
      <c r="BM198" s="1107">
        <f t="shared" si="438"/>
        <v>3.19</v>
      </c>
      <c r="BN198" s="1107">
        <f t="shared" si="377"/>
        <v>5.53</v>
      </c>
      <c r="BO198" s="1107">
        <v>0</v>
      </c>
      <c r="BP198" s="1107">
        <v>0</v>
      </c>
      <c r="BQ198" s="1320">
        <f t="shared" si="366"/>
        <v>34.229999999999997</v>
      </c>
      <c r="BR198" s="1107">
        <f t="shared" si="439"/>
        <v>57.39</v>
      </c>
      <c r="BS198" s="1107">
        <f t="shared" si="440"/>
        <v>12.75</v>
      </c>
      <c r="BT198" s="1107">
        <f t="shared" si="378"/>
        <v>11.06</v>
      </c>
      <c r="BU198" s="1107">
        <v>0</v>
      </c>
      <c r="BV198" s="1108">
        <f t="shared" si="367"/>
        <v>81.2</v>
      </c>
      <c r="BW198" s="1112">
        <f t="shared" si="368"/>
        <v>115.43</v>
      </c>
      <c r="BX198" s="1112">
        <f t="shared" si="435"/>
        <v>1036.3</v>
      </c>
      <c r="BY198" s="1108">
        <v>0</v>
      </c>
      <c r="BZ198" s="1108">
        <f t="shared" si="365"/>
        <v>1036.3</v>
      </c>
      <c r="CA198" s="1321">
        <f>'CONCEPTOS Y PARAMETROS'!$A$102</f>
        <v>6255</v>
      </c>
      <c r="CB198" s="1112">
        <f t="shared" si="379"/>
        <v>248.37000000000003</v>
      </c>
      <c r="CC198" s="1113">
        <f t="shared" si="380"/>
        <v>615.09</v>
      </c>
      <c r="CD198" s="512"/>
      <c r="CE198" s="512"/>
      <c r="CF198" s="470">
        <f t="shared" si="381"/>
        <v>910.09</v>
      </c>
      <c r="CG198" s="509">
        <f t="shared" si="404"/>
        <v>248.37000000000003</v>
      </c>
      <c r="CH198" s="1603">
        <f t="shared" si="382"/>
        <v>25</v>
      </c>
      <c r="CI198" s="1491">
        <f t="shared" si="374"/>
        <v>320</v>
      </c>
      <c r="CJ198" s="1502">
        <v>1</v>
      </c>
      <c r="CK198" s="509">
        <f t="shared" si="383"/>
        <v>590.09</v>
      </c>
      <c r="CL198" s="1689">
        <f t="shared" si="384"/>
        <v>590.09</v>
      </c>
      <c r="CM198" s="1689">
        <f t="shared" si="375"/>
        <v>0</v>
      </c>
      <c r="CN198" s="510">
        <f t="shared" si="385"/>
        <v>0</v>
      </c>
      <c r="CO198" s="511">
        <v>0</v>
      </c>
      <c r="CP198" s="510">
        <f t="shared" si="386"/>
        <v>0</v>
      </c>
      <c r="CQ198" s="510">
        <f t="shared" si="387"/>
        <v>0</v>
      </c>
      <c r="CR198" s="510">
        <f t="shared" si="388"/>
        <v>1180.18</v>
      </c>
      <c r="CS198" s="510">
        <f t="shared" si="389"/>
        <v>115.43</v>
      </c>
      <c r="CT198" s="510">
        <f t="shared" si="390"/>
        <v>6255</v>
      </c>
      <c r="CU198" s="512"/>
      <c r="CV198" s="512"/>
      <c r="CW198" s="512"/>
      <c r="CX198" s="512"/>
      <c r="CY198" s="1149" t="s">
        <v>6827</v>
      </c>
      <c r="CZ198" s="1149" t="s">
        <v>6909</v>
      </c>
      <c r="DA198" s="1152"/>
      <c r="DB198" s="1642" t="s">
        <v>6388</v>
      </c>
      <c r="DC198" s="1642"/>
      <c r="DD198" s="1642" t="s">
        <v>6135</v>
      </c>
      <c r="DE198" s="1642" t="s">
        <v>6162</v>
      </c>
      <c r="DF198" s="1642" t="s">
        <v>6605</v>
      </c>
      <c r="DG198" s="1642"/>
      <c r="DH198" s="512"/>
      <c r="DI198" s="512"/>
      <c r="DJ198" s="512"/>
      <c r="DK198" s="512"/>
      <c r="DL198" s="512"/>
      <c r="DN198" s="476" t="str">
        <f>VLOOKUP(X198,Hoja1!$A$4:$B$10,2,0)</f>
        <v>PROFESIONAL</v>
      </c>
      <c r="DO198" s="476" t="str">
        <f>VLOOKUP(S198,Hoja1!$D$4:$F$77,3,0)</f>
        <v>PII - III</v>
      </c>
      <c r="DP198" s="1594" t="str">
        <f t="shared" si="391"/>
        <v>0</v>
      </c>
      <c r="DQ198" s="1484">
        <f>IF(T198&lt;&gt;"0",(ROUND(IF(A198="EMPLEADO",eval_formula('CONCEPTOS Y PARAMETROS'!$C$8,NOMINA!V198,AU198+BF198,NOMINA!I198+NOMINA!J198),eval_formula('CONCEPTOS Y PARAMETROS'!$D$8,NOMINA!V198,AU198+BF198,NOMINA!I198+NOMINA!J198)),2))*IF(H198&lt;&gt;"",IF(MONTH(H198)=$BR$8,IF(YEAR(H198)&lt;$BT$7,1,0),0)))</f>
        <v>0</v>
      </c>
      <c r="DR198" s="1799" t="str">
        <f t="shared" si="392"/>
        <v>F</v>
      </c>
      <c r="DS198" s="1799"/>
    </row>
    <row r="199" spans="1:123" s="476" customFormat="1" ht="21.95" customHeight="1" x14ac:dyDescent="0.25">
      <c r="A199" s="508" t="s">
        <v>2846</v>
      </c>
      <c r="B199" s="1314">
        <f t="shared" ca="1" si="471"/>
        <v>156</v>
      </c>
      <c r="C199" s="1148">
        <v>17393693</v>
      </c>
      <c r="D199" s="1149" t="s">
        <v>4840</v>
      </c>
      <c r="E199" s="1135" t="s">
        <v>4622</v>
      </c>
      <c r="F199" s="1150">
        <v>31349</v>
      </c>
      <c r="G199" s="1135" t="s">
        <v>4620</v>
      </c>
      <c r="H199" s="1150">
        <v>44516</v>
      </c>
      <c r="I199" s="1140">
        <f t="shared" si="376"/>
        <v>3</v>
      </c>
      <c r="J199" s="1132">
        <v>0</v>
      </c>
      <c r="K199" s="1140">
        <f t="shared" si="371"/>
        <v>3</v>
      </c>
      <c r="L199" s="1145" t="s">
        <v>5522</v>
      </c>
      <c r="M199" s="1132"/>
      <c r="N199" s="1132"/>
      <c r="O199" s="1002" t="s">
        <v>7261</v>
      </c>
      <c r="P199" s="1630" t="s">
        <v>7360</v>
      </c>
      <c r="Q199" s="1315" t="str">
        <f>IFERROR(VLOOKUP(O199,CARGOS!A:E,2,0),"")</f>
        <v>12112</v>
      </c>
      <c r="R199" s="1327" t="s">
        <v>7261</v>
      </c>
      <c r="S199" s="1146" t="s">
        <v>5477</v>
      </c>
      <c r="T199" s="1107">
        <f>IFERROR(VLOOKUP(S199,'TAB EMP'!A:B,2,0),0)</f>
        <v>150</v>
      </c>
      <c r="U199" s="1108">
        <v>0</v>
      </c>
      <c r="V199" s="1107">
        <f t="shared" si="393"/>
        <v>150</v>
      </c>
      <c r="W199" s="1108">
        <f t="shared" si="394"/>
        <v>75</v>
      </c>
      <c r="X199" s="1135" t="s">
        <v>2884</v>
      </c>
      <c r="Y199" s="1135"/>
      <c r="Z199" s="1135">
        <v>2</v>
      </c>
      <c r="AA199" s="1107">
        <f>ROUND(IF(H199&lt;&gt;"",VLOOKUP(SUM(I199+J199),'CONCEPTOS Y PARAMETROS'!F:G,2,0)*V199,0),2)</f>
        <v>4.5</v>
      </c>
      <c r="AB199" s="1107">
        <f>IF(S199&lt;&gt;"",IF(M199="",'CONCEPTOS Y PARAMETROS'!$C$4,0),0)</f>
        <v>130</v>
      </c>
      <c r="AC199" s="1107">
        <f>IF(S199&lt;&gt;"",IF(M199="",'CONCEPTOS Y PARAMETROS'!$C$7*Z199,0),0)</f>
        <v>25</v>
      </c>
      <c r="AD199" s="1107">
        <f>IFERROR(ROUND(VLOOKUP($X199,'CONCEPTOS Y PARAMETROS'!H:I,2,0)*($V199+AA199+AB199+AC199),2),0)</f>
        <v>0</v>
      </c>
      <c r="AE199" s="1107">
        <f t="shared" si="369"/>
        <v>159.5</v>
      </c>
      <c r="AF199" s="1107">
        <f t="shared" si="395"/>
        <v>2.25</v>
      </c>
      <c r="AG199" s="1107">
        <f t="shared" si="396"/>
        <v>2.25</v>
      </c>
      <c r="AH199" s="1107">
        <f t="shared" si="397"/>
        <v>65</v>
      </c>
      <c r="AI199" s="1107">
        <f t="shared" si="398"/>
        <v>65</v>
      </c>
      <c r="AJ199" s="1107">
        <f t="shared" si="399"/>
        <v>0</v>
      </c>
      <c r="AK199" s="1107">
        <f t="shared" si="400"/>
        <v>0</v>
      </c>
      <c r="AL199" s="1108">
        <f t="shared" si="401"/>
        <v>92.25</v>
      </c>
      <c r="AM199" s="1108">
        <f t="shared" si="402"/>
        <v>67.25</v>
      </c>
      <c r="AN199" s="990">
        <v>0</v>
      </c>
      <c r="AO199" s="1147">
        <f>'CONCEPTOS Y PARAMETROS'!$C$18*AN199</f>
        <v>0</v>
      </c>
      <c r="AP199" s="990">
        <v>0</v>
      </c>
      <c r="AQ199" s="1147">
        <f>'CONCEPTOS Y PARAMETROS'!$C$21*AP199</f>
        <v>0</v>
      </c>
      <c r="AR199" s="1318">
        <v>0</v>
      </c>
      <c r="AS199" s="1318">
        <v>0</v>
      </c>
      <c r="AT199" s="1318">
        <f t="shared" si="472"/>
        <v>0</v>
      </c>
      <c r="AU199" s="1108">
        <f t="shared" si="372"/>
        <v>309.5</v>
      </c>
      <c r="AV199" s="1133">
        <v>0</v>
      </c>
      <c r="AW199" s="1108">
        <f t="shared" si="473"/>
        <v>0</v>
      </c>
      <c r="AX199" s="1107">
        <f>IF(T199&lt;&gt;"0",(ROUND(IF(A199="EMPLEADO",eval_formula('CONCEPTOS Y PARAMETROS'!$C$8,NOMINA!V199,NOMINA!$AU199,NOMINA!I199+NOMINA!J199),eval_formula('CONCEPTOS Y PARAMETROS'!$D$8,NOMINA!V199,NOMINA!$AU199,NOMINA!I199+NOMINA!J199)),2))*IF(H199&lt;&gt;"",IF(MONTH(H199)=$BR$8,IF(YEAR(H199)&lt;$BT$7,1,0),0)))</f>
        <v>0</v>
      </c>
      <c r="AY199" s="1108">
        <v>180</v>
      </c>
      <c r="AZ199" s="1107">
        <f>IFERROR(VLOOKUP(AY199,'CONCEPTOS Y PARAMETROS'!Y:Z,2,0),0)</f>
        <v>150</v>
      </c>
      <c r="BA199" s="1107">
        <f t="shared" si="403"/>
        <v>2321.25</v>
      </c>
      <c r="BB199" s="1107">
        <f t="shared" si="405"/>
        <v>0</v>
      </c>
      <c r="BC199" s="990">
        <v>0</v>
      </c>
      <c r="BD199" s="1107" t="str">
        <f t="shared" si="373"/>
        <v>0</v>
      </c>
      <c r="BE199" s="990">
        <v>0</v>
      </c>
      <c r="BF199" s="1107">
        <f t="shared" si="436"/>
        <v>0</v>
      </c>
      <c r="BG199" s="1108">
        <v>320</v>
      </c>
      <c r="BH199" s="1108">
        <v>0</v>
      </c>
      <c r="BI199" s="1132">
        <v>0</v>
      </c>
      <c r="BJ199" s="1108">
        <v>12.5</v>
      </c>
      <c r="BK199" s="1108">
        <v>0</v>
      </c>
      <c r="BL199" s="1107">
        <f t="shared" si="437"/>
        <v>14.28</v>
      </c>
      <c r="BM199" s="1107">
        <f t="shared" si="438"/>
        <v>1.79</v>
      </c>
      <c r="BN199" s="1107">
        <f t="shared" si="377"/>
        <v>3.1</v>
      </c>
      <c r="BO199" s="1107">
        <v>0</v>
      </c>
      <c r="BP199" s="1107">
        <v>0</v>
      </c>
      <c r="BQ199" s="1320">
        <f t="shared" si="366"/>
        <v>19.170000000000002</v>
      </c>
      <c r="BR199" s="1107">
        <f t="shared" si="439"/>
        <v>32.14</v>
      </c>
      <c r="BS199" s="1107">
        <f t="shared" si="440"/>
        <v>7.14</v>
      </c>
      <c r="BT199" s="1107">
        <f t="shared" si="378"/>
        <v>6.2</v>
      </c>
      <c r="BU199" s="1107">
        <v>0</v>
      </c>
      <c r="BV199" s="1108">
        <f t="shared" si="367"/>
        <v>45.48</v>
      </c>
      <c r="BW199" s="1112">
        <f t="shared" si="368"/>
        <v>64.650000000000006</v>
      </c>
      <c r="BX199" s="1112">
        <f t="shared" si="435"/>
        <v>580.30999999999995</v>
      </c>
      <c r="BY199" s="1108">
        <v>0</v>
      </c>
      <c r="BZ199" s="1108">
        <f t="shared" si="365"/>
        <v>580.30999999999995</v>
      </c>
      <c r="CA199" s="1321">
        <f>'CONCEPTOS Y PARAMETROS'!$A$102</f>
        <v>6255</v>
      </c>
      <c r="CB199" s="1112">
        <f t="shared" si="379"/>
        <v>148.07999999999998</v>
      </c>
      <c r="CC199" s="1113">
        <f t="shared" si="380"/>
        <v>474.75</v>
      </c>
      <c r="CD199" s="512"/>
      <c r="CE199" s="512"/>
      <c r="CF199" s="470">
        <f t="shared" si="381"/>
        <v>782.25</v>
      </c>
      <c r="CG199" s="509">
        <f t="shared" si="404"/>
        <v>148.07999999999998</v>
      </c>
      <c r="CH199" s="1603">
        <f t="shared" si="382"/>
        <v>12.5</v>
      </c>
      <c r="CI199" s="1491">
        <f t="shared" si="374"/>
        <v>320</v>
      </c>
      <c r="CJ199" s="1502">
        <v>1</v>
      </c>
      <c r="CK199" s="509">
        <f t="shared" si="383"/>
        <v>462.25</v>
      </c>
      <c r="CL199" s="1689">
        <f t="shared" si="384"/>
        <v>462.25</v>
      </c>
      <c r="CM199" s="1689">
        <f t="shared" si="375"/>
        <v>0</v>
      </c>
      <c r="CN199" s="510">
        <f t="shared" si="385"/>
        <v>0</v>
      </c>
      <c r="CO199" s="511">
        <v>0</v>
      </c>
      <c r="CP199" s="510">
        <f t="shared" si="386"/>
        <v>0</v>
      </c>
      <c r="CQ199" s="510">
        <f t="shared" si="387"/>
        <v>0</v>
      </c>
      <c r="CR199" s="510">
        <f t="shared" si="388"/>
        <v>924.5</v>
      </c>
      <c r="CS199" s="510">
        <f t="shared" si="389"/>
        <v>64.650000000000006</v>
      </c>
      <c r="CT199" s="510">
        <f t="shared" si="390"/>
        <v>6255</v>
      </c>
      <c r="CU199" s="512"/>
      <c r="CV199" s="512"/>
      <c r="CW199" s="512"/>
      <c r="CX199" s="512"/>
      <c r="CY199" s="1149" t="s">
        <v>6910</v>
      </c>
      <c r="CZ199" s="1149" t="s">
        <v>6805</v>
      </c>
      <c r="DA199" s="1152"/>
      <c r="DB199" s="1642" t="s">
        <v>6342</v>
      </c>
      <c r="DC199" s="1642"/>
      <c r="DD199" s="1642" t="s">
        <v>6135</v>
      </c>
      <c r="DE199" s="1642" t="s">
        <v>6162</v>
      </c>
      <c r="DF199" s="1642" t="s">
        <v>6387</v>
      </c>
      <c r="DG199" s="1642" t="s">
        <v>7511</v>
      </c>
      <c r="DH199" s="512"/>
      <c r="DI199" s="512"/>
      <c r="DJ199" s="512"/>
      <c r="DK199" s="512"/>
      <c r="DL199" s="512"/>
      <c r="DN199" s="476" t="str">
        <f>VLOOKUP(X199,Hoja1!$A$4:$B$10,2,0)</f>
        <v>BACHILLER</v>
      </c>
      <c r="DO199" s="476" t="str">
        <f>VLOOKUP(S199,Hoja1!$D$4:$F$77,3,0)</f>
        <v>BII - II</v>
      </c>
      <c r="DP199" s="1594" t="str">
        <f t="shared" si="391"/>
        <v>0</v>
      </c>
      <c r="DQ199" s="1484">
        <f>IF(T199&lt;&gt;"0",(ROUND(IF(A199="EMPLEADO",eval_formula('CONCEPTOS Y PARAMETROS'!$C$8,NOMINA!V199,AU199+BF199,NOMINA!I199+NOMINA!J199),eval_formula('CONCEPTOS Y PARAMETROS'!$D$8,NOMINA!V199,AU199+BF199,NOMINA!I199+NOMINA!J199)),2))*IF(H199&lt;&gt;"",IF(MONTH(H199)=$BR$8,IF(YEAR(H199)&lt;$BT$7,1,0),0)))</f>
        <v>0</v>
      </c>
      <c r="DR199" s="1799" t="str">
        <f t="shared" si="392"/>
        <v>F</v>
      </c>
      <c r="DS199" s="1799"/>
    </row>
    <row r="200" spans="1:123" s="476" customFormat="1" ht="21.95" customHeight="1" x14ac:dyDescent="0.2">
      <c r="A200" s="508" t="s">
        <v>2846</v>
      </c>
      <c r="B200" s="1314">
        <f t="shared" ca="1" si="471"/>
        <v>157</v>
      </c>
      <c r="C200" s="1148">
        <v>17596844</v>
      </c>
      <c r="D200" s="1149" t="s">
        <v>6654</v>
      </c>
      <c r="E200" s="1135" t="s">
        <v>4622</v>
      </c>
      <c r="F200" s="1118">
        <v>31320</v>
      </c>
      <c r="G200" s="1135" t="s">
        <v>4621</v>
      </c>
      <c r="H200" s="1118">
        <v>45474</v>
      </c>
      <c r="I200" s="1140">
        <f t="shared" si="376"/>
        <v>1</v>
      </c>
      <c r="J200" s="1132">
        <v>0</v>
      </c>
      <c r="K200" s="1140">
        <f t="shared" si="371"/>
        <v>1</v>
      </c>
      <c r="L200" s="1351" t="s">
        <v>5546</v>
      </c>
      <c r="M200" s="1132"/>
      <c r="N200" s="1132"/>
      <c r="O200" s="1002" t="s">
        <v>5218</v>
      </c>
      <c r="P200" s="1151" t="s">
        <v>6655</v>
      </c>
      <c r="Q200" s="1315" t="str">
        <f>IFERROR(VLOOKUP(O200,CARGOS!A:E,2,0),"")</f>
        <v>79511</v>
      </c>
      <c r="R200" s="1327" t="s">
        <v>5218</v>
      </c>
      <c r="S200" s="1146" t="s">
        <v>5462</v>
      </c>
      <c r="T200" s="1107">
        <f>IFERROR(VLOOKUP(S200,'TAB EMP'!A:B,2,0),0)</f>
        <v>192</v>
      </c>
      <c r="U200" s="1108">
        <v>0</v>
      </c>
      <c r="V200" s="1107">
        <f t="shared" ref="V200:V201" si="489">T200-U200</f>
        <v>192</v>
      </c>
      <c r="W200" s="1108">
        <f t="shared" ref="W200:W201" si="490">ROUND(V200/2,2)</f>
        <v>96</v>
      </c>
      <c r="X200" s="1135" t="s">
        <v>2844</v>
      </c>
      <c r="Y200" s="1135"/>
      <c r="Z200" s="1135">
        <v>2</v>
      </c>
      <c r="AA200" s="1107">
        <f>ROUND(IF(H200&lt;&gt;"",VLOOKUP(SUM(I200+J200),'CONCEPTOS Y PARAMETROS'!F:G,2,0)*V200,0),2)</f>
        <v>1.92</v>
      </c>
      <c r="AB200" s="1107">
        <f>IF(S200&lt;&gt;"",IF(M200="",'CONCEPTOS Y PARAMETROS'!$C$4,0),0)</f>
        <v>130</v>
      </c>
      <c r="AC200" s="1107">
        <f>IF(S200&lt;&gt;"",IF(M200="",'CONCEPTOS Y PARAMETROS'!$C$7*Z200,0),0)</f>
        <v>25</v>
      </c>
      <c r="AD200" s="1107">
        <f>IFERROR(ROUND(VLOOKUP($X200,'CONCEPTOS Y PARAMETROS'!H:I,2,0)*($V200+AA200+AB200+AC200),2),0)</f>
        <v>69.78</v>
      </c>
      <c r="AE200" s="1107">
        <f t="shared" ref="AE200:AE201" si="491">SUM(AA200:AD200)</f>
        <v>226.7</v>
      </c>
      <c r="AF200" s="1107">
        <f t="shared" ref="AF200:AF201" si="492">ROUND(AA200/2,2)</f>
        <v>0.96</v>
      </c>
      <c r="AG200" s="1107">
        <f t="shared" ref="AG200:AG201" si="493">ROUND(AA200-AF200,2)</f>
        <v>0.96</v>
      </c>
      <c r="AH200" s="1107">
        <f t="shared" ref="AH200:AH201" si="494">ROUND(AB200/2,2)</f>
        <v>65</v>
      </c>
      <c r="AI200" s="1107">
        <f t="shared" ref="AI200:AI201" si="495">ROUND(AB200-AH200,2)</f>
        <v>65</v>
      </c>
      <c r="AJ200" s="1107">
        <f t="shared" ref="AJ200:AJ201" si="496">ROUND(AD200/2,2)</f>
        <v>34.89</v>
      </c>
      <c r="AK200" s="1107">
        <f t="shared" ref="AK200:AK201" si="497">ROUND(AD200-AJ200,2)</f>
        <v>34.89</v>
      </c>
      <c r="AL200" s="1108">
        <f t="shared" ref="AL200:AL201" si="498">ROUND(AF200+AH200+AJ200+AC200,2)</f>
        <v>125.85</v>
      </c>
      <c r="AM200" s="1108">
        <f t="shared" ref="AM200:AM201" si="499">ROUND(AG200+AI200+AK200,2)</f>
        <v>100.85</v>
      </c>
      <c r="AN200" s="990">
        <v>0</v>
      </c>
      <c r="AO200" s="1147">
        <f>'CONCEPTOS Y PARAMETROS'!$C$18*AN200</f>
        <v>0</v>
      </c>
      <c r="AP200" s="990">
        <v>0</v>
      </c>
      <c r="AQ200" s="1147">
        <f>'CONCEPTOS Y PARAMETROS'!$C$21*AP200</f>
        <v>0</v>
      </c>
      <c r="AR200" s="1318">
        <v>0</v>
      </c>
      <c r="AS200" s="1318">
        <v>0</v>
      </c>
      <c r="AT200" s="1318">
        <f t="shared" si="472"/>
        <v>0</v>
      </c>
      <c r="AU200" s="1108">
        <f t="shared" si="372"/>
        <v>544.30999999999995</v>
      </c>
      <c r="AV200" s="1133" t="s">
        <v>5080</v>
      </c>
      <c r="AW200" s="1108">
        <f t="shared" si="473"/>
        <v>125.61</v>
      </c>
      <c r="AX200" s="1107">
        <f>IF(T200&lt;&gt;"0",(ROUND(IF(A200="EMPLEADO",eval_formula('CONCEPTOS Y PARAMETROS'!$C$8,NOMINA!V200,NOMINA!$AU200,NOMINA!I200+NOMINA!J200),eval_formula('CONCEPTOS Y PARAMETROS'!$D$8,NOMINA!V200,NOMINA!$AU200,NOMINA!I200+NOMINA!J200)),2))*IF(H200&lt;&gt;"",IF(MONTH(H200)=$BR$8,IF(YEAR(H200)&lt;$BT$7,1,0),0)))</f>
        <v>0</v>
      </c>
      <c r="AY200" s="1108">
        <v>90</v>
      </c>
      <c r="AZ200" s="1107">
        <f>IFERROR(VLOOKUP(AY200,'CONCEPTOS Y PARAMETROS'!Y:Z,2,0),0)</f>
        <v>75</v>
      </c>
      <c r="BA200" s="1107">
        <f t="shared" ref="BA200:BA201" si="500">ROUND((((AU200))/30*AY200/12+(AU200))/30*AZ200,2)</f>
        <v>1700.97</v>
      </c>
      <c r="BB200" s="1107">
        <f t="shared" si="405"/>
        <v>0</v>
      </c>
      <c r="BC200" s="990">
        <v>0</v>
      </c>
      <c r="BD200" s="1107" t="str">
        <f t="shared" si="373"/>
        <v>0</v>
      </c>
      <c r="BE200" s="990">
        <v>3</v>
      </c>
      <c r="BF200" s="1107">
        <f t="shared" si="436"/>
        <v>81.650000000000006</v>
      </c>
      <c r="BG200" s="1108">
        <v>320</v>
      </c>
      <c r="BH200" s="1108">
        <v>0</v>
      </c>
      <c r="BI200" s="1132">
        <v>0</v>
      </c>
      <c r="BJ200" s="1108">
        <v>12.5</v>
      </c>
      <c r="BK200" s="1108">
        <v>0</v>
      </c>
      <c r="BL200" s="1107">
        <f t="shared" si="437"/>
        <v>25.12</v>
      </c>
      <c r="BM200" s="1107">
        <f t="shared" si="438"/>
        <v>3.14</v>
      </c>
      <c r="BN200" s="1107">
        <f t="shared" si="377"/>
        <v>5.44</v>
      </c>
      <c r="BO200" s="1107">
        <v>0</v>
      </c>
      <c r="BP200" s="1107">
        <v>0</v>
      </c>
      <c r="BQ200" s="1320">
        <f t="shared" ref="BQ200" si="501">ROUND(SUM(BL200:BP200),2)</f>
        <v>33.700000000000003</v>
      </c>
      <c r="BR200" s="1107">
        <f t="shared" si="439"/>
        <v>56.52</v>
      </c>
      <c r="BS200" s="1107">
        <f t="shared" si="440"/>
        <v>12.56</v>
      </c>
      <c r="BT200" s="1107">
        <f t="shared" si="378"/>
        <v>10.88</v>
      </c>
      <c r="BU200" s="1107">
        <v>0</v>
      </c>
      <c r="BV200" s="1108">
        <f t="shared" si="367"/>
        <v>79.959999999999994</v>
      </c>
      <c r="BW200" s="1112">
        <f t="shared" si="368"/>
        <v>113.66</v>
      </c>
      <c r="BX200" s="1112">
        <f t="shared" si="435"/>
        <v>425.24</v>
      </c>
      <c r="BY200" s="1108">
        <v>0</v>
      </c>
      <c r="BZ200" s="1108">
        <f t="shared" si="365"/>
        <v>425.24</v>
      </c>
      <c r="CA200" s="1321">
        <f>'CONCEPTOS Y PARAMETROS'!$A$102</f>
        <v>6255</v>
      </c>
      <c r="CB200" s="1112">
        <f t="shared" si="379"/>
        <v>188.14999999999998</v>
      </c>
      <c r="CC200" s="1113">
        <f t="shared" si="380"/>
        <v>736.61</v>
      </c>
      <c r="CD200" s="512"/>
      <c r="CE200" s="512"/>
      <c r="CF200" s="470">
        <f t="shared" si="381"/>
        <v>836.85</v>
      </c>
      <c r="CG200" s="509">
        <f t="shared" si="404"/>
        <v>188.14999999999998</v>
      </c>
      <c r="CH200" s="498">
        <f t="shared" si="382"/>
        <v>12.5</v>
      </c>
      <c r="CI200" s="1491">
        <f t="shared" si="374"/>
        <v>320</v>
      </c>
      <c r="CJ200" s="1502">
        <v>1</v>
      </c>
      <c r="CK200" s="509">
        <f t="shared" si="383"/>
        <v>516.85</v>
      </c>
      <c r="CL200" s="1689">
        <f t="shared" si="384"/>
        <v>516.85</v>
      </c>
      <c r="CM200" s="1689">
        <f t="shared" si="375"/>
        <v>0</v>
      </c>
      <c r="CN200" s="510">
        <f t="shared" si="385"/>
        <v>81.650000000000006</v>
      </c>
      <c r="CO200" s="511">
        <v>0</v>
      </c>
      <c r="CP200" s="510">
        <f t="shared" si="386"/>
        <v>125.61</v>
      </c>
      <c r="CQ200" s="510">
        <f t="shared" si="387"/>
        <v>0</v>
      </c>
      <c r="CR200" s="496">
        <f t="shared" si="388"/>
        <v>1240.96</v>
      </c>
      <c r="CS200" s="510">
        <f t="shared" si="389"/>
        <v>113.66</v>
      </c>
      <c r="CT200" s="510">
        <f t="shared" si="390"/>
        <v>6255</v>
      </c>
      <c r="CU200" s="470"/>
      <c r="CV200" s="470"/>
      <c r="CW200" s="470"/>
      <c r="CX200" s="470"/>
      <c r="CY200" s="1149" t="s">
        <v>6911</v>
      </c>
      <c r="CZ200" s="1149" t="s">
        <v>6912</v>
      </c>
      <c r="DA200" s="1152"/>
      <c r="DB200" s="1642" t="s">
        <v>6656</v>
      </c>
      <c r="DC200" s="1642"/>
      <c r="DD200" s="1647" t="s">
        <v>6143</v>
      </c>
      <c r="DE200" s="1642" t="s">
        <v>6554</v>
      </c>
      <c r="DF200" s="1642" t="s">
        <v>6662</v>
      </c>
      <c r="DG200" s="1649"/>
      <c r="DH200" s="512"/>
      <c r="DI200" s="512"/>
      <c r="DJ200" s="512"/>
      <c r="DK200" s="512"/>
      <c r="DL200" s="512"/>
      <c r="DN200" s="476" t="str">
        <f>VLOOKUP(X200,Hoja1!$A$4:$B$10,2,0)</f>
        <v>TÉCNICO SUPERIOR UNIVERSITARIO</v>
      </c>
      <c r="DO200" s="476" t="str">
        <f>VLOOKUP(S200,Hoja1!$D$4:$F$77,3,0)</f>
        <v>TI</v>
      </c>
      <c r="DP200" s="1158" t="str">
        <f t="shared" si="391"/>
        <v>SI</v>
      </c>
      <c r="DQ200" s="1484">
        <f>IF(T200&lt;&gt;"0",(ROUND(IF(A200="EMPLEADO",eval_formula('CONCEPTOS Y PARAMETROS'!$C$8,NOMINA!V200,AU200+BF200,NOMINA!I200+NOMINA!J200),eval_formula('CONCEPTOS Y PARAMETROS'!$D$8,NOMINA!V200,AU200+BF200,NOMINA!I200+NOMINA!J200)),2))*IF(H200&lt;&gt;"",IF(MONTH(H200)=$BR$8,IF(YEAR(H200)&lt;$BT$7,1,0),0)))</f>
        <v>0</v>
      </c>
      <c r="DR200" s="1799" t="str">
        <f t="shared" si="392"/>
        <v>M</v>
      </c>
      <c r="DS200" s="1799"/>
    </row>
    <row r="201" spans="1:123" s="476" customFormat="1" ht="21.95" customHeight="1" x14ac:dyDescent="0.25">
      <c r="A201" s="508" t="s">
        <v>2846</v>
      </c>
      <c r="B201" s="1314">
        <f t="shared" ca="1" si="471"/>
        <v>158</v>
      </c>
      <c r="C201" s="1148">
        <v>17597257</v>
      </c>
      <c r="D201" s="1149" t="s">
        <v>6706</v>
      </c>
      <c r="E201" s="1135" t="s">
        <v>4622</v>
      </c>
      <c r="F201" s="1150">
        <v>31324</v>
      </c>
      <c r="G201" s="1135" t="s">
        <v>4621</v>
      </c>
      <c r="H201" s="1150">
        <v>45536</v>
      </c>
      <c r="I201" s="1140">
        <f t="shared" si="376"/>
        <v>1</v>
      </c>
      <c r="J201" s="1132">
        <v>0</v>
      </c>
      <c r="K201" s="1140">
        <f t="shared" si="371"/>
        <v>1</v>
      </c>
      <c r="L201" s="1145" t="s">
        <v>5546</v>
      </c>
      <c r="M201" s="1132"/>
      <c r="N201" s="1132"/>
      <c r="O201" s="1002" t="s">
        <v>1162</v>
      </c>
      <c r="P201" s="1151" t="s">
        <v>6707</v>
      </c>
      <c r="Q201" s="1315" t="str">
        <f>IFERROR(VLOOKUP(O201,CARGOS!A:E,2,0),"")</f>
        <v>79511</v>
      </c>
      <c r="R201" s="1327" t="s">
        <v>5218</v>
      </c>
      <c r="S201" s="1146" t="s">
        <v>5462</v>
      </c>
      <c r="T201" s="1107">
        <f>IFERROR(VLOOKUP(S201,'TAB EMP'!A:B,2,0),0)</f>
        <v>192</v>
      </c>
      <c r="U201" s="1108">
        <v>0</v>
      </c>
      <c r="V201" s="1107">
        <f t="shared" si="489"/>
        <v>192</v>
      </c>
      <c r="W201" s="1108">
        <f t="shared" si="490"/>
        <v>96</v>
      </c>
      <c r="X201" s="1135" t="s">
        <v>2844</v>
      </c>
      <c r="Y201" s="1135"/>
      <c r="Z201" s="1135">
        <v>1</v>
      </c>
      <c r="AA201" s="1107">
        <f>ROUND(IF(H201&lt;&gt;"",VLOOKUP(SUM(I201+J201),'CONCEPTOS Y PARAMETROS'!F:G,2,0)*V201,0),2)</f>
        <v>1.92</v>
      </c>
      <c r="AB201" s="1107">
        <f>IF(S201&lt;&gt;"",IF(M201="",'CONCEPTOS Y PARAMETROS'!$C$4,0),0)</f>
        <v>130</v>
      </c>
      <c r="AC201" s="1107">
        <f>IF(S201&lt;&gt;"",IF(M201="",'CONCEPTOS Y PARAMETROS'!$C$7*Z201,0),0)</f>
        <v>12.5</v>
      </c>
      <c r="AD201" s="1107">
        <f>IFERROR(ROUND(VLOOKUP($X201,'CONCEPTOS Y PARAMETROS'!H:I,2,0)*($V201+AA201+AB201+AC201),2),0)</f>
        <v>67.28</v>
      </c>
      <c r="AE201" s="1107">
        <f t="shared" si="491"/>
        <v>211.7</v>
      </c>
      <c r="AF201" s="1107">
        <f t="shared" si="492"/>
        <v>0.96</v>
      </c>
      <c r="AG201" s="1107">
        <f t="shared" si="493"/>
        <v>0.96</v>
      </c>
      <c r="AH201" s="1107">
        <f t="shared" si="494"/>
        <v>65</v>
      </c>
      <c r="AI201" s="1107">
        <f t="shared" si="495"/>
        <v>65</v>
      </c>
      <c r="AJ201" s="1107">
        <f t="shared" si="496"/>
        <v>33.64</v>
      </c>
      <c r="AK201" s="1107">
        <f t="shared" si="497"/>
        <v>33.64</v>
      </c>
      <c r="AL201" s="1108">
        <f t="shared" si="498"/>
        <v>112.1</v>
      </c>
      <c r="AM201" s="1108">
        <f t="shared" si="499"/>
        <v>99.6</v>
      </c>
      <c r="AN201" s="990">
        <v>0</v>
      </c>
      <c r="AO201" s="1147">
        <f>'CONCEPTOS Y PARAMETROS'!$C$18*AN201</f>
        <v>0</v>
      </c>
      <c r="AP201" s="990">
        <v>0</v>
      </c>
      <c r="AQ201" s="1147">
        <f>'CONCEPTOS Y PARAMETROS'!$C$21*AP201</f>
        <v>0</v>
      </c>
      <c r="AR201" s="1318">
        <v>0</v>
      </c>
      <c r="AS201" s="1318">
        <v>0</v>
      </c>
      <c r="AT201" s="1318">
        <f t="shared" si="472"/>
        <v>0</v>
      </c>
      <c r="AU201" s="1108">
        <f t="shared" si="372"/>
        <v>524.80999999999995</v>
      </c>
      <c r="AV201" s="1133" t="s">
        <v>5080</v>
      </c>
      <c r="AW201" s="1108">
        <f t="shared" si="473"/>
        <v>121.11</v>
      </c>
      <c r="AX201" s="1107">
        <f>IF(T201&lt;&gt;"0",(ROUND(IF(A201="EMPLEADO",eval_formula('CONCEPTOS Y PARAMETROS'!$C$8,NOMINA!V201,NOMINA!$AU201,NOMINA!I201+NOMINA!J201),eval_formula('CONCEPTOS Y PARAMETROS'!$D$8,NOMINA!V201,NOMINA!$AU201,NOMINA!I201+NOMINA!J201)),2))*IF(H201&lt;&gt;"",IF(MONTH(H201)=$BR$8,IF(YEAR(H201)&lt;$BT$7,1,0),0)))</f>
        <v>4198.4799999999996</v>
      </c>
      <c r="AY201" s="1108">
        <v>60</v>
      </c>
      <c r="AZ201" s="1107">
        <f>IFERROR(VLOOKUP(AY201,'CONCEPTOS Y PARAMETROS'!Y:Z,2,0),0)</f>
        <v>50</v>
      </c>
      <c r="BA201" s="1107">
        <f t="shared" si="500"/>
        <v>1020.46</v>
      </c>
      <c r="BB201" s="1107">
        <f t="shared" si="405"/>
        <v>0</v>
      </c>
      <c r="BC201" s="990">
        <v>0</v>
      </c>
      <c r="BD201" s="1107" t="str">
        <f t="shared" si="373"/>
        <v>0</v>
      </c>
      <c r="BE201" s="990">
        <v>3</v>
      </c>
      <c r="BF201" s="1107">
        <f t="shared" si="436"/>
        <v>78.72</v>
      </c>
      <c r="BG201" s="1108">
        <v>320</v>
      </c>
      <c r="BH201" s="1108">
        <v>0</v>
      </c>
      <c r="BI201" s="1132">
        <v>0</v>
      </c>
      <c r="BJ201" s="1108">
        <v>12.5</v>
      </c>
      <c r="BK201" s="1108">
        <v>0</v>
      </c>
      <c r="BL201" s="1107">
        <f t="shared" si="437"/>
        <v>24.22</v>
      </c>
      <c r="BM201" s="1107">
        <f t="shared" si="438"/>
        <v>3.03</v>
      </c>
      <c r="BN201" s="1107">
        <f t="shared" si="377"/>
        <v>5.25</v>
      </c>
      <c r="BO201" s="1107">
        <v>0</v>
      </c>
      <c r="BP201" s="1107">
        <v>0</v>
      </c>
      <c r="BQ201" s="1320">
        <f t="shared" ref="BQ201" si="502">ROUND(SUM(BL201:BP201),2)</f>
        <v>32.5</v>
      </c>
      <c r="BR201" s="1107">
        <f t="shared" si="439"/>
        <v>54.5</v>
      </c>
      <c r="BS201" s="1107">
        <f t="shared" si="440"/>
        <v>12.11</v>
      </c>
      <c r="BT201" s="1107">
        <f t="shared" si="378"/>
        <v>10.5</v>
      </c>
      <c r="BU201" s="1107">
        <v>0</v>
      </c>
      <c r="BV201" s="1108">
        <f t="shared" ref="BV201" si="503">ROUND(SUM(BR201:BT201),2)</f>
        <v>77.11</v>
      </c>
      <c r="BW201" s="1112">
        <f t="shared" ref="BW201" si="504">BQ201+BV201</f>
        <v>109.61</v>
      </c>
      <c r="BX201" s="1112">
        <f t="shared" si="435"/>
        <v>255.12</v>
      </c>
      <c r="BY201" s="1108">
        <v>0</v>
      </c>
      <c r="BZ201" s="1108">
        <f t="shared" si="365"/>
        <v>255.12</v>
      </c>
      <c r="CA201" s="1321">
        <f>'CONCEPTOS Y PARAMETROS'!$A$102</f>
        <v>6255</v>
      </c>
      <c r="CB201" s="1112">
        <f t="shared" si="379"/>
        <v>175.6</v>
      </c>
      <c r="CC201" s="1113">
        <f t="shared" si="380"/>
        <v>4926.41</v>
      </c>
      <c r="CD201" s="512"/>
      <c r="CE201" s="512"/>
      <c r="CF201" s="470">
        <f t="shared" si="381"/>
        <v>835.6</v>
      </c>
      <c r="CG201" s="509">
        <f t="shared" si="404"/>
        <v>175.6</v>
      </c>
      <c r="CH201" s="498">
        <f t="shared" si="382"/>
        <v>12.5</v>
      </c>
      <c r="CI201" s="1491">
        <f t="shared" si="374"/>
        <v>320</v>
      </c>
      <c r="CJ201" s="1502">
        <v>1</v>
      </c>
      <c r="CK201" s="509">
        <f t="shared" si="383"/>
        <v>515.6</v>
      </c>
      <c r="CL201" s="1689">
        <f t="shared" si="384"/>
        <v>515.6</v>
      </c>
      <c r="CM201" s="1689">
        <f t="shared" si="375"/>
        <v>0</v>
      </c>
      <c r="CN201" s="510">
        <f t="shared" si="385"/>
        <v>78.72</v>
      </c>
      <c r="CO201" s="511">
        <v>0</v>
      </c>
      <c r="CP201" s="510">
        <f t="shared" si="386"/>
        <v>121.11</v>
      </c>
      <c r="CQ201" s="510">
        <f t="shared" si="387"/>
        <v>4198.4799999999996</v>
      </c>
      <c r="CR201" s="496">
        <f t="shared" si="388"/>
        <v>5429.5099999999993</v>
      </c>
      <c r="CS201" s="510">
        <f t="shared" si="389"/>
        <v>109.61</v>
      </c>
      <c r="CT201" s="510">
        <f t="shared" si="390"/>
        <v>6255</v>
      </c>
      <c r="CU201" s="470"/>
      <c r="CV201" s="470"/>
      <c r="CW201" s="470"/>
      <c r="CX201" s="470"/>
      <c r="CY201" s="1149" t="s">
        <v>6839</v>
      </c>
      <c r="CZ201" s="1149" t="s">
        <v>6912</v>
      </c>
      <c r="DA201" s="1152"/>
      <c r="DB201" s="1642" t="s">
        <v>7514</v>
      </c>
      <c r="DC201" s="1642"/>
      <c r="DD201" s="1642"/>
      <c r="DE201" s="1642"/>
      <c r="DF201" s="1642" t="s">
        <v>7515</v>
      </c>
      <c r="DG201" s="1642"/>
      <c r="DH201" s="512"/>
      <c r="DI201" s="512"/>
      <c r="DJ201" s="512"/>
      <c r="DK201" s="512"/>
      <c r="DL201" s="512"/>
      <c r="DN201" s="476" t="str">
        <f>VLOOKUP(X201,Hoja1!$A$4:$B$10,2,0)</f>
        <v>TÉCNICO SUPERIOR UNIVERSITARIO</v>
      </c>
      <c r="DO201" s="476" t="str">
        <f>VLOOKUP(S201,Hoja1!$D$4:$F$77,3,0)</f>
        <v>TI</v>
      </c>
      <c r="DP201" s="1177" t="str">
        <f t="shared" si="391"/>
        <v>SI</v>
      </c>
      <c r="DQ201" s="1484">
        <f>IF(T201&lt;&gt;"0",(ROUND(IF(A201="EMPLEADO",eval_formula('CONCEPTOS Y PARAMETROS'!$C$8,NOMINA!V201,AU201+BF201,NOMINA!I201+NOMINA!J201),eval_formula('CONCEPTOS Y PARAMETROS'!$D$8,NOMINA!V201,AU201+BF201,NOMINA!I201+NOMINA!J201)),2))*IF(H201&lt;&gt;"",IF(MONTH(H201)=$BR$8,IF(YEAR(H201)&lt;$BT$7,1,0),0)))</f>
        <v>4828.24</v>
      </c>
      <c r="DR201" s="1799" t="str">
        <f t="shared" si="392"/>
        <v>M</v>
      </c>
      <c r="DS201" s="1799"/>
    </row>
    <row r="202" spans="1:123" s="476" customFormat="1" ht="21.95" customHeight="1" x14ac:dyDescent="0.25">
      <c r="A202" s="508" t="s">
        <v>2846</v>
      </c>
      <c r="B202" s="1314">
        <f t="shared" ca="1" si="471"/>
        <v>159</v>
      </c>
      <c r="C202" s="1148">
        <v>17597285</v>
      </c>
      <c r="D202" s="1149" t="s">
        <v>4841</v>
      </c>
      <c r="E202" s="1135" t="s">
        <v>4622</v>
      </c>
      <c r="F202" s="1150">
        <v>31429</v>
      </c>
      <c r="G202" s="1135" t="s">
        <v>4621</v>
      </c>
      <c r="H202" s="1150">
        <v>42782</v>
      </c>
      <c r="I202" s="1140">
        <f t="shared" si="376"/>
        <v>8</v>
      </c>
      <c r="J202" s="1132">
        <v>0</v>
      </c>
      <c r="K202" s="1140">
        <f t="shared" si="371"/>
        <v>8</v>
      </c>
      <c r="L202" s="1145" t="s">
        <v>5536</v>
      </c>
      <c r="M202" s="1132"/>
      <c r="N202" s="1132"/>
      <c r="O202" s="1002" t="s">
        <v>5250</v>
      </c>
      <c r="P202" s="1132" t="s">
        <v>5394</v>
      </c>
      <c r="Q202" s="1315" t="str">
        <f>IFERROR(VLOOKUP(O202,CARGOS!A:E,2,0),"")</f>
        <v>79342</v>
      </c>
      <c r="R202" s="1327" t="s">
        <v>5250</v>
      </c>
      <c r="S202" s="1146" t="s">
        <v>5478</v>
      </c>
      <c r="T202" s="1107">
        <f>IFERROR(VLOOKUP(S202,'TAB EMP'!A:B,2,0),0)</f>
        <v>221</v>
      </c>
      <c r="U202" s="1108">
        <v>0</v>
      </c>
      <c r="V202" s="1107">
        <f t="shared" si="393"/>
        <v>221</v>
      </c>
      <c r="W202" s="1108">
        <f t="shared" si="394"/>
        <v>110.5</v>
      </c>
      <c r="X202" s="1135" t="s">
        <v>2844</v>
      </c>
      <c r="Y202" s="1135"/>
      <c r="Z202" s="1135">
        <v>0</v>
      </c>
      <c r="AA202" s="1107">
        <f>ROUND(IF(H202&lt;&gt;"",VLOOKUP(SUM(I202+J202),'CONCEPTOS Y PARAMETROS'!F:G,2,0)*V202,0),2)</f>
        <v>19.010000000000002</v>
      </c>
      <c r="AB202" s="1107">
        <f>IF(S202&lt;&gt;"",IF(M202="",'CONCEPTOS Y PARAMETROS'!$C$4,0),0)</f>
        <v>130</v>
      </c>
      <c r="AC202" s="1107">
        <f>IF(S202&lt;&gt;"",IF(M202="",'CONCEPTOS Y PARAMETROS'!$C$7*Z202,0),0)</f>
        <v>0</v>
      </c>
      <c r="AD202" s="1107">
        <f>IFERROR(ROUND(VLOOKUP($X202,'CONCEPTOS Y PARAMETROS'!H:I,2,0)*($V202+AA202+AB202+AC202),2),0)</f>
        <v>74</v>
      </c>
      <c r="AE202" s="1107">
        <f t="shared" si="369"/>
        <v>223.01</v>
      </c>
      <c r="AF202" s="1107">
        <f t="shared" si="395"/>
        <v>9.51</v>
      </c>
      <c r="AG202" s="1107">
        <f t="shared" si="396"/>
        <v>9.5</v>
      </c>
      <c r="AH202" s="1107">
        <f t="shared" si="397"/>
        <v>65</v>
      </c>
      <c r="AI202" s="1107">
        <f t="shared" si="398"/>
        <v>65</v>
      </c>
      <c r="AJ202" s="1107">
        <f t="shared" si="399"/>
        <v>37</v>
      </c>
      <c r="AK202" s="1107">
        <f t="shared" si="400"/>
        <v>37</v>
      </c>
      <c r="AL202" s="1108">
        <f t="shared" si="401"/>
        <v>111.51</v>
      </c>
      <c r="AM202" s="1108">
        <f t="shared" si="402"/>
        <v>111.5</v>
      </c>
      <c r="AN202" s="990">
        <v>0</v>
      </c>
      <c r="AO202" s="1147">
        <f>'CONCEPTOS Y PARAMETROS'!$C$18*AN202</f>
        <v>0</v>
      </c>
      <c r="AP202" s="990">
        <v>0</v>
      </c>
      <c r="AQ202" s="1147">
        <f>'CONCEPTOS Y PARAMETROS'!$C$21*AP202</f>
        <v>0</v>
      </c>
      <c r="AR202" s="1318">
        <v>0</v>
      </c>
      <c r="AS202" s="1318">
        <v>0</v>
      </c>
      <c r="AT202" s="1318">
        <f t="shared" si="472"/>
        <v>0</v>
      </c>
      <c r="AU202" s="1108">
        <f t="shared" si="372"/>
        <v>444.01</v>
      </c>
      <c r="AV202" s="1133">
        <v>0</v>
      </c>
      <c r="AW202" s="1108">
        <f t="shared" si="473"/>
        <v>0</v>
      </c>
      <c r="AX202" s="1107">
        <f>IF(T202&lt;&gt;"0",(ROUND(IF(A202="EMPLEADO",eval_formula('CONCEPTOS Y PARAMETROS'!$C$8,NOMINA!V202,NOMINA!$AU202,NOMINA!I202+NOMINA!J202),eval_formula('CONCEPTOS Y PARAMETROS'!$D$8,NOMINA!V202,NOMINA!$AU202,NOMINA!I202+NOMINA!J202)),2))*IF(H202&lt;&gt;"",IF(MONTH(H202)=$BR$8,IF(YEAR(H202)&lt;$BT$7,1,0),0)))</f>
        <v>0</v>
      </c>
      <c r="AY202" s="1108">
        <v>180</v>
      </c>
      <c r="AZ202" s="1107">
        <f>IFERROR(VLOOKUP(AY202,'CONCEPTOS Y PARAMETROS'!Y:Z,2,0),0)</f>
        <v>150</v>
      </c>
      <c r="BA202" s="1107">
        <f t="shared" si="403"/>
        <v>3330.08</v>
      </c>
      <c r="BB202" s="1107">
        <f t="shared" si="405"/>
        <v>0</v>
      </c>
      <c r="BC202" s="990">
        <v>0</v>
      </c>
      <c r="BD202" s="1107" t="str">
        <f t="shared" si="373"/>
        <v>0</v>
      </c>
      <c r="BE202" s="990">
        <v>0</v>
      </c>
      <c r="BF202" s="1107">
        <f t="shared" si="436"/>
        <v>0</v>
      </c>
      <c r="BG202" s="1108">
        <v>320</v>
      </c>
      <c r="BH202" s="1108">
        <v>0</v>
      </c>
      <c r="BI202" s="1132">
        <v>0</v>
      </c>
      <c r="BJ202" s="1108">
        <v>12.5</v>
      </c>
      <c r="BK202" s="1108">
        <v>0</v>
      </c>
      <c r="BL202" s="1107">
        <f t="shared" si="437"/>
        <v>20.49</v>
      </c>
      <c r="BM202" s="1107">
        <f t="shared" si="438"/>
        <v>2.56</v>
      </c>
      <c r="BN202" s="1107">
        <f t="shared" si="377"/>
        <v>4.4400000000000004</v>
      </c>
      <c r="BO202" s="1107">
        <v>0</v>
      </c>
      <c r="BP202" s="1107">
        <v>0</v>
      </c>
      <c r="BQ202" s="1320">
        <f t="shared" si="366"/>
        <v>27.49</v>
      </c>
      <c r="BR202" s="1107">
        <f t="shared" si="439"/>
        <v>46.11</v>
      </c>
      <c r="BS202" s="1107">
        <f t="shared" si="440"/>
        <v>10.25</v>
      </c>
      <c r="BT202" s="1107">
        <f t="shared" si="378"/>
        <v>8.8800000000000008</v>
      </c>
      <c r="BU202" s="1107">
        <v>0</v>
      </c>
      <c r="BV202" s="1108">
        <f t="shared" si="367"/>
        <v>65.239999999999995</v>
      </c>
      <c r="BW202" s="1112">
        <f t="shared" si="368"/>
        <v>92.72999999999999</v>
      </c>
      <c r="BX202" s="1112">
        <f t="shared" si="435"/>
        <v>832.52</v>
      </c>
      <c r="BY202" s="1108">
        <v>0</v>
      </c>
      <c r="BZ202" s="1108">
        <f t="shared" si="365"/>
        <v>832.52</v>
      </c>
      <c r="CA202" s="1321">
        <f>'CONCEPTOS Y PARAMETROS'!$A$102</f>
        <v>6255</v>
      </c>
      <c r="CB202" s="1112">
        <f t="shared" si="379"/>
        <v>194.51999999999998</v>
      </c>
      <c r="CC202" s="1113">
        <f t="shared" si="380"/>
        <v>554.5</v>
      </c>
      <c r="CD202" s="512"/>
      <c r="CE202" s="512"/>
      <c r="CF202" s="470">
        <f t="shared" si="381"/>
        <v>862</v>
      </c>
      <c r="CG202" s="495">
        <f t="shared" si="404"/>
        <v>194.51999999999998</v>
      </c>
      <c r="CH202" s="498">
        <f t="shared" si="382"/>
        <v>12.5</v>
      </c>
      <c r="CI202" s="1490">
        <f t="shared" si="374"/>
        <v>320</v>
      </c>
      <c r="CJ202" s="1502">
        <v>1</v>
      </c>
      <c r="CK202" s="495">
        <f t="shared" si="383"/>
        <v>542</v>
      </c>
      <c r="CL202" s="1689">
        <f t="shared" si="384"/>
        <v>542</v>
      </c>
      <c r="CM202" s="1689">
        <f t="shared" si="375"/>
        <v>0</v>
      </c>
      <c r="CN202" s="496">
        <f t="shared" si="385"/>
        <v>0</v>
      </c>
      <c r="CO202" s="497">
        <v>0</v>
      </c>
      <c r="CP202" s="496">
        <f t="shared" si="386"/>
        <v>0</v>
      </c>
      <c r="CQ202" s="496">
        <f t="shared" si="387"/>
        <v>0</v>
      </c>
      <c r="CR202" s="496">
        <f t="shared" si="388"/>
        <v>1084</v>
      </c>
      <c r="CS202" s="496">
        <f t="shared" si="389"/>
        <v>92.72999999999999</v>
      </c>
      <c r="CT202" s="496">
        <f t="shared" si="390"/>
        <v>6255</v>
      </c>
      <c r="CU202" s="470"/>
      <c r="CV202" s="470"/>
      <c r="CW202" s="470"/>
      <c r="CX202" s="470"/>
      <c r="CY202" s="1149" t="s">
        <v>6823</v>
      </c>
      <c r="CZ202" s="1149" t="s">
        <v>6913</v>
      </c>
      <c r="DA202" s="480"/>
      <c r="DB202" s="1642" t="s">
        <v>6248</v>
      </c>
      <c r="DC202" s="1642"/>
      <c r="DD202" s="1642" t="s">
        <v>6123</v>
      </c>
      <c r="DE202" s="1642" t="s">
        <v>6249</v>
      </c>
      <c r="DF202" s="1642" t="s">
        <v>6250</v>
      </c>
      <c r="DG202" s="1642"/>
      <c r="DH202" s="512"/>
      <c r="DI202" s="512"/>
      <c r="DJ202" s="470"/>
      <c r="DK202" s="470"/>
      <c r="DL202" s="470"/>
      <c r="DM202" s="471"/>
      <c r="DN202" s="471" t="str">
        <f>VLOOKUP(X202,Hoja1!$A$4:$B$10,2,0)</f>
        <v>TÉCNICO SUPERIOR UNIVERSITARIO</v>
      </c>
      <c r="DO202" s="471" t="str">
        <f>VLOOKUP(S202,Hoja1!$D$4:$F$77,3,0)</f>
        <v>TII - III</v>
      </c>
      <c r="DP202" s="1156" t="str">
        <f t="shared" si="391"/>
        <v>0</v>
      </c>
      <c r="DQ202" s="1484">
        <f>IF(T202&lt;&gt;"0",(ROUND(IF(A202="EMPLEADO",eval_formula('CONCEPTOS Y PARAMETROS'!$C$8,NOMINA!V202,AU202+BF202,NOMINA!I202+NOMINA!J202),eval_formula('CONCEPTOS Y PARAMETROS'!$D$8,NOMINA!V202,AU202+BF202,NOMINA!I202+NOMINA!J202)),2))*IF(H202&lt;&gt;"",IF(MONTH(H202)=$BR$8,IF(YEAR(H202)&lt;$BT$7,1,0),0)))</f>
        <v>0</v>
      </c>
      <c r="DR202" s="1801" t="str">
        <f t="shared" si="392"/>
        <v>M</v>
      </c>
      <c r="DS202" s="1801"/>
    </row>
    <row r="203" spans="1:123" s="471" customFormat="1" ht="21.95" customHeight="1" x14ac:dyDescent="0.25">
      <c r="A203" s="508" t="s">
        <v>2846</v>
      </c>
      <c r="B203" s="1314">
        <f t="shared" ca="1" si="471"/>
        <v>160</v>
      </c>
      <c r="C203" s="1148">
        <v>17604568</v>
      </c>
      <c r="D203" s="1149" t="s">
        <v>4842</v>
      </c>
      <c r="E203" s="1135" t="s">
        <v>4622</v>
      </c>
      <c r="F203" s="1150">
        <v>30724</v>
      </c>
      <c r="G203" s="1135" t="s">
        <v>4621</v>
      </c>
      <c r="H203" s="1150">
        <v>43831</v>
      </c>
      <c r="I203" s="1140">
        <f t="shared" si="376"/>
        <v>5</v>
      </c>
      <c r="J203" s="1132">
        <v>0</v>
      </c>
      <c r="K203" s="1140">
        <f t="shared" si="371"/>
        <v>5</v>
      </c>
      <c r="L203" s="1145" t="s">
        <v>5544</v>
      </c>
      <c r="M203" s="1132"/>
      <c r="N203" s="1132"/>
      <c r="O203" s="1002" t="s">
        <v>5262</v>
      </c>
      <c r="P203" s="1132" t="s">
        <v>5395</v>
      </c>
      <c r="Q203" s="1315">
        <v>46121</v>
      </c>
      <c r="R203" s="1327" t="s">
        <v>5262</v>
      </c>
      <c r="S203" s="1146" t="s">
        <v>5468</v>
      </c>
      <c r="T203" s="1107">
        <f>IFERROR(VLOOKUP(S203,'TAB EMP'!A:B,2,0),0)</f>
        <v>219</v>
      </c>
      <c r="U203" s="1108">
        <v>0</v>
      </c>
      <c r="V203" s="1107">
        <f t="shared" si="393"/>
        <v>219</v>
      </c>
      <c r="W203" s="1108">
        <f t="shared" si="394"/>
        <v>109.5</v>
      </c>
      <c r="X203" s="1135" t="s">
        <v>2844</v>
      </c>
      <c r="Y203" s="1135"/>
      <c r="Z203" s="1135">
        <v>2</v>
      </c>
      <c r="AA203" s="1107">
        <f>ROUND(IF(H203&lt;&gt;"",VLOOKUP(SUM(I203+J203),'CONCEPTOS Y PARAMETROS'!F:G,2,0)*V203,0),2)</f>
        <v>10.95</v>
      </c>
      <c r="AB203" s="1107">
        <f>IF(S203&lt;&gt;"",IF(M203="",'CONCEPTOS Y PARAMETROS'!$C$4,0),0)</f>
        <v>130</v>
      </c>
      <c r="AC203" s="1107">
        <f>IF(S203&lt;&gt;"",IF(M203="",'CONCEPTOS Y PARAMETROS'!$C$7*Z203,0),0)</f>
        <v>25</v>
      </c>
      <c r="AD203" s="1107">
        <f>IFERROR(ROUND(VLOOKUP($X203,'CONCEPTOS Y PARAMETROS'!H:I,2,0)*($V203+AA203+AB203+AC203),2),0)</f>
        <v>76.989999999999995</v>
      </c>
      <c r="AE203" s="1107">
        <f t="shared" si="369"/>
        <v>242.94</v>
      </c>
      <c r="AF203" s="1107">
        <f t="shared" si="395"/>
        <v>5.48</v>
      </c>
      <c r="AG203" s="1107">
        <f t="shared" si="396"/>
        <v>5.47</v>
      </c>
      <c r="AH203" s="1107">
        <f t="shared" si="397"/>
        <v>65</v>
      </c>
      <c r="AI203" s="1107">
        <f t="shared" si="398"/>
        <v>65</v>
      </c>
      <c r="AJ203" s="1107">
        <f t="shared" si="399"/>
        <v>38.5</v>
      </c>
      <c r="AK203" s="1107">
        <f t="shared" si="400"/>
        <v>38.49</v>
      </c>
      <c r="AL203" s="1108">
        <f t="shared" si="401"/>
        <v>133.97999999999999</v>
      </c>
      <c r="AM203" s="1108">
        <f t="shared" si="402"/>
        <v>108.96</v>
      </c>
      <c r="AN203" s="1453">
        <v>2</v>
      </c>
      <c r="AO203" s="1147">
        <f>'CONCEPTOS Y PARAMETROS'!$C$18*AN203</f>
        <v>25</v>
      </c>
      <c r="AP203" s="990">
        <v>0</v>
      </c>
      <c r="AQ203" s="1147">
        <f>'CONCEPTOS Y PARAMETROS'!$C$21*AP203</f>
        <v>0</v>
      </c>
      <c r="AR203" s="1318">
        <v>0</v>
      </c>
      <c r="AS203" s="1318">
        <v>0</v>
      </c>
      <c r="AT203" s="1318">
        <f t="shared" si="472"/>
        <v>25</v>
      </c>
      <c r="AU203" s="1108">
        <f t="shared" si="372"/>
        <v>461.94</v>
      </c>
      <c r="AV203" s="1133">
        <v>0</v>
      </c>
      <c r="AW203" s="1108">
        <f t="shared" si="473"/>
        <v>0</v>
      </c>
      <c r="AX203" s="1107">
        <f>IF(T203&lt;&gt;"0",(ROUND(IF(A203="EMPLEADO",eval_formula('CONCEPTOS Y PARAMETROS'!$C$8,NOMINA!V203,NOMINA!$AU203,NOMINA!I203+NOMINA!J203),eval_formula('CONCEPTOS Y PARAMETROS'!$D$8,NOMINA!V203,NOMINA!$AU203,NOMINA!I203+NOMINA!J203)),2))*IF(H203&lt;&gt;"",IF(MONTH(H203)=$BR$8,IF(YEAR(H203)&lt;$BT$7,1,0),0)))</f>
        <v>0</v>
      </c>
      <c r="AY203" s="1108">
        <v>180</v>
      </c>
      <c r="AZ203" s="1107">
        <f>IFERROR(VLOOKUP(AY203,'CONCEPTOS Y PARAMETROS'!Y:Z,2,0),0)</f>
        <v>150</v>
      </c>
      <c r="BA203" s="1107">
        <f t="shared" si="403"/>
        <v>3464.55</v>
      </c>
      <c r="BB203" s="1107">
        <f t="shared" si="405"/>
        <v>0</v>
      </c>
      <c r="BC203" s="990">
        <v>0</v>
      </c>
      <c r="BD203" s="1107" t="str">
        <f t="shared" si="373"/>
        <v>0</v>
      </c>
      <c r="BE203" s="990">
        <v>1</v>
      </c>
      <c r="BF203" s="1107">
        <f t="shared" si="436"/>
        <v>23.1</v>
      </c>
      <c r="BG203" s="1108">
        <v>320</v>
      </c>
      <c r="BH203" s="1108">
        <v>0</v>
      </c>
      <c r="BI203" s="1132">
        <v>0</v>
      </c>
      <c r="BJ203" s="1108">
        <v>12.5</v>
      </c>
      <c r="BK203" s="1108">
        <v>0</v>
      </c>
      <c r="BL203" s="1107">
        <f t="shared" si="437"/>
        <v>21.32</v>
      </c>
      <c r="BM203" s="1107">
        <f t="shared" si="438"/>
        <v>2.67</v>
      </c>
      <c r="BN203" s="1107">
        <f t="shared" si="377"/>
        <v>4.62</v>
      </c>
      <c r="BO203" s="1107">
        <v>0</v>
      </c>
      <c r="BP203" s="1107">
        <v>0</v>
      </c>
      <c r="BQ203" s="1320">
        <f t="shared" si="366"/>
        <v>28.61</v>
      </c>
      <c r="BR203" s="1107">
        <f t="shared" si="439"/>
        <v>47.97</v>
      </c>
      <c r="BS203" s="1107">
        <f t="shared" si="440"/>
        <v>10.66</v>
      </c>
      <c r="BT203" s="1107">
        <f t="shared" si="378"/>
        <v>9.24</v>
      </c>
      <c r="BU203" s="1107">
        <v>0</v>
      </c>
      <c r="BV203" s="1108">
        <f t="shared" si="367"/>
        <v>67.87</v>
      </c>
      <c r="BW203" s="1112">
        <f t="shared" si="368"/>
        <v>96.48</v>
      </c>
      <c r="BX203" s="1112">
        <f t="shared" si="435"/>
        <v>866.14</v>
      </c>
      <c r="BY203" s="1108">
        <v>0</v>
      </c>
      <c r="BZ203" s="1108">
        <f t="shared" si="365"/>
        <v>866.14</v>
      </c>
      <c r="CA203" s="1321">
        <f>'CONCEPTOS Y PARAMETROS'!$A$102</f>
        <v>6255</v>
      </c>
      <c r="CB203" s="1112">
        <f t="shared" si="379"/>
        <v>214.87</v>
      </c>
      <c r="CC203" s="1113">
        <f t="shared" si="380"/>
        <v>599.05999999999995</v>
      </c>
      <c r="CD203" s="512"/>
      <c r="CE203" s="512"/>
      <c r="CF203" s="470">
        <f t="shared" si="381"/>
        <v>858.46</v>
      </c>
      <c r="CG203" s="495">
        <f t="shared" si="404"/>
        <v>214.87</v>
      </c>
      <c r="CH203" s="498">
        <f t="shared" si="382"/>
        <v>37.5</v>
      </c>
      <c r="CI203" s="1490">
        <f t="shared" si="374"/>
        <v>320</v>
      </c>
      <c r="CJ203" s="1502">
        <v>1</v>
      </c>
      <c r="CK203" s="495">
        <f t="shared" si="383"/>
        <v>538.46</v>
      </c>
      <c r="CL203" s="1689">
        <f t="shared" si="384"/>
        <v>538.46</v>
      </c>
      <c r="CM203" s="1689">
        <f t="shared" si="375"/>
        <v>0</v>
      </c>
      <c r="CN203" s="496">
        <f t="shared" si="385"/>
        <v>23.1</v>
      </c>
      <c r="CO203" s="497">
        <v>0</v>
      </c>
      <c r="CP203" s="496">
        <f t="shared" si="386"/>
        <v>0</v>
      </c>
      <c r="CQ203" s="496">
        <f t="shared" si="387"/>
        <v>0</v>
      </c>
      <c r="CR203" s="496">
        <f t="shared" si="388"/>
        <v>1100.02</v>
      </c>
      <c r="CS203" s="496">
        <f t="shared" si="389"/>
        <v>96.48</v>
      </c>
      <c r="CT203" s="496">
        <f t="shared" si="390"/>
        <v>6255</v>
      </c>
      <c r="CU203" s="470"/>
      <c r="CV203" s="470"/>
      <c r="CW203" s="470"/>
      <c r="CX203" s="470"/>
      <c r="CY203" s="1149" t="s">
        <v>6914</v>
      </c>
      <c r="CZ203" s="1149" t="s">
        <v>6915</v>
      </c>
      <c r="DA203" s="480"/>
      <c r="DB203" s="1642" t="s">
        <v>6411</v>
      </c>
      <c r="DC203" s="1642"/>
      <c r="DD203" s="1642" t="s">
        <v>6135</v>
      </c>
      <c r="DE203" s="1642" t="s">
        <v>6162</v>
      </c>
      <c r="DF203" s="1642" t="s">
        <v>6524</v>
      </c>
      <c r="DG203" s="1152"/>
      <c r="DH203" s="512"/>
      <c r="DI203" s="512"/>
      <c r="DJ203" s="470"/>
      <c r="DK203" s="470"/>
      <c r="DL203" s="470"/>
      <c r="DN203" s="471" t="str">
        <f>VLOOKUP(X203,Hoja1!$A$4:$B$10,2,0)</f>
        <v>TÉCNICO SUPERIOR UNIVERSITARIO</v>
      </c>
      <c r="DO203" s="471" t="str">
        <f>VLOOKUP(S203,Hoja1!$D$4:$F$77,3,0)</f>
        <v>TII - II</v>
      </c>
      <c r="DP203" s="1156" t="str">
        <f t="shared" si="391"/>
        <v>0</v>
      </c>
      <c r="DQ203" s="1484">
        <f>IF(T203&lt;&gt;"0",(ROUND(IF(A203="EMPLEADO",eval_formula('CONCEPTOS Y PARAMETROS'!$C$8,NOMINA!V203,AU203+BF203,NOMINA!I203+NOMINA!J203),eval_formula('CONCEPTOS Y PARAMETROS'!$D$8,NOMINA!V203,AU203+BF203,NOMINA!I203+NOMINA!J203)),2))*IF(H203&lt;&gt;"",IF(MONTH(H203)=$BR$8,IF(YEAR(H203)&lt;$BT$7,1,0),0)))</f>
        <v>0</v>
      </c>
      <c r="DR203" s="1801" t="str">
        <f t="shared" si="392"/>
        <v>M</v>
      </c>
      <c r="DS203" s="1801"/>
    </row>
    <row r="204" spans="1:123" s="476" customFormat="1" ht="21.95" customHeight="1" x14ac:dyDescent="0.25">
      <c r="A204" s="508" t="s">
        <v>2846</v>
      </c>
      <c r="B204" s="1314">
        <f t="shared" ca="1" si="471"/>
        <v>161</v>
      </c>
      <c r="C204" s="1148">
        <v>17605222</v>
      </c>
      <c r="D204" s="1149" t="s">
        <v>4843</v>
      </c>
      <c r="E204" s="1135" t="s">
        <v>4622</v>
      </c>
      <c r="F204" s="1150">
        <v>31346</v>
      </c>
      <c r="G204" s="1135" t="s">
        <v>4620</v>
      </c>
      <c r="H204" s="1150">
        <v>42737</v>
      </c>
      <c r="I204" s="1140">
        <f t="shared" si="376"/>
        <v>8</v>
      </c>
      <c r="J204" s="1132">
        <v>0</v>
      </c>
      <c r="K204" s="1140">
        <f t="shared" si="371"/>
        <v>8</v>
      </c>
      <c r="L204" s="1145" t="s">
        <v>5528</v>
      </c>
      <c r="M204" s="1132"/>
      <c r="N204" s="1132"/>
      <c r="O204" s="1002" t="s">
        <v>5217</v>
      </c>
      <c r="P204" s="1132" t="s">
        <v>5396</v>
      </c>
      <c r="Q204" s="1315" t="str">
        <f>IFERROR(VLOOKUP(O204,CARGOS!A:E,2,0),"")</f>
        <v>79512</v>
      </c>
      <c r="R204" s="1327" t="s">
        <v>5217</v>
      </c>
      <c r="S204" s="1146" t="s">
        <v>5478</v>
      </c>
      <c r="T204" s="1107">
        <f>IFERROR(VLOOKUP(S204,'TAB EMP'!A:B,2,0),0)</f>
        <v>221</v>
      </c>
      <c r="U204" s="1108">
        <v>0</v>
      </c>
      <c r="V204" s="1107">
        <f t="shared" si="393"/>
        <v>221</v>
      </c>
      <c r="W204" s="1108">
        <f t="shared" si="394"/>
        <v>110.5</v>
      </c>
      <c r="X204" s="1135" t="s">
        <v>2885</v>
      </c>
      <c r="Y204" s="1135"/>
      <c r="Z204" s="1135">
        <v>0</v>
      </c>
      <c r="AA204" s="1107">
        <f>ROUND(IF(H204&lt;&gt;"",VLOOKUP(SUM(I204+J204),'CONCEPTOS Y PARAMETROS'!F:G,2,0)*V204,0),2)</f>
        <v>19.010000000000002</v>
      </c>
      <c r="AB204" s="1107">
        <f>IF(S204&lt;&gt;"",IF(M204="",'CONCEPTOS Y PARAMETROS'!$C$4,0),0)</f>
        <v>130</v>
      </c>
      <c r="AC204" s="1107">
        <f>IF(S204&lt;&gt;"",IF(M204="",'CONCEPTOS Y PARAMETROS'!$C$7*Z204,0),0)</f>
        <v>0</v>
      </c>
      <c r="AD204" s="1107">
        <f>IFERROR(ROUND(VLOOKUP($X204,'CONCEPTOS Y PARAMETROS'!H:I,2,0)*($V204+AA204+AB204+AC204),2),0)</f>
        <v>92.5</v>
      </c>
      <c r="AE204" s="1107">
        <f t="shared" si="369"/>
        <v>241.51</v>
      </c>
      <c r="AF204" s="1107">
        <f t="shared" si="395"/>
        <v>9.51</v>
      </c>
      <c r="AG204" s="1107">
        <f t="shared" si="396"/>
        <v>9.5</v>
      </c>
      <c r="AH204" s="1107">
        <f t="shared" si="397"/>
        <v>65</v>
      </c>
      <c r="AI204" s="1107">
        <f t="shared" si="398"/>
        <v>65</v>
      </c>
      <c r="AJ204" s="1107">
        <f t="shared" si="399"/>
        <v>46.25</v>
      </c>
      <c r="AK204" s="1107">
        <f t="shared" si="400"/>
        <v>46.25</v>
      </c>
      <c r="AL204" s="1108">
        <f t="shared" si="401"/>
        <v>120.76</v>
      </c>
      <c r="AM204" s="1108">
        <f t="shared" si="402"/>
        <v>120.75</v>
      </c>
      <c r="AN204" s="990">
        <v>0</v>
      </c>
      <c r="AO204" s="1147">
        <f>'CONCEPTOS Y PARAMETROS'!$C$18*AN204</f>
        <v>0</v>
      </c>
      <c r="AP204" s="990">
        <v>0</v>
      </c>
      <c r="AQ204" s="1147">
        <f>'CONCEPTOS Y PARAMETROS'!$C$21*AP204</f>
        <v>0</v>
      </c>
      <c r="AR204" s="1318">
        <v>0</v>
      </c>
      <c r="AS204" s="1318">
        <v>0</v>
      </c>
      <c r="AT204" s="1318">
        <f t="shared" si="472"/>
        <v>0</v>
      </c>
      <c r="AU204" s="1108">
        <f t="shared" si="372"/>
        <v>601.26</v>
      </c>
      <c r="AV204" s="1133" t="s">
        <v>5080</v>
      </c>
      <c r="AW204" s="1108">
        <f t="shared" si="473"/>
        <v>138.75</v>
      </c>
      <c r="AX204" s="1107">
        <f>IF(T204&lt;&gt;"0",(ROUND(IF(A204="EMPLEADO",eval_formula('CONCEPTOS Y PARAMETROS'!$C$8,NOMINA!V204,NOMINA!$AU204,NOMINA!I204+NOMINA!J204),eval_formula('CONCEPTOS Y PARAMETROS'!$D$8,NOMINA!V204,NOMINA!$AU204,NOMINA!I204+NOMINA!J204)),2))*IF(H204&lt;&gt;"",IF(MONTH(H204)=$BR$8,IF(YEAR(H204)&lt;$BT$7,1,0),0)))</f>
        <v>0</v>
      </c>
      <c r="AY204" s="1108">
        <v>180</v>
      </c>
      <c r="AZ204" s="1107">
        <f>IFERROR(VLOOKUP(AY204,'CONCEPTOS Y PARAMETROS'!Y:Z,2,0),0)</f>
        <v>150</v>
      </c>
      <c r="BA204" s="1107">
        <f t="shared" si="403"/>
        <v>4509.45</v>
      </c>
      <c r="BB204" s="1107">
        <f t="shared" si="405"/>
        <v>0</v>
      </c>
      <c r="BC204" s="990">
        <v>0</v>
      </c>
      <c r="BD204" s="1107" t="str">
        <f t="shared" si="373"/>
        <v>0</v>
      </c>
      <c r="BE204" s="990">
        <v>3</v>
      </c>
      <c r="BF204" s="1107">
        <f t="shared" si="436"/>
        <v>90.19</v>
      </c>
      <c r="BG204" s="1108">
        <v>320</v>
      </c>
      <c r="BH204" s="1108">
        <v>0</v>
      </c>
      <c r="BI204" s="1132">
        <v>0</v>
      </c>
      <c r="BJ204" s="1108">
        <v>12.5</v>
      </c>
      <c r="BK204" s="1108">
        <v>0</v>
      </c>
      <c r="BL204" s="1107">
        <f t="shared" si="437"/>
        <v>27.75</v>
      </c>
      <c r="BM204" s="1107">
        <f t="shared" si="438"/>
        <v>3.47</v>
      </c>
      <c r="BN204" s="1107">
        <f t="shared" si="377"/>
        <v>6.01</v>
      </c>
      <c r="BO204" s="1107">
        <v>0</v>
      </c>
      <c r="BP204" s="1107">
        <v>0</v>
      </c>
      <c r="BQ204" s="1320">
        <f t="shared" si="366"/>
        <v>37.229999999999997</v>
      </c>
      <c r="BR204" s="1107">
        <f t="shared" si="439"/>
        <v>62.44</v>
      </c>
      <c r="BS204" s="1107">
        <f t="shared" si="440"/>
        <v>13.88</v>
      </c>
      <c r="BT204" s="1107">
        <f t="shared" si="378"/>
        <v>12.02</v>
      </c>
      <c r="BU204" s="1107">
        <v>0</v>
      </c>
      <c r="BV204" s="1108">
        <f t="shared" si="367"/>
        <v>88.34</v>
      </c>
      <c r="BW204" s="1112">
        <f t="shared" si="368"/>
        <v>125.57</v>
      </c>
      <c r="BX204" s="1112">
        <f t="shared" si="435"/>
        <v>1127.3599999999999</v>
      </c>
      <c r="BY204" s="1108">
        <v>0</v>
      </c>
      <c r="BZ204" s="1108">
        <f t="shared" si="365"/>
        <v>1127.3599999999999</v>
      </c>
      <c r="CA204" s="1321">
        <f>'CONCEPTOS Y PARAMETROS'!$A$102</f>
        <v>6255</v>
      </c>
      <c r="CB204" s="1112">
        <f t="shared" si="379"/>
        <v>194.03</v>
      </c>
      <c r="CC204" s="1113">
        <f t="shared" si="380"/>
        <v>792.69</v>
      </c>
      <c r="CD204" s="512"/>
      <c r="CE204" s="512"/>
      <c r="CF204" s="470">
        <f t="shared" si="381"/>
        <v>871.25</v>
      </c>
      <c r="CG204" s="509">
        <f t="shared" si="404"/>
        <v>194.03</v>
      </c>
      <c r="CH204" s="498">
        <f t="shared" si="382"/>
        <v>12.5</v>
      </c>
      <c r="CI204" s="1491">
        <f t="shared" si="374"/>
        <v>320</v>
      </c>
      <c r="CJ204" s="1502">
        <v>1</v>
      </c>
      <c r="CK204" s="509">
        <f t="shared" si="383"/>
        <v>551.25</v>
      </c>
      <c r="CL204" s="1689">
        <f t="shared" si="384"/>
        <v>551.25</v>
      </c>
      <c r="CM204" s="1689">
        <f t="shared" si="375"/>
        <v>0</v>
      </c>
      <c r="CN204" s="510">
        <f t="shared" si="385"/>
        <v>90.19</v>
      </c>
      <c r="CO204" s="511">
        <v>0</v>
      </c>
      <c r="CP204" s="510">
        <f t="shared" si="386"/>
        <v>138.75</v>
      </c>
      <c r="CQ204" s="510">
        <f t="shared" si="387"/>
        <v>0</v>
      </c>
      <c r="CR204" s="496">
        <f t="shared" si="388"/>
        <v>1331.44</v>
      </c>
      <c r="CS204" s="510">
        <f t="shared" si="389"/>
        <v>125.57</v>
      </c>
      <c r="CT204" s="510">
        <f t="shared" si="390"/>
        <v>6255</v>
      </c>
      <c r="CU204" s="470"/>
      <c r="CV204" s="470"/>
      <c r="CW204" s="470"/>
      <c r="CX204" s="470"/>
      <c r="CY204" s="1149" t="s">
        <v>6809</v>
      </c>
      <c r="CZ204" s="1149" t="s">
        <v>6916</v>
      </c>
      <c r="DA204" s="1152"/>
      <c r="DB204" s="1642" t="s">
        <v>6274</v>
      </c>
      <c r="DC204" s="1642"/>
      <c r="DD204" s="1642" t="s">
        <v>6158</v>
      </c>
      <c r="DE204" s="1642" t="s">
        <v>6147</v>
      </c>
      <c r="DF204" s="1642" t="s">
        <v>6520</v>
      </c>
      <c r="DG204" s="1642"/>
      <c r="DH204" s="512"/>
      <c r="DI204" s="512"/>
      <c r="DJ204" s="512"/>
      <c r="DK204" s="512"/>
      <c r="DL204" s="512"/>
      <c r="DN204" s="476" t="str">
        <f>VLOOKUP(X204,Hoja1!$A$4:$B$10,2,0)</f>
        <v>PROFESIONAL</v>
      </c>
      <c r="DO204" s="476" t="str">
        <f>VLOOKUP(S204,Hoja1!$D$4:$F$77,3,0)</f>
        <v>TII - III</v>
      </c>
      <c r="DP204" s="1158" t="str">
        <f t="shared" si="391"/>
        <v>SI</v>
      </c>
      <c r="DQ204" s="1484">
        <f>IF(T204&lt;&gt;"0",(ROUND(IF(A204="EMPLEADO",eval_formula('CONCEPTOS Y PARAMETROS'!$C$8,NOMINA!V204,AU204+BF204,NOMINA!I204+NOMINA!J204),eval_formula('CONCEPTOS Y PARAMETROS'!$D$8,NOMINA!V204,AU204+BF204,NOMINA!I204+NOMINA!J204)),2))*IF(H204&lt;&gt;"",IF(MONTH(H204)=$BR$8,IF(YEAR(H204)&lt;$BT$7,1,0),0)))</f>
        <v>0</v>
      </c>
      <c r="DR204" s="1799" t="str">
        <f t="shared" si="392"/>
        <v>F</v>
      </c>
      <c r="DS204" s="1799"/>
    </row>
    <row r="205" spans="1:123" s="476" customFormat="1" ht="21.95" customHeight="1" x14ac:dyDescent="0.25">
      <c r="A205" s="508" t="s">
        <v>2846</v>
      </c>
      <c r="B205" s="1314">
        <f t="shared" ca="1" si="471"/>
        <v>162</v>
      </c>
      <c r="C205" s="1148">
        <v>17605492</v>
      </c>
      <c r="D205" s="1149" t="s">
        <v>4844</v>
      </c>
      <c r="E205" s="1135" t="s">
        <v>4622</v>
      </c>
      <c r="F205" s="1150">
        <v>31887</v>
      </c>
      <c r="G205" s="1135" t="s">
        <v>4620</v>
      </c>
      <c r="H205" s="1150">
        <v>43967</v>
      </c>
      <c r="I205" s="1140">
        <f t="shared" si="376"/>
        <v>5</v>
      </c>
      <c r="J205" s="1132">
        <v>0</v>
      </c>
      <c r="K205" s="1140">
        <f t="shared" si="371"/>
        <v>5</v>
      </c>
      <c r="L205" s="1145" t="s">
        <v>5538</v>
      </c>
      <c r="M205" s="1132"/>
      <c r="N205" s="1132"/>
      <c r="O205" s="1002" t="s">
        <v>7271</v>
      </c>
      <c r="P205" s="1132" t="s">
        <v>5397</v>
      </c>
      <c r="Q205" s="1315" t="str">
        <f>IFERROR(VLOOKUP(O205,CARGOS!A:E,2,0),"")</f>
        <v>12115</v>
      </c>
      <c r="R205" s="1327" t="s">
        <v>7271</v>
      </c>
      <c r="S205" s="1146" t="s">
        <v>5467</v>
      </c>
      <c r="T205" s="1107">
        <f>IFERROR(VLOOKUP(S205,'TAB EMP'!A:B,2,0),0)</f>
        <v>277</v>
      </c>
      <c r="U205" s="1108">
        <v>0</v>
      </c>
      <c r="V205" s="1107">
        <f t="shared" si="393"/>
        <v>277</v>
      </c>
      <c r="W205" s="1108">
        <f t="shared" si="394"/>
        <v>138.5</v>
      </c>
      <c r="X205" s="1135" t="s">
        <v>2885</v>
      </c>
      <c r="Y205" s="1135"/>
      <c r="Z205" s="1135">
        <v>0</v>
      </c>
      <c r="AA205" s="1107">
        <f>ROUND(IF(H205&lt;&gt;"",VLOOKUP(SUM(I205+J205),'CONCEPTOS Y PARAMETROS'!F:G,2,0)*V205,0),2)</f>
        <v>13.85</v>
      </c>
      <c r="AB205" s="1107">
        <f>IF(S205&lt;&gt;"",IF(M205="",'CONCEPTOS Y PARAMETROS'!$C$4,0),0)</f>
        <v>130</v>
      </c>
      <c r="AC205" s="1107">
        <f>IF(S205&lt;&gt;"",IF(M205="",'CONCEPTOS Y PARAMETROS'!$C$7*Z205,0),0)</f>
        <v>0</v>
      </c>
      <c r="AD205" s="1107">
        <f>IFERROR(ROUND(VLOOKUP($X205,'CONCEPTOS Y PARAMETROS'!H:I,2,0)*($V205+AA205+AB205+AC205),2),0)</f>
        <v>105.21</v>
      </c>
      <c r="AE205" s="1107">
        <f t="shared" si="369"/>
        <v>249.06</v>
      </c>
      <c r="AF205" s="1107">
        <f t="shared" si="395"/>
        <v>6.93</v>
      </c>
      <c r="AG205" s="1107">
        <f t="shared" si="396"/>
        <v>6.92</v>
      </c>
      <c r="AH205" s="1107">
        <f t="shared" si="397"/>
        <v>65</v>
      </c>
      <c r="AI205" s="1107">
        <f t="shared" si="398"/>
        <v>65</v>
      </c>
      <c r="AJ205" s="1107">
        <f t="shared" si="399"/>
        <v>52.61</v>
      </c>
      <c r="AK205" s="1107">
        <f t="shared" si="400"/>
        <v>52.6</v>
      </c>
      <c r="AL205" s="1108">
        <f t="shared" si="401"/>
        <v>124.54</v>
      </c>
      <c r="AM205" s="1108">
        <f t="shared" si="402"/>
        <v>124.52</v>
      </c>
      <c r="AN205" s="990">
        <v>0</v>
      </c>
      <c r="AO205" s="1147">
        <f>'CONCEPTOS Y PARAMETROS'!$C$18*AN205</f>
        <v>0</v>
      </c>
      <c r="AP205" s="990">
        <v>0</v>
      </c>
      <c r="AQ205" s="1147">
        <f>'CONCEPTOS Y PARAMETROS'!$C$21*AP205</f>
        <v>0</v>
      </c>
      <c r="AR205" s="1318">
        <v>0</v>
      </c>
      <c r="AS205" s="1318">
        <v>0</v>
      </c>
      <c r="AT205" s="1318">
        <f t="shared" si="472"/>
        <v>0</v>
      </c>
      <c r="AU205" s="1108">
        <f t="shared" si="372"/>
        <v>526.05999999999995</v>
      </c>
      <c r="AV205" s="1133">
        <v>0</v>
      </c>
      <c r="AW205" s="1108">
        <f t="shared" si="473"/>
        <v>0</v>
      </c>
      <c r="AX205" s="1107">
        <f>IF(T205&lt;&gt;"0",(ROUND(IF(A205="EMPLEADO",eval_formula('CONCEPTOS Y PARAMETROS'!$C$8,NOMINA!V205,NOMINA!$AU205,NOMINA!I205+NOMINA!J205),eval_formula('CONCEPTOS Y PARAMETROS'!$D$8,NOMINA!V205,NOMINA!$AU205,NOMINA!I205+NOMINA!J205)),2))*IF(H205&lt;&gt;"",IF(MONTH(H205)=$BR$8,IF(YEAR(H205)&lt;$BT$7,1,0),0)))</f>
        <v>0</v>
      </c>
      <c r="AY205" s="1108">
        <v>180</v>
      </c>
      <c r="AZ205" s="1107">
        <f>IFERROR(VLOOKUP(AY205,'CONCEPTOS Y PARAMETROS'!Y:Z,2,0),0)</f>
        <v>150</v>
      </c>
      <c r="BA205" s="1107">
        <f t="shared" si="403"/>
        <v>3945.45</v>
      </c>
      <c r="BB205" s="1107">
        <f t="shared" si="405"/>
        <v>0</v>
      </c>
      <c r="BC205" s="990">
        <v>0</v>
      </c>
      <c r="BD205" s="1107" t="str">
        <f t="shared" si="373"/>
        <v>0</v>
      </c>
      <c r="BE205" s="990">
        <v>0</v>
      </c>
      <c r="BF205" s="1107">
        <f t="shared" si="436"/>
        <v>0</v>
      </c>
      <c r="BG205" s="1108">
        <v>320</v>
      </c>
      <c r="BH205" s="1108">
        <v>0</v>
      </c>
      <c r="BI205" s="1132">
        <v>0</v>
      </c>
      <c r="BJ205" s="1108">
        <v>12.5</v>
      </c>
      <c r="BK205" s="1108">
        <v>0</v>
      </c>
      <c r="BL205" s="1107">
        <f t="shared" si="437"/>
        <v>24.28</v>
      </c>
      <c r="BM205" s="1107">
        <f t="shared" si="438"/>
        <v>3.03</v>
      </c>
      <c r="BN205" s="1107">
        <f t="shared" si="377"/>
        <v>5.26</v>
      </c>
      <c r="BO205" s="1107">
        <v>0</v>
      </c>
      <c r="BP205" s="1107">
        <v>0</v>
      </c>
      <c r="BQ205" s="1320">
        <f t="shared" si="366"/>
        <v>32.57</v>
      </c>
      <c r="BR205" s="1107">
        <f t="shared" si="439"/>
        <v>54.63</v>
      </c>
      <c r="BS205" s="1107">
        <f t="shared" si="440"/>
        <v>12.14</v>
      </c>
      <c r="BT205" s="1107">
        <f t="shared" si="378"/>
        <v>10.52</v>
      </c>
      <c r="BU205" s="1107">
        <v>0</v>
      </c>
      <c r="BV205" s="1108">
        <f t="shared" si="367"/>
        <v>77.290000000000006</v>
      </c>
      <c r="BW205" s="1112">
        <f t="shared" si="368"/>
        <v>109.86000000000001</v>
      </c>
      <c r="BX205" s="1112">
        <f t="shared" si="435"/>
        <v>986.36</v>
      </c>
      <c r="BY205" s="1108">
        <v>0</v>
      </c>
      <c r="BZ205" s="1108">
        <f t="shared" si="365"/>
        <v>986.36</v>
      </c>
      <c r="CA205" s="1321">
        <f>'CONCEPTOS Y PARAMETROS'!$A$102</f>
        <v>6255</v>
      </c>
      <c r="CB205" s="1112">
        <f t="shared" si="379"/>
        <v>230.47000000000003</v>
      </c>
      <c r="CC205" s="1113">
        <f t="shared" si="380"/>
        <v>595.52</v>
      </c>
      <c r="CD205" s="512"/>
      <c r="CE205" s="512"/>
      <c r="CF205" s="470">
        <f t="shared" si="381"/>
        <v>903.02</v>
      </c>
      <c r="CG205" s="509">
        <f t="shared" si="404"/>
        <v>230.47000000000003</v>
      </c>
      <c r="CH205" s="1603">
        <f t="shared" si="382"/>
        <v>12.5</v>
      </c>
      <c r="CI205" s="1491">
        <f t="shared" si="374"/>
        <v>320</v>
      </c>
      <c r="CJ205" s="1502">
        <v>1</v>
      </c>
      <c r="CK205" s="509">
        <f t="shared" si="383"/>
        <v>583.02</v>
      </c>
      <c r="CL205" s="1689">
        <f t="shared" si="384"/>
        <v>583.02</v>
      </c>
      <c r="CM205" s="1689">
        <f t="shared" si="375"/>
        <v>0</v>
      </c>
      <c r="CN205" s="510">
        <f t="shared" si="385"/>
        <v>0</v>
      </c>
      <c r="CO205" s="511">
        <v>0</v>
      </c>
      <c r="CP205" s="510">
        <f t="shared" si="386"/>
        <v>0</v>
      </c>
      <c r="CQ205" s="510">
        <f t="shared" si="387"/>
        <v>0</v>
      </c>
      <c r="CR205" s="510">
        <f t="shared" si="388"/>
        <v>1166.04</v>
      </c>
      <c r="CS205" s="510">
        <f t="shared" si="389"/>
        <v>109.86000000000001</v>
      </c>
      <c r="CT205" s="510">
        <f t="shared" si="390"/>
        <v>6255</v>
      </c>
      <c r="CU205" s="512"/>
      <c r="CV205" s="512"/>
      <c r="CW205" s="512"/>
      <c r="CX205" s="512"/>
      <c r="CY205" s="1149" t="s">
        <v>6829</v>
      </c>
      <c r="CZ205" s="1149" t="s">
        <v>6917</v>
      </c>
      <c r="DA205" s="1152"/>
      <c r="DB205" s="1642" t="s">
        <v>7415</v>
      </c>
      <c r="DC205" s="1642"/>
      <c r="DD205" s="1642" t="s">
        <v>6135</v>
      </c>
      <c r="DE205" s="1642" t="s">
        <v>6192</v>
      </c>
      <c r="DF205" s="1642" t="s">
        <v>6606</v>
      </c>
      <c r="DG205" s="1642"/>
      <c r="DH205" s="512"/>
      <c r="DI205" s="512"/>
      <c r="DJ205" s="512"/>
      <c r="DK205" s="512"/>
      <c r="DL205" s="512"/>
      <c r="DN205" s="476" t="str">
        <f>VLOOKUP(X205,Hoja1!$A$4:$B$10,2,0)</f>
        <v>PROFESIONAL</v>
      </c>
      <c r="DO205" s="476" t="str">
        <f>VLOOKUP(S205,Hoja1!$D$4:$F$77,3,0)</f>
        <v>PII - II</v>
      </c>
      <c r="DP205" s="1594" t="str">
        <f t="shared" si="391"/>
        <v>0</v>
      </c>
      <c r="DQ205" s="1484">
        <f>IF(T205&lt;&gt;"0",(ROUND(IF(A205="EMPLEADO",eval_formula('CONCEPTOS Y PARAMETROS'!$C$8,NOMINA!V205,AU205+BF205,NOMINA!I205+NOMINA!J205),eval_formula('CONCEPTOS Y PARAMETROS'!$D$8,NOMINA!V205,AU205+BF205,NOMINA!I205+NOMINA!J205)),2))*IF(H205&lt;&gt;"",IF(MONTH(H205)=$BR$8,IF(YEAR(H205)&lt;$BT$7,1,0),0)))</f>
        <v>0</v>
      </c>
      <c r="DR205" s="1799" t="str">
        <f t="shared" si="392"/>
        <v>F</v>
      </c>
      <c r="DS205" s="1799"/>
    </row>
    <row r="206" spans="1:123" s="476" customFormat="1" ht="21.95" customHeight="1" x14ac:dyDescent="0.25">
      <c r="A206" s="508" t="s">
        <v>2846</v>
      </c>
      <c r="B206" s="1314">
        <f t="shared" ca="1" si="471"/>
        <v>163</v>
      </c>
      <c r="C206" s="1148">
        <v>17606237</v>
      </c>
      <c r="D206" s="1149" t="s">
        <v>5758</v>
      </c>
      <c r="E206" s="1135" t="s">
        <v>4622</v>
      </c>
      <c r="F206" s="1150">
        <v>30379</v>
      </c>
      <c r="G206" s="1135" t="s">
        <v>4620</v>
      </c>
      <c r="H206" s="1150">
        <v>40909</v>
      </c>
      <c r="I206" s="1140">
        <f t="shared" si="376"/>
        <v>13</v>
      </c>
      <c r="J206" s="1132">
        <v>0</v>
      </c>
      <c r="K206" s="1140">
        <f t="shared" si="371"/>
        <v>13</v>
      </c>
      <c r="L206" s="1145" t="s">
        <v>5533</v>
      </c>
      <c r="M206" s="1132"/>
      <c r="N206" s="1352" t="s">
        <v>7559</v>
      </c>
      <c r="O206" s="1002" t="s">
        <v>5215</v>
      </c>
      <c r="P206" s="1151" t="s">
        <v>5759</v>
      </c>
      <c r="Q206" s="1315" t="str">
        <f>IFERROR(VLOOKUP(O206,CARGOS!A:E,2,0),"")</f>
        <v>12113</v>
      </c>
      <c r="R206" s="1327" t="s">
        <v>5215</v>
      </c>
      <c r="S206" s="1146" t="s">
        <v>5464</v>
      </c>
      <c r="T206" s="1107">
        <f>IFERROR(VLOOKUP(S206,'TAB EMP'!A:B,2,0),0)</f>
        <v>174</v>
      </c>
      <c r="U206" s="1108">
        <v>0</v>
      </c>
      <c r="V206" s="1107">
        <f t="shared" si="393"/>
        <v>174</v>
      </c>
      <c r="W206" s="1108">
        <f t="shared" si="394"/>
        <v>87</v>
      </c>
      <c r="X206" s="1135" t="s">
        <v>2844</v>
      </c>
      <c r="Y206" s="1135"/>
      <c r="Z206" s="1135">
        <v>1</v>
      </c>
      <c r="AA206" s="1107">
        <f>ROUND(IF(H206&lt;&gt;"",VLOOKUP(SUM(I206+J206),'CONCEPTOS Y PARAMETROS'!F:G,2,0)*V206,0),2)</f>
        <v>26.45</v>
      </c>
      <c r="AB206" s="1107">
        <f>IF(S206&lt;&gt;"",IF(M206="",'CONCEPTOS Y PARAMETROS'!$C$4,0),0)</f>
        <v>130</v>
      </c>
      <c r="AC206" s="1107">
        <f>IF(S206&lt;&gt;"",IF(M206="",'CONCEPTOS Y PARAMETROS'!$C$7*Z206,0),0)</f>
        <v>12.5</v>
      </c>
      <c r="AD206" s="1107">
        <f>IFERROR(ROUND(VLOOKUP($X206,'CONCEPTOS Y PARAMETROS'!H:I,2,0)*($V206+AA206+AB206+AC206),2),0)</f>
        <v>68.59</v>
      </c>
      <c r="AE206" s="1107">
        <f t="shared" si="369"/>
        <v>237.54</v>
      </c>
      <c r="AF206" s="1107">
        <f t="shared" si="395"/>
        <v>13.23</v>
      </c>
      <c r="AG206" s="1107">
        <f t="shared" si="396"/>
        <v>13.22</v>
      </c>
      <c r="AH206" s="1107">
        <f t="shared" si="397"/>
        <v>65</v>
      </c>
      <c r="AI206" s="1107">
        <f t="shared" si="398"/>
        <v>65</v>
      </c>
      <c r="AJ206" s="1107">
        <f t="shared" si="399"/>
        <v>34.299999999999997</v>
      </c>
      <c r="AK206" s="1107">
        <f t="shared" si="400"/>
        <v>34.29</v>
      </c>
      <c r="AL206" s="1108">
        <f t="shared" si="401"/>
        <v>125.03</v>
      </c>
      <c r="AM206" s="1108">
        <f t="shared" si="402"/>
        <v>112.51</v>
      </c>
      <c r="AN206" s="990">
        <v>0</v>
      </c>
      <c r="AO206" s="1147">
        <f>'CONCEPTOS Y PARAMETROS'!$C$18*AN206</f>
        <v>0</v>
      </c>
      <c r="AP206" s="990">
        <v>0</v>
      </c>
      <c r="AQ206" s="1147">
        <f>'CONCEPTOS Y PARAMETROS'!$C$21*AP206</f>
        <v>0</v>
      </c>
      <c r="AR206" s="1318">
        <v>0</v>
      </c>
      <c r="AS206" s="1318">
        <v>0</v>
      </c>
      <c r="AT206" s="1318">
        <f t="shared" ref="AT206" si="505">+AO206+AQ206+AR206+AS206</f>
        <v>0</v>
      </c>
      <c r="AU206" s="1108">
        <f t="shared" si="372"/>
        <v>411.53999999999996</v>
      </c>
      <c r="AV206" s="1133">
        <v>0</v>
      </c>
      <c r="AW206" s="1108">
        <f t="shared" si="473"/>
        <v>0</v>
      </c>
      <c r="AX206" s="1107">
        <f>IF(T206&lt;&gt;"0",(ROUND(IF(A206="EMPLEADO",eval_formula('CONCEPTOS Y PARAMETROS'!$C$8,NOMINA!V206,NOMINA!$AU206,NOMINA!I206+NOMINA!J206),eval_formula('CONCEPTOS Y PARAMETROS'!$D$8,NOMINA!V206,NOMINA!$AU206,NOMINA!I206+NOMINA!J206)),2))*IF(H206&lt;&gt;"",IF(MONTH(H206)=$BR$8,IF(YEAR(H206)&lt;$BT$7,1,0),0)))</f>
        <v>0</v>
      </c>
      <c r="AY206" s="1108">
        <v>180</v>
      </c>
      <c r="AZ206" s="1107">
        <f>IFERROR(VLOOKUP(AY206,'CONCEPTOS Y PARAMETROS'!Y:Z,2,0),0)</f>
        <v>150</v>
      </c>
      <c r="BA206" s="1107">
        <f t="shared" si="403"/>
        <v>3086.55</v>
      </c>
      <c r="BB206" s="1107">
        <f t="shared" ref="BB206:BB211" si="506">ROUND(AU206/30*$BB$10,2)</f>
        <v>0</v>
      </c>
      <c r="BC206" s="990">
        <v>0</v>
      </c>
      <c r="BD206" s="1107" t="str">
        <f t="shared" si="373"/>
        <v>0</v>
      </c>
      <c r="BE206" s="990">
        <v>0</v>
      </c>
      <c r="BF206" s="1107">
        <f t="shared" si="436"/>
        <v>0</v>
      </c>
      <c r="BG206" s="1108">
        <v>320</v>
      </c>
      <c r="BH206" s="1108">
        <v>0</v>
      </c>
      <c r="BI206" s="1132">
        <v>0</v>
      </c>
      <c r="BJ206" s="1108">
        <v>12.5</v>
      </c>
      <c r="BK206" s="1108">
        <v>0</v>
      </c>
      <c r="BL206" s="1107">
        <f t="shared" si="437"/>
        <v>18.989999999999998</v>
      </c>
      <c r="BM206" s="1107">
        <f t="shared" si="438"/>
        <v>2.37</v>
      </c>
      <c r="BN206" s="1107">
        <f t="shared" si="377"/>
        <v>4.12</v>
      </c>
      <c r="BO206" s="1107">
        <v>0</v>
      </c>
      <c r="BP206" s="1107">
        <v>0</v>
      </c>
      <c r="BQ206" s="1320">
        <f t="shared" ref="BQ206" si="507">ROUND(SUM(BL206:BP206),2)</f>
        <v>25.48</v>
      </c>
      <c r="BR206" s="1107">
        <f t="shared" si="439"/>
        <v>42.74</v>
      </c>
      <c r="BS206" s="1107">
        <f t="shared" si="440"/>
        <v>9.5</v>
      </c>
      <c r="BT206" s="1107">
        <f t="shared" si="378"/>
        <v>8.24</v>
      </c>
      <c r="BU206" s="1107">
        <v>0</v>
      </c>
      <c r="BV206" s="1108">
        <f t="shared" ref="BV206" si="508">ROUND(SUM(BR206:BT206),2)</f>
        <v>60.48</v>
      </c>
      <c r="BW206" s="1112">
        <f t="shared" ref="BW206" si="509">BQ206+BV206</f>
        <v>85.96</v>
      </c>
      <c r="BX206" s="1112">
        <f t="shared" si="435"/>
        <v>771.64</v>
      </c>
      <c r="BY206" s="1108">
        <v>0</v>
      </c>
      <c r="BZ206" s="1108">
        <f t="shared" si="365"/>
        <v>771.64</v>
      </c>
      <c r="CA206" s="1321">
        <f>'CONCEPTOS Y PARAMETROS'!$A$102</f>
        <v>6255</v>
      </c>
      <c r="CB206" s="1112">
        <f t="shared" si="379"/>
        <v>186.55</v>
      </c>
      <c r="CC206" s="1113">
        <f t="shared" si="380"/>
        <v>532.01</v>
      </c>
      <c r="CD206" s="512"/>
      <c r="CE206" s="512"/>
      <c r="CF206" s="470">
        <f t="shared" si="381"/>
        <v>839.51</v>
      </c>
      <c r="CG206" s="509">
        <f t="shared" si="404"/>
        <v>186.55</v>
      </c>
      <c r="CH206" s="1603">
        <f t="shared" si="382"/>
        <v>12.5</v>
      </c>
      <c r="CI206" s="1491">
        <f t="shared" si="374"/>
        <v>320</v>
      </c>
      <c r="CJ206" s="1502">
        <v>1</v>
      </c>
      <c r="CK206" s="509">
        <f t="shared" si="383"/>
        <v>519.51</v>
      </c>
      <c r="CL206" s="1689">
        <f t="shared" si="384"/>
        <v>519.51</v>
      </c>
      <c r="CM206" s="1689">
        <f t="shared" si="375"/>
        <v>0</v>
      </c>
      <c r="CN206" s="510">
        <f t="shared" si="385"/>
        <v>0</v>
      </c>
      <c r="CO206" s="511">
        <v>0</v>
      </c>
      <c r="CP206" s="510">
        <f t="shared" si="386"/>
        <v>0</v>
      </c>
      <c r="CQ206" s="510">
        <f t="shared" si="387"/>
        <v>0</v>
      </c>
      <c r="CR206" s="510">
        <f t="shared" si="388"/>
        <v>1039.02</v>
      </c>
      <c r="CS206" s="510">
        <f t="shared" si="389"/>
        <v>85.96</v>
      </c>
      <c r="CT206" s="510">
        <f t="shared" si="390"/>
        <v>6255</v>
      </c>
      <c r="CU206" s="512"/>
      <c r="CV206" s="512"/>
      <c r="CW206" s="512"/>
      <c r="CX206" s="512"/>
      <c r="CY206" s="1149" t="s">
        <v>6918</v>
      </c>
      <c r="CZ206" s="1149" t="s">
        <v>6805</v>
      </c>
      <c r="DA206" s="1152"/>
      <c r="DB206" s="1152" t="s">
        <v>6503</v>
      </c>
      <c r="DC206" s="1152" t="s">
        <v>7549</v>
      </c>
      <c r="DD206" s="1152" t="s">
        <v>6135</v>
      </c>
      <c r="DE206" s="1152" t="s">
        <v>6171</v>
      </c>
      <c r="DF206" s="1152" t="s">
        <v>6234</v>
      </c>
      <c r="DG206" s="1152"/>
      <c r="DH206" s="512"/>
      <c r="DI206" s="512"/>
      <c r="DJ206" s="512"/>
      <c r="DK206" s="512"/>
      <c r="DL206" s="512"/>
      <c r="DN206" s="476" t="str">
        <f>VLOOKUP(X206,Hoja1!$A$4:$B$10,2,0)</f>
        <v>TÉCNICO SUPERIOR UNIVERSITARIO</v>
      </c>
      <c r="DO206" s="476" t="str">
        <f>VLOOKUP(S206,Hoja1!$D$4:$F$77,3,0)</f>
        <v>BIII - V</v>
      </c>
      <c r="DP206" s="1594" t="str">
        <f t="shared" si="391"/>
        <v>0</v>
      </c>
      <c r="DQ206" s="1484">
        <f>IF(T206&lt;&gt;"0",(ROUND(IF(A206="EMPLEADO",eval_formula('CONCEPTOS Y PARAMETROS'!$C$8,NOMINA!V206,AU206+BF206,NOMINA!I206+NOMINA!J206),eval_formula('CONCEPTOS Y PARAMETROS'!$D$8,NOMINA!V206,AU206+BF206,NOMINA!I206+NOMINA!J206)),2))*IF(H206&lt;&gt;"",IF(MONTH(H206)=$BR$8,IF(YEAR(H206)&lt;$BT$7,1,0),0)))</f>
        <v>0</v>
      </c>
      <c r="DR206" s="1799" t="str">
        <f t="shared" si="392"/>
        <v>F</v>
      </c>
      <c r="DS206" s="1799"/>
    </row>
    <row r="207" spans="1:123" s="476" customFormat="1" ht="21.95" customHeight="1" x14ac:dyDescent="0.25">
      <c r="A207" s="508" t="s">
        <v>2846</v>
      </c>
      <c r="B207" s="1314">
        <f t="shared" ca="1" si="471"/>
        <v>164</v>
      </c>
      <c r="C207" s="1148">
        <v>17830972</v>
      </c>
      <c r="D207" s="1149" t="s">
        <v>4847</v>
      </c>
      <c r="E207" s="1135" t="s">
        <v>4622</v>
      </c>
      <c r="F207" s="1150">
        <v>31451</v>
      </c>
      <c r="G207" s="1135" t="s">
        <v>4620</v>
      </c>
      <c r="H207" s="1150">
        <v>44713</v>
      </c>
      <c r="I207" s="1140">
        <f t="shared" si="376"/>
        <v>3</v>
      </c>
      <c r="J207" s="1132">
        <v>0</v>
      </c>
      <c r="K207" s="1140">
        <f t="shared" si="371"/>
        <v>3</v>
      </c>
      <c r="L207" s="1145" t="s">
        <v>5527</v>
      </c>
      <c r="M207" s="1132"/>
      <c r="N207" s="1132"/>
      <c r="O207" s="1002" t="s">
        <v>5243</v>
      </c>
      <c r="P207" s="1132" t="s">
        <v>5398</v>
      </c>
      <c r="Q207" s="1315" t="str">
        <f>IFERROR(VLOOKUP(O207,CARGOS!A:E,2,0),"")</f>
        <v>34234</v>
      </c>
      <c r="R207" s="1327" t="s">
        <v>5243</v>
      </c>
      <c r="S207" s="1146" t="s">
        <v>5467</v>
      </c>
      <c r="T207" s="1107">
        <f>IFERROR(VLOOKUP(S207,'TAB EMP'!A:B,2,0),0)</f>
        <v>277</v>
      </c>
      <c r="U207" s="1108">
        <v>0</v>
      </c>
      <c r="V207" s="1107">
        <f t="shared" si="393"/>
        <v>277</v>
      </c>
      <c r="W207" s="1108">
        <f t="shared" si="394"/>
        <v>138.5</v>
      </c>
      <c r="X207" s="1135" t="s">
        <v>2885</v>
      </c>
      <c r="Y207" s="1135"/>
      <c r="Z207" s="1135">
        <v>0</v>
      </c>
      <c r="AA207" s="1107">
        <f>ROUND(IF(H207&lt;&gt;"",VLOOKUP(SUM(I207+J207),'CONCEPTOS Y PARAMETROS'!F:G,2,0)*V207,0),2)</f>
        <v>8.31</v>
      </c>
      <c r="AB207" s="1107">
        <f>IF(S207&lt;&gt;"",IF(M207="",'CONCEPTOS Y PARAMETROS'!$C$4,0),0)</f>
        <v>130</v>
      </c>
      <c r="AC207" s="1107">
        <f>IF(S207&lt;&gt;"",IF(M207="",'CONCEPTOS Y PARAMETROS'!$C$7*Z207,0),0)</f>
        <v>0</v>
      </c>
      <c r="AD207" s="1107">
        <f>IFERROR(ROUND(VLOOKUP($X207,'CONCEPTOS Y PARAMETROS'!H:I,2,0)*($V207+AA207+AB207+AC207),2),0)</f>
        <v>103.83</v>
      </c>
      <c r="AE207" s="1107">
        <f t="shared" si="369"/>
        <v>242.14</v>
      </c>
      <c r="AF207" s="1107">
        <f t="shared" si="395"/>
        <v>4.16</v>
      </c>
      <c r="AG207" s="1107">
        <f t="shared" si="396"/>
        <v>4.1500000000000004</v>
      </c>
      <c r="AH207" s="1107">
        <f t="shared" si="397"/>
        <v>65</v>
      </c>
      <c r="AI207" s="1107">
        <f t="shared" si="398"/>
        <v>65</v>
      </c>
      <c r="AJ207" s="1107">
        <f t="shared" si="399"/>
        <v>51.92</v>
      </c>
      <c r="AK207" s="1107">
        <f t="shared" si="400"/>
        <v>51.91</v>
      </c>
      <c r="AL207" s="1108">
        <f t="shared" si="401"/>
        <v>121.08</v>
      </c>
      <c r="AM207" s="1108">
        <f t="shared" si="402"/>
        <v>121.06</v>
      </c>
      <c r="AN207" s="990">
        <v>0</v>
      </c>
      <c r="AO207" s="1147">
        <f>'CONCEPTOS Y PARAMETROS'!$C$18*AN207</f>
        <v>0</v>
      </c>
      <c r="AP207" s="990">
        <v>0</v>
      </c>
      <c r="AQ207" s="1147">
        <f>'CONCEPTOS Y PARAMETROS'!$C$21*AP207</f>
        <v>0</v>
      </c>
      <c r="AR207" s="1318">
        <v>0</v>
      </c>
      <c r="AS207" s="1318">
        <v>0</v>
      </c>
      <c r="AT207" s="1318">
        <f t="shared" si="472"/>
        <v>0</v>
      </c>
      <c r="AU207" s="1108">
        <f t="shared" si="372"/>
        <v>519.14</v>
      </c>
      <c r="AV207" s="1133">
        <v>0</v>
      </c>
      <c r="AW207" s="1108">
        <f t="shared" si="473"/>
        <v>0</v>
      </c>
      <c r="AX207" s="1107">
        <f>IF(T207&lt;&gt;"0",(ROUND(IF(A207="EMPLEADO",eval_formula('CONCEPTOS Y PARAMETROS'!$C$8,NOMINA!V207,NOMINA!$AU207,NOMINA!I207+NOMINA!J207),eval_formula('CONCEPTOS Y PARAMETROS'!$D$8,NOMINA!V207,NOMINA!$AU207,NOMINA!I207+NOMINA!J207)),2))*IF(H207&lt;&gt;"",IF(MONTH(H207)=$BR$8,IF(YEAR(H207)&lt;$BT$7,1,0),0)))</f>
        <v>0</v>
      </c>
      <c r="AY207" s="1108">
        <v>180</v>
      </c>
      <c r="AZ207" s="1107">
        <f>IFERROR(VLOOKUP(AY207,'CONCEPTOS Y PARAMETROS'!Y:Z,2,0),0)</f>
        <v>150</v>
      </c>
      <c r="BA207" s="1107">
        <f t="shared" si="403"/>
        <v>3893.55</v>
      </c>
      <c r="BB207" s="1107">
        <f t="shared" si="506"/>
        <v>0</v>
      </c>
      <c r="BC207" s="990">
        <v>0</v>
      </c>
      <c r="BD207" s="1107" t="str">
        <f t="shared" si="373"/>
        <v>0</v>
      </c>
      <c r="BE207" s="990">
        <v>0</v>
      </c>
      <c r="BF207" s="1107">
        <f t="shared" si="436"/>
        <v>0</v>
      </c>
      <c r="BG207" s="1108">
        <v>320</v>
      </c>
      <c r="BH207" s="1108">
        <v>0</v>
      </c>
      <c r="BI207" s="1132">
        <v>0</v>
      </c>
      <c r="BJ207" s="1108">
        <v>12.5</v>
      </c>
      <c r="BK207" s="1108">
        <v>0</v>
      </c>
      <c r="BL207" s="1107">
        <f t="shared" si="437"/>
        <v>23.96</v>
      </c>
      <c r="BM207" s="1107">
        <f t="shared" si="438"/>
        <v>3</v>
      </c>
      <c r="BN207" s="1107">
        <f t="shared" si="377"/>
        <v>5.19</v>
      </c>
      <c r="BO207" s="1107">
        <v>0</v>
      </c>
      <c r="BP207" s="1107">
        <v>0</v>
      </c>
      <c r="BQ207" s="1320">
        <f t="shared" si="366"/>
        <v>32.15</v>
      </c>
      <c r="BR207" s="1107">
        <f t="shared" si="439"/>
        <v>53.91</v>
      </c>
      <c r="BS207" s="1107">
        <f t="shared" si="440"/>
        <v>11.98</v>
      </c>
      <c r="BT207" s="1107">
        <f t="shared" si="378"/>
        <v>10.38</v>
      </c>
      <c r="BU207" s="1107">
        <v>0</v>
      </c>
      <c r="BV207" s="1108">
        <f t="shared" si="367"/>
        <v>76.27</v>
      </c>
      <c r="BW207" s="1112">
        <f t="shared" si="368"/>
        <v>108.41999999999999</v>
      </c>
      <c r="BX207" s="1112">
        <f t="shared" si="435"/>
        <v>973.39</v>
      </c>
      <c r="BY207" s="1108">
        <v>0</v>
      </c>
      <c r="BZ207" s="1108">
        <f t="shared" si="365"/>
        <v>973.39</v>
      </c>
      <c r="CA207" s="1321">
        <f>'CONCEPTOS Y PARAMETROS'!$A$102</f>
        <v>6255</v>
      </c>
      <c r="CB207" s="1112">
        <f t="shared" si="379"/>
        <v>227.42999999999998</v>
      </c>
      <c r="CC207" s="1113">
        <f t="shared" si="380"/>
        <v>592.05999999999995</v>
      </c>
      <c r="CD207" s="512"/>
      <c r="CE207" s="512"/>
      <c r="CF207" s="470">
        <f t="shared" si="381"/>
        <v>899.56</v>
      </c>
      <c r="CG207" s="509">
        <f t="shared" si="404"/>
        <v>227.42999999999998</v>
      </c>
      <c r="CH207" s="1603">
        <f t="shared" si="382"/>
        <v>12.5</v>
      </c>
      <c r="CI207" s="1491">
        <f t="shared" si="374"/>
        <v>320</v>
      </c>
      <c r="CJ207" s="1502">
        <v>1</v>
      </c>
      <c r="CK207" s="509">
        <f t="shared" si="383"/>
        <v>579.55999999999995</v>
      </c>
      <c r="CL207" s="1689">
        <f t="shared" si="384"/>
        <v>579.55999999999995</v>
      </c>
      <c r="CM207" s="1689">
        <f t="shared" si="375"/>
        <v>0</v>
      </c>
      <c r="CN207" s="510">
        <f t="shared" si="385"/>
        <v>0</v>
      </c>
      <c r="CO207" s="511">
        <v>0</v>
      </c>
      <c r="CP207" s="510">
        <f t="shared" si="386"/>
        <v>0</v>
      </c>
      <c r="CQ207" s="510">
        <f t="shared" si="387"/>
        <v>0</v>
      </c>
      <c r="CR207" s="510">
        <f t="shared" si="388"/>
        <v>1159.1199999999999</v>
      </c>
      <c r="CS207" s="510">
        <f t="shared" si="389"/>
        <v>108.41999999999999</v>
      </c>
      <c r="CT207" s="510">
        <f t="shared" si="390"/>
        <v>6255</v>
      </c>
      <c r="CU207" s="512"/>
      <c r="CV207" s="512"/>
      <c r="CW207" s="512"/>
      <c r="CX207" s="512"/>
      <c r="CY207" s="1149" t="s">
        <v>6816</v>
      </c>
      <c r="CZ207" s="1149" t="s">
        <v>6919</v>
      </c>
      <c r="DA207" s="1152"/>
      <c r="DB207" s="1642" t="s">
        <v>6202</v>
      </c>
      <c r="DC207" s="1642"/>
      <c r="DD207" s="1642" t="s">
        <v>6135</v>
      </c>
      <c r="DE207" s="1642" t="s">
        <v>6192</v>
      </c>
      <c r="DF207" s="1642" t="s">
        <v>6606</v>
      </c>
      <c r="DG207" s="1152"/>
      <c r="DH207" s="512"/>
      <c r="DI207" s="512"/>
      <c r="DJ207" s="512"/>
      <c r="DK207" s="512"/>
      <c r="DL207" s="512"/>
      <c r="DN207" s="476" t="str">
        <f>VLOOKUP(X207,Hoja1!$A$4:$B$10,2,0)</f>
        <v>PROFESIONAL</v>
      </c>
      <c r="DO207" s="476" t="str">
        <f>VLOOKUP(S207,Hoja1!$D$4:$F$77,3,0)</f>
        <v>PII - II</v>
      </c>
      <c r="DP207" s="1594" t="str">
        <f t="shared" si="391"/>
        <v>0</v>
      </c>
      <c r="DQ207" s="1484">
        <f>IF(T207&lt;&gt;"0",(ROUND(IF(A207="EMPLEADO",eval_formula('CONCEPTOS Y PARAMETROS'!$C$8,NOMINA!V207,AU207+BF207,NOMINA!I207+NOMINA!J207),eval_formula('CONCEPTOS Y PARAMETROS'!$D$8,NOMINA!V207,AU207+BF207,NOMINA!I207+NOMINA!J207)),2))*IF(H207&lt;&gt;"",IF(MONTH(H207)=$BR$8,IF(YEAR(H207)&lt;$BT$7,1,0),0)))</f>
        <v>0</v>
      </c>
      <c r="DR207" s="1799" t="str">
        <f t="shared" si="392"/>
        <v>F</v>
      </c>
      <c r="DS207" s="1799"/>
    </row>
    <row r="208" spans="1:123" s="476" customFormat="1" ht="21.95" customHeight="1" x14ac:dyDescent="0.2">
      <c r="A208" s="508" t="s">
        <v>2846</v>
      </c>
      <c r="B208" s="1314">
        <f t="shared" ca="1" si="471"/>
        <v>165</v>
      </c>
      <c r="C208" s="1148">
        <v>17831012</v>
      </c>
      <c r="D208" s="1149" t="s">
        <v>6630</v>
      </c>
      <c r="E208" s="1135" t="s">
        <v>4622</v>
      </c>
      <c r="F208" s="1118">
        <v>31437</v>
      </c>
      <c r="G208" s="1135" t="s">
        <v>4621</v>
      </c>
      <c r="H208" s="1118">
        <v>45474</v>
      </c>
      <c r="I208" s="1140">
        <f t="shared" si="376"/>
        <v>1</v>
      </c>
      <c r="J208" s="1132">
        <f>3+2</f>
        <v>5</v>
      </c>
      <c r="K208" s="1140">
        <f t="shared" si="371"/>
        <v>6</v>
      </c>
      <c r="L208" s="1351" t="s">
        <v>5546</v>
      </c>
      <c r="M208" s="1132"/>
      <c r="N208" s="1132"/>
      <c r="O208" s="1002" t="s">
        <v>5218</v>
      </c>
      <c r="P208" s="1151" t="s">
        <v>6631</v>
      </c>
      <c r="Q208" s="1315" t="str">
        <f>IFERROR(VLOOKUP(O208,CARGOS!A:E,2,0),"")</f>
        <v>79511</v>
      </c>
      <c r="R208" s="1327" t="s">
        <v>5218</v>
      </c>
      <c r="S208" s="1146" t="s">
        <v>5480</v>
      </c>
      <c r="T208" s="1107">
        <f>IFERROR(VLOOKUP(S208,'TAB EMP'!A:B,2,0),0)</f>
        <v>170</v>
      </c>
      <c r="U208" s="1108">
        <v>0</v>
      </c>
      <c r="V208" s="1107">
        <f t="shared" ref="V208" si="510">T208-U208</f>
        <v>170</v>
      </c>
      <c r="W208" s="1108">
        <f t="shared" ref="W208" si="511">ROUND(V208/2,2)</f>
        <v>85</v>
      </c>
      <c r="X208" s="1135" t="s">
        <v>2884</v>
      </c>
      <c r="Y208" s="1135"/>
      <c r="Z208" s="1135">
        <v>1</v>
      </c>
      <c r="AA208" s="1107">
        <f>ROUND(IF(H208&lt;&gt;"",VLOOKUP(SUM(I208+J208),'CONCEPTOS Y PARAMETROS'!F:G,2,0)*V208,0),2)</f>
        <v>10.54</v>
      </c>
      <c r="AB208" s="1107">
        <f>IF(S208&lt;&gt;"",IF(M208="",'CONCEPTOS Y PARAMETROS'!$C$4,0),0)</f>
        <v>130</v>
      </c>
      <c r="AC208" s="1107">
        <f>IF(S208&lt;&gt;"",IF(M208="",'CONCEPTOS Y PARAMETROS'!$C$7*Z208,0),0)</f>
        <v>12.5</v>
      </c>
      <c r="AD208" s="1107">
        <f>IFERROR(ROUND(VLOOKUP($X208,'CONCEPTOS Y PARAMETROS'!H:I,2,0)*($V208+AA208+AB208+AC208),2),0)</f>
        <v>0</v>
      </c>
      <c r="AE208" s="1107">
        <f t="shared" ref="AE208" si="512">SUM(AA208:AD208)</f>
        <v>153.04</v>
      </c>
      <c r="AF208" s="1107">
        <f t="shared" ref="AF208" si="513">ROUND(AA208/2,2)</f>
        <v>5.27</v>
      </c>
      <c r="AG208" s="1107">
        <f t="shared" ref="AG208" si="514">ROUND(AA208-AF208,2)</f>
        <v>5.27</v>
      </c>
      <c r="AH208" s="1107">
        <f t="shared" ref="AH208" si="515">ROUND(AB208/2,2)</f>
        <v>65</v>
      </c>
      <c r="AI208" s="1107">
        <f t="shared" ref="AI208" si="516">ROUND(AB208-AH208,2)</f>
        <v>65</v>
      </c>
      <c r="AJ208" s="1107">
        <f t="shared" ref="AJ208" si="517">ROUND(AD208/2,2)</f>
        <v>0</v>
      </c>
      <c r="AK208" s="1107">
        <f t="shared" ref="AK208" si="518">ROUND(AD208-AJ208,2)</f>
        <v>0</v>
      </c>
      <c r="AL208" s="1108">
        <f t="shared" ref="AL208" si="519">ROUND(AF208+AH208+AJ208+AC208,2)</f>
        <v>82.77</v>
      </c>
      <c r="AM208" s="1108">
        <f t="shared" ref="AM208" si="520">ROUND(AG208+AI208+AK208,2)</f>
        <v>70.27</v>
      </c>
      <c r="AN208" s="990">
        <v>1</v>
      </c>
      <c r="AO208" s="1147">
        <f>'CONCEPTOS Y PARAMETROS'!$C$18*AN208</f>
        <v>12.5</v>
      </c>
      <c r="AP208" s="990">
        <v>0</v>
      </c>
      <c r="AQ208" s="1147">
        <f>'CONCEPTOS Y PARAMETROS'!$C$21*AP208</f>
        <v>0</v>
      </c>
      <c r="AR208" s="1318">
        <v>0</v>
      </c>
      <c r="AS208" s="1318">
        <v>0</v>
      </c>
      <c r="AT208" s="1318">
        <f t="shared" si="472"/>
        <v>12.5</v>
      </c>
      <c r="AU208" s="1108">
        <f t="shared" si="372"/>
        <v>419.94999999999993</v>
      </c>
      <c r="AV208" s="1133" t="s">
        <v>5080</v>
      </c>
      <c r="AW208" s="1108">
        <f t="shared" si="473"/>
        <v>96.91</v>
      </c>
      <c r="AX208" s="1107">
        <f>IF(T208&lt;&gt;"0",(ROUND(IF(A208="EMPLEADO",eval_formula('CONCEPTOS Y PARAMETROS'!$C$8,NOMINA!V208,NOMINA!$AU208,NOMINA!I208+NOMINA!J208),eval_formula('CONCEPTOS Y PARAMETROS'!$D$8,NOMINA!V208,NOMINA!$AU208,NOMINA!I208+NOMINA!J208)),2))*IF(H208&lt;&gt;"",IF(MONTH(H208)=$BR$8,IF(YEAR(H208)&lt;$BT$7,1,0),0)))</f>
        <v>0</v>
      </c>
      <c r="AY208" s="1108">
        <v>90</v>
      </c>
      <c r="AZ208" s="1107">
        <f>IFERROR(VLOOKUP(AY208,'CONCEPTOS Y PARAMETROS'!Y:Z,2,0),0)</f>
        <v>75</v>
      </c>
      <c r="BA208" s="1107">
        <f t="shared" ref="BA208" si="521">ROUND((((AU208))/30*AY208/12+(AU208))/30*AZ208,2)</f>
        <v>1312.34</v>
      </c>
      <c r="BB208" s="1107">
        <f t="shared" si="506"/>
        <v>0</v>
      </c>
      <c r="BC208" s="990">
        <v>0</v>
      </c>
      <c r="BD208" s="1107" t="str">
        <f t="shared" si="373"/>
        <v>0</v>
      </c>
      <c r="BE208" s="990">
        <v>3</v>
      </c>
      <c r="BF208" s="1107">
        <f t="shared" si="436"/>
        <v>62.99</v>
      </c>
      <c r="BG208" s="1108">
        <v>320</v>
      </c>
      <c r="BH208" s="1108">
        <v>0</v>
      </c>
      <c r="BI208" s="1132">
        <v>0</v>
      </c>
      <c r="BJ208" s="1108">
        <v>12.5</v>
      </c>
      <c r="BK208" s="1108">
        <v>0</v>
      </c>
      <c r="BL208" s="1107">
        <f t="shared" si="437"/>
        <v>19.38</v>
      </c>
      <c r="BM208" s="1107">
        <f t="shared" si="438"/>
        <v>2.42</v>
      </c>
      <c r="BN208" s="1107">
        <f t="shared" si="377"/>
        <v>4.2</v>
      </c>
      <c r="BO208" s="1107">
        <v>0</v>
      </c>
      <c r="BP208" s="1107">
        <v>0</v>
      </c>
      <c r="BQ208" s="1320">
        <f t="shared" ref="BQ208" si="522">ROUND(SUM(BL208:BP208),2)</f>
        <v>26</v>
      </c>
      <c r="BR208" s="1107">
        <f t="shared" si="439"/>
        <v>43.61</v>
      </c>
      <c r="BS208" s="1107">
        <f t="shared" si="440"/>
        <v>9.69</v>
      </c>
      <c r="BT208" s="1107">
        <f t="shared" si="378"/>
        <v>8.4</v>
      </c>
      <c r="BU208" s="1107">
        <v>0</v>
      </c>
      <c r="BV208" s="1108">
        <f t="shared" si="367"/>
        <v>61.7</v>
      </c>
      <c r="BW208" s="1112">
        <f t="shared" si="368"/>
        <v>87.7</v>
      </c>
      <c r="BX208" s="1112">
        <f t="shared" si="435"/>
        <v>328.09</v>
      </c>
      <c r="BY208" s="1108">
        <v>0</v>
      </c>
      <c r="BZ208" s="1108">
        <f t="shared" si="365"/>
        <v>328.09</v>
      </c>
      <c r="CA208" s="1321">
        <f>'CONCEPTOS Y PARAMETROS'!$A$102</f>
        <v>6255</v>
      </c>
      <c r="CB208" s="1112">
        <f t="shared" si="379"/>
        <v>141.76999999999998</v>
      </c>
      <c r="CC208" s="1113">
        <f t="shared" si="380"/>
        <v>660.17</v>
      </c>
      <c r="CD208" s="512"/>
      <c r="CE208" s="512"/>
      <c r="CF208" s="470">
        <f t="shared" si="381"/>
        <v>795.27</v>
      </c>
      <c r="CG208" s="509">
        <f t="shared" si="404"/>
        <v>141.76999999999998</v>
      </c>
      <c r="CH208" s="1603">
        <f t="shared" si="382"/>
        <v>25</v>
      </c>
      <c r="CI208" s="1491">
        <f t="shared" si="374"/>
        <v>320</v>
      </c>
      <c r="CJ208" s="1502">
        <v>1</v>
      </c>
      <c r="CK208" s="509">
        <f t="shared" si="383"/>
        <v>475.27</v>
      </c>
      <c r="CL208" s="1689">
        <f t="shared" si="384"/>
        <v>475.27</v>
      </c>
      <c r="CM208" s="1689">
        <f t="shared" si="375"/>
        <v>0</v>
      </c>
      <c r="CN208" s="510">
        <f t="shared" si="385"/>
        <v>62.99</v>
      </c>
      <c r="CO208" s="511">
        <v>0</v>
      </c>
      <c r="CP208" s="510">
        <f t="shared" si="386"/>
        <v>96.91</v>
      </c>
      <c r="CQ208" s="510">
        <f t="shared" si="387"/>
        <v>0</v>
      </c>
      <c r="CR208" s="510">
        <f t="shared" si="388"/>
        <v>1110.44</v>
      </c>
      <c r="CS208" s="510">
        <f t="shared" si="389"/>
        <v>87.7</v>
      </c>
      <c r="CT208" s="510">
        <f t="shared" si="390"/>
        <v>6255</v>
      </c>
      <c r="CU208" s="512"/>
      <c r="CV208" s="512"/>
      <c r="CW208" s="512"/>
      <c r="CX208" s="512"/>
      <c r="CY208" s="1149" t="s">
        <v>6150</v>
      </c>
      <c r="CZ208" s="1149" t="s">
        <v>6920</v>
      </c>
      <c r="DA208" s="1152"/>
      <c r="DB208" s="1642" t="s">
        <v>6632</v>
      </c>
      <c r="DC208" s="1642"/>
      <c r="DD208" s="1647" t="s">
        <v>6135</v>
      </c>
      <c r="DE208" s="1642" t="s">
        <v>6162</v>
      </c>
      <c r="DF208" s="1642" t="s">
        <v>6265</v>
      </c>
      <c r="DG208" s="1642" t="s">
        <v>7525</v>
      </c>
      <c r="DH208" s="512"/>
      <c r="DI208" s="512"/>
      <c r="DJ208" s="512"/>
      <c r="DK208" s="512"/>
      <c r="DL208" s="512"/>
      <c r="DN208" s="476" t="str">
        <f>VLOOKUP(X208,Hoja1!$A$4:$B$10,2,0)</f>
        <v>BACHILLER</v>
      </c>
      <c r="DO208" s="476" t="str">
        <f>VLOOKUP(S208,Hoja1!$D$4:$F$77,3,0)</f>
        <v>BIII - III</v>
      </c>
      <c r="DP208" s="1594" t="str">
        <f t="shared" si="391"/>
        <v>SI</v>
      </c>
      <c r="DQ208" s="1484">
        <f>IF(T208&lt;&gt;"0",(ROUND(IF(A208="EMPLEADO",eval_formula('CONCEPTOS Y PARAMETROS'!$C$8,NOMINA!V208,AU208+BF208,NOMINA!I208+NOMINA!J208),eval_formula('CONCEPTOS Y PARAMETROS'!$D$8,NOMINA!V208,AU208+BF208,NOMINA!I208+NOMINA!J208)),2))*IF(H208&lt;&gt;"",IF(MONTH(H208)=$BR$8,IF(YEAR(H208)&lt;$BT$7,1,0),0)))</f>
        <v>0</v>
      </c>
      <c r="DR208" s="1799" t="str">
        <f t="shared" si="392"/>
        <v>M</v>
      </c>
      <c r="DS208" s="1799"/>
    </row>
    <row r="209" spans="1:123" s="471" customFormat="1" ht="21.95" customHeight="1" x14ac:dyDescent="0.25">
      <c r="A209" s="508" t="s">
        <v>2846</v>
      </c>
      <c r="B209" s="1314">
        <f t="shared" ca="1" si="471"/>
        <v>166</v>
      </c>
      <c r="C209" s="1148">
        <v>17832396</v>
      </c>
      <c r="D209" s="1149" t="s">
        <v>4850</v>
      </c>
      <c r="E209" s="1135" t="s">
        <v>4622</v>
      </c>
      <c r="F209" s="1150">
        <v>31969</v>
      </c>
      <c r="G209" s="1135" t="s">
        <v>4620</v>
      </c>
      <c r="H209" s="1150">
        <v>43191</v>
      </c>
      <c r="I209" s="1140">
        <f t="shared" si="376"/>
        <v>7</v>
      </c>
      <c r="J209" s="1132">
        <v>0</v>
      </c>
      <c r="K209" s="1140">
        <f t="shared" si="371"/>
        <v>7</v>
      </c>
      <c r="L209" s="1145" t="s">
        <v>7257</v>
      </c>
      <c r="M209" s="1132"/>
      <c r="N209" s="1132"/>
      <c r="O209" s="1002" t="s">
        <v>5239</v>
      </c>
      <c r="P209" s="1132" t="s">
        <v>5399</v>
      </c>
      <c r="Q209" s="1315" t="str">
        <f>IFERROR(VLOOKUP(O209,CARGOS!A:E,2,0),"")</f>
        <v>71341</v>
      </c>
      <c r="R209" s="1327" t="s">
        <v>5239</v>
      </c>
      <c r="S209" s="1146" t="s">
        <v>5478</v>
      </c>
      <c r="T209" s="1107">
        <f>IFERROR(VLOOKUP(S209,'TAB EMP'!A:B,2,0),0)</f>
        <v>221</v>
      </c>
      <c r="U209" s="1108">
        <v>0</v>
      </c>
      <c r="V209" s="1107">
        <f t="shared" si="393"/>
        <v>221</v>
      </c>
      <c r="W209" s="1108">
        <f t="shared" si="394"/>
        <v>110.5</v>
      </c>
      <c r="X209" s="1135" t="s">
        <v>2844</v>
      </c>
      <c r="Y209" s="1135"/>
      <c r="Z209" s="1135">
        <v>2</v>
      </c>
      <c r="AA209" s="1107">
        <f>ROUND(IF(H209&lt;&gt;"",VLOOKUP(SUM(I209+J209),'CONCEPTOS Y PARAMETROS'!F:G,2,0)*V209,0),2)</f>
        <v>16.350000000000001</v>
      </c>
      <c r="AB209" s="1107">
        <f>IF(S209&lt;&gt;"",IF(M209="",'CONCEPTOS Y PARAMETROS'!$C$4,0),0)</f>
        <v>130</v>
      </c>
      <c r="AC209" s="1107">
        <f>IF(S209&lt;&gt;"",IF(M209="",'CONCEPTOS Y PARAMETROS'!$C$7*Z209,0),0)</f>
        <v>25</v>
      </c>
      <c r="AD209" s="1107">
        <f>IFERROR(ROUND(VLOOKUP($X209,'CONCEPTOS Y PARAMETROS'!H:I,2,0)*($V209+AA209+AB209+AC209),2),0)</f>
        <v>78.47</v>
      </c>
      <c r="AE209" s="1107">
        <f t="shared" si="369"/>
        <v>249.82</v>
      </c>
      <c r="AF209" s="1107">
        <f t="shared" si="395"/>
        <v>8.18</v>
      </c>
      <c r="AG209" s="1107">
        <f t="shared" si="396"/>
        <v>8.17</v>
      </c>
      <c r="AH209" s="1107">
        <f t="shared" si="397"/>
        <v>65</v>
      </c>
      <c r="AI209" s="1107">
        <f t="shared" si="398"/>
        <v>65</v>
      </c>
      <c r="AJ209" s="1107">
        <f t="shared" si="399"/>
        <v>39.24</v>
      </c>
      <c r="AK209" s="1107">
        <f t="shared" si="400"/>
        <v>39.229999999999997</v>
      </c>
      <c r="AL209" s="1108">
        <f t="shared" si="401"/>
        <v>137.41999999999999</v>
      </c>
      <c r="AM209" s="1108">
        <f t="shared" si="402"/>
        <v>112.4</v>
      </c>
      <c r="AN209" s="990">
        <v>0</v>
      </c>
      <c r="AO209" s="1147">
        <f>'CONCEPTOS Y PARAMETROS'!$C$18*AN209</f>
        <v>0</v>
      </c>
      <c r="AP209" s="990">
        <v>0</v>
      </c>
      <c r="AQ209" s="1147">
        <f>'CONCEPTOS Y PARAMETROS'!$C$21*AP209</f>
        <v>0</v>
      </c>
      <c r="AR209" s="1318">
        <v>0</v>
      </c>
      <c r="AS209" s="1318">
        <v>0</v>
      </c>
      <c r="AT209" s="1318">
        <f t="shared" si="472"/>
        <v>0</v>
      </c>
      <c r="AU209" s="1108">
        <f t="shared" si="372"/>
        <v>470.82</v>
      </c>
      <c r="AV209" s="1133">
        <v>0</v>
      </c>
      <c r="AW209" s="1108">
        <f t="shared" si="473"/>
        <v>0</v>
      </c>
      <c r="AX209" s="1107">
        <f>IF(T209&lt;&gt;"0",(ROUND(IF(A209="EMPLEADO",eval_formula('CONCEPTOS Y PARAMETROS'!$C$8,NOMINA!V209,NOMINA!$AU209,NOMINA!I209+NOMINA!J209),eval_formula('CONCEPTOS Y PARAMETROS'!$D$8,NOMINA!V209,NOMINA!$AU209,NOMINA!I209+NOMINA!J209)),2))*IF(H209&lt;&gt;"",IF(MONTH(H209)=$BR$8,IF(YEAR(H209)&lt;$BT$7,1,0),0)))</f>
        <v>0</v>
      </c>
      <c r="AY209" s="1108">
        <v>180</v>
      </c>
      <c r="AZ209" s="1107">
        <f>IFERROR(VLOOKUP(AY209,'CONCEPTOS Y PARAMETROS'!Y:Z,2,0),0)</f>
        <v>150</v>
      </c>
      <c r="BA209" s="1107">
        <f t="shared" si="403"/>
        <v>3531.15</v>
      </c>
      <c r="BB209" s="1107">
        <f t="shared" si="506"/>
        <v>0</v>
      </c>
      <c r="BC209" s="990">
        <v>0</v>
      </c>
      <c r="BD209" s="1107" t="str">
        <f t="shared" si="373"/>
        <v>0</v>
      </c>
      <c r="BE209" s="990">
        <v>0</v>
      </c>
      <c r="BF209" s="1107">
        <f t="shared" si="436"/>
        <v>0</v>
      </c>
      <c r="BG209" s="1108">
        <v>320</v>
      </c>
      <c r="BH209" s="1108">
        <v>0</v>
      </c>
      <c r="BI209" s="1132">
        <v>0</v>
      </c>
      <c r="BJ209" s="1108">
        <v>12.5</v>
      </c>
      <c r="BK209" s="1108">
        <v>0</v>
      </c>
      <c r="BL209" s="1107">
        <f t="shared" si="437"/>
        <v>21.73</v>
      </c>
      <c r="BM209" s="1107">
        <f t="shared" si="438"/>
        <v>2.72</v>
      </c>
      <c r="BN209" s="1107">
        <f t="shared" si="377"/>
        <v>4.71</v>
      </c>
      <c r="BO209" s="1107">
        <v>0</v>
      </c>
      <c r="BP209" s="1107">
        <v>0</v>
      </c>
      <c r="BQ209" s="1320">
        <f t="shared" si="366"/>
        <v>29.16</v>
      </c>
      <c r="BR209" s="1107">
        <f t="shared" si="439"/>
        <v>48.89</v>
      </c>
      <c r="BS209" s="1107">
        <f t="shared" si="440"/>
        <v>10.87</v>
      </c>
      <c r="BT209" s="1107">
        <f t="shared" si="378"/>
        <v>9.42</v>
      </c>
      <c r="BU209" s="1107">
        <v>0</v>
      </c>
      <c r="BV209" s="1108">
        <f t="shared" si="367"/>
        <v>69.180000000000007</v>
      </c>
      <c r="BW209" s="1112">
        <f t="shared" si="368"/>
        <v>98.34</v>
      </c>
      <c r="BX209" s="1112">
        <f t="shared" si="435"/>
        <v>882.79</v>
      </c>
      <c r="BY209" s="1108">
        <v>0</v>
      </c>
      <c r="BZ209" s="1108">
        <f t="shared" si="365"/>
        <v>882.79</v>
      </c>
      <c r="CA209" s="1321">
        <f>'CONCEPTOS Y PARAMETROS'!$A$102</f>
        <v>6255</v>
      </c>
      <c r="CB209" s="1112">
        <f t="shared" si="379"/>
        <v>218.76</v>
      </c>
      <c r="CC209" s="1113">
        <f t="shared" si="380"/>
        <v>555.4</v>
      </c>
      <c r="CD209" s="512"/>
      <c r="CE209" s="512"/>
      <c r="CF209" s="470">
        <f t="shared" si="381"/>
        <v>862.9</v>
      </c>
      <c r="CG209" s="495">
        <f t="shared" si="404"/>
        <v>218.76</v>
      </c>
      <c r="CH209" s="498">
        <f t="shared" si="382"/>
        <v>12.5</v>
      </c>
      <c r="CI209" s="1490">
        <f t="shared" si="374"/>
        <v>320</v>
      </c>
      <c r="CJ209" s="1502">
        <v>1</v>
      </c>
      <c r="CK209" s="495">
        <f t="shared" si="383"/>
        <v>542.9</v>
      </c>
      <c r="CL209" s="1689">
        <f t="shared" si="384"/>
        <v>542.9</v>
      </c>
      <c r="CM209" s="1689">
        <f t="shared" si="375"/>
        <v>0</v>
      </c>
      <c r="CN209" s="496">
        <f t="shared" si="385"/>
        <v>0</v>
      </c>
      <c r="CO209" s="497">
        <v>0</v>
      </c>
      <c r="CP209" s="496">
        <f t="shared" si="386"/>
        <v>0</v>
      </c>
      <c r="CQ209" s="496">
        <f t="shared" si="387"/>
        <v>0</v>
      </c>
      <c r="CR209" s="496">
        <f t="shared" si="388"/>
        <v>1085.8</v>
      </c>
      <c r="CS209" s="496">
        <f t="shared" si="389"/>
        <v>98.34</v>
      </c>
      <c r="CT209" s="496">
        <f t="shared" si="390"/>
        <v>6255</v>
      </c>
      <c r="CU209" s="470"/>
      <c r="CV209" s="470"/>
      <c r="CW209" s="470"/>
      <c r="CX209" s="470"/>
      <c r="CY209" s="1149" t="s">
        <v>6921</v>
      </c>
      <c r="CZ209" s="1149" t="s">
        <v>6922</v>
      </c>
      <c r="DA209" s="1152"/>
      <c r="DB209" s="1152" t="s">
        <v>6276</v>
      </c>
      <c r="DC209" s="1152" t="s">
        <v>7546</v>
      </c>
      <c r="DD209" s="1152" t="s">
        <v>6135</v>
      </c>
      <c r="DE209" s="1152" t="s">
        <v>6247</v>
      </c>
      <c r="DF209" s="1152" t="s">
        <v>6328</v>
      </c>
      <c r="DG209" s="1152"/>
      <c r="DH209" s="512"/>
      <c r="DI209" s="512"/>
      <c r="DJ209" s="470"/>
      <c r="DK209" s="470"/>
      <c r="DL209" s="470"/>
      <c r="DN209" s="471" t="str">
        <f>VLOOKUP(X209,Hoja1!$A$4:$B$10,2,0)</f>
        <v>TÉCNICO SUPERIOR UNIVERSITARIO</v>
      </c>
      <c r="DO209" s="471" t="str">
        <f>VLOOKUP(S209,Hoja1!$D$4:$F$77,3,0)</f>
        <v>TII - III</v>
      </c>
      <c r="DP209" s="1156" t="str">
        <f t="shared" si="391"/>
        <v>0</v>
      </c>
      <c r="DQ209" s="1484">
        <f>IF(T209&lt;&gt;"0",(ROUND(IF(A209="EMPLEADO",eval_formula('CONCEPTOS Y PARAMETROS'!$C$8,NOMINA!V209,AU209+BF209,NOMINA!I209+NOMINA!J209),eval_formula('CONCEPTOS Y PARAMETROS'!$D$8,NOMINA!V209,AU209+BF209,NOMINA!I209+NOMINA!J209)),2))*IF(H209&lt;&gt;"",IF(MONTH(H209)=$BR$8,IF(YEAR(H209)&lt;$BT$7,1,0),0)))</f>
        <v>0</v>
      </c>
      <c r="DR209" s="1801" t="str">
        <f t="shared" si="392"/>
        <v>F</v>
      </c>
      <c r="DS209" s="1801"/>
    </row>
    <row r="210" spans="1:123" s="471" customFormat="1" ht="21.95" customHeight="1" x14ac:dyDescent="0.25">
      <c r="A210" s="508" t="s">
        <v>2846</v>
      </c>
      <c r="B210" s="1314">
        <f t="shared" ca="1" si="471"/>
        <v>167</v>
      </c>
      <c r="C210" s="1148">
        <v>17865154</v>
      </c>
      <c r="D210" s="1149" t="s">
        <v>4851</v>
      </c>
      <c r="E210" s="1135" t="s">
        <v>4622</v>
      </c>
      <c r="F210" s="1150">
        <v>29154</v>
      </c>
      <c r="G210" s="1135" t="s">
        <v>4620</v>
      </c>
      <c r="H210" s="1150">
        <v>43846</v>
      </c>
      <c r="I210" s="1140">
        <f t="shared" si="376"/>
        <v>5</v>
      </c>
      <c r="J210" s="1132">
        <v>0</v>
      </c>
      <c r="K210" s="1140">
        <f t="shared" si="371"/>
        <v>5</v>
      </c>
      <c r="L210" s="1145" t="s">
        <v>5525</v>
      </c>
      <c r="M210" s="1132"/>
      <c r="N210" s="1132"/>
      <c r="O210" s="1002" t="s">
        <v>5218</v>
      </c>
      <c r="P210" s="1132" t="s">
        <v>5400</v>
      </c>
      <c r="Q210" s="1315" t="str">
        <f>IFERROR(VLOOKUP(O210,CARGOS!A:E,2,0),"")</f>
        <v>79511</v>
      </c>
      <c r="R210" s="1327" t="s">
        <v>5218</v>
      </c>
      <c r="S210" s="1146" t="s">
        <v>5477</v>
      </c>
      <c r="T210" s="1107">
        <f>IFERROR(VLOOKUP(S210,'TAB EMP'!A:B,2,0),0)</f>
        <v>150</v>
      </c>
      <c r="U210" s="1108">
        <v>0</v>
      </c>
      <c r="V210" s="1107">
        <f t="shared" si="393"/>
        <v>150</v>
      </c>
      <c r="W210" s="1108">
        <f t="shared" si="394"/>
        <v>75</v>
      </c>
      <c r="X210" s="1135" t="s">
        <v>2884</v>
      </c>
      <c r="Y210" s="1135"/>
      <c r="Z210" s="1135">
        <v>0</v>
      </c>
      <c r="AA210" s="1107">
        <f>ROUND(IF(H210&lt;&gt;"",VLOOKUP(SUM(I210+J210),'CONCEPTOS Y PARAMETROS'!F:G,2,0)*V210,0),2)</f>
        <v>7.5</v>
      </c>
      <c r="AB210" s="1107">
        <f>IF(S210&lt;&gt;"",IF(M210="",'CONCEPTOS Y PARAMETROS'!$C$4,0),0)</f>
        <v>130</v>
      </c>
      <c r="AC210" s="1107">
        <f>IF(S210&lt;&gt;"",IF(M210="",'CONCEPTOS Y PARAMETROS'!$C$7*Z210,0),0)</f>
        <v>0</v>
      </c>
      <c r="AD210" s="1107">
        <f>IFERROR(ROUND(VLOOKUP($X210,'CONCEPTOS Y PARAMETROS'!H:I,2,0)*($V210+AA210+AB210+AC210),2),0)</f>
        <v>0</v>
      </c>
      <c r="AE210" s="1107">
        <f t="shared" si="369"/>
        <v>137.5</v>
      </c>
      <c r="AF210" s="1107">
        <f t="shared" si="395"/>
        <v>3.75</v>
      </c>
      <c r="AG210" s="1107">
        <f t="shared" si="396"/>
        <v>3.75</v>
      </c>
      <c r="AH210" s="1107">
        <f t="shared" si="397"/>
        <v>65</v>
      </c>
      <c r="AI210" s="1107">
        <f t="shared" si="398"/>
        <v>65</v>
      </c>
      <c r="AJ210" s="1107">
        <f t="shared" si="399"/>
        <v>0</v>
      </c>
      <c r="AK210" s="1107">
        <f t="shared" si="400"/>
        <v>0</v>
      </c>
      <c r="AL210" s="1108">
        <f t="shared" si="401"/>
        <v>68.75</v>
      </c>
      <c r="AM210" s="1108">
        <f t="shared" si="402"/>
        <v>68.75</v>
      </c>
      <c r="AN210" s="990">
        <v>0</v>
      </c>
      <c r="AO210" s="1147">
        <f>'CONCEPTOS Y PARAMETROS'!$C$18*AN210</f>
        <v>0</v>
      </c>
      <c r="AP210" s="990">
        <v>0</v>
      </c>
      <c r="AQ210" s="1147">
        <f>'CONCEPTOS Y PARAMETROS'!$C$21*AP210</f>
        <v>0</v>
      </c>
      <c r="AR210" s="1318">
        <v>0</v>
      </c>
      <c r="AS210" s="1318">
        <v>0</v>
      </c>
      <c r="AT210" s="1318">
        <f t="shared" si="472"/>
        <v>0</v>
      </c>
      <c r="AU210" s="1108">
        <f t="shared" si="372"/>
        <v>373.75</v>
      </c>
      <c r="AV210" s="1133" t="s">
        <v>5080</v>
      </c>
      <c r="AW210" s="1108">
        <f t="shared" si="473"/>
        <v>86.25</v>
      </c>
      <c r="AX210" s="1107">
        <f>IF(T210&lt;&gt;"0",(ROUND(IF(A210="EMPLEADO",eval_formula('CONCEPTOS Y PARAMETROS'!$C$8,NOMINA!V210,NOMINA!$AU210,NOMINA!I210+NOMINA!J210),eval_formula('CONCEPTOS Y PARAMETROS'!$D$8,NOMINA!V210,NOMINA!$AU210,NOMINA!I210+NOMINA!J210)),2))*IF(H210&lt;&gt;"",IF(MONTH(H210)=$BR$8,IF(YEAR(H210)&lt;$BT$7,1,0),0)))</f>
        <v>0</v>
      </c>
      <c r="AY210" s="1108">
        <v>180</v>
      </c>
      <c r="AZ210" s="1107">
        <f>IFERROR(VLOOKUP(AY210,'CONCEPTOS Y PARAMETROS'!Y:Z,2,0),0)</f>
        <v>150</v>
      </c>
      <c r="BA210" s="1107">
        <f t="shared" si="403"/>
        <v>2803.13</v>
      </c>
      <c r="BB210" s="1107">
        <f t="shared" si="506"/>
        <v>0</v>
      </c>
      <c r="BC210" s="990">
        <v>0</v>
      </c>
      <c r="BD210" s="1107" t="str">
        <f t="shared" si="373"/>
        <v>0</v>
      </c>
      <c r="BE210" s="990">
        <v>3</v>
      </c>
      <c r="BF210" s="1107">
        <f t="shared" si="436"/>
        <v>56.06</v>
      </c>
      <c r="BG210" s="1108">
        <v>320</v>
      </c>
      <c r="BH210" s="1108">
        <v>0</v>
      </c>
      <c r="BI210" s="1132">
        <v>0</v>
      </c>
      <c r="BJ210" s="1108">
        <v>12.5</v>
      </c>
      <c r="BK210" s="1108">
        <v>0</v>
      </c>
      <c r="BL210" s="1107">
        <f t="shared" si="437"/>
        <v>17.25</v>
      </c>
      <c r="BM210" s="1107">
        <f t="shared" si="438"/>
        <v>2.16</v>
      </c>
      <c r="BN210" s="1107">
        <f t="shared" si="377"/>
        <v>3.74</v>
      </c>
      <c r="BO210" s="1107">
        <v>0</v>
      </c>
      <c r="BP210" s="1107">
        <v>0</v>
      </c>
      <c r="BQ210" s="1320">
        <f t="shared" si="366"/>
        <v>23.15</v>
      </c>
      <c r="BR210" s="1107">
        <f t="shared" si="439"/>
        <v>38.81</v>
      </c>
      <c r="BS210" s="1107">
        <f t="shared" si="440"/>
        <v>8.6300000000000008</v>
      </c>
      <c r="BT210" s="1107">
        <f t="shared" si="378"/>
        <v>7.48</v>
      </c>
      <c r="BU210" s="1107">
        <v>0</v>
      </c>
      <c r="BV210" s="1108">
        <f t="shared" si="367"/>
        <v>54.92</v>
      </c>
      <c r="BW210" s="1112">
        <f t="shared" si="368"/>
        <v>78.069999999999993</v>
      </c>
      <c r="BX210" s="1112">
        <f t="shared" si="435"/>
        <v>700.78</v>
      </c>
      <c r="BY210" s="1108">
        <v>0</v>
      </c>
      <c r="BZ210" s="1108">
        <f t="shared" si="365"/>
        <v>700.78</v>
      </c>
      <c r="CA210" s="1321">
        <f>'CONCEPTOS Y PARAMETROS'!$A$102</f>
        <v>6255</v>
      </c>
      <c r="CB210" s="1112">
        <f t="shared" si="379"/>
        <v>120.6</v>
      </c>
      <c r="CC210" s="1113">
        <f t="shared" si="380"/>
        <v>618.55999999999995</v>
      </c>
      <c r="CD210" s="512"/>
      <c r="CE210" s="512"/>
      <c r="CF210" s="470">
        <f t="shared" si="381"/>
        <v>783.75</v>
      </c>
      <c r="CG210" s="495">
        <f t="shared" si="404"/>
        <v>120.6</v>
      </c>
      <c r="CH210" s="498">
        <f t="shared" si="382"/>
        <v>12.5</v>
      </c>
      <c r="CI210" s="1490">
        <f t="shared" si="374"/>
        <v>320</v>
      </c>
      <c r="CJ210" s="1502">
        <v>1</v>
      </c>
      <c r="CK210" s="495">
        <f t="shared" si="383"/>
        <v>463.75</v>
      </c>
      <c r="CL210" s="1689">
        <f t="shared" si="384"/>
        <v>463.75</v>
      </c>
      <c r="CM210" s="1689">
        <f t="shared" si="375"/>
        <v>0</v>
      </c>
      <c r="CN210" s="496">
        <f t="shared" si="385"/>
        <v>56.06</v>
      </c>
      <c r="CO210" s="497">
        <v>0</v>
      </c>
      <c r="CP210" s="496">
        <f t="shared" si="386"/>
        <v>86.25</v>
      </c>
      <c r="CQ210" s="496">
        <f t="shared" si="387"/>
        <v>0</v>
      </c>
      <c r="CR210" s="496">
        <f t="shared" si="388"/>
        <v>1069.81</v>
      </c>
      <c r="CS210" s="496">
        <f t="shared" si="389"/>
        <v>78.069999999999993</v>
      </c>
      <c r="CT210" s="496">
        <f t="shared" si="390"/>
        <v>6255</v>
      </c>
      <c r="CU210" s="470"/>
      <c r="CV210" s="470"/>
      <c r="CW210" s="470"/>
      <c r="CX210" s="470"/>
      <c r="CY210" s="1149" t="s">
        <v>6923</v>
      </c>
      <c r="CZ210" s="1149" t="s">
        <v>6924</v>
      </c>
      <c r="DA210" s="1152"/>
      <c r="DB210" s="1642" t="s">
        <v>6277</v>
      </c>
      <c r="DC210" s="1642"/>
      <c r="DD210" s="1642" t="s">
        <v>6158</v>
      </c>
      <c r="DE210" s="1642" t="s">
        <v>6147</v>
      </c>
      <c r="DF210" s="1642" t="s">
        <v>6275</v>
      </c>
      <c r="DG210" s="1642"/>
      <c r="DH210" s="512"/>
      <c r="DI210" s="512"/>
      <c r="DJ210" s="470"/>
      <c r="DK210" s="470"/>
      <c r="DL210" s="470"/>
      <c r="DN210" s="471" t="str">
        <f>VLOOKUP(X210,Hoja1!$A$4:$B$10,2,0)</f>
        <v>BACHILLER</v>
      </c>
      <c r="DO210" s="471" t="str">
        <f>VLOOKUP(S210,Hoja1!$D$4:$F$77,3,0)</f>
        <v>BII - II</v>
      </c>
      <c r="DP210" s="1156" t="str">
        <f t="shared" si="391"/>
        <v>SI</v>
      </c>
      <c r="DQ210" s="1484">
        <f>IF(T210&lt;&gt;"0",(ROUND(IF(A210="EMPLEADO",eval_formula('CONCEPTOS Y PARAMETROS'!$C$8,NOMINA!V210,AU210+BF210,NOMINA!I210+NOMINA!J210),eval_formula('CONCEPTOS Y PARAMETROS'!$D$8,NOMINA!V210,AU210+BF210,NOMINA!I210+NOMINA!J210)),2))*IF(H210&lt;&gt;"",IF(MONTH(H210)=$BR$8,IF(YEAR(H210)&lt;$BT$7,1,0),0)))</f>
        <v>0</v>
      </c>
      <c r="DR210" s="1801" t="str">
        <f t="shared" si="392"/>
        <v>F</v>
      </c>
      <c r="DS210" s="1801"/>
    </row>
    <row r="211" spans="1:123" s="476" customFormat="1" ht="21.95" customHeight="1" x14ac:dyDescent="0.25">
      <c r="A211" s="508" t="s">
        <v>2846</v>
      </c>
      <c r="B211" s="1314">
        <f t="shared" ca="1" si="471"/>
        <v>168</v>
      </c>
      <c r="C211" s="1148">
        <v>18036203</v>
      </c>
      <c r="D211" s="1149" t="s">
        <v>6680</v>
      </c>
      <c r="E211" s="1135" t="s">
        <v>4622</v>
      </c>
      <c r="F211" s="1150">
        <v>31456</v>
      </c>
      <c r="G211" s="1135" t="s">
        <v>4621</v>
      </c>
      <c r="H211" s="1150">
        <v>45505</v>
      </c>
      <c r="I211" s="1140">
        <f t="shared" si="376"/>
        <v>1</v>
      </c>
      <c r="J211" s="1132">
        <v>0</v>
      </c>
      <c r="K211" s="1140">
        <f t="shared" si="371"/>
        <v>1</v>
      </c>
      <c r="L211" s="1351" t="s">
        <v>5546</v>
      </c>
      <c r="M211" s="1132"/>
      <c r="N211" s="1132"/>
      <c r="O211" s="1002" t="s">
        <v>5218</v>
      </c>
      <c r="P211" s="1151" t="s">
        <v>6681</v>
      </c>
      <c r="Q211" s="1315" t="str">
        <f>IFERROR(VLOOKUP(O211,CARGOS!A:E,2,0),"")</f>
        <v>79511</v>
      </c>
      <c r="R211" s="1327" t="s">
        <v>5218</v>
      </c>
      <c r="S211" s="1146" t="s">
        <v>5470</v>
      </c>
      <c r="T211" s="1107">
        <f>IFERROR(VLOOKUP(S211,'TAB EMP'!A:B,2,0),0)</f>
        <v>130</v>
      </c>
      <c r="U211" s="1108">
        <v>0</v>
      </c>
      <c r="V211" s="1107">
        <f t="shared" si="393"/>
        <v>130</v>
      </c>
      <c r="W211" s="1108">
        <f t="shared" si="394"/>
        <v>65</v>
      </c>
      <c r="X211" s="1135" t="s">
        <v>2884</v>
      </c>
      <c r="Y211" s="1135"/>
      <c r="Z211" s="1135">
        <v>2</v>
      </c>
      <c r="AA211" s="1107">
        <f>ROUND(IF(H211&lt;&gt;"",VLOOKUP(SUM(I211+J211),'CONCEPTOS Y PARAMETROS'!F:G,2,0)*V211,0),2)</f>
        <v>1.3</v>
      </c>
      <c r="AB211" s="1107">
        <f>IF(S211&lt;&gt;"",IF(M211="",'CONCEPTOS Y PARAMETROS'!$C$4,0),0)</f>
        <v>130</v>
      </c>
      <c r="AC211" s="1107">
        <f>IF(S211&lt;&gt;"",IF(M211="",'CONCEPTOS Y PARAMETROS'!$C$7*Z211,0),0)</f>
        <v>25</v>
      </c>
      <c r="AD211" s="1107">
        <f>IFERROR(ROUND(VLOOKUP($X211,'CONCEPTOS Y PARAMETROS'!H:I,2,0)*($V211+AA211+AB211+AC211),2),0)</f>
        <v>0</v>
      </c>
      <c r="AE211" s="1107">
        <f t="shared" si="369"/>
        <v>156.30000000000001</v>
      </c>
      <c r="AF211" s="1107">
        <f t="shared" si="395"/>
        <v>0.65</v>
      </c>
      <c r="AG211" s="1107">
        <f t="shared" si="396"/>
        <v>0.65</v>
      </c>
      <c r="AH211" s="1107">
        <f t="shared" si="397"/>
        <v>65</v>
      </c>
      <c r="AI211" s="1107">
        <f t="shared" si="398"/>
        <v>65</v>
      </c>
      <c r="AJ211" s="1107">
        <f t="shared" si="399"/>
        <v>0</v>
      </c>
      <c r="AK211" s="1107">
        <f t="shared" si="400"/>
        <v>0</v>
      </c>
      <c r="AL211" s="1108">
        <f t="shared" si="401"/>
        <v>90.65</v>
      </c>
      <c r="AM211" s="1108">
        <f t="shared" si="402"/>
        <v>65.650000000000006</v>
      </c>
      <c r="AN211" s="1453">
        <v>1</v>
      </c>
      <c r="AO211" s="1147">
        <f>'CONCEPTOS Y PARAMETROS'!$C$18*AN211</f>
        <v>12.5</v>
      </c>
      <c r="AP211" s="990">
        <v>0</v>
      </c>
      <c r="AQ211" s="1147">
        <f>'CONCEPTOS Y PARAMETROS'!$C$21*AP211</f>
        <v>0</v>
      </c>
      <c r="AR211" s="1318">
        <v>0</v>
      </c>
      <c r="AS211" s="1318">
        <v>0</v>
      </c>
      <c r="AT211" s="1318">
        <f t="shared" si="472"/>
        <v>12.5</v>
      </c>
      <c r="AU211" s="1108">
        <f t="shared" si="372"/>
        <v>372.19</v>
      </c>
      <c r="AV211" s="1133" t="s">
        <v>5080</v>
      </c>
      <c r="AW211" s="1108">
        <f t="shared" si="473"/>
        <v>85.89</v>
      </c>
      <c r="AX211" s="1107">
        <f>IF(T211&lt;&gt;"0",(ROUND(IF(A211="EMPLEADO",eval_formula('CONCEPTOS Y PARAMETROS'!$C$8,NOMINA!V211,NOMINA!$AU211,NOMINA!I211+NOMINA!J211),eval_formula('CONCEPTOS Y PARAMETROS'!$D$8,NOMINA!V211,NOMINA!$AU211,NOMINA!I211+NOMINA!J211)),2))*IF(H211&lt;&gt;"",IF(MONTH(H211)=$BR$8,IF(YEAR(H211)&lt;$BT$7,1,0),0)))</f>
        <v>0</v>
      </c>
      <c r="AY211" s="1108">
        <v>75</v>
      </c>
      <c r="AZ211" s="1107">
        <f>IFERROR(VLOOKUP(AY211,'CONCEPTOS Y PARAMETROS'!Y:Z,2,0),0)</f>
        <v>62.5</v>
      </c>
      <c r="BA211" s="1107">
        <f t="shared" si="403"/>
        <v>936.94</v>
      </c>
      <c r="BB211" s="1107">
        <f t="shared" si="506"/>
        <v>0</v>
      </c>
      <c r="BC211" s="990">
        <v>0</v>
      </c>
      <c r="BD211" s="1107" t="str">
        <f t="shared" si="373"/>
        <v>0</v>
      </c>
      <c r="BE211" s="990">
        <v>3</v>
      </c>
      <c r="BF211" s="1107">
        <f t="shared" si="436"/>
        <v>55.83</v>
      </c>
      <c r="BG211" s="1108">
        <v>320</v>
      </c>
      <c r="BH211" s="1108">
        <v>0</v>
      </c>
      <c r="BI211" s="1132">
        <v>0</v>
      </c>
      <c r="BJ211" s="1108">
        <v>12.5</v>
      </c>
      <c r="BK211" s="1108">
        <v>0</v>
      </c>
      <c r="BL211" s="1107">
        <f t="shared" si="437"/>
        <v>17.18</v>
      </c>
      <c r="BM211" s="1107">
        <f t="shared" si="438"/>
        <v>2.15</v>
      </c>
      <c r="BN211" s="1107">
        <f t="shared" si="377"/>
        <v>3.72</v>
      </c>
      <c r="BO211" s="1107">
        <v>0</v>
      </c>
      <c r="BP211" s="1107">
        <v>0</v>
      </c>
      <c r="BQ211" s="1320">
        <f t="shared" si="366"/>
        <v>23.05</v>
      </c>
      <c r="BR211" s="1107">
        <f t="shared" si="439"/>
        <v>38.65</v>
      </c>
      <c r="BS211" s="1107">
        <f t="shared" si="440"/>
        <v>8.59</v>
      </c>
      <c r="BT211" s="1107">
        <f t="shared" si="378"/>
        <v>7.44</v>
      </c>
      <c r="BU211" s="1107">
        <v>0</v>
      </c>
      <c r="BV211" s="1108">
        <f t="shared" si="367"/>
        <v>54.68</v>
      </c>
      <c r="BW211" s="1112">
        <f t="shared" si="368"/>
        <v>77.73</v>
      </c>
      <c r="BX211" s="1112">
        <f t="shared" si="435"/>
        <v>234.24</v>
      </c>
      <c r="BY211" s="1108">
        <v>0</v>
      </c>
      <c r="BZ211" s="1108">
        <f t="shared" si="365"/>
        <v>234.24</v>
      </c>
      <c r="CA211" s="1321">
        <f>'CONCEPTOS Y PARAMETROS'!$A$102</f>
        <v>6255</v>
      </c>
      <c r="CB211" s="1112">
        <f t="shared" si="379"/>
        <v>132.6</v>
      </c>
      <c r="CC211" s="1113">
        <f t="shared" si="380"/>
        <v>617.37</v>
      </c>
      <c r="CD211" s="512"/>
      <c r="CE211" s="512"/>
      <c r="CF211" s="470">
        <f t="shared" si="381"/>
        <v>770.65</v>
      </c>
      <c r="CG211" s="509">
        <f t="shared" si="404"/>
        <v>132.6</v>
      </c>
      <c r="CH211" s="498">
        <f t="shared" si="382"/>
        <v>25</v>
      </c>
      <c r="CI211" s="1491">
        <f t="shared" si="374"/>
        <v>320</v>
      </c>
      <c r="CJ211" s="1502">
        <v>1</v>
      </c>
      <c r="CK211" s="509">
        <f t="shared" si="383"/>
        <v>450.65</v>
      </c>
      <c r="CL211" s="1689">
        <f t="shared" si="384"/>
        <v>450.65</v>
      </c>
      <c r="CM211" s="1689">
        <f t="shared" si="375"/>
        <v>0</v>
      </c>
      <c r="CN211" s="510">
        <f t="shared" si="385"/>
        <v>55.83</v>
      </c>
      <c r="CO211" s="511">
        <v>0</v>
      </c>
      <c r="CP211" s="510">
        <f t="shared" si="386"/>
        <v>85.89</v>
      </c>
      <c r="CQ211" s="510">
        <f t="shared" si="387"/>
        <v>0</v>
      </c>
      <c r="CR211" s="496">
        <f t="shared" si="388"/>
        <v>1043.02</v>
      </c>
      <c r="CS211" s="510">
        <f t="shared" si="389"/>
        <v>77.73</v>
      </c>
      <c r="CT211" s="510">
        <f t="shared" si="390"/>
        <v>6255</v>
      </c>
      <c r="CU211" s="470"/>
      <c r="CV211" s="470"/>
      <c r="CW211" s="470"/>
      <c r="CX211" s="470"/>
      <c r="CY211" s="1149" t="s">
        <v>6925</v>
      </c>
      <c r="CZ211" s="1149" t="s">
        <v>6926</v>
      </c>
      <c r="DA211" s="1152"/>
      <c r="DB211" s="1642" t="s">
        <v>6686</v>
      </c>
      <c r="DC211" s="1642"/>
      <c r="DD211" s="1642" t="s">
        <v>6174</v>
      </c>
      <c r="DE211" s="1642" t="s">
        <v>6245</v>
      </c>
      <c r="DF211" s="1642" t="s">
        <v>6687</v>
      </c>
      <c r="DG211" s="1642"/>
      <c r="DH211" s="512"/>
      <c r="DI211" s="512"/>
      <c r="DJ211" s="512"/>
      <c r="DK211" s="512"/>
      <c r="DL211" s="512"/>
      <c r="DN211" s="476" t="str">
        <f>VLOOKUP(X211,Hoja1!$A$4:$B$10,2,0)</f>
        <v>BACHILLER</v>
      </c>
      <c r="DO211" s="476" t="str">
        <f>VLOOKUP(S211,Hoja1!$D$4:$F$77,3,0)</f>
        <v>BI</v>
      </c>
      <c r="DP211" s="1164" t="str">
        <f t="shared" si="391"/>
        <v>SI</v>
      </c>
      <c r="DQ211" s="1484">
        <f>IF(T211&lt;&gt;"0",(ROUND(IF(A211="EMPLEADO",eval_formula('CONCEPTOS Y PARAMETROS'!$C$8,NOMINA!V211,AU211+BF211,NOMINA!I211+NOMINA!J211),eval_formula('CONCEPTOS Y PARAMETROS'!$D$8,NOMINA!V211,AU211+BF211,NOMINA!I211+NOMINA!J211)),2))*IF(H211&lt;&gt;"",IF(MONTH(H211)=$BR$8,IF(YEAR(H211)&lt;$BT$7,1,0),0)))</f>
        <v>0</v>
      </c>
      <c r="DR211" s="1799" t="str">
        <f t="shared" si="392"/>
        <v>M</v>
      </c>
      <c r="DS211" s="1799"/>
    </row>
    <row r="212" spans="1:123" s="476" customFormat="1" ht="21.95" customHeight="1" x14ac:dyDescent="0.25">
      <c r="A212" s="508" t="s">
        <v>2846</v>
      </c>
      <c r="B212" s="1314">
        <f t="shared" ca="1" si="471"/>
        <v>169</v>
      </c>
      <c r="C212" s="1148">
        <v>18036156</v>
      </c>
      <c r="D212" s="1149" t="s">
        <v>6775</v>
      </c>
      <c r="E212" s="1135" t="s">
        <v>4622</v>
      </c>
      <c r="F212" s="1150">
        <v>31909</v>
      </c>
      <c r="G212" s="1135" t="s">
        <v>4621</v>
      </c>
      <c r="H212" s="1150">
        <v>45597</v>
      </c>
      <c r="I212" s="1140">
        <f t="shared" si="376"/>
        <v>0</v>
      </c>
      <c r="J212" s="1132">
        <v>0</v>
      </c>
      <c r="K212" s="1140">
        <f t="shared" si="371"/>
        <v>0</v>
      </c>
      <c r="L212" s="1351" t="s">
        <v>5546</v>
      </c>
      <c r="M212" s="1132"/>
      <c r="N212" s="1132"/>
      <c r="O212" s="1002" t="s">
        <v>5218</v>
      </c>
      <c r="P212" s="1151" t="s">
        <v>6776</v>
      </c>
      <c r="Q212" s="1315" t="str">
        <f>IFERROR(VLOOKUP(O212,CARGOS!A:E,2,0),"")</f>
        <v>79511</v>
      </c>
      <c r="R212" s="1327" t="s">
        <v>5218</v>
      </c>
      <c r="S212" s="1146" t="s">
        <v>5470</v>
      </c>
      <c r="T212" s="1107">
        <f>IFERROR(VLOOKUP(S212,'TAB EMP'!A:B,2,0),0)</f>
        <v>130</v>
      </c>
      <c r="U212" s="1108">
        <v>0</v>
      </c>
      <c r="V212" s="1107">
        <f t="shared" ref="V212" si="523">T212-U212</f>
        <v>130</v>
      </c>
      <c r="W212" s="1108">
        <f t="shared" ref="W212" si="524">ROUND(V212/2,2)</f>
        <v>65</v>
      </c>
      <c r="X212" s="1135" t="s">
        <v>2884</v>
      </c>
      <c r="Y212" s="1135"/>
      <c r="Z212" s="1135">
        <v>0</v>
      </c>
      <c r="AA212" s="1107">
        <f>ROUND(IF(H212&lt;&gt;"",VLOOKUP(SUM(I212+J212),'CONCEPTOS Y PARAMETROS'!F:G,2,0)*V212,0),2)</f>
        <v>0</v>
      </c>
      <c r="AB212" s="1107">
        <f>IF(S212&lt;&gt;"",IF(M212="",'CONCEPTOS Y PARAMETROS'!$C$4,0),0)</f>
        <v>130</v>
      </c>
      <c r="AC212" s="1107">
        <f>IF(S212&lt;&gt;"",IF(M212="",'CONCEPTOS Y PARAMETROS'!$C$7*Z212,0),0)</f>
        <v>0</v>
      </c>
      <c r="AD212" s="1107">
        <f>IFERROR(ROUND(VLOOKUP($X212,'CONCEPTOS Y PARAMETROS'!H:I,2,0)*($V212+AA212+AB212+AC212),2),0)</f>
        <v>0</v>
      </c>
      <c r="AE212" s="1107">
        <f t="shared" ref="AE212" si="525">SUM(AA212:AD212)</f>
        <v>130</v>
      </c>
      <c r="AF212" s="1107">
        <f t="shared" ref="AF212" si="526">ROUND(AA212/2,2)</f>
        <v>0</v>
      </c>
      <c r="AG212" s="1107">
        <f t="shared" ref="AG212" si="527">ROUND(AA212-AF212,2)</f>
        <v>0</v>
      </c>
      <c r="AH212" s="1107">
        <f t="shared" ref="AH212" si="528">ROUND(AB212/2,2)</f>
        <v>65</v>
      </c>
      <c r="AI212" s="1107">
        <f t="shared" ref="AI212" si="529">ROUND(AB212-AH212,2)</f>
        <v>65</v>
      </c>
      <c r="AJ212" s="1107">
        <f t="shared" ref="AJ212" si="530">ROUND(AD212/2,2)</f>
        <v>0</v>
      </c>
      <c r="AK212" s="1107">
        <f t="shared" ref="AK212" si="531">ROUND(AD212-AJ212,2)</f>
        <v>0</v>
      </c>
      <c r="AL212" s="1108">
        <f t="shared" ref="AL212" si="532">ROUND(AF212+AH212+AJ212+AC212,2)</f>
        <v>65</v>
      </c>
      <c r="AM212" s="1108">
        <f t="shared" ref="AM212" si="533">ROUND(AG212+AI212+AK212,2)</f>
        <v>65</v>
      </c>
      <c r="AN212" s="990">
        <v>0</v>
      </c>
      <c r="AO212" s="1147">
        <f>'CONCEPTOS Y PARAMETROS'!$C$18*AN212</f>
        <v>0</v>
      </c>
      <c r="AP212" s="990">
        <v>0</v>
      </c>
      <c r="AQ212" s="1147">
        <f>'CONCEPTOS Y PARAMETROS'!$C$21*AP212</f>
        <v>0</v>
      </c>
      <c r="AR212" s="1318">
        <v>0</v>
      </c>
      <c r="AS212" s="1318">
        <v>0</v>
      </c>
      <c r="AT212" s="1318">
        <f t="shared" ref="AT212" si="534">+AO212+AQ212+AR212+AS212</f>
        <v>0</v>
      </c>
      <c r="AU212" s="1108">
        <f t="shared" si="372"/>
        <v>338</v>
      </c>
      <c r="AV212" s="1133" t="s">
        <v>5080</v>
      </c>
      <c r="AW212" s="1108">
        <f t="shared" si="473"/>
        <v>78</v>
      </c>
      <c r="AX212" s="1107">
        <f>IF(T212&lt;&gt;"0",(ROUND(IF(A212="EMPLEADO",eval_formula('CONCEPTOS Y PARAMETROS'!$C$8,NOMINA!V212,NOMINA!$AU212,NOMINA!I212+NOMINA!J212),eval_formula('CONCEPTOS Y PARAMETROS'!$D$8,NOMINA!V212,NOMINA!$AU212,NOMINA!I212+NOMINA!J212)),2))*IF(H212&lt;&gt;"",IF(MONTH(H212)=$BR$8,IF(YEAR(H212)&lt;$BT$7,1,0),0)))</f>
        <v>0</v>
      </c>
      <c r="AY212" s="1108">
        <v>30</v>
      </c>
      <c r="AZ212" s="1107">
        <f>IFERROR(VLOOKUP(AY212,'CONCEPTOS Y PARAMETROS'!Y:Z,2,0),0)</f>
        <v>25</v>
      </c>
      <c r="BA212" s="1107">
        <f t="shared" ref="BA212" si="535">ROUND((((AU212))/30*AY212/12+(AU212))/30*AZ212,2)</f>
        <v>305.14</v>
      </c>
      <c r="BB212" s="1107">
        <f t="shared" ref="BB212" si="536">ROUND(AU212/30*$BB$10,2)</f>
        <v>0</v>
      </c>
      <c r="BC212" s="990">
        <v>0</v>
      </c>
      <c r="BD212" s="1107" t="str">
        <f t="shared" si="373"/>
        <v>0</v>
      </c>
      <c r="BE212" s="990">
        <v>3</v>
      </c>
      <c r="BF212" s="1107">
        <f t="shared" si="436"/>
        <v>50.7</v>
      </c>
      <c r="BG212" s="1108">
        <v>320</v>
      </c>
      <c r="BH212" s="1108">
        <v>0</v>
      </c>
      <c r="BI212" s="1132">
        <v>0</v>
      </c>
      <c r="BJ212" s="1108">
        <v>12.5</v>
      </c>
      <c r="BK212" s="1108">
        <v>0</v>
      </c>
      <c r="BL212" s="1107">
        <f t="shared" si="437"/>
        <v>15.6</v>
      </c>
      <c r="BM212" s="1107">
        <f t="shared" si="438"/>
        <v>1.95</v>
      </c>
      <c r="BN212" s="1107">
        <f t="shared" si="377"/>
        <v>3.38</v>
      </c>
      <c r="BO212" s="1107">
        <v>0</v>
      </c>
      <c r="BP212" s="1107">
        <v>0</v>
      </c>
      <c r="BQ212" s="1320">
        <f t="shared" ref="BQ212" si="537">ROUND(SUM(BL212:BP212),2)</f>
        <v>20.93</v>
      </c>
      <c r="BR212" s="1107">
        <f t="shared" si="439"/>
        <v>35.1</v>
      </c>
      <c r="BS212" s="1107">
        <f t="shared" si="440"/>
        <v>7.8</v>
      </c>
      <c r="BT212" s="1107">
        <f t="shared" si="378"/>
        <v>6.76</v>
      </c>
      <c r="BU212" s="1107">
        <v>0</v>
      </c>
      <c r="BV212" s="1108">
        <f t="shared" ref="BV212" si="538">ROUND(SUM(BR212:BT212),2)</f>
        <v>49.66</v>
      </c>
      <c r="BW212" s="1112">
        <f t="shared" ref="BW212" si="539">BQ212+BV212</f>
        <v>70.59</v>
      </c>
      <c r="BX212" s="1112">
        <f>ROUND(BA212/3,2)</f>
        <v>101.71</v>
      </c>
      <c r="BY212" s="1108">
        <v>0</v>
      </c>
      <c r="BZ212" s="1108">
        <f t="shared" si="365"/>
        <v>101.71</v>
      </c>
      <c r="CA212" s="1321">
        <f>'CONCEPTOS Y PARAMETROS'!$A$102</f>
        <v>6255</v>
      </c>
      <c r="CB212" s="1112">
        <f t="shared" si="379"/>
        <v>109.07</v>
      </c>
      <c r="CC212" s="1113">
        <f t="shared" si="380"/>
        <v>591.20000000000005</v>
      </c>
      <c r="CD212" s="1452"/>
      <c r="CE212" s="512"/>
      <c r="CF212" s="470">
        <f t="shared" si="381"/>
        <v>770</v>
      </c>
      <c r="CG212" s="509">
        <f t="shared" si="404"/>
        <v>109.07</v>
      </c>
      <c r="CH212" s="498">
        <f t="shared" si="382"/>
        <v>12.5</v>
      </c>
      <c r="CI212" s="1491">
        <f t="shared" si="374"/>
        <v>320</v>
      </c>
      <c r="CJ212" s="1502">
        <v>1</v>
      </c>
      <c r="CK212" s="509">
        <f t="shared" si="383"/>
        <v>450</v>
      </c>
      <c r="CL212" s="1689">
        <f t="shared" si="384"/>
        <v>450</v>
      </c>
      <c r="CM212" s="1689">
        <f t="shared" si="375"/>
        <v>0</v>
      </c>
      <c r="CN212" s="510">
        <f t="shared" si="385"/>
        <v>50.7</v>
      </c>
      <c r="CO212" s="511">
        <v>0</v>
      </c>
      <c r="CP212" s="510">
        <f t="shared" si="386"/>
        <v>78</v>
      </c>
      <c r="CQ212" s="510">
        <f t="shared" si="387"/>
        <v>0</v>
      </c>
      <c r="CR212" s="496">
        <f t="shared" si="388"/>
        <v>1028.7</v>
      </c>
      <c r="CS212" s="510">
        <f t="shared" si="389"/>
        <v>70.59</v>
      </c>
      <c r="CT212" s="510">
        <f t="shared" si="390"/>
        <v>6255</v>
      </c>
      <c r="CU212" s="470"/>
      <c r="CV212" s="470"/>
      <c r="CW212" s="470"/>
      <c r="CX212" s="470"/>
      <c r="CY212" s="1149" t="s">
        <v>6828</v>
      </c>
      <c r="CZ212" s="1149" t="s">
        <v>6927</v>
      </c>
      <c r="DA212" s="1152"/>
      <c r="DB212" s="1642" t="s">
        <v>6777</v>
      </c>
      <c r="DC212" s="1642"/>
      <c r="DD212" s="1642" t="s">
        <v>6174</v>
      </c>
      <c r="DE212" s="1642" t="s">
        <v>6245</v>
      </c>
      <c r="DF212" s="1642" t="s">
        <v>7523</v>
      </c>
      <c r="DG212" s="1642" t="s">
        <v>7524</v>
      </c>
      <c r="DH212" s="512"/>
      <c r="DI212" s="512"/>
      <c r="DJ212" s="512"/>
      <c r="DK212" s="512"/>
      <c r="DL212" s="512"/>
      <c r="DN212" s="476" t="str">
        <f>VLOOKUP(X212,Hoja1!$A$4:$B$10,2,0)</f>
        <v>BACHILLER</v>
      </c>
      <c r="DO212" s="476" t="str">
        <f>VLOOKUP(S212,Hoja1!$D$4:$F$77,3,0)</f>
        <v>BI</v>
      </c>
      <c r="DP212" s="1451" t="str">
        <f t="shared" si="391"/>
        <v>SI</v>
      </c>
      <c r="DQ212" s="1484">
        <f>IF(T212&lt;&gt;"0",(ROUND(IF(A212="EMPLEADO",eval_formula('CONCEPTOS Y PARAMETROS'!$C$8,NOMINA!V212,AU212+BF212,NOMINA!I212+NOMINA!J212),eval_formula('CONCEPTOS Y PARAMETROS'!$D$8,NOMINA!V212,AU212+BF212,NOMINA!I212+NOMINA!J212)),2))*IF(H212&lt;&gt;"",IF(MONTH(H212)=$BR$8,IF(YEAR(H212)&lt;$BT$7,1,0),0)))</f>
        <v>0</v>
      </c>
      <c r="DR212" s="1799" t="str">
        <f t="shared" si="392"/>
        <v>M</v>
      </c>
      <c r="DS212" s="1799"/>
    </row>
    <row r="213" spans="1:123" s="471" customFormat="1" ht="21.95" customHeight="1" x14ac:dyDescent="0.25">
      <c r="A213" s="508" t="s">
        <v>2846</v>
      </c>
      <c r="B213" s="1314">
        <f t="shared" ca="1" si="471"/>
        <v>170</v>
      </c>
      <c r="C213" s="1148">
        <v>18095603</v>
      </c>
      <c r="D213" s="1149" t="s">
        <v>4853</v>
      </c>
      <c r="E213" s="1135" t="s">
        <v>4622</v>
      </c>
      <c r="F213" s="1150">
        <v>32081</v>
      </c>
      <c r="G213" s="1135" t="s">
        <v>4620</v>
      </c>
      <c r="H213" s="1150">
        <v>42963</v>
      </c>
      <c r="I213" s="1140">
        <f t="shared" si="376"/>
        <v>8</v>
      </c>
      <c r="J213" s="1132">
        <v>0</v>
      </c>
      <c r="K213" s="1140">
        <f t="shared" si="371"/>
        <v>8</v>
      </c>
      <c r="L213" s="1145" t="s">
        <v>5536</v>
      </c>
      <c r="M213" s="1132"/>
      <c r="N213" s="1132"/>
      <c r="O213" s="1002" t="s">
        <v>5250</v>
      </c>
      <c r="P213" s="1132" t="s">
        <v>5401</v>
      </c>
      <c r="Q213" s="1315" t="str">
        <f>IFERROR(VLOOKUP(O213,CARGOS!A:E,2,0),"")</f>
        <v>79342</v>
      </c>
      <c r="R213" s="1327" t="s">
        <v>5250</v>
      </c>
      <c r="S213" s="1146" t="s">
        <v>5478</v>
      </c>
      <c r="T213" s="1107">
        <f>IFERROR(VLOOKUP(S213,'TAB EMP'!A:B,2,0),0)</f>
        <v>221</v>
      </c>
      <c r="U213" s="1108">
        <v>0</v>
      </c>
      <c r="V213" s="1107">
        <f t="shared" si="393"/>
        <v>221</v>
      </c>
      <c r="W213" s="1108">
        <f t="shared" si="394"/>
        <v>110.5</v>
      </c>
      <c r="X213" s="1135" t="s">
        <v>2885</v>
      </c>
      <c r="Y213" s="1135"/>
      <c r="Z213" s="1135">
        <v>1</v>
      </c>
      <c r="AA213" s="1107">
        <f>ROUND(IF(H213&lt;&gt;"",VLOOKUP(SUM(I213+J213),'CONCEPTOS Y PARAMETROS'!F:G,2,0)*V213,0),2)</f>
        <v>19.010000000000002</v>
      </c>
      <c r="AB213" s="1107">
        <f>IF(S213&lt;&gt;"",IF(M213="",'CONCEPTOS Y PARAMETROS'!$C$4,0),0)</f>
        <v>130</v>
      </c>
      <c r="AC213" s="1107">
        <f>IF(S213&lt;&gt;"",IF(M213="",'CONCEPTOS Y PARAMETROS'!$C$7*Z213,0),0)</f>
        <v>12.5</v>
      </c>
      <c r="AD213" s="1107">
        <f>IFERROR(ROUND(VLOOKUP($X213,'CONCEPTOS Y PARAMETROS'!H:I,2,0)*($V213+AA213+AB213+AC213),2),0)</f>
        <v>95.63</v>
      </c>
      <c r="AE213" s="1107">
        <f t="shared" si="369"/>
        <v>257.14</v>
      </c>
      <c r="AF213" s="1107">
        <f t="shared" si="395"/>
        <v>9.51</v>
      </c>
      <c r="AG213" s="1107">
        <f t="shared" si="396"/>
        <v>9.5</v>
      </c>
      <c r="AH213" s="1107">
        <f t="shared" si="397"/>
        <v>65</v>
      </c>
      <c r="AI213" s="1107">
        <f t="shared" si="398"/>
        <v>65</v>
      </c>
      <c r="AJ213" s="1107">
        <f t="shared" si="399"/>
        <v>47.82</v>
      </c>
      <c r="AK213" s="1107">
        <f t="shared" si="400"/>
        <v>47.81</v>
      </c>
      <c r="AL213" s="1108">
        <f t="shared" si="401"/>
        <v>134.83000000000001</v>
      </c>
      <c r="AM213" s="1108">
        <f t="shared" si="402"/>
        <v>122.31</v>
      </c>
      <c r="AN213" s="990">
        <v>0</v>
      </c>
      <c r="AO213" s="1147">
        <f>'CONCEPTOS Y PARAMETROS'!$C$18*AN213</f>
        <v>0</v>
      </c>
      <c r="AP213" s="990">
        <v>0</v>
      </c>
      <c r="AQ213" s="1147">
        <f>'CONCEPTOS Y PARAMETROS'!$C$21*AP213</f>
        <v>0</v>
      </c>
      <c r="AR213" s="1318">
        <v>0</v>
      </c>
      <c r="AS213" s="1318">
        <v>0</v>
      </c>
      <c r="AT213" s="1318">
        <f t="shared" si="472"/>
        <v>0</v>
      </c>
      <c r="AU213" s="1108">
        <f t="shared" si="372"/>
        <v>478.14</v>
      </c>
      <c r="AV213" s="1133">
        <v>0</v>
      </c>
      <c r="AW213" s="1108">
        <f t="shared" si="473"/>
        <v>0</v>
      </c>
      <c r="AX213" s="1107">
        <f>IF(T213&lt;&gt;"0",(ROUND(IF(A213="EMPLEADO",eval_formula('CONCEPTOS Y PARAMETROS'!$C$8,NOMINA!V213,NOMINA!$AU213,NOMINA!I213+NOMINA!J213),eval_formula('CONCEPTOS Y PARAMETROS'!$D$8,NOMINA!V213,NOMINA!$AU213,NOMINA!I213+NOMINA!J213)),2))*IF(H213&lt;&gt;"",IF(MONTH(H213)=$BR$8,IF(YEAR(H213)&lt;$BT$7,1,0),0)))</f>
        <v>0</v>
      </c>
      <c r="AY213" s="1108">
        <v>180</v>
      </c>
      <c r="AZ213" s="1107">
        <f>IFERROR(VLOOKUP(AY213,'CONCEPTOS Y PARAMETROS'!Y:Z,2,0),0)</f>
        <v>150</v>
      </c>
      <c r="BA213" s="1107">
        <f t="shared" si="403"/>
        <v>3586.05</v>
      </c>
      <c r="BB213" s="1107">
        <f t="shared" ref="BB213:BB220" si="540">ROUND(AU213/30*$BB$10,2)</f>
        <v>0</v>
      </c>
      <c r="BC213" s="990">
        <v>0</v>
      </c>
      <c r="BD213" s="1107" t="str">
        <f t="shared" si="373"/>
        <v>0</v>
      </c>
      <c r="BE213" s="990">
        <v>0</v>
      </c>
      <c r="BF213" s="1107">
        <f t="shared" si="436"/>
        <v>0</v>
      </c>
      <c r="BG213" s="1108">
        <v>320</v>
      </c>
      <c r="BH213" s="1108">
        <v>0</v>
      </c>
      <c r="BI213" s="1132">
        <v>0</v>
      </c>
      <c r="BJ213" s="1108">
        <v>12.5</v>
      </c>
      <c r="BK213" s="1108">
        <v>0</v>
      </c>
      <c r="BL213" s="1107">
        <f t="shared" si="437"/>
        <v>22.07</v>
      </c>
      <c r="BM213" s="1107">
        <f t="shared" si="438"/>
        <v>2.76</v>
      </c>
      <c r="BN213" s="1107">
        <f t="shared" si="377"/>
        <v>4.78</v>
      </c>
      <c r="BO213" s="1107">
        <v>0</v>
      </c>
      <c r="BP213" s="1107">
        <v>0</v>
      </c>
      <c r="BQ213" s="1320">
        <f t="shared" si="366"/>
        <v>29.61</v>
      </c>
      <c r="BR213" s="1107">
        <f t="shared" si="439"/>
        <v>49.65</v>
      </c>
      <c r="BS213" s="1107">
        <f t="shared" si="440"/>
        <v>11.03</v>
      </c>
      <c r="BT213" s="1107">
        <f t="shared" si="378"/>
        <v>9.56</v>
      </c>
      <c r="BU213" s="1107">
        <v>0</v>
      </c>
      <c r="BV213" s="1108">
        <f t="shared" si="367"/>
        <v>70.239999999999995</v>
      </c>
      <c r="BW213" s="1112">
        <f t="shared" si="368"/>
        <v>99.85</v>
      </c>
      <c r="BX213" s="1112">
        <f t="shared" ref="BX213:BX219" si="541">ROUND(BA213/4,2)</f>
        <v>896.51</v>
      </c>
      <c r="BY213" s="1108">
        <v>0</v>
      </c>
      <c r="BZ213" s="1108">
        <f t="shared" si="365"/>
        <v>896.51</v>
      </c>
      <c r="CA213" s="1321">
        <f>'CONCEPTOS Y PARAMETROS'!$A$102</f>
        <v>6255</v>
      </c>
      <c r="CB213" s="1112">
        <f t="shared" si="379"/>
        <v>215.72000000000003</v>
      </c>
      <c r="CC213" s="1113">
        <f t="shared" si="380"/>
        <v>565.30999999999995</v>
      </c>
      <c r="CD213" s="512"/>
      <c r="CE213" s="512"/>
      <c r="CF213" s="470">
        <f t="shared" si="381"/>
        <v>872.81</v>
      </c>
      <c r="CG213" s="495">
        <f t="shared" si="404"/>
        <v>215.72000000000003</v>
      </c>
      <c r="CH213" s="498">
        <f t="shared" si="382"/>
        <v>12.5</v>
      </c>
      <c r="CI213" s="1490">
        <f t="shared" si="374"/>
        <v>320</v>
      </c>
      <c r="CJ213" s="1502">
        <v>1</v>
      </c>
      <c r="CK213" s="495">
        <f t="shared" si="383"/>
        <v>552.80999999999995</v>
      </c>
      <c r="CL213" s="1689">
        <f t="shared" si="384"/>
        <v>552.80999999999995</v>
      </c>
      <c r="CM213" s="1689">
        <f t="shared" si="375"/>
        <v>0</v>
      </c>
      <c r="CN213" s="496">
        <f t="shared" si="385"/>
        <v>0</v>
      </c>
      <c r="CO213" s="497">
        <v>0</v>
      </c>
      <c r="CP213" s="496">
        <f t="shared" si="386"/>
        <v>0</v>
      </c>
      <c r="CQ213" s="496">
        <f t="shared" si="387"/>
        <v>0</v>
      </c>
      <c r="CR213" s="496">
        <f t="shared" si="388"/>
        <v>1105.6199999999999</v>
      </c>
      <c r="CS213" s="496">
        <f t="shared" si="389"/>
        <v>99.85</v>
      </c>
      <c r="CT213" s="496">
        <f t="shared" si="390"/>
        <v>6255</v>
      </c>
      <c r="CU213" s="470"/>
      <c r="CV213" s="470"/>
      <c r="CW213" s="470"/>
      <c r="CX213" s="470"/>
      <c r="CY213" s="1149" t="s">
        <v>6928</v>
      </c>
      <c r="CZ213" s="1149" t="s">
        <v>6929</v>
      </c>
      <c r="DA213" s="1152"/>
      <c r="DB213" s="1642" t="s">
        <v>6251</v>
      </c>
      <c r="DC213" s="1642"/>
      <c r="DD213" s="1642" t="s">
        <v>6199</v>
      </c>
      <c r="DE213" s="1642" t="s">
        <v>6195</v>
      </c>
      <c r="DF213" s="1642" t="s">
        <v>6604</v>
      </c>
      <c r="DG213" s="1642"/>
      <c r="DH213" s="512"/>
      <c r="DI213" s="512"/>
      <c r="DJ213" s="470"/>
      <c r="DK213" s="470"/>
      <c r="DL213" s="470"/>
      <c r="DN213" s="471" t="str">
        <f>VLOOKUP(X213,Hoja1!$A$4:$B$10,2,0)</f>
        <v>PROFESIONAL</v>
      </c>
      <c r="DO213" s="471" t="str">
        <f>VLOOKUP(S213,Hoja1!$D$4:$F$77,3,0)</f>
        <v>TII - III</v>
      </c>
      <c r="DP213" s="1156" t="str">
        <f t="shared" si="391"/>
        <v>0</v>
      </c>
      <c r="DQ213" s="1484">
        <f>IF(T213&lt;&gt;"0",(ROUND(IF(A213="EMPLEADO",eval_formula('CONCEPTOS Y PARAMETROS'!$C$8,NOMINA!V213,AU213+BF213,NOMINA!I213+NOMINA!J213),eval_formula('CONCEPTOS Y PARAMETROS'!$D$8,NOMINA!V213,AU213+BF213,NOMINA!I213+NOMINA!J213)),2))*IF(H213&lt;&gt;"",IF(MONTH(H213)=$BR$8,IF(YEAR(H213)&lt;$BT$7,1,0),0)))</f>
        <v>0</v>
      </c>
      <c r="DR213" s="1801" t="str">
        <f t="shared" si="392"/>
        <v>F</v>
      </c>
      <c r="DS213" s="1801"/>
    </row>
    <row r="214" spans="1:123" s="476" customFormat="1" ht="21.95" customHeight="1" x14ac:dyDescent="0.25">
      <c r="A214" s="508" t="s">
        <v>2846</v>
      </c>
      <c r="B214" s="1314">
        <f t="shared" ref="B214" ca="1" si="542">OFFSET(B214,-1,0)+1</f>
        <v>171</v>
      </c>
      <c r="C214" s="1148">
        <v>18096996</v>
      </c>
      <c r="D214" s="1149" t="s">
        <v>4680</v>
      </c>
      <c r="E214" s="1135" t="s">
        <v>4622</v>
      </c>
      <c r="F214" s="1118">
        <v>32032</v>
      </c>
      <c r="G214" s="1135" t="s">
        <v>4620</v>
      </c>
      <c r="H214" s="1118">
        <v>44743</v>
      </c>
      <c r="I214" s="1140">
        <f t="shared" si="376"/>
        <v>3</v>
      </c>
      <c r="J214" s="1132">
        <v>0</v>
      </c>
      <c r="K214" s="1140">
        <f t="shared" si="371"/>
        <v>3</v>
      </c>
      <c r="L214" s="1145" t="s">
        <v>5524</v>
      </c>
      <c r="M214" s="1132"/>
      <c r="N214" s="1132"/>
      <c r="O214" s="1002" t="s">
        <v>694</v>
      </c>
      <c r="P214" s="1132" t="s">
        <v>5199</v>
      </c>
      <c r="Q214" s="1315" t="str">
        <f>IFERROR(VLOOKUP(O214,CARGOS!A:E,2,0),"")</f>
        <v>21113</v>
      </c>
      <c r="R214" s="1327" t="s">
        <v>6705</v>
      </c>
      <c r="S214" s="1146" t="s">
        <v>5468</v>
      </c>
      <c r="T214" s="1107">
        <f>IFERROR(VLOOKUP(S214,'TAB EMP'!A:B,2,0),0)</f>
        <v>219</v>
      </c>
      <c r="U214" s="1108">
        <v>0</v>
      </c>
      <c r="V214" s="1107">
        <f t="shared" si="393"/>
        <v>219</v>
      </c>
      <c r="W214" s="1108">
        <f t="shared" si="394"/>
        <v>109.5</v>
      </c>
      <c r="X214" s="1135" t="s">
        <v>2844</v>
      </c>
      <c r="Y214" s="1135"/>
      <c r="Z214" s="1135">
        <v>1</v>
      </c>
      <c r="AA214" s="1107">
        <f>ROUND(IF(H214&lt;&gt;"",VLOOKUP(SUM(I214+J214),'CONCEPTOS Y PARAMETROS'!F:G,2,0)*V214,0),2)</f>
        <v>6.57</v>
      </c>
      <c r="AB214" s="1107">
        <f>IF(S214&lt;&gt;"",IF(M214="",'CONCEPTOS Y PARAMETROS'!$C$4,0),0)</f>
        <v>130</v>
      </c>
      <c r="AC214" s="1107">
        <f>IF(S214&lt;&gt;"",IF(M214="",'CONCEPTOS Y PARAMETROS'!$C$7*Z214,0),0)</f>
        <v>12.5</v>
      </c>
      <c r="AD214" s="1107">
        <f>IFERROR(ROUND(VLOOKUP($X214,'CONCEPTOS Y PARAMETROS'!H:I,2,0)*($V214+AA214+AB214+AC214),2),0)</f>
        <v>73.61</v>
      </c>
      <c r="AE214" s="1107">
        <f t="shared" si="369"/>
        <v>222.68</v>
      </c>
      <c r="AF214" s="1107">
        <f t="shared" si="395"/>
        <v>3.29</v>
      </c>
      <c r="AG214" s="1107">
        <f t="shared" si="396"/>
        <v>3.28</v>
      </c>
      <c r="AH214" s="1107">
        <f t="shared" si="397"/>
        <v>65</v>
      </c>
      <c r="AI214" s="1107">
        <f t="shared" si="398"/>
        <v>65</v>
      </c>
      <c r="AJ214" s="1107">
        <f t="shared" si="399"/>
        <v>36.81</v>
      </c>
      <c r="AK214" s="1107">
        <f t="shared" si="400"/>
        <v>36.799999999999997</v>
      </c>
      <c r="AL214" s="1108">
        <f t="shared" si="401"/>
        <v>117.6</v>
      </c>
      <c r="AM214" s="1108">
        <f t="shared" si="402"/>
        <v>105.08</v>
      </c>
      <c r="AN214" s="1453">
        <v>1</v>
      </c>
      <c r="AO214" s="1147">
        <f>'CONCEPTOS Y PARAMETROS'!$C$18*AN214</f>
        <v>12.5</v>
      </c>
      <c r="AP214" s="990">
        <v>0</v>
      </c>
      <c r="AQ214" s="1147">
        <f>'CONCEPTOS Y PARAMETROS'!$C$21*AP214</f>
        <v>0</v>
      </c>
      <c r="AR214" s="1318">
        <v>0</v>
      </c>
      <c r="AS214" s="1318">
        <v>0</v>
      </c>
      <c r="AT214" s="1318">
        <f t="shared" ref="AT214:AT215" si="543">+AO214+AQ214+AR214+AS214</f>
        <v>12.5</v>
      </c>
      <c r="AU214" s="1108">
        <f t="shared" si="372"/>
        <v>441.68</v>
      </c>
      <c r="AV214" s="1133">
        <v>0</v>
      </c>
      <c r="AW214" s="1108">
        <f>ROUND(IF(O214="VIGILANTE",(V214+AE214)*30%,0),2)</f>
        <v>0</v>
      </c>
      <c r="AX214" s="1107">
        <f>IF(T214&lt;&gt;"0",(ROUND(IF(A214="EMPLEADO",eval_formula('CONCEPTOS Y PARAMETROS'!$C$8,NOMINA!V214,NOMINA!$AU214,NOMINA!I214+NOMINA!J214),eval_formula('CONCEPTOS Y PARAMETROS'!$D$8,NOMINA!V214,NOMINA!$AU214,NOMINA!I214+NOMINA!J214)),2))*IF(H214&lt;&gt;"",IF(MONTH(H214)=$BR$8,IF(YEAR(H214)&lt;$BT$7,1,0),0)))</f>
        <v>0</v>
      </c>
      <c r="AY214" s="1108">
        <v>180</v>
      </c>
      <c r="AZ214" s="1107">
        <f>IFERROR(VLOOKUP(AY214,'CONCEPTOS Y PARAMETROS'!Y:Z,2,0),0)</f>
        <v>150</v>
      </c>
      <c r="BA214" s="1107">
        <f t="shared" si="403"/>
        <v>3312.6</v>
      </c>
      <c r="BB214" s="1107">
        <f t="shared" si="540"/>
        <v>0</v>
      </c>
      <c r="BC214" s="990">
        <v>0</v>
      </c>
      <c r="BD214" s="1107" t="str">
        <f t="shared" si="373"/>
        <v>0</v>
      </c>
      <c r="BE214" s="990">
        <v>0</v>
      </c>
      <c r="BF214" s="1107">
        <f t="shared" si="436"/>
        <v>0</v>
      </c>
      <c r="BG214" s="1108">
        <v>320</v>
      </c>
      <c r="BH214" s="1108">
        <v>0</v>
      </c>
      <c r="BI214" s="1132">
        <v>0</v>
      </c>
      <c r="BJ214" s="1108">
        <v>12.5</v>
      </c>
      <c r="BK214" s="1108">
        <v>0</v>
      </c>
      <c r="BL214" s="1107">
        <f t="shared" si="437"/>
        <v>20.39</v>
      </c>
      <c r="BM214" s="1107">
        <f t="shared" si="438"/>
        <v>2.5499999999999998</v>
      </c>
      <c r="BN214" s="1107">
        <f t="shared" si="377"/>
        <v>4.42</v>
      </c>
      <c r="BO214" s="1107">
        <v>0</v>
      </c>
      <c r="BP214" s="1107">
        <v>0</v>
      </c>
      <c r="BQ214" s="1320">
        <f t="shared" ref="BQ214" si="544">ROUND(SUM(BL214:BP214),2)</f>
        <v>27.36</v>
      </c>
      <c r="BR214" s="1107">
        <f t="shared" si="439"/>
        <v>45.87</v>
      </c>
      <c r="BS214" s="1107">
        <f t="shared" si="440"/>
        <v>10.19</v>
      </c>
      <c r="BT214" s="1107">
        <f t="shared" si="378"/>
        <v>8.84</v>
      </c>
      <c r="BU214" s="1107">
        <v>0</v>
      </c>
      <c r="BV214" s="1108">
        <f t="shared" ref="BV214:BV215" si="545">ROUND(SUM(BR214:BT214),2)</f>
        <v>64.900000000000006</v>
      </c>
      <c r="BW214" s="1112">
        <f t="shared" ref="BW214:BW215" si="546">BQ214+BV214</f>
        <v>92.26</v>
      </c>
      <c r="BX214" s="1112">
        <f t="shared" si="541"/>
        <v>828.15</v>
      </c>
      <c r="BY214" s="1108">
        <v>0</v>
      </c>
      <c r="BZ214" s="1108">
        <f t="shared" si="365"/>
        <v>828.15</v>
      </c>
      <c r="CA214" s="1321">
        <f>'CONCEPTOS Y PARAMETROS'!$A$102</f>
        <v>6255</v>
      </c>
      <c r="CB214" s="1112">
        <f t="shared" si="379"/>
        <v>199.74</v>
      </c>
      <c r="CC214" s="1113">
        <f t="shared" si="380"/>
        <v>559.58000000000004</v>
      </c>
      <c r="CD214" s="512"/>
      <c r="CE214" s="512"/>
      <c r="CF214" s="470">
        <f t="shared" si="381"/>
        <v>854.57999999999993</v>
      </c>
      <c r="CG214" s="509">
        <f t="shared" si="404"/>
        <v>199.74</v>
      </c>
      <c r="CH214" s="498">
        <f t="shared" si="382"/>
        <v>25</v>
      </c>
      <c r="CI214" s="1491">
        <f t="shared" si="374"/>
        <v>320</v>
      </c>
      <c r="CJ214" s="1502">
        <v>1</v>
      </c>
      <c r="CK214" s="509">
        <f t="shared" si="383"/>
        <v>534.57999999999993</v>
      </c>
      <c r="CL214" s="1689">
        <f t="shared" si="384"/>
        <v>534.58000000000004</v>
      </c>
      <c r="CM214" s="1689">
        <f t="shared" si="375"/>
        <v>0</v>
      </c>
      <c r="CN214" s="510">
        <f t="shared" si="385"/>
        <v>0</v>
      </c>
      <c r="CO214" s="511">
        <v>0</v>
      </c>
      <c r="CP214" s="510">
        <f t="shared" si="386"/>
        <v>0</v>
      </c>
      <c r="CQ214" s="510">
        <f t="shared" si="387"/>
        <v>0</v>
      </c>
      <c r="CR214" s="496">
        <f t="shared" si="388"/>
        <v>1069.1599999999999</v>
      </c>
      <c r="CS214" s="510">
        <f t="shared" si="389"/>
        <v>92.26</v>
      </c>
      <c r="CT214" s="510">
        <f t="shared" si="390"/>
        <v>6255</v>
      </c>
      <c r="CU214" s="470"/>
      <c r="CV214" s="470"/>
      <c r="CW214" s="470"/>
      <c r="CX214" s="470"/>
      <c r="CY214" s="1149" t="s">
        <v>6846</v>
      </c>
      <c r="CZ214" s="1149" t="s">
        <v>6930</v>
      </c>
      <c r="DA214" s="1152"/>
      <c r="DB214" s="1642" t="s">
        <v>6157</v>
      </c>
      <c r="DC214" s="1642"/>
      <c r="DD214" s="1642" t="s">
        <v>6158</v>
      </c>
      <c r="DE214" s="1642" t="s">
        <v>6159</v>
      </c>
      <c r="DF214" s="1642" t="s">
        <v>6160</v>
      </c>
      <c r="DG214" s="1642"/>
      <c r="DH214" s="512"/>
      <c r="DI214" s="512"/>
      <c r="DJ214" s="512"/>
      <c r="DK214" s="512"/>
      <c r="DL214" s="512"/>
      <c r="DN214" s="476" t="str">
        <f>VLOOKUP(X214,Hoja1!$A$4:$B$10,2,0)</f>
        <v>TÉCNICO SUPERIOR UNIVERSITARIO</v>
      </c>
      <c r="DO214" s="476" t="str">
        <f>VLOOKUP(S214,Hoja1!$D$4:$F$77,3,0)</f>
        <v>TII - II</v>
      </c>
      <c r="DP214" s="1261" t="str">
        <f t="shared" si="391"/>
        <v>0</v>
      </c>
      <c r="DQ214" s="1484">
        <f>IF(T214&lt;&gt;"0",(ROUND(IF(A214="EMPLEADO",eval_formula('CONCEPTOS Y PARAMETROS'!$C$8,NOMINA!V214,AU214+BF214,NOMINA!I214+NOMINA!J214),eval_formula('CONCEPTOS Y PARAMETROS'!$D$8,NOMINA!V214,AU214+BF214,NOMINA!I214+NOMINA!J214)),2))*IF(H214&lt;&gt;"",IF(MONTH(H214)=$BR$8,IF(YEAR(H214)&lt;$BT$7,1,0),0)))</f>
        <v>0</v>
      </c>
      <c r="DR214" s="1799" t="str">
        <f t="shared" si="392"/>
        <v>F</v>
      </c>
      <c r="DS214" s="1799"/>
    </row>
    <row r="215" spans="1:123" s="476" customFormat="1" ht="21.95" customHeight="1" x14ac:dyDescent="0.2">
      <c r="A215" s="508" t="s">
        <v>2846</v>
      </c>
      <c r="B215" s="1314">
        <f t="shared" ca="1" si="471"/>
        <v>172</v>
      </c>
      <c r="C215" s="1148">
        <v>18097528</v>
      </c>
      <c r="D215" s="1149" t="s">
        <v>6693</v>
      </c>
      <c r="E215" s="1135" t="s">
        <v>4622</v>
      </c>
      <c r="F215" s="1150">
        <v>31404</v>
      </c>
      <c r="G215" s="1135" t="s">
        <v>4621</v>
      </c>
      <c r="H215" s="1150">
        <v>45536</v>
      </c>
      <c r="I215" s="1140">
        <f t="shared" si="376"/>
        <v>1</v>
      </c>
      <c r="J215" s="1132">
        <v>0</v>
      </c>
      <c r="K215" s="1140">
        <f t="shared" si="371"/>
        <v>1</v>
      </c>
      <c r="L215" s="1351" t="s">
        <v>5546</v>
      </c>
      <c r="M215" s="1132"/>
      <c r="N215" s="1132"/>
      <c r="O215" s="1002" t="s">
        <v>5218</v>
      </c>
      <c r="P215" s="1151" t="s">
        <v>6694</v>
      </c>
      <c r="Q215" s="1315" t="str">
        <f>IFERROR(VLOOKUP(O215,CARGOS!A:E,2,0),"")</f>
        <v>79511</v>
      </c>
      <c r="R215" s="1327" t="s">
        <v>5218</v>
      </c>
      <c r="S215" s="1146" t="s">
        <v>5470</v>
      </c>
      <c r="T215" s="1107">
        <f>IFERROR(VLOOKUP(S215,'TAB EMP'!A:B,2,0),0)</f>
        <v>130</v>
      </c>
      <c r="U215" s="1108">
        <v>0</v>
      </c>
      <c r="V215" s="1107">
        <f t="shared" ref="V215" si="547">T215-U215</f>
        <v>130</v>
      </c>
      <c r="W215" s="1108">
        <f t="shared" ref="W215" si="548">ROUND(V215/2,2)</f>
        <v>65</v>
      </c>
      <c r="X215" s="1135" t="s">
        <v>2884</v>
      </c>
      <c r="Y215" s="1135"/>
      <c r="Z215" s="1135">
        <v>2</v>
      </c>
      <c r="AA215" s="1107">
        <f>ROUND(IF(H215&lt;&gt;"",VLOOKUP(SUM(I215+J215),'CONCEPTOS Y PARAMETROS'!F:G,2,0)*V215,0),2)</f>
        <v>1.3</v>
      </c>
      <c r="AB215" s="1107">
        <f>IF(S215&lt;&gt;"",IF(M215="",'CONCEPTOS Y PARAMETROS'!$C$4,0),0)</f>
        <v>130</v>
      </c>
      <c r="AC215" s="1107">
        <f>IF(S215&lt;&gt;"",IF(M215="",'CONCEPTOS Y PARAMETROS'!$C$7*Z215,0),0)</f>
        <v>25</v>
      </c>
      <c r="AD215" s="1107">
        <f>IFERROR(ROUND(VLOOKUP($X215,'CONCEPTOS Y PARAMETROS'!H:I,2,0)*($V215+AA215+AB215+AC215),2),0)</f>
        <v>0</v>
      </c>
      <c r="AE215" s="1107">
        <f t="shared" ref="AE215" si="549">SUM(AA215:AD215)</f>
        <v>156.30000000000001</v>
      </c>
      <c r="AF215" s="1107">
        <f t="shared" ref="AF215" si="550">ROUND(AA215/2,2)</f>
        <v>0.65</v>
      </c>
      <c r="AG215" s="1107">
        <f t="shared" ref="AG215" si="551">ROUND(AA215-AF215,2)</f>
        <v>0.65</v>
      </c>
      <c r="AH215" s="1107">
        <f t="shared" ref="AH215" si="552">ROUND(AB215/2,2)</f>
        <v>65</v>
      </c>
      <c r="AI215" s="1107">
        <f t="shared" ref="AI215" si="553">ROUND(AB215-AH215,2)</f>
        <v>65</v>
      </c>
      <c r="AJ215" s="1107">
        <f t="shared" ref="AJ215" si="554">ROUND(AD215/2,2)</f>
        <v>0</v>
      </c>
      <c r="AK215" s="1107">
        <f t="shared" ref="AK215" si="555">ROUND(AD215-AJ215,2)</f>
        <v>0</v>
      </c>
      <c r="AL215" s="1108">
        <f t="shared" ref="AL215" si="556">ROUND(AF215+AH215+AJ215+AC215,2)</f>
        <v>90.65</v>
      </c>
      <c r="AM215" s="1108">
        <f t="shared" ref="AM215" si="557">ROUND(AG215+AI215+AK215,2)</f>
        <v>65.650000000000006</v>
      </c>
      <c r="AN215" s="990">
        <v>0</v>
      </c>
      <c r="AO215" s="1147">
        <f>'CONCEPTOS Y PARAMETROS'!$C$18*AN215</f>
        <v>0</v>
      </c>
      <c r="AP215" s="990">
        <v>0</v>
      </c>
      <c r="AQ215" s="1147">
        <f>'CONCEPTOS Y PARAMETROS'!$C$21*AP215</f>
        <v>0</v>
      </c>
      <c r="AR215" s="1318">
        <v>0</v>
      </c>
      <c r="AS215" s="1318">
        <v>0</v>
      </c>
      <c r="AT215" s="1318">
        <f t="shared" si="543"/>
        <v>0</v>
      </c>
      <c r="AU215" s="1108">
        <f t="shared" si="372"/>
        <v>372.19</v>
      </c>
      <c r="AV215" s="1133" t="s">
        <v>5080</v>
      </c>
      <c r="AW215" s="1108">
        <f t="shared" ref="AW215:AW224" si="558">ROUND(IF(AV215="NOCTURN",(V215+AE215)*30%,0),2)</f>
        <v>85.89</v>
      </c>
      <c r="AX215" s="1107">
        <f>IF(T215&lt;&gt;"0",(ROUND(IF(A215="EMPLEADO",eval_formula('CONCEPTOS Y PARAMETROS'!$C$8,NOMINA!V215,NOMINA!$AU215,NOMINA!I215+NOMINA!J215),eval_formula('CONCEPTOS Y PARAMETROS'!$D$8,NOMINA!V215,NOMINA!$AU215,NOMINA!I215+NOMINA!J215)),2))*IF(H215&lt;&gt;"",IF(MONTH(H215)=$BR$8,IF(YEAR(H215)&lt;$BT$7,1,0),0)))</f>
        <v>2977.52</v>
      </c>
      <c r="AY215" s="1108">
        <v>60</v>
      </c>
      <c r="AZ215" s="1107">
        <f>IFERROR(VLOOKUP(AY215,'CONCEPTOS Y PARAMETROS'!Y:Z,2,0),0)</f>
        <v>50</v>
      </c>
      <c r="BA215" s="1107">
        <f t="shared" ref="BA215" si="559">ROUND((((AU215))/30*AY215/12+(AU215))/30*AZ215,2)</f>
        <v>723.7</v>
      </c>
      <c r="BB215" s="1107">
        <f t="shared" si="540"/>
        <v>0</v>
      </c>
      <c r="BC215" s="990">
        <v>0</v>
      </c>
      <c r="BD215" s="1107" t="str">
        <f t="shared" si="373"/>
        <v>0</v>
      </c>
      <c r="BE215" s="990">
        <v>3</v>
      </c>
      <c r="BF215" s="1107">
        <f t="shared" si="436"/>
        <v>55.83</v>
      </c>
      <c r="BG215" s="1108">
        <v>320</v>
      </c>
      <c r="BH215" s="1108">
        <v>0</v>
      </c>
      <c r="BI215" s="1132">
        <v>0</v>
      </c>
      <c r="BJ215" s="1108">
        <v>12.5</v>
      </c>
      <c r="BK215" s="1108">
        <v>0</v>
      </c>
      <c r="BL215" s="1107">
        <f t="shared" si="437"/>
        <v>17.18</v>
      </c>
      <c r="BM215" s="1107">
        <f t="shared" si="438"/>
        <v>2.15</v>
      </c>
      <c r="BN215" s="1107">
        <f t="shared" si="377"/>
        <v>3.72</v>
      </c>
      <c r="BO215" s="1107">
        <v>0</v>
      </c>
      <c r="BP215" s="1107">
        <v>0</v>
      </c>
      <c r="BQ215" s="1320">
        <f t="shared" ref="BQ215" si="560">ROUND(SUM(BL215:BP215),2)</f>
        <v>23.05</v>
      </c>
      <c r="BR215" s="1107">
        <f t="shared" si="439"/>
        <v>38.65</v>
      </c>
      <c r="BS215" s="1107">
        <f t="shared" si="440"/>
        <v>8.59</v>
      </c>
      <c r="BT215" s="1107">
        <f t="shared" si="378"/>
        <v>7.44</v>
      </c>
      <c r="BU215" s="1107">
        <v>0</v>
      </c>
      <c r="BV215" s="1108">
        <f t="shared" si="545"/>
        <v>54.68</v>
      </c>
      <c r="BW215" s="1112">
        <f t="shared" si="546"/>
        <v>77.73</v>
      </c>
      <c r="BX215" s="1112">
        <f t="shared" si="541"/>
        <v>180.93</v>
      </c>
      <c r="BY215" s="1108">
        <v>0</v>
      </c>
      <c r="BZ215" s="1108">
        <f t="shared" si="365"/>
        <v>180.93</v>
      </c>
      <c r="CA215" s="1321">
        <f>'CONCEPTOS Y PARAMETROS'!$A$102</f>
        <v>6255</v>
      </c>
      <c r="CB215" s="1112">
        <f t="shared" si="379"/>
        <v>132.6</v>
      </c>
      <c r="CC215" s="1113">
        <f t="shared" si="380"/>
        <v>3582.39</v>
      </c>
      <c r="CD215" s="512"/>
      <c r="CE215" s="512"/>
      <c r="CF215" s="470">
        <f t="shared" si="381"/>
        <v>770.65</v>
      </c>
      <c r="CG215" s="509">
        <f t="shared" si="404"/>
        <v>132.6</v>
      </c>
      <c r="CH215" s="498">
        <f t="shared" si="382"/>
        <v>12.5</v>
      </c>
      <c r="CI215" s="1491">
        <f t="shared" si="374"/>
        <v>320</v>
      </c>
      <c r="CJ215" s="1502">
        <v>1</v>
      </c>
      <c r="CK215" s="509">
        <f t="shared" si="383"/>
        <v>450.65</v>
      </c>
      <c r="CL215" s="1689">
        <f t="shared" si="384"/>
        <v>450.65</v>
      </c>
      <c r="CM215" s="1689">
        <f t="shared" si="375"/>
        <v>0</v>
      </c>
      <c r="CN215" s="510">
        <f t="shared" si="385"/>
        <v>55.83</v>
      </c>
      <c r="CO215" s="511">
        <v>0</v>
      </c>
      <c r="CP215" s="510">
        <f t="shared" si="386"/>
        <v>85.89</v>
      </c>
      <c r="CQ215" s="510">
        <f t="shared" si="387"/>
        <v>2977.52</v>
      </c>
      <c r="CR215" s="496">
        <f t="shared" si="388"/>
        <v>4020.54</v>
      </c>
      <c r="CS215" s="510">
        <f t="shared" si="389"/>
        <v>77.73</v>
      </c>
      <c r="CT215" s="510">
        <f t="shared" si="390"/>
        <v>6255</v>
      </c>
      <c r="CU215" s="470"/>
      <c r="CV215" s="470"/>
      <c r="CW215" s="470"/>
      <c r="CX215" s="470"/>
      <c r="CY215" s="1149" t="s">
        <v>6907</v>
      </c>
      <c r="CZ215" s="1149" t="s">
        <v>6931</v>
      </c>
      <c r="DA215" s="1152"/>
      <c r="DB215" s="1642" t="s">
        <v>6695</v>
      </c>
      <c r="DC215" s="1642"/>
      <c r="DD215" s="1642" t="s">
        <v>7510</v>
      </c>
      <c r="DE215" s="1642"/>
      <c r="DF215" s="1648" t="s">
        <v>7509</v>
      </c>
      <c r="DG215" s="1648" t="s">
        <v>7508</v>
      </c>
      <c r="DH215" s="512"/>
      <c r="DI215" s="512"/>
      <c r="DJ215" s="512"/>
      <c r="DK215" s="512"/>
      <c r="DL215" s="512"/>
      <c r="DN215" s="476" t="str">
        <f>VLOOKUP(X215,Hoja1!$A$4:$B$10,2,0)</f>
        <v>BACHILLER</v>
      </c>
      <c r="DO215" s="476" t="str">
        <f>VLOOKUP(S215,Hoja1!$D$4:$F$77,3,0)</f>
        <v>BI</v>
      </c>
      <c r="DP215" s="1177" t="str">
        <f t="shared" si="391"/>
        <v>SI</v>
      </c>
      <c r="DQ215" s="1484">
        <f>IF(T215&lt;&gt;"0",(ROUND(IF(A215="EMPLEADO",eval_formula('CONCEPTOS Y PARAMETROS'!$C$8,NOMINA!V215,AU215+BF215,NOMINA!I215+NOMINA!J215),eval_formula('CONCEPTOS Y PARAMETROS'!$D$8,NOMINA!V215,AU215+BF215,NOMINA!I215+NOMINA!J215)),2))*IF(H215&lt;&gt;"",IF(MONTH(H215)=$BR$8,IF(YEAR(H215)&lt;$BT$7,1,0),0)))</f>
        <v>3424.16</v>
      </c>
      <c r="DR215" s="1799" t="str">
        <f t="shared" si="392"/>
        <v>M</v>
      </c>
      <c r="DS215" s="1799"/>
    </row>
    <row r="216" spans="1:123" s="471" customFormat="1" ht="21.95" customHeight="1" x14ac:dyDescent="0.25">
      <c r="A216" s="508" t="s">
        <v>2846</v>
      </c>
      <c r="B216" s="1314">
        <f t="shared" ca="1" si="471"/>
        <v>173</v>
      </c>
      <c r="C216" s="1148">
        <v>18097873</v>
      </c>
      <c r="D216" s="1149" t="s">
        <v>4855</v>
      </c>
      <c r="E216" s="1135" t="s">
        <v>4622</v>
      </c>
      <c r="F216" s="1150">
        <v>31760</v>
      </c>
      <c r="G216" s="1135" t="s">
        <v>4620</v>
      </c>
      <c r="H216" s="1150">
        <v>44531</v>
      </c>
      <c r="I216" s="1140">
        <f t="shared" si="376"/>
        <v>3</v>
      </c>
      <c r="J216" s="1132">
        <v>0</v>
      </c>
      <c r="K216" s="1140">
        <f t="shared" si="371"/>
        <v>3</v>
      </c>
      <c r="L216" s="1145" t="s">
        <v>5536</v>
      </c>
      <c r="M216" s="1132"/>
      <c r="N216" s="1132"/>
      <c r="O216" s="1002" t="s">
        <v>5218</v>
      </c>
      <c r="P216" s="1132" t="s">
        <v>5402</v>
      </c>
      <c r="Q216" s="1315" t="str">
        <f>IFERROR(VLOOKUP(O216,CARGOS!A:E,2,0),"")</f>
        <v>79511</v>
      </c>
      <c r="R216" s="1327" t="s">
        <v>5218</v>
      </c>
      <c r="S216" s="1146" t="s">
        <v>5477</v>
      </c>
      <c r="T216" s="1107">
        <f>IFERROR(VLOOKUP(S216,'TAB EMP'!A:B,2,0),0)</f>
        <v>150</v>
      </c>
      <c r="U216" s="1108">
        <v>0</v>
      </c>
      <c r="V216" s="1107">
        <f t="shared" si="393"/>
        <v>150</v>
      </c>
      <c r="W216" s="1108">
        <f t="shared" si="394"/>
        <v>75</v>
      </c>
      <c r="X216" s="1135" t="s">
        <v>2884</v>
      </c>
      <c r="Y216" s="1135"/>
      <c r="Z216" s="1135">
        <v>2</v>
      </c>
      <c r="AA216" s="1107">
        <f>ROUND(IF(H216&lt;&gt;"",VLOOKUP(SUM(I216+J216),'CONCEPTOS Y PARAMETROS'!F:G,2,0)*V216,0),2)</f>
        <v>4.5</v>
      </c>
      <c r="AB216" s="1107">
        <f>IF(S216&lt;&gt;"",IF(M216="",'CONCEPTOS Y PARAMETROS'!$C$4,0),0)</f>
        <v>130</v>
      </c>
      <c r="AC216" s="1107">
        <f>IF(S216&lt;&gt;"",IF(M216="",'CONCEPTOS Y PARAMETROS'!$C$7*Z216,0),0)</f>
        <v>25</v>
      </c>
      <c r="AD216" s="1107">
        <f>IFERROR(ROUND(VLOOKUP($X216,'CONCEPTOS Y PARAMETROS'!H:I,2,0)*($V216+AA216+AB216+AC216),2),0)</f>
        <v>0</v>
      </c>
      <c r="AE216" s="1107">
        <f t="shared" si="369"/>
        <v>159.5</v>
      </c>
      <c r="AF216" s="1107">
        <f t="shared" si="395"/>
        <v>2.25</v>
      </c>
      <c r="AG216" s="1107">
        <f t="shared" si="396"/>
        <v>2.25</v>
      </c>
      <c r="AH216" s="1107">
        <f t="shared" si="397"/>
        <v>65</v>
      </c>
      <c r="AI216" s="1107">
        <f t="shared" si="398"/>
        <v>65</v>
      </c>
      <c r="AJ216" s="1107">
        <f t="shared" si="399"/>
        <v>0</v>
      </c>
      <c r="AK216" s="1107">
        <f t="shared" si="400"/>
        <v>0</v>
      </c>
      <c r="AL216" s="1108">
        <f t="shared" si="401"/>
        <v>92.25</v>
      </c>
      <c r="AM216" s="1108">
        <f t="shared" si="402"/>
        <v>67.25</v>
      </c>
      <c r="AN216" s="1453">
        <v>2</v>
      </c>
      <c r="AO216" s="1147">
        <f>'CONCEPTOS Y PARAMETROS'!$C$18*AN216</f>
        <v>25</v>
      </c>
      <c r="AP216" s="990">
        <v>0</v>
      </c>
      <c r="AQ216" s="1147">
        <f>'CONCEPTOS Y PARAMETROS'!$C$21*AP216</f>
        <v>0</v>
      </c>
      <c r="AR216" s="1318">
        <v>0</v>
      </c>
      <c r="AS216" s="1318">
        <v>0</v>
      </c>
      <c r="AT216" s="1318">
        <f t="shared" si="472"/>
        <v>25</v>
      </c>
      <c r="AU216" s="1108">
        <f t="shared" si="372"/>
        <v>402.35</v>
      </c>
      <c r="AV216" s="1133" t="s">
        <v>5080</v>
      </c>
      <c r="AW216" s="1108">
        <f t="shared" si="558"/>
        <v>92.85</v>
      </c>
      <c r="AX216" s="1107">
        <f>IF(T216&lt;&gt;"0",(ROUND(IF(A216="EMPLEADO",eval_formula('CONCEPTOS Y PARAMETROS'!$C$8,NOMINA!V216,NOMINA!$AU216,NOMINA!I216+NOMINA!J216),eval_formula('CONCEPTOS Y PARAMETROS'!$D$8,NOMINA!V216,NOMINA!$AU216,NOMINA!I216+NOMINA!J216)),2))*IF(H216&lt;&gt;"",IF(MONTH(H216)=$BR$8,IF(YEAR(H216)&lt;$BT$7,1,0),0)))</f>
        <v>0</v>
      </c>
      <c r="AY216" s="1108">
        <v>180</v>
      </c>
      <c r="AZ216" s="1107">
        <f>IFERROR(VLOOKUP(AY216,'CONCEPTOS Y PARAMETROS'!Y:Z,2,0),0)</f>
        <v>150</v>
      </c>
      <c r="BA216" s="1107">
        <f t="shared" si="403"/>
        <v>3017.63</v>
      </c>
      <c r="BB216" s="1107">
        <f t="shared" si="540"/>
        <v>0</v>
      </c>
      <c r="BC216" s="990">
        <v>0</v>
      </c>
      <c r="BD216" s="1107" t="str">
        <f t="shared" si="373"/>
        <v>0</v>
      </c>
      <c r="BE216" s="990">
        <v>3</v>
      </c>
      <c r="BF216" s="1107">
        <f t="shared" si="436"/>
        <v>60.35</v>
      </c>
      <c r="BG216" s="1108">
        <v>320</v>
      </c>
      <c r="BH216" s="1108">
        <v>0</v>
      </c>
      <c r="BI216" s="1132">
        <v>0</v>
      </c>
      <c r="BJ216" s="1108">
        <v>12.5</v>
      </c>
      <c r="BK216" s="1108">
        <v>0</v>
      </c>
      <c r="BL216" s="1107">
        <f t="shared" si="437"/>
        <v>18.57</v>
      </c>
      <c r="BM216" s="1107">
        <f t="shared" si="438"/>
        <v>2.3199999999999998</v>
      </c>
      <c r="BN216" s="1107">
        <f t="shared" si="377"/>
        <v>4.0199999999999996</v>
      </c>
      <c r="BO216" s="1107">
        <v>0</v>
      </c>
      <c r="BP216" s="1107">
        <v>0</v>
      </c>
      <c r="BQ216" s="1320">
        <f t="shared" si="366"/>
        <v>24.91</v>
      </c>
      <c r="BR216" s="1107">
        <f t="shared" si="439"/>
        <v>41.78</v>
      </c>
      <c r="BS216" s="1107">
        <f t="shared" si="440"/>
        <v>9.2899999999999991</v>
      </c>
      <c r="BT216" s="1107">
        <f t="shared" si="378"/>
        <v>8.0399999999999991</v>
      </c>
      <c r="BU216" s="1107">
        <v>0</v>
      </c>
      <c r="BV216" s="1108">
        <f t="shared" si="367"/>
        <v>59.11</v>
      </c>
      <c r="BW216" s="1112">
        <f t="shared" si="368"/>
        <v>84.02</v>
      </c>
      <c r="BX216" s="1112">
        <f t="shared" si="541"/>
        <v>754.41</v>
      </c>
      <c r="BY216" s="1108">
        <v>0</v>
      </c>
      <c r="BZ216" s="1108">
        <f t="shared" si="365"/>
        <v>754.41</v>
      </c>
      <c r="CA216" s="1321">
        <f>'CONCEPTOS Y PARAMETROS'!$A$102</f>
        <v>6255</v>
      </c>
      <c r="CB216" s="1112">
        <f t="shared" si="379"/>
        <v>142.34</v>
      </c>
      <c r="CC216" s="1113">
        <f t="shared" si="380"/>
        <v>652.95000000000005</v>
      </c>
      <c r="CD216" s="512"/>
      <c r="CE216" s="512"/>
      <c r="CF216" s="470">
        <f t="shared" si="381"/>
        <v>782.25</v>
      </c>
      <c r="CG216" s="495">
        <f t="shared" si="404"/>
        <v>142.34</v>
      </c>
      <c r="CH216" s="498">
        <f t="shared" si="382"/>
        <v>37.5</v>
      </c>
      <c r="CI216" s="1490">
        <f t="shared" si="374"/>
        <v>320</v>
      </c>
      <c r="CJ216" s="1502">
        <v>1</v>
      </c>
      <c r="CK216" s="495">
        <f t="shared" si="383"/>
        <v>462.25</v>
      </c>
      <c r="CL216" s="1689">
        <f t="shared" si="384"/>
        <v>462.25</v>
      </c>
      <c r="CM216" s="1689">
        <f t="shared" si="375"/>
        <v>0</v>
      </c>
      <c r="CN216" s="496">
        <f t="shared" si="385"/>
        <v>60.35</v>
      </c>
      <c r="CO216" s="497">
        <v>0</v>
      </c>
      <c r="CP216" s="496">
        <f t="shared" si="386"/>
        <v>92.85</v>
      </c>
      <c r="CQ216" s="496">
        <f t="shared" si="387"/>
        <v>0</v>
      </c>
      <c r="CR216" s="496">
        <f t="shared" si="388"/>
        <v>1077.7</v>
      </c>
      <c r="CS216" s="496">
        <f t="shared" si="389"/>
        <v>84.02</v>
      </c>
      <c r="CT216" s="496">
        <f t="shared" si="390"/>
        <v>6255</v>
      </c>
      <c r="CU216" s="470"/>
      <c r="CV216" s="470"/>
      <c r="CW216" s="470"/>
      <c r="CX216" s="470"/>
      <c r="CY216" s="1149" t="s">
        <v>6932</v>
      </c>
      <c r="CZ216" s="1149" t="s">
        <v>6933</v>
      </c>
      <c r="DA216" s="1152"/>
      <c r="DB216" s="1642" t="s">
        <v>6298</v>
      </c>
      <c r="DC216" s="1642"/>
      <c r="DD216" s="1642" t="s">
        <v>6150</v>
      </c>
      <c r="DE216" s="1642" t="s">
        <v>6132</v>
      </c>
      <c r="DF216" s="1642" t="s">
        <v>7482</v>
      </c>
      <c r="DG216" s="1642"/>
      <c r="DH216" s="512"/>
      <c r="DI216" s="512"/>
      <c r="DJ216" s="470"/>
      <c r="DK216" s="470"/>
      <c r="DL216" s="470"/>
      <c r="DN216" s="471" t="str">
        <f>VLOOKUP(X216,Hoja1!$A$4:$B$10,2,0)</f>
        <v>BACHILLER</v>
      </c>
      <c r="DO216" s="471" t="str">
        <f>VLOOKUP(S216,Hoja1!$D$4:$F$77,3,0)</f>
        <v>BII - II</v>
      </c>
      <c r="DP216" s="1156" t="str">
        <f t="shared" si="391"/>
        <v>SI</v>
      </c>
      <c r="DQ216" s="1484">
        <f>IF(T216&lt;&gt;"0",(ROUND(IF(A216="EMPLEADO",eval_formula('CONCEPTOS Y PARAMETROS'!$C$8,NOMINA!V216,AU216+BF216,NOMINA!I216+NOMINA!J216),eval_formula('CONCEPTOS Y PARAMETROS'!$D$8,NOMINA!V216,AU216+BF216,NOMINA!I216+NOMINA!J216)),2))*IF(H216&lt;&gt;"",IF(MONTH(H216)=$BR$8,IF(YEAR(H216)&lt;$BT$7,1,0),0)))</f>
        <v>0</v>
      </c>
      <c r="DR216" s="1801" t="str">
        <f t="shared" si="392"/>
        <v>F</v>
      </c>
      <c r="DS216" s="1801"/>
    </row>
    <row r="217" spans="1:123" s="476" customFormat="1" ht="21.95" customHeight="1" x14ac:dyDescent="0.25">
      <c r="A217" s="508" t="s">
        <v>2846</v>
      </c>
      <c r="B217" s="1314">
        <f t="shared" ca="1" si="471"/>
        <v>174</v>
      </c>
      <c r="C217" s="1148">
        <v>18348317</v>
      </c>
      <c r="D217" s="1149" t="s">
        <v>4856</v>
      </c>
      <c r="E217" s="1135" t="s">
        <v>4622</v>
      </c>
      <c r="F217" s="1150">
        <v>32424</v>
      </c>
      <c r="G217" s="1135" t="s">
        <v>4621</v>
      </c>
      <c r="H217" s="1150">
        <v>43160</v>
      </c>
      <c r="I217" s="1140">
        <f t="shared" si="376"/>
        <v>7</v>
      </c>
      <c r="J217" s="1132">
        <v>0</v>
      </c>
      <c r="K217" s="1140">
        <f t="shared" si="371"/>
        <v>7</v>
      </c>
      <c r="L217" s="1145" t="s">
        <v>5536</v>
      </c>
      <c r="M217" s="1132"/>
      <c r="N217" s="1132"/>
      <c r="O217" s="1002" t="s">
        <v>5233</v>
      </c>
      <c r="P217" s="1132" t="s">
        <v>5403</v>
      </c>
      <c r="Q217" s="1315" t="str">
        <f>IFERROR(VLOOKUP(O217,CARGOS!A:E,2,0),"")</f>
        <v>79523</v>
      </c>
      <c r="R217" s="1327" t="s">
        <v>5233</v>
      </c>
      <c r="S217" s="1146" t="s">
        <v>5475</v>
      </c>
      <c r="T217" s="1107">
        <f>IFERROR(VLOOKUP(S217,'TAB EMP'!A:B,2,0),0)</f>
        <v>279</v>
      </c>
      <c r="U217" s="1108">
        <v>0</v>
      </c>
      <c r="V217" s="1107">
        <f t="shared" si="393"/>
        <v>279</v>
      </c>
      <c r="W217" s="1108">
        <f t="shared" si="394"/>
        <v>139.5</v>
      </c>
      <c r="X217" s="1135" t="s">
        <v>2886</v>
      </c>
      <c r="Y217" s="1135"/>
      <c r="Z217" s="1135">
        <v>1</v>
      </c>
      <c r="AA217" s="1107">
        <f>ROUND(IF(H217&lt;&gt;"",VLOOKUP(SUM(I217+J217),'CONCEPTOS Y PARAMETROS'!F:G,2,0)*V217,0),2)</f>
        <v>20.65</v>
      </c>
      <c r="AB217" s="1107">
        <f>IF(S217&lt;&gt;"",IF(M217="",'CONCEPTOS Y PARAMETROS'!$C$4,0),0)</f>
        <v>130</v>
      </c>
      <c r="AC217" s="1107">
        <f>IF(S217&lt;&gt;"",IF(M217="",'CONCEPTOS Y PARAMETROS'!$C$7*Z217,0),0)</f>
        <v>12.5</v>
      </c>
      <c r="AD217" s="1107">
        <f>IFERROR(ROUND(VLOOKUP($X217,'CONCEPTOS Y PARAMETROS'!H:I,2,0)*($V217+AA217+AB217+AC217),2),0)</f>
        <v>132.65</v>
      </c>
      <c r="AE217" s="1107">
        <f t="shared" si="369"/>
        <v>295.8</v>
      </c>
      <c r="AF217" s="1107">
        <f t="shared" si="395"/>
        <v>10.33</v>
      </c>
      <c r="AG217" s="1107">
        <f t="shared" si="396"/>
        <v>10.32</v>
      </c>
      <c r="AH217" s="1107">
        <f t="shared" si="397"/>
        <v>65</v>
      </c>
      <c r="AI217" s="1107">
        <f t="shared" si="398"/>
        <v>65</v>
      </c>
      <c r="AJ217" s="1107">
        <f t="shared" si="399"/>
        <v>66.33</v>
      </c>
      <c r="AK217" s="1107">
        <f t="shared" si="400"/>
        <v>66.319999999999993</v>
      </c>
      <c r="AL217" s="1108">
        <f t="shared" si="401"/>
        <v>154.16</v>
      </c>
      <c r="AM217" s="1108">
        <f t="shared" si="402"/>
        <v>141.63999999999999</v>
      </c>
      <c r="AN217" s="990">
        <v>1</v>
      </c>
      <c r="AO217" s="1147">
        <f>'CONCEPTOS Y PARAMETROS'!$C$18*AN217</f>
        <v>12.5</v>
      </c>
      <c r="AP217" s="990">
        <v>0</v>
      </c>
      <c r="AQ217" s="1147">
        <f>'CONCEPTOS Y PARAMETROS'!$C$21*AP217</f>
        <v>0</v>
      </c>
      <c r="AR217" s="1318">
        <v>0</v>
      </c>
      <c r="AS217" s="1318">
        <v>0</v>
      </c>
      <c r="AT217" s="1318">
        <f t="shared" si="472"/>
        <v>12.5</v>
      </c>
      <c r="AU217" s="1108">
        <f t="shared" si="372"/>
        <v>574.79999999999995</v>
      </c>
      <c r="AV217" s="1133">
        <v>0</v>
      </c>
      <c r="AW217" s="1108">
        <f t="shared" si="558"/>
        <v>0</v>
      </c>
      <c r="AX217" s="1107">
        <f>IF(T217&lt;&gt;"0",(ROUND(IF(A217="EMPLEADO",eval_formula('CONCEPTOS Y PARAMETROS'!$C$8,NOMINA!V217,NOMINA!$AU217,NOMINA!I217+NOMINA!J217),eval_formula('CONCEPTOS Y PARAMETROS'!$D$8,NOMINA!V217,NOMINA!$AU217,NOMINA!I217+NOMINA!J217)),2))*IF(H217&lt;&gt;"",IF(MONTH(H217)=$BR$8,IF(YEAR(H217)&lt;$BT$7,1,0),0)))</f>
        <v>0</v>
      </c>
      <c r="AY217" s="1108">
        <v>180</v>
      </c>
      <c r="AZ217" s="1107">
        <f>IFERROR(VLOOKUP(AY217,'CONCEPTOS Y PARAMETROS'!Y:Z,2,0),0)</f>
        <v>150</v>
      </c>
      <c r="BA217" s="1107">
        <f t="shared" si="403"/>
        <v>4311</v>
      </c>
      <c r="BB217" s="1107">
        <f t="shared" si="540"/>
        <v>0</v>
      </c>
      <c r="BC217" s="990">
        <v>0</v>
      </c>
      <c r="BD217" s="1107" t="str">
        <f t="shared" si="373"/>
        <v>0</v>
      </c>
      <c r="BE217" s="990">
        <v>0</v>
      </c>
      <c r="BF217" s="1107">
        <f t="shared" si="436"/>
        <v>0</v>
      </c>
      <c r="BG217" s="1108">
        <v>320</v>
      </c>
      <c r="BH217" s="1108">
        <v>0</v>
      </c>
      <c r="BI217" s="1132">
        <v>0</v>
      </c>
      <c r="BJ217" s="1108">
        <v>12.5</v>
      </c>
      <c r="BK217" s="1108">
        <v>0</v>
      </c>
      <c r="BL217" s="1107">
        <f t="shared" si="437"/>
        <v>26.53</v>
      </c>
      <c r="BM217" s="1107">
        <f t="shared" si="438"/>
        <v>3.32</v>
      </c>
      <c r="BN217" s="1107">
        <f t="shared" si="377"/>
        <v>5.75</v>
      </c>
      <c r="BO217" s="1107">
        <v>0</v>
      </c>
      <c r="BP217" s="1107">
        <v>0</v>
      </c>
      <c r="BQ217" s="1320">
        <f t="shared" si="366"/>
        <v>35.6</v>
      </c>
      <c r="BR217" s="1107">
        <f t="shared" si="439"/>
        <v>59.69</v>
      </c>
      <c r="BS217" s="1107">
        <f t="shared" si="440"/>
        <v>13.26</v>
      </c>
      <c r="BT217" s="1107">
        <f t="shared" si="378"/>
        <v>11.5</v>
      </c>
      <c r="BU217" s="1107">
        <v>0</v>
      </c>
      <c r="BV217" s="1108">
        <f t="shared" si="367"/>
        <v>84.45</v>
      </c>
      <c r="BW217" s="1112">
        <f t="shared" si="368"/>
        <v>120.05000000000001</v>
      </c>
      <c r="BX217" s="1112">
        <f t="shared" si="541"/>
        <v>1077.75</v>
      </c>
      <c r="BY217" s="1108">
        <v>0</v>
      </c>
      <c r="BZ217" s="1108">
        <f t="shared" si="365"/>
        <v>1077.75</v>
      </c>
      <c r="CA217" s="1321">
        <f>'CONCEPTOS Y PARAMETROS'!$A$102</f>
        <v>6255</v>
      </c>
      <c r="CB217" s="1112">
        <f t="shared" si="379"/>
        <v>258.05999999999995</v>
      </c>
      <c r="CC217" s="1113">
        <f t="shared" si="380"/>
        <v>626.14</v>
      </c>
      <c r="CD217" s="512"/>
      <c r="CE217" s="512"/>
      <c r="CF217" s="470">
        <f t="shared" si="381"/>
        <v>921.14</v>
      </c>
      <c r="CG217" s="509">
        <f t="shared" si="404"/>
        <v>258.05999999999995</v>
      </c>
      <c r="CH217" s="1603">
        <f t="shared" si="382"/>
        <v>25</v>
      </c>
      <c r="CI217" s="1491">
        <f t="shared" si="374"/>
        <v>320</v>
      </c>
      <c r="CJ217" s="1502">
        <v>1</v>
      </c>
      <c r="CK217" s="509">
        <f t="shared" si="383"/>
        <v>601.14</v>
      </c>
      <c r="CL217" s="1689">
        <f t="shared" si="384"/>
        <v>288.55</v>
      </c>
      <c r="CM217" s="1689">
        <f t="shared" si="375"/>
        <v>312.58999999999997</v>
      </c>
      <c r="CN217" s="510">
        <f t="shared" si="385"/>
        <v>0</v>
      </c>
      <c r="CO217" s="511">
        <v>0</v>
      </c>
      <c r="CP217" s="510">
        <f t="shared" si="386"/>
        <v>0</v>
      </c>
      <c r="CQ217" s="510">
        <f t="shared" si="387"/>
        <v>0</v>
      </c>
      <c r="CR217" s="510">
        <f t="shared" si="388"/>
        <v>1202.28</v>
      </c>
      <c r="CS217" s="510">
        <f t="shared" si="389"/>
        <v>120.05000000000001</v>
      </c>
      <c r="CT217" s="510">
        <f t="shared" si="390"/>
        <v>6255</v>
      </c>
      <c r="CU217" s="512"/>
      <c r="CV217" s="512"/>
      <c r="CW217" s="512"/>
      <c r="CX217" s="512"/>
      <c r="CY217" s="1149" t="s">
        <v>6934</v>
      </c>
      <c r="CZ217" s="1149" t="s">
        <v>6935</v>
      </c>
      <c r="DA217" s="1152"/>
      <c r="DB217" s="1642" t="s">
        <v>6336</v>
      </c>
      <c r="DC217" s="1642"/>
      <c r="DD217" s="1642" t="s">
        <v>6150</v>
      </c>
      <c r="DE217" s="1642" t="s">
        <v>6162</v>
      </c>
      <c r="DF217" s="1642" t="s">
        <v>6607</v>
      </c>
      <c r="DG217" s="1642"/>
      <c r="DH217" s="512"/>
      <c r="DI217" s="512"/>
      <c r="DJ217" s="512"/>
      <c r="DK217" s="512"/>
      <c r="DL217" s="512"/>
      <c r="DN217" s="476" t="str">
        <f>VLOOKUP(X217,Hoja1!$A$4:$B$10,2,0)</f>
        <v>ESPECIALISTA</v>
      </c>
      <c r="DO217" s="476" t="str">
        <f>VLOOKUP(S217,Hoja1!$D$4:$F$77,3,0)</f>
        <v>PII - III</v>
      </c>
      <c r="DP217" s="1594" t="str">
        <f t="shared" si="391"/>
        <v>0</v>
      </c>
      <c r="DQ217" s="1484">
        <f>IF(T217&lt;&gt;"0",(ROUND(IF(A217="EMPLEADO",eval_formula('CONCEPTOS Y PARAMETROS'!$C$8,NOMINA!V217,AU217+BF217,NOMINA!I217+NOMINA!J217),eval_formula('CONCEPTOS Y PARAMETROS'!$D$8,NOMINA!V217,AU217+BF217,NOMINA!I217+NOMINA!J217)),2))*IF(H217&lt;&gt;"",IF(MONTH(H217)=$BR$8,IF(YEAR(H217)&lt;$BT$7,1,0),0)))</f>
        <v>0</v>
      </c>
      <c r="DR217" s="1799" t="str">
        <f t="shared" si="392"/>
        <v>M</v>
      </c>
      <c r="DS217" s="1799"/>
    </row>
    <row r="218" spans="1:123" s="471" customFormat="1" ht="21.95" customHeight="1" x14ac:dyDescent="0.25">
      <c r="A218" s="508" t="s">
        <v>2846</v>
      </c>
      <c r="B218" s="1314">
        <f t="shared" ca="1" si="471"/>
        <v>175</v>
      </c>
      <c r="C218" s="1148">
        <v>18348721</v>
      </c>
      <c r="D218" s="1149" t="s">
        <v>4857</v>
      </c>
      <c r="E218" s="1135" t="s">
        <v>4622</v>
      </c>
      <c r="F218" s="1150">
        <v>31657</v>
      </c>
      <c r="G218" s="1135" t="s">
        <v>4620</v>
      </c>
      <c r="H218" s="1150">
        <v>42948</v>
      </c>
      <c r="I218" s="1140">
        <f t="shared" si="376"/>
        <v>8</v>
      </c>
      <c r="J218" s="1132">
        <v>0</v>
      </c>
      <c r="K218" s="1140">
        <f t="shared" si="371"/>
        <v>8</v>
      </c>
      <c r="L218" s="1145" t="s">
        <v>5528</v>
      </c>
      <c r="M218" s="1132"/>
      <c r="N218" s="1132"/>
      <c r="O218" s="1002" t="s">
        <v>5250</v>
      </c>
      <c r="P218" s="1132" t="s">
        <v>5404</v>
      </c>
      <c r="Q218" s="1315" t="str">
        <f>IFERROR(VLOOKUP(O218,CARGOS!A:E,2,0),"")</f>
        <v>79342</v>
      </c>
      <c r="R218" s="1327" t="s">
        <v>5250</v>
      </c>
      <c r="S218" s="1146" t="s">
        <v>5478</v>
      </c>
      <c r="T218" s="1107">
        <f>IFERROR(VLOOKUP(S218,'TAB EMP'!A:B,2,0),0)</f>
        <v>221</v>
      </c>
      <c r="U218" s="1108">
        <v>0</v>
      </c>
      <c r="V218" s="1107">
        <f t="shared" si="393"/>
        <v>221</v>
      </c>
      <c r="W218" s="1108">
        <f t="shared" si="394"/>
        <v>110.5</v>
      </c>
      <c r="X218" s="1135" t="s">
        <v>2844</v>
      </c>
      <c r="Y218" s="1135"/>
      <c r="Z218" s="1135">
        <v>2</v>
      </c>
      <c r="AA218" s="1107">
        <f>ROUND(IF(H218&lt;&gt;"",VLOOKUP(SUM(I218+J218),'CONCEPTOS Y PARAMETROS'!F:G,2,0)*V218,0),2)</f>
        <v>19.010000000000002</v>
      </c>
      <c r="AB218" s="1107">
        <f>IF(S218&lt;&gt;"",IF(M218="",'CONCEPTOS Y PARAMETROS'!$C$4,0),0)</f>
        <v>130</v>
      </c>
      <c r="AC218" s="1107">
        <f>IF(S218&lt;&gt;"",IF(M218="",'CONCEPTOS Y PARAMETROS'!$C$7*Z218,0),0)</f>
        <v>25</v>
      </c>
      <c r="AD218" s="1107">
        <f>IFERROR(ROUND(VLOOKUP($X218,'CONCEPTOS Y PARAMETROS'!H:I,2,0)*($V218+AA218+AB218+AC218),2),0)</f>
        <v>79</v>
      </c>
      <c r="AE218" s="1107">
        <f t="shared" si="369"/>
        <v>253.01</v>
      </c>
      <c r="AF218" s="1107">
        <f t="shared" si="395"/>
        <v>9.51</v>
      </c>
      <c r="AG218" s="1107">
        <f t="shared" si="396"/>
        <v>9.5</v>
      </c>
      <c r="AH218" s="1107">
        <f t="shared" si="397"/>
        <v>65</v>
      </c>
      <c r="AI218" s="1107">
        <f t="shared" si="398"/>
        <v>65</v>
      </c>
      <c r="AJ218" s="1107">
        <f t="shared" si="399"/>
        <v>39.5</v>
      </c>
      <c r="AK218" s="1107">
        <f t="shared" si="400"/>
        <v>39.5</v>
      </c>
      <c r="AL218" s="1108">
        <f t="shared" si="401"/>
        <v>139.01</v>
      </c>
      <c r="AM218" s="1108">
        <f t="shared" si="402"/>
        <v>114</v>
      </c>
      <c r="AN218" s="1453">
        <v>2</v>
      </c>
      <c r="AO218" s="1147">
        <f>'CONCEPTOS Y PARAMETROS'!$C$18*AN218</f>
        <v>25</v>
      </c>
      <c r="AP218" s="990">
        <v>0</v>
      </c>
      <c r="AQ218" s="1147">
        <f>'CONCEPTOS Y PARAMETROS'!$C$21*AP218</f>
        <v>0</v>
      </c>
      <c r="AR218" s="1318">
        <v>0</v>
      </c>
      <c r="AS218" s="1318">
        <v>0</v>
      </c>
      <c r="AT218" s="1318">
        <f t="shared" si="472"/>
        <v>25</v>
      </c>
      <c r="AU218" s="1108">
        <f t="shared" si="372"/>
        <v>474.01</v>
      </c>
      <c r="AV218" s="1133">
        <v>0</v>
      </c>
      <c r="AW218" s="1108">
        <f t="shared" si="558"/>
        <v>0</v>
      </c>
      <c r="AX218" s="1107">
        <f>IF(T218&lt;&gt;"0",(ROUND(IF(A218="EMPLEADO",eval_formula('CONCEPTOS Y PARAMETROS'!$C$8,NOMINA!V218,NOMINA!$AU218,NOMINA!I218+NOMINA!J218),eval_formula('CONCEPTOS Y PARAMETROS'!$D$8,NOMINA!V218,NOMINA!$AU218,NOMINA!I218+NOMINA!J218)),2))*IF(H218&lt;&gt;"",IF(MONTH(H218)=$BR$8,IF(YEAR(H218)&lt;$BT$7,1,0),0)))</f>
        <v>0</v>
      </c>
      <c r="AY218" s="1108">
        <v>180</v>
      </c>
      <c r="AZ218" s="1107">
        <f>IFERROR(VLOOKUP(AY218,'CONCEPTOS Y PARAMETROS'!Y:Z,2,0),0)</f>
        <v>150</v>
      </c>
      <c r="BA218" s="1107">
        <f t="shared" si="403"/>
        <v>3555.08</v>
      </c>
      <c r="BB218" s="1107">
        <f t="shared" si="540"/>
        <v>0</v>
      </c>
      <c r="BC218" s="990">
        <v>0</v>
      </c>
      <c r="BD218" s="1107" t="str">
        <f t="shared" si="373"/>
        <v>0</v>
      </c>
      <c r="BE218" s="990">
        <v>0</v>
      </c>
      <c r="BF218" s="1107">
        <f t="shared" ref="BF218:BF248" si="561">ROUND(IF(BE218&gt;0,(((V218+AA218+AB218+AC218+AD218+AW218)/30)*50%+((V218+AA218+AB218+AC218+AD218+AW218)/30))*BE218,"0"),2)</f>
        <v>0</v>
      </c>
      <c r="BG218" s="1108">
        <v>320</v>
      </c>
      <c r="BH218" s="1108">
        <v>0</v>
      </c>
      <c r="BI218" s="1132">
        <v>0</v>
      </c>
      <c r="BJ218" s="1108">
        <v>12.5</v>
      </c>
      <c r="BK218" s="1108">
        <v>0</v>
      </c>
      <c r="BL218" s="1107">
        <f t="shared" si="437"/>
        <v>21.88</v>
      </c>
      <c r="BM218" s="1107">
        <f t="shared" si="438"/>
        <v>2.73</v>
      </c>
      <c r="BN218" s="1107">
        <f t="shared" si="377"/>
        <v>4.74</v>
      </c>
      <c r="BO218" s="1107">
        <v>0</v>
      </c>
      <c r="BP218" s="1107">
        <v>0</v>
      </c>
      <c r="BQ218" s="1320">
        <f t="shared" si="366"/>
        <v>29.35</v>
      </c>
      <c r="BR218" s="1107">
        <f t="shared" si="439"/>
        <v>49.22</v>
      </c>
      <c r="BS218" s="1107">
        <f t="shared" si="440"/>
        <v>10.94</v>
      </c>
      <c r="BT218" s="1107">
        <f t="shared" si="378"/>
        <v>9.48</v>
      </c>
      <c r="BU218" s="1107">
        <v>0</v>
      </c>
      <c r="BV218" s="1108">
        <f t="shared" si="367"/>
        <v>69.64</v>
      </c>
      <c r="BW218" s="1112">
        <f t="shared" si="368"/>
        <v>98.990000000000009</v>
      </c>
      <c r="BX218" s="1112">
        <f t="shared" si="541"/>
        <v>888.77</v>
      </c>
      <c r="BY218" s="1108">
        <v>0</v>
      </c>
      <c r="BZ218" s="1108">
        <f t="shared" si="365"/>
        <v>888.77</v>
      </c>
      <c r="CA218" s="1321">
        <f>'CONCEPTOS Y PARAMETROS'!$A$102</f>
        <v>6255</v>
      </c>
      <c r="CB218" s="1112">
        <f t="shared" si="379"/>
        <v>220.16</v>
      </c>
      <c r="CC218" s="1113">
        <f t="shared" si="380"/>
        <v>582</v>
      </c>
      <c r="CD218" s="512"/>
      <c r="CE218" s="512"/>
      <c r="CF218" s="470">
        <f t="shared" si="381"/>
        <v>864.5</v>
      </c>
      <c r="CG218" s="495">
        <f t="shared" si="404"/>
        <v>220.16</v>
      </c>
      <c r="CH218" s="498">
        <f t="shared" si="382"/>
        <v>37.5</v>
      </c>
      <c r="CI218" s="1490">
        <f t="shared" si="374"/>
        <v>320</v>
      </c>
      <c r="CJ218" s="1502">
        <v>1</v>
      </c>
      <c r="CK218" s="495">
        <f t="shared" si="383"/>
        <v>544.5</v>
      </c>
      <c r="CL218" s="1689">
        <f t="shared" si="384"/>
        <v>544.5</v>
      </c>
      <c r="CM218" s="1689">
        <f t="shared" si="375"/>
        <v>0</v>
      </c>
      <c r="CN218" s="496">
        <f t="shared" si="385"/>
        <v>0</v>
      </c>
      <c r="CO218" s="497">
        <v>0</v>
      </c>
      <c r="CP218" s="496">
        <f t="shared" si="386"/>
        <v>0</v>
      </c>
      <c r="CQ218" s="496">
        <f t="shared" si="387"/>
        <v>0</v>
      </c>
      <c r="CR218" s="496">
        <f t="shared" si="388"/>
        <v>1089</v>
      </c>
      <c r="CS218" s="496">
        <f t="shared" si="389"/>
        <v>98.990000000000009</v>
      </c>
      <c r="CT218" s="496">
        <f t="shared" si="390"/>
        <v>6255</v>
      </c>
      <c r="CU218" s="470"/>
      <c r="CV218" s="470"/>
      <c r="CW218" s="470"/>
      <c r="CX218" s="470"/>
      <c r="CY218" s="1149" t="s">
        <v>6932</v>
      </c>
      <c r="CZ218" s="1149" t="s">
        <v>6936</v>
      </c>
      <c r="DA218" s="480"/>
      <c r="DB218" s="1642" t="s">
        <v>6278</v>
      </c>
      <c r="DC218" s="1642"/>
      <c r="DD218" s="1642" t="s">
        <v>6199</v>
      </c>
      <c r="DE218" s="1642" t="s">
        <v>6166</v>
      </c>
      <c r="DF218" s="1642" t="s">
        <v>7451</v>
      </c>
      <c r="DG218" s="1642"/>
      <c r="DH218" s="512"/>
      <c r="DI218" s="512"/>
      <c r="DJ218" s="470"/>
      <c r="DK218" s="470"/>
      <c r="DL218" s="470"/>
      <c r="DN218" s="471" t="str">
        <f>VLOOKUP(X218,Hoja1!$A$4:$B$10,2,0)</f>
        <v>TÉCNICO SUPERIOR UNIVERSITARIO</v>
      </c>
      <c r="DO218" s="471" t="str">
        <f>VLOOKUP(S218,Hoja1!$D$4:$F$77,3,0)</f>
        <v>TII - III</v>
      </c>
      <c r="DP218" s="1156" t="str">
        <f t="shared" si="391"/>
        <v>0</v>
      </c>
      <c r="DQ218" s="1484">
        <f>IF(T218&lt;&gt;"0",(ROUND(IF(A218="EMPLEADO",eval_formula('CONCEPTOS Y PARAMETROS'!$C$8,NOMINA!V218,AU218+BF218,NOMINA!I218+NOMINA!J218),eval_formula('CONCEPTOS Y PARAMETROS'!$D$8,NOMINA!V218,AU218+BF218,NOMINA!I218+NOMINA!J218)),2))*IF(H218&lt;&gt;"",IF(MONTH(H218)=$BR$8,IF(YEAR(H218)&lt;$BT$7,1,0),0)))</f>
        <v>0</v>
      </c>
      <c r="DR218" s="1801" t="str">
        <f t="shared" si="392"/>
        <v>F</v>
      </c>
      <c r="DS218" s="1801"/>
    </row>
    <row r="219" spans="1:123" s="471" customFormat="1" ht="21.95" customHeight="1" x14ac:dyDescent="0.25">
      <c r="A219" s="508" t="s">
        <v>2846</v>
      </c>
      <c r="B219" s="1314">
        <f t="shared" ca="1" si="471"/>
        <v>176</v>
      </c>
      <c r="C219" s="1148">
        <v>18349021</v>
      </c>
      <c r="D219" s="1149" t="s">
        <v>4858</v>
      </c>
      <c r="E219" s="1135" t="s">
        <v>4622</v>
      </c>
      <c r="F219" s="1150">
        <v>32519</v>
      </c>
      <c r="G219" s="1135" t="s">
        <v>4620</v>
      </c>
      <c r="H219" s="1150">
        <v>44683</v>
      </c>
      <c r="I219" s="1140">
        <f t="shared" si="376"/>
        <v>3</v>
      </c>
      <c r="J219" s="1132">
        <v>0</v>
      </c>
      <c r="K219" s="1140">
        <f t="shared" si="371"/>
        <v>3</v>
      </c>
      <c r="L219" s="1145" t="s">
        <v>5528</v>
      </c>
      <c r="M219" s="1132"/>
      <c r="N219" s="1132"/>
      <c r="O219" s="1002" t="s">
        <v>5218</v>
      </c>
      <c r="P219" s="1132" t="s">
        <v>5405</v>
      </c>
      <c r="Q219" s="1315" t="str">
        <f>IFERROR(VLOOKUP(O219,CARGOS!A:E,2,0),"")</f>
        <v>79511</v>
      </c>
      <c r="R219" s="1327" t="s">
        <v>5218</v>
      </c>
      <c r="S219" s="1146" t="s">
        <v>5468</v>
      </c>
      <c r="T219" s="1107">
        <f>IFERROR(VLOOKUP(S219,'TAB EMP'!A:B,2,0),0)</f>
        <v>219</v>
      </c>
      <c r="U219" s="1108">
        <v>0</v>
      </c>
      <c r="V219" s="1107">
        <f t="shared" si="393"/>
        <v>219</v>
      </c>
      <c r="W219" s="1108">
        <f t="shared" si="394"/>
        <v>109.5</v>
      </c>
      <c r="X219" s="1135" t="s">
        <v>2885</v>
      </c>
      <c r="Y219" s="1135"/>
      <c r="Z219" s="1135">
        <v>1</v>
      </c>
      <c r="AA219" s="1107">
        <f>ROUND(IF(H219&lt;&gt;"",VLOOKUP(SUM(I219+J219),'CONCEPTOS Y PARAMETROS'!F:G,2,0)*V219,0),2)</f>
        <v>6.57</v>
      </c>
      <c r="AB219" s="1107">
        <f>IF(S219&lt;&gt;"",IF(M219="",'CONCEPTOS Y PARAMETROS'!$C$4,0),0)</f>
        <v>130</v>
      </c>
      <c r="AC219" s="1107">
        <f>IF(S219&lt;&gt;"",IF(M219="",'CONCEPTOS Y PARAMETROS'!$C$7*Z219,0),0)</f>
        <v>12.5</v>
      </c>
      <c r="AD219" s="1107">
        <f>IFERROR(ROUND(VLOOKUP($X219,'CONCEPTOS Y PARAMETROS'!H:I,2,0)*($V219+AA219+AB219+AC219),2),0)</f>
        <v>92.02</v>
      </c>
      <c r="AE219" s="1107">
        <f t="shared" si="369"/>
        <v>241.08999999999997</v>
      </c>
      <c r="AF219" s="1107">
        <f t="shared" si="395"/>
        <v>3.29</v>
      </c>
      <c r="AG219" s="1107">
        <f t="shared" si="396"/>
        <v>3.28</v>
      </c>
      <c r="AH219" s="1107">
        <f t="shared" si="397"/>
        <v>65</v>
      </c>
      <c r="AI219" s="1107">
        <f t="shared" si="398"/>
        <v>65</v>
      </c>
      <c r="AJ219" s="1107">
        <f t="shared" si="399"/>
        <v>46.01</v>
      </c>
      <c r="AK219" s="1107">
        <f t="shared" si="400"/>
        <v>46.01</v>
      </c>
      <c r="AL219" s="1108">
        <f t="shared" si="401"/>
        <v>126.8</v>
      </c>
      <c r="AM219" s="1108">
        <f t="shared" si="402"/>
        <v>114.29</v>
      </c>
      <c r="AN219" s="1453">
        <v>1</v>
      </c>
      <c r="AO219" s="1147">
        <f>'CONCEPTOS Y PARAMETROS'!$C$18*AN219</f>
        <v>12.5</v>
      </c>
      <c r="AP219" s="990">
        <v>0</v>
      </c>
      <c r="AQ219" s="1147">
        <f>'CONCEPTOS Y PARAMETROS'!$C$21*AP219</f>
        <v>0</v>
      </c>
      <c r="AR219" s="1318">
        <v>0</v>
      </c>
      <c r="AS219" s="1318">
        <v>0</v>
      </c>
      <c r="AT219" s="1318">
        <f t="shared" si="472"/>
        <v>12.5</v>
      </c>
      <c r="AU219" s="1108">
        <f t="shared" si="372"/>
        <v>598.12</v>
      </c>
      <c r="AV219" s="1133" t="s">
        <v>5080</v>
      </c>
      <c r="AW219" s="1108">
        <f t="shared" si="558"/>
        <v>138.03</v>
      </c>
      <c r="AX219" s="1107">
        <f>IF(T219&lt;&gt;"0",(ROUND(IF(A219="EMPLEADO",eval_formula('CONCEPTOS Y PARAMETROS'!$C$8,NOMINA!V219,NOMINA!$AU219,NOMINA!I219+NOMINA!J219),eval_formula('CONCEPTOS Y PARAMETROS'!$D$8,NOMINA!V219,NOMINA!$AU219,NOMINA!I219+NOMINA!J219)),2))*IF(H219&lt;&gt;"",IF(MONTH(H219)=$BR$8,IF(YEAR(H219)&lt;$BT$7,1,0),0)))</f>
        <v>0</v>
      </c>
      <c r="AY219" s="1108">
        <v>180</v>
      </c>
      <c r="AZ219" s="1107">
        <f>IFERROR(VLOOKUP(AY219,'CONCEPTOS Y PARAMETROS'!Y:Z,2,0),0)</f>
        <v>150</v>
      </c>
      <c r="BA219" s="1107">
        <f t="shared" si="403"/>
        <v>4485.8999999999996</v>
      </c>
      <c r="BB219" s="1107">
        <f t="shared" si="540"/>
        <v>0</v>
      </c>
      <c r="BC219" s="990">
        <v>0</v>
      </c>
      <c r="BD219" s="1107" t="str">
        <f t="shared" si="373"/>
        <v>0</v>
      </c>
      <c r="BE219" s="990">
        <v>3</v>
      </c>
      <c r="BF219" s="1107">
        <f t="shared" si="561"/>
        <v>89.72</v>
      </c>
      <c r="BG219" s="1108">
        <v>320</v>
      </c>
      <c r="BH219" s="1108">
        <v>0</v>
      </c>
      <c r="BI219" s="1132">
        <v>0</v>
      </c>
      <c r="BJ219" s="1108">
        <v>12.5</v>
      </c>
      <c r="BK219" s="1108">
        <v>0</v>
      </c>
      <c r="BL219" s="1107">
        <f t="shared" si="437"/>
        <v>27.61</v>
      </c>
      <c r="BM219" s="1107">
        <f t="shared" si="438"/>
        <v>3.45</v>
      </c>
      <c r="BN219" s="1107">
        <f t="shared" si="377"/>
        <v>5.98</v>
      </c>
      <c r="BO219" s="1107">
        <v>0</v>
      </c>
      <c r="BP219" s="1107">
        <v>0</v>
      </c>
      <c r="BQ219" s="1320">
        <f t="shared" si="366"/>
        <v>37.04</v>
      </c>
      <c r="BR219" s="1107">
        <f t="shared" si="439"/>
        <v>62.11</v>
      </c>
      <c r="BS219" s="1107">
        <f t="shared" si="440"/>
        <v>13.8</v>
      </c>
      <c r="BT219" s="1107">
        <f t="shared" si="378"/>
        <v>11.96</v>
      </c>
      <c r="BU219" s="1107">
        <v>0</v>
      </c>
      <c r="BV219" s="1108">
        <f t="shared" si="367"/>
        <v>87.87</v>
      </c>
      <c r="BW219" s="1112">
        <f t="shared" si="368"/>
        <v>124.91</v>
      </c>
      <c r="BX219" s="1112">
        <f t="shared" si="541"/>
        <v>1121.48</v>
      </c>
      <c r="BY219" s="1108">
        <v>0</v>
      </c>
      <c r="BZ219" s="1108">
        <f t="shared" si="365"/>
        <v>1121.48</v>
      </c>
      <c r="CA219" s="1321">
        <f>'CONCEPTOS Y PARAMETROS'!$A$102</f>
        <v>6255</v>
      </c>
      <c r="CB219" s="1112">
        <f t="shared" si="379"/>
        <v>199.26000000000002</v>
      </c>
      <c r="CC219" s="1113">
        <f t="shared" si="380"/>
        <v>796.54</v>
      </c>
      <c r="CD219" s="512"/>
      <c r="CE219" s="512"/>
      <c r="CF219" s="470">
        <f t="shared" si="381"/>
        <v>863.79</v>
      </c>
      <c r="CG219" s="495">
        <f t="shared" si="404"/>
        <v>199.26000000000002</v>
      </c>
      <c r="CH219" s="498">
        <f t="shared" si="382"/>
        <v>25</v>
      </c>
      <c r="CI219" s="1490">
        <f t="shared" si="374"/>
        <v>320</v>
      </c>
      <c r="CJ219" s="1502">
        <v>1</v>
      </c>
      <c r="CK219" s="495">
        <f t="shared" si="383"/>
        <v>543.79</v>
      </c>
      <c r="CL219" s="1689">
        <f t="shared" si="384"/>
        <v>543.79</v>
      </c>
      <c r="CM219" s="1689">
        <f t="shared" si="375"/>
        <v>0</v>
      </c>
      <c r="CN219" s="496">
        <f t="shared" si="385"/>
        <v>89.72</v>
      </c>
      <c r="CO219" s="497">
        <v>0</v>
      </c>
      <c r="CP219" s="496">
        <f t="shared" si="386"/>
        <v>138.03</v>
      </c>
      <c r="CQ219" s="496">
        <f t="shared" si="387"/>
        <v>0</v>
      </c>
      <c r="CR219" s="496">
        <f t="shared" si="388"/>
        <v>1315.33</v>
      </c>
      <c r="CS219" s="496">
        <f t="shared" si="389"/>
        <v>124.91</v>
      </c>
      <c r="CT219" s="496">
        <f t="shared" si="390"/>
        <v>6255</v>
      </c>
      <c r="CU219" s="470"/>
      <c r="CV219" s="470"/>
      <c r="CW219" s="470"/>
      <c r="CX219" s="470"/>
      <c r="CY219" s="1149" t="s">
        <v>6907</v>
      </c>
      <c r="CZ219" s="1149" t="s">
        <v>6937</v>
      </c>
      <c r="DA219" s="480"/>
      <c r="DB219" s="1642" t="s">
        <v>6280</v>
      </c>
      <c r="DC219" s="1642"/>
      <c r="DD219" s="1642" t="s">
        <v>6608</v>
      </c>
      <c r="DE219" s="1642" t="s">
        <v>6281</v>
      </c>
      <c r="DF219" s="1642" t="s">
        <v>7436</v>
      </c>
      <c r="DG219" s="1152"/>
      <c r="DH219" s="512"/>
      <c r="DI219" s="512"/>
      <c r="DJ219" s="470"/>
      <c r="DK219" s="470"/>
      <c r="DL219" s="470"/>
      <c r="DN219" s="471" t="str">
        <f>VLOOKUP(X219,Hoja1!$A$4:$B$10,2,0)</f>
        <v>PROFESIONAL</v>
      </c>
      <c r="DO219" s="471" t="str">
        <f>VLOOKUP(S219,Hoja1!$D$4:$F$77,3,0)</f>
        <v>TII - II</v>
      </c>
      <c r="DP219" s="1156" t="str">
        <f t="shared" si="391"/>
        <v>SI</v>
      </c>
      <c r="DQ219" s="1484">
        <f>IF(T219&lt;&gt;"0",(ROUND(IF(A219="EMPLEADO",eval_formula('CONCEPTOS Y PARAMETROS'!$C$8,NOMINA!V219,AU219+BF219,NOMINA!I219+NOMINA!J219),eval_formula('CONCEPTOS Y PARAMETROS'!$D$8,NOMINA!V219,AU219+BF219,NOMINA!I219+NOMINA!J219)),2))*IF(H219&lt;&gt;"",IF(MONTH(H219)=$BR$8,IF(YEAR(H219)&lt;$BT$7,1,0),0)))</f>
        <v>0</v>
      </c>
      <c r="DR219" s="1801" t="str">
        <f t="shared" si="392"/>
        <v>F</v>
      </c>
      <c r="DS219" s="1801"/>
    </row>
    <row r="220" spans="1:123" s="476" customFormat="1" ht="21.95" customHeight="1" x14ac:dyDescent="0.25">
      <c r="A220" s="508" t="s">
        <v>2846</v>
      </c>
      <c r="B220" s="1314">
        <f t="shared" ca="1" si="471"/>
        <v>177</v>
      </c>
      <c r="C220" s="1148">
        <v>18349409</v>
      </c>
      <c r="D220" s="1149" t="s">
        <v>7608</v>
      </c>
      <c r="E220" s="1135" t="s">
        <v>4622</v>
      </c>
      <c r="F220" s="1118">
        <v>31562</v>
      </c>
      <c r="G220" s="1135" t="s">
        <v>4620</v>
      </c>
      <c r="H220" s="1118">
        <v>45839</v>
      </c>
      <c r="I220" s="1140">
        <f t="shared" ref="I220" si="562">IF(AND(YEAR(H220)&lt;YEAR($H$10),MONTH(H220)&gt;$BR$8),YEAR($H$10)-YEAR(H220)-1,IF(OR(H220="",YEAR(H220)&gt;YEAR($H$10)),0,YEAR($H$10)-YEAR(H220)))</f>
        <v>0</v>
      </c>
      <c r="J220" s="1132">
        <v>0</v>
      </c>
      <c r="K220" s="1140">
        <f t="shared" ref="K220" si="563">I220+J220</f>
        <v>0</v>
      </c>
      <c r="L220" s="1145" t="s">
        <v>5525</v>
      </c>
      <c r="M220" s="1132"/>
      <c r="N220" s="1132"/>
      <c r="O220" s="1002" t="s">
        <v>5218</v>
      </c>
      <c r="P220" s="1151" t="s">
        <v>7609</v>
      </c>
      <c r="Q220" s="1315" t="str">
        <f>IFERROR(VLOOKUP(O220,CARGOS!A:E,2,0),"")</f>
        <v>79511</v>
      </c>
      <c r="R220" s="1316" t="s">
        <v>5218</v>
      </c>
      <c r="S220" s="1146" t="s">
        <v>5470</v>
      </c>
      <c r="T220" s="1107">
        <f>IFERROR(VLOOKUP(S220,'TAB EMP'!A:B,2,0),0)</f>
        <v>130</v>
      </c>
      <c r="U220" s="1108">
        <v>0</v>
      </c>
      <c r="V220" s="1107">
        <f t="shared" si="393"/>
        <v>130</v>
      </c>
      <c r="W220" s="1108">
        <f t="shared" si="394"/>
        <v>65</v>
      </c>
      <c r="X220" s="1135" t="s">
        <v>2884</v>
      </c>
      <c r="Y220" s="1135"/>
      <c r="Z220" s="1135">
        <v>1</v>
      </c>
      <c r="AA220" s="1107">
        <f>ROUND(IF(H220&lt;&gt;"",VLOOKUP(SUM(I220+J220),'CONCEPTOS Y PARAMETROS'!F:G,2,0)*V220,0),2)</f>
        <v>0</v>
      </c>
      <c r="AB220" s="1107">
        <f>IF(S220&lt;&gt;"",IF(M220="",'CONCEPTOS Y PARAMETROS'!$C$4,0),0)</f>
        <v>130</v>
      </c>
      <c r="AC220" s="1107">
        <f>IF(S220&lt;&gt;"",IF(M220="",'CONCEPTOS Y PARAMETROS'!$C$7*Z220,0),0)</f>
        <v>12.5</v>
      </c>
      <c r="AD220" s="1107">
        <f>IFERROR(ROUND(VLOOKUP($X220,'CONCEPTOS Y PARAMETROS'!H:I,2,0)*($V220+AA220+AB220+AC220),2),0)</f>
        <v>0</v>
      </c>
      <c r="AE220" s="1107">
        <f t="shared" si="369"/>
        <v>142.5</v>
      </c>
      <c r="AF220" s="1107">
        <f t="shared" si="395"/>
        <v>0</v>
      </c>
      <c r="AG220" s="1107">
        <f t="shared" si="396"/>
        <v>0</v>
      </c>
      <c r="AH220" s="1107">
        <f t="shared" si="397"/>
        <v>65</v>
      </c>
      <c r="AI220" s="1107">
        <f t="shared" si="398"/>
        <v>65</v>
      </c>
      <c r="AJ220" s="1107">
        <f t="shared" si="399"/>
        <v>0</v>
      </c>
      <c r="AK220" s="1107">
        <f t="shared" si="400"/>
        <v>0</v>
      </c>
      <c r="AL220" s="1108">
        <f t="shared" si="401"/>
        <v>77.5</v>
      </c>
      <c r="AM220" s="1108">
        <f t="shared" si="402"/>
        <v>65</v>
      </c>
      <c r="AN220" s="990">
        <v>0</v>
      </c>
      <c r="AO220" s="1147">
        <f>'CONCEPTOS Y PARAMETROS'!$C$18*AN220</f>
        <v>0</v>
      </c>
      <c r="AP220" s="990">
        <v>0</v>
      </c>
      <c r="AQ220" s="1147">
        <f>'CONCEPTOS Y PARAMETROS'!$C$21*AP220</f>
        <v>0</v>
      </c>
      <c r="AR220" s="1318">
        <v>0</v>
      </c>
      <c r="AS220" s="1318">
        <v>0</v>
      </c>
      <c r="AT220" s="1318">
        <f t="shared" si="472"/>
        <v>0</v>
      </c>
      <c r="AU220" s="1108">
        <f t="shared" ref="AU220" si="564">V220+AE220+AW220</f>
        <v>354.25</v>
      </c>
      <c r="AV220" s="1133" t="s">
        <v>5080</v>
      </c>
      <c r="AW220" s="1108">
        <f t="shared" ref="AW220" si="565">ROUND(IF(AV220="NOCTURN",(V220+AE220)*30%,0),2)</f>
        <v>81.75</v>
      </c>
      <c r="AX220" s="1107">
        <f>IF(T220&lt;&gt;"0",(ROUND(IF(A220="EMPLEADO",eval_formula('CONCEPTOS Y PARAMETROS'!$C$8,NOMINA!V220,NOMINA!$AU220,NOMINA!I220+NOMINA!J220),eval_formula('CONCEPTOS Y PARAMETROS'!$D$8,NOMINA!V220,NOMINA!$AU220,NOMINA!I220+NOMINA!J220)),2))*IF(H220&lt;&gt;"",IF(MONTH(H220)=$BR$8,IF(YEAR(H220)&lt;$BT$7,1,0),0)))</f>
        <v>0</v>
      </c>
      <c r="AY220" s="1108">
        <v>15</v>
      </c>
      <c r="AZ220" s="1107">
        <f>IFERROR(VLOOKUP(AY220,'CONCEPTOS Y PARAMETROS'!Y:Z,2,0),0)</f>
        <v>12.5</v>
      </c>
      <c r="BA220" s="1107">
        <f t="shared" si="403"/>
        <v>153.75</v>
      </c>
      <c r="BB220" s="1107">
        <f t="shared" si="540"/>
        <v>0</v>
      </c>
      <c r="BC220" s="990">
        <v>0</v>
      </c>
      <c r="BD220" s="1107" t="str">
        <f t="shared" ref="BD220" si="566">IF(BC220&gt;0,((((((V220+AA220+AB220+AC220+AD220)/30)/8)*50%)+((((V220+AA220+AB220+AC220+AD220)/30)/8)))*30%+(((((V220+AA220+AB220+AC220+AD220)/30)/8)*50%)+((((V220+AA220+AB220+AC220+AD220)/30)/8))))*BC220,"0")</f>
        <v>0</v>
      </c>
      <c r="BE220" s="990">
        <v>3</v>
      </c>
      <c r="BF220" s="1107">
        <f t="shared" ref="BF220" si="567">ROUND(IF(BE220&gt;0,(((V220+AA220+AB220+AC220+AD220+AW220)/30)*50%+((V220+AA220+AB220+AC220+AD220+AW220)/30))*BE220,"0"),2)</f>
        <v>53.14</v>
      </c>
      <c r="BG220" s="1108">
        <v>320</v>
      </c>
      <c r="BH220" s="1108">
        <v>0</v>
      </c>
      <c r="BI220" s="1132">
        <v>0</v>
      </c>
      <c r="BJ220" s="1108">
        <v>12.5</v>
      </c>
      <c r="BK220" s="1108">
        <v>0</v>
      </c>
      <c r="BL220" s="1107">
        <f t="shared" ref="BL220" si="568">ROUND(IF(M220="", (((AU220*12)/52)*4%)*$BS$8,0),2)</f>
        <v>16.350000000000001</v>
      </c>
      <c r="BM220" s="1107">
        <f t="shared" ref="BM220" si="569">ROUND(IF(M220="",(((AU220*12)/52)*0.5%)*$BS$8,0),2)</f>
        <v>2.04</v>
      </c>
      <c r="BN220" s="1107">
        <f t="shared" ref="BN220" si="570">ROUND(IF(M220="",(AU220*1%),0),2)</f>
        <v>3.54</v>
      </c>
      <c r="BO220" s="1107">
        <v>0</v>
      </c>
      <c r="BP220" s="1107">
        <v>0</v>
      </c>
      <c r="BQ220" s="1320">
        <f t="shared" ref="BQ220" si="571">ROUND(SUM(BL220:BP220),2)</f>
        <v>21.93</v>
      </c>
      <c r="BR220" s="1107">
        <f t="shared" ref="BR220" si="572">ROUND(IF(M220="", (((AU220*12)/52)*9%)*$BS$8,0),2)</f>
        <v>36.79</v>
      </c>
      <c r="BS220" s="1107">
        <f t="shared" ref="BS220" si="573">ROUND(IF(M220="",(((AU220*12)/52)*2%)*$BS$8,0),2)</f>
        <v>8.18</v>
      </c>
      <c r="BT220" s="1107">
        <f t="shared" ref="BT220" si="574">ROUND(IF(M220="",(BN220*2),0),2)</f>
        <v>7.08</v>
      </c>
      <c r="BU220" s="1107">
        <v>0</v>
      </c>
      <c r="BV220" s="1108">
        <f t="shared" si="367"/>
        <v>52.05</v>
      </c>
      <c r="BW220" s="1112">
        <f t="shared" si="368"/>
        <v>73.97999999999999</v>
      </c>
      <c r="BX220" s="1112">
        <f>ROUND(BA220/1,2)</f>
        <v>153.75</v>
      </c>
      <c r="BY220" s="1108">
        <v>0</v>
      </c>
      <c r="BZ220" s="1108">
        <f t="shared" si="365"/>
        <v>153.75</v>
      </c>
      <c r="CA220" s="1321">
        <f>'CONCEPTOS Y PARAMETROS'!$A$102</f>
        <v>6255</v>
      </c>
      <c r="CB220" s="1112">
        <f t="shared" si="379"/>
        <v>120.57</v>
      </c>
      <c r="CC220" s="1113">
        <f t="shared" si="380"/>
        <v>597.39</v>
      </c>
      <c r="CD220" s="1452"/>
      <c r="CE220" s="512"/>
      <c r="CF220" s="512">
        <f t="shared" si="381"/>
        <v>770</v>
      </c>
      <c r="CG220" s="509">
        <f t="shared" ref="CG220" si="575">W220+AL220-BQ220</f>
        <v>120.57</v>
      </c>
      <c r="CH220" s="1603">
        <f t="shared" si="382"/>
        <v>12.5</v>
      </c>
      <c r="CI220" s="1491">
        <f t="shared" ref="CI220" si="576">BG220</f>
        <v>320</v>
      </c>
      <c r="CJ220" s="1502">
        <v>1</v>
      </c>
      <c r="CK220" s="509">
        <f t="shared" si="383"/>
        <v>450</v>
      </c>
      <c r="CL220" s="1695">
        <f t="shared" si="384"/>
        <v>450</v>
      </c>
      <c r="CM220" s="1695">
        <f t="shared" si="375"/>
        <v>0</v>
      </c>
      <c r="CN220" s="510">
        <f t="shared" si="385"/>
        <v>53.14</v>
      </c>
      <c r="CO220" s="511">
        <v>0</v>
      </c>
      <c r="CP220" s="510">
        <f t="shared" si="386"/>
        <v>81.75</v>
      </c>
      <c r="CQ220" s="510">
        <f t="shared" si="387"/>
        <v>0</v>
      </c>
      <c r="CR220" s="510">
        <f t="shared" si="388"/>
        <v>1034.8899999999999</v>
      </c>
      <c r="CS220" s="510">
        <f t="shared" si="389"/>
        <v>73.97999999999999</v>
      </c>
      <c r="CT220" s="510">
        <f t="shared" si="390"/>
        <v>6255</v>
      </c>
      <c r="CU220" s="512"/>
      <c r="CV220" s="512"/>
      <c r="CW220" s="512"/>
      <c r="CX220" s="512"/>
      <c r="CY220" s="1149" t="s">
        <v>7001</v>
      </c>
      <c r="CZ220" s="1149" t="s">
        <v>6805</v>
      </c>
      <c r="DA220" s="1152"/>
      <c r="DB220" s="1152" t="s">
        <v>7611</v>
      </c>
      <c r="DC220" s="1152"/>
      <c r="DD220" s="1152" t="s">
        <v>6158</v>
      </c>
      <c r="DE220" s="1152"/>
      <c r="DF220" s="1152"/>
      <c r="DG220" s="1152"/>
      <c r="DH220" s="512"/>
      <c r="DI220" s="512"/>
      <c r="DJ220" s="512"/>
      <c r="DK220" s="512"/>
      <c r="DL220" s="512"/>
      <c r="DN220" s="476" t="str">
        <f>VLOOKUP(X220,Hoja1!$A$4:$B$10,2,0)</f>
        <v>BACHILLER</v>
      </c>
      <c r="DO220" s="476" t="str">
        <f>VLOOKUP(S220,Hoja1!$D$4:$F$77,3,0)</f>
        <v>BI</v>
      </c>
      <c r="DP220" s="1692" t="str">
        <f t="shared" si="391"/>
        <v>SI</v>
      </c>
      <c r="DQ220" s="1696">
        <f>IF(T220&lt;&gt;"0",(ROUND(IF(A220="EMPLEADO",eval_formula('CONCEPTOS Y PARAMETROS'!$C$8,NOMINA!V220,AU220+BF220,NOMINA!I220+NOMINA!J220),eval_formula('CONCEPTOS Y PARAMETROS'!$D$8,NOMINA!V220,AU220+BF220,NOMINA!I220+NOMINA!J220)),2))*IF(H220&lt;&gt;"",IF(MONTH(H220)=$BR$8,IF(YEAR(H220)&lt;$BT$7,1,0),0)))</f>
        <v>0</v>
      </c>
      <c r="DR220" s="1799" t="str">
        <f t="shared" si="392"/>
        <v>F</v>
      </c>
      <c r="DS220" s="1799"/>
    </row>
    <row r="221" spans="1:123" s="476" customFormat="1" ht="21.95" customHeight="1" x14ac:dyDescent="0.25">
      <c r="A221" s="508" t="s">
        <v>2846</v>
      </c>
      <c r="B221" s="1314">
        <f t="shared" ca="1" si="471"/>
        <v>178</v>
      </c>
      <c r="C221" s="1148">
        <v>18349653</v>
      </c>
      <c r="D221" s="1149" t="s">
        <v>7234</v>
      </c>
      <c r="E221" s="1135" t="s">
        <v>4622</v>
      </c>
      <c r="F221" s="1118">
        <v>31987</v>
      </c>
      <c r="G221" s="1135" t="s">
        <v>4620</v>
      </c>
      <c r="H221" s="1118">
        <v>45627</v>
      </c>
      <c r="I221" s="1140">
        <f t="shared" si="376"/>
        <v>0</v>
      </c>
      <c r="J221" s="1132">
        <v>0</v>
      </c>
      <c r="K221" s="1140">
        <f t="shared" si="371"/>
        <v>0</v>
      </c>
      <c r="L221" s="1145" t="s">
        <v>5535</v>
      </c>
      <c r="M221" s="1132"/>
      <c r="N221" s="1132"/>
      <c r="O221" s="1002" t="s">
        <v>5218</v>
      </c>
      <c r="P221" s="1151" t="s">
        <v>7235</v>
      </c>
      <c r="Q221" s="1315" t="str">
        <f>IFERROR(VLOOKUP(O221,CARGOS!A:E,2,0),"")</f>
        <v>79511</v>
      </c>
      <c r="R221" s="1316" t="s">
        <v>5218</v>
      </c>
      <c r="S221" s="1146" t="s">
        <v>5462</v>
      </c>
      <c r="T221" s="1107">
        <f>IFERROR(VLOOKUP(S221,'TAB EMP'!A:B,2,0),0)</f>
        <v>192</v>
      </c>
      <c r="U221" s="1108">
        <v>0</v>
      </c>
      <c r="V221" s="1107">
        <f t="shared" ref="V221" si="577">T221-U221</f>
        <v>192</v>
      </c>
      <c r="W221" s="1108">
        <f t="shared" ref="W221" si="578">ROUND(V221/2,2)</f>
        <v>96</v>
      </c>
      <c r="X221" s="1135" t="s">
        <v>2885</v>
      </c>
      <c r="Y221" s="1135"/>
      <c r="Z221" s="1135">
        <v>2</v>
      </c>
      <c r="AA221" s="1107">
        <f>ROUND(IF(H221&lt;&gt;"",VLOOKUP(SUM(I221+J221),'CONCEPTOS Y PARAMETROS'!F:G,2,0)*V221,0),2)</f>
        <v>0</v>
      </c>
      <c r="AB221" s="1107">
        <f>IF(S221&lt;&gt;"",IF(M221="",'CONCEPTOS Y PARAMETROS'!$C$4,0),0)</f>
        <v>130</v>
      </c>
      <c r="AC221" s="1107">
        <f>IF(S221&lt;&gt;"",IF(M221="",'CONCEPTOS Y PARAMETROS'!$C$7*Z221,0),0)</f>
        <v>25</v>
      </c>
      <c r="AD221" s="1107">
        <f>IFERROR(ROUND(VLOOKUP($X221,'CONCEPTOS Y PARAMETROS'!H:I,2,0)*($V221+AA221+AB221+AC221),2),0)</f>
        <v>86.75</v>
      </c>
      <c r="AE221" s="1107">
        <f t="shared" ref="AE221" si="579">SUM(AA221:AD221)</f>
        <v>241.75</v>
      </c>
      <c r="AF221" s="1107">
        <f t="shared" ref="AF221" si="580">ROUND(AA221/2,2)</f>
        <v>0</v>
      </c>
      <c r="AG221" s="1107">
        <f t="shared" ref="AG221" si="581">ROUND(AA221-AF221,2)</f>
        <v>0</v>
      </c>
      <c r="AH221" s="1107">
        <f t="shared" ref="AH221" si="582">ROUND(AB221/2,2)</f>
        <v>65</v>
      </c>
      <c r="AI221" s="1107">
        <f t="shared" ref="AI221" si="583">ROUND(AB221-AH221,2)</f>
        <v>65</v>
      </c>
      <c r="AJ221" s="1107">
        <f t="shared" ref="AJ221" si="584">ROUND(AD221/2,2)</f>
        <v>43.38</v>
      </c>
      <c r="AK221" s="1107">
        <f t="shared" ref="AK221" si="585">ROUND(AD221-AJ221,2)</f>
        <v>43.37</v>
      </c>
      <c r="AL221" s="1108">
        <f t="shared" ref="AL221" si="586">ROUND(AF221+AH221+AJ221+AC221,2)</f>
        <v>133.38</v>
      </c>
      <c r="AM221" s="1108">
        <f t="shared" ref="AM221" si="587">ROUND(AG221+AI221+AK221,2)</f>
        <v>108.37</v>
      </c>
      <c r="AN221" s="1453">
        <v>2</v>
      </c>
      <c r="AO221" s="1147">
        <f>'CONCEPTOS Y PARAMETROS'!$C$18*AN221</f>
        <v>25</v>
      </c>
      <c r="AP221" s="990">
        <v>0</v>
      </c>
      <c r="AQ221" s="1147">
        <f>'CONCEPTOS Y PARAMETROS'!$C$21*AP221</f>
        <v>0</v>
      </c>
      <c r="AR221" s="1318">
        <v>0</v>
      </c>
      <c r="AS221" s="1318">
        <v>0</v>
      </c>
      <c r="AT221" s="1318">
        <f t="shared" ref="AT221" si="588">+AO221+AQ221+AR221+AS221</f>
        <v>25</v>
      </c>
      <c r="AU221" s="1108">
        <f t="shared" si="372"/>
        <v>563.88</v>
      </c>
      <c r="AV221" s="1133" t="s">
        <v>5080</v>
      </c>
      <c r="AW221" s="1108">
        <f t="shared" si="558"/>
        <v>130.13</v>
      </c>
      <c r="AX221" s="1107">
        <f>IF(T221&lt;&gt;"0",(ROUND(IF(A221="EMPLEADO",eval_formula('CONCEPTOS Y PARAMETROS'!$C$8,NOMINA!V221,NOMINA!$AU221,NOMINA!I221+NOMINA!J221),eval_formula('CONCEPTOS Y PARAMETROS'!$D$8,NOMINA!V221,NOMINA!$AU221,NOMINA!I221+NOMINA!J221)),2))*IF(H221&lt;&gt;"",IF(MONTH(H221)=$BR$8,IF(YEAR(H221)&lt;$BT$7,1,0),0)))</f>
        <v>0</v>
      </c>
      <c r="AY221" s="1108">
        <v>15</v>
      </c>
      <c r="AZ221" s="1107">
        <f>IFERROR(VLOOKUP(AY221,'CONCEPTOS Y PARAMETROS'!Y:Z,2,0),0)</f>
        <v>12.5</v>
      </c>
      <c r="BA221" s="1107">
        <f t="shared" ref="BA221" si="589">ROUND((((AU221))/30*AY221/12+(AU221))/30*AZ221,2)</f>
        <v>244.74</v>
      </c>
      <c r="BB221" s="1107">
        <f t="shared" ref="BB221" si="590">ROUND(AU221/30*$BB$10,2)</f>
        <v>0</v>
      </c>
      <c r="BC221" s="990">
        <v>0</v>
      </c>
      <c r="BD221" s="1107" t="str">
        <f t="shared" si="373"/>
        <v>0</v>
      </c>
      <c r="BE221" s="990">
        <v>3</v>
      </c>
      <c r="BF221" s="1107">
        <f t="shared" si="561"/>
        <v>84.58</v>
      </c>
      <c r="BG221" s="1108">
        <v>320</v>
      </c>
      <c r="BH221" s="1108">
        <v>0</v>
      </c>
      <c r="BI221" s="1132">
        <v>0</v>
      </c>
      <c r="BJ221" s="1108">
        <v>12.5</v>
      </c>
      <c r="BK221" s="1108">
        <v>0</v>
      </c>
      <c r="BL221" s="1107">
        <f t="shared" si="437"/>
        <v>26.03</v>
      </c>
      <c r="BM221" s="1107">
        <f t="shared" si="438"/>
        <v>3.25</v>
      </c>
      <c r="BN221" s="1107">
        <f t="shared" si="377"/>
        <v>5.64</v>
      </c>
      <c r="BO221" s="1107">
        <v>0</v>
      </c>
      <c r="BP221" s="1107">
        <v>0</v>
      </c>
      <c r="BQ221" s="1320">
        <f t="shared" ref="BQ221" si="591">ROUND(SUM(BL221:BP221),2)</f>
        <v>34.92</v>
      </c>
      <c r="BR221" s="1107">
        <f t="shared" si="439"/>
        <v>58.56</v>
      </c>
      <c r="BS221" s="1107">
        <f t="shared" si="440"/>
        <v>13.01</v>
      </c>
      <c r="BT221" s="1107">
        <f t="shared" si="378"/>
        <v>11.28</v>
      </c>
      <c r="BU221" s="1107">
        <v>0</v>
      </c>
      <c r="BV221" s="1108">
        <f t="shared" ref="BV221" si="592">ROUND(SUM(BR221:BT221),2)</f>
        <v>82.85</v>
      </c>
      <c r="BW221" s="1112">
        <f t="shared" ref="BW221" si="593">BQ221+BV221</f>
        <v>117.77</v>
      </c>
      <c r="BX221" s="1112">
        <f>ROUND(BA221/1,2)</f>
        <v>244.74</v>
      </c>
      <c r="BY221" s="1108">
        <v>0</v>
      </c>
      <c r="BZ221" s="1108">
        <f t="shared" ref="BZ221" si="594">+BX221+BY221</f>
        <v>244.74</v>
      </c>
      <c r="CA221" s="1321">
        <f>'CONCEPTOS Y PARAMETROS'!$A$102</f>
        <v>6255</v>
      </c>
      <c r="CB221" s="1112">
        <f t="shared" si="379"/>
        <v>194.45999999999998</v>
      </c>
      <c r="CC221" s="1113">
        <f t="shared" si="380"/>
        <v>776.58</v>
      </c>
      <c r="CD221" s="1452"/>
      <c r="CE221" s="512"/>
      <c r="CF221" s="470">
        <f t="shared" si="381"/>
        <v>844.37</v>
      </c>
      <c r="CG221" s="509">
        <f t="shared" si="404"/>
        <v>194.45999999999998</v>
      </c>
      <c r="CH221" s="498">
        <f t="shared" si="382"/>
        <v>37.5</v>
      </c>
      <c r="CI221" s="1491">
        <f t="shared" si="374"/>
        <v>320</v>
      </c>
      <c r="CJ221" s="1502">
        <v>1</v>
      </c>
      <c r="CK221" s="509">
        <f t="shared" si="383"/>
        <v>524.37</v>
      </c>
      <c r="CL221" s="1689">
        <f t="shared" si="384"/>
        <v>524.37</v>
      </c>
      <c r="CM221" s="1689">
        <f t="shared" si="375"/>
        <v>0</v>
      </c>
      <c r="CN221" s="510">
        <f t="shared" si="385"/>
        <v>84.58</v>
      </c>
      <c r="CO221" s="511">
        <v>0</v>
      </c>
      <c r="CP221" s="510">
        <f t="shared" si="386"/>
        <v>130.13</v>
      </c>
      <c r="CQ221" s="510">
        <f t="shared" si="387"/>
        <v>0</v>
      </c>
      <c r="CR221" s="496">
        <f t="shared" si="388"/>
        <v>1263.4499999999998</v>
      </c>
      <c r="CS221" s="510">
        <f t="shared" si="389"/>
        <v>117.77</v>
      </c>
      <c r="CT221" s="510">
        <f t="shared" si="390"/>
        <v>6255</v>
      </c>
      <c r="CU221" s="470"/>
      <c r="CV221" s="470"/>
      <c r="CW221" s="470"/>
      <c r="CX221" s="470"/>
      <c r="CY221" s="1149" t="s">
        <v>6938</v>
      </c>
      <c r="CZ221" s="1149" t="s">
        <v>6939</v>
      </c>
      <c r="DA221" s="1152"/>
      <c r="DB221" s="1642" t="s">
        <v>6771</v>
      </c>
      <c r="DC221" s="1642"/>
      <c r="DD221" s="1642" t="s">
        <v>6158</v>
      </c>
      <c r="DE221" s="1642" t="s">
        <v>7439</v>
      </c>
      <c r="DF221" s="1642" t="s">
        <v>7473</v>
      </c>
      <c r="DG221" s="1642"/>
      <c r="DH221" s="512"/>
      <c r="DI221" s="512"/>
      <c r="DJ221" s="512"/>
      <c r="DK221" s="512"/>
      <c r="DL221" s="512"/>
      <c r="DN221" s="476" t="str">
        <f>VLOOKUP(X221,Hoja1!$A$4:$B$10,2,0)</f>
        <v>PROFESIONAL</v>
      </c>
      <c r="DO221" s="476" t="str">
        <f>VLOOKUP(S221,Hoja1!$D$4:$F$77,3,0)</f>
        <v>TI</v>
      </c>
      <c r="DP221" s="1469" t="str">
        <f t="shared" si="391"/>
        <v>SI</v>
      </c>
      <c r="DQ221" s="1484">
        <f>IF(T221&lt;&gt;"0",(ROUND(IF(A221="EMPLEADO",eval_formula('CONCEPTOS Y PARAMETROS'!$C$8,NOMINA!V221,AU221+BF221,NOMINA!I221+NOMINA!J221),eval_formula('CONCEPTOS Y PARAMETROS'!$D$8,NOMINA!V221,AU221+BF221,NOMINA!I221+NOMINA!J221)),2))*IF(H221&lt;&gt;"",IF(MONTH(H221)=$BR$8,IF(YEAR(H221)&lt;$BT$7,1,0),0)))</f>
        <v>0</v>
      </c>
      <c r="DR221" s="1799" t="str">
        <f t="shared" si="392"/>
        <v>F</v>
      </c>
      <c r="DS221" s="1799"/>
    </row>
    <row r="222" spans="1:123" s="476" customFormat="1" ht="21.95" customHeight="1" x14ac:dyDescent="0.25">
      <c r="A222" s="508" t="s">
        <v>2846</v>
      </c>
      <c r="B222" s="1314">
        <f t="shared" ca="1" si="471"/>
        <v>179</v>
      </c>
      <c r="C222" s="1148">
        <v>18350884</v>
      </c>
      <c r="D222" s="1149" t="s">
        <v>6649</v>
      </c>
      <c r="E222" s="1135" t="s">
        <v>4622</v>
      </c>
      <c r="F222" s="1150">
        <v>32057</v>
      </c>
      <c r="G222" s="1135" t="s">
        <v>4620</v>
      </c>
      <c r="H222" s="1150">
        <v>45474</v>
      </c>
      <c r="I222" s="1140">
        <f t="shared" si="376"/>
        <v>1</v>
      </c>
      <c r="J222" s="1132">
        <v>0</v>
      </c>
      <c r="K222" s="1140">
        <f t="shared" si="371"/>
        <v>1</v>
      </c>
      <c r="L222" s="1145" t="s">
        <v>5536</v>
      </c>
      <c r="M222" s="1132"/>
      <c r="N222" s="1132"/>
      <c r="O222" s="1002" t="s">
        <v>5218</v>
      </c>
      <c r="P222" s="1151" t="s">
        <v>6650</v>
      </c>
      <c r="Q222" s="1315" t="str">
        <f>IFERROR(VLOOKUP(O222,CARGOS!A:E,2,0),"")</f>
        <v>79511</v>
      </c>
      <c r="R222" s="1327" t="s">
        <v>5218</v>
      </c>
      <c r="S222" s="1146" t="s">
        <v>5470</v>
      </c>
      <c r="T222" s="1107">
        <f>IFERROR(VLOOKUP(S222,'TAB EMP'!A:B,2,0),0)</f>
        <v>130</v>
      </c>
      <c r="U222" s="1108">
        <v>0</v>
      </c>
      <c r="V222" s="1107">
        <f t="shared" si="393"/>
        <v>130</v>
      </c>
      <c r="W222" s="1108">
        <f t="shared" si="394"/>
        <v>65</v>
      </c>
      <c r="X222" s="1135" t="s">
        <v>2884</v>
      </c>
      <c r="Y222" s="1135"/>
      <c r="Z222" s="1135">
        <v>1</v>
      </c>
      <c r="AA222" s="1107">
        <f>ROUND(IF(H222&lt;&gt;"",VLOOKUP(SUM(I222+J222),'CONCEPTOS Y PARAMETROS'!F:G,2,0)*V222,0),2)</f>
        <v>1.3</v>
      </c>
      <c r="AB222" s="1107">
        <f>IF(S222&lt;&gt;"",IF(M222="",'CONCEPTOS Y PARAMETROS'!$C$4,0),0)</f>
        <v>130</v>
      </c>
      <c r="AC222" s="1107">
        <f>IF(S222&lt;&gt;"",IF(M222="",'CONCEPTOS Y PARAMETROS'!$C$7*Z222,0),0)</f>
        <v>12.5</v>
      </c>
      <c r="AD222" s="1107">
        <f>IFERROR(ROUND(VLOOKUP($X222,'CONCEPTOS Y PARAMETROS'!H:I,2,0)*($V222+AA222+AB222+AC222),2),0)</f>
        <v>0</v>
      </c>
      <c r="AE222" s="1107">
        <f t="shared" si="369"/>
        <v>143.80000000000001</v>
      </c>
      <c r="AF222" s="1107">
        <f t="shared" si="395"/>
        <v>0.65</v>
      </c>
      <c r="AG222" s="1107">
        <f t="shared" si="396"/>
        <v>0.65</v>
      </c>
      <c r="AH222" s="1107">
        <f t="shared" si="397"/>
        <v>65</v>
      </c>
      <c r="AI222" s="1107">
        <f t="shared" si="398"/>
        <v>65</v>
      </c>
      <c r="AJ222" s="1107">
        <f t="shared" si="399"/>
        <v>0</v>
      </c>
      <c r="AK222" s="1107">
        <f t="shared" si="400"/>
        <v>0</v>
      </c>
      <c r="AL222" s="1108">
        <f t="shared" si="401"/>
        <v>78.150000000000006</v>
      </c>
      <c r="AM222" s="1108">
        <f t="shared" si="402"/>
        <v>65.650000000000006</v>
      </c>
      <c r="AN222" s="1453">
        <v>1</v>
      </c>
      <c r="AO222" s="1147">
        <f>'CONCEPTOS Y PARAMETROS'!$C$18*AN222</f>
        <v>12.5</v>
      </c>
      <c r="AP222" s="990">
        <v>0</v>
      </c>
      <c r="AQ222" s="1147">
        <f>'CONCEPTOS Y PARAMETROS'!$C$21*AP222</f>
        <v>0</v>
      </c>
      <c r="AR222" s="1318">
        <v>0</v>
      </c>
      <c r="AS222" s="1318">
        <v>0</v>
      </c>
      <c r="AT222" s="1318">
        <f t="shared" si="472"/>
        <v>12.5</v>
      </c>
      <c r="AU222" s="1108">
        <f t="shared" si="372"/>
        <v>355.94</v>
      </c>
      <c r="AV222" s="1133" t="s">
        <v>5080</v>
      </c>
      <c r="AW222" s="1108">
        <f t="shared" si="558"/>
        <v>82.14</v>
      </c>
      <c r="AX222" s="1107">
        <f>IF(T222&lt;&gt;"0",(ROUND(IF(A222="EMPLEADO",eval_formula('CONCEPTOS Y PARAMETROS'!$C$8,NOMINA!V222,NOMINA!$AU222,NOMINA!I222+NOMINA!J222),eval_formula('CONCEPTOS Y PARAMETROS'!$D$8,NOMINA!V222,NOMINA!$AU222,NOMINA!I222+NOMINA!J222)),2))*IF(H222&lt;&gt;"",IF(MONTH(H222)=$BR$8,IF(YEAR(H222)&lt;$BT$7,1,0),0)))</f>
        <v>0</v>
      </c>
      <c r="AY222" s="1108">
        <v>90</v>
      </c>
      <c r="AZ222" s="1107">
        <f>IFERROR(VLOOKUP(AY222,'CONCEPTOS Y PARAMETROS'!Y:Z,2,0),0)</f>
        <v>75</v>
      </c>
      <c r="BA222" s="1107">
        <f t="shared" si="403"/>
        <v>1112.31</v>
      </c>
      <c r="BB222" s="1107">
        <f t="shared" ref="BB222:BB244" si="595">ROUND(AU222/30*$BB$10,2)</f>
        <v>0</v>
      </c>
      <c r="BC222" s="990">
        <v>0</v>
      </c>
      <c r="BD222" s="1107" t="str">
        <f t="shared" si="373"/>
        <v>0</v>
      </c>
      <c r="BE222" s="1637">
        <v>3</v>
      </c>
      <c r="BF222" s="1107">
        <f t="shared" si="561"/>
        <v>53.39</v>
      </c>
      <c r="BG222" s="1108">
        <v>320</v>
      </c>
      <c r="BH222" s="1108">
        <v>0</v>
      </c>
      <c r="BI222" s="1132">
        <v>0</v>
      </c>
      <c r="BJ222" s="1108">
        <v>12.5</v>
      </c>
      <c r="BK222" s="1108">
        <v>0</v>
      </c>
      <c r="BL222" s="1107">
        <f t="shared" si="437"/>
        <v>16.43</v>
      </c>
      <c r="BM222" s="1107">
        <f t="shared" si="438"/>
        <v>2.0499999999999998</v>
      </c>
      <c r="BN222" s="1107">
        <f t="shared" si="377"/>
        <v>3.56</v>
      </c>
      <c r="BO222" s="1107">
        <v>0</v>
      </c>
      <c r="BP222" s="1107">
        <v>0</v>
      </c>
      <c r="BQ222" s="1320">
        <f t="shared" ref="BQ222" si="596">ROUND(SUM(BL222:BP222),2)</f>
        <v>22.04</v>
      </c>
      <c r="BR222" s="1107">
        <f t="shared" si="439"/>
        <v>36.96</v>
      </c>
      <c r="BS222" s="1107">
        <f t="shared" si="440"/>
        <v>8.2100000000000009</v>
      </c>
      <c r="BT222" s="1107">
        <f t="shared" si="378"/>
        <v>7.12</v>
      </c>
      <c r="BU222" s="1107">
        <v>0</v>
      </c>
      <c r="BV222" s="1108">
        <f t="shared" si="367"/>
        <v>52.29</v>
      </c>
      <c r="BW222" s="1112">
        <f t="shared" si="368"/>
        <v>74.33</v>
      </c>
      <c r="BX222" s="1112">
        <f t="shared" ref="BX222:BX237" si="597">ROUND(BA222/4,2)</f>
        <v>278.08</v>
      </c>
      <c r="BY222" s="1108">
        <v>0</v>
      </c>
      <c r="BZ222" s="1108">
        <f t="shared" si="365"/>
        <v>278.08</v>
      </c>
      <c r="CA222" s="1321">
        <f>'CONCEPTOS Y PARAMETROS'!$A$102</f>
        <v>6255</v>
      </c>
      <c r="CB222" s="1112">
        <f t="shared" si="379"/>
        <v>121.11000000000001</v>
      </c>
      <c r="CC222" s="1113">
        <f t="shared" si="380"/>
        <v>611.17999999999995</v>
      </c>
      <c r="CD222" s="512"/>
      <c r="CE222" s="512"/>
      <c r="CF222" s="470">
        <f t="shared" si="381"/>
        <v>770.65</v>
      </c>
      <c r="CG222" s="509">
        <f t="shared" si="404"/>
        <v>121.11000000000001</v>
      </c>
      <c r="CH222" s="498">
        <f t="shared" si="382"/>
        <v>25</v>
      </c>
      <c r="CI222" s="1491">
        <f t="shared" si="374"/>
        <v>320</v>
      </c>
      <c r="CJ222" s="1502">
        <v>1</v>
      </c>
      <c r="CK222" s="509">
        <f t="shared" si="383"/>
        <v>450.65</v>
      </c>
      <c r="CL222" s="1689">
        <f t="shared" si="384"/>
        <v>450.65</v>
      </c>
      <c r="CM222" s="1689">
        <f t="shared" si="375"/>
        <v>0</v>
      </c>
      <c r="CN222" s="510">
        <f t="shared" si="385"/>
        <v>53.39</v>
      </c>
      <c r="CO222" s="511">
        <v>0</v>
      </c>
      <c r="CP222" s="510">
        <f t="shared" si="386"/>
        <v>82.14</v>
      </c>
      <c r="CQ222" s="510">
        <f t="shared" si="387"/>
        <v>0</v>
      </c>
      <c r="CR222" s="496">
        <f t="shared" si="388"/>
        <v>1036.83</v>
      </c>
      <c r="CS222" s="510">
        <f t="shared" si="389"/>
        <v>74.33</v>
      </c>
      <c r="CT222" s="510">
        <f t="shared" si="390"/>
        <v>6255</v>
      </c>
      <c r="CU222" s="470"/>
      <c r="CV222" s="470"/>
      <c r="CW222" s="470"/>
      <c r="CX222" s="470"/>
      <c r="CY222" s="1149" t="s">
        <v>6940</v>
      </c>
      <c r="CZ222" s="1149" t="s">
        <v>6941</v>
      </c>
      <c r="DA222" s="1152"/>
      <c r="DB222" s="1642" t="s">
        <v>6651</v>
      </c>
      <c r="DC222" s="1642"/>
      <c r="DD222" s="1642" t="s">
        <v>6135</v>
      </c>
      <c r="DE222" s="1642" t="s">
        <v>6247</v>
      </c>
      <c r="DF222" s="1642" t="s">
        <v>6663</v>
      </c>
      <c r="DG222" s="1642"/>
      <c r="DH222" s="512"/>
      <c r="DI222" s="512"/>
      <c r="DJ222" s="512"/>
      <c r="DK222" s="512"/>
      <c r="DL222" s="512"/>
      <c r="DN222" s="476" t="str">
        <f>VLOOKUP(X222,Hoja1!$A$4:$B$10,2,0)</f>
        <v>BACHILLER</v>
      </c>
      <c r="DO222" s="476" t="str">
        <f>VLOOKUP(S222,Hoja1!$D$4:$F$77,3,0)</f>
        <v>BI</v>
      </c>
      <c r="DP222" s="1158" t="str">
        <f t="shared" si="391"/>
        <v>SI</v>
      </c>
      <c r="DQ222" s="1484">
        <f>IF(T222&lt;&gt;"0",(ROUND(IF(A222="EMPLEADO",eval_formula('CONCEPTOS Y PARAMETROS'!$C$8,NOMINA!V222,AU222+BF222,NOMINA!I222+NOMINA!J222),eval_formula('CONCEPTOS Y PARAMETROS'!$D$8,NOMINA!V222,AU222+BF222,NOMINA!I222+NOMINA!J222)),2))*IF(H222&lt;&gt;"",IF(MONTH(H222)=$BR$8,IF(YEAR(H222)&lt;$BT$7,1,0),0)))</f>
        <v>0</v>
      </c>
      <c r="DR222" s="1799" t="str">
        <f t="shared" si="392"/>
        <v>F</v>
      </c>
      <c r="DS222" s="1799"/>
    </row>
    <row r="223" spans="1:123" s="476" customFormat="1" ht="21.95" customHeight="1" x14ac:dyDescent="0.25">
      <c r="A223" s="508" t="s">
        <v>2846</v>
      </c>
      <c r="B223" s="1314">
        <f t="shared" ca="1" si="471"/>
        <v>180</v>
      </c>
      <c r="C223" s="1148">
        <v>18378985</v>
      </c>
      <c r="D223" s="1149" t="s">
        <v>4860</v>
      </c>
      <c r="E223" s="1135" t="s">
        <v>4622</v>
      </c>
      <c r="F223" s="1150">
        <v>32733</v>
      </c>
      <c r="G223" s="1135" t="s">
        <v>4620</v>
      </c>
      <c r="H223" s="1150">
        <v>43147</v>
      </c>
      <c r="I223" s="1140">
        <f t="shared" si="376"/>
        <v>7</v>
      </c>
      <c r="J223" s="1132">
        <v>0</v>
      </c>
      <c r="K223" s="1140">
        <f t="shared" si="371"/>
        <v>7</v>
      </c>
      <c r="L223" s="1145" t="s">
        <v>5524</v>
      </c>
      <c r="M223" s="1132"/>
      <c r="N223" s="1132"/>
      <c r="O223" s="1002" t="s">
        <v>7273</v>
      </c>
      <c r="P223" s="1132" t="s">
        <v>5406</v>
      </c>
      <c r="Q223" s="1315" t="str">
        <f>IFERROR(VLOOKUP(O223,CARGOS!A:E,2,0),"")</f>
        <v>23452</v>
      </c>
      <c r="R223" s="1327" t="s">
        <v>7273</v>
      </c>
      <c r="S223" s="1146" t="s">
        <v>5475</v>
      </c>
      <c r="T223" s="1107">
        <f>IFERROR(VLOOKUP(S223,'TAB EMP'!A:B,2,0),0)</f>
        <v>279</v>
      </c>
      <c r="U223" s="1108">
        <v>0</v>
      </c>
      <c r="V223" s="1107">
        <f t="shared" si="393"/>
        <v>279</v>
      </c>
      <c r="W223" s="1108">
        <f t="shared" si="394"/>
        <v>139.5</v>
      </c>
      <c r="X223" s="1135" t="s">
        <v>2885</v>
      </c>
      <c r="Y223" s="1135"/>
      <c r="Z223" s="1135">
        <v>2</v>
      </c>
      <c r="AA223" s="1107">
        <f>ROUND(IF(H223&lt;&gt;"",VLOOKUP(SUM(I223+J223),'CONCEPTOS Y PARAMETROS'!F:G,2,0)*V223,0),2)</f>
        <v>20.65</v>
      </c>
      <c r="AB223" s="1107">
        <f>IF(S223&lt;&gt;"",IF(M223="",'CONCEPTOS Y PARAMETROS'!$C$4,0),0)</f>
        <v>130</v>
      </c>
      <c r="AC223" s="1107">
        <f>IF(S223&lt;&gt;"",IF(M223="",'CONCEPTOS Y PARAMETROS'!$C$7*Z223,0),0)</f>
        <v>25</v>
      </c>
      <c r="AD223" s="1107">
        <f>IFERROR(ROUND(VLOOKUP($X223,'CONCEPTOS Y PARAMETROS'!H:I,2,0)*($V223+AA223+AB223+AC223),2),0)</f>
        <v>113.66</v>
      </c>
      <c r="AE223" s="1107">
        <f t="shared" si="369"/>
        <v>289.31</v>
      </c>
      <c r="AF223" s="1107">
        <f t="shared" si="395"/>
        <v>10.33</v>
      </c>
      <c r="AG223" s="1107">
        <f t="shared" si="396"/>
        <v>10.32</v>
      </c>
      <c r="AH223" s="1107">
        <f t="shared" si="397"/>
        <v>65</v>
      </c>
      <c r="AI223" s="1107">
        <f t="shared" si="398"/>
        <v>65</v>
      </c>
      <c r="AJ223" s="1107">
        <f t="shared" si="399"/>
        <v>56.83</v>
      </c>
      <c r="AK223" s="1107">
        <f t="shared" si="400"/>
        <v>56.83</v>
      </c>
      <c r="AL223" s="1108">
        <f t="shared" si="401"/>
        <v>157.16</v>
      </c>
      <c r="AM223" s="1108">
        <f t="shared" si="402"/>
        <v>132.15</v>
      </c>
      <c r="AN223" s="990">
        <v>1</v>
      </c>
      <c r="AO223" s="1147">
        <f>'CONCEPTOS Y PARAMETROS'!$C$18*AN223</f>
        <v>12.5</v>
      </c>
      <c r="AP223" s="990">
        <v>0</v>
      </c>
      <c r="AQ223" s="1147">
        <f>'CONCEPTOS Y PARAMETROS'!$C$21*AP223</f>
        <v>0</v>
      </c>
      <c r="AR223" s="1318">
        <v>0</v>
      </c>
      <c r="AS223" s="1318">
        <v>0</v>
      </c>
      <c r="AT223" s="1318">
        <f t="shared" si="472"/>
        <v>12.5</v>
      </c>
      <c r="AU223" s="1108">
        <f t="shared" si="372"/>
        <v>568.30999999999995</v>
      </c>
      <c r="AV223" s="1133">
        <v>0</v>
      </c>
      <c r="AW223" s="1108">
        <f t="shared" si="558"/>
        <v>0</v>
      </c>
      <c r="AX223" s="1107">
        <f>IF(T223&lt;&gt;"0",(ROUND(IF(A223="EMPLEADO",eval_formula('CONCEPTOS Y PARAMETROS'!$C$8,NOMINA!V223,NOMINA!$AU223,NOMINA!I223+NOMINA!J223),eval_formula('CONCEPTOS Y PARAMETROS'!$D$8,NOMINA!V223,NOMINA!$AU223,NOMINA!I223+NOMINA!J223)),2))*IF(H223&lt;&gt;"",IF(MONTH(H223)=$BR$8,IF(YEAR(H223)&lt;$BT$7,1,0),0)))</f>
        <v>0</v>
      </c>
      <c r="AY223" s="1108">
        <v>180</v>
      </c>
      <c r="AZ223" s="1107">
        <f>IFERROR(VLOOKUP(AY223,'CONCEPTOS Y PARAMETROS'!Y:Z,2,0),0)</f>
        <v>150</v>
      </c>
      <c r="BA223" s="1107">
        <f t="shared" si="403"/>
        <v>4262.33</v>
      </c>
      <c r="BB223" s="1107">
        <f t="shared" si="595"/>
        <v>0</v>
      </c>
      <c r="BC223" s="990">
        <v>0</v>
      </c>
      <c r="BD223" s="1107" t="str">
        <f t="shared" si="373"/>
        <v>0</v>
      </c>
      <c r="BE223" s="990">
        <v>0</v>
      </c>
      <c r="BF223" s="1107">
        <f t="shared" si="561"/>
        <v>0</v>
      </c>
      <c r="BG223" s="1108">
        <v>320</v>
      </c>
      <c r="BH223" s="1108">
        <v>0</v>
      </c>
      <c r="BI223" s="1132">
        <v>0</v>
      </c>
      <c r="BJ223" s="1108">
        <v>12.5</v>
      </c>
      <c r="BK223" s="1108">
        <v>0</v>
      </c>
      <c r="BL223" s="1107">
        <f t="shared" si="437"/>
        <v>26.23</v>
      </c>
      <c r="BM223" s="1107">
        <f t="shared" si="438"/>
        <v>3.28</v>
      </c>
      <c r="BN223" s="1107">
        <f t="shared" si="377"/>
        <v>5.68</v>
      </c>
      <c r="BO223" s="1107">
        <v>0</v>
      </c>
      <c r="BP223" s="1107">
        <v>0</v>
      </c>
      <c r="BQ223" s="1320">
        <f t="shared" si="366"/>
        <v>35.19</v>
      </c>
      <c r="BR223" s="1107">
        <f t="shared" si="439"/>
        <v>59.02</v>
      </c>
      <c r="BS223" s="1107">
        <f t="shared" si="440"/>
        <v>13.11</v>
      </c>
      <c r="BT223" s="1107">
        <f t="shared" si="378"/>
        <v>11.36</v>
      </c>
      <c r="BU223" s="1107">
        <v>0</v>
      </c>
      <c r="BV223" s="1108">
        <f t="shared" si="367"/>
        <v>83.49</v>
      </c>
      <c r="BW223" s="1112">
        <f t="shared" si="368"/>
        <v>118.67999999999999</v>
      </c>
      <c r="BX223" s="1112">
        <f t="shared" si="597"/>
        <v>1065.58</v>
      </c>
      <c r="BY223" s="1108">
        <v>0</v>
      </c>
      <c r="BZ223" s="1108">
        <f t="shared" si="365"/>
        <v>1065.58</v>
      </c>
      <c r="CA223" s="1321">
        <f>'CONCEPTOS Y PARAMETROS'!$A$102</f>
        <v>6255</v>
      </c>
      <c r="CB223" s="1112">
        <f t="shared" si="379"/>
        <v>261.46999999999997</v>
      </c>
      <c r="CC223" s="1113">
        <f t="shared" si="380"/>
        <v>616.65</v>
      </c>
      <c r="CD223" s="512"/>
      <c r="CE223" s="512"/>
      <c r="CF223" s="470">
        <f t="shared" si="381"/>
        <v>911.65</v>
      </c>
      <c r="CG223" s="509">
        <f t="shared" si="404"/>
        <v>261.46999999999997</v>
      </c>
      <c r="CH223" s="1603">
        <f t="shared" si="382"/>
        <v>25</v>
      </c>
      <c r="CI223" s="1491">
        <f t="shared" si="374"/>
        <v>320</v>
      </c>
      <c r="CJ223" s="1502">
        <v>1</v>
      </c>
      <c r="CK223" s="509">
        <f t="shared" si="383"/>
        <v>591.65</v>
      </c>
      <c r="CL223" s="1689">
        <f t="shared" si="384"/>
        <v>591.65</v>
      </c>
      <c r="CM223" s="1689">
        <f t="shared" si="375"/>
        <v>0</v>
      </c>
      <c r="CN223" s="510">
        <f t="shared" si="385"/>
        <v>0</v>
      </c>
      <c r="CO223" s="511">
        <v>0</v>
      </c>
      <c r="CP223" s="510">
        <f t="shared" si="386"/>
        <v>0</v>
      </c>
      <c r="CQ223" s="510">
        <f t="shared" si="387"/>
        <v>0</v>
      </c>
      <c r="CR223" s="510">
        <f t="shared" si="388"/>
        <v>1183.3</v>
      </c>
      <c r="CS223" s="510">
        <f t="shared" si="389"/>
        <v>118.67999999999999</v>
      </c>
      <c r="CT223" s="510">
        <f t="shared" si="390"/>
        <v>6255</v>
      </c>
      <c r="CU223" s="512"/>
      <c r="CV223" s="512"/>
      <c r="CW223" s="512"/>
      <c r="CX223" s="512"/>
      <c r="CY223" s="1149" t="s">
        <v>6942</v>
      </c>
      <c r="CZ223" s="1149" t="s">
        <v>6943</v>
      </c>
      <c r="DA223" s="1152"/>
      <c r="DB223" s="1642" t="s">
        <v>6389</v>
      </c>
      <c r="DC223" s="1642"/>
      <c r="DD223" s="1642" t="s">
        <v>6135</v>
      </c>
      <c r="DE223" s="1642" t="s">
        <v>6247</v>
      </c>
      <c r="DF223" s="1642" t="s">
        <v>6390</v>
      </c>
      <c r="DG223" s="1642"/>
      <c r="DH223" s="512"/>
      <c r="DI223" s="512"/>
      <c r="DJ223" s="512"/>
      <c r="DK223" s="512"/>
      <c r="DL223" s="512"/>
      <c r="DN223" s="476" t="str">
        <f>VLOOKUP(X223,Hoja1!$A$4:$B$10,2,0)</f>
        <v>PROFESIONAL</v>
      </c>
      <c r="DO223" s="476" t="str">
        <f>VLOOKUP(S223,Hoja1!$D$4:$F$77,3,0)</f>
        <v>PII - III</v>
      </c>
      <c r="DP223" s="1594" t="str">
        <f t="shared" si="391"/>
        <v>0</v>
      </c>
      <c r="DQ223" s="1484">
        <f>IF(T223&lt;&gt;"0",(ROUND(IF(A223="EMPLEADO",eval_formula('CONCEPTOS Y PARAMETROS'!$C$8,NOMINA!V223,AU223+BF223,NOMINA!I223+NOMINA!J223),eval_formula('CONCEPTOS Y PARAMETROS'!$D$8,NOMINA!V223,AU223+BF223,NOMINA!I223+NOMINA!J223)),2))*IF(H223&lt;&gt;"",IF(MONTH(H223)=$BR$8,IF(YEAR(H223)&lt;$BT$7,1,0),0)))</f>
        <v>0</v>
      </c>
      <c r="DR223" s="1799" t="str">
        <f t="shared" si="392"/>
        <v>F</v>
      </c>
      <c r="DS223" s="1799"/>
    </row>
    <row r="224" spans="1:123" s="476" customFormat="1" ht="21.95" customHeight="1" x14ac:dyDescent="0.25">
      <c r="A224" s="508" t="s">
        <v>2846</v>
      </c>
      <c r="B224" s="1314">
        <f t="shared" ca="1" si="471"/>
        <v>181</v>
      </c>
      <c r="C224" s="1148">
        <v>18456345</v>
      </c>
      <c r="D224" s="1149" t="s">
        <v>4861</v>
      </c>
      <c r="E224" s="1135" t="s">
        <v>4622</v>
      </c>
      <c r="F224" s="1150">
        <v>32274</v>
      </c>
      <c r="G224" s="1135" t="s">
        <v>4621</v>
      </c>
      <c r="H224" s="1150">
        <v>44774</v>
      </c>
      <c r="I224" s="1140">
        <f t="shared" si="376"/>
        <v>3</v>
      </c>
      <c r="J224" s="1132">
        <v>0</v>
      </c>
      <c r="K224" s="1140">
        <f t="shared" si="371"/>
        <v>3</v>
      </c>
      <c r="L224" s="1145" t="s">
        <v>5524</v>
      </c>
      <c r="M224" s="1132"/>
      <c r="N224" s="1132"/>
      <c r="O224" s="1002" t="s">
        <v>1010</v>
      </c>
      <c r="P224" s="1132" t="s">
        <v>5407</v>
      </c>
      <c r="Q224" s="1315" t="str">
        <f>IFERROR(VLOOKUP(O224,CARGOS!A:E,2,0),"")</f>
        <v>23471</v>
      </c>
      <c r="R224" s="1327" t="s">
        <v>5240</v>
      </c>
      <c r="S224" s="1146" t="s">
        <v>5467</v>
      </c>
      <c r="T224" s="1107">
        <f>IFERROR(VLOOKUP(S224,'TAB EMP'!A:B,2,0),0)</f>
        <v>277</v>
      </c>
      <c r="U224" s="1108">
        <v>0</v>
      </c>
      <c r="V224" s="1107">
        <f t="shared" si="393"/>
        <v>277</v>
      </c>
      <c r="W224" s="1108">
        <f t="shared" si="394"/>
        <v>138.5</v>
      </c>
      <c r="X224" s="1135" t="s">
        <v>2885</v>
      </c>
      <c r="Y224" s="1135"/>
      <c r="Z224" s="1135">
        <v>0</v>
      </c>
      <c r="AA224" s="1107">
        <f>ROUND(IF(H224&lt;&gt;"",VLOOKUP(SUM(I224+J224),'CONCEPTOS Y PARAMETROS'!F:G,2,0)*V224,0),2)</f>
        <v>8.31</v>
      </c>
      <c r="AB224" s="1107">
        <f>IF(S224&lt;&gt;"",IF(M224="",'CONCEPTOS Y PARAMETROS'!$C$4,0),0)</f>
        <v>130</v>
      </c>
      <c r="AC224" s="1107">
        <f>IF(S224&lt;&gt;"",IF(M224="",'CONCEPTOS Y PARAMETROS'!$C$7*Z224,0),0)</f>
        <v>0</v>
      </c>
      <c r="AD224" s="1107">
        <f>IFERROR(ROUND(VLOOKUP($X224,'CONCEPTOS Y PARAMETROS'!H:I,2,0)*($V224+AA224+AB224+AC224),2),0)</f>
        <v>103.83</v>
      </c>
      <c r="AE224" s="1107">
        <f t="shared" si="369"/>
        <v>242.14</v>
      </c>
      <c r="AF224" s="1107">
        <f t="shared" si="395"/>
        <v>4.16</v>
      </c>
      <c r="AG224" s="1107">
        <f t="shared" si="396"/>
        <v>4.1500000000000004</v>
      </c>
      <c r="AH224" s="1107">
        <f t="shared" si="397"/>
        <v>65</v>
      </c>
      <c r="AI224" s="1107">
        <f t="shared" si="398"/>
        <v>65</v>
      </c>
      <c r="AJ224" s="1107">
        <f t="shared" si="399"/>
        <v>51.92</v>
      </c>
      <c r="AK224" s="1107">
        <f t="shared" si="400"/>
        <v>51.91</v>
      </c>
      <c r="AL224" s="1108">
        <f t="shared" si="401"/>
        <v>121.08</v>
      </c>
      <c r="AM224" s="1108">
        <f t="shared" si="402"/>
        <v>121.06</v>
      </c>
      <c r="AN224" s="990">
        <v>0</v>
      </c>
      <c r="AO224" s="1147">
        <f>'CONCEPTOS Y PARAMETROS'!$C$18*AN224</f>
        <v>0</v>
      </c>
      <c r="AP224" s="990">
        <v>0</v>
      </c>
      <c r="AQ224" s="1147">
        <f>'CONCEPTOS Y PARAMETROS'!$C$21*AP224</f>
        <v>0</v>
      </c>
      <c r="AR224" s="1318">
        <v>0</v>
      </c>
      <c r="AS224" s="1318">
        <v>0</v>
      </c>
      <c r="AT224" s="1318">
        <f t="shared" si="472"/>
        <v>0</v>
      </c>
      <c r="AU224" s="1108">
        <f t="shared" si="372"/>
        <v>519.14</v>
      </c>
      <c r="AV224" s="1133">
        <v>0</v>
      </c>
      <c r="AW224" s="1108">
        <f t="shared" si="558"/>
        <v>0</v>
      </c>
      <c r="AX224" s="1107">
        <f>IF(T224&lt;&gt;"0",(ROUND(IF(A224="EMPLEADO",eval_formula('CONCEPTOS Y PARAMETROS'!$C$8,NOMINA!V224,NOMINA!$AU224,NOMINA!I224+NOMINA!J224),eval_formula('CONCEPTOS Y PARAMETROS'!$D$8,NOMINA!V224,NOMINA!$AU224,NOMINA!I224+NOMINA!J224)),2))*IF(H224&lt;&gt;"",IF(MONTH(H224)=$BR$8,IF(YEAR(H224)&lt;$BT$7,1,0),0)))</f>
        <v>0</v>
      </c>
      <c r="AY224" s="1108">
        <v>180</v>
      </c>
      <c r="AZ224" s="1107">
        <f>IFERROR(VLOOKUP(AY224,'CONCEPTOS Y PARAMETROS'!Y:Z,2,0),0)</f>
        <v>150</v>
      </c>
      <c r="BA224" s="1107">
        <f t="shared" si="403"/>
        <v>3893.55</v>
      </c>
      <c r="BB224" s="1107">
        <f t="shared" si="595"/>
        <v>0</v>
      </c>
      <c r="BC224" s="990">
        <v>0</v>
      </c>
      <c r="BD224" s="1107" t="str">
        <f t="shared" si="373"/>
        <v>0</v>
      </c>
      <c r="BE224" s="990">
        <v>0</v>
      </c>
      <c r="BF224" s="1107">
        <f t="shared" si="561"/>
        <v>0</v>
      </c>
      <c r="BG224" s="1108">
        <v>320</v>
      </c>
      <c r="BH224" s="1108">
        <v>0</v>
      </c>
      <c r="BI224" s="1132">
        <v>0</v>
      </c>
      <c r="BJ224" s="1108">
        <v>12.5</v>
      </c>
      <c r="BK224" s="1108">
        <v>0</v>
      </c>
      <c r="BL224" s="1107">
        <f t="shared" si="437"/>
        <v>23.96</v>
      </c>
      <c r="BM224" s="1107">
        <f t="shared" si="438"/>
        <v>3</v>
      </c>
      <c r="BN224" s="1107">
        <f t="shared" si="377"/>
        <v>5.19</v>
      </c>
      <c r="BO224" s="1107">
        <v>0</v>
      </c>
      <c r="BP224" s="1107">
        <v>0</v>
      </c>
      <c r="BQ224" s="1320">
        <f t="shared" si="366"/>
        <v>32.15</v>
      </c>
      <c r="BR224" s="1107">
        <f t="shared" si="439"/>
        <v>53.91</v>
      </c>
      <c r="BS224" s="1107">
        <f t="shared" si="440"/>
        <v>11.98</v>
      </c>
      <c r="BT224" s="1107">
        <f t="shared" si="378"/>
        <v>10.38</v>
      </c>
      <c r="BU224" s="1107">
        <v>0</v>
      </c>
      <c r="BV224" s="1108">
        <f t="shared" si="367"/>
        <v>76.27</v>
      </c>
      <c r="BW224" s="1112">
        <f t="shared" si="368"/>
        <v>108.41999999999999</v>
      </c>
      <c r="BX224" s="1112">
        <f t="shared" si="597"/>
        <v>973.39</v>
      </c>
      <c r="BY224" s="1108">
        <v>0</v>
      </c>
      <c r="BZ224" s="1108">
        <f t="shared" si="365"/>
        <v>973.39</v>
      </c>
      <c r="CA224" s="1321">
        <f>'CONCEPTOS Y PARAMETROS'!$A$102</f>
        <v>6255</v>
      </c>
      <c r="CB224" s="1112">
        <f t="shared" si="379"/>
        <v>227.42999999999998</v>
      </c>
      <c r="CC224" s="1113">
        <f t="shared" si="380"/>
        <v>592.05999999999995</v>
      </c>
      <c r="CD224" s="512"/>
      <c r="CE224" s="512"/>
      <c r="CF224" s="470">
        <f t="shared" si="381"/>
        <v>899.56</v>
      </c>
      <c r="CG224" s="509">
        <f t="shared" si="404"/>
        <v>227.42999999999998</v>
      </c>
      <c r="CH224" s="1603">
        <f t="shared" si="382"/>
        <v>12.5</v>
      </c>
      <c r="CI224" s="1491">
        <f t="shared" si="374"/>
        <v>320</v>
      </c>
      <c r="CJ224" s="1502">
        <v>1</v>
      </c>
      <c r="CK224" s="509">
        <f t="shared" si="383"/>
        <v>579.55999999999995</v>
      </c>
      <c r="CL224" s="1689">
        <f t="shared" si="384"/>
        <v>579.55999999999995</v>
      </c>
      <c r="CM224" s="1689">
        <f t="shared" si="375"/>
        <v>0</v>
      </c>
      <c r="CN224" s="510">
        <f t="shared" si="385"/>
        <v>0</v>
      </c>
      <c r="CO224" s="511">
        <v>0</v>
      </c>
      <c r="CP224" s="510">
        <f t="shared" si="386"/>
        <v>0</v>
      </c>
      <c r="CQ224" s="510">
        <f t="shared" si="387"/>
        <v>0</v>
      </c>
      <c r="CR224" s="510">
        <f t="shared" si="388"/>
        <v>1159.1199999999999</v>
      </c>
      <c r="CS224" s="510">
        <f t="shared" si="389"/>
        <v>108.41999999999999</v>
      </c>
      <c r="CT224" s="510">
        <f t="shared" si="390"/>
        <v>6255</v>
      </c>
      <c r="CU224" s="512"/>
      <c r="CV224" s="512"/>
      <c r="CW224" s="512"/>
      <c r="CX224" s="512"/>
      <c r="CY224" s="1149" t="s">
        <v>6944</v>
      </c>
      <c r="CZ224" s="1149" t="s">
        <v>6945</v>
      </c>
      <c r="DA224" s="1152"/>
      <c r="DB224" s="1642" t="s">
        <v>7407</v>
      </c>
      <c r="DC224" s="1642"/>
      <c r="DD224" s="1642" t="s">
        <v>6143</v>
      </c>
      <c r="DE224" s="1642" t="s">
        <v>6142</v>
      </c>
      <c r="DF224" s="1642" t="s">
        <v>6394</v>
      </c>
      <c r="DG224" s="1642"/>
      <c r="DH224" s="512"/>
      <c r="DI224" s="512"/>
      <c r="DJ224" s="512"/>
      <c r="DK224" s="512"/>
      <c r="DL224" s="512"/>
      <c r="DN224" s="476" t="str">
        <f>VLOOKUP(X224,Hoja1!$A$4:$B$10,2,0)</f>
        <v>PROFESIONAL</v>
      </c>
      <c r="DO224" s="476" t="str">
        <f>VLOOKUP(S224,Hoja1!$D$4:$F$77,3,0)</f>
        <v>PII - II</v>
      </c>
      <c r="DP224" s="1594" t="str">
        <f t="shared" si="391"/>
        <v>0</v>
      </c>
      <c r="DQ224" s="1484">
        <f>IF(T224&lt;&gt;"0",(ROUND(IF(A224="EMPLEADO",eval_formula('CONCEPTOS Y PARAMETROS'!$C$8,NOMINA!V224,AU224+BF224,NOMINA!I224+NOMINA!J224),eval_formula('CONCEPTOS Y PARAMETROS'!$D$8,NOMINA!V224,AU224+BF224,NOMINA!I224+NOMINA!J224)),2))*IF(H224&lt;&gt;"",IF(MONTH(H224)=$BR$8,IF(YEAR(H224)&lt;$BT$7,1,0),0)))</f>
        <v>0</v>
      </c>
      <c r="DR224" s="1799" t="str">
        <f t="shared" si="392"/>
        <v>M</v>
      </c>
      <c r="DS224" s="1799"/>
    </row>
    <row r="225" spans="1:123" s="911" customFormat="1" ht="21.95" customHeight="1" x14ac:dyDescent="0.25">
      <c r="A225" s="910" t="s">
        <v>2846</v>
      </c>
      <c r="B225" s="1328">
        <f ca="1">OFFSET(B225,-1,0)+1</f>
        <v>182</v>
      </c>
      <c r="C225" s="1329">
        <v>18457406</v>
      </c>
      <c r="D225" s="1330" t="s">
        <v>4676</v>
      </c>
      <c r="E225" s="1331" t="s">
        <v>4622</v>
      </c>
      <c r="F225" s="1332">
        <v>32354</v>
      </c>
      <c r="G225" s="1331" t="s">
        <v>4621</v>
      </c>
      <c r="H225" s="1332">
        <v>41548</v>
      </c>
      <c r="I225" s="1333">
        <f t="shared" si="376"/>
        <v>11</v>
      </c>
      <c r="J225" s="1334">
        <v>0</v>
      </c>
      <c r="K225" s="1333">
        <f t="shared" si="371"/>
        <v>11</v>
      </c>
      <c r="L225" s="1335" t="s">
        <v>5524</v>
      </c>
      <c r="M225" s="1334"/>
      <c r="N225" s="1334"/>
      <c r="O225" s="1336" t="s">
        <v>7275</v>
      </c>
      <c r="P225" s="1334" t="s">
        <v>5192</v>
      </c>
      <c r="Q225" s="1337" t="str">
        <f>IFERROR(VLOOKUP(O225,CARGOS!A:E,2,0),"")</f>
        <v>41154</v>
      </c>
      <c r="R225" s="1336" t="s">
        <v>7275</v>
      </c>
      <c r="S225" s="1338" t="s">
        <v>5473</v>
      </c>
      <c r="T225" s="1339">
        <v>0</v>
      </c>
      <c r="U225" s="1307">
        <v>0</v>
      </c>
      <c r="V225" s="1339">
        <f>T225-U225</f>
        <v>0</v>
      </c>
      <c r="W225" s="1307">
        <f>ROUND(V225/2,2)</f>
        <v>0</v>
      </c>
      <c r="X225" s="1331" t="s">
        <v>2885</v>
      </c>
      <c r="Y225" s="1331"/>
      <c r="Z225" s="1331">
        <v>0</v>
      </c>
      <c r="AA225" s="1339">
        <f>ROUND(IF(H225&lt;&gt;"",VLOOKUP(SUM(I225+J225),'CONCEPTOS Y PARAMETROS'!F:G,2,0)*V225,0),2)</f>
        <v>0</v>
      </c>
      <c r="AB225" s="1339">
        <v>0</v>
      </c>
      <c r="AC225" s="1339">
        <v>0</v>
      </c>
      <c r="AD225" s="1339">
        <f>IFERROR(ROUND(VLOOKUP($X225,'CONCEPTOS Y PARAMETROS'!H:I,2,0)*($V225+AA225+AB225+AC225),2),0)</f>
        <v>0</v>
      </c>
      <c r="AE225" s="1339">
        <f>SUM(AA225:AD225)</f>
        <v>0</v>
      </c>
      <c r="AF225" s="1339">
        <f>ROUND(AA225/2,2)</f>
        <v>0</v>
      </c>
      <c r="AG225" s="1339">
        <f>ROUND(AA225-AF225,2)</f>
        <v>0</v>
      </c>
      <c r="AH225" s="1339">
        <f>ROUND(AB225/2,2)</f>
        <v>0</v>
      </c>
      <c r="AI225" s="1339">
        <f>ROUND(AB225-AH225,2)</f>
        <v>0</v>
      </c>
      <c r="AJ225" s="1339">
        <f>ROUND(AD225/2,2)</f>
        <v>0</v>
      </c>
      <c r="AK225" s="1339">
        <f>ROUND(AD225-AJ225,2)</f>
        <v>0</v>
      </c>
      <c r="AL225" s="1307">
        <f>ROUND(AF225+AH225+AJ225+AC225,2)</f>
        <v>0</v>
      </c>
      <c r="AM225" s="1307">
        <f>ROUND(AG225+AI225+AK225,2)</f>
        <v>0</v>
      </c>
      <c r="AN225" s="1340">
        <v>0</v>
      </c>
      <c r="AO225" s="1341">
        <v>0</v>
      </c>
      <c r="AP225" s="1340">
        <v>0</v>
      </c>
      <c r="AQ225" s="1341">
        <f>'CONCEPTOS Y PARAMETROS'!$C$21*AP225</f>
        <v>0</v>
      </c>
      <c r="AR225" s="1342">
        <v>0</v>
      </c>
      <c r="AS225" s="1342">
        <v>0</v>
      </c>
      <c r="AT225" s="1342">
        <f>+AO225+AQ225+AR225+AS225</f>
        <v>0</v>
      </c>
      <c r="AU225" s="1307">
        <f t="shared" si="372"/>
        <v>0</v>
      </c>
      <c r="AV225" s="1343">
        <v>0</v>
      </c>
      <c r="AW225" s="1307">
        <f>ROUND(IF(O225="VIGILANTE",(V225+AE225)*30%,0),2)</f>
        <v>0</v>
      </c>
      <c r="AX225" s="1339">
        <f>IF(T225&lt;&gt;"0",(ROUND(IF(A225="EMPLEADO",eval_formula('CONCEPTOS Y PARAMETROS'!$C$8,NOMINA!V225,NOMINA!$AU225,NOMINA!I225+NOMINA!J225),eval_formula('CONCEPTOS Y PARAMETROS'!$D$8,NOMINA!V225,NOMINA!$AU225,NOMINA!I225+NOMINA!J225)),2))*IF(H225&lt;&gt;"",IF(MONTH(H225)=$BR$8,IF(YEAR(H225)&lt;$BT$7,1,0),0)))</f>
        <v>0</v>
      </c>
      <c r="AY225" s="1307">
        <v>180</v>
      </c>
      <c r="AZ225" s="1339">
        <f>IFERROR(VLOOKUP(AY225,'CONCEPTOS Y PARAMETROS'!Y:Z,2,0),0)</f>
        <v>150</v>
      </c>
      <c r="BA225" s="1339">
        <f>ROUND((((AU225))/30*AY225/12+(AU225))/30*AZ225,2)</f>
        <v>0</v>
      </c>
      <c r="BB225" s="1339">
        <f t="shared" si="595"/>
        <v>0</v>
      </c>
      <c r="BC225" s="1340">
        <v>0</v>
      </c>
      <c r="BD225" s="1339" t="str">
        <f t="shared" si="373"/>
        <v>0</v>
      </c>
      <c r="BE225" s="1340">
        <v>0</v>
      </c>
      <c r="BF225" s="1339">
        <f t="shared" si="561"/>
        <v>0</v>
      </c>
      <c r="BG225" s="1307">
        <v>0</v>
      </c>
      <c r="BH225" s="1307">
        <v>0</v>
      </c>
      <c r="BI225" s="1334">
        <v>0</v>
      </c>
      <c r="BJ225" s="1307">
        <v>0</v>
      </c>
      <c r="BK225" s="1307">
        <v>0</v>
      </c>
      <c r="BL225" s="1339">
        <f t="shared" si="437"/>
        <v>0</v>
      </c>
      <c r="BM225" s="1339">
        <f t="shared" si="438"/>
        <v>0</v>
      </c>
      <c r="BN225" s="1339">
        <f t="shared" si="377"/>
        <v>0</v>
      </c>
      <c r="BO225" s="1339">
        <v>0</v>
      </c>
      <c r="BP225" s="1339">
        <v>0</v>
      </c>
      <c r="BQ225" s="1344">
        <f>ROUND(SUM(BL225:BP225),2)</f>
        <v>0</v>
      </c>
      <c r="BR225" s="1339">
        <f t="shared" si="439"/>
        <v>0</v>
      </c>
      <c r="BS225" s="1339">
        <f t="shared" si="440"/>
        <v>0</v>
      </c>
      <c r="BT225" s="1339">
        <f t="shared" si="378"/>
        <v>0</v>
      </c>
      <c r="BU225" s="1339">
        <v>0</v>
      </c>
      <c r="BV225" s="1307">
        <f>ROUND(SUM(BR225:BT225),2)</f>
        <v>0</v>
      </c>
      <c r="BW225" s="1305">
        <f>BQ225+BV225</f>
        <v>0</v>
      </c>
      <c r="BX225" s="1305">
        <f t="shared" si="597"/>
        <v>0</v>
      </c>
      <c r="BY225" s="1307">
        <v>0</v>
      </c>
      <c r="BZ225" s="1307">
        <f t="shared" ref="BZ225:BZ290" si="598">+BX225+BY225</f>
        <v>0</v>
      </c>
      <c r="CA225" s="1345">
        <v>0</v>
      </c>
      <c r="CB225" s="1305">
        <f t="shared" si="379"/>
        <v>0</v>
      </c>
      <c r="CC225" s="1346">
        <f t="shared" si="380"/>
        <v>0</v>
      </c>
      <c r="CD225" s="512"/>
      <c r="CE225" s="512"/>
      <c r="CF225" s="470">
        <f t="shared" si="381"/>
        <v>0</v>
      </c>
      <c r="CG225" s="912">
        <f t="shared" si="404"/>
        <v>0</v>
      </c>
      <c r="CH225" s="498">
        <f t="shared" si="382"/>
        <v>0</v>
      </c>
      <c r="CI225" s="1492">
        <f t="shared" si="374"/>
        <v>0</v>
      </c>
      <c r="CJ225" s="1504">
        <v>0</v>
      </c>
      <c r="CK225" s="912">
        <f t="shared" si="383"/>
        <v>0</v>
      </c>
      <c r="CL225" s="912">
        <f t="shared" si="384"/>
        <v>0</v>
      </c>
      <c r="CM225" s="912">
        <f t="shared" si="375"/>
        <v>0</v>
      </c>
      <c r="CN225" s="913">
        <f t="shared" si="385"/>
        <v>0</v>
      </c>
      <c r="CO225" s="914">
        <v>0</v>
      </c>
      <c r="CP225" s="913">
        <f t="shared" si="386"/>
        <v>0</v>
      </c>
      <c r="CQ225" s="913">
        <f t="shared" si="387"/>
        <v>0</v>
      </c>
      <c r="CR225" s="496">
        <f t="shared" si="388"/>
        <v>0</v>
      </c>
      <c r="CS225" s="913">
        <f t="shared" si="389"/>
        <v>0</v>
      </c>
      <c r="CT225" s="913">
        <f t="shared" si="390"/>
        <v>0</v>
      </c>
      <c r="CU225" s="470"/>
      <c r="CV225" s="470"/>
      <c r="CW225" s="470"/>
      <c r="CX225" s="470"/>
      <c r="CY225" s="1330" t="s">
        <v>6806</v>
      </c>
      <c r="CZ225" s="1330" t="s">
        <v>6947</v>
      </c>
      <c r="DA225" s="1613"/>
      <c r="DB225" s="1143"/>
      <c r="DC225" s="1143"/>
      <c r="DD225" s="1143"/>
      <c r="DE225" s="1143"/>
      <c r="DF225" s="1143"/>
      <c r="DG225" s="1143"/>
      <c r="DH225" s="512"/>
      <c r="DI225" s="512"/>
      <c r="DJ225" s="915"/>
      <c r="DK225" s="915"/>
      <c r="DL225" s="915"/>
      <c r="DN225" s="911" t="str">
        <f>VLOOKUP(X225,Hoja1!$A$4:$B$10,2,0)</f>
        <v>PROFESIONAL</v>
      </c>
      <c r="DO225" s="911" t="str">
        <f>VLOOKUP(S225,Hoja1!$D$4:$F$77,3,0)</f>
        <v>PII - IV</v>
      </c>
      <c r="DP225" s="1157" t="str">
        <f t="shared" si="391"/>
        <v>0</v>
      </c>
      <c r="DQ225" s="1484">
        <f>IF(T225&lt;&gt;"0",(ROUND(IF(A225="EMPLEADO",eval_formula('CONCEPTOS Y PARAMETROS'!$C$8,NOMINA!V225,AU225+BF225,NOMINA!I225+NOMINA!J225),eval_formula('CONCEPTOS Y PARAMETROS'!$D$8,NOMINA!V225,AU225+BF225,NOMINA!I225+NOMINA!J225)),2))*IF(H225&lt;&gt;"",IF(MONTH(H225)=$BR$8,IF(YEAR(H225)&lt;$BT$7,1,0),0)))</f>
        <v>0</v>
      </c>
      <c r="DR225" s="1800" t="str">
        <f t="shared" si="392"/>
        <v>M</v>
      </c>
      <c r="DS225" s="1800"/>
    </row>
    <row r="226" spans="1:123" s="476" customFormat="1" ht="21.95" customHeight="1" x14ac:dyDescent="0.25">
      <c r="A226" s="508" t="s">
        <v>2846</v>
      </c>
      <c r="B226" s="1314">
        <f t="shared" ca="1" si="471"/>
        <v>183</v>
      </c>
      <c r="C226" s="1148">
        <v>18458012</v>
      </c>
      <c r="D226" s="1149" t="s">
        <v>4863</v>
      </c>
      <c r="E226" s="1135" t="s">
        <v>4622</v>
      </c>
      <c r="F226" s="1150">
        <v>32062</v>
      </c>
      <c r="G226" s="1135" t="s">
        <v>4620</v>
      </c>
      <c r="H226" s="1150">
        <v>44636</v>
      </c>
      <c r="I226" s="1140">
        <f t="shared" si="376"/>
        <v>3</v>
      </c>
      <c r="J226" s="1132">
        <v>0</v>
      </c>
      <c r="K226" s="1140">
        <f t="shared" si="371"/>
        <v>3</v>
      </c>
      <c r="L226" s="1145" t="s">
        <v>5524</v>
      </c>
      <c r="M226" s="1132"/>
      <c r="N226" s="1132"/>
      <c r="O226" s="1002" t="s">
        <v>5215</v>
      </c>
      <c r="P226" s="1132" t="s">
        <v>5409</v>
      </c>
      <c r="Q226" s="1315" t="str">
        <f>IFERROR(VLOOKUP(O226,CARGOS!A:E,2,0),"")</f>
        <v>12113</v>
      </c>
      <c r="R226" s="1327" t="s">
        <v>5215</v>
      </c>
      <c r="S226" s="1146" t="s">
        <v>5468</v>
      </c>
      <c r="T226" s="1107">
        <f>IFERROR(VLOOKUP(S226,'TAB EMP'!A:B,2,0),0)</f>
        <v>219</v>
      </c>
      <c r="U226" s="1108">
        <v>0</v>
      </c>
      <c r="V226" s="1107">
        <f t="shared" si="393"/>
        <v>219</v>
      </c>
      <c r="W226" s="1108">
        <f t="shared" si="394"/>
        <v>109.5</v>
      </c>
      <c r="X226" s="1135" t="s">
        <v>2844</v>
      </c>
      <c r="Y226" s="1135"/>
      <c r="Z226" s="1135">
        <v>2</v>
      </c>
      <c r="AA226" s="1107">
        <f>ROUND(IF(H226&lt;&gt;"",VLOOKUP(SUM(I226+J226),'CONCEPTOS Y PARAMETROS'!F:G,2,0)*V226,0),2)</f>
        <v>6.57</v>
      </c>
      <c r="AB226" s="1107">
        <f>IF(S226&lt;&gt;"",IF(M226="",'CONCEPTOS Y PARAMETROS'!$C$4,0),0)</f>
        <v>130</v>
      </c>
      <c r="AC226" s="1107">
        <f>IF(S226&lt;&gt;"",IF(M226="",'CONCEPTOS Y PARAMETROS'!$C$7*Z226,0),0)</f>
        <v>25</v>
      </c>
      <c r="AD226" s="1107">
        <f>IFERROR(ROUND(VLOOKUP($X226,'CONCEPTOS Y PARAMETROS'!H:I,2,0)*($V226+AA226+AB226+AC226),2),0)</f>
        <v>76.11</v>
      </c>
      <c r="AE226" s="1107">
        <f t="shared" si="369"/>
        <v>237.68</v>
      </c>
      <c r="AF226" s="1107">
        <f t="shared" si="395"/>
        <v>3.29</v>
      </c>
      <c r="AG226" s="1107">
        <f t="shared" si="396"/>
        <v>3.28</v>
      </c>
      <c r="AH226" s="1107">
        <f t="shared" si="397"/>
        <v>65</v>
      </c>
      <c r="AI226" s="1107">
        <f t="shared" si="398"/>
        <v>65</v>
      </c>
      <c r="AJ226" s="1107">
        <f t="shared" si="399"/>
        <v>38.06</v>
      </c>
      <c r="AK226" s="1107">
        <f t="shared" si="400"/>
        <v>38.049999999999997</v>
      </c>
      <c r="AL226" s="1108">
        <f t="shared" si="401"/>
        <v>131.35</v>
      </c>
      <c r="AM226" s="1108">
        <f t="shared" si="402"/>
        <v>106.33</v>
      </c>
      <c r="AN226" s="1453">
        <v>2</v>
      </c>
      <c r="AO226" s="1147">
        <f>'CONCEPTOS Y PARAMETROS'!$C$18*AN226</f>
        <v>25</v>
      </c>
      <c r="AP226" s="990">
        <v>0</v>
      </c>
      <c r="AQ226" s="1147">
        <f>'CONCEPTOS Y PARAMETROS'!$C$21*AP226</f>
        <v>0</v>
      </c>
      <c r="AR226" s="1318">
        <v>0</v>
      </c>
      <c r="AS226" s="1318">
        <v>0</v>
      </c>
      <c r="AT226" s="1318">
        <f t="shared" si="472"/>
        <v>25</v>
      </c>
      <c r="AU226" s="1108">
        <f t="shared" si="372"/>
        <v>456.68</v>
      </c>
      <c r="AV226" s="1133">
        <v>0</v>
      </c>
      <c r="AW226" s="1108">
        <f t="shared" ref="AW226:AW252" si="599">ROUND(IF(AV226="NOCTURN",(V226+AE226)*30%,0),2)</f>
        <v>0</v>
      </c>
      <c r="AX226" s="1107">
        <f>IF(T226&lt;&gt;"0",(ROUND(IF(A226="EMPLEADO",eval_formula('CONCEPTOS Y PARAMETROS'!$C$8,NOMINA!V226,NOMINA!$AU226,NOMINA!I226+NOMINA!J226),eval_formula('CONCEPTOS Y PARAMETROS'!$D$8,NOMINA!V226,NOMINA!$AU226,NOMINA!I226+NOMINA!J226)),2))*IF(H226&lt;&gt;"",IF(MONTH(H226)=$BR$8,IF(YEAR(H226)&lt;$BT$7,1,0),0)))</f>
        <v>0</v>
      </c>
      <c r="AY226" s="1108">
        <v>180</v>
      </c>
      <c r="AZ226" s="1107">
        <f>IFERROR(VLOOKUP(AY226,'CONCEPTOS Y PARAMETROS'!Y:Z,2,0),0)</f>
        <v>150</v>
      </c>
      <c r="BA226" s="1107">
        <f t="shared" si="403"/>
        <v>3425.1</v>
      </c>
      <c r="BB226" s="1107">
        <f t="shared" si="595"/>
        <v>0</v>
      </c>
      <c r="BC226" s="990">
        <v>0</v>
      </c>
      <c r="BD226" s="1107" t="str">
        <f t="shared" si="373"/>
        <v>0</v>
      </c>
      <c r="BE226" s="990">
        <v>0</v>
      </c>
      <c r="BF226" s="1107">
        <f t="shared" si="561"/>
        <v>0</v>
      </c>
      <c r="BG226" s="1108">
        <v>320</v>
      </c>
      <c r="BH226" s="1108">
        <v>0</v>
      </c>
      <c r="BI226" s="1132">
        <v>0</v>
      </c>
      <c r="BJ226" s="1108">
        <v>12.5</v>
      </c>
      <c r="BK226" s="1108">
        <v>0</v>
      </c>
      <c r="BL226" s="1107">
        <f t="shared" si="437"/>
        <v>21.08</v>
      </c>
      <c r="BM226" s="1107">
        <f t="shared" si="438"/>
        <v>2.63</v>
      </c>
      <c r="BN226" s="1107">
        <f t="shared" si="377"/>
        <v>4.57</v>
      </c>
      <c r="BO226" s="1107">
        <v>0</v>
      </c>
      <c r="BP226" s="1107">
        <v>0</v>
      </c>
      <c r="BQ226" s="1320">
        <f t="shared" si="366"/>
        <v>28.28</v>
      </c>
      <c r="BR226" s="1107">
        <f t="shared" si="439"/>
        <v>47.42</v>
      </c>
      <c r="BS226" s="1107">
        <f t="shared" si="440"/>
        <v>10.54</v>
      </c>
      <c r="BT226" s="1107">
        <f t="shared" si="378"/>
        <v>9.14</v>
      </c>
      <c r="BU226" s="1107">
        <v>0</v>
      </c>
      <c r="BV226" s="1108">
        <f t="shared" si="367"/>
        <v>67.099999999999994</v>
      </c>
      <c r="BW226" s="1112">
        <f t="shared" si="368"/>
        <v>95.38</v>
      </c>
      <c r="BX226" s="1112">
        <f t="shared" si="597"/>
        <v>856.28</v>
      </c>
      <c r="BY226" s="1108">
        <v>0</v>
      </c>
      <c r="BZ226" s="1108">
        <f t="shared" si="598"/>
        <v>856.28</v>
      </c>
      <c r="CA226" s="1321">
        <f>'CONCEPTOS Y PARAMETROS'!$A$102</f>
        <v>6255</v>
      </c>
      <c r="CB226" s="1112">
        <f t="shared" si="379"/>
        <v>212.57</v>
      </c>
      <c r="CC226" s="1113">
        <f t="shared" si="380"/>
        <v>573.33000000000004</v>
      </c>
      <c r="CD226" s="512"/>
      <c r="CE226" s="512"/>
      <c r="CF226" s="470">
        <f t="shared" si="381"/>
        <v>855.82999999999993</v>
      </c>
      <c r="CG226" s="495">
        <f t="shared" si="404"/>
        <v>212.57</v>
      </c>
      <c r="CH226" s="498">
        <f t="shared" si="382"/>
        <v>37.5</v>
      </c>
      <c r="CI226" s="1490">
        <f t="shared" si="374"/>
        <v>320</v>
      </c>
      <c r="CJ226" s="1500">
        <v>1</v>
      </c>
      <c r="CK226" s="495">
        <f t="shared" si="383"/>
        <v>535.82999999999993</v>
      </c>
      <c r="CL226" s="1689">
        <f t="shared" si="384"/>
        <v>535.83000000000004</v>
      </c>
      <c r="CM226" s="1689">
        <f t="shared" si="375"/>
        <v>0</v>
      </c>
      <c r="CN226" s="496">
        <f t="shared" si="385"/>
        <v>0</v>
      </c>
      <c r="CO226" s="497">
        <v>0</v>
      </c>
      <c r="CP226" s="496">
        <f t="shared" si="386"/>
        <v>0</v>
      </c>
      <c r="CQ226" s="496">
        <f t="shared" si="387"/>
        <v>0</v>
      </c>
      <c r="CR226" s="496">
        <f t="shared" si="388"/>
        <v>1071.6599999999999</v>
      </c>
      <c r="CS226" s="496">
        <f t="shared" si="389"/>
        <v>95.38</v>
      </c>
      <c r="CT226" s="496">
        <f t="shared" si="390"/>
        <v>6255</v>
      </c>
      <c r="CU226" s="470"/>
      <c r="CV226" s="470"/>
      <c r="CW226" s="470"/>
      <c r="CX226" s="470"/>
      <c r="CY226" s="1149" t="s">
        <v>6829</v>
      </c>
      <c r="CZ226" s="1149" t="s">
        <v>6805</v>
      </c>
      <c r="DA226" s="480"/>
      <c r="DB226" s="1642" t="s">
        <v>7408</v>
      </c>
      <c r="DC226" s="1642"/>
      <c r="DD226" s="1642" t="s">
        <v>6135</v>
      </c>
      <c r="DE226" s="1642" t="s">
        <v>6192</v>
      </c>
      <c r="DF226" s="1644" t="s">
        <v>7409</v>
      </c>
      <c r="DG226" s="1642"/>
      <c r="DH226" s="512"/>
      <c r="DI226" s="512"/>
      <c r="DJ226" s="470"/>
      <c r="DK226" s="470"/>
      <c r="DL226" s="470"/>
      <c r="DM226" s="471"/>
      <c r="DN226" s="471" t="str">
        <f>VLOOKUP(X226,Hoja1!$A$4:$B$10,2,0)</f>
        <v>TÉCNICO SUPERIOR UNIVERSITARIO</v>
      </c>
      <c r="DO226" s="471" t="str">
        <f>VLOOKUP(S226,Hoja1!$D$4:$F$77,3,0)</f>
        <v>TII - II</v>
      </c>
      <c r="DP226" s="1156" t="str">
        <f t="shared" si="391"/>
        <v>0</v>
      </c>
      <c r="DQ226" s="1484">
        <f>IF(T226&lt;&gt;"0",(ROUND(IF(A226="EMPLEADO",eval_formula('CONCEPTOS Y PARAMETROS'!$C$8,NOMINA!V226,AU226+BF226,NOMINA!I226+NOMINA!J226),eval_formula('CONCEPTOS Y PARAMETROS'!$D$8,NOMINA!V226,AU226+BF226,NOMINA!I226+NOMINA!J226)),2))*IF(H226&lt;&gt;"",IF(MONTH(H226)=$BR$8,IF(YEAR(H226)&lt;$BT$7,1,0),0)))</f>
        <v>0</v>
      </c>
      <c r="DR226" s="1801" t="str">
        <f t="shared" si="392"/>
        <v>F</v>
      </c>
      <c r="DS226" s="1801"/>
    </row>
    <row r="227" spans="1:123" s="476" customFormat="1" ht="21.95" customHeight="1" x14ac:dyDescent="0.25">
      <c r="A227" s="508" t="s">
        <v>2846</v>
      </c>
      <c r="B227" s="1314">
        <f t="shared" ca="1" si="471"/>
        <v>184</v>
      </c>
      <c r="C227" s="1148">
        <v>18733682</v>
      </c>
      <c r="D227" s="1149" t="s">
        <v>6644</v>
      </c>
      <c r="E227" s="1135" t="s">
        <v>4622</v>
      </c>
      <c r="F227" s="1150">
        <v>32189</v>
      </c>
      <c r="G227" s="1135" t="s">
        <v>4620</v>
      </c>
      <c r="H227" s="1150">
        <v>45474</v>
      </c>
      <c r="I227" s="1140">
        <f t="shared" si="376"/>
        <v>1</v>
      </c>
      <c r="J227" s="1132">
        <v>0</v>
      </c>
      <c r="K227" s="1140">
        <f t="shared" si="371"/>
        <v>1</v>
      </c>
      <c r="L227" s="1145" t="s">
        <v>5535</v>
      </c>
      <c r="M227" s="1132"/>
      <c r="N227" s="1132"/>
      <c r="O227" s="1002" t="s">
        <v>5218</v>
      </c>
      <c r="P227" s="1151" t="s">
        <v>6645</v>
      </c>
      <c r="Q227" s="1315" t="str">
        <f>IFERROR(VLOOKUP(O227,CARGOS!A:E,2,0),"")</f>
        <v>79511</v>
      </c>
      <c r="R227" s="1327" t="s">
        <v>5218</v>
      </c>
      <c r="S227" s="1146" t="s">
        <v>5470</v>
      </c>
      <c r="T227" s="1107">
        <f>IFERROR(VLOOKUP(S227,'TAB EMP'!A:B,2,0),0)</f>
        <v>130</v>
      </c>
      <c r="U227" s="1108">
        <v>0</v>
      </c>
      <c r="V227" s="1107">
        <f t="shared" si="393"/>
        <v>130</v>
      </c>
      <c r="W227" s="1108">
        <f t="shared" si="394"/>
        <v>65</v>
      </c>
      <c r="X227" s="1135" t="s">
        <v>2884</v>
      </c>
      <c r="Y227" s="1135"/>
      <c r="Z227" s="1135">
        <v>1</v>
      </c>
      <c r="AA227" s="1107">
        <f>ROUND(IF(H227&lt;&gt;"",VLOOKUP(SUM(I227+J227),'CONCEPTOS Y PARAMETROS'!F:G,2,0)*V227,0),2)</f>
        <v>1.3</v>
      </c>
      <c r="AB227" s="1107">
        <f>IF(S227&lt;&gt;"",IF(M227="",'CONCEPTOS Y PARAMETROS'!$C$4,0),0)</f>
        <v>130</v>
      </c>
      <c r="AC227" s="1107">
        <f>IF(S227&lt;&gt;"",IF(M227="",'CONCEPTOS Y PARAMETROS'!$C$7*Z227,0),0)</f>
        <v>12.5</v>
      </c>
      <c r="AD227" s="1107">
        <f>IFERROR(ROUND(VLOOKUP($X227,'CONCEPTOS Y PARAMETROS'!H:I,2,0)*($V227+AA227+AB227+AC227),2),0)</f>
        <v>0</v>
      </c>
      <c r="AE227" s="1107">
        <f t="shared" si="369"/>
        <v>143.80000000000001</v>
      </c>
      <c r="AF227" s="1107">
        <f t="shared" si="395"/>
        <v>0.65</v>
      </c>
      <c r="AG227" s="1107">
        <f t="shared" si="396"/>
        <v>0.65</v>
      </c>
      <c r="AH227" s="1107">
        <f t="shared" si="397"/>
        <v>65</v>
      </c>
      <c r="AI227" s="1107">
        <f t="shared" si="398"/>
        <v>65</v>
      </c>
      <c r="AJ227" s="1107">
        <f t="shared" si="399"/>
        <v>0</v>
      </c>
      <c r="AK227" s="1107">
        <f t="shared" si="400"/>
        <v>0</v>
      </c>
      <c r="AL227" s="1108">
        <f t="shared" si="401"/>
        <v>78.150000000000006</v>
      </c>
      <c r="AM227" s="1108">
        <f t="shared" si="402"/>
        <v>65.650000000000006</v>
      </c>
      <c r="AN227" s="1453">
        <v>1</v>
      </c>
      <c r="AO227" s="1147">
        <f>'CONCEPTOS Y PARAMETROS'!$C$18*AN227</f>
        <v>12.5</v>
      </c>
      <c r="AP227" s="990">
        <v>0</v>
      </c>
      <c r="AQ227" s="1147">
        <f>'CONCEPTOS Y PARAMETROS'!$C$21*AP227</f>
        <v>0</v>
      </c>
      <c r="AR227" s="1318">
        <v>0</v>
      </c>
      <c r="AS227" s="1318">
        <v>0</v>
      </c>
      <c r="AT227" s="1318">
        <f t="shared" si="472"/>
        <v>12.5</v>
      </c>
      <c r="AU227" s="1108">
        <f t="shared" si="372"/>
        <v>355.94</v>
      </c>
      <c r="AV227" s="1133" t="s">
        <v>5080</v>
      </c>
      <c r="AW227" s="1108">
        <f t="shared" si="599"/>
        <v>82.14</v>
      </c>
      <c r="AX227" s="1107">
        <f>IF(T227&lt;&gt;"0",(ROUND(IF(A227="EMPLEADO",eval_formula('CONCEPTOS Y PARAMETROS'!$C$8,NOMINA!V227,NOMINA!$AU227,NOMINA!I227+NOMINA!J227),eval_formula('CONCEPTOS Y PARAMETROS'!$D$8,NOMINA!V227,NOMINA!$AU227,NOMINA!I227+NOMINA!J227)),2))*IF(H227&lt;&gt;"",IF(MONTH(H227)=$BR$8,IF(YEAR(H227)&lt;$BT$7,1,0),0)))</f>
        <v>0</v>
      </c>
      <c r="AY227" s="1108">
        <v>90</v>
      </c>
      <c r="AZ227" s="1107">
        <f>IFERROR(VLOOKUP(AY227,'CONCEPTOS Y PARAMETROS'!Y:Z,2,0),0)</f>
        <v>75</v>
      </c>
      <c r="BA227" s="1107">
        <f t="shared" si="403"/>
        <v>1112.31</v>
      </c>
      <c r="BB227" s="1107">
        <f t="shared" si="595"/>
        <v>0</v>
      </c>
      <c r="BC227" s="990">
        <v>0</v>
      </c>
      <c r="BD227" s="1107" t="str">
        <f t="shared" si="373"/>
        <v>0</v>
      </c>
      <c r="BE227" s="990">
        <v>3</v>
      </c>
      <c r="BF227" s="1107">
        <f t="shared" si="561"/>
        <v>53.39</v>
      </c>
      <c r="BG227" s="1108">
        <v>320</v>
      </c>
      <c r="BH227" s="1108">
        <v>0</v>
      </c>
      <c r="BI227" s="1132">
        <v>0</v>
      </c>
      <c r="BJ227" s="1108">
        <v>12.5</v>
      </c>
      <c r="BK227" s="1108">
        <v>0</v>
      </c>
      <c r="BL227" s="1107">
        <f t="shared" si="437"/>
        <v>16.43</v>
      </c>
      <c r="BM227" s="1107">
        <f t="shared" si="438"/>
        <v>2.0499999999999998</v>
      </c>
      <c r="BN227" s="1107">
        <f t="shared" si="377"/>
        <v>3.56</v>
      </c>
      <c r="BO227" s="1107">
        <v>0</v>
      </c>
      <c r="BP227" s="1107">
        <v>0</v>
      </c>
      <c r="BQ227" s="1320">
        <f t="shared" si="366"/>
        <v>22.04</v>
      </c>
      <c r="BR227" s="1107">
        <f t="shared" si="439"/>
        <v>36.96</v>
      </c>
      <c r="BS227" s="1107">
        <f t="shared" si="440"/>
        <v>8.2100000000000009</v>
      </c>
      <c r="BT227" s="1107">
        <f t="shared" si="378"/>
        <v>7.12</v>
      </c>
      <c r="BU227" s="1107">
        <v>0</v>
      </c>
      <c r="BV227" s="1108">
        <f t="shared" si="367"/>
        <v>52.29</v>
      </c>
      <c r="BW227" s="1112">
        <f t="shared" si="368"/>
        <v>74.33</v>
      </c>
      <c r="BX227" s="1112">
        <f t="shared" si="597"/>
        <v>278.08</v>
      </c>
      <c r="BY227" s="1108">
        <v>0</v>
      </c>
      <c r="BZ227" s="1108">
        <f t="shared" si="598"/>
        <v>278.08</v>
      </c>
      <c r="CA227" s="1321">
        <f>'CONCEPTOS Y PARAMETROS'!$A$102</f>
        <v>6255</v>
      </c>
      <c r="CB227" s="1112">
        <f t="shared" si="379"/>
        <v>121.11000000000001</v>
      </c>
      <c r="CC227" s="1113">
        <f t="shared" si="380"/>
        <v>611.17999999999995</v>
      </c>
      <c r="CD227" s="512"/>
      <c r="CE227" s="512"/>
      <c r="CF227" s="470">
        <f t="shared" si="381"/>
        <v>770.65</v>
      </c>
      <c r="CG227" s="509">
        <f t="shared" si="404"/>
        <v>121.11000000000001</v>
      </c>
      <c r="CH227" s="498">
        <f t="shared" si="382"/>
        <v>25</v>
      </c>
      <c r="CI227" s="1491">
        <f t="shared" si="374"/>
        <v>320</v>
      </c>
      <c r="CJ227" s="1500">
        <v>1</v>
      </c>
      <c r="CK227" s="509">
        <f t="shared" si="383"/>
        <v>450.65</v>
      </c>
      <c r="CL227" s="1689">
        <f t="shared" si="384"/>
        <v>450.65</v>
      </c>
      <c r="CM227" s="1689">
        <f t="shared" si="375"/>
        <v>0</v>
      </c>
      <c r="CN227" s="510">
        <f t="shared" si="385"/>
        <v>53.39</v>
      </c>
      <c r="CO227" s="511">
        <v>0</v>
      </c>
      <c r="CP227" s="510">
        <f t="shared" si="386"/>
        <v>82.14</v>
      </c>
      <c r="CQ227" s="510">
        <f t="shared" si="387"/>
        <v>0</v>
      </c>
      <c r="CR227" s="496">
        <f t="shared" si="388"/>
        <v>1036.83</v>
      </c>
      <c r="CS227" s="510">
        <f t="shared" si="389"/>
        <v>74.33</v>
      </c>
      <c r="CT227" s="510">
        <f t="shared" si="390"/>
        <v>6255</v>
      </c>
      <c r="CU227" s="470"/>
      <c r="CV227" s="470"/>
      <c r="CW227" s="470"/>
      <c r="CX227" s="470"/>
      <c r="CY227" s="1149" t="s">
        <v>6948</v>
      </c>
      <c r="CZ227" s="1149" t="s">
        <v>6805</v>
      </c>
      <c r="DA227" s="1152"/>
      <c r="DB227" s="1642" t="s">
        <v>6646</v>
      </c>
      <c r="DC227" s="1642"/>
      <c r="DD227" s="1642" t="s">
        <v>6135</v>
      </c>
      <c r="DE227" s="1642" t="s">
        <v>6247</v>
      </c>
      <c r="DF227" s="1642" t="s">
        <v>6489</v>
      </c>
      <c r="DG227" s="1642"/>
      <c r="DH227" s="512"/>
      <c r="DI227" s="512"/>
      <c r="DJ227" s="512"/>
      <c r="DK227" s="512"/>
      <c r="DL227" s="512"/>
      <c r="DN227" s="476" t="str">
        <f>VLOOKUP(X227,Hoja1!$A$4:$B$10,2,0)</f>
        <v>BACHILLER</v>
      </c>
      <c r="DO227" s="476" t="str">
        <f>VLOOKUP(S227,Hoja1!$D$4:$F$77,3,0)</f>
        <v>BI</v>
      </c>
      <c r="DP227" s="1158" t="str">
        <f t="shared" si="391"/>
        <v>SI</v>
      </c>
      <c r="DQ227" s="1484">
        <f>IF(T227&lt;&gt;"0",(ROUND(IF(A227="EMPLEADO",eval_formula('CONCEPTOS Y PARAMETROS'!$C$8,NOMINA!V227,AU227+BF227,NOMINA!I227+NOMINA!J227),eval_formula('CONCEPTOS Y PARAMETROS'!$D$8,NOMINA!V227,AU227+BF227,NOMINA!I227+NOMINA!J227)),2))*IF(H227&lt;&gt;"",IF(MONTH(H227)=$BR$8,IF(YEAR(H227)&lt;$BT$7,1,0),0)))</f>
        <v>0</v>
      </c>
      <c r="DR227" s="1799" t="str">
        <f t="shared" si="392"/>
        <v>F</v>
      </c>
      <c r="DS227" s="1799"/>
    </row>
    <row r="228" spans="1:123" s="476" customFormat="1" ht="21.95" customHeight="1" x14ac:dyDescent="0.25">
      <c r="A228" s="508" t="s">
        <v>2846</v>
      </c>
      <c r="B228" s="1314">
        <f t="shared" ca="1" si="471"/>
        <v>185</v>
      </c>
      <c r="C228" s="1148">
        <v>18801597</v>
      </c>
      <c r="D228" s="1149" t="s">
        <v>4865</v>
      </c>
      <c r="E228" s="1135" t="s">
        <v>4622</v>
      </c>
      <c r="F228" s="1150">
        <v>32036</v>
      </c>
      <c r="G228" s="1135" t="s">
        <v>4620</v>
      </c>
      <c r="H228" s="1150">
        <v>43359</v>
      </c>
      <c r="I228" s="1140">
        <f t="shared" si="376"/>
        <v>7</v>
      </c>
      <c r="J228" s="1132">
        <v>0</v>
      </c>
      <c r="K228" s="1140">
        <f t="shared" si="371"/>
        <v>7</v>
      </c>
      <c r="L228" s="1145" t="s">
        <v>5526</v>
      </c>
      <c r="M228" s="1132"/>
      <c r="N228" s="1132"/>
      <c r="O228" s="1002" t="s">
        <v>5233</v>
      </c>
      <c r="P228" s="1132" t="s">
        <v>5410</v>
      </c>
      <c r="Q228" s="1315" t="str">
        <f>IFERROR(VLOOKUP(O228,CARGOS!A:E,2,0),"")</f>
        <v>79523</v>
      </c>
      <c r="R228" s="1327" t="s">
        <v>5233</v>
      </c>
      <c r="S228" s="1146" t="s">
        <v>5475</v>
      </c>
      <c r="T228" s="1107">
        <f>IFERROR(VLOOKUP(S228,'TAB EMP'!A:B,2,0),0)</f>
        <v>279</v>
      </c>
      <c r="U228" s="1108">
        <v>0</v>
      </c>
      <c r="V228" s="1107">
        <f t="shared" si="393"/>
        <v>279</v>
      </c>
      <c r="W228" s="1108">
        <f t="shared" si="394"/>
        <v>139.5</v>
      </c>
      <c r="X228" s="1135" t="s">
        <v>2885</v>
      </c>
      <c r="Y228" s="1135"/>
      <c r="Z228" s="1135">
        <v>2</v>
      </c>
      <c r="AA228" s="1107">
        <f>ROUND(IF(H228&lt;&gt;"",VLOOKUP(SUM(I228+J228),'CONCEPTOS Y PARAMETROS'!F:G,2,0)*V228,0),2)</f>
        <v>20.65</v>
      </c>
      <c r="AB228" s="1107">
        <f>IF(S228&lt;&gt;"",IF(M228="",'CONCEPTOS Y PARAMETROS'!$C$4,0),0)</f>
        <v>130</v>
      </c>
      <c r="AC228" s="1107">
        <f>IF(S228&lt;&gt;"",IF(M228="",'CONCEPTOS Y PARAMETROS'!$C$7*Z228,0),0)</f>
        <v>25</v>
      </c>
      <c r="AD228" s="1107">
        <f>IFERROR(ROUND(VLOOKUP($X228,'CONCEPTOS Y PARAMETROS'!H:I,2,0)*($V228+AA228+AB228+AC228),2),0)</f>
        <v>113.66</v>
      </c>
      <c r="AE228" s="1107">
        <f t="shared" si="369"/>
        <v>289.31</v>
      </c>
      <c r="AF228" s="1107">
        <f t="shared" si="395"/>
        <v>10.33</v>
      </c>
      <c r="AG228" s="1107">
        <f t="shared" si="396"/>
        <v>10.32</v>
      </c>
      <c r="AH228" s="1107">
        <f t="shared" si="397"/>
        <v>65</v>
      </c>
      <c r="AI228" s="1107">
        <f t="shared" si="398"/>
        <v>65</v>
      </c>
      <c r="AJ228" s="1107">
        <f t="shared" si="399"/>
        <v>56.83</v>
      </c>
      <c r="AK228" s="1107">
        <f t="shared" si="400"/>
        <v>56.83</v>
      </c>
      <c r="AL228" s="1108">
        <f t="shared" si="401"/>
        <v>157.16</v>
      </c>
      <c r="AM228" s="1108">
        <f t="shared" si="402"/>
        <v>132.15</v>
      </c>
      <c r="AN228" s="990">
        <v>2</v>
      </c>
      <c r="AO228" s="1147">
        <f>'CONCEPTOS Y PARAMETROS'!$C$18*AN228</f>
        <v>25</v>
      </c>
      <c r="AP228" s="990">
        <v>0</v>
      </c>
      <c r="AQ228" s="1147">
        <f>'CONCEPTOS Y PARAMETROS'!$C$21*AP228</f>
        <v>0</v>
      </c>
      <c r="AR228" s="1318">
        <v>0</v>
      </c>
      <c r="AS228" s="1318">
        <v>0</v>
      </c>
      <c r="AT228" s="1318">
        <f t="shared" si="472"/>
        <v>25</v>
      </c>
      <c r="AU228" s="1108">
        <f t="shared" si="372"/>
        <v>568.30999999999995</v>
      </c>
      <c r="AV228" s="1133">
        <v>0</v>
      </c>
      <c r="AW228" s="1108">
        <f t="shared" si="599"/>
        <v>0</v>
      </c>
      <c r="AX228" s="1107">
        <f>IF(T228&lt;&gt;"0",(ROUND(IF(A228="EMPLEADO",eval_formula('CONCEPTOS Y PARAMETROS'!$C$8,NOMINA!V228,NOMINA!$AU228,NOMINA!I228+NOMINA!J228),eval_formula('CONCEPTOS Y PARAMETROS'!$D$8,NOMINA!V228,NOMINA!$AU228,NOMINA!I228+NOMINA!J228)),2))*IF(H228&lt;&gt;"",IF(MONTH(H228)=$BR$8,IF(YEAR(H228)&lt;$BT$7,1,0),0)))</f>
        <v>4546.4799999999996</v>
      </c>
      <c r="AY228" s="1108">
        <v>180</v>
      </c>
      <c r="AZ228" s="1107">
        <f>IFERROR(VLOOKUP(AY228,'CONCEPTOS Y PARAMETROS'!Y:Z,2,0),0)</f>
        <v>150</v>
      </c>
      <c r="BA228" s="1107">
        <f t="shared" si="403"/>
        <v>4262.33</v>
      </c>
      <c r="BB228" s="1107">
        <f t="shared" si="595"/>
        <v>0</v>
      </c>
      <c r="BC228" s="990">
        <v>0</v>
      </c>
      <c r="BD228" s="1107" t="str">
        <f t="shared" si="373"/>
        <v>0</v>
      </c>
      <c r="BE228" s="990">
        <v>0</v>
      </c>
      <c r="BF228" s="1107">
        <f t="shared" si="561"/>
        <v>0</v>
      </c>
      <c r="BG228" s="1108">
        <v>320</v>
      </c>
      <c r="BH228" s="1108">
        <v>0</v>
      </c>
      <c r="BI228" s="1132">
        <v>0</v>
      </c>
      <c r="BJ228" s="1108">
        <v>12.5</v>
      </c>
      <c r="BK228" s="1108">
        <v>0</v>
      </c>
      <c r="BL228" s="1107">
        <f t="shared" si="437"/>
        <v>26.23</v>
      </c>
      <c r="BM228" s="1107">
        <f t="shared" si="438"/>
        <v>3.28</v>
      </c>
      <c r="BN228" s="1107">
        <f t="shared" si="377"/>
        <v>5.68</v>
      </c>
      <c r="BO228" s="1107">
        <v>0</v>
      </c>
      <c r="BP228" s="1107">
        <v>0</v>
      </c>
      <c r="BQ228" s="1320">
        <f t="shared" si="366"/>
        <v>35.19</v>
      </c>
      <c r="BR228" s="1107">
        <f t="shared" si="439"/>
        <v>59.02</v>
      </c>
      <c r="BS228" s="1107">
        <f t="shared" si="440"/>
        <v>13.11</v>
      </c>
      <c r="BT228" s="1107">
        <f t="shared" si="378"/>
        <v>11.36</v>
      </c>
      <c r="BU228" s="1107">
        <v>0</v>
      </c>
      <c r="BV228" s="1108">
        <f t="shared" si="367"/>
        <v>83.49</v>
      </c>
      <c r="BW228" s="1112">
        <f t="shared" si="368"/>
        <v>118.67999999999999</v>
      </c>
      <c r="BX228" s="1112">
        <f t="shared" si="597"/>
        <v>1065.58</v>
      </c>
      <c r="BY228" s="1108">
        <v>0</v>
      </c>
      <c r="BZ228" s="1108">
        <f t="shared" si="598"/>
        <v>1065.58</v>
      </c>
      <c r="CA228" s="1321">
        <f>'CONCEPTOS Y PARAMETROS'!$A$102</f>
        <v>6255</v>
      </c>
      <c r="CB228" s="1112">
        <f t="shared" si="379"/>
        <v>261.46999999999997</v>
      </c>
      <c r="CC228" s="1113">
        <f t="shared" si="380"/>
        <v>5175.63</v>
      </c>
      <c r="CD228" s="512"/>
      <c r="CE228" s="512"/>
      <c r="CF228" s="470">
        <f t="shared" si="381"/>
        <v>911.65</v>
      </c>
      <c r="CG228" s="509">
        <f t="shared" si="404"/>
        <v>261.46999999999997</v>
      </c>
      <c r="CH228" s="1603">
        <f t="shared" si="382"/>
        <v>37.5</v>
      </c>
      <c r="CI228" s="1491">
        <f t="shared" si="374"/>
        <v>320</v>
      </c>
      <c r="CJ228" s="1502">
        <v>1</v>
      </c>
      <c r="CK228" s="509">
        <f t="shared" si="383"/>
        <v>591.65</v>
      </c>
      <c r="CL228" s="1689">
        <f t="shared" si="384"/>
        <v>591.65</v>
      </c>
      <c r="CM228" s="1689">
        <f t="shared" si="375"/>
        <v>0</v>
      </c>
      <c r="CN228" s="510">
        <f t="shared" si="385"/>
        <v>0</v>
      </c>
      <c r="CO228" s="511">
        <v>0</v>
      </c>
      <c r="CP228" s="510">
        <f t="shared" si="386"/>
        <v>0</v>
      </c>
      <c r="CQ228" s="510">
        <f t="shared" si="387"/>
        <v>4546.4799999999996</v>
      </c>
      <c r="CR228" s="510">
        <f t="shared" si="388"/>
        <v>5729.78</v>
      </c>
      <c r="CS228" s="510">
        <f t="shared" si="389"/>
        <v>118.67999999999999</v>
      </c>
      <c r="CT228" s="510">
        <f t="shared" si="390"/>
        <v>6255</v>
      </c>
      <c r="CU228" s="512"/>
      <c r="CV228" s="512"/>
      <c r="CW228" s="512"/>
      <c r="CX228" s="512"/>
      <c r="CY228" s="1149" t="s">
        <v>6949</v>
      </c>
      <c r="CZ228" s="1149" t="s">
        <v>6903</v>
      </c>
      <c r="DA228" s="1152"/>
      <c r="DB228" s="1642" t="s">
        <v>6337</v>
      </c>
      <c r="DC228" s="1642"/>
      <c r="DD228" s="1642" t="s">
        <v>6150</v>
      </c>
      <c r="DE228" s="1642" t="s">
        <v>6244</v>
      </c>
      <c r="DF228" s="1642" t="s">
        <v>6521</v>
      </c>
      <c r="DG228" s="1642" t="s">
        <v>7390</v>
      </c>
      <c r="DH228" s="512"/>
      <c r="DI228" s="512"/>
      <c r="DJ228" s="512"/>
      <c r="DK228" s="512"/>
      <c r="DL228" s="512"/>
      <c r="DN228" s="476" t="str">
        <f>VLOOKUP(X228,Hoja1!$A$4:$B$10,2,0)</f>
        <v>PROFESIONAL</v>
      </c>
      <c r="DO228" s="476" t="str">
        <f>VLOOKUP(S228,Hoja1!$D$4:$F$77,3,0)</f>
        <v>PII - III</v>
      </c>
      <c r="DP228" s="1594" t="str">
        <f t="shared" si="391"/>
        <v>0</v>
      </c>
      <c r="DQ228" s="1484">
        <f>IF(T228&lt;&gt;"0",(ROUND(IF(A228="EMPLEADO",eval_formula('CONCEPTOS Y PARAMETROS'!$C$8,NOMINA!V228,AU228+BF228,NOMINA!I228+NOMINA!J228),eval_formula('CONCEPTOS Y PARAMETROS'!$D$8,NOMINA!V228,AU228+BF228,NOMINA!I228+NOMINA!J228)),2))*IF(H228&lt;&gt;"",IF(MONTH(H228)=$BR$8,IF(YEAR(H228)&lt;$BT$7,1,0),0)))</f>
        <v>4546.4799999999996</v>
      </c>
      <c r="DR228" s="1799" t="str">
        <f t="shared" si="392"/>
        <v>F</v>
      </c>
      <c r="DS228" s="1799"/>
    </row>
    <row r="229" spans="1:123" s="476" customFormat="1" ht="21.95" customHeight="1" x14ac:dyDescent="0.25">
      <c r="A229" s="508" t="s">
        <v>2846</v>
      </c>
      <c r="B229" s="1314">
        <f t="shared" ca="1" si="471"/>
        <v>186</v>
      </c>
      <c r="C229" s="1148">
        <v>18802405</v>
      </c>
      <c r="D229" s="1149" t="s">
        <v>4866</v>
      </c>
      <c r="E229" s="1135" t="s">
        <v>4622</v>
      </c>
      <c r="F229" s="1150">
        <v>32424</v>
      </c>
      <c r="G229" s="1135" t="s">
        <v>4620</v>
      </c>
      <c r="H229" s="1150">
        <v>44332</v>
      </c>
      <c r="I229" s="1140">
        <f t="shared" si="376"/>
        <v>4</v>
      </c>
      <c r="J229" s="1132">
        <v>0</v>
      </c>
      <c r="K229" s="1140">
        <f t="shared" si="371"/>
        <v>4</v>
      </c>
      <c r="L229" s="1145" t="s">
        <v>5531</v>
      </c>
      <c r="M229" s="1132"/>
      <c r="N229" s="1132"/>
      <c r="O229" s="1002" t="s">
        <v>5224</v>
      </c>
      <c r="P229" s="1132" t="s">
        <v>5411</v>
      </c>
      <c r="Q229" s="1315" t="str">
        <f>IFERROR(VLOOKUP(O229,CARGOS!A:E,2,0),"")</f>
        <v>79521</v>
      </c>
      <c r="R229" s="1327" t="s">
        <v>5224</v>
      </c>
      <c r="S229" s="1146" t="s">
        <v>5467</v>
      </c>
      <c r="T229" s="1107">
        <f>IFERROR(VLOOKUP(S229,'TAB EMP'!A:B,2,0),0)</f>
        <v>277</v>
      </c>
      <c r="U229" s="1108">
        <v>0</v>
      </c>
      <c r="V229" s="1107">
        <f t="shared" si="393"/>
        <v>277</v>
      </c>
      <c r="W229" s="1108">
        <f t="shared" si="394"/>
        <v>138.5</v>
      </c>
      <c r="X229" s="1135" t="s">
        <v>2885</v>
      </c>
      <c r="Y229" s="1135"/>
      <c r="Z229" s="1135">
        <f>1+1</f>
        <v>2</v>
      </c>
      <c r="AA229" s="1107">
        <f>ROUND(IF(H229&lt;&gt;"",VLOOKUP(SUM(I229+J229),'CONCEPTOS Y PARAMETROS'!F:G,2,0)*V229,0),2)</f>
        <v>11.08</v>
      </c>
      <c r="AB229" s="1107">
        <f>IF(S229&lt;&gt;"",IF(M229="",'CONCEPTOS Y PARAMETROS'!$C$4,0),0)</f>
        <v>130</v>
      </c>
      <c r="AC229" s="1107">
        <f>IF(S229&lt;&gt;"",IF(M229="",'CONCEPTOS Y PARAMETROS'!$C$7*Z229,0),0)</f>
        <v>25</v>
      </c>
      <c r="AD229" s="1107">
        <f>IFERROR(ROUND(VLOOKUP($X229,'CONCEPTOS Y PARAMETROS'!H:I,2,0)*($V229+AA229+AB229+AC229),2),0)</f>
        <v>110.77</v>
      </c>
      <c r="AE229" s="1107">
        <f t="shared" si="369"/>
        <v>276.85000000000002</v>
      </c>
      <c r="AF229" s="1107">
        <f t="shared" si="395"/>
        <v>5.54</v>
      </c>
      <c r="AG229" s="1107">
        <f t="shared" si="396"/>
        <v>5.54</v>
      </c>
      <c r="AH229" s="1107">
        <f t="shared" si="397"/>
        <v>65</v>
      </c>
      <c r="AI229" s="1107">
        <f t="shared" si="398"/>
        <v>65</v>
      </c>
      <c r="AJ229" s="1107">
        <f t="shared" si="399"/>
        <v>55.39</v>
      </c>
      <c r="AK229" s="1107">
        <f t="shared" si="400"/>
        <v>55.38</v>
      </c>
      <c r="AL229" s="1108">
        <f t="shared" si="401"/>
        <v>150.93</v>
      </c>
      <c r="AM229" s="1108">
        <f t="shared" si="402"/>
        <v>125.92</v>
      </c>
      <c r="AN229" s="1453">
        <v>1</v>
      </c>
      <c r="AO229" s="1147">
        <f>'CONCEPTOS Y PARAMETROS'!$C$18*AN229</f>
        <v>12.5</v>
      </c>
      <c r="AP229" s="990">
        <v>0</v>
      </c>
      <c r="AQ229" s="1147">
        <f>'CONCEPTOS Y PARAMETROS'!$C$21*AP229</f>
        <v>0</v>
      </c>
      <c r="AR229" s="1318">
        <v>0</v>
      </c>
      <c r="AS229" s="1318">
        <v>0</v>
      </c>
      <c r="AT229" s="1318">
        <f t="shared" si="472"/>
        <v>12.5</v>
      </c>
      <c r="AU229" s="1108">
        <f t="shared" si="372"/>
        <v>553.85</v>
      </c>
      <c r="AV229" s="1133">
        <v>0</v>
      </c>
      <c r="AW229" s="1108">
        <f t="shared" si="599"/>
        <v>0</v>
      </c>
      <c r="AX229" s="1107">
        <f>IF(T229&lt;&gt;"0",(ROUND(IF(A229="EMPLEADO",eval_formula('CONCEPTOS Y PARAMETROS'!$C$8,NOMINA!V229,NOMINA!$AU229,NOMINA!I229+NOMINA!J229),eval_formula('CONCEPTOS Y PARAMETROS'!$D$8,NOMINA!V229,NOMINA!$AU229,NOMINA!I229+NOMINA!J229)),2))*IF(H229&lt;&gt;"",IF(MONTH(H229)=$BR$8,IF(YEAR(H229)&lt;$BT$7,1,0),0)))</f>
        <v>0</v>
      </c>
      <c r="AY229" s="1108">
        <v>180</v>
      </c>
      <c r="AZ229" s="1107">
        <f>IFERROR(VLOOKUP(AY229,'CONCEPTOS Y PARAMETROS'!Y:Z,2,0),0)</f>
        <v>150</v>
      </c>
      <c r="BA229" s="1107">
        <f t="shared" si="403"/>
        <v>4153.88</v>
      </c>
      <c r="BB229" s="1107">
        <f t="shared" si="595"/>
        <v>0</v>
      </c>
      <c r="BC229" s="990">
        <v>0</v>
      </c>
      <c r="BD229" s="1107" t="str">
        <f t="shared" si="373"/>
        <v>0</v>
      </c>
      <c r="BE229" s="990">
        <v>0</v>
      </c>
      <c r="BF229" s="1107">
        <f t="shared" si="561"/>
        <v>0</v>
      </c>
      <c r="BG229" s="1108">
        <v>320</v>
      </c>
      <c r="BH229" s="1108">
        <v>0</v>
      </c>
      <c r="BI229" s="1132">
        <v>0</v>
      </c>
      <c r="BJ229" s="1108">
        <v>12.5</v>
      </c>
      <c r="BK229" s="1108">
        <v>0</v>
      </c>
      <c r="BL229" s="1107">
        <f t="shared" si="437"/>
        <v>25.56</v>
      </c>
      <c r="BM229" s="1107">
        <f t="shared" si="438"/>
        <v>3.2</v>
      </c>
      <c r="BN229" s="1107">
        <f t="shared" si="377"/>
        <v>5.54</v>
      </c>
      <c r="BO229" s="1107">
        <v>0</v>
      </c>
      <c r="BP229" s="1107">
        <v>0</v>
      </c>
      <c r="BQ229" s="1320">
        <f t="shared" si="366"/>
        <v>34.299999999999997</v>
      </c>
      <c r="BR229" s="1107">
        <f t="shared" si="439"/>
        <v>57.52</v>
      </c>
      <c r="BS229" s="1107">
        <f t="shared" si="440"/>
        <v>12.78</v>
      </c>
      <c r="BT229" s="1107">
        <f t="shared" si="378"/>
        <v>11.08</v>
      </c>
      <c r="BU229" s="1107">
        <v>0</v>
      </c>
      <c r="BV229" s="1108">
        <f t="shared" si="367"/>
        <v>81.38</v>
      </c>
      <c r="BW229" s="1112">
        <f t="shared" si="368"/>
        <v>115.67999999999999</v>
      </c>
      <c r="BX229" s="1112">
        <f t="shared" si="597"/>
        <v>1038.47</v>
      </c>
      <c r="BY229" s="1108">
        <v>0</v>
      </c>
      <c r="BZ229" s="1108">
        <f t="shared" si="598"/>
        <v>1038.47</v>
      </c>
      <c r="CA229" s="1321">
        <f>'CONCEPTOS Y PARAMETROS'!$A$102</f>
        <v>6255</v>
      </c>
      <c r="CB229" s="1112">
        <f t="shared" si="379"/>
        <v>255.13</v>
      </c>
      <c r="CC229" s="1113">
        <f t="shared" si="380"/>
        <v>609.41999999999996</v>
      </c>
      <c r="CD229" s="512"/>
      <c r="CE229" s="512"/>
      <c r="CF229" s="470">
        <f t="shared" si="381"/>
        <v>904.42000000000007</v>
      </c>
      <c r="CG229" s="509">
        <f t="shared" si="404"/>
        <v>255.13</v>
      </c>
      <c r="CH229" s="498">
        <f t="shared" si="382"/>
        <v>25</v>
      </c>
      <c r="CI229" s="1491">
        <f t="shared" si="374"/>
        <v>320</v>
      </c>
      <c r="CJ229" s="1500">
        <v>1</v>
      </c>
      <c r="CK229" s="509">
        <f t="shared" si="383"/>
        <v>584.42000000000007</v>
      </c>
      <c r="CL229" s="1689">
        <f t="shared" si="384"/>
        <v>584.41999999999996</v>
      </c>
      <c r="CM229" s="1689">
        <f t="shared" si="375"/>
        <v>0</v>
      </c>
      <c r="CN229" s="510">
        <f t="shared" si="385"/>
        <v>0</v>
      </c>
      <c r="CO229" s="511">
        <v>0</v>
      </c>
      <c r="CP229" s="510">
        <f t="shared" si="386"/>
        <v>0</v>
      </c>
      <c r="CQ229" s="510">
        <f t="shared" si="387"/>
        <v>0</v>
      </c>
      <c r="CR229" s="496">
        <f t="shared" si="388"/>
        <v>1168.8400000000001</v>
      </c>
      <c r="CS229" s="510">
        <f t="shared" si="389"/>
        <v>115.67999999999999</v>
      </c>
      <c r="CT229" s="510">
        <f t="shared" si="390"/>
        <v>6255</v>
      </c>
      <c r="CU229" s="470"/>
      <c r="CV229" s="470"/>
      <c r="CW229" s="470"/>
      <c r="CX229" s="470"/>
      <c r="CY229" s="1149" t="s">
        <v>6950</v>
      </c>
      <c r="CZ229" s="1149" t="s">
        <v>6951</v>
      </c>
      <c r="DA229" s="1152"/>
      <c r="DB229" s="1152" t="s">
        <v>6527</v>
      </c>
      <c r="DC229" s="1152" t="s">
        <v>7546</v>
      </c>
      <c r="DD229" s="1152" t="s">
        <v>6135</v>
      </c>
      <c r="DE229" s="1152" t="s">
        <v>6206</v>
      </c>
      <c r="DF229" s="1152" t="s">
        <v>6610</v>
      </c>
      <c r="DG229" s="1152"/>
      <c r="DH229" s="512"/>
      <c r="DI229" s="512"/>
      <c r="DJ229" s="512"/>
      <c r="DK229" s="512"/>
      <c r="DL229" s="512"/>
      <c r="DN229" s="476" t="str">
        <f>VLOOKUP(X229,Hoja1!$A$4:$B$10,2,0)</f>
        <v>PROFESIONAL</v>
      </c>
      <c r="DO229" s="476" t="str">
        <f>VLOOKUP(S229,Hoja1!$D$4:$F$77,3,0)</f>
        <v>PII - II</v>
      </c>
      <c r="DP229" s="1158" t="str">
        <f t="shared" si="391"/>
        <v>0</v>
      </c>
      <c r="DQ229" s="1484">
        <f>IF(T229&lt;&gt;"0",(ROUND(IF(A229="EMPLEADO",eval_formula('CONCEPTOS Y PARAMETROS'!$C$8,NOMINA!V229,AU229+BF229,NOMINA!I229+NOMINA!J229),eval_formula('CONCEPTOS Y PARAMETROS'!$D$8,NOMINA!V229,AU229+BF229,NOMINA!I229+NOMINA!J229)),2))*IF(H229&lt;&gt;"",IF(MONTH(H229)=$BR$8,IF(YEAR(H229)&lt;$BT$7,1,0),0)))</f>
        <v>0</v>
      </c>
      <c r="DR229" s="1799" t="str">
        <f t="shared" si="392"/>
        <v>F</v>
      </c>
      <c r="DS229" s="1799"/>
    </row>
    <row r="230" spans="1:123" s="471" customFormat="1" ht="21.95" customHeight="1" x14ac:dyDescent="0.2">
      <c r="A230" s="508" t="s">
        <v>2846</v>
      </c>
      <c r="B230" s="1314">
        <f t="shared" ca="1" si="471"/>
        <v>187</v>
      </c>
      <c r="C230" s="1148">
        <v>18984406</v>
      </c>
      <c r="D230" s="1149" t="s">
        <v>5786</v>
      </c>
      <c r="E230" s="1135" t="s">
        <v>4622</v>
      </c>
      <c r="F230" s="1150">
        <v>33021</v>
      </c>
      <c r="G230" s="1135" t="s">
        <v>4621</v>
      </c>
      <c r="H230" s="1150">
        <v>45200</v>
      </c>
      <c r="I230" s="1140">
        <f t="shared" si="376"/>
        <v>1</v>
      </c>
      <c r="J230" s="1132">
        <v>0</v>
      </c>
      <c r="K230" s="1140">
        <f t="shared" ref="K230:K292" si="600">I230+J230</f>
        <v>1</v>
      </c>
      <c r="L230" s="1145" t="s">
        <v>5546</v>
      </c>
      <c r="M230" s="1132"/>
      <c r="N230" s="1132"/>
      <c r="O230" s="1002" t="s">
        <v>5218</v>
      </c>
      <c r="P230" s="1151" t="s">
        <v>5791</v>
      </c>
      <c r="Q230" s="1315" t="s">
        <v>1161</v>
      </c>
      <c r="R230" s="1327" t="s">
        <v>5218</v>
      </c>
      <c r="S230" s="1146" t="s">
        <v>5470</v>
      </c>
      <c r="T230" s="1107">
        <f>IFERROR(VLOOKUP(S230,'TAB EMP'!A:B,2,0),0)</f>
        <v>130</v>
      </c>
      <c r="U230" s="1108">
        <v>0</v>
      </c>
      <c r="V230" s="1107">
        <f t="shared" si="393"/>
        <v>130</v>
      </c>
      <c r="W230" s="1108">
        <f t="shared" si="394"/>
        <v>65</v>
      </c>
      <c r="X230" s="1135" t="s">
        <v>2884</v>
      </c>
      <c r="Y230" s="1135"/>
      <c r="Z230" s="1135">
        <v>0</v>
      </c>
      <c r="AA230" s="1107">
        <f>ROUND(IF(H230&lt;&gt;"",VLOOKUP(SUM(I230+J230),'CONCEPTOS Y PARAMETROS'!F:G,2,0)*V230,0),2)</f>
        <v>1.3</v>
      </c>
      <c r="AB230" s="1107">
        <f>IF(S230&lt;&gt;"",IF(M230="",'CONCEPTOS Y PARAMETROS'!$C$4,0),0)</f>
        <v>130</v>
      </c>
      <c r="AC230" s="1107">
        <f>IF(S230&lt;&gt;"",IF(M230="",'CONCEPTOS Y PARAMETROS'!$C$7*Z230,0),0)</f>
        <v>0</v>
      </c>
      <c r="AD230" s="1107">
        <f>IFERROR(ROUND(VLOOKUP($X230,'CONCEPTOS Y PARAMETROS'!H:I,2,0)*($V230+AA230+AB230+AC230),2),0)</f>
        <v>0</v>
      </c>
      <c r="AE230" s="1107">
        <f t="shared" si="369"/>
        <v>131.30000000000001</v>
      </c>
      <c r="AF230" s="1107">
        <f t="shared" si="395"/>
        <v>0.65</v>
      </c>
      <c r="AG230" s="1107">
        <f t="shared" si="396"/>
        <v>0.65</v>
      </c>
      <c r="AH230" s="1107">
        <f t="shared" si="397"/>
        <v>65</v>
      </c>
      <c r="AI230" s="1107">
        <f t="shared" si="398"/>
        <v>65</v>
      </c>
      <c r="AJ230" s="1107">
        <f t="shared" si="399"/>
        <v>0</v>
      </c>
      <c r="AK230" s="1107">
        <f t="shared" si="400"/>
        <v>0</v>
      </c>
      <c r="AL230" s="1108">
        <f t="shared" si="401"/>
        <v>65.650000000000006</v>
      </c>
      <c r="AM230" s="1108">
        <f t="shared" si="402"/>
        <v>65.650000000000006</v>
      </c>
      <c r="AN230" s="990">
        <v>0</v>
      </c>
      <c r="AO230" s="1147">
        <f>'CONCEPTOS Y PARAMETROS'!$C$18*AN230</f>
        <v>0</v>
      </c>
      <c r="AP230" s="990">
        <v>0</v>
      </c>
      <c r="AQ230" s="1147">
        <f>'CONCEPTOS Y PARAMETROS'!$C$21*AP230</f>
        <v>0</v>
      </c>
      <c r="AR230" s="1318">
        <v>0</v>
      </c>
      <c r="AS230" s="1318">
        <v>0</v>
      </c>
      <c r="AT230" s="1318">
        <f t="shared" si="472"/>
        <v>0</v>
      </c>
      <c r="AU230" s="1108">
        <f t="shared" si="372"/>
        <v>339.69</v>
      </c>
      <c r="AV230" s="1133" t="s">
        <v>5080</v>
      </c>
      <c r="AW230" s="1108">
        <f t="shared" si="599"/>
        <v>78.39</v>
      </c>
      <c r="AX230" s="1107">
        <f>IF(T230&lt;&gt;"0",(ROUND(IF(A230="EMPLEADO",eval_formula('CONCEPTOS Y PARAMETROS'!$C$8,NOMINA!V230,NOMINA!$AU230,NOMINA!I230+NOMINA!J230),eval_formula('CONCEPTOS Y PARAMETROS'!$D$8,NOMINA!V230,NOMINA!$AU230,NOMINA!I230+NOMINA!J230)),2))*IF(H230&lt;&gt;"",IF(MONTH(H230)=$BR$8,IF(YEAR(H230)&lt;$BT$7,1,0),0)))</f>
        <v>0</v>
      </c>
      <c r="AY230" s="1108">
        <v>180</v>
      </c>
      <c r="AZ230" s="1107">
        <f>IFERROR(VLOOKUP(AY230,'CONCEPTOS Y PARAMETROS'!Y:Z,2,0),0)</f>
        <v>150</v>
      </c>
      <c r="BA230" s="1107">
        <f t="shared" si="403"/>
        <v>2547.6799999999998</v>
      </c>
      <c r="BB230" s="1107">
        <f t="shared" si="595"/>
        <v>0</v>
      </c>
      <c r="BC230" s="990">
        <v>0</v>
      </c>
      <c r="BD230" s="1107" t="str">
        <f t="shared" si="373"/>
        <v>0</v>
      </c>
      <c r="BE230" s="990">
        <v>3</v>
      </c>
      <c r="BF230" s="1107">
        <f t="shared" si="561"/>
        <v>50.95</v>
      </c>
      <c r="BG230" s="1108">
        <v>320</v>
      </c>
      <c r="BH230" s="1108">
        <v>0</v>
      </c>
      <c r="BI230" s="1132">
        <v>0</v>
      </c>
      <c r="BJ230" s="1108">
        <v>12.5</v>
      </c>
      <c r="BK230" s="1108">
        <v>0</v>
      </c>
      <c r="BL230" s="1107">
        <f t="shared" si="437"/>
        <v>15.68</v>
      </c>
      <c r="BM230" s="1107">
        <f t="shared" si="438"/>
        <v>1.96</v>
      </c>
      <c r="BN230" s="1107">
        <f t="shared" si="377"/>
        <v>3.4</v>
      </c>
      <c r="BO230" s="1107">
        <v>0</v>
      </c>
      <c r="BP230" s="1107">
        <v>0</v>
      </c>
      <c r="BQ230" s="1320">
        <f t="shared" ref="BQ230" si="601">ROUND(SUM(BL230:BP230),2)</f>
        <v>21.04</v>
      </c>
      <c r="BR230" s="1107">
        <f t="shared" si="439"/>
        <v>35.28</v>
      </c>
      <c r="BS230" s="1107">
        <f t="shared" si="440"/>
        <v>7.84</v>
      </c>
      <c r="BT230" s="1107">
        <f t="shared" si="378"/>
        <v>6.8</v>
      </c>
      <c r="BU230" s="1107">
        <v>0</v>
      </c>
      <c r="BV230" s="1108">
        <f t="shared" ref="BV230" si="602">ROUND(SUM(BR230:BT230),2)</f>
        <v>49.92</v>
      </c>
      <c r="BW230" s="1112">
        <f t="shared" ref="BW230" si="603">BQ230+BV230</f>
        <v>70.960000000000008</v>
      </c>
      <c r="BX230" s="1112">
        <f t="shared" si="597"/>
        <v>636.91999999999996</v>
      </c>
      <c r="BY230" s="1108">
        <v>0</v>
      </c>
      <c r="BZ230" s="1108">
        <f t="shared" si="598"/>
        <v>636.91999999999996</v>
      </c>
      <c r="CA230" s="1321">
        <f>'CONCEPTOS Y PARAMETROS'!$A$102</f>
        <v>6255</v>
      </c>
      <c r="CB230" s="1112">
        <f t="shared" si="379"/>
        <v>109.61000000000001</v>
      </c>
      <c r="CC230" s="1113">
        <f t="shared" si="380"/>
        <v>592.49</v>
      </c>
      <c r="CD230" s="512"/>
      <c r="CE230" s="512"/>
      <c r="CF230" s="470">
        <f t="shared" si="381"/>
        <v>770.65</v>
      </c>
      <c r="CG230" s="509">
        <f t="shared" si="404"/>
        <v>109.61000000000001</v>
      </c>
      <c r="CH230" s="498">
        <f t="shared" si="382"/>
        <v>12.5</v>
      </c>
      <c r="CI230" s="1491">
        <f t="shared" si="374"/>
        <v>320</v>
      </c>
      <c r="CJ230" s="1500">
        <v>1</v>
      </c>
      <c r="CK230" s="509">
        <f t="shared" si="383"/>
        <v>450.65</v>
      </c>
      <c r="CL230" s="1689">
        <f t="shared" si="384"/>
        <v>450.65</v>
      </c>
      <c r="CM230" s="1689">
        <f t="shared" si="375"/>
        <v>0</v>
      </c>
      <c r="CN230" s="510">
        <f t="shared" si="385"/>
        <v>50.95</v>
      </c>
      <c r="CO230" s="511">
        <v>0</v>
      </c>
      <c r="CP230" s="510">
        <f t="shared" si="386"/>
        <v>78.39</v>
      </c>
      <c r="CQ230" s="510">
        <f t="shared" si="387"/>
        <v>0</v>
      </c>
      <c r="CR230" s="496">
        <f t="shared" si="388"/>
        <v>1030.6400000000001</v>
      </c>
      <c r="CS230" s="510">
        <f t="shared" si="389"/>
        <v>70.960000000000008</v>
      </c>
      <c r="CT230" s="510">
        <f t="shared" si="390"/>
        <v>6255</v>
      </c>
      <c r="CU230" s="470"/>
      <c r="CV230" s="470"/>
      <c r="CW230" s="470"/>
      <c r="CX230" s="470"/>
      <c r="CY230" s="1149" t="s">
        <v>6827</v>
      </c>
      <c r="CZ230" s="1149" t="s">
        <v>6945</v>
      </c>
      <c r="DA230" s="1152"/>
      <c r="DB230" s="1642" t="s">
        <v>6504</v>
      </c>
      <c r="DC230" s="1642"/>
      <c r="DD230" s="1647" t="s">
        <v>6135</v>
      </c>
      <c r="DE230" s="1647" t="s">
        <v>6162</v>
      </c>
      <c r="DF230" s="1642" t="s">
        <v>6424</v>
      </c>
      <c r="DG230" s="1642"/>
      <c r="DH230" s="512"/>
      <c r="DI230" s="512"/>
      <c r="DJ230" s="512"/>
      <c r="DK230" s="512"/>
      <c r="DL230" s="512"/>
      <c r="DM230" s="476"/>
      <c r="DN230" s="471" t="str">
        <f>VLOOKUP(X230,Hoja1!$A$4:$B$10,2,0)</f>
        <v>BACHILLER</v>
      </c>
      <c r="DO230" s="471" t="str">
        <f>VLOOKUP(S230,Hoja1!$D$4:$F$77,3,0)</f>
        <v>BI</v>
      </c>
      <c r="DP230" s="1156" t="str">
        <f t="shared" si="391"/>
        <v>SI</v>
      </c>
      <c r="DQ230" s="1484">
        <f>IF(T230&lt;&gt;"0",(ROUND(IF(A230="EMPLEADO",eval_formula('CONCEPTOS Y PARAMETROS'!$C$8,NOMINA!V230,AU230+BF230,NOMINA!I230+NOMINA!J230),eval_formula('CONCEPTOS Y PARAMETROS'!$D$8,NOMINA!V230,AU230+BF230,NOMINA!I230+NOMINA!J230)),2))*IF(H230&lt;&gt;"",IF(MONTH(H230)=$BR$8,IF(YEAR(H230)&lt;$BT$7,1,0),0)))</f>
        <v>0</v>
      </c>
      <c r="DR230" s="1801" t="str">
        <f t="shared" si="392"/>
        <v>M</v>
      </c>
      <c r="DS230" s="1801"/>
    </row>
    <row r="231" spans="1:123" s="471" customFormat="1" ht="21.95" customHeight="1" x14ac:dyDescent="0.25">
      <c r="A231" s="508" t="s">
        <v>2846</v>
      </c>
      <c r="B231" s="1314">
        <f t="shared" ca="1" si="471"/>
        <v>188</v>
      </c>
      <c r="C231" s="1148">
        <v>19101647</v>
      </c>
      <c r="D231" s="1149" t="s">
        <v>4867</v>
      </c>
      <c r="E231" s="1135" t="s">
        <v>4622</v>
      </c>
      <c r="F231" s="1150">
        <v>32617</v>
      </c>
      <c r="G231" s="1135" t="s">
        <v>4620</v>
      </c>
      <c r="H231" s="1150">
        <v>43845</v>
      </c>
      <c r="I231" s="1140">
        <f t="shared" si="376"/>
        <v>5</v>
      </c>
      <c r="J231" s="1132">
        <v>0</v>
      </c>
      <c r="K231" s="1140">
        <f t="shared" si="600"/>
        <v>5</v>
      </c>
      <c r="L231" s="1145" t="s">
        <v>5525</v>
      </c>
      <c r="M231" s="1132"/>
      <c r="N231" s="1132"/>
      <c r="O231" s="1002" t="s">
        <v>5218</v>
      </c>
      <c r="P231" s="1132" t="s">
        <v>5412</v>
      </c>
      <c r="Q231" s="1315" t="str">
        <f>IFERROR(VLOOKUP(O231,CARGOS!A:E,2,0),"")</f>
        <v>79511</v>
      </c>
      <c r="R231" s="1327" t="s">
        <v>5218</v>
      </c>
      <c r="S231" s="1146" t="s">
        <v>5477</v>
      </c>
      <c r="T231" s="1107">
        <f>IFERROR(VLOOKUP(S231,'TAB EMP'!A:B,2,0),0)</f>
        <v>150</v>
      </c>
      <c r="U231" s="1108">
        <v>0</v>
      </c>
      <c r="V231" s="1107">
        <f t="shared" si="393"/>
        <v>150</v>
      </c>
      <c r="W231" s="1108">
        <f t="shared" si="394"/>
        <v>75</v>
      </c>
      <c r="X231" s="1135" t="s">
        <v>2884</v>
      </c>
      <c r="Y231" s="1135"/>
      <c r="Z231" s="1135">
        <v>2</v>
      </c>
      <c r="AA231" s="1107">
        <f>ROUND(IF(H231&lt;&gt;"",VLOOKUP(SUM(I231+J231),'CONCEPTOS Y PARAMETROS'!F:G,2,0)*V231,0),2)</f>
        <v>7.5</v>
      </c>
      <c r="AB231" s="1107">
        <f>IF(S231&lt;&gt;"",IF(M231="",'CONCEPTOS Y PARAMETROS'!$C$4,0),0)</f>
        <v>130</v>
      </c>
      <c r="AC231" s="1107">
        <f>IF(S231&lt;&gt;"",IF(M231="",'CONCEPTOS Y PARAMETROS'!$C$7*Z231,0),0)</f>
        <v>25</v>
      </c>
      <c r="AD231" s="1107">
        <f>IFERROR(ROUND(VLOOKUP($X231,'CONCEPTOS Y PARAMETROS'!H:I,2,0)*($V231+AA231+AB231+AC231),2),0)</f>
        <v>0</v>
      </c>
      <c r="AE231" s="1107">
        <f t="shared" si="369"/>
        <v>162.5</v>
      </c>
      <c r="AF231" s="1107">
        <f t="shared" si="395"/>
        <v>3.75</v>
      </c>
      <c r="AG231" s="1107">
        <f t="shared" si="396"/>
        <v>3.75</v>
      </c>
      <c r="AH231" s="1107">
        <f t="shared" si="397"/>
        <v>65</v>
      </c>
      <c r="AI231" s="1107">
        <f t="shared" si="398"/>
        <v>65</v>
      </c>
      <c r="AJ231" s="1107">
        <f t="shared" si="399"/>
        <v>0</v>
      </c>
      <c r="AK231" s="1107">
        <f t="shared" si="400"/>
        <v>0</v>
      </c>
      <c r="AL231" s="1108">
        <f t="shared" si="401"/>
        <v>93.75</v>
      </c>
      <c r="AM231" s="1108">
        <f t="shared" si="402"/>
        <v>68.75</v>
      </c>
      <c r="AN231" s="990">
        <v>0</v>
      </c>
      <c r="AO231" s="1147">
        <f>'CONCEPTOS Y PARAMETROS'!$C$18*AN231</f>
        <v>0</v>
      </c>
      <c r="AP231" s="990">
        <v>0</v>
      </c>
      <c r="AQ231" s="1147">
        <f>'CONCEPTOS Y PARAMETROS'!$C$21*AP231</f>
        <v>0</v>
      </c>
      <c r="AR231" s="1318">
        <v>0</v>
      </c>
      <c r="AS231" s="1318">
        <v>0</v>
      </c>
      <c r="AT231" s="1318">
        <f t="shared" si="472"/>
        <v>0</v>
      </c>
      <c r="AU231" s="1108">
        <f t="shared" si="372"/>
        <v>406.25</v>
      </c>
      <c r="AV231" s="1133" t="s">
        <v>5080</v>
      </c>
      <c r="AW231" s="1108">
        <f t="shared" si="599"/>
        <v>93.75</v>
      </c>
      <c r="AX231" s="1107">
        <f>IF(T231&lt;&gt;"0",(ROUND(IF(A231="EMPLEADO",eval_formula('CONCEPTOS Y PARAMETROS'!$C$8,NOMINA!V231,NOMINA!$AU231,NOMINA!I231+NOMINA!J231),eval_formula('CONCEPTOS Y PARAMETROS'!$D$8,NOMINA!V231,NOMINA!$AU231,NOMINA!I231+NOMINA!J231)),2))*IF(H231&lt;&gt;"",IF(MONTH(H231)=$BR$8,IF(YEAR(H231)&lt;$BT$7,1,0),0)))</f>
        <v>0</v>
      </c>
      <c r="AY231" s="1108">
        <v>180</v>
      </c>
      <c r="AZ231" s="1107">
        <f>IFERROR(VLOOKUP(AY231,'CONCEPTOS Y PARAMETROS'!Y:Z,2,0),0)</f>
        <v>150</v>
      </c>
      <c r="BA231" s="1107">
        <f t="shared" si="403"/>
        <v>3046.88</v>
      </c>
      <c r="BB231" s="1107">
        <f t="shared" si="595"/>
        <v>0</v>
      </c>
      <c r="BC231" s="990">
        <v>0</v>
      </c>
      <c r="BD231" s="1107" t="str">
        <f t="shared" si="373"/>
        <v>0</v>
      </c>
      <c r="BE231" s="990">
        <v>1</v>
      </c>
      <c r="BF231" s="1107">
        <f t="shared" si="561"/>
        <v>20.309999999999999</v>
      </c>
      <c r="BG231" s="1108">
        <v>320</v>
      </c>
      <c r="BH231" s="1108">
        <v>0</v>
      </c>
      <c r="BI231" s="1132">
        <v>0</v>
      </c>
      <c r="BJ231" s="1108">
        <v>12.5</v>
      </c>
      <c r="BK231" s="1108">
        <v>0</v>
      </c>
      <c r="BL231" s="1107">
        <f t="shared" si="437"/>
        <v>18.75</v>
      </c>
      <c r="BM231" s="1107">
        <f t="shared" si="438"/>
        <v>2.34</v>
      </c>
      <c r="BN231" s="1107">
        <f t="shared" si="377"/>
        <v>4.0599999999999996</v>
      </c>
      <c r="BO231" s="1107">
        <v>0</v>
      </c>
      <c r="BP231" s="1107">
        <v>0</v>
      </c>
      <c r="BQ231" s="1320">
        <f t="shared" si="366"/>
        <v>25.15</v>
      </c>
      <c r="BR231" s="1107">
        <f t="shared" si="439"/>
        <v>42.19</v>
      </c>
      <c r="BS231" s="1107">
        <f t="shared" si="440"/>
        <v>9.3800000000000008</v>
      </c>
      <c r="BT231" s="1107">
        <f t="shared" si="378"/>
        <v>8.1199999999999992</v>
      </c>
      <c r="BU231" s="1107">
        <v>0</v>
      </c>
      <c r="BV231" s="1108">
        <f t="shared" si="367"/>
        <v>59.69</v>
      </c>
      <c r="BW231" s="1112">
        <f t="shared" si="368"/>
        <v>84.84</v>
      </c>
      <c r="BX231" s="1112">
        <f t="shared" si="597"/>
        <v>761.72</v>
      </c>
      <c r="BY231" s="1108">
        <v>0</v>
      </c>
      <c r="BZ231" s="1108">
        <f t="shared" si="598"/>
        <v>761.72</v>
      </c>
      <c r="CA231" s="1321">
        <f>'CONCEPTOS Y PARAMETROS'!$A$102</f>
        <v>6255</v>
      </c>
      <c r="CB231" s="1112">
        <f t="shared" si="379"/>
        <v>143.6</v>
      </c>
      <c r="CC231" s="1113">
        <f t="shared" si="380"/>
        <v>590.30999999999995</v>
      </c>
      <c r="CD231" s="512"/>
      <c r="CE231" s="512"/>
      <c r="CF231" s="470">
        <f t="shared" si="381"/>
        <v>783.75</v>
      </c>
      <c r="CG231" s="509">
        <f t="shared" si="404"/>
        <v>143.6</v>
      </c>
      <c r="CH231" s="498">
        <f t="shared" si="382"/>
        <v>12.5</v>
      </c>
      <c r="CI231" s="1491">
        <f t="shared" si="374"/>
        <v>320</v>
      </c>
      <c r="CJ231" s="1500">
        <v>1</v>
      </c>
      <c r="CK231" s="509">
        <f t="shared" si="383"/>
        <v>463.75</v>
      </c>
      <c r="CL231" s="1689">
        <f t="shared" si="384"/>
        <v>463.75</v>
      </c>
      <c r="CM231" s="1689">
        <f t="shared" si="375"/>
        <v>0</v>
      </c>
      <c r="CN231" s="510">
        <f t="shared" si="385"/>
        <v>20.309999999999999</v>
      </c>
      <c r="CO231" s="511">
        <v>0</v>
      </c>
      <c r="CP231" s="510">
        <f t="shared" si="386"/>
        <v>93.75</v>
      </c>
      <c r="CQ231" s="510">
        <f t="shared" si="387"/>
        <v>0</v>
      </c>
      <c r="CR231" s="496">
        <f t="shared" si="388"/>
        <v>1041.56</v>
      </c>
      <c r="CS231" s="510">
        <f t="shared" si="389"/>
        <v>84.84</v>
      </c>
      <c r="CT231" s="510">
        <f t="shared" si="390"/>
        <v>6255</v>
      </c>
      <c r="CU231" s="470"/>
      <c r="CV231" s="470"/>
      <c r="CW231" s="470"/>
      <c r="CX231" s="470"/>
      <c r="CY231" s="1149" t="s">
        <v>6952</v>
      </c>
      <c r="CZ231" s="1149" t="s">
        <v>6953</v>
      </c>
      <c r="DA231" s="1152"/>
      <c r="DB231" s="1642" t="s">
        <v>6299</v>
      </c>
      <c r="DC231" s="1642"/>
      <c r="DD231" s="1642" t="s">
        <v>6300</v>
      </c>
      <c r="DE231" s="1642" t="s">
        <v>6301</v>
      </c>
      <c r="DF231" s="1642" t="s">
        <v>6372</v>
      </c>
      <c r="DG231" s="1642"/>
      <c r="DH231" s="512"/>
      <c r="DI231" s="512"/>
      <c r="DJ231" s="512"/>
      <c r="DK231" s="512"/>
      <c r="DL231" s="512"/>
      <c r="DM231" s="476"/>
      <c r="DN231" s="471" t="str">
        <f>VLOOKUP(X231,Hoja1!$A$4:$B$10,2,0)</f>
        <v>BACHILLER</v>
      </c>
      <c r="DO231" s="471" t="str">
        <f>VLOOKUP(S231,Hoja1!$D$4:$F$77,3,0)</f>
        <v>BII - II</v>
      </c>
      <c r="DP231" s="1156" t="str">
        <f t="shared" si="391"/>
        <v>SI</v>
      </c>
      <c r="DQ231" s="1484">
        <f>IF(T231&lt;&gt;"0",(ROUND(IF(A231="EMPLEADO",eval_formula('CONCEPTOS Y PARAMETROS'!$C$8,NOMINA!V231,AU231+BF231,NOMINA!I231+NOMINA!J231),eval_formula('CONCEPTOS Y PARAMETROS'!$D$8,NOMINA!V231,AU231+BF231,NOMINA!I231+NOMINA!J231)),2))*IF(H231&lt;&gt;"",IF(MONTH(H231)=$BR$8,IF(YEAR(H231)&lt;$BT$7,1,0),0)))</f>
        <v>0</v>
      </c>
      <c r="DR231" s="1801" t="str">
        <f t="shared" si="392"/>
        <v>F</v>
      </c>
      <c r="DS231" s="1801"/>
    </row>
    <row r="232" spans="1:123" s="471" customFormat="1" ht="21.95" customHeight="1" x14ac:dyDescent="0.25">
      <c r="A232" s="508" t="s">
        <v>2846</v>
      </c>
      <c r="B232" s="1314">
        <f t="shared" ca="1" si="471"/>
        <v>189</v>
      </c>
      <c r="C232" s="1148">
        <v>19101773</v>
      </c>
      <c r="D232" s="1149" t="s">
        <v>5787</v>
      </c>
      <c r="E232" s="1135" t="s">
        <v>4622</v>
      </c>
      <c r="F232" s="1150">
        <v>32294</v>
      </c>
      <c r="G232" s="1135" t="s">
        <v>4620</v>
      </c>
      <c r="H232" s="1150">
        <v>45200</v>
      </c>
      <c r="I232" s="1140">
        <f t="shared" si="376"/>
        <v>1</v>
      </c>
      <c r="J232" s="1132">
        <v>0</v>
      </c>
      <c r="K232" s="1140">
        <f t="shared" si="600"/>
        <v>1</v>
      </c>
      <c r="L232" s="1145" t="s">
        <v>5536</v>
      </c>
      <c r="M232" s="1132"/>
      <c r="N232" s="1132"/>
      <c r="O232" s="1002" t="s">
        <v>5218</v>
      </c>
      <c r="P232" s="1151" t="s">
        <v>5788</v>
      </c>
      <c r="Q232" s="1315" t="s">
        <v>1161</v>
      </c>
      <c r="R232" s="1327" t="s">
        <v>5218</v>
      </c>
      <c r="S232" s="1146" t="s">
        <v>5462</v>
      </c>
      <c r="T232" s="1107">
        <f>IFERROR(VLOOKUP(S232,'TAB EMP'!A:B,2,0),0)</f>
        <v>192</v>
      </c>
      <c r="U232" s="1108">
        <v>0</v>
      </c>
      <c r="V232" s="1107">
        <f t="shared" si="393"/>
        <v>192</v>
      </c>
      <c r="W232" s="1108">
        <f t="shared" si="394"/>
        <v>96</v>
      </c>
      <c r="X232" s="1135" t="s">
        <v>2844</v>
      </c>
      <c r="Y232" s="1135"/>
      <c r="Z232" s="1135">
        <v>0</v>
      </c>
      <c r="AA232" s="1107">
        <f>ROUND(IF(H232&lt;&gt;"",VLOOKUP(SUM(I232+J232),'CONCEPTOS Y PARAMETROS'!F:G,2,0)*V232,0),2)</f>
        <v>1.92</v>
      </c>
      <c r="AB232" s="1107">
        <f>IF(S232&lt;&gt;"",IF(M232="",'CONCEPTOS Y PARAMETROS'!$C$4,0),0)</f>
        <v>130</v>
      </c>
      <c r="AC232" s="1107">
        <f>IF(S232&lt;&gt;"",IF(M232="",'CONCEPTOS Y PARAMETROS'!$C$7*Z232,0),0)</f>
        <v>0</v>
      </c>
      <c r="AD232" s="1107">
        <f>IFERROR(ROUND(VLOOKUP($X232,'CONCEPTOS Y PARAMETROS'!H:I,2,0)*($V232+AA232+AB232+AC232),2),0)</f>
        <v>64.78</v>
      </c>
      <c r="AE232" s="1107">
        <f t="shared" ref="AE232" si="604">SUM(AA232:AD232)</f>
        <v>196.7</v>
      </c>
      <c r="AF232" s="1107">
        <f t="shared" si="395"/>
        <v>0.96</v>
      </c>
      <c r="AG232" s="1107">
        <f t="shared" si="396"/>
        <v>0.96</v>
      </c>
      <c r="AH232" s="1107">
        <f t="shared" si="397"/>
        <v>65</v>
      </c>
      <c r="AI232" s="1107">
        <f t="shared" si="398"/>
        <v>65</v>
      </c>
      <c r="AJ232" s="1107">
        <f t="shared" si="399"/>
        <v>32.39</v>
      </c>
      <c r="AK232" s="1107">
        <f t="shared" si="400"/>
        <v>32.39</v>
      </c>
      <c r="AL232" s="1108">
        <f t="shared" si="401"/>
        <v>98.35</v>
      </c>
      <c r="AM232" s="1108">
        <f t="shared" si="402"/>
        <v>98.35</v>
      </c>
      <c r="AN232" s="990">
        <v>0</v>
      </c>
      <c r="AO232" s="1147">
        <f>'CONCEPTOS Y PARAMETROS'!$C$18*AN232</f>
        <v>0</v>
      </c>
      <c r="AP232" s="990">
        <v>0</v>
      </c>
      <c r="AQ232" s="1147">
        <f>'CONCEPTOS Y PARAMETROS'!$C$21*AP232</f>
        <v>0</v>
      </c>
      <c r="AR232" s="1318">
        <v>0</v>
      </c>
      <c r="AS232" s="1318">
        <v>0</v>
      </c>
      <c r="AT232" s="1318">
        <f t="shared" ref="AT232" si="605">+AO232+AQ232+AR232+AS232</f>
        <v>0</v>
      </c>
      <c r="AU232" s="1108">
        <f t="shared" si="372"/>
        <v>505.31</v>
      </c>
      <c r="AV232" s="1133" t="s">
        <v>5080</v>
      </c>
      <c r="AW232" s="1108">
        <f t="shared" si="599"/>
        <v>116.61</v>
      </c>
      <c r="AX232" s="1107">
        <f>IF(T232&lt;&gt;"0",(ROUND(IF(A232="EMPLEADO",eval_formula('CONCEPTOS Y PARAMETROS'!$C$8,NOMINA!V232,NOMINA!$AU232,NOMINA!I232+NOMINA!J232),eval_formula('CONCEPTOS Y PARAMETROS'!$D$8,NOMINA!V232,NOMINA!$AU232,NOMINA!I232+NOMINA!J232)),2))*IF(H232&lt;&gt;"",IF(MONTH(H232)=$BR$8,IF(YEAR(H232)&lt;$BT$7,1,0),0)))</f>
        <v>0</v>
      </c>
      <c r="AY232" s="1108">
        <v>180</v>
      </c>
      <c r="AZ232" s="1107">
        <f>IFERROR(VLOOKUP(AY232,'CONCEPTOS Y PARAMETROS'!Y:Z,2,0),0)</f>
        <v>150</v>
      </c>
      <c r="BA232" s="1107">
        <f t="shared" si="403"/>
        <v>3789.83</v>
      </c>
      <c r="BB232" s="1107">
        <f t="shared" si="595"/>
        <v>0</v>
      </c>
      <c r="BC232" s="990">
        <v>0</v>
      </c>
      <c r="BD232" s="1107" t="str">
        <f t="shared" si="373"/>
        <v>0</v>
      </c>
      <c r="BE232" s="1637">
        <v>4</v>
      </c>
      <c r="BF232" s="1107">
        <f t="shared" si="561"/>
        <v>101.06</v>
      </c>
      <c r="BG232" s="1108">
        <v>320</v>
      </c>
      <c r="BH232" s="1108">
        <v>0</v>
      </c>
      <c r="BI232" s="1132">
        <v>0</v>
      </c>
      <c r="BJ232" s="1108">
        <v>12.5</v>
      </c>
      <c r="BK232" s="1108">
        <v>0</v>
      </c>
      <c r="BL232" s="1107">
        <f t="shared" si="437"/>
        <v>23.32</v>
      </c>
      <c r="BM232" s="1107">
        <f t="shared" si="438"/>
        <v>2.92</v>
      </c>
      <c r="BN232" s="1107">
        <f t="shared" si="377"/>
        <v>5.05</v>
      </c>
      <c r="BO232" s="1107">
        <v>0</v>
      </c>
      <c r="BP232" s="1107">
        <v>0</v>
      </c>
      <c r="BQ232" s="1320">
        <f t="shared" si="366"/>
        <v>31.29</v>
      </c>
      <c r="BR232" s="1107">
        <f t="shared" si="439"/>
        <v>52.47</v>
      </c>
      <c r="BS232" s="1107">
        <f t="shared" si="440"/>
        <v>11.66</v>
      </c>
      <c r="BT232" s="1107">
        <f t="shared" si="378"/>
        <v>10.1</v>
      </c>
      <c r="BU232" s="1107">
        <v>0</v>
      </c>
      <c r="BV232" s="1108">
        <f t="shared" si="367"/>
        <v>74.23</v>
      </c>
      <c r="BW232" s="1112">
        <f t="shared" si="368"/>
        <v>105.52000000000001</v>
      </c>
      <c r="BX232" s="1112">
        <f t="shared" si="597"/>
        <v>947.46</v>
      </c>
      <c r="BY232" s="1108">
        <v>0</v>
      </c>
      <c r="BZ232" s="1108">
        <f t="shared" si="598"/>
        <v>947.46</v>
      </c>
      <c r="CA232" s="1321">
        <f>'CONCEPTOS Y PARAMETROS'!$A$102</f>
        <v>6255</v>
      </c>
      <c r="CB232" s="1112">
        <f t="shared" si="379"/>
        <v>163.06</v>
      </c>
      <c r="CC232" s="1113">
        <f t="shared" si="380"/>
        <v>744.52</v>
      </c>
      <c r="CD232" s="512"/>
      <c r="CE232" s="512"/>
      <c r="CF232" s="470">
        <f t="shared" si="381"/>
        <v>834.35</v>
      </c>
      <c r="CG232" s="509">
        <f t="shared" si="404"/>
        <v>163.06</v>
      </c>
      <c r="CH232" s="498">
        <f t="shared" si="382"/>
        <v>12.5</v>
      </c>
      <c r="CI232" s="1491">
        <f t="shared" si="374"/>
        <v>320</v>
      </c>
      <c r="CJ232" s="1500">
        <v>1</v>
      </c>
      <c r="CK232" s="509">
        <f t="shared" si="383"/>
        <v>514.35</v>
      </c>
      <c r="CL232" s="1689">
        <f t="shared" si="384"/>
        <v>514.35</v>
      </c>
      <c r="CM232" s="1689">
        <f t="shared" si="375"/>
        <v>0</v>
      </c>
      <c r="CN232" s="510">
        <f t="shared" si="385"/>
        <v>101.06</v>
      </c>
      <c r="CO232" s="511">
        <v>0</v>
      </c>
      <c r="CP232" s="510">
        <f t="shared" si="386"/>
        <v>116.61</v>
      </c>
      <c r="CQ232" s="510">
        <f t="shared" si="387"/>
        <v>0</v>
      </c>
      <c r="CR232" s="496">
        <f t="shared" si="388"/>
        <v>1246.3699999999999</v>
      </c>
      <c r="CS232" s="510">
        <f t="shared" si="389"/>
        <v>105.52000000000001</v>
      </c>
      <c r="CT232" s="510">
        <f t="shared" si="390"/>
        <v>6255</v>
      </c>
      <c r="CU232" s="470"/>
      <c r="CV232" s="470"/>
      <c r="CW232" s="470"/>
      <c r="CX232" s="470"/>
      <c r="CY232" s="1149" t="s">
        <v>6954</v>
      </c>
      <c r="CZ232" s="1149" t="s">
        <v>6955</v>
      </c>
      <c r="DA232" s="1152"/>
      <c r="DB232" s="1642" t="s">
        <v>7484</v>
      </c>
      <c r="DC232" s="1642"/>
      <c r="DD232" s="1642" t="s">
        <v>6135</v>
      </c>
      <c r="DE232" s="1642" t="s">
        <v>6147</v>
      </c>
      <c r="DF232" s="1642" t="s">
        <v>6520</v>
      </c>
      <c r="DG232" s="1642"/>
      <c r="DH232" s="512"/>
      <c r="DI232" s="512"/>
      <c r="DJ232" s="512"/>
      <c r="DK232" s="512"/>
      <c r="DL232" s="512"/>
      <c r="DM232" s="476"/>
      <c r="DN232" s="471" t="str">
        <f>VLOOKUP(X232,Hoja1!$A$4:$B$10,2,0)</f>
        <v>TÉCNICO SUPERIOR UNIVERSITARIO</v>
      </c>
      <c r="DO232" s="471" t="str">
        <f>VLOOKUP(S232,Hoja1!$D$4:$F$77,3,0)</f>
        <v>TI</v>
      </c>
      <c r="DP232" s="1156" t="str">
        <f t="shared" si="391"/>
        <v>SI</v>
      </c>
      <c r="DQ232" s="1484">
        <f>IF(T232&lt;&gt;"0",(ROUND(IF(A232="EMPLEADO",eval_formula('CONCEPTOS Y PARAMETROS'!$C$8,NOMINA!V232,AU232+BF232,NOMINA!I232+NOMINA!J232),eval_formula('CONCEPTOS Y PARAMETROS'!$D$8,NOMINA!V232,AU232+BF232,NOMINA!I232+NOMINA!J232)),2))*IF(H232&lt;&gt;"",IF(MONTH(H232)=$BR$8,IF(YEAR(H232)&lt;$BT$7,1,0),0)))</f>
        <v>0</v>
      </c>
      <c r="DR232" s="1801" t="str">
        <f t="shared" si="392"/>
        <v>F</v>
      </c>
      <c r="DS232" s="1801"/>
    </row>
    <row r="233" spans="1:123" s="476" customFormat="1" ht="21.95" customHeight="1" x14ac:dyDescent="0.25">
      <c r="A233" s="508" t="s">
        <v>2846</v>
      </c>
      <c r="B233" s="1314">
        <f t="shared" ca="1" si="471"/>
        <v>190</v>
      </c>
      <c r="C233" s="1148">
        <v>19103118</v>
      </c>
      <c r="D233" s="1149" t="s">
        <v>4869</v>
      </c>
      <c r="E233" s="1135" t="s">
        <v>4622</v>
      </c>
      <c r="F233" s="1150">
        <v>32241</v>
      </c>
      <c r="G233" s="1135" t="s">
        <v>4620</v>
      </c>
      <c r="H233" s="1150">
        <v>43724</v>
      </c>
      <c r="I233" s="1140">
        <f t="shared" si="376"/>
        <v>6</v>
      </c>
      <c r="J233" s="1132">
        <v>0</v>
      </c>
      <c r="K233" s="1140">
        <f t="shared" si="600"/>
        <v>6</v>
      </c>
      <c r="L233" s="1145" t="s">
        <v>5525</v>
      </c>
      <c r="M233" s="1132"/>
      <c r="N233" s="1132"/>
      <c r="O233" s="1002" t="s">
        <v>5250</v>
      </c>
      <c r="P233" s="1132" t="s">
        <v>5413</v>
      </c>
      <c r="Q233" s="1315" t="str">
        <f>IFERROR(VLOOKUP(O233,CARGOS!A:E,2,0),"")</f>
        <v>79342</v>
      </c>
      <c r="R233" s="1327" t="s">
        <v>5250</v>
      </c>
      <c r="S233" s="1146" t="s">
        <v>5478</v>
      </c>
      <c r="T233" s="1107">
        <f>IFERROR(VLOOKUP(S233,'TAB EMP'!A:B,2,0),0)</f>
        <v>221</v>
      </c>
      <c r="U233" s="1108">
        <v>0</v>
      </c>
      <c r="V233" s="1107">
        <f t="shared" si="393"/>
        <v>221</v>
      </c>
      <c r="W233" s="1108">
        <f t="shared" si="394"/>
        <v>110.5</v>
      </c>
      <c r="X233" s="1135" t="s">
        <v>2844</v>
      </c>
      <c r="Y233" s="1135"/>
      <c r="Z233" s="1135">
        <v>1</v>
      </c>
      <c r="AA233" s="1107">
        <f>ROUND(IF(H233&lt;&gt;"",VLOOKUP(SUM(I233+J233),'CONCEPTOS Y PARAMETROS'!F:G,2,0)*V233,0),2)</f>
        <v>13.7</v>
      </c>
      <c r="AB233" s="1107">
        <f>IF(S233&lt;&gt;"",IF(M233="",'CONCEPTOS Y PARAMETROS'!$C$4,0),0)</f>
        <v>130</v>
      </c>
      <c r="AC233" s="1107">
        <f>IF(S233&lt;&gt;"",IF(M233="",'CONCEPTOS Y PARAMETROS'!$C$7*Z233,0),0)</f>
        <v>12.5</v>
      </c>
      <c r="AD233" s="1107">
        <f>IFERROR(ROUND(VLOOKUP($X233,'CONCEPTOS Y PARAMETROS'!H:I,2,0)*($V233+AA233+AB233+AC233),2),0)</f>
        <v>75.44</v>
      </c>
      <c r="AE233" s="1107">
        <f t="shared" si="369"/>
        <v>231.64</v>
      </c>
      <c r="AF233" s="1107">
        <f t="shared" si="395"/>
        <v>6.85</v>
      </c>
      <c r="AG233" s="1107">
        <f t="shared" si="396"/>
        <v>6.85</v>
      </c>
      <c r="AH233" s="1107">
        <f t="shared" si="397"/>
        <v>65</v>
      </c>
      <c r="AI233" s="1107">
        <f t="shared" si="398"/>
        <v>65</v>
      </c>
      <c r="AJ233" s="1107">
        <f t="shared" si="399"/>
        <v>37.72</v>
      </c>
      <c r="AK233" s="1107">
        <f t="shared" si="400"/>
        <v>37.72</v>
      </c>
      <c r="AL233" s="1108">
        <f t="shared" si="401"/>
        <v>122.07</v>
      </c>
      <c r="AM233" s="1108">
        <f t="shared" si="402"/>
        <v>109.57</v>
      </c>
      <c r="AN233" s="990">
        <v>0</v>
      </c>
      <c r="AO233" s="1147">
        <f>'CONCEPTOS Y PARAMETROS'!$C$18*AN233</f>
        <v>0</v>
      </c>
      <c r="AP233" s="990">
        <v>0</v>
      </c>
      <c r="AQ233" s="1147">
        <f>'CONCEPTOS Y PARAMETROS'!$C$21*AP233</f>
        <v>0</v>
      </c>
      <c r="AR233" s="1318">
        <v>0</v>
      </c>
      <c r="AS233" s="1318">
        <v>0</v>
      </c>
      <c r="AT233" s="1318">
        <f t="shared" si="472"/>
        <v>0</v>
      </c>
      <c r="AU233" s="1108">
        <f t="shared" si="372"/>
        <v>452.64</v>
      </c>
      <c r="AV233" s="1133">
        <v>0</v>
      </c>
      <c r="AW233" s="1108">
        <f t="shared" si="599"/>
        <v>0</v>
      </c>
      <c r="AX233" s="1107">
        <f>IF(T233&lt;&gt;"0",(ROUND(IF(A233="EMPLEADO",eval_formula('CONCEPTOS Y PARAMETROS'!$C$8,NOMINA!V233,NOMINA!$AU233,NOMINA!I233+NOMINA!J233),eval_formula('CONCEPTOS Y PARAMETROS'!$D$8,NOMINA!V233,NOMINA!$AU233,NOMINA!I233+NOMINA!J233)),2))*IF(H233&lt;&gt;"",IF(MONTH(H233)=$BR$8,IF(YEAR(H233)&lt;$BT$7,1,0),0)))</f>
        <v>3621.12</v>
      </c>
      <c r="AY233" s="1108">
        <v>180</v>
      </c>
      <c r="AZ233" s="1107">
        <f>IFERROR(VLOOKUP(AY233,'CONCEPTOS Y PARAMETROS'!Y:Z,2,0),0)</f>
        <v>150</v>
      </c>
      <c r="BA233" s="1107">
        <f t="shared" si="403"/>
        <v>3394.8</v>
      </c>
      <c r="BB233" s="1107">
        <f t="shared" si="595"/>
        <v>0</v>
      </c>
      <c r="BC233" s="990">
        <v>0</v>
      </c>
      <c r="BD233" s="1107" t="str">
        <f t="shared" si="373"/>
        <v>0</v>
      </c>
      <c r="BE233" s="990">
        <v>0</v>
      </c>
      <c r="BF233" s="1107">
        <f t="shared" si="561"/>
        <v>0</v>
      </c>
      <c r="BG233" s="1108">
        <v>320</v>
      </c>
      <c r="BH233" s="1108">
        <v>0</v>
      </c>
      <c r="BI233" s="1132">
        <v>0</v>
      </c>
      <c r="BJ233" s="1108">
        <v>12.5</v>
      </c>
      <c r="BK233" s="1108">
        <v>0</v>
      </c>
      <c r="BL233" s="1107">
        <f t="shared" si="437"/>
        <v>20.89</v>
      </c>
      <c r="BM233" s="1107">
        <f t="shared" si="438"/>
        <v>2.61</v>
      </c>
      <c r="BN233" s="1107">
        <f t="shared" si="377"/>
        <v>4.53</v>
      </c>
      <c r="BO233" s="1107">
        <v>0</v>
      </c>
      <c r="BP233" s="1107">
        <v>0</v>
      </c>
      <c r="BQ233" s="1320">
        <f t="shared" si="366"/>
        <v>28.03</v>
      </c>
      <c r="BR233" s="1107">
        <f t="shared" si="439"/>
        <v>47</v>
      </c>
      <c r="BS233" s="1107">
        <f t="shared" si="440"/>
        <v>10.45</v>
      </c>
      <c r="BT233" s="1107">
        <f t="shared" si="378"/>
        <v>9.06</v>
      </c>
      <c r="BU233" s="1107">
        <v>0</v>
      </c>
      <c r="BV233" s="1108">
        <f t="shared" si="367"/>
        <v>66.510000000000005</v>
      </c>
      <c r="BW233" s="1112">
        <f t="shared" si="368"/>
        <v>94.54</v>
      </c>
      <c r="BX233" s="1112">
        <f t="shared" si="597"/>
        <v>848.7</v>
      </c>
      <c r="BY233" s="1108">
        <v>0</v>
      </c>
      <c r="BZ233" s="1108">
        <f t="shared" si="598"/>
        <v>848.7</v>
      </c>
      <c r="CA233" s="1321">
        <f>'CONCEPTOS Y PARAMETROS'!$A$102</f>
        <v>6255</v>
      </c>
      <c r="CB233" s="1112">
        <f t="shared" si="379"/>
        <v>204.54</v>
      </c>
      <c r="CC233" s="1113">
        <f t="shared" si="380"/>
        <v>4173.6899999999996</v>
      </c>
      <c r="CD233" s="512"/>
      <c r="CE233" s="512"/>
      <c r="CF233" s="470">
        <f t="shared" si="381"/>
        <v>860.06999999999994</v>
      </c>
      <c r="CG233" s="509">
        <f t="shared" si="404"/>
        <v>204.54</v>
      </c>
      <c r="CH233" s="1603">
        <f t="shared" si="382"/>
        <v>12.5</v>
      </c>
      <c r="CI233" s="1491">
        <f t="shared" si="374"/>
        <v>320</v>
      </c>
      <c r="CJ233" s="1502">
        <v>1</v>
      </c>
      <c r="CK233" s="509">
        <f t="shared" si="383"/>
        <v>540.06999999999994</v>
      </c>
      <c r="CL233" s="1689">
        <f t="shared" si="384"/>
        <v>540.07000000000005</v>
      </c>
      <c r="CM233" s="1689">
        <f t="shared" si="375"/>
        <v>0</v>
      </c>
      <c r="CN233" s="510">
        <f t="shared" si="385"/>
        <v>0</v>
      </c>
      <c r="CO233" s="511">
        <v>0</v>
      </c>
      <c r="CP233" s="510">
        <f t="shared" si="386"/>
        <v>0</v>
      </c>
      <c r="CQ233" s="510">
        <f t="shared" si="387"/>
        <v>3621.12</v>
      </c>
      <c r="CR233" s="510">
        <f t="shared" si="388"/>
        <v>4701.26</v>
      </c>
      <c r="CS233" s="510">
        <f t="shared" si="389"/>
        <v>94.54</v>
      </c>
      <c r="CT233" s="510">
        <f t="shared" si="390"/>
        <v>6255</v>
      </c>
      <c r="CU233" s="512"/>
      <c r="CV233" s="512"/>
      <c r="CW233" s="512"/>
      <c r="CX233" s="512"/>
      <c r="CY233" s="1149" t="s">
        <v>6957</v>
      </c>
      <c r="CZ233" s="1149" t="s">
        <v>6958</v>
      </c>
      <c r="DA233" s="1152"/>
      <c r="DB233" s="1642" t="s">
        <v>6302</v>
      </c>
      <c r="DC233" s="1642"/>
      <c r="DD233" s="1642" t="s">
        <v>6135</v>
      </c>
      <c r="DE233" s="1642" t="s">
        <v>6247</v>
      </c>
      <c r="DF233" s="1642" t="s">
        <v>6533</v>
      </c>
      <c r="DG233" s="1642"/>
      <c r="DH233" s="512"/>
      <c r="DI233" s="512"/>
      <c r="DJ233" s="512"/>
      <c r="DK233" s="512"/>
      <c r="DL233" s="512"/>
      <c r="DN233" s="476" t="str">
        <f>VLOOKUP(X233,Hoja1!$A$4:$B$10,2,0)</f>
        <v>TÉCNICO SUPERIOR UNIVERSITARIO</v>
      </c>
      <c r="DO233" s="476" t="str">
        <f>VLOOKUP(S233,Hoja1!$D$4:$F$77,3,0)</f>
        <v>TII - III</v>
      </c>
      <c r="DP233" s="1594" t="str">
        <f t="shared" si="391"/>
        <v>0</v>
      </c>
      <c r="DQ233" s="1484">
        <f>IF(T233&lt;&gt;"0",(ROUND(IF(A233="EMPLEADO",eval_formula('CONCEPTOS Y PARAMETROS'!$C$8,NOMINA!V233,AU233+BF233,NOMINA!I233+NOMINA!J233),eval_formula('CONCEPTOS Y PARAMETROS'!$D$8,NOMINA!V233,AU233+BF233,NOMINA!I233+NOMINA!J233)),2))*IF(H233&lt;&gt;"",IF(MONTH(H233)=$BR$8,IF(YEAR(H233)&lt;$BT$7,1,0),0)))</f>
        <v>3621.12</v>
      </c>
      <c r="DR233" s="1799" t="str">
        <f t="shared" si="392"/>
        <v>F</v>
      </c>
      <c r="DS233" s="1799"/>
    </row>
    <row r="234" spans="1:123" s="476" customFormat="1" ht="21.95" customHeight="1" x14ac:dyDescent="0.25">
      <c r="A234" s="508" t="s">
        <v>2846</v>
      </c>
      <c r="B234" s="1314">
        <f t="shared" ca="1" si="471"/>
        <v>191</v>
      </c>
      <c r="C234" s="1148">
        <v>19103604</v>
      </c>
      <c r="D234" s="1149" t="s">
        <v>4870</v>
      </c>
      <c r="E234" s="1135" t="s">
        <v>4622</v>
      </c>
      <c r="F234" s="1150">
        <v>32788</v>
      </c>
      <c r="G234" s="1135" t="s">
        <v>4620</v>
      </c>
      <c r="H234" s="1150">
        <v>44600</v>
      </c>
      <c r="I234" s="1140">
        <f t="shared" si="376"/>
        <v>3</v>
      </c>
      <c r="J234" s="1132">
        <v>0</v>
      </c>
      <c r="K234" s="1140">
        <f t="shared" si="600"/>
        <v>3</v>
      </c>
      <c r="L234" s="1145" t="s">
        <v>5532</v>
      </c>
      <c r="M234" s="1132"/>
      <c r="N234" s="1132"/>
      <c r="O234" s="1002" t="s">
        <v>5215</v>
      </c>
      <c r="P234" s="1132" t="s">
        <v>5414</v>
      </c>
      <c r="Q234" s="1315" t="str">
        <f>IFERROR(VLOOKUP(O234,CARGOS!A:E,2,0),"")</f>
        <v>12113</v>
      </c>
      <c r="R234" s="1327" t="s">
        <v>5215</v>
      </c>
      <c r="S234" s="1146" t="s">
        <v>5468</v>
      </c>
      <c r="T234" s="1107">
        <f>IFERROR(VLOOKUP(S234,'TAB EMP'!A:B,2,0),0)</f>
        <v>219</v>
      </c>
      <c r="U234" s="1108">
        <v>0</v>
      </c>
      <c r="V234" s="1107">
        <f t="shared" si="393"/>
        <v>219</v>
      </c>
      <c r="W234" s="1108">
        <f t="shared" si="394"/>
        <v>109.5</v>
      </c>
      <c r="X234" s="1135" t="s">
        <v>2844</v>
      </c>
      <c r="Y234" s="1135"/>
      <c r="Z234" s="1135">
        <v>2</v>
      </c>
      <c r="AA234" s="1107">
        <f>ROUND(IF(H234&lt;&gt;"",VLOOKUP(SUM(I234+J234),'CONCEPTOS Y PARAMETROS'!F:G,2,0)*V234,0),2)</f>
        <v>6.57</v>
      </c>
      <c r="AB234" s="1107">
        <f>IF(S234&lt;&gt;"",IF(M234="",'CONCEPTOS Y PARAMETROS'!$C$4,0),0)</f>
        <v>130</v>
      </c>
      <c r="AC234" s="1107">
        <f>IF(S234&lt;&gt;"",IF(M234="",'CONCEPTOS Y PARAMETROS'!$C$7*Z234,0),0)</f>
        <v>25</v>
      </c>
      <c r="AD234" s="1107">
        <f>IFERROR(ROUND(VLOOKUP($X234,'CONCEPTOS Y PARAMETROS'!H:I,2,0)*($V234+AA234+AB234+AC234),2),0)</f>
        <v>76.11</v>
      </c>
      <c r="AE234" s="1107">
        <f t="shared" si="369"/>
        <v>237.68</v>
      </c>
      <c r="AF234" s="1107">
        <f t="shared" si="395"/>
        <v>3.29</v>
      </c>
      <c r="AG234" s="1107">
        <f t="shared" si="396"/>
        <v>3.28</v>
      </c>
      <c r="AH234" s="1107">
        <f t="shared" si="397"/>
        <v>65</v>
      </c>
      <c r="AI234" s="1107">
        <f t="shared" si="398"/>
        <v>65</v>
      </c>
      <c r="AJ234" s="1107">
        <f t="shared" si="399"/>
        <v>38.06</v>
      </c>
      <c r="AK234" s="1107">
        <f t="shared" si="400"/>
        <v>38.049999999999997</v>
      </c>
      <c r="AL234" s="1108">
        <f t="shared" si="401"/>
        <v>131.35</v>
      </c>
      <c r="AM234" s="1108">
        <f t="shared" si="402"/>
        <v>106.33</v>
      </c>
      <c r="AN234" s="1604">
        <v>2</v>
      </c>
      <c r="AO234" s="1147">
        <f>'CONCEPTOS Y PARAMETROS'!$C$18*AN234</f>
        <v>25</v>
      </c>
      <c r="AP234" s="990">
        <v>0</v>
      </c>
      <c r="AQ234" s="1147">
        <f>'CONCEPTOS Y PARAMETROS'!$C$21*AP234</f>
        <v>0</v>
      </c>
      <c r="AR234" s="1318">
        <v>0</v>
      </c>
      <c r="AS234" s="1318">
        <v>0</v>
      </c>
      <c r="AT234" s="1318">
        <f t="shared" si="472"/>
        <v>25</v>
      </c>
      <c r="AU234" s="1108">
        <f t="shared" ref="AU234:AU302" si="606">V234+AE234+AW234</f>
        <v>456.68</v>
      </c>
      <c r="AV234" s="1133">
        <v>0</v>
      </c>
      <c r="AW234" s="1108">
        <f t="shared" si="599"/>
        <v>0</v>
      </c>
      <c r="AX234" s="1107">
        <f>IF(T234&lt;&gt;"0",(ROUND(IF(A234="EMPLEADO",eval_formula('CONCEPTOS Y PARAMETROS'!$C$8,NOMINA!V234,NOMINA!$AU234,NOMINA!I234+NOMINA!J234),eval_formula('CONCEPTOS Y PARAMETROS'!$D$8,NOMINA!V234,NOMINA!$AU234,NOMINA!I234+NOMINA!J234)),2))*IF(H234&lt;&gt;"",IF(MONTH(H234)=$BR$8,IF(YEAR(H234)&lt;$BT$7,1,0),0)))</f>
        <v>0</v>
      </c>
      <c r="AY234" s="1108">
        <v>180</v>
      </c>
      <c r="AZ234" s="1107">
        <f>IFERROR(VLOOKUP(AY234,'CONCEPTOS Y PARAMETROS'!Y:Z,2,0),0)</f>
        <v>150</v>
      </c>
      <c r="BA234" s="1107">
        <f t="shared" si="403"/>
        <v>3425.1</v>
      </c>
      <c r="BB234" s="1107">
        <f t="shared" si="595"/>
        <v>0</v>
      </c>
      <c r="BC234" s="990">
        <v>0</v>
      </c>
      <c r="BD234" s="1107" t="str">
        <f t="shared" ref="BD234:BD298" si="607">IF(BC234&gt;0,((((((V234+AA234+AB234+AC234+AD234)/30)/8)*50%)+((((V234+AA234+AB234+AC234+AD234)/30)/8)))*30%+(((((V234+AA234+AB234+AC234+AD234)/30)/8)*50%)+((((V234+AA234+AB234+AC234+AD234)/30)/8))))*BC234,"0")</f>
        <v>0</v>
      </c>
      <c r="BE234" s="990">
        <v>0</v>
      </c>
      <c r="BF234" s="1107">
        <f t="shared" si="561"/>
        <v>0</v>
      </c>
      <c r="BG234" s="1108">
        <v>320</v>
      </c>
      <c r="BH234" s="1108">
        <v>0</v>
      </c>
      <c r="BI234" s="1132">
        <v>0</v>
      </c>
      <c r="BJ234" s="1108">
        <v>12.5</v>
      </c>
      <c r="BK234" s="1108">
        <v>0</v>
      </c>
      <c r="BL234" s="1107">
        <f t="shared" si="437"/>
        <v>21.08</v>
      </c>
      <c r="BM234" s="1107">
        <f t="shared" si="438"/>
        <v>2.63</v>
      </c>
      <c r="BN234" s="1107">
        <f t="shared" si="377"/>
        <v>4.57</v>
      </c>
      <c r="BO234" s="1107">
        <v>0</v>
      </c>
      <c r="BP234" s="1107">
        <v>0</v>
      </c>
      <c r="BQ234" s="1320">
        <f t="shared" si="366"/>
        <v>28.28</v>
      </c>
      <c r="BR234" s="1107">
        <f t="shared" si="439"/>
        <v>47.42</v>
      </c>
      <c r="BS234" s="1107">
        <f t="shared" si="440"/>
        <v>10.54</v>
      </c>
      <c r="BT234" s="1107">
        <f t="shared" si="378"/>
        <v>9.14</v>
      </c>
      <c r="BU234" s="1107">
        <v>0</v>
      </c>
      <c r="BV234" s="1108">
        <f t="shared" si="367"/>
        <v>67.099999999999994</v>
      </c>
      <c r="BW234" s="1112">
        <f t="shared" si="368"/>
        <v>95.38</v>
      </c>
      <c r="BX234" s="1112">
        <f t="shared" si="597"/>
        <v>856.28</v>
      </c>
      <c r="BY234" s="1108">
        <v>0</v>
      </c>
      <c r="BZ234" s="1108">
        <f t="shared" si="598"/>
        <v>856.28</v>
      </c>
      <c r="CA234" s="1321">
        <f>'CONCEPTOS Y PARAMETROS'!$A$102</f>
        <v>6255</v>
      </c>
      <c r="CB234" s="1112">
        <f t="shared" si="379"/>
        <v>212.57</v>
      </c>
      <c r="CC234" s="1113">
        <f t="shared" si="380"/>
        <v>573.33000000000004</v>
      </c>
      <c r="CD234" s="512"/>
      <c r="CE234" s="512"/>
      <c r="CF234" s="470">
        <f t="shared" si="381"/>
        <v>855.82999999999993</v>
      </c>
      <c r="CG234" s="509">
        <f t="shared" si="404"/>
        <v>212.57</v>
      </c>
      <c r="CH234" s="1603">
        <f t="shared" si="382"/>
        <v>37.5</v>
      </c>
      <c r="CI234" s="1491">
        <f t="shared" ref="CI234:CI302" si="608">BG234</f>
        <v>320</v>
      </c>
      <c r="CJ234" s="1502">
        <v>1</v>
      </c>
      <c r="CK234" s="509">
        <f t="shared" si="383"/>
        <v>535.82999999999993</v>
      </c>
      <c r="CL234" s="1689">
        <f t="shared" si="384"/>
        <v>535.83000000000004</v>
      </c>
      <c r="CM234" s="1689">
        <f t="shared" si="375"/>
        <v>0</v>
      </c>
      <c r="CN234" s="510">
        <f t="shared" si="385"/>
        <v>0</v>
      </c>
      <c r="CO234" s="511">
        <v>0</v>
      </c>
      <c r="CP234" s="510">
        <f t="shared" si="386"/>
        <v>0</v>
      </c>
      <c r="CQ234" s="510">
        <f t="shared" si="387"/>
        <v>0</v>
      </c>
      <c r="CR234" s="510">
        <f t="shared" si="388"/>
        <v>1071.6599999999999</v>
      </c>
      <c r="CS234" s="510">
        <f t="shared" si="389"/>
        <v>95.38</v>
      </c>
      <c r="CT234" s="510">
        <f t="shared" si="390"/>
        <v>6255</v>
      </c>
      <c r="CU234" s="512"/>
      <c r="CV234" s="512"/>
      <c r="CW234" s="512"/>
      <c r="CX234" s="512"/>
      <c r="CY234" s="1149" t="s">
        <v>6959</v>
      </c>
      <c r="CZ234" s="1149" t="s">
        <v>6960</v>
      </c>
      <c r="DA234" s="1152"/>
      <c r="DB234" s="1642" t="s">
        <v>6324</v>
      </c>
      <c r="DC234" s="1642"/>
      <c r="DD234" s="1642" t="s">
        <v>6199</v>
      </c>
      <c r="DE234" s="1642" t="s">
        <v>6325</v>
      </c>
      <c r="DF234" s="1642" t="s">
        <v>6500</v>
      </c>
      <c r="DG234" s="1152"/>
      <c r="DH234" s="512"/>
      <c r="DI234" s="512"/>
      <c r="DJ234" s="512"/>
      <c r="DK234" s="512"/>
      <c r="DL234" s="512"/>
      <c r="DN234" s="476" t="str">
        <f>VLOOKUP(X234,Hoja1!$A$4:$B$10,2,0)</f>
        <v>TÉCNICO SUPERIOR UNIVERSITARIO</v>
      </c>
      <c r="DO234" s="476" t="str">
        <f>VLOOKUP(S234,Hoja1!$D$4:$F$77,3,0)</f>
        <v>TII - II</v>
      </c>
      <c r="DP234" s="1594" t="str">
        <f t="shared" si="391"/>
        <v>0</v>
      </c>
      <c r="DQ234" s="1484">
        <f>IF(T234&lt;&gt;"0",(ROUND(IF(A234="EMPLEADO",eval_formula('CONCEPTOS Y PARAMETROS'!$C$8,NOMINA!V234,AU234+BF234,NOMINA!I234+NOMINA!J234),eval_formula('CONCEPTOS Y PARAMETROS'!$D$8,NOMINA!V234,AU234+BF234,NOMINA!I234+NOMINA!J234)),2))*IF(H234&lt;&gt;"",IF(MONTH(H234)=$BR$8,IF(YEAR(H234)&lt;$BT$7,1,0),0)))</f>
        <v>0</v>
      </c>
      <c r="DR234" s="1799" t="str">
        <f t="shared" si="392"/>
        <v>F</v>
      </c>
      <c r="DS234" s="1799"/>
    </row>
    <row r="235" spans="1:123" s="476" customFormat="1" ht="21.95" customHeight="1" x14ac:dyDescent="0.25">
      <c r="A235" s="508" t="s">
        <v>2846</v>
      </c>
      <c r="B235" s="1314">
        <f t="shared" ca="1" si="471"/>
        <v>192</v>
      </c>
      <c r="C235" s="1148">
        <v>19103823</v>
      </c>
      <c r="D235" s="1149" t="s">
        <v>7276</v>
      </c>
      <c r="E235" s="1135" t="s">
        <v>4622</v>
      </c>
      <c r="F235" s="1150">
        <v>31758</v>
      </c>
      <c r="G235" s="1135" t="s">
        <v>4620</v>
      </c>
      <c r="H235" s="1150">
        <v>42795</v>
      </c>
      <c r="I235" s="1140">
        <f t="shared" si="376"/>
        <v>8</v>
      </c>
      <c r="J235" s="1132">
        <v>0</v>
      </c>
      <c r="K235" s="1140">
        <f t="shared" si="600"/>
        <v>8</v>
      </c>
      <c r="L235" s="1145" t="s">
        <v>5528</v>
      </c>
      <c r="M235" s="1132"/>
      <c r="N235" s="1132"/>
      <c r="O235" s="1002" t="s">
        <v>5233</v>
      </c>
      <c r="P235" s="1132" t="s">
        <v>5415</v>
      </c>
      <c r="Q235" s="1315" t="str">
        <f>IFERROR(VLOOKUP(O235,CARGOS!A:E,2,0),"")</f>
        <v>79523</v>
      </c>
      <c r="R235" s="1327" t="s">
        <v>5233</v>
      </c>
      <c r="S235" s="1146" t="s">
        <v>5481</v>
      </c>
      <c r="T235" s="1107">
        <f>IFERROR(VLOOKUP(S235,'TAB EMP'!A:B,2,0),0)</f>
        <v>308</v>
      </c>
      <c r="U235" s="1108">
        <v>0</v>
      </c>
      <c r="V235" s="1107">
        <f t="shared" si="393"/>
        <v>308</v>
      </c>
      <c r="W235" s="1108">
        <f t="shared" si="394"/>
        <v>154</v>
      </c>
      <c r="X235" s="1135" t="s">
        <v>2887</v>
      </c>
      <c r="Y235" s="1135"/>
      <c r="Z235" s="1135">
        <v>1</v>
      </c>
      <c r="AA235" s="1107">
        <f>ROUND(IF(H235&lt;&gt;"",VLOOKUP(SUM(I235+J235),'CONCEPTOS Y PARAMETROS'!F:G,2,0)*V235,0),2)</f>
        <v>26.49</v>
      </c>
      <c r="AB235" s="1107">
        <f>IF(S235&lt;&gt;"",IF(M235="",'CONCEPTOS Y PARAMETROS'!$C$4,0),0)</f>
        <v>130</v>
      </c>
      <c r="AC235" s="1107">
        <f>IF(S235&lt;&gt;"",IF(M235="",'CONCEPTOS Y PARAMETROS'!$C$7*Z235,0),0)</f>
        <v>12.5</v>
      </c>
      <c r="AD235" s="1107">
        <f>IFERROR(ROUND(VLOOKUP($X235,'CONCEPTOS Y PARAMETROS'!H:I,2,0)*($V235+AA235+AB235+AC235),2),0)</f>
        <v>166.95</v>
      </c>
      <c r="AE235" s="1107">
        <f t="shared" si="369"/>
        <v>335.94</v>
      </c>
      <c r="AF235" s="1107">
        <f t="shared" si="395"/>
        <v>13.25</v>
      </c>
      <c r="AG235" s="1107">
        <f t="shared" si="396"/>
        <v>13.24</v>
      </c>
      <c r="AH235" s="1107">
        <f t="shared" si="397"/>
        <v>65</v>
      </c>
      <c r="AI235" s="1107">
        <f t="shared" si="398"/>
        <v>65</v>
      </c>
      <c r="AJ235" s="1107">
        <f t="shared" si="399"/>
        <v>83.48</v>
      </c>
      <c r="AK235" s="1107">
        <f t="shared" si="400"/>
        <v>83.47</v>
      </c>
      <c r="AL235" s="1108">
        <f t="shared" si="401"/>
        <v>174.23</v>
      </c>
      <c r="AM235" s="1108">
        <f t="shared" si="402"/>
        <v>161.71</v>
      </c>
      <c r="AN235" s="990">
        <v>0</v>
      </c>
      <c r="AO235" s="1147">
        <f>'CONCEPTOS Y PARAMETROS'!$C$18*AN235</f>
        <v>0</v>
      </c>
      <c r="AP235" s="990">
        <v>0</v>
      </c>
      <c r="AQ235" s="1147">
        <f>'CONCEPTOS Y PARAMETROS'!$C$21*AP235</f>
        <v>0</v>
      </c>
      <c r="AR235" s="1318">
        <v>0</v>
      </c>
      <c r="AS235" s="1318">
        <v>0</v>
      </c>
      <c r="AT235" s="1318">
        <f t="shared" ref="AT235:AT268" si="609">+AO235+AQ235+AR235+AS235</f>
        <v>0</v>
      </c>
      <c r="AU235" s="1108">
        <f t="shared" si="606"/>
        <v>643.94000000000005</v>
      </c>
      <c r="AV235" s="1133">
        <v>0</v>
      </c>
      <c r="AW235" s="1108">
        <f t="shared" si="599"/>
        <v>0</v>
      </c>
      <c r="AX235" s="1107">
        <f>IF(T235&lt;&gt;"0",(ROUND(IF(A235="EMPLEADO",eval_formula('CONCEPTOS Y PARAMETROS'!$C$8,NOMINA!V235,NOMINA!$AU235,NOMINA!I235+NOMINA!J235),eval_formula('CONCEPTOS Y PARAMETROS'!$D$8,NOMINA!V235,NOMINA!$AU235,NOMINA!I235+NOMINA!J235)),2))*IF(H235&lt;&gt;"",IF(MONTH(H235)=$BR$8,IF(YEAR(H235)&lt;$BT$7,1,0),0)))</f>
        <v>0</v>
      </c>
      <c r="AY235" s="1108">
        <v>180</v>
      </c>
      <c r="AZ235" s="1107">
        <f>IFERROR(VLOOKUP(AY235,'CONCEPTOS Y PARAMETROS'!Y:Z,2,0),0)</f>
        <v>150</v>
      </c>
      <c r="BA235" s="1107">
        <f t="shared" si="403"/>
        <v>4829.55</v>
      </c>
      <c r="BB235" s="1107">
        <f t="shared" si="595"/>
        <v>0</v>
      </c>
      <c r="BC235" s="990">
        <v>0</v>
      </c>
      <c r="BD235" s="1107" t="str">
        <f t="shared" si="607"/>
        <v>0</v>
      </c>
      <c r="BE235" s="990">
        <v>0</v>
      </c>
      <c r="BF235" s="1107">
        <f t="shared" si="561"/>
        <v>0</v>
      </c>
      <c r="BG235" s="1108">
        <v>320</v>
      </c>
      <c r="BH235" s="1108">
        <v>0</v>
      </c>
      <c r="BI235" s="1132">
        <v>0</v>
      </c>
      <c r="BJ235" s="1108">
        <v>12.5</v>
      </c>
      <c r="BK235" s="1108">
        <v>0</v>
      </c>
      <c r="BL235" s="1107">
        <f t="shared" si="437"/>
        <v>29.72</v>
      </c>
      <c r="BM235" s="1107">
        <f t="shared" si="438"/>
        <v>3.72</v>
      </c>
      <c r="BN235" s="1107">
        <f t="shared" si="377"/>
        <v>6.44</v>
      </c>
      <c r="BO235" s="1107">
        <v>0</v>
      </c>
      <c r="BP235" s="1107">
        <v>0</v>
      </c>
      <c r="BQ235" s="1320">
        <f t="shared" si="366"/>
        <v>39.880000000000003</v>
      </c>
      <c r="BR235" s="1107">
        <f t="shared" si="439"/>
        <v>66.87</v>
      </c>
      <c r="BS235" s="1107">
        <f t="shared" si="440"/>
        <v>14.86</v>
      </c>
      <c r="BT235" s="1107">
        <f t="shared" si="378"/>
        <v>12.88</v>
      </c>
      <c r="BU235" s="1107">
        <v>0</v>
      </c>
      <c r="BV235" s="1108">
        <f t="shared" si="367"/>
        <v>94.61</v>
      </c>
      <c r="BW235" s="1112">
        <f t="shared" si="368"/>
        <v>134.49</v>
      </c>
      <c r="BX235" s="1112">
        <f t="shared" si="597"/>
        <v>1207.3900000000001</v>
      </c>
      <c r="BY235" s="1108">
        <v>0</v>
      </c>
      <c r="BZ235" s="1108">
        <f t="shared" si="598"/>
        <v>1207.3900000000001</v>
      </c>
      <c r="CA235" s="1321">
        <f>'CONCEPTOS Y PARAMETROS'!$A$102</f>
        <v>6255</v>
      </c>
      <c r="CB235" s="1112">
        <f t="shared" si="379"/>
        <v>288.35000000000002</v>
      </c>
      <c r="CC235" s="1113">
        <f t="shared" si="380"/>
        <v>648.21</v>
      </c>
      <c r="CD235" s="512"/>
      <c r="CE235" s="512"/>
      <c r="CF235" s="470">
        <f t="shared" si="381"/>
        <v>955.71</v>
      </c>
      <c r="CG235" s="509">
        <f t="shared" si="404"/>
        <v>288.35000000000002</v>
      </c>
      <c r="CH235" s="1603">
        <f t="shared" si="382"/>
        <v>12.5</v>
      </c>
      <c r="CI235" s="1491">
        <f t="shared" si="608"/>
        <v>320</v>
      </c>
      <c r="CJ235" s="1502">
        <v>2</v>
      </c>
      <c r="CK235" s="509">
        <f t="shared" si="383"/>
        <v>635.71</v>
      </c>
      <c r="CL235" s="1689">
        <f t="shared" si="384"/>
        <v>305.14</v>
      </c>
      <c r="CM235" s="1689">
        <f t="shared" ref="CM235:CM294" si="610">+CK235-CL235</f>
        <v>330.57000000000005</v>
      </c>
      <c r="CN235" s="510">
        <f t="shared" si="385"/>
        <v>0</v>
      </c>
      <c r="CO235" s="511">
        <v>0</v>
      </c>
      <c r="CP235" s="510">
        <f t="shared" si="386"/>
        <v>0</v>
      </c>
      <c r="CQ235" s="510">
        <f t="shared" si="387"/>
        <v>0</v>
      </c>
      <c r="CR235" s="510">
        <f t="shared" si="388"/>
        <v>1271.42</v>
      </c>
      <c r="CS235" s="510">
        <f t="shared" si="389"/>
        <v>134.49</v>
      </c>
      <c r="CT235" s="510">
        <f t="shared" si="390"/>
        <v>6255</v>
      </c>
      <c r="CU235" s="512"/>
      <c r="CV235" s="512"/>
      <c r="CW235" s="512"/>
      <c r="CX235" s="512"/>
      <c r="CY235" s="1149" t="s">
        <v>6883</v>
      </c>
      <c r="CZ235" s="1149" t="s">
        <v>6961</v>
      </c>
      <c r="DA235" s="1152"/>
      <c r="DB235" s="1642" t="s">
        <v>6581</v>
      </c>
      <c r="DC235" s="1642"/>
      <c r="DD235" s="1642" t="s">
        <v>6563</v>
      </c>
      <c r="DE235" s="1642" t="s">
        <v>6195</v>
      </c>
      <c r="DF235" s="1642" t="s">
        <v>6210</v>
      </c>
      <c r="DG235" s="1642"/>
      <c r="DH235" s="512"/>
      <c r="DI235" s="512"/>
      <c r="DJ235" s="512"/>
      <c r="DK235" s="512"/>
      <c r="DL235" s="512"/>
      <c r="DN235" s="476" t="str">
        <f>VLOOKUP(X235,Hoja1!$A$4:$B$10,2,0)</f>
        <v>MAGISTER</v>
      </c>
      <c r="DO235" s="476" t="str">
        <f>VLOOKUP(S235,Hoja1!$D$4:$F$77,3,0)</f>
        <v>PIII - III</v>
      </c>
      <c r="DP235" s="1594" t="str">
        <f t="shared" si="391"/>
        <v>0</v>
      </c>
      <c r="DQ235" s="1484">
        <f>IF(T235&lt;&gt;"0",(ROUND(IF(A235="EMPLEADO",eval_formula('CONCEPTOS Y PARAMETROS'!$C$8,NOMINA!V235,AU235+BF235,NOMINA!I235+NOMINA!J235),eval_formula('CONCEPTOS Y PARAMETROS'!$D$8,NOMINA!V235,AU235+BF235,NOMINA!I235+NOMINA!J235)),2))*IF(H235&lt;&gt;"",IF(MONTH(H235)=$BR$8,IF(YEAR(H235)&lt;$BT$7,1,0),0)))</f>
        <v>0</v>
      </c>
      <c r="DR235" s="1799" t="str">
        <f t="shared" si="392"/>
        <v>F</v>
      </c>
      <c r="DS235" s="1799"/>
    </row>
    <row r="236" spans="1:123" s="476" customFormat="1" ht="21.95" customHeight="1" x14ac:dyDescent="0.25">
      <c r="A236" s="508" t="s">
        <v>2846</v>
      </c>
      <c r="B236" s="1314">
        <f t="shared" ca="1" si="471"/>
        <v>193</v>
      </c>
      <c r="C236" s="1148">
        <v>19286780</v>
      </c>
      <c r="D236" s="1149" t="s">
        <v>4874</v>
      </c>
      <c r="E236" s="1135" t="s">
        <v>4622</v>
      </c>
      <c r="F236" s="1150">
        <v>31522</v>
      </c>
      <c r="G236" s="1135" t="s">
        <v>4620</v>
      </c>
      <c r="H236" s="1150">
        <v>42492</v>
      </c>
      <c r="I236" s="1140">
        <f t="shared" si="376"/>
        <v>9</v>
      </c>
      <c r="J236" s="1132">
        <v>0</v>
      </c>
      <c r="K236" s="1140">
        <f t="shared" si="600"/>
        <v>9</v>
      </c>
      <c r="L236" s="1145" t="s">
        <v>5534</v>
      </c>
      <c r="M236" s="1132"/>
      <c r="N236" s="1132"/>
      <c r="O236" s="1002" t="s">
        <v>5215</v>
      </c>
      <c r="P236" s="1132" t="s">
        <v>5416</v>
      </c>
      <c r="Q236" s="1315" t="str">
        <f>IFERROR(VLOOKUP(O236,CARGOS!A:E,2,0),"")</f>
        <v>12113</v>
      </c>
      <c r="R236" s="1327" t="s">
        <v>5215</v>
      </c>
      <c r="S236" s="1146" t="s">
        <v>5472</v>
      </c>
      <c r="T236" s="1107">
        <f>IFERROR(VLOOKUP(S236,'TAB EMP'!A:B,2,0),0)</f>
        <v>223</v>
      </c>
      <c r="U236" s="1108">
        <v>0</v>
      </c>
      <c r="V236" s="1107">
        <f t="shared" si="393"/>
        <v>223</v>
      </c>
      <c r="W236" s="1108">
        <f t="shared" si="394"/>
        <v>111.5</v>
      </c>
      <c r="X236" s="1135" t="s">
        <v>2844</v>
      </c>
      <c r="Y236" s="1135"/>
      <c r="Z236" s="1135">
        <v>2</v>
      </c>
      <c r="AA236" s="1107">
        <f>ROUND(IF(H236&lt;&gt;"",VLOOKUP(SUM(I236+J236),'CONCEPTOS Y PARAMETROS'!F:G,2,0)*V236,0),2)</f>
        <v>21.85</v>
      </c>
      <c r="AB236" s="1107">
        <f>IF(S236&lt;&gt;"",IF(M236="",'CONCEPTOS Y PARAMETROS'!$C$4,0),0)</f>
        <v>130</v>
      </c>
      <c r="AC236" s="1107">
        <f>IF(S236&lt;&gt;"",IF(M236="",'CONCEPTOS Y PARAMETROS'!$C$7*Z236,0),0)</f>
        <v>25</v>
      </c>
      <c r="AD236" s="1107">
        <f>IFERROR(ROUND(VLOOKUP($X236,'CONCEPTOS Y PARAMETROS'!H:I,2,0)*($V236+AA236+AB236+AC236),2),0)</f>
        <v>79.97</v>
      </c>
      <c r="AE236" s="1107">
        <f t="shared" si="369"/>
        <v>256.82</v>
      </c>
      <c r="AF236" s="1107">
        <f t="shared" si="395"/>
        <v>10.93</v>
      </c>
      <c r="AG236" s="1107">
        <f t="shared" si="396"/>
        <v>10.92</v>
      </c>
      <c r="AH236" s="1107">
        <f t="shared" si="397"/>
        <v>65</v>
      </c>
      <c r="AI236" s="1107">
        <f t="shared" si="398"/>
        <v>65</v>
      </c>
      <c r="AJ236" s="1107">
        <f t="shared" si="399"/>
        <v>39.99</v>
      </c>
      <c r="AK236" s="1107">
        <f t="shared" si="400"/>
        <v>39.979999999999997</v>
      </c>
      <c r="AL236" s="1108">
        <f t="shared" si="401"/>
        <v>140.91999999999999</v>
      </c>
      <c r="AM236" s="1108">
        <f t="shared" si="402"/>
        <v>115.9</v>
      </c>
      <c r="AN236" s="990">
        <v>0</v>
      </c>
      <c r="AO236" s="1147">
        <f>'CONCEPTOS Y PARAMETROS'!$C$18*AN236</f>
        <v>0</v>
      </c>
      <c r="AP236" s="990">
        <v>0</v>
      </c>
      <c r="AQ236" s="1147">
        <f>'CONCEPTOS Y PARAMETROS'!$C$21*AP236</f>
        <v>0</v>
      </c>
      <c r="AR236" s="1318">
        <v>0</v>
      </c>
      <c r="AS236" s="1318">
        <v>0</v>
      </c>
      <c r="AT236" s="1318">
        <f t="shared" si="609"/>
        <v>0</v>
      </c>
      <c r="AU236" s="1108">
        <f t="shared" si="606"/>
        <v>479.82</v>
      </c>
      <c r="AV236" s="1133">
        <v>0</v>
      </c>
      <c r="AW236" s="1108">
        <f t="shared" si="599"/>
        <v>0</v>
      </c>
      <c r="AX236" s="1107">
        <f>IF(T236&lt;&gt;"0",(ROUND(IF(A236="EMPLEADO",eval_formula('CONCEPTOS Y PARAMETROS'!$C$8,NOMINA!V236,NOMINA!$AU236,NOMINA!I236+NOMINA!J236),eval_formula('CONCEPTOS Y PARAMETROS'!$D$8,NOMINA!V236,NOMINA!$AU236,NOMINA!I236+NOMINA!J236)),2))*IF(H236&lt;&gt;"",IF(MONTH(H236)=$BR$8,IF(YEAR(H236)&lt;$BT$7,1,0),0)))</f>
        <v>0</v>
      </c>
      <c r="AY236" s="1108">
        <v>180</v>
      </c>
      <c r="AZ236" s="1107">
        <f>IFERROR(VLOOKUP(AY236,'CONCEPTOS Y PARAMETROS'!Y:Z,2,0),0)</f>
        <v>150</v>
      </c>
      <c r="BA236" s="1107">
        <f t="shared" si="403"/>
        <v>3598.65</v>
      </c>
      <c r="BB236" s="1107">
        <f t="shared" si="595"/>
        <v>0</v>
      </c>
      <c r="BC236" s="990">
        <v>0</v>
      </c>
      <c r="BD236" s="1107" t="str">
        <f t="shared" si="607"/>
        <v>0</v>
      </c>
      <c r="BE236" s="990">
        <v>0</v>
      </c>
      <c r="BF236" s="1107">
        <f t="shared" si="561"/>
        <v>0</v>
      </c>
      <c r="BG236" s="1108">
        <v>320</v>
      </c>
      <c r="BH236" s="1108">
        <v>0</v>
      </c>
      <c r="BI236" s="1132">
        <v>0</v>
      </c>
      <c r="BJ236" s="1108">
        <v>12.5</v>
      </c>
      <c r="BK236" s="1108">
        <v>0</v>
      </c>
      <c r="BL236" s="1107">
        <f t="shared" si="437"/>
        <v>22.15</v>
      </c>
      <c r="BM236" s="1107">
        <f t="shared" si="438"/>
        <v>2.77</v>
      </c>
      <c r="BN236" s="1107">
        <f t="shared" si="377"/>
        <v>4.8</v>
      </c>
      <c r="BO236" s="1107">
        <v>0</v>
      </c>
      <c r="BP236" s="1107">
        <v>0</v>
      </c>
      <c r="BQ236" s="1320">
        <f t="shared" si="366"/>
        <v>29.72</v>
      </c>
      <c r="BR236" s="1107">
        <f t="shared" si="439"/>
        <v>49.83</v>
      </c>
      <c r="BS236" s="1107">
        <f t="shared" si="440"/>
        <v>11.07</v>
      </c>
      <c r="BT236" s="1107">
        <f t="shared" si="378"/>
        <v>9.6</v>
      </c>
      <c r="BU236" s="1107">
        <v>0</v>
      </c>
      <c r="BV236" s="1108">
        <f t="shared" si="367"/>
        <v>70.5</v>
      </c>
      <c r="BW236" s="1112">
        <f t="shared" si="368"/>
        <v>100.22</v>
      </c>
      <c r="BX236" s="1112">
        <f t="shared" si="597"/>
        <v>899.66</v>
      </c>
      <c r="BY236" s="1108">
        <v>0</v>
      </c>
      <c r="BZ236" s="1108">
        <f t="shared" si="598"/>
        <v>899.66</v>
      </c>
      <c r="CA236" s="1321">
        <f>'CONCEPTOS Y PARAMETROS'!$A$102</f>
        <v>6255</v>
      </c>
      <c r="CB236" s="1112">
        <f t="shared" ref="CB236:CB299" si="611">W236+AL236-BQ236</f>
        <v>222.7</v>
      </c>
      <c r="CC236" s="1113">
        <f t="shared" ref="CC236:CC299" si="612">ROUND((W236+AM236+AW236+AX236+BB236+BD236+BF236+BK236+BG236+BH236+BJ236+AT236),2)</f>
        <v>559.9</v>
      </c>
      <c r="CD236" s="512"/>
      <c r="CE236" s="512"/>
      <c r="CF236" s="470">
        <f t="shared" ref="CF236:CF295" si="613">+CI236+CK236</f>
        <v>867.4</v>
      </c>
      <c r="CG236" s="509">
        <f t="shared" si="404"/>
        <v>222.7</v>
      </c>
      <c r="CH236" s="1603">
        <f t="shared" ref="CH236:CH299" si="614">AT236+BJ236</f>
        <v>12.5</v>
      </c>
      <c r="CI236" s="1491">
        <f t="shared" si="608"/>
        <v>320</v>
      </c>
      <c r="CJ236" s="1502">
        <v>1</v>
      </c>
      <c r="CK236" s="509">
        <f t="shared" ref="CK236:CK295" si="615">W236+AM236+BG236</f>
        <v>547.4</v>
      </c>
      <c r="CL236" s="1689">
        <f t="shared" ref="CL236:CL295" si="616">ROUND(IF(CK236&gt;600,CK236*48%,CK236),2)</f>
        <v>547.4</v>
      </c>
      <c r="CM236" s="1689">
        <f t="shared" si="610"/>
        <v>0</v>
      </c>
      <c r="CN236" s="510">
        <f t="shared" ref="CN236:CN302" si="617">BF236+BB236</f>
        <v>0</v>
      </c>
      <c r="CO236" s="511">
        <v>0</v>
      </c>
      <c r="CP236" s="510">
        <f t="shared" ref="CP236:CP302" si="618">AW236</f>
        <v>0</v>
      </c>
      <c r="CQ236" s="510">
        <f t="shared" ref="CQ236:CQ302" si="619">AX236</f>
        <v>0</v>
      </c>
      <c r="CR236" s="510">
        <f t="shared" ref="CR236:CR299" si="620">SUM(CK236:CQ236)</f>
        <v>1094.8</v>
      </c>
      <c r="CS236" s="510">
        <f t="shared" ref="CS236:CS302" si="621">BQ236+BV236</f>
        <v>100.22</v>
      </c>
      <c r="CT236" s="510">
        <f t="shared" ref="CT236:CT302" si="622">CA236</f>
        <v>6255</v>
      </c>
      <c r="CU236" s="512"/>
      <c r="CV236" s="512"/>
      <c r="CW236" s="512"/>
      <c r="CX236" s="512"/>
      <c r="CY236" s="1149" t="s">
        <v>6819</v>
      </c>
      <c r="CZ236" s="1149" t="s">
        <v>6962</v>
      </c>
      <c r="DA236" s="1152"/>
      <c r="DB236" s="1642" t="s">
        <v>6252</v>
      </c>
      <c r="DC236" s="1642"/>
      <c r="DD236" s="1642" t="s">
        <v>6563</v>
      </c>
      <c r="DE236" s="1642" t="s">
        <v>6254</v>
      </c>
      <c r="DF236" s="1642" t="s">
        <v>6611</v>
      </c>
      <c r="DG236" s="1152"/>
      <c r="DH236" s="512"/>
      <c r="DI236" s="512"/>
      <c r="DJ236" s="512"/>
      <c r="DK236" s="512"/>
      <c r="DL236" s="512"/>
      <c r="DN236" s="476" t="str">
        <f>VLOOKUP(X236,Hoja1!$A$4:$B$10,2,0)</f>
        <v>TÉCNICO SUPERIOR UNIVERSITARIO</v>
      </c>
      <c r="DO236" s="476" t="str">
        <f>VLOOKUP(S236,Hoja1!$D$4:$F$77,3,0)</f>
        <v>TII - IV</v>
      </c>
      <c r="DP236" s="1594" t="str">
        <f t="shared" ref="DP236:DP302" si="623">IF(AV236="NOCTURN","SI","0")</f>
        <v>0</v>
      </c>
      <c r="DQ236" s="1484">
        <f>IF(T236&lt;&gt;"0",(ROUND(IF(A236="EMPLEADO",eval_formula('CONCEPTOS Y PARAMETROS'!$C$8,NOMINA!V236,AU236+BF236,NOMINA!I236+NOMINA!J236),eval_formula('CONCEPTOS Y PARAMETROS'!$D$8,NOMINA!V236,AU236+BF236,NOMINA!I236+NOMINA!J236)),2))*IF(H236&lt;&gt;"",IF(MONTH(H236)=$BR$8,IF(YEAR(H236)&lt;$BT$7,1,0),0)))</f>
        <v>0</v>
      </c>
      <c r="DR236" s="1799" t="str">
        <f t="shared" ref="DR236:DR302" si="624">+G236</f>
        <v>F</v>
      </c>
      <c r="DS236" s="1799"/>
    </row>
    <row r="237" spans="1:123" s="476" customFormat="1" ht="21.95" customHeight="1" x14ac:dyDescent="0.25">
      <c r="A237" s="508" t="s">
        <v>2846</v>
      </c>
      <c r="B237" s="1314">
        <f t="shared" ca="1" si="471"/>
        <v>194</v>
      </c>
      <c r="C237" s="1148">
        <v>19287100</v>
      </c>
      <c r="D237" s="1149" t="s">
        <v>4875</v>
      </c>
      <c r="E237" s="1135" t="s">
        <v>4622</v>
      </c>
      <c r="F237" s="1150">
        <v>32718</v>
      </c>
      <c r="G237" s="1135" t="s">
        <v>4620</v>
      </c>
      <c r="H237" s="1150">
        <v>44713</v>
      </c>
      <c r="I237" s="1140">
        <f t="shared" ref="I237:I296" si="625">IF(AND(YEAR(H237)&lt;YEAR($H$10),MONTH(H237)&gt;$BR$8),YEAR($H$10)-YEAR(H237)-1,IF(OR(H237="",YEAR(H237)&gt;YEAR($H$10)),0,YEAR($H$10)-YEAR(H237)))</f>
        <v>3</v>
      </c>
      <c r="J237" s="1132">
        <v>0</v>
      </c>
      <c r="K237" s="1140">
        <f t="shared" si="600"/>
        <v>3</v>
      </c>
      <c r="L237" s="1145" t="s">
        <v>6709</v>
      </c>
      <c r="M237" s="1132"/>
      <c r="N237" s="1132"/>
      <c r="O237" s="1002" t="s">
        <v>5250</v>
      </c>
      <c r="P237" s="1132" t="s">
        <v>5417</v>
      </c>
      <c r="Q237" s="1315" t="str">
        <f>IFERROR(VLOOKUP(O237,CARGOS!A:E,2,0),"")</f>
        <v>79342</v>
      </c>
      <c r="R237" s="1327" t="s">
        <v>5250</v>
      </c>
      <c r="S237" s="1146" t="s">
        <v>5468</v>
      </c>
      <c r="T237" s="1107">
        <f>IFERROR(VLOOKUP(S237,'TAB EMP'!A:B,2,0),0)</f>
        <v>219</v>
      </c>
      <c r="U237" s="1108">
        <v>0</v>
      </c>
      <c r="V237" s="1107">
        <f t="shared" si="393"/>
        <v>219</v>
      </c>
      <c r="W237" s="1108">
        <f t="shared" si="394"/>
        <v>109.5</v>
      </c>
      <c r="X237" s="1135" t="s">
        <v>2844</v>
      </c>
      <c r="Y237" s="1135"/>
      <c r="Z237" s="1135">
        <v>2</v>
      </c>
      <c r="AA237" s="1107">
        <f>ROUND(IF(H237&lt;&gt;"",VLOOKUP(SUM(I237+J237),'CONCEPTOS Y PARAMETROS'!F:G,2,0)*V237,0),2)</f>
        <v>6.57</v>
      </c>
      <c r="AB237" s="1107">
        <f>IF(S237&lt;&gt;"",IF(M237="",'CONCEPTOS Y PARAMETROS'!$C$4,0),0)</f>
        <v>130</v>
      </c>
      <c r="AC237" s="1107">
        <f>IF(S237&lt;&gt;"",IF(M237="",'CONCEPTOS Y PARAMETROS'!$C$7*Z237,0),0)</f>
        <v>25</v>
      </c>
      <c r="AD237" s="1107">
        <f>IFERROR(ROUND(VLOOKUP($X237,'CONCEPTOS Y PARAMETROS'!H:I,2,0)*($V237+AA237+AB237+AC237),2),0)</f>
        <v>76.11</v>
      </c>
      <c r="AE237" s="1107">
        <f t="shared" si="369"/>
        <v>237.68</v>
      </c>
      <c r="AF237" s="1107">
        <f t="shared" si="395"/>
        <v>3.29</v>
      </c>
      <c r="AG237" s="1107">
        <f t="shared" si="396"/>
        <v>3.28</v>
      </c>
      <c r="AH237" s="1107">
        <f t="shared" si="397"/>
        <v>65</v>
      </c>
      <c r="AI237" s="1107">
        <f t="shared" si="398"/>
        <v>65</v>
      </c>
      <c r="AJ237" s="1107">
        <f t="shared" si="399"/>
        <v>38.06</v>
      </c>
      <c r="AK237" s="1107">
        <f t="shared" si="400"/>
        <v>38.049999999999997</v>
      </c>
      <c r="AL237" s="1108">
        <f t="shared" si="401"/>
        <v>131.35</v>
      </c>
      <c r="AM237" s="1108">
        <f t="shared" si="402"/>
        <v>106.33</v>
      </c>
      <c r="AN237" s="990">
        <v>2</v>
      </c>
      <c r="AO237" s="1147">
        <f>'CONCEPTOS Y PARAMETROS'!$C$18*AN237</f>
        <v>25</v>
      </c>
      <c r="AP237" s="990">
        <v>0</v>
      </c>
      <c r="AQ237" s="1147">
        <f>'CONCEPTOS Y PARAMETROS'!$C$21*AP237</f>
        <v>0</v>
      </c>
      <c r="AR237" s="1318">
        <v>0</v>
      </c>
      <c r="AS237" s="1318">
        <v>0</v>
      </c>
      <c r="AT237" s="1318">
        <f t="shared" si="609"/>
        <v>25</v>
      </c>
      <c r="AU237" s="1108">
        <f t="shared" si="606"/>
        <v>456.68</v>
      </c>
      <c r="AV237" s="1133">
        <v>0</v>
      </c>
      <c r="AW237" s="1108">
        <f t="shared" si="599"/>
        <v>0</v>
      </c>
      <c r="AX237" s="1107">
        <f>IF(T237&lt;&gt;"0",(ROUND(IF(A237="EMPLEADO",eval_formula('CONCEPTOS Y PARAMETROS'!$C$8,NOMINA!V237,NOMINA!$AU237,NOMINA!I237+NOMINA!J237),eval_formula('CONCEPTOS Y PARAMETROS'!$D$8,NOMINA!V237,NOMINA!$AU237,NOMINA!I237+NOMINA!J237)),2))*IF(H237&lt;&gt;"",IF(MONTH(H237)=$BR$8,IF(YEAR(H237)&lt;$BT$7,1,0),0)))</f>
        <v>0</v>
      </c>
      <c r="AY237" s="1108">
        <v>180</v>
      </c>
      <c r="AZ237" s="1107">
        <f>IFERROR(VLOOKUP(AY237,'CONCEPTOS Y PARAMETROS'!Y:Z,2,0),0)</f>
        <v>150</v>
      </c>
      <c r="BA237" s="1107">
        <f t="shared" si="403"/>
        <v>3425.1</v>
      </c>
      <c r="BB237" s="1107">
        <f t="shared" si="595"/>
        <v>0</v>
      </c>
      <c r="BC237" s="990">
        <v>0</v>
      </c>
      <c r="BD237" s="1107" t="str">
        <f t="shared" si="607"/>
        <v>0</v>
      </c>
      <c r="BE237" s="990">
        <v>0</v>
      </c>
      <c r="BF237" s="1107">
        <f t="shared" si="561"/>
        <v>0</v>
      </c>
      <c r="BG237" s="1108">
        <v>320</v>
      </c>
      <c r="BH237" s="1108">
        <v>0</v>
      </c>
      <c r="BI237" s="1132">
        <v>0</v>
      </c>
      <c r="BJ237" s="1108">
        <v>12.5</v>
      </c>
      <c r="BK237" s="1108">
        <v>0</v>
      </c>
      <c r="BL237" s="1107">
        <f t="shared" si="437"/>
        <v>21.08</v>
      </c>
      <c r="BM237" s="1107">
        <f t="shared" si="438"/>
        <v>2.63</v>
      </c>
      <c r="BN237" s="1107">
        <f t="shared" ref="BN237:BN302" si="626">ROUND(IF(M237="",(AU237*1%),0),2)</f>
        <v>4.57</v>
      </c>
      <c r="BO237" s="1107">
        <v>0</v>
      </c>
      <c r="BP237" s="1107">
        <v>0</v>
      </c>
      <c r="BQ237" s="1320">
        <f t="shared" si="366"/>
        <v>28.28</v>
      </c>
      <c r="BR237" s="1107">
        <f t="shared" si="439"/>
        <v>47.42</v>
      </c>
      <c r="BS237" s="1107">
        <f t="shared" si="440"/>
        <v>10.54</v>
      </c>
      <c r="BT237" s="1107">
        <f t="shared" ref="BT237:BT302" si="627">ROUND(IF(M237="",(BN237*2),0),2)</f>
        <v>9.14</v>
      </c>
      <c r="BU237" s="1107">
        <v>0</v>
      </c>
      <c r="BV237" s="1108">
        <f t="shared" si="367"/>
        <v>67.099999999999994</v>
      </c>
      <c r="BW237" s="1112">
        <f t="shared" si="368"/>
        <v>95.38</v>
      </c>
      <c r="BX237" s="1112">
        <f t="shared" si="597"/>
        <v>856.28</v>
      </c>
      <c r="BY237" s="1108">
        <v>0</v>
      </c>
      <c r="BZ237" s="1108">
        <f t="shared" si="598"/>
        <v>856.28</v>
      </c>
      <c r="CA237" s="1321">
        <f>'CONCEPTOS Y PARAMETROS'!$A$102</f>
        <v>6255</v>
      </c>
      <c r="CB237" s="1112">
        <f t="shared" si="611"/>
        <v>212.57</v>
      </c>
      <c r="CC237" s="1113">
        <f t="shared" si="612"/>
        <v>573.33000000000004</v>
      </c>
      <c r="CD237" s="512"/>
      <c r="CE237" s="512"/>
      <c r="CF237" s="470">
        <f t="shared" si="613"/>
        <v>855.82999999999993</v>
      </c>
      <c r="CG237" s="509">
        <f t="shared" ref="CG237:CG302" si="628">W237+AL237-BQ237</f>
        <v>212.57</v>
      </c>
      <c r="CH237" s="1603">
        <f t="shared" si="614"/>
        <v>37.5</v>
      </c>
      <c r="CI237" s="1491">
        <f t="shared" si="608"/>
        <v>320</v>
      </c>
      <c r="CJ237" s="1502">
        <v>1</v>
      </c>
      <c r="CK237" s="509">
        <f t="shared" si="615"/>
        <v>535.82999999999993</v>
      </c>
      <c r="CL237" s="1689">
        <f t="shared" si="616"/>
        <v>535.83000000000004</v>
      </c>
      <c r="CM237" s="1689">
        <f t="shared" si="610"/>
        <v>0</v>
      </c>
      <c r="CN237" s="510">
        <f t="shared" si="617"/>
        <v>0</v>
      </c>
      <c r="CO237" s="511">
        <v>0</v>
      </c>
      <c r="CP237" s="510">
        <f t="shared" si="618"/>
        <v>0</v>
      </c>
      <c r="CQ237" s="510">
        <f t="shared" si="619"/>
        <v>0</v>
      </c>
      <c r="CR237" s="510">
        <f t="shared" si="620"/>
        <v>1071.6599999999999</v>
      </c>
      <c r="CS237" s="510">
        <f t="shared" si="621"/>
        <v>95.38</v>
      </c>
      <c r="CT237" s="510">
        <f t="shared" si="622"/>
        <v>6255</v>
      </c>
      <c r="CU237" s="512"/>
      <c r="CV237" s="512"/>
      <c r="CW237" s="512"/>
      <c r="CX237" s="512"/>
      <c r="CY237" s="1149" t="s">
        <v>6963</v>
      </c>
      <c r="CZ237" s="1149" t="s">
        <v>6964</v>
      </c>
      <c r="DA237" s="1152"/>
      <c r="DB237" s="1642" t="s">
        <v>6204</v>
      </c>
      <c r="DC237" s="1642"/>
      <c r="DD237" s="1642" t="s">
        <v>6135</v>
      </c>
      <c r="DE237" s="1642" t="s">
        <v>6171</v>
      </c>
      <c r="DF237" s="1642" t="s">
        <v>6531</v>
      </c>
      <c r="DG237" s="1152"/>
      <c r="DH237" s="512"/>
      <c r="DI237" s="512"/>
      <c r="DJ237" s="512"/>
      <c r="DK237" s="512"/>
      <c r="DL237" s="512"/>
      <c r="DN237" s="476" t="str">
        <f>VLOOKUP(X237,Hoja1!$A$4:$B$10,2,0)</f>
        <v>TÉCNICO SUPERIOR UNIVERSITARIO</v>
      </c>
      <c r="DO237" s="476" t="str">
        <f>VLOOKUP(S237,Hoja1!$D$4:$F$77,3,0)</f>
        <v>TII - II</v>
      </c>
      <c r="DP237" s="1594" t="str">
        <f t="shared" si="623"/>
        <v>0</v>
      </c>
      <c r="DQ237" s="1484">
        <f>IF(T237&lt;&gt;"0",(ROUND(IF(A237="EMPLEADO",eval_formula('CONCEPTOS Y PARAMETROS'!$C$8,NOMINA!V237,AU237+BF237,NOMINA!I237+NOMINA!J237),eval_formula('CONCEPTOS Y PARAMETROS'!$D$8,NOMINA!V237,AU237+BF237,NOMINA!I237+NOMINA!J237)),2))*IF(H237&lt;&gt;"",IF(MONTH(H237)=$BR$8,IF(YEAR(H237)&lt;$BT$7,1,0),0)))</f>
        <v>0</v>
      </c>
      <c r="DR237" s="1799" t="str">
        <f t="shared" si="624"/>
        <v>F</v>
      </c>
      <c r="DS237" s="1799"/>
    </row>
    <row r="238" spans="1:123" s="471" customFormat="1" ht="21.95" customHeight="1" x14ac:dyDescent="0.25">
      <c r="A238" s="508" t="s">
        <v>2846</v>
      </c>
      <c r="B238" s="1314">
        <f t="shared" ca="1" si="471"/>
        <v>195</v>
      </c>
      <c r="C238" s="1148">
        <v>19610534</v>
      </c>
      <c r="D238" s="1149" t="s">
        <v>4876</v>
      </c>
      <c r="E238" s="1135" t="s">
        <v>4622</v>
      </c>
      <c r="F238" s="1150">
        <v>32912</v>
      </c>
      <c r="G238" s="1135" t="s">
        <v>4621</v>
      </c>
      <c r="H238" s="1150">
        <v>44713</v>
      </c>
      <c r="I238" s="1140">
        <f t="shared" si="625"/>
        <v>3</v>
      </c>
      <c r="J238" s="1132">
        <v>0</v>
      </c>
      <c r="K238" s="1140">
        <f t="shared" si="600"/>
        <v>3</v>
      </c>
      <c r="L238" s="1145" t="s">
        <v>5529</v>
      </c>
      <c r="M238" s="1132"/>
      <c r="N238" s="1132"/>
      <c r="O238" s="1002" t="s">
        <v>5218</v>
      </c>
      <c r="P238" s="1132" t="s">
        <v>5418</v>
      </c>
      <c r="Q238" s="1315" t="str">
        <f>IFERROR(VLOOKUP(O238,CARGOS!A:E,2,0),"")</f>
        <v>79511</v>
      </c>
      <c r="R238" s="1327" t="s">
        <v>5218</v>
      </c>
      <c r="S238" s="1146" t="s">
        <v>5468</v>
      </c>
      <c r="T238" s="1107">
        <f>IFERROR(VLOOKUP(S238,'TAB EMP'!A:B,2,0),0)</f>
        <v>219</v>
      </c>
      <c r="U238" s="1108">
        <v>0</v>
      </c>
      <c r="V238" s="1107">
        <f t="shared" si="393"/>
        <v>219</v>
      </c>
      <c r="W238" s="1108">
        <f t="shared" si="394"/>
        <v>109.5</v>
      </c>
      <c r="X238" s="1135" t="s">
        <v>2844</v>
      </c>
      <c r="Y238" s="1135"/>
      <c r="Z238" s="1135">
        <v>1</v>
      </c>
      <c r="AA238" s="1107">
        <f>ROUND(IF(H238&lt;&gt;"",VLOOKUP(SUM(I238+J238),'CONCEPTOS Y PARAMETROS'!F:G,2,0)*V238,0),2)</f>
        <v>6.57</v>
      </c>
      <c r="AB238" s="1107">
        <f>IF(S238&lt;&gt;"",IF(M238="",'CONCEPTOS Y PARAMETROS'!$C$4,0),0)</f>
        <v>130</v>
      </c>
      <c r="AC238" s="1107">
        <f>IF(S238&lt;&gt;"",IF(M238="",'CONCEPTOS Y PARAMETROS'!$C$7*Z238,0),0)</f>
        <v>12.5</v>
      </c>
      <c r="AD238" s="1107">
        <f>IFERROR(ROUND(VLOOKUP($X238,'CONCEPTOS Y PARAMETROS'!H:I,2,0)*($V238+AA238+AB238+AC238),2),0)</f>
        <v>73.61</v>
      </c>
      <c r="AE238" s="1107">
        <f t="shared" si="369"/>
        <v>222.68</v>
      </c>
      <c r="AF238" s="1107">
        <f t="shared" si="395"/>
        <v>3.29</v>
      </c>
      <c r="AG238" s="1107">
        <f t="shared" si="396"/>
        <v>3.28</v>
      </c>
      <c r="AH238" s="1107">
        <f t="shared" si="397"/>
        <v>65</v>
      </c>
      <c r="AI238" s="1107">
        <f t="shared" si="398"/>
        <v>65</v>
      </c>
      <c r="AJ238" s="1107">
        <f t="shared" si="399"/>
        <v>36.81</v>
      </c>
      <c r="AK238" s="1107">
        <f t="shared" si="400"/>
        <v>36.799999999999997</v>
      </c>
      <c r="AL238" s="1108">
        <f t="shared" si="401"/>
        <v>117.6</v>
      </c>
      <c r="AM238" s="1108">
        <f t="shared" si="402"/>
        <v>105.08</v>
      </c>
      <c r="AN238" s="990">
        <v>0</v>
      </c>
      <c r="AO238" s="1147">
        <f>'CONCEPTOS Y PARAMETROS'!$C$18*AN238</f>
        <v>0</v>
      </c>
      <c r="AP238" s="990">
        <v>0</v>
      </c>
      <c r="AQ238" s="1147">
        <f>'CONCEPTOS Y PARAMETROS'!$C$21*AP238</f>
        <v>0</v>
      </c>
      <c r="AR238" s="1318">
        <v>0</v>
      </c>
      <c r="AS238" s="1318">
        <v>0</v>
      </c>
      <c r="AT238" s="1318">
        <f t="shared" si="609"/>
        <v>0</v>
      </c>
      <c r="AU238" s="1108">
        <f t="shared" si="606"/>
        <v>441.68</v>
      </c>
      <c r="AV238" s="1133">
        <v>0</v>
      </c>
      <c r="AW238" s="1108">
        <f t="shared" si="599"/>
        <v>0</v>
      </c>
      <c r="AX238" s="1107">
        <f>IF(T238&lt;&gt;"0",(ROUND(IF(A238="EMPLEADO",eval_formula('CONCEPTOS Y PARAMETROS'!$C$8,NOMINA!V238,NOMINA!$AU238,NOMINA!I238+NOMINA!J238),eval_formula('CONCEPTOS Y PARAMETROS'!$D$8,NOMINA!V238,NOMINA!$AU238,NOMINA!I238+NOMINA!J238)),2))*IF(H238&lt;&gt;"",IF(MONTH(H238)=$BR$8,IF(YEAR(H238)&lt;$BT$7,1,0),0)))</f>
        <v>0</v>
      </c>
      <c r="AY238" s="1108">
        <v>180</v>
      </c>
      <c r="AZ238" s="1107">
        <f>IFERROR(VLOOKUP(AY238,'CONCEPTOS Y PARAMETROS'!Y:Z,2,0),0)</f>
        <v>150</v>
      </c>
      <c r="BA238" s="1107">
        <f t="shared" si="403"/>
        <v>3312.6</v>
      </c>
      <c r="BB238" s="1107">
        <f t="shared" si="595"/>
        <v>0</v>
      </c>
      <c r="BC238" s="990">
        <v>0</v>
      </c>
      <c r="BD238" s="1107" t="str">
        <f t="shared" si="607"/>
        <v>0</v>
      </c>
      <c r="BE238" s="990">
        <v>0</v>
      </c>
      <c r="BF238" s="1107">
        <f t="shared" si="561"/>
        <v>0</v>
      </c>
      <c r="BG238" s="1108">
        <v>320</v>
      </c>
      <c r="BH238" s="1108">
        <v>0</v>
      </c>
      <c r="BI238" s="1132">
        <v>0</v>
      </c>
      <c r="BJ238" s="1108">
        <v>12.5</v>
      </c>
      <c r="BK238" s="1108">
        <v>0</v>
      </c>
      <c r="BL238" s="1107">
        <f t="shared" si="437"/>
        <v>20.39</v>
      </c>
      <c r="BM238" s="1107">
        <f t="shared" si="438"/>
        <v>2.5499999999999998</v>
      </c>
      <c r="BN238" s="1107">
        <f t="shared" si="626"/>
        <v>4.42</v>
      </c>
      <c r="BO238" s="1107">
        <v>0</v>
      </c>
      <c r="BP238" s="1107">
        <v>0</v>
      </c>
      <c r="BQ238" s="1320">
        <f t="shared" si="366"/>
        <v>27.36</v>
      </c>
      <c r="BR238" s="1107">
        <f t="shared" si="439"/>
        <v>45.87</v>
      </c>
      <c r="BS238" s="1107">
        <f t="shared" si="440"/>
        <v>10.19</v>
      </c>
      <c r="BT238" s="1107">
        <f t="shared" si="627"/>
        <v>8.84</v>
      </c>
      <c r="BU238" s="1107">
        <v>0</v>
      </c>
      <c r="BV238" s="1108">
        <f t="shared" si="367"/>
        <v>64.900000000000006</v>
      </c>
      <c r="BW238" s="1112">
        <f t="shared" si="368"/>
        <v>92.26</v>
      </c>
      <c r="BX238" s="1112">
        <f t="shared" ref="BX238:BX244" si="629">ROUND(BA238/4,2)</f>
        <v>828.15</v>
      </c>
      <c r="BY238" s="1108">
        <v>0</v>
      </c>
      <c r="BZ238" s="1108">
        <f t="shared" si="598"/>
        <v>828.15</v>
      </c>
      <c r="CA238" s="1321">
        <f>'CONCEPTOS Y PARAMETROS'!$A$102</f>
        <v>6255</v>
      </c>
      <c r="CB238" s="1112">
        <f t="shared" si="611"/>
        <v>199.74</v>
      </c>
      <c r="CC238" s="1113">
        <f t="shared" si="612"/>
        <v>547.08000000000004</v>
      </c>
      <c r="CD238" s="512"/>
      <c r="CE238" s="512"/>
      <c r="CF238" s="470">
        <f t="shared" si="613"/>
        <v>854.57999999999993</v>
      </c>
      <c r="CG238" s="495">
        <f t="shared" si="628"/>
        <v>199.74</v>
      </c>
      <c r="CH238" s="498">
        <f t="shared" si="614"/>
        <v>12.5</v>
      </c>
      <c r="CI238" s="1490">
        <f t="shared" si="608"/>
        <v>320</v>
      </c>
      <c r="CJ238" s="1500">
        <v>1</v>
      </c>
      <c r="CK238" s="495">
        <f t="shared" si="615"/>
        <v>534.57999999999993</v>
      </c>
      <c r="CL238" s="1689">
        <f t="shared" si="616"/>
        <v>534.58000000000004</v>
      </c>
      <c r="CM238" s="1689">
        <f t="shared" si="610"/>
        <v>0</v>
      </c>
      <c r="CN238" s="496">
        <f t="shared" si="617"/>
        <v>0</v>
      </c>
      <c r="CO238" s="497">
        <v>0</v>
      </c>
      <c r="CP238" s="496">
        <f t="shared" si="618"/>
        <v>0</v>
      </c>
      <c r="CQ238" s="496">
        <f t="shared" si="619"/>
        <v>0</v>
      </c>
      <c r="CR238" s="496">
        <f t="shared" si="620"/>
        <v>1069.1599999999999</v>
      </c>
      <c r="CS238" s="496">
        <f t="shared" si="621"/>
        <v>92.26</v>
      </c>
      <c r="CT238" s="496">
        <f t="shared" si="622"/>
        <v>6255</v>
      </c>
      <c r="CU238" s="470"/>
      <c r="CV238" s="470"/>
      <c r="CW238" s="470"/>
      <c r="CX238" s="470"/>
      <c r="CY238" s="1149" t="s">
        <v>6965</v>
      </c>
      <c r="CZ238" s="1149" t="s">
        <v>6966</v>
      </c>
      <c r="DA238" s="480"/>
      <c r="DB238" s="1642" t="s">
        <v>6318</v>
      </c>
      <c r="DC238" s="1642"/>
      <c r="DD238" s="1642" t="s">
        <v>6174</v>
      </c>
      <c r="DE238" s="1642" t="s">
        <v>6245</v>
      </c>
      <c r="DF238" s="1642" t="s">
        <v>7529</v>
      </c>
      <c r="DG238" s="1152"/>
      <c r="DH238" s="512"/>
      <c r="DI238" s="512"/>
      <c r="DJ238" s="470"/>
      <c r="DK238" s="470"/>
      <c r="DL238" s="470"/>
      <c r="DN238" s="471" t="str">
        <f>VLOOKUP(X238,Hoja1!$A$4:$B$10,2,0)</f>
        <v>TÉCNICO SUPERIOR UNIVERSITARIO</v>
      </c>
      <c r="DO238" s="471" t="str">
        <f>VLOOKUP(S238,Hoja1!$D$4:$F$77,3,0)</f>
        <v>TII - II</v>
      </c>
      <c r="DP238" s="1156" t="str">
        <f t="shared" si="623"/>
        <v>0</v>
      </c>
      <c r="DQ238" s="1484">
        <f>IF(T238&lt;&gt;"0",(ROUND(IF(A238="EMPLEADO",eval_formula('CONCEPTOS Y PARAMETROS'!$C$8,NOMINA!V238,AU238+BF238,NOMINA!I238+NOMINA!J238),eval_formula('CONCEPTOS Y PARAMETROS'!$D$8,NOMINA!V238,AU238+BF238,NOMINA!I238+NOMINA!J238)),2))*IF(H238&lt;&gt;"",IF(MONTH(H238)=$BR$8,IF(YEAR(H238)&lt;$BT$7,1,0),0)))</f>
        <v>0</v>
      </c>
      <c r="DR238" s="1801" t="str">
        <f t="shared" si="624"/>
        <v>M</v>
      </c>
      <c r="DS238" s="1801"/>
    </row>
    <row r="239" spans="1:123" s="471" customFormat="1" ht="21.95" customHeight="1" x14ac:dyDescent="0.25">
      <c r="A239" s="508" t="s">
        <v>2846</v>
      </c>
      <c r="B239" s="1314">
        <f t="shared" ca="1" si="471"/>
        <v>196</v>
      </c>
      <c r="C239" s="1148">
        <v>19610565</v>
      </c>
      <c r="D239" s="1149" t="s">
        <v>4877</v>
      </c>
      <c r="E239" s="1135" t="s">
        <v>4622</v>
      </c>
      <c r="F239" s="1150">
        <v>33411</v>
      </c>
      <c r="G239" s="1135" t="s">
        <v>4620</v>
      </c>
      <c r="H239" s="1150">
        <v>44713</v>
      </c>
      <c r="I239" s="1140">
        <f t="shared" si="625"/>
        <v>3</v>
      </c>
      <c r="J239" s="1132">
        <v>0</v>
      </c>
      <c r="K239" s="1140">
        <f t="shared" si="600"/>
        <v>3</v>
      </c>
      <c r="L239" s="1145" t="s">
        <v>5529</v>
      </c>
      <c r="M239" s="1132"/>
      <c r="N239" s="1132"/>
      <c r="O239" s="1002" t="s">
        <v>5218</v>
      </c>
      <c r="P239" s="1132" t="s">
        <v>5419</v>
      </c>
      <c r="Q239" s="1315" t="str">
        <f>IFERROR(VLOOKUP(O239,CARGOS!A:E,2,0),"")</f>
        <v>79511</v>
      </c>
      <c r="R239" s="1327" t="s">
        <v>5218</v>
      </c>
      <c r="S239" s="1146" t="s">
        <v>5468</v>
      </c>
      <c r="T239" s="1107">
        <f>IFERROR(VLOOKUP(S239,'TAB EMP'!A:B,2,0),0)</f>
        <v>219</v>
      </c>
      <c r="U239" s="1108">
        <v>0</v>
      </c>
      <c r="V239" s="1107">
        <f t="shared" si="393"/>
        <v>219</v>
      </c>
      <c r="W239" s="1108">
        <f t="shared" si="394"/>
        <v>109.5</v>
      </c>
      <c r="X239" s="1135" t="s">
        <v>2885</v>
      </c>
      <c r="Y239" s="1135"/>
      <c r="Z239" s="1135">
        <v>2</v>
      </c>
      <c r="AA239" s="1107">
        <f>ROUND(IF(H239&lt;&gt;"",VLOOKUP(SUM(I239+J239),'CONCEPTOS Y PARAMETROS'!F:G,2,0)*V239,0),2)</f>
        <v>6.57</v>
      </c>
      <c r="AB239" s="1107">
        <f>IF(S239&lt;&gt;"",IF(M239="",'CONCEPTOS Y PARAMETROS'!$C$4,0),0)</f>
        <v>130</v>
      </c>
      <c r="AC239" s="1107">
        <f>IF(S239&lt;&gt;"",IF(M239="",'CONCEPTOS Y PARAMETROS'!$C$7*Z239,0),0)</f>
        <v>25</v>
      </c>
      <c r="AD239" s="1107">
        <f>IFERROR(ROUND(VLOOKUP($X239,'CONCEPTOS Y PARAMETROS'!H:I,2,0)*($V239+AA239+AB239+AC239),2),0)</f>
        <v>95.14</v>
      </c>
      <c r="AE239" s="1107">
        <f t="shared" si="369"/>
        <v>256.70999999999998</v>
      </c>
      <c r="AF239" s="1107">
        <f t="shared" si="395"/>
        <v>3.29</v>
      </c>
      <c r="AG239" s="1107">
        <f t="shared" si="396"/>
        <v>3.28</v>
      </c>
      <c r="AH239" s="1107">
        <f t="shared" si="397"/>
        <v>65</v>
      </c>
      <c r="AI239" s="1107">
        <f t="shared" si="398"/>
        <v>65</v>
      </c>
      <c r="AJ239" s="1107">
        <f t="shared" si="399"/>
        <v>47.57</v>
      </c>
      <c r="AK239" s="1107">
        <f t="shared" si="400"/>
        <v>47.57</v>
      </c>
      <c r="AL239" s="1108">
        <f t="shared" si="401"/>
        <v>140.86000000000001</v>
      </c>
      <c r="AM239" s="1108">
        <f t="shared" si="402"/>
        <v>115.85</v>
      </c>
      <c r="AN239" s="1453">
        <v>1</v>
      </c>
      <c r="AO239" s="1147">
        <f>'CONCEPTOS Y PARAMETROS'!$C$18*AN239</f>
        <v>12.5</v>
      </c>
      <c r="AP239" s="990">
        <v>0</v>
      </c>
      <c r="AQ239" s="1147">
        <f>'CONCEPTOS Y PARAMETROS'!$C$21*AP239</f>
        <v>0</v>
      </c>
      <c r="AR239" s="1318">
        <v>0</v>
      </c>
      <c r="AS239" s="1318">
        <v>0</v>
      </c>
      <c r="AT239" s="1318">
        <f t="shared" si="609"/>
        <v>12.5</v>
      </c>
      <c r="AU239" s="1108">
        <f t="shared" si="606"/>
        <v>475.71</v>
      </c>
      <c r="AV239" s="1133">
        <v>0</v>
      </c>
      <c r="AW239" s="1108">
        <f t="shared" si="599"/>
        <v>0</v>
      </c>
      <c r="AX239" s="1107">
        <f>IF(T239&lt;&gt;"0",(ROUND(IF(A239="EMPLEADO",eval_formula('CONCEPTOS Y PARAMETROS'!$C$8,NOMINA!V239,NOMINA!$AU239,NOMINA!I239+NOMINA!J239),eval_formula('CONCEPTOS Y PARAMETROS'!$D$8,NOMINA!V239,NOMINA!$AU239,NOMINA!I239+NOMINA!J239)),2))*IF(H239&lt;&gt;"",IF(MONTH(H239)=$BR$8,IF(YEAR(H239)&lt;$BT$7,1,0),0)))</f>
        <v>0</v>
      </c>
      <c r="AY239" s="1108">
        <v>180</v>
      </c>
      <c r="AZ239" s="1107">
        <f>IFERROR(VLOOKUP(AY239,'CONCEPTOS Y PARAMETROS'!Y:Z,2,0),0)</f>
        <v>150</v>
      </c>
      <c r="BA239" s="1107">
        <f t="shared" si="403"/>
        <v>3567.83</v>
      </c>
      <c r="BB239" s="1107">
        <f t="shared" si="595"/>
        <v>0</v>
      </c>
      <c r="BC239" s="990">
        <v>0</v>
      </c>
      <c r="BD239" s="1107" t="str">
        <f t="shared" si="607"/>
        <v>0</v>
      </c>
      <c r="BE239" s="990">
        <v>0</v>
      </c>
      <c r="BF239" s="1107">
        <f t="shared" si="561"/>
        <v>0</v>
      </c>
      <c r="BG239" s="1108">
        <v>320</v>
      </c>
      <c r="BH239" s="1108">
        <v>0</v>
      </c>
      <c r="BI239" s="1132">
        <v>0</v>
      </c>
      <c r="BJ239" s="1108">
        <v>12.5</v>
      </c>
      <c r="BK239" s="1108">
        <v>0</v>
      </c>
      <c r="BL239" s="1107">
        <f t="shared" si="437"/>
        <v>21.96</v>
      </c>
      <c r="BM239" s="1107">
        <f t="shared" si="438"/>
        <v>2.74</v>
      </c>
      <c r="BN239" s="1107">
        <f t="shared" si="626"/>
        <v>4.76</v>
      </c>
      <c r="BO239" s="1107">
        <v>0</v>
      </c>
      <c r="BP239" s="1107">
        <v>0</v>
      </c>
      <c r="BQ239" s="1320">
        <f t="shared" ref="BQ239:BQ300" si="630">ROUND(SUM(BL239:BP239),2)</f>
        <v>29.46</v>
      </c>
      <c r="BR239" s="1107">
        <f t="shared" si="439"/>
        <v>49.4</v>
      </c>
      <c r="BS239" s="1107">
        <f t="shared" si="440"/>
        <v>10.98</v>
      </c>
      <c r="BT239" s="1107">
        <f t="shared" si="627"/>
        <v>9.52</v>
      </c>
      <c r="BU239" s="1107">
        <v>0</v>
      </c>
      <c r="BV239" s="1108">
        <f t="shared" ref="BV239:BV300" si="631">ROUND(SUM(BR239:BT239),2)</f>
        <v>69.900000000000006</v>
      </c>
      <c r="BW239" s="1112">
        <f t="shared" ref="BW239:BW300" si="632">BQ239+BV239</f>
        <v>99.360000000000014</v>
      </c>
      <c r="BX239" s="1112">
        <f t="shared" si="629"/>
        <v>891.96</v>
      </c>
      <c r="BY239" s="1108">
        <v>0</v>
      </c>
      <c r="BZ239" s="1108">
        <f t="shared" si="598"/>
        <v>891.96</v>
      </c>
      <c r="CA239" s="1321">
        <f>'CONCEPTOS Y PARAMETROS'!$A$102</f>
        <v>6255</v>
      </c>
      <c r="CB239" s="1112">
        <f t="shared" si="611"/>
        <v>220.9</v>
      </c>
      <c r="CC239" s="1113">
        <f t="shared" si="612"/>
        <v>570.35</v>
      </c>
      <c r="CD239" s="512"/>
      <c r="CE239" s="512"/>
      <c r="CF239" s="470">
        <f t="shared" si="613"/>
        <v>865.35</v>
      </c>
      <c r="CG239" s="495">
        <f t="shared" si="628"/>
        <v>220.9</v>
      </c>
      <c r="CH239" s="498">
        <f t="shared" si="614"/>
        <v>25</v>
      </c>
      <c r="CI239" s="1490">
        <f t="shared" si="608"/>
        <v>320</v>
      </c>
      <c r="CJ239" s="1500">
        <v>1</v>
      </c>
      <c r="CK239" s="495">
        <f t="shared" si="615"/>
        <v>545.35</v>
      </c>
      <c r="CL239" s="1689">
        <f t="shared" si="616"/>
        <v>545.35</v>
      </c>
      <c r="CM239" s="1689">
        <f t="shared" si="610"/>
        <v>0</v>
      </c>
      <c r="CN239" s="496">
        <f t="shared" si="617"/>
        <v>0</v>
      </c>
      <c r="CO239" s="497">
        <v>0</v>
      </c>
      <c r="CP239" s="496">
        <f t="shared" si="618"/>
        <v>0</v>
      </c>
      <c r="CQ239" s="496">
        <f t="shared" si="619"/>
        <v>0</v>
      </c>
      <c r="CR239" s="496">
        <f t="shared" si="620"/>
        <v>1090.7</v>
      </c>
      <c r="CS239" s="496">
        <f t="shared" si="621"/>
        <v>99.360000000000014</v>
      </c>
      <c r="CT239" s="496">
        <f t="shared" si="622"/>
        <v>6255</v>
      </c>
      <c r="CU239" s="470"/>
      <c r="CV239" s="470"/>
      <c r="CW239" s="470"/>
      <c r="CX239" s="470"/>
      <c r="CY239" s="1149" t="s">
        <v>6952</v>
      </c>
      <c r="CZ239" s="1149" t="s">
        <v>6967</v>
      </c>
      <c r="DA239" s="480"/>
      <c r="DB239" s="1642" t="s">
        <v>6235</v>
      </c>
      <c r="DC239" s="1642"/>
      <c r="DD239" s="1642" t="s">
        <v>6236</v>
      </c>
      <c r="DE239" s="1642" t="s">
        <v>6237</v>
      </c>
      <c r="DF239" s="1642" t="s">
        <v>6547</v>
      </c>
      <c r="DG239" s="1642"/>
      <c r="DH239" s="512"/>
      <c r="DI239" s="512"/>
      <c r="DJ239" s="470"/>
      <c r="DK239" s="470"/>
      <c r="DL239" s="470"/>
      <c r="DN239" s="471" t="str">
        <f>VLOOKUP(X239,Hoja1!$A$4:$B$10,2,0)</f>
        <v>PROFESIONAL</v>
      </c>
      <c r="DO239" s="471" t="str">
        <f>VLOOKUP(S239,Hoja1!$D$4:$F$77,3,0)</f>
        <v>TII - II</v>
      </c>
      <c r="DP239" s="1156" t="str">
        <f t="shared" si="623"/>
        <v>0</v>
      </c>
      <c r="DQ239" s="1484">
        <f>IF(T239&lt;&gt;"0",(ROUND(IF(A239="EMPLEADO",eval_formula('CONCEPTOS Y PARAMETROS'!$C$8,NOMINA!V239,AU239+BF239,NOMINA!I239+NOMINA!J239),eval_formula('CONCEPTOS Y PARAMETROS'!$D$8,NOMINA!V239,AU239+BF239,NOMINA!I239+NOMINA!J239)),2))*IF(H239&lt;&gt;"",IF(MONTH(H239)=$BR$8,IF(YEAR(H239)&lt;$BT$7,1,0),0)))</f>
        <v>0</v>
      </c>
      <c r="DR239" s="1801" t="str">
        <f t="shared" si="624"/>
        <v>F</v>
      </c>
      <c r="DS239" s="1801"/>
    </row>
    <row r="240" spans="1:123" s="476" customFormat="1" ht="21.95" customHeight="1" x14ac:dyDescent="0.25">
      <c r="A240" s="508" t="s">
        <v>2846</v>
      </c>
      <c r="B240" s="1314">
        <f t="shared" ca="1" si="471"/>
        <v>197</v>
      </c>
      <c r="C240" s="1148">
        <v>19643405</v>
      </c>
      <c r="D240" s="1149" t="s">
        <v>4879</v>
      </c>
      <c r="E240" s="1135" t="s">
        <v>4622</v>
      </c>
      <c r="F240" s="1150">
        <v>32515</v>
      </c>
      <c r="G240" s="1135" t="s">
        <v>4620</v>
      </c>
      <c r="H240" s="1150">
        <v>43221</v>
      </c>
      <c r="I240" s="1140">
        <f t="shared" si="625"/>
        <v>7</v>
      </c>
      <c r="J240" s="1132">
        <v>0</v>
      </c>
      <c r="K240" s="1140">
        <f t="shared" si="600"/>
        <v>7</v>
      </c>
      <c r="L240" s="1145" t="s">
        <v>5528</v>
      </c>
      <c r="M240" s="1132"/>
      <c r="N240" s="1132"/>
      <c r="O240" s="1002" t="s">
        <v>5217</v>
      </c>
      <c r="P240" s="1132" t="s">
        <v>5420</v>
      </c>
      <c r="Q240" s="1315" t="str">
        <f>IFERROR(VLOOKUP(O240,CARGOS!A:E,2,0),"")</f>
        <v>79512</v>
      </c>
      <c r="R240" s="1327" t="s">
        <v>5217</v>
      </c>
      <c r="S240" s="1146" t="s">
        <v>5478</v>
      </c>
      <c r="T240" s="1107">
        <f>IFERROR(VLOOKUP(S240,'TAB EMP'!A:B,2,0),0)</f>
        <v>221</v>
      </c>
      <c r="U240" s="1108">
        <v>0</v>
      </c>
      <c r="V240" s="1107">
        <f t="shared" si="393"/>
        <v>221</v>
      </c>
      <c r="W240" s="1108">
        <f t="shared" si="394"/>
        <v>110.5</v>
      </c>
      <c r="X240" s="1135" t="s">
        <v>2844</v>
      </c>
      <c r="Y240" s="1135"/>
      <c r="Z240" s="1135">
        <v>1</v>
      </c>
      <c r="AA240" s="1107">
        <f>ROUND(IF(H240&lt;&gt;"",VLOOKUP(SUM(I240+J240),'CONCEPTOS Y PARAMETROS'!F:G,2,0)*V240,0),2)</f>
        <v>16.350000000000001</v>
      </c>
      <c r="AB240" s="1107">
        <f>IF(S240&lt;&gt;"",IF(M240="",'CONCEPTOS Y PARAMETROS'!$C$4,0),0)</f>
        <v>130</v>
      </c>
      <c r="AC240" s="1107">
        <f>IF(S240&lt;&gt;"",IF(M240="",'CONCEPTOS Y PARAMETROS'!$C$7*Z240,0),0)</f>
        <v>12.5</v>
      </c>
      <c r="AD240" s="1107">
        <f>IFERROR(ROUND(VLOOKUP($X240,'CONCEPTOS Y PARAMETROS'!H:I,2,0)*($V240+AA240+AB240+AC240),2),0)</f>
        <v>75.97</v>
      </c>
      <c r="AE240" s="1107">
        <f t="shared" si="369"/>
        <v>234.82</v>
      </c>
      <c r="AF240" s="1107">
        <f t="shared" si="395"/>
        <v>8.18</v>
      </c>
      <c r="AG240" s="1107">
        <f t="shared" si="396"/>
        <v>8.17</v>
      </c>
      <c r="AH240" s="1107">
        <f t="shared" si="397"/>
        <v>65</v>
      </c>
      <c r="AI240" s="1107">
        <f t="shared" si="398"/>
        <v>65</v>
      </c>
      <c r="AJ240" s="1107">
        <f t="shared" si="399"/>
        <v>37.99</v>
      </c>
      <c r="AK240" s="1107">
        <f t="shared" si="400"/>
        <v>37.979999999999997</v>
      </c>
      <c r="AL240" s="1108">
        <f t="shared" si="401"/>
        <v>123.67</v>
      </c>
      <c r="AM240" s="1108">
        <f t="shared" si="402"/>
        <v>111.15</v>
      </c>
      <c r="AN240" s="990">
        <v>0</v>
      </c>
      <c r="AO240" s="1147">
        <f>'CONCEPTOS Y PARAMETROS'!$C$18*AN240</f>
        <v>0</v>
      </c>
      <c r="AP240" s="990">
        <v>0</v>
      </c>
      <c r="AQ240" s="1147">
        <f>'CONCEPTOS Y PARAMETROS'!$C$21*AP240</f>
        <v>0</v>
      </c>
      <c r="AR240" s="1318">
        <v>0</v>
      </c>
      <c r="AS240" s="1318">
        <v>0</v>
      </c>
      <c r="AT240" s="1318">
        <f t="shared" si="609"/>
        <v>0</v>
      </c>
      <c r="AU240" s="1108">
        <f t="shared" si="606"/>
        <v>592.56999999999994</v>
      </c>
      <c r="AV240" s="1133" t="s">
        <v>5080</v>
      </c>
      <c r="AW240" s="1108">
        <f t="shared" si="599"/>
        <v>136.75</v>
      </c>
      <c r="AX240" s="1107">
        <f>IF(T240&lt;&gt;"0",(ROUND(IF(A240="EMPLEADO",eval_formula('CONCEPTOS Y PARAMETROS'!$C$8,NOMINA!V240,NOMINA!$AU240,NOMINA!I240+NOMINA!J240),eval_formula('CONCEPTOS Y PARAMETROS'!$D$8,NOMINA!V240,NOMINA!$AU240,NOMINA!I240+NOMINA!J240)),2))*IF(H240&lt;&gt;"",IF(MONTH(H240)=$BR$8,IF(YEAR(H240)&lt;$BT$7,1,0),0)))</f>
        <v>0</v>
      </c>
      <c r="AY240" s="1108">
        <v>180</v>
      </c>
      <c r="AZ240" s="1107">
        <f>IFERROR(VLOOKUP(AY240,'CONCEPTOS Y PARAMETROS'!Y:Z,2,0),0)</f>
        <v>150</v>
      </c>
      <c r="BA240" s="1107">
        <f t="shared" si="403"/>
        <v>4444.28</v>
      </c>
      <c r="BB240" s="1107">
        <f t="shared" si="595"/>
        <v>0</v>
      </c>
      <c r="BC240" s="990">
        <v>0</v>
      </c>
      <c r="BD240" s="1107" t="str">
        <f t="shared" si="607"/>
        <v>0</v>
      </c>
      <c r="BE240" s="990">
        <v>3</v>
      </c>
      <c r="BF240" s="1107">
        <f t="shared" si="561"/>
        <v>88.89</v>
      </c>
      <c r="BG240" s="1108">
        <v>320</v>
      </c>
      <c r="BH240" s="1108">
        <v>0</v>
      </c>
      <c r="BI240" s="1132">
        <v>0</v>
      </c>
      <c r="BJ240" s="1108">
        <v>12.5</v>
      </c>
      <c r="BK240" s="1108">
        <v>0</v>
      </c>
      <c r="BL240" s="1107">
        <f t="shared" si="437"/>
        <v>27.35</v>
      </c>
      <c r="BM240" s="1107">
        <f t="shared" si="438"/>
        <v>3.42</v>
      </c>
      <c r="BN240" s="1107">
        <f t="shared" si="626"/>
        <v>5.93</v>
      </c>
      <c r="BO240" s="1107">
        <v>0</v>
      </c>
      <c r="BP240" s="1107">
        <v>0</v>
      </c>
      <c r="BQ240" s="1320">
        <f t="shared" si="630"/>
        <v>36.700000000000003</v>
      </c>
      <c r="BR240" s="1107">
        <f t="shared" si="439"/>
        <v>61.54</v>
      </c>
      <c r="BS240" s="1107">
        <f t="shared" si="440"/>
        <v>13.67</v>
      </c>
      <c r="BT240" s="1107">
        <f t="shared" si="627"/>
        <v>11.86</v>
      </c>
      <c r="BU240" s="1107">
        <v>0</v>
      </c>
      <c r="BV240" s="1108">
        <f t="shared" si="631"/>
        <v>87.07</v>
      </c>
      <c r="BW240" s="1112">
        <f t="shared" si="632"/>
        <v>123.77</v>
      </c>
      <c r="BX240" s="1112">
        <f t="shared" si="629"/>
        <v>1111.07</v>
      </c>
      <c r="BY240" s="1108">
        <v>0</v>
      </c>
      <c r="BZ240" s="1108">
        <f t="shared" si="598"/>
        <v>1111.07</v>
      </c>
      <c r="CA240" s="1321">
        <f>'CONCEPTOS Y PARAMETROS'!$A$102</f>
        <v>6255</v>
      </c>
      <c r="CB240" s="1112">
        <f t="shared" si="611"/>
        <v>197.47000000000003</v>
      </c>
      <c r="CC240" s="1113">
        <f t="shared" si="612"/>
        <v>779.79</v>
      </c>
      <c r="CD240" s="512"/>
      <c r="CE240" s="512"/>
      <c r="CF240" s="470">
        <f t="shared" si="613"/>
        <v>861.65</v>
      </c>
      <c r="CG240" s="495">
        <f t="shared" si="628"/>
        <v>197.47000000000003</v>
      </c>
      <c r="CH240" s="498">
        <f t="shared" si="614"/>
        <v>12.5</v>
      </c>
      <c r="CI240" s="1490">
        <f t="shared" si="608"/>
        <v>320</v>
      </c>
      <c r="CJ240" s="1500">
        <v>1</v>
      </c>
      <c r="CK240" s="495">
        <f t="shared" si="615"/>
        <v>541.65</v>
      </c>
      <c r="CL240" s="1689">
        <f t="shared" si="616"/>
        <v>541.65</v>
      </c>
      <c r="CM240" s="1689">
        <f t="shared" si="610"/>
        <v>0</v>
      </c>
      <c r="CN240" s="496">
        <f t="shared" si="617"/>
        <v>88.89</v>
      </c>
      <c r="CO240" s="497">
        <v>0</v>
      </c>
      <c r="CP240" s="496">
        <f t="shared" si="618"/>
        <v>136.75</v>
      </c>
      <c r="CQ240" s="496">
        <f t="shared" si="619"/>
        <v>0</v>
      </c>
      <c r="CR240" s="496">
        <f t="shared" si="620"/>
        <v>1308.94</v>
      </c>
      <c r="CS240" s="496">
        <f t="shared" si="621"/>
        <v>123.77</v>
      </c>
      <c r="CT240" s="496">
        <f t="shared" si="622"/>
        <v>6255</v>
      </c>
      <c r="CU240" s="470"/>
      <c r="CV240" s="470"/>
      <c r="CW240" s="470"/>
      <c r="CX240" s="470"/>
      <c r="CY240" s="1149" t="s">
        <v>6883</v>
      </c>
      <c r="CZ240" s="1149" t="s">
        <v>6968</v>
      </c>
      <c r="DA240" s="480"/>
      <c r="DB240" s="1642" t="s">
        <v>6282</v>
      </c>
      <c r="DC240" s="1642"/>
      <c r="DD240" s="1642" t="s">
        <v>6158</v>
      </c>
      <c r="DE240" s="1642" t="s">
        <v>6247</v>
      </c>
      <c r="DF240" s="1642" t="s">
        <v>7440</v>
      </c>
      <c r="DG240" s="1642" t="s">
        <v>7441</v>
      </c>
      <c r="DH240" s="512"/>
      <c r="DI240" s="512"/>
      <c r="DJ240" s="470"/>
      <c r="DK240" s="470"/>
      <c r="DL240" s="470"/>
      <c r="DM240" s="471"/>
      <c r="DN240" s="471" t="str">
        <f>VLOOKUP(X240,Hoja1!$A$4:$B$10,2,0)</f>
        <v>TÉCNICO SUPERIOR UNIVERSITARIO</v>
      </c>
      <c r="DO240" s="471" t="str">
        <f>VLOOKUP(S240,Hoja1!$D$4:$F$77,3,0)</f>
        <v>TII - III</v>
      </c>
      <c r="DP240" s="1156" t="str">
        <f t="shared" si="623"/>
        <v>SI</v>
      </c>
      <c r="DQ240" s="1484">
        <f>IF(T240&lt;&gt;"0",(ROUND(IF(A240="EMPLEADO",eval_formula('CONCEPTOS Y PARAMETROS'!$C$8,NOMINA!V240,AU240+BF240,NOMINA!I240+NOMINA!J240),eval_formula('CONCEPTOS Y PARAMETROS'!$D$8,NOMINA!V240,AU240+BF240,NOMINA!I240+NOMINA!J240)),2))*IF(H240&lt;&gt;"",IF(MONTH(H240)=$BR$8,IF(YEAR(H240)&lt;$BT$7,1,0),0)))</f>
        <v>0</v>
      </c>
      <c r="DR240" s="1801" t="str">
        <f t="shared" si="624"/>
        <v>F</v>
      </c>
      <c r="DS240" s="1801"/>
    </row>
    <row r="241" spans="1:123" s="476" customFormat="1" ht="21.95" customHeight="1" x14ac:dyDescent="0.25">
      <c r="A241" s="508" t="s">
        <v>2846</v>
      </c>
      <c r="B241" s="1314">
        <f t="shared" ca="1" si="471"/>
        <v>198</v>
      </c>
      <c r="C241" s="1148">
        <v>19643806</v>
      </c>
      <c r="D241" s="1149" t="s">
        <v>6670</v>
      </c>
      <c r="E241" s="1135" t="s">
        <v>4622</v>
      </c>
      <c r="F241" s="1150">
        <v>32234</v>
      </c>
      <c r="G241" s="1135" t="s">
        <v>4620</v>
      </c>
      <c r="H241" s="1150">
        <v>45505</v>
      </c>
      <c r="I241" s="1140">
        <f t="shared" si="625"/>
        <v>1</v>
      </c>
      <c r="J241" s="1132">
        <v>0</v>
      </c>
      <c r="K241" s="1140">
        <f t="shared" si="600"/>
        <v>1</v>
      </c>
      <c r="L241" s="1145" t="s">
        <v>5537</v>
      </c>
      <c r="M241" s="1132"/>
      <c r="N241" s="1132"/>
      <c r="O241" s="1002" t="s">
        <v>5215</v>
      </c>
      <c r="P241" s="1151" t="s">
        <v>6671</v>
      </c>
      <c r="Q241" s="1315" t="str">
        <f>IFERROR(VLOOKUP(O241,CARGOS!A:E,2,0),"")</f>
        <v>12113</v>
      </c>
      <c r="R241" s="1327" t="s">
        <v>5215</v>
      </c>
      <c r="S241" s="1146" t="s">
        <v>5462</v>
      </c>
      <c r="T241" s="1107">
        <f>IFERROR(VLOOKUP(S241,'TAB EMP'!A:B,2,0),0)</f>
        <v>192</v>
      </c>
      <c r="U241" s="1108">
        <v>0</v>
      </c>
      <c r="V241" s="1107">
        <f t="shared" ref="V241" si="633">T241-U241</f>
        <v>192</v>
      </c>
      <c r="W241" s="1108">
        <f t="shared" ref="W241" si="634">ROUND(V241/2,2)</f>
        <v>96</v>
      </c>
      <c r="X241" s="1135" t="s">
        <v>2885</v>
      </c>
      <c r="Y241" s="1135"/>
      <c r="Z241" s="1135">
        <v>2</v>
      </c>
      <c r="AA241" s="1107">
        <f>ROUND(IF(H241&lt;&gt;"",VLOOKUP(SUM(I241+J241),'CONCEPTOS Y PARAMETROS'!F:G,2,0)*V241,0),2)</f>
        <v>1.92</v>
      </c>
      <c r="AB241" s="1107">
        <f>IF(S241&lt;&gt;"",IF(M241="",'CONCEPTOS Y PARAMETROS'!$C$4,0),0)</f>
        <v>130</v>
      </c>
      <c r="AC241" s="1107">
        <f>IF(S241&lt;&gt;"",IF(M241="",'CONCEPTOS Y PARAMETROS'!$C$7*Z241,0),0)</f>
        <v>25</v>
      </c>
      <c r="AD241" s="1107">
        <f>IFERROR(ROUND(VLOOKUP($X241,'CONCEPTOS Y PARAMETROS'!H:I,2,0)*($V241+AA241+AB241+AC241),2),0)</f>
        <v>87.23</v>
      </c>
      <c r="AE241" s="1107">
        <f t="shared" ref="AE241" si="635">SUM(AA241:AD241)</f>
        <v>244.14999999999998</v>
      </c>
      <c r="AF241" s="1107">
        <f t="shared" ref="AF241" si="636">ROUND(AA241/2,2)</f>
        <v>0.96</v>
      </c>
      <c r="AG241" s="1107">
        <f t="shared" ref="AG241" si="637">ROUND(AA241-AF241,2)</f>
        <v>0.96</v>
      </c>
      <c r="AH241" s="1107">
        <f t="shared" ref="AH241" si="638">ROUND(AB241/2,2)</f>
        <v>65</v>
      </c>
      <c r="AI241" s="1107">
        <f t="shared" ref="AI241" si="639">ROUND(AB241-AH241,2)</f>
        <v>65</v>
      </c>
      <c r="AJ241" s="1107">
        <f t="shared" ref="AJ241" si="640">ROUND(AD241/2,2)</f>
        <v>43.62</v>
      </c>
      <c r="AK241" s="1107">
        <f t="shared" ref="AK241" si="641">ROUND(AD241-AJ241,2)</f>
        <v>43.61</v>
      </c>
      <c r="AL241" s="1108">
        <f t="shared" ref="AL241" si="642">ROUND(AF241+AH241+AJ241+AC241,2)</f>
        <v>134.58000000000001</v>
      </c>
      <c r="AM241" s="1108">
        <f t="shared" ref="AM241" si="643">ROUND(AG241+AI241+AK241,2)</f>
        <v>109.57</v>
      </c>
      <c r="AN241" s="1453">
        <v>2</v>
      </c>
      <c r="AO241" s="1147">
        <f>'CONCEPTOS Y PARAMETROS'!$C$18*AN241</f>
        <v>25</v>
      </c>
      <c r="AP241" s="990">
        <v>0</v>
      </c>
      <c r="AQ241" s="1147">
        <f>'CONCEPTOS Y PARAMETROS'!$C$21*AP241</f>
        <v>0</v>
      </c>
      <c r="AR241" s="1318">
        <v>0</v>
      </c>
      <c r="AS241" s="1318">
        <v>0</v>
      </c>
      <c r="AT241" s="1318">
        <f t="shared" ref="AT241" si="644">+AO241+AQ241+AR241+AS241</f>
        <v>25</v>
      </c>
      <c r="AU241" s="1108">
        <f t="shared" si="606"/>
        <v>436.15</v>
      </c>
      <c r="AV241" s="1133">
        <v>0</v>
      </c>
      <c r="AW241" s="1108">
        <f t="shared" si="599"/>
        <v>0</v>
      </c>
      <c r="AX241" s="1107">
        <f>IF(T241&lt;&gt;"0",(ROUND(IF(A241="EMPLEADO",eval_formula('CONCEPTOS Y PARAMETROS'!$C$8,NOMINA!V241,NOMINA!$AU241,NOMINA!I241+NOMINA!J241),eval_formula('CONCEPTOS Y PARAMETROS'!$D$8,NOMINA!V241,NOMINA!$AU241,NOMINA!I241+NOMINA!J241)),2))*IF(H241&lt;&gt;"",IF(MONTH(H241)=$BR$8,IF(YEAR(H241)&lt;$BT$7,1,0),0)))</f>
        <v>0</v>
      </c>
      <c r="AY241" s="1108">
        <v>75</v>
      </c>
      <c r="AZ241" s="1107">
        <f>IFERROR(VLOOKUP(AY241,'CONCEPTOS Y PARAMETROS'!Y:Z,2,0),0)</f>
        <v>62.5</v>
      </c>
      <c r="BA241" s="1107">
        <f t="shared" ref="BA241" si="645">ROUND((((AU241))/30*AY241/12+(AU241))/30*AZ241,2)</f>
        <v>1097.95</v>
      </c>
      <c r="BB241" s="1107">
        <f t="shared" si="595"/>
        <v>0</v>
      </c>
      <c r="BC241" s="990">
        <v>0</v>
      </c>
      <c r="BD241" s="1107" t="str">
        <f t="shared" si="607"/>
        <v>0</v>
      </c>
      <c r="BE241" s="990">
        <v>0</v>
      </c>
      <c r="BF241" s="1107">
        <f t="shared" si="561"/>
        <v>0</v>
      </c>
      <c r="BG241" s="1108">
        <v>320</v>
      </c>
      <c r="BH241" s="1108">
        <v>0</v>
      </c>
      <c r="BI241" s="1132">
        <v>0</v>
      </c>
      <c r="BJ241" s="1108">
        <v>12.5</v>
      </c>
      <c r="BK241" s="1108">
        <v>0</v>
      </c>
      <c r="BL241" s="1107">
        <f t="shared" si="437"/>
        <v>20.13</v>
      </c>
      <c r="BM241" s="1107">
        <f t="shared" si="438"/>
        <v>2.52</v>
      </c>
      <c r="BN241" s="1107">
        <f t="shared" si="626"/>
        <v>4.3600000000000003</v>
      </c>
      <c r="BO241" s="1107">
        <v>0</v>
      </c>
      <c r="BP241" s="1107">
        <v>0</v>
      </c>
      <c r="BQ241" s="1320">
        <f t="shared" ref="BQ241" si="646">ROUND(SUM(BL241:BP241),2)</f>
        <v>27.01</v>
      </c>
      <c r="BR241" s="1107">
        <f t="shared" si="439"/>
        <v>45.29</v>
      </c>
      <c r="BS241" s="1107">
        <f t="shared" si="440"/>
        <v>10.07</v>
      </c>
      <c r="BT241" s="1107">
        <f t="shared" si="627"/>
        <v>8.7200000000000006</v>
      </c>
      <c r="BU241" s="1107">
        <v>0</v>
      </c>
      <c r="BV241" s="1108">
        <f t="shared" si="631"/>
        <v>64.08</v>
      </c>
      <c r="BW241" s="1112">
        <f t="shared" si="632"/>
        <v>91.09</v>
      </c>
      <c r="BX241" s="1112">
        <f t="shared" si="629"/>
        <v>274.49</v>
      </c>
      <c r="BY241" s="1108">
        <v>0</v>
      </c>
      <c r="BZ241" s="1108">
        <f t="shared" si="598"/>
        <v>274.49</v>
      </c>
      <c r="CA241" s="1321">
        <f>'CONCEPTOS Y PARAMETROS'!$A$102</f>
        <v>6255</v>
      </c>
      <c r="CB241" s="1112">
        <f t="shared" si="611"/>
        <v>203.57000000000002</v>
      </c>
      <c r="CC241" s="1113">
        <f t="shared" si="612"/>
        <v>563.07000000000005</v>
      </c>
      <c r="CD241" s="512"/>
      <c r="CE241" s="512"/>
      <c r="CF241" s="470">
        <f t="shared" si="613"/>
        <v>845.56999999999994</v>
      </c>
      <c r="CG241" s="509">
        <f t="shared" si="628"/>
        <v>203.57000000000002</v>
      </c>
      <c r="CH241" s="498">
        <f t="shared" si="614"/>
        <v>37.5</v>
      </c>
      <c r="CI241" s="1491">
        <f t="shared" si="608"/>
        <v>320</v>
      </c>
      <c r="CJ241" s="1500">
        <v>1</v>
      </c>
      <c r="CK241" s="509">
        <f t="shared" si="615"/>
        <v>525.56999999999994</v>
      </c>
      <c r="CL241" s="1689">
        <f t="shared" si="616"/>
        <v>525.57000000000005</v>
      </c>
      <c r="CM241" s="1689">
        <f t="shared" si="610"/>
        <v>0</v>
      </c>
      <c r="CN241" s="510">
        <f t="shared" si="617"/>
        <v>0</v>
      </c>
      <c r="CO241" s="511">
        <v>0</v>
      </c>
      <c r="CP241" s="510">
        <f t="shared" si="618"/>
        <v>0</v>
      </c>
      <c r="CQ241" s="510">
        <f t="shared" si="619"/>
        <v>0</v>
      </c>
      <c r="CR241" s="496">
        <f t="shared" si="620"/>
        <v>1051.1399999999999</v>
      </c>
      <c r="CS241" s="510">
        <f t="shared" si="621"/>
        <v>91.09</v>
      </c>
      <c r="CT241" s="510">
        <f t="shared" si="622"/>
        <v>6255</v>
      </c>
      <c r="CU241" s="470"/>
      <c r="CV241" s="470"/>
      <c r="CW241" s="470"/>
      <c r="CX241" s="470"/>
      <c r="CY241" s="1149" t="s">
        <v>6969</v>
      </c>
      <c r="CZ241" s="1149" t="s">
        <v>6867</v>
      </c>
      <c r="DA241" s="1152"/>
      <c r="DB241" s="1642" t="s">
        <v>6688</v>
      </c>
      <c r="DC241" s="1642"/>
      <c r="DD241" s="1642" t="s">
        <v>6135</v>
      </c>
      <c r="DE241" s="1642" t="s">
        <v>6162</v>
      </c>
      <c r="DF241" s="1642" t="s">
        <v>7485</v>
      </c>
      <c r="DG241" s="1642" t="s">
        <v>7419</v>
      </c>
      <c r="DH241" s="512"/>
      <c r="DI241" s="512"/>
      <c r="DJ241" s="512"/>
      <c r="DK241" s="512"/>
      <c r="DL241" s="512"/>
      <c r="DN241" s="476" t="str">
        <f>VLOOKUP(X241,Hoja1!$A$4:$B$10,2,0)</f>
        <v>PROFESIONAL</v>
      </c>
      <c r="DO241" s="476" t="str">
        <f>VLOOKUP(S241,Hoja1!$D$4:$F$77,3,0)</f>
        <v>TI</v>
      </c>
      <c r="DP241" s="1164" t="str">
        <f t="shared" si="623"/>
        <v>0</v>
      </c>
      <c r="DQ241" s="1484">
        <f>IF(T241&lt;&gt;"0",(ROUND(IF(A241="EMPLEADO",eval_formula('CONCEPTOS Y PARAMETROS'!$C$8,NOMINA!V241,AU241+BF241,NOMINA!I241+NOMINA!J241),eval_formula('CONCEPTOS Y PARAMETROS'!$D$8,NOMINA!V241,AU241+BF241,NOMINA!I241+NOMINA!J241)),2))*IF(H241&lt;&gt;"",IF(MONTH(H241)=$BR$8,IF(YEAR(H241)&lt;$BT$7,1,0),0)))</f>
        <v>0</v>
      </c>
      <c r="DR241" s="1799" t="str">
        <f t="shared" si="624"/>
        <v>F</v>
      </c>
      <c r="DS241" s="1799"/>
    </row>
    <row r="242" spans="1:123" s="476" customFormat="1" ht="21.95" customHeight="1" x14ac:dyDescent="0.25">
      <c r="A242" s="508" t="s">
        <v>2846</v>
      </c>
      <c r="B242" s="1314">
        <f t="shared" ca="1" si="471"/>
        <v>199</v>
      </c>
      <c r="C242" s="1148">
        <v>19644743</v>
      </c>
      <c r="D242" s="1149" t="s">
        <v>4880</v>
      </c>
      <c r="E242" s="1135" t="s">
        <v>4622</v>
      </c>
      <c r="F242" s="1150">
        <v>33078</v>
      </c>
      <c r="G242" s="1135" t="s">
        <v>4620</v>
      </c>
      <c r="H242" s="1150">
        <v>43967</v>
      </c>
      <c r="I242" s="1140">
        <f t="shared" si="625"/>
        <v>5</v>
      </c>
      <c r="J242" s="1132">
        <v>0</v>
      </c>
      <c r="K242" s="1140">
        <f t="shared" si="600"/>
        <v>5</v>
      </c>
      <c r="L242" s="1145" t="s">
        <v>5524</v>
      </c>
      <c r="M242" s="1132"/>
      <c r="N242" s="1132"/>
      <c r="O242" s="1002" t="s">
        <v>7273</v>
      </c>
      <c r="P242" s="1132" t="s">
        <v>5421</v>
      </c>
      <c r="Q242" s="1315" t="str">
        <f>IFERROR(VLOOKUP(O242,CARGOS!A:E,2,0),"")</f>
        <v>23452</v>
      </c>
      <c r="R242" s="1327" t="s">
        <v>7273</v>
      </c>
      <c r="S242" s="1146" t="s">
        <v>5467</v>
      </c>
      <c r="T242" s="1107">
        <f>IFERROR(VLOOKUP(S242,'TAB EMP'!A:B,2,0),0)</f>
        <v>277</v>
      </c>
      <c r="U242" s="1108">
        <v>0</v>
      </c>
      <c r="V242" s="1107">
        <f t="shared" si="393"/>
        <v>277</v>
      </c>
      <c r="W242" s="1108">
        <f t="shared" si="394"/>
        <v>138.5</v>
      </c>
      <c r="X242" s="1135" t="s">
        <v>2885</v>
      </c>
      <c r="Y242" s="1135"/>
      <c r="Z242" s="1135">
        <v>2</v>
      </c>
      <c r="AA242" s="1107">
        <f>ROUND(IF(H242&lt;&gt;"",VLOOKUP(SUM(I242+J242),'CONCEPTOS Y PARAMETROS'!F:G,2,0)*V242,0),2)</f>
        <v>13.85</v>
      </c>
      <c r="AB242" s="1107">
        <f>IF(S242&lt;&gt;"",IF(M242="",'CONCEPTOS Y PARAMETROS'!$C$4,0),0)</f>
        <v>130</v>
      </c>
      <c r="AC242" s="1107">
        <f>IF(S242&lt;&gt;"",IF(M242="",'CONCEPTOS Y PARAMETROS'!$C$7*Z242,0),0)</f>
        <v>25</v>
      </c>
      <c r="AD242" s="1107">
        <f>IFERROR(ROUND(VLOOKUP($X242,'CONCEPTOS Y PARAMETROS'!H:I,2,0)*($V242+AA242+AB242+AC242),2),0)</f>
        <v>111.46</v>
      </c>
      <c r="AE242" s="1107">
        <f t="shared" ref="AE242:AE302" si="647">SUM(AA242:AD242)</f>
        <v>280.31</v>
      </c>
      <c r="AF242" s="1107">
        <f t="shared" si="395"/>
        <v>6.93</v>
      </c>
      <c r="AG242" s="1107">
        <f t="shared" si="396"/>
        <v>6.92</v>
      </c>
      <c r="AH242" s="1107">
        <f t="shared" si="397"/>
        <v>65</v>
      </c>
      <c r="AI242" s="1107">
        <f t="shared" si="398"/>
        <v>65</v>
      </c>
      <c r="AJ242" s="1107">
        <f t="shared" si="399"/>
        <v>55.73</v>
      </c>
      <c r="AK242" s="1107">
        <f t="shared" si="400"/>
        <v>55.73</v>
      </c>
      <c r="AL242" s="1108">
        <f t="shared" si="401"/>
        <v>152.66</v>
      </c>
      <c r="AM242" s="1108">
        <f t="shared" si="402"/>
        <v>127.65</v>
      </c>
      <c r="AN242" s="990">
        <v>1</v>
      </c>
      <c r="AO242" s="1147">
        <f>'CONCEPTOS Y PARAMETROS'!$C$18*AN242</f>
        <v>12.5</v>
      </c>
      <c r="AP242" s="990">
        <v>0</v>
      </c>
      <c r="AQ242" s="1147">
        <f>'CONCEPTOS Y PARAMETROS'!$C$21*AP242</f>
        <v>0</v>
      </c>
      <c r="AR242" s="1318">
        <v>0</v>
      </c>
      <c r="AS242" s="1318">
        <v>0</v>
      </c>
      <c r="AT242" s="1318">
        <f t="shared" si="609"/>
        <v>12.5</v>
      </c>
      <c r="AU242" s="1108">
        <f t="shared" si="606"/>
        <v>557.30999999999995</v>
      </c>
      <c r="AV242" s="1133">
        <v>0</v>
      </c>
      <c r="AW242" s="1108">
        <f t="shared" si="599"/>
        <v>0</v>
      </c>
      <c r="AX242" s="1107">
        <f>IF(T242&lt;&gt;"0",(ROUND(IF(A242="EMPLEADO",eval_formula('CONCEPTOS Y PARAMETROS'!$C$8,NOMINA!V242,NOMINA!$AU242,NOMINA!I242+NOMINA!J242),eval_formula('CONCEPTOS Y PARAMETROS'!$D$8,NOMINA!V242,NOMINA!$AU242,NOMINA!I242+NOMINA!J242)),2))*IF(H242&lt;&gt;"",IF(MONTH(H242)=$BR$8,IF(YEAR(H242)&lt;$BT$7,1,0),0)))</f>
        <v>0</v>
      </c>
      <c r="AY242" s="1108">
        <v>180</v>
      </c>
      <c r="AZ242" s="1107">
        <f>IFERROR(VLOOKUP(AY242,'CONCEPTOS Y PARAMETROS'!Y:Z,2,0),0)</f>
        <v>150</v>
      </c>
      <c r="BA242" s="1107">
        <f t="shared" si="403"/>
        <v>4179.83</v>
      </c>
      <c r="BB242" s="1107">
        <f t="shared" si="595"/>
        <v>0</v>
      </c>
      <c r="BC242" s="990">
        <v>0</v>
      </c>
      <c r="BD242" s="1107" t="str">
        <f t="shared" si="607"/>
        <v>0</v>
      </c>
      <c r="BE242" s="990">
        <v>0</v>
      </c>
      <c r="BF242" s="1107">
        <f t="shared" si="561"/>
        <v>0</v>
      </c>
      <c r="BG242" s="1108">
        <v>320</v>
      </c>
      <c r="BH242" s="1108">
        <v>0</v>
      </c>
      <c r="BI242" s="1132">
        <v>0</v>
      </c>
      <c r="BJ242" s="1108">
        <v>12.5</v>
      </c>
      <c r="BK242" s="1108">
        <v>0</v>
      </c>
      <c r="BL242" s="1107">
        <f t="shared" si="437"/>
        <v>25.72</v>
      </c>
      <c r="BM242" s="1107">
        <f t="shared" si="438"/>
        <v>3.22</v>
      </c>
      <c r="BN242" s="1107">
        <f t="shared" si="626"/>
        <v>5.57</v>
      </c>
      <c r="BO242" s="1107">
        <v>0</v>
      </c>
      <c r="BP242" s="1107">
        <v>0</v>
      </c>
      <c r="BQ242" s="1320">
        <f t="shared" si="630"/>
        <v>34.51</v>
      </c>
      <c r="BR242" s="1107">
        <f t="shared" si="439"/>
        <v>57.87</v>
      </c>
      <c r="BS242" s="1107">
        <f t="shared" si="440"/>
        <v>12.86</v>
      </c>
      <c r="BT242" s="1107">
        <f t="shared" si="627"/>
        <v>11.14</v>
      </c>
      <c r="BU242" s="1107">
        <v>0</v>
      </c>
      <c r="BV242" s="1108">
        <f t="shared" si="631"/>
        <v>81.87</v>
      </c>
      <c r="BW242" s="1112">
        <f t="shared" si="632"/>
        <v>116.38</v>
      </c>
      <c r="BX242" s="1112">
        <f t="shared" si="629"/>
        <v>1044.96</v>
      </c>
      <c r="BY242" s="1108">
        <v>0</v>
      </c>
      <c r="BZ242" s="1108">
        <f t="shared" si="598"/>
        <v>1044.96</v>
      </c>
      <c r="CA242" s="1321">
        <f>'CONCEPTOS Y PARAMETROS'!$A$102</f>
        <v>6255</v>
      </c>
      <c r="CB242" s="1112">
        <f t="shared" si="611"/>
        <v>256.64999999999998</v>
      </c>
      <c r="CC242" s="1113">
        <f t="shared" si="612"/>
        <v>611.15</v>
      </c>
      <c r="CD242" s="512"/>
      <c r="CE242" s="512"/>
      <c r="CF242" s="470">
        <f t="shared" si="613"/>
        <v>906.15</v>
      </c>
      <c r="CG242" s="509">
        <f t="shared" si="628"/>
        <v>256.64999999999998</v>
      </c>
      <c r="CH242" s="1603">
        <f t="shared" si="614"/>
        <v>25</v>
      </c>
      <c r="CI242" s="1491">
        <f t="shared" si="608"/>
        <v>320</v>
      </c>
      <c r="CJ242" s="1502">
        <v>1</v>
      </c>
      <c r="CK242" s="509">
        <f t="shared" si="615"/>
        <v>586.15</v>
      </c>
      <c r="CL242" s="1689">
        <f t="shared" si="616"/>
        <v>586.15</v>
      </c>
      <c r="CM242" s="1689">
        <f t="shared" si="610"/>
        <v>0</v>
      </c>
      <c r="CN242" s="510">
        <f t="shared" si="617"/>
        <v>0</v>
      </c>
      <c r="CO242" s="511">
        <v>0</v>
      </c>
      <c r="CP242" s="510">
        <f t="shared" si="618"/>
        <v>0</v>
      </c>
      <c r="CQ242" s="510">
        <f t="shared" si="619"/>
        <v>0</v>
      </c>
      <c r="CR242" s="510">
        <f t="shared" si="620"/>
        <v>1172.3</v>
      </c>
      <c r="CS242" s="510">
        <f t="shared" si="621"/>
        <v>116.38</v>
      </c>
      <c r="CT242" s="510">
        <f t="shared" si="622"/>
        <v>6255</v>
      </c>
      <c r="CU242" s="512"/>
      <c r="CV242" s="512"/>
      <c r="CW242" s="512"/>
      <c r="CX242" s="512"/>
      <c r="CY242" s="1149" t="s">
        <v>6970</v>
      </c>
      <c r="CZ242" s="1149" t="s">
        <v>6929</v>
      </c>
      <c r="DA242" s="1152"/>
      <c r="DB242" s="1642" t="s">
        <v>7406</v>
      </c>
      <c r="DC242" s="1642"/>
      <c r="DD242" s="1642" t="s">
        <v>6199</v>
      </c>
      <c r="DE242" s="1642" t="s">
        <v>6215</v>
      </c>
      <c r="DF242" s="1642" t="s">
        <v>6612</v>
      </c>
      <c r="DG242" s="1642"/>
      <c r="DH242" s="512"/>
      <c r="DI242" s="512"/>
      <c r="DJ242" s="512"/>
      <c r="DK242" s="512"/>
      <c r="DL242" s="512"/>
      <c r="DN242" s="476" t="str">
        <f>VLOOKUP(X242,Hoja1!$A$4:$B$10,2,0)</f>
        <v>PROFESIONAL</v>
      </c>
      <c r="DO242" s="476" t="str">
        <f>VLOOKUP(S242,Hoja1!$D$4:$F$77,3,0)</f>
        <v>PII - II</v>
      </c>
      <c r="DP242" s="1594" t="str">
        <f t="shared" si="623"/>
        <v>0</v>
      </c>
      <c r="DQ242" s="1484">
        <f>IF(T242&lt;&gt;"0",(ROUND(IF(A242="EMPLEADO",eval_formula('CONCEPTOS Y PARAMETROS'!$C$8,NOMINA!V242,AU242+BF242,NOMINA!I242+NOMINA!J242),eval_formula('CONCEPTOS Y PARAMETROS'!$D$8,NOMINA!V242,AU242+BF242,NOMINA!I242+NOMINA!J242)),2))*IF(H242&lt;&gt;"",IF(MONTH(H242)=$BR$8,IF(YEAR(H242)&lt;$BT$7,1,0),0)))</f>
        <v>0</v>
      </c>
      <c r="DR242" s="1799" t="str">
        <f t="shared" si="624"/>
        <v>F</v>
      </c>
      <c r="DS242" s="1799"/>
    </row>
    <row r="243" spans="1:123" s="476" customFormat="1" ht="21.95" customHeight="1" x14ac:dyDescent="0.25">
      <c r="A243" s="508" t="s">
        <v>2846</v>
      </c>
      <c r="B243" s="1314">
        <f t="shared" ca="1" si="471"/>
        <v>200</v>
      </c>
      <c r="C243" s="1148">
        <v>19644756</v>
      </c>
      <c r="D243" s="1149" t="s">
        <v>4881</v>
      </c>
      <c r="E243" s="1135" t="s">
        <v>4622</v>
      </c>
      <c r="F243" s="1150">
        <v>32587</v>
      </c>
      <c r="G243" s="1135" t="s">
        <v>4620</v>
      </c>
      <c r="H243" s="1150">
        <v>44470</v>
      </c>
      <c r="I243" s="1140">
        <f t="shared" si="625"/>
        <v>3</v>
      </c>
      <c r="J243" s="1132">
        <v>0</v>
      </c>
      <c r="K243" s="1140">
        <f t="shared" si="600"/>
        <v>3</v>
      </c>
      <c r="L243" s="1145" t="s">
        <v>5522</v>
      </c>
      <c r="M243" s="1132"/>
      <c r="N243" s="1132"/>
      <c r="O243" s="1002" t="s">
        <v>7278</v>
      </c>
      <c r="P243" s="1132" t="s">
        <v>5422</v>
      </c>
      <c r="Q243" s="1315" t="str">
        <f>IFERROR(VLOOKUP(O243,CARGOS!A:E,2,0),"")</f>
        <v>77142</v>
      </c>
      <c r="R243" s="1327" t="s">
        <v>7277</v>
      </c>
      <c r="S243" s="1146" t="s">
        <v>5477</v>
      </c>
      <c r="T243" s="1107">
        <f>IFERROR(VLOOKUP(S243,'TAB EMP'!A:B,2,0),0)</f>
        <v>150</v>
      </c>
      <c r="U243" s="1108">
        <v>0</v>
      </c>
      <c r="V243" s="1107">
        <f t="shared" si="393"/>
        <v>150</v>
      </c>
      <c r="W243" s="1108">
        <f t="shared" si="394"/>
        <v>75</v>
      </c>
      <c r="X243" s="1135" t="s">
        <v>2884</v>
      </c>
      <c r="Y243" s="1135"/>
      <c r="Z243" s="1135">
        <v>1</v>
      </c>
      <c r="AA243" s="1107">
        <f>ROUND(IF(H243&lt;&gt;"",VLOOKUP(SUM(I243+J243),'CONCEPTOS Y PARAMETROS'!F:G,2,0)*V243,0),2)</f>
        <v>4.5</v>
      </c>
      <c r="AB243" s="1107">
        <f>IF(S243&lt;&gt;"",IF(M243="",'CONCEPTOS Y PARAMETROS'!$C$4,0),0)</f>
        <v>130</v>
      </c>
      <c r="AC243" s="1107">
        <f>IF(S243&lt;&gt;"",IF(M243="",'CONCEPTOS Y PARAMETROS'!$C$7*Z243,0),0)</f>
        <v>12.5</v>
      </c>
      <c r="AD243" s="1107">
        <f>IFERROR(ROUND(VLOOKUP($X243,'CONCEPTOS Y PARAMETROS'!H:I,2,0)*($V243+AA243+AB243+AC243),2),0)</f>
        <v>0</v>
      </c>
      <c r="AE243" s="1107">
        <f t="shared" si="647"/>
        <v>147</v>
      </c>
      <c r="AF243" s="1107">
        <f t="shared" si="395"/>
        <v>2.25</v>
      </c>
      <c r="AG243" s="1107">
        <f t="shared" si="396"/>
        <v>2.25</v>
      </c>
      <c r="AH243" s="1107">
        <f t="shared" si="397"/>
        <v>65</v>
      </c>
      <c r="AI243" s="1107">
        <f t="shared" si="398"/>
        <v>65</v>
      </c>
      <c r="AJ243" s="1107">
        <f t="shared" si="399"/>
        <v>0</v>
      </c>
      <c r="AK243" s="1107">
        <f t="shared" si="400"/>
        <v>0</v>
      </c>
      <c r="AL243" s="1108">
        <f t="shared" si="401"/>
        <v>79.75</v>
      </c>
      <c r="AM243" s="1108">
        <f t="shared" si="402"/>
        <v>67.25</v>
      </c>
      <c r="AN243" s="990">
        <v>2</v>
      </c>
      <c r="AO243" s="1147">
        <f>'CONCEPTOS Y PARAMETROS'!$C$18*AN243</f>
        <v>25</v>
      </c>
      <c r="AP243" s="990">
        <v>0</v>
      </c>
      <c r="AQ243" s="1147">
        <f>'CONCEPTOS Y PARAMETROS'!$C$21*AP243</f>
        <v>0</v>
      </c>
      <c r="AR243" s="1318">
        <v>0</v>
      </c>
      <c r="AS243" s="1318">
        <v>0</v>
      </c>
      <c r="AT243" s="1318">
        <f t="shared" si="609"/>
        <v>25</v>
      </c>
      <c r="AU243" s="1108">
        <f t="shared" si="606"/>
        <v>297</v>
      </c>
      <c r="AV243" s="1133">
        <v>0</v>
      </c>
      <c r="AW243" s="1108">
        <f t="shared" si="599"/>
        <v>0</v>
      </c>
      <c r="AX243" s="1107">
        <f>IF(T243&lt;&gt;"0",(ROUND(IF(A243="EMPLEADO",eval_formula('CONCEPTOS Y PARAMETROS'!$C$8,NOMINA!V243,NOMINA!$AU243,NOMINA!I243+NOMINA!J243),eval_formula('CONCEPTOS Y PARAMETROS'!$D$8,NOMINA!V243,NOMINA!$AU243,NOMINA!I243+NOMINA!J243)),2))*IF(H243&lt;&gt;"",IF(MONTH(H243)=$BR$8,IF(YEAR(H243)&lt;$BT$7,1,0),0)))</f>
        <v>0</v>
      </c>
      <c r="AY243" s="1108">
        <v>180</v>
      </c>
      <c r="AZ243" s="1107">
        <f>IFERROR(VLOOKUP(AY243,'CONCEPTOS Y PARAMETROS'!Y:Z,2,0),0)</f>
        <v>150</v>
      </c>
      <c r="BA243" s="1107">
        <f t="shared" si="403"/>
        <v>2227.5</v>
      </c>
      <c r="BB243" s="1107">
        <f t="shared" si="595"/>
        <v>0</v>
      </c>
      <c r="BC243" s="990">
        <v>0</v>
      </c>
      <c r="BD243" s="1107" t="str">
        <f t="shared" si="607"/>
        <v>0</v>
      </c>
      <c r="BE243" s="990">
        <v>0</v>
      </c>
      <c r="BF243" s="1107">
        <f t="shared" si="561"/>
        <v>0</v>
      </c>
      <c r="BG243" s="1108">
        <v>320</v>
      </c>
      <c r="BH243" s="1108">
        <v>0</v>
      </c>
      <c r="BI243" s="1132">
        <v>0</v>
      </c>
      <c r="BJ243" s="1108">
        <v>12.5</v>
      </c>
      <c r="BK243" s="1108">
        <v>0</v>
      </c>
      <c r="BL243" s="1107">
        <f t="shared" si="437"/>
        <v>13.71</v>
      </c>
      <c r="BM243" s="1107">
        <f t="shared" si="438"/>
        <v>1.71</v>
      </c>
      <c r="BN243" s="1107">
        <f t="shared" si="626"/>
        <v>2.97</v>
      </c>
      <c r="BO243" s="1107">
        <v>0</v>
      </c>
      <c r="BP243" s="1107">
        <v>0</v>
      </c>
      <c r="BQ243" s="1320">
        <f t="shared" si="630"/>
        <v>18.39</v>
      </c>
      <c r="BR243" s="1107">
        <f t="shared" si="439"/>
        <v>30.84</v>
      </c>
      <c r="BS243" s="1107">
        <f t="shared" si="440"/>
        <v>6.85</v>
      </c>
      <c r="BT243" s="1107">
        <f t="shared" si="627"/>
        <v>5.94</v>
      </c>
      <c r="BU243" s="1107">
        <v>0</v>
      </c>
      <c r="BV243" s="1108">
        <f t="shared" si="631"/>
        <v>43.63</v>
      </c>
      <c r="BW243" s="1112">
        <f t="shared" si="632"/>
        <v>62.02</v>
      </c>
      <c r="BX243" s="1112">
        <f t="shared" si="629"/>
        <v>556.88</v>
      </c>
      <c r="BY243" s="1108">
        <v>0</v>
      </c>
      <c r="BZ243" s="1108">
        <f t="shared" si="598"/>
        <v>556.88</v>
      </c>
      <c r="CA243" s="1321">
        <f>'CONCEPTOS Y PARAMETROS'!$A$102</f>
        <v>6255</v>
      </c>
      <c r="CB243" s="1112">
        <f t="shared" si="611"/>
        <v>136.36000000000001</v>
      </c>
      <c r="CC243" s="1113">
        <f t="shared" si="612"/>
        <v>499.75</v>
      </c>
      <c r="CD243" s="512"/>
      <c r="CE243" s="512"/>
      <c r="CF243" s="470">
        <f t="shared" si="613"/>
        <v>782.25</v>
      </c>
      <c r="CG243" s="509">
        <f t="shared" si="628"/>
        <v>136.36000000000001</v>
      </c>
      <c r="CH243" s="1603">
        <f t="shared" si="614"/>
        <v>37.5</v>
      </c>
      <c r="CI243" s="1491">
        <f t="shared" si="608"/>
        <v>320</v>
      </c>
      <c r="CJ243" s="1502">
        <v>1</v>
      </c>
      <c r="CK243" s="509">
        <f t="shared" si="615"/>
        <v>462.25</v>
      </c>
      <c r="CL243" s="1689">
        <f t="shared" si="616"/>
        <v>462.25</v>
      </c>
      <c r="CM243" s="1689">
        <f t="shared" si="610"/>
        <v>0</v>
      </c>
      <c r="CN243" s="510">
        <f t="shared" si="617"/>
        <v>0</v>
      </c>
      <c r="CO243" s="511">
        <v>0</v>
      </c>
      <c r="CP243" s="510">
        <f t="shared" si="618"/>
        <v>0</v>
      </c>
      <c r="CQ243" s="510">
        <f t="shared" si="619"/>
        <v>0</v>
      </c>
      <c r="CR243" s="510">
        <f t="shared" si="620"/>
        <v>924.5</v>
      </c>
      <c r="CS243" s="510">
        <f t="shared" si="621"/>
        <v>62.02</v>
      </c>
      <c r="CT243" s="510">
        <f t="shared" si="622"/>
        <v>6255</v>
      </c>
      <c r="CU243" s="512"/>
      <c r="CV243" s="512"/>
      <c r="CW243" s="512"/>
      <c r="CX243" s="512"/>
      <c r="CY243" s="1149" t="s">
        <v>6819</v>
      </c>
      <c r="CZ243" s="1149" t="s">
        <v>6971</v>
      </c>
      <c r="DA243" s="1152"/>
      <c r="DB243" s="1642" t="s">
        <v>6344</v>
      </c>
      <c r="DC243" s="1642"/>
      <c r="DD243" s="1642" t="s">
        <v>6150</v>
      </c>
      <c r="DE243" s="1642" t="s">
        <v>6345</v>
      </c>
      <c r="DF243" s="1642" t="s">
        <v>7501</v>
      </c>
      <c r="DG243" s="1642"/>
      <c r="DH243" s="512"/>
      <c r="DI243" s="512"/>
      <c r="DJ243" s="512"/>
      <c r="DK243" s="512"/>
      <c r="DL243" s="512"/>
      <c r="DN243" s="476" t="str">
        <f>VLOOKUP(X243,Hoja1!$A$4:$B$10,2,0)</f>
        <v>BACHILLER</v>
      </c>
      <c r="DO243" s="476" t="str">
        <f>VLOOKUP(S243,Hoja1!$D$4:$F$77,3,0)</f>
        <v>BII - II</v>
      </c>
      <c r="DP243" s="1594" t="str">
        <f t="shared" si="623"/>
        <v>0</v>
      </c>
      <c r="DQ243" s="1484">
        <f>IF(T243&lt;&gt;"0",(ROUND(IF(A243="EMPLEADO",eval_formula('CONCEPTOS Y PARAMETROS'!$C$8,NOMINA!V243,AU243+BF243,NOMINA!I243+NOMINA!J243),eval_formula('CONCEPTOS Y PARAMETROS'!$D$8,NOMINA!V243,AU243+BF243,NOMINA!I243+NOMINA!J243)),2))*IF(H243&lt;&gt;"",IF(MONTH(H243)=$BR$8,IF(YEAR(H243)&lt;$BT$7,1,0),0)))</f>
        <v>0</v>
      </c>
      <c r="DR243" s="1799" t="str">
        <f t="shared" si="624"/>
        <v>F</v>
      </c>
      <c r="DS243" s="1799"/>
    </row>
    <row r="244" spans="1:123" s="471" customFormat="1" ht="21.95" customHeight="1" x14ac:dyDescent="0.25">
      <c r="A244" s="508" t="s">
        <v>2846</v>
      </c>
      <c r="B244" s="1314">
        <f t="shared" ca="1" si="471"/>
        <v>201</v>
      </c>
      <c r="C244" s="1148">
        <v>19794217</v>
      </c>
      <c r="D244" s="1149" t="s">
        <v>4882</v>
      </c>
      <c r="E244" s="1135" t="s">
        <v>4622</v>
      </c>
      <c r="F244" s="1150">
        <v>33157</v>
      </c>
      <c r="G244" s="1135" t="s">
        <v>4620</v>
      </c>
      <c r="H244" s="1150">
        <v>44683</v>
      </c>
      <c r="I244" s="1140">
        <f t="shared" si="625"/>
        <v>3</v>
      </c>
      <c r="J244" s="1132">
        <v>0</v>
      </c>
      <c r="K244" s="1140">
        <f t="shared" si="600"/>
        <v>3</v>
      </c>
      <c r="L244" s="1145" t="s">
        <v>5528</v>
      </c>
      <c r="M244" s="1132"/>
      <c r="N244" s="1132"/>
      <c r="O244" s="1002" t="s">
        <v>5218</v>
      </c>
      <c r="P244" s="1132" t="s">
        <v>5423</v>
      </c>
      <c r="Q244" s="1315" t="str">
        <f>IFERROR(VLOOKUP(O244,CARGOS!A:E,2,0),"")</f>
        <v>79511</v>
      </c>
      <c r="R244" s="1327" t="s">
        <v>5218</v>
      </c>
      <c r="S244" s="1146" t="s">
        <v>5468</v>
      </c>
      <c r="T244" s="1107">
        <f>IFERROR(VLOOKUP(S244,'TAB EMP'!A:B,2,0),0)</f>
        <v>219</v>
      </c>
      <c r="U244" s="1108">
        <v>0</v>
      </c>
      <c r="V244" s="1107">
        <f t="shared" si="393"/>
        <v>219</v>
      </c>
      <c r="W244" s="1108">
        <f t="shared" si="394"/>
        <v>109.5</v>
      </c>
      <c r="X244" s="1135" t="s">
        <v>2844</v>
      </c>
      <c r="Y244" s="1135"/>
      <c r="Z244" s="1135">
        <v>1</v>
      </c>
      <c r="AA244" s="1107">
        <f>ROUND(IF(H244&lt;&gt;"",VLOOKUP(SUM(I244+J244),'CONCEPTOS Y PARAMETROS'!F:G,2,0)*V244,0),2)</f>
        <v>6.57</v>
      </c>
      <c r="AB244" s="1107">
        <f>IF(S244&lt;&gt;"",IF(M244="",'CONCEPTOS Y PARAMETROS'!$C$4,0),0)</f>
        <v>130</v>
      </c>
      <c r="AC244" s="1107">
        <f>IF(S244&lt;&gt;"",IF(M244="",'CONCEPTOS Y PARAMETROS'!$C$7*Z244,0),0)</f>
        <v>12.5</v>
      </c>
      <c r="AD244" s="1107">
        <f>IFERROR(ROUND(VLOOKUP($X244,'CONCEPTOS Y PARAMETROS'!H:I,2,0)*($V244+AA244+AB244+AC244),2),0)</f>
        <v>73.61</v>
      </c>
      <c r="AE244" s="1107">
        <f t="shared" si="647"/>
        <v>222.68</v>
      </c>
      <c r="AF244" s="1107">
        <f t="shared" si="395"/>
        <v>3.29</v>
      </c>
      <c r="AG244" s="1107">
        <f t="shared" si="396"/>
        <v>3.28</v>
      </c>
      <c r="AH244" s="1107">
        <f t="shared" si="397"/>
        <v>65</v>
      </c>
      <c r="AI244" s="1107">
        <f t="shared" si="398"/>
        <v>65</v>
      </c>
      <c r="AJ244" s="1107">
        <f t="shared" si="399"/>
        <v>36.81</v>
      </c>
      <c r="AK244" s="1107">
        <f t="shared" si="400"/>
        <v>36.799999999999997</v>
      </c>
      <c r="AL244" s="1108">
        <f t="shared" si="401"/>
        <v>117.6</v>
      </c>
      <c r="AM244" s="1108">
        <f t="shared" si="402"/>
        <v>105.08</v>
      </c>
      <c r="AN244" s="1453">
        <v>1</v>
      </c>
      <c r="AO244" s="1147">
        <f>'CONCEPTOS Y PARAMETROS'!$C$18*AN244</f>
        <v>12.5</v>
      </c>
      <c r="AP244" s="990">
        <v>0</v>
      </c>
      <c r="AQ244" s="1147">
        <f>'CONCEPTOS Y PARAMETROS'!$C$21*AP244</f>
        <v>0</v>
      </c>
      <c r="AR244" s="1318">
        <v>0</v>
      </c>
      <c r="AS244" s="1318">
        <v>0</v>
      </c>
      <c r="AT244" s="1318">
        <f t="shared" si="609"/>
        <v>12.5</v>
      </c>
      <c r="AU244" s="1108">
        <f t="shared" si="606"/>
        <v>574.18000000000006</v>
      </c>
      <c r="AV244" s="1133" t="s">
        <v>5080</v>
      </c>
      <c r="AW244" s="1108">
        <f t="shared" si="599"/>
        <v>132.5</v>
      </c>
      <c r="AX244" s="1107">
        <f>IF(T244&lt;&gt;"0",(ROUND(IF(A244="EMPLEADO",eval_formula('CONCEPTOS Y PARAMETROS'!$C$8,NOMINA!V244,NOMINA!$AU244,NOMINA!I244+NOMINA!J244),eval_formula('CONCEPTOS Y PARAMETROS'!$D$8,NOMINA!V244,NOMINA!$AU244,NOMINA!I244+NOMINA!J244)),2))*IF(H244&lt;&gt;"",IF(MONTH(H244)=$BR$8,IF(YEAR(H244)&lt;$BT$7,1,0),0)))</f>
        <v>0</v>
      </c>
      <c r="AY244" s="1108">
        <v>180</v>
      </c>
      <c r="AZ244" s="1107">
        <f>IFERROR(VLOOKUP(AY244,'CONCEPTOS Y PARAMETROS'!Y:Z,2,0),0)</f>
        <v>150</v>
      </c>
      <c r="BA244" s="1107">
        <f t="shared" si="403"/>
        <v>4306.3500000000004</v>
      </c>
      <c r="BB244" s="1107">
        <f t="shared" si="595"/>
        <v>0</v>
      </c>
      <c r="BC244" s="990">
        <v>0</v>
      </c>
      <c r="BD244" s="1107" t="str">
        <f t="shared" si="607"/>
        <v>0</v>
      </c>
      <c r="BE244" s="990">
        <v>3</v>
      </c>
      <c r="BF244" s="1107">
        <f t="shared" si="561"/>
        <v>86.13</v>
      </c>
      <c r="BG244" s="1108">
        <v>320</v>
      </c>
      <c r="BH244" s="1108">
        <v>0</v>
      </c>
      <c r="BI244" s="1132">
        <v>0</v>
      </c>
      <c r="BJ244" s="1108">
        <v>12.5</v>
      </c>
      <c r="BK244" s="1108">
        <v>0</v>
      </c>
      <c r="BL244" s="1107">
        <f t="shared" si="437"/>
        <v>26.5</v>
      </c>
      <c r="BM244" s="1107">
        <f t="shared" si="438"/>
        <v>3.31</v>
      </c>
      <c r="BN244" s="1107">
        <f t="shared" si="626"/>
        <v>5.74</v>
      </c>
      <c r="BO244" s="1107">
        <v>0</v>
      </c>
      <c r="BP244" s="1107">
        <v>0</v>
      </c>
      <c r="BQ244" s="1320">
        <f t="shared" si="630"/>
        <v>35.549999999999997</v>
      </c>
      <c r="BR244" s="1107">
        <f t="shared" si="439"/>
        <v>59.63</v>
      </c>
      <c r="BS244" s="1107">
        <f t="shared" si="440"/>
        <v>13.25</v>
      </c>
      <c r="BT244" s="1107">
        <f t="shared" si="627"/>
        <v>11.48</v>
      </c>
      <c r="BU244" s="1107">
        <v>0</v>
      </c>
      <c r="BV244" s="1108">
        <f t="shared" si="631"/>
        <v>84.36</v>
      </c>
      <c r="BW244" s="1112">
        <f t="shared" si="632"/>
        <v>119.91</v>
      </c>
      <c r="BX244" s="1112">
        <f t="shared" si="629"/>
        <v>1076.5899999999999</v>
      </c>
      <c r="BY244" s="1108">
        <v>0</v>
      </c>
      <c r="BZ244" s="1108">
        <f t="shared" si="598"/>
        <v>1076.5899999999999</v>
      </c>
      <c r="CA244" s="1321">
        <f>'CONCEPTOS Y PARAMETROS'!$A$102</f>
        <v>6255</v>
      </c>
      <c r="CB244" s="1112">
        <f t="shared" si="611"/>
        <v>191.55</v>
      </c>
      <c r="CC244" s="1113">
        <f t="shared" si="612"/>
        <v>778.21</v>
      </c>
      <c r="CD244" s="512"/>
      <c r="CE244" s="512"/>
      <c r="CF244" s="470">
        <f t="shared" si="613"/>
        <v>854.57999999999993</v>
      </c>
      <c r="CG244" s="495">
        <f t="shared" si="628"/>
        <v>191.55</v>
      </c>
      <c r="CH244" s="498">
        <f t="shared" si="614"/>
        <v>25</v>
      </c>
      <c r="CI244" s="1490">
        <f t="shared" si="608"/>
        <v>320</v>
      </c>
      <c r="CJ244" s="1500">
        <v>1</v>
      </c>
      <c r="CK244" s="495">
        <f t="shared" si="615"/>
        <v>534.57999999999993</v>
      </c>
      <c r="CL244" s="1689">
        <f t="shared" si="616"/>
        <v>534.58000000000004</v>
      </c>
      <c r="CM244" s="1689">
        <f t="shared" si="610"/>
        <v>0</v>
      </c>
      <c r="CN244" s="496">
        <f t="shared" si="617"/>
        <v>86.13</v>
      </c>
      <c r="CO244" s="497">
        <v>0</v>
      </c>
      <c r="CP244" s="496">
        <f t="shared" si="618"/>
        <v>132.5</v>
      </c>
      <c r="CQ244" s="496">
        <f t="shared" si="619"/>
        <v>0</v>
      </c>
      <c r="CR244" s="496">
        <f t="shared" si="620"/>
        <v>1287.79</v>
      </c>
      <c r="CS244" s="496">
        <f t="shared" si="621"/>
        <v>119.91</v>
      </c>
      <c r="CT244" s="496">
        <f t="shared" si="622"/>
        <v>6255</v>
      </c>
      <c r="CU244" s="470"/>
      <c r="CV244" s="470"/>
      <c r="CW244" s="470"/>
      <c r="CX244" s="470"/>
      <c r="CY244" s="1149" t="s">
        <v>6972</v>
      </c>
      <c r="CZ244" s="1149" t="s">
        <v>6973</v>
      </c>
      <c r="DA244" s="1152"/>
      <c r="DB244" s="1642" t="s">
        <v>6283</v>
      </c>
      <c r="DC244" s="1642"/>
      <c r="DD244" s="1642" t="s">
        <v>6158</v>
      </c>
      <c r="DE244" s="1642" t="s">
        <v>6553</v>
      </c>
      <c r="DF244" s="1642" t="s">
        <v>6284</v>
      </c>
      <c r="DG244" s="1642"/>
      <c r="DH244" s="512"/>
      <c r="DI244" s="512"/>
      <c r="DJ244" s="470"/>
      <c r="DK244" s="470"/>
      <c r="DL244" s="470"/>
      <c r="DN244" s="471" t="str">
        <f>VLOOKUP(X244,Hoja1!$A$4:$B$10,2,0)</f>
        <v>TÉCNICO SUPERIOR UNIVERSITARIO</v>
      </c>
      <c r="DO244" s="471" t="str">
        <f>VLOOKUP(S244,Hoja1!$D$4:$F$77,3,0)</f>
        <v>TII - II</v>
      </c>
      <c r="DP244" s="1156" t="str">
        <f t="shared" si="623"/>
        <v>SI</v>
      </c>
      <c r="DQ244" s="1484">
        <f>IF(T244&lt;&gt;"0",(ROUND(IF(A244="EMPLEADO",eval_formula('CONCEPTOS Y PARAMETROS'!$C$8,NOMINA!V244,AU244+BF244,NOMINA!I244+NOMINA!J244),eval_formula('CONCEPTOS Y PARAMETROS'!$D$8,NOMINA!V244,AU244+BF244,NOMINA!I244+NOMINA!J244)),2))*IF(H244&lt;&gt;"",IF(MONTH(H244)=$BR$8,IF(YEAR(H244)&lt;$BT$7,1,0),0)))</f>
        <v>0</v>
      </c>
      <c r="DR244" s="1801" t="str">
        <f t="shared" si="624"/>
        <v>F</v>
      </c>
      <c r="DS244" s="1801"/>
    </row>
    <row r="245" spans="1:123" s="476" customFormat="1" ht="21.95" customHeight="1" x14ac:dyDescent="0.25">
      <c r="A245" s="508" t="s">
        <v>2846</v>
      </c>
      <c r="B245" s="1314">
        <f t="shared" ca="1" si="471"/>
        <v>202</v>
      </c>
      <c r="C245" s="1148">
        <v>20038162</v>
      </c>
      <c r="D245" s="1149" t="s">
        <v>6796</v>
      </c>
      <c r="E245" s="1135" t="s">
        <v>4622</v>
      </c>
      <c r="F245" s="1150">
        <v>33039</v>
      </c>
      <c r="G245" s="1135" t="s">
        <v>4620</v>
      </c>
      <c r="H245" s="1150">
        <v>45597</v>
      </c>
      <c r="I245" s="1140">
        <f t="shared" si="625"/>
        <v>0</v>
      </c>
      <c r="J245" s="1132">
        <v>0</v>
      </c>
      <c r="K245" s="1140">
        <f t="shared" si="600"/>
        <v>0</v>
      </c>
      <c r="L245" s="1145" t="s">
        <v>5535</v>
      </c>
      <c r="M245" s="1132"/>
      <c r="N245" s="1132"/>
      <c r="O245" s="1002" t="s">
        <v>5218</v>
      </c>
      <c r="P245" s="1151" t="s">
        <v>7211</v>
      </c>
      <c r="Q245" s="1315" t="str">
        <f>IFERROR(VLOOKUP(O245,CARGOS!A:E,2,0),"")</f>
        <v>79511</v>
      </c>
      <c r="R245" s="1002" t="s">
        <v>5218</v>
      </c>
      <c r="S245" s="1146" t="s">
        <v>5462</v>
      </c>
      <c r="T245" s="1107">
        <f>IFERROR(VLOOKUP(S245,'TAB EMP'!A:B,2,0),0)</f>
        <v>192</v>
      </c>
      <c r="U245" s="1108">
        <v>0</v>
      </c>
      <c r="V245" s="1107">
        <f t="shared" ref="V245:V246" si="648">T245-U245</f>
        <v>192</v>
      </c>
      <c r="W245" s="1108">
        <f t="shared" ref="W245:W246" si="649">ROUND(V245/2,2)</f>
        <v>96</v>
      </c>
      <c r="X245" s="1135" t="s">
        <v>2885</v>
      </c>
      <c r="Y245" s="1135" t="s">
        <v>7215</v>
      </c>
      <c r="Z245" s="1135">
        <v>2</v>
      </c>
      <c r="AA245" s="1107">
        <f>ROUND(IF(H245&lt;&gt;"",VLOOKUP(SUM(I245+J245),'CONCEPTOS Y PARAMETROS'!F:G,2,0)*V245,0),2)</f>
        <v>0</v>
      </c>
      <c r="AB245" s="1107">
        <f>IF(S245&lt;&gt;"",IF(M245="",'CONCEPTOS Y PARAMETROS'!$C$4,0),0)</f>
        <v>130</v>
      </c>
      <c r="AC245" s="1107">
        <f>IF(S245&lt;&gt;"",IF(M245="",'CONCEPTOS Y PARAMETROS'!$C$7*Z245,0),0)</f>
        <v>25</v>
      </c>
      <c r="AD245" s="1107">
        <f>IFERROR(ROUND(VLOOKUP($X245,'CONCEPTOS Y PARAMETROS'!H:I,2,0)*($V245+AA245+AB245+AC245),2),0)</f>
        <v>86.75</v>
      </c>
      <c r="AE245" s="1107">
        <f t="shared" si="647"/>
        <v>241.75</v>
      </c>
      <c r="AF245" s="1107">
        <f t="shared" ref="AF245:AF246" si="650">ROUND(AA245/2,2)</f>
        <v>0</v>
      </c>
      <c r="AG245" s="1107">
        <f t="shared" ref="AG245:AG246" si="651">ROUND(AA245-AF245,2)</f>
        <v>0</v>
      </c>
      <c r="AH245" s="1107">
        <f t="shared" ref="AH245:AH246" si="652">ROUND(AB245/2,2)</f>
        <v>65</v>
      </c>
      <c r="AI245" s="1107">
        <f t="shared" ref="AI245:AI246" si="653">ROUND(AB245-AH245,2)</f>
        <v>65</v>
      </c>
      <c r="AJ245" s="1107">
        <f t="shared" ref="AJ245:AJ246" si="654">ROUND(AD245/2,2)</f>
        <v>43.38</v>
      </c>
      <c r="AK245" s="1107">
        <f t="shared" ref="AK245:AK246" si="655">ROUND(AD245-AJ245,2)</f>
        <v>43.37</v>
      </c>
      <c r="AL245" s="1108">
        <f t="shared" ref="AL245:AL246" si="656">ROUND(AF245+AH245+AJ245+AC245,2)</f>
        <v>133.38</v>
      </c>
      <c r="AM245" s="1108">
        <f t="shared" ref="AM245:AM246" si="657">ROUND(AG245+AI245+AK245,2)</f>
        <v>108.37</v>
      </c>
      <c r="AN245" s="1453">
        <v>1</v>
      </c>
      <c r="AO245" s="1147">
        <f>'CONCEPTOS Y PARAMETROS'!$C$18*AN245</f>
        <v>12.5</v>
      </c>
      <c r="AP245" s="990">
        <v>0</v>
      </c>
      <c r="AQ245" s="1147">
        <f>'CONCEPTOS Y PARAMETROS'!$C$21*AP245</f>
        <v>0</v>
      </c>
      <c r="AR245" s="1318">
        <v>0</v>
      </c>
      <c r="AS245" s="1318">
        <v>0</v>
      </c>
      <c r="AT245" s="1318">
        <f t="shared" si="609"/>
        <v>12.5</v>
      </c>
      <c r="AU245" s="1108">
        <f t="shared" si="606"/>
        <v>563.88</v>
      </c>
      <c r="AV245" s="1133" t="s">
        <v>5080</v>
      </c>
      <c r="AW245" s="1108">
        <f t="shared" si="599"/>
        <v>130.13</v>
      </c>
      <c r="AX245" s="1107">
        <f>IF(T245&lt;&gt;"0",(ROUND(IF(A245="EMPLEADO",eval_formula('CONCEPTOS Y PARAMETROS'!$C$8,NOMINA!V245,NOMINA!$AU245,NOMINA!I245+NOMINA!J245),eval_formula('CONCEPTOS Y PARAMETROS'!$D$8,NOMINA!V245,NOMINA!$AU245,NOMINA!I245+NOMINA!J245)),2))*IF(H245&lt;&gt;"",IF(MONTH(H245)=$BR$8,IF(YEAR(H245)&lt;$BT$7,1,0),0)))</f>
        <v>0</v>
      </c>
      <c r="AY245" s="1108">
        <v>30</v>
      </c>
      <c r="AZ245" s="1107">
        <f>IFERROR(VLOOKUP(AY245,'CONCEPTOS Y PARAMETROS'!Y:Z,2,0),0)</f>
        <v>25</v>
      </c>
      <c r="BA245" s="1107">
        <f t="shared" ref="BA245:BA246" si="658">ROUND((((AU245))/30*AY245/12+(AU245))/30*AZ245,2)</f>
        <v>509.06</v>
      </c>
      <c r="BB245" s="1107">
        <f t="shared" ref="BB245:BB246" si="659">ROUND(AU245/30*$BB$10,2)</f>
        <v>0</v>
      </c>
      <c r="BC245" s="990">
        <v>0</v>
      </c>
      <c r="BD245" s="1107" t="str">
        <f t="shared" si="607"/>
        <v>0</v>
      </c>
      <c r="BE245" s="990">
        <v>3</v>
      </c>
      <c r="BF245" s="1107">
        <f t="shared" si="561"/>
        <v>84.58</v>
      </c>
      <c r="BG245" s="1108">
        <v>320</v>
      </c>
      <c r="BH245" s="1108">
        <v>0</v>
      </c>
      <c r="BI245" s="1132">
        <v>0</v>
      </c>
      <c r="BJ245" s="1108">
        <v>12.5</v>
      </c>
      <c r="BK245" s="1108">
        <v>0</v>
      </c>
      <c r="BL245" s="1107">
        <f t="shared" si="437"/>
        <v>26.03</v>
      </c>
      <c r="BM245" s="1107">
        <f t="shared" si="438"/>
        <v>3.25</v>
      </c>
      <c r="BN245" s="1107">
        <f t="shared" si="626"/>
        <v>5.64</v>
      </c>
      <c r="BO245" s="1107">
        <v>0</v>
      </c>
      <c r="BP245" s="1107">
        <v>0</v>
      </c>
      <c r="BQ245" s="1320">
        <f t="shared" ref="BQ245:BQ246" si="660">ROUND(SUM(BL245:BP245),2)</f>
        <v>34.92</v>
      </c>
      <c r="BR245" s="1107">
        <f t="shared" si="439"/>
        <v>58.56</v>
      </c>
      <c r="BS245" s="1107">
        <f t="shared" si="440"/>
        <v>13.01</v>
      </c>
      <c r="BT245" s="1107">
        <f t="shared" si="627"/>
        <v>11.28</v>
      </c>
      <c r="BU245" s="1107">
        <v>0</v>
      </c>
      <c r="BV245" s="1108">
        <f t="shared" si="631"/>
        <v>82.85</v>
      </c>
      <c r="BW245" s="1112">
        <f t="shared" si="632"/>
        <v>117.77</v>
      </c>
      <c r="BX245" s="1112">
        <f>ROUND(BA245/2,2)</f>
        <v>254.53</v>
      </c>
      <c r="BY245" s="1108">
        <v>0</v>
      </c>
      <c r="BZ245" s="1108">
        <f t="shared" ref="BZ245:BZ246" si="661">+BX245+BY245</f>
        <v>254.53</v>
      </c>
      <c r="CA245" s="1321">
        <f>'CONCEPTOS Y PARAMETROS'!$A$102</f>
        <v>6255</v>
      </c>
      <c r="CB245" s="1112">
        <f t="shared" si="611"/>
        <v>194.45999999999998</v>
      </c>
      <c r="CC245" s="1113">
        <f t="shared" si="612"/>
        <v>764.08</v>
      </c>
      <c r="CD245" s="1452"/>
      <c r="CE245" s="512"/>
      <c r="CF245" s="470">
        <f t="shared" si="613"/>
        <v>844.37</v>
      </c>
      <c r="CG245" s="509">
        <f t="shared" si="628"/>
        <v>194.45999999999998</v>
      </c>
      <c r="CH245" s="498">
        <f t="shared" si="614"/>
        <v>25</v>
      </c>
      <c r="CI245" s="1491">
        <f t="shared" si="608"/>
        <v>320</v>
      </c>
      <c r="CJ245" s="1500">
        <v>1</v>
      </c>
      <c r="CK245" s="509">
        <f t="shared" si="615"/>
        <v>524.37</v>
      </c>
      <c r="CL245" s="1689">
        <f t="shared" si="616"/>
        <v>524.37</v>
      </c>
      <c r="CM245" s="1689">
        <f t="shared" si="610"/>
        <v>0</v>
      </c>
      <c r="CN245" s="510">
        <f t="shared" si="617"/>
        <v>84.58</v>
      </c>
      <c r="CO245" s="511">
        <v>0</v>
      </c>
      <c r="CP245" s="510">
        <f t="shared" si="618"/>
        <v>130.13</v>
      </c>
      <c r="CQ245" s="510">
        <f t="shared" si="619"/>
        <v>0</v>
      </c>
      <c r="CR245" s="496">
        <f t="shared" si="620"/>
        <v>1263.4499999999998</v>
      </c>
      <c r="CS245" s="510">
        <f t="shared" si="621"/>
        <v>117.77</v>
      </c>
      <c r="CT245" s="510">
        <f t="shared" si="622"/>
        <v>6255</v>
      </c>
      <c r="CU245" s="470"/>
      <c r="CV245" s="470"/>
      <c r="CW245" s="470"/>
      <c r="CX245" s="470"/>
      <c r="CY245" s="1149" t="s">
        <v>7212</v>
      </c>
      <c r="CZ245" s="1149" t="s">
        <v>7213</v>
      </c>
      <c r="DA245" s="1152"/>
      <c r="DB245" s="1642" t="s">
        <v>7214</v>
      </c>
      <c r="DC245" s="1642"/>
      <c r="DD245" s="1642" t="s">
        <v>6158</v>
      </c>
      <c r="DE245" s="1642" t="s">
        <v>6171</v>
      </c>
      <c r="DF245" s="1642" t="s">
        <v>6172</v>
      </c>
      <c r="DG245" s="1642"/>
      <c r="DH245" s="512"/>
      <c r="DI245" s="512"/>
      <c r="DJ245" s="512"/>
      <c r="DK245" s="512"/>
      <c r="DL245" s="512"/>
      <c r="DN245" s="476" t="str">
        <f>VLOOKUP(X245,Hoja1!$A$4:$B$10,2,0)</f>
        <v>PROFESIONAL</v>
      </c>
      <c r="DO245" s="476" t="str">
        <f>VLOOKUP(S245,Hoja1!$D$4:$F$77,3,0)</f>
        <v>TI</v>
      </c>
      <c r="DP245" s="1451" t="str">
        <f t="shared" si="623"/>
        <v>SI</v>
      </c>
      <c r="DQ245" s="1484">
        <f>IF(T245&lt;&gt;"0",(ROUND(IF(A245="EMPLEADO",eval_formula('CONCEPTOS Y PARAMETROS'!$C$8,NOMINA!V245,AU245+BF245,NOMINA!I245+NOMINA!J245),eval_formula('CONCEPTOS Y PARAMETROS'!$D$8,NOMINA!V245,AU245+BF245,NOMINA!I245+NOMINA!J245)),2))*IF(H245&lt;&gt;"",IF(MONTH(H245)=$BR$8,IF(YEAR(H245)&lt;$BT$7,1,0),0)))</f>
        <v>0</v>
      </c>
      <c r="DR245" s="1799" t="str">
        <f t="shared" si="624"/>
        <v>F</v>
      </c>
      <c r="DS245" s="1799"/>
    </row>
    <row r="246" spans="1:123" s="476" customFormat="1" ht="21.95" customHeight="1" x14ac:dyDescent="0.2">
      <c r="A246" s="508" t="s">
        <v>2846</v>
      </c>
      <c r="B246" s="1314">
        <f t="shared" ca="1" si="471"/>
        <v>203</v>
      </c>
      <c r="C246" s="1148">
        <v>20040405</v>
      </c>
      <c r="D246" s="1149" t="s">
        <v>7331</v>
      </c>
      <c r="E246" s="1135" t="s">
        <v>4622</v>
      </c>
      <c r="F246" s="1150">
        <v>32662</v>
      </c>
      <c r="G246" s="1135" t="s">
        <v>4620</v>
      </c>
      <c r="H246" s="1150">
        <v>45717</v>
      </c>
      <c r="I246" s="1140">
        <f t="shared" si="625"/>
        <v>0</v>
      </c>
      <c r="J246" s="1132">
        <v>0</v>
      </c>
      <c r="K246" s="1140">
        <f t="shared" si="600"/>
        <v>0</v>
      </c>
      <c r="L246" s="1145" t="s">
        <v>5526</v>
      </c>
      <c r="M246" s="1132"/>
      <c r="N246" s="1132"/>
      <c r="O246" s="1002" t="s">
        <v>5224</v>
      </c>
      <c r="P246" s="1151" t="s">
        <v>7336</v>
      </c>
      <c r="Q246" s="1315" t="str">
        <f>IFERROR(VLOOKUP(O246,CARGOS!A:E,2,0),"")</f>
        <v>79521</v>
      </c>
      <c r="R246" s="1327" t="s">
        <v>5224</v>
      </c>
      <c r="S246" s="1146" t="s">
        <v>5456</v>
      </c>
      <c r="T246" s="1107">
        <f>IFERROR(VLOOKUP(S246,'TAB EMP'!A:B,2,0),0)</f>
        <v>246</v>
      </c>
      <c r="U246" s="1108">
        <v>0</v>
      </c>
      <c r="V246" s="1107">
        <f t="shared" si="648"/>
        <v>246</v>
      </c>
      <c r="W246" s="1108">
        <f t="shared" si="649"/>
        <v>123</v>
      </c>
      <c r="X246" s="1135" t="s">
        <v>2885</v>
      </c>
      <c r="Y246" s="1135" t="s">
        <v>7251</v>
      </c>
      <c r="Z246" s="1135">
        <v>0</v>
      </c>
      <c r="AA246" s="1107">
        <f>ROUND(IF(H246&lt;&gt;"",VLOOKUP(SUM(I246+J246),'CONCEPTOS Y PARAMETROS'!F:G,2,0)*V246,0),2)</f>
        <v>0</v>
      </c>
      <c r="AB246" s="1107">
        <f>IF(S246&lt;&gt;"",IF(M246="",'CONCEPTOS Y PARAMETROS'!$C$4,0),0)</f>
        <v>130</v>
      </c>
      <c r="AC246" s="1107">
        <f>IF(S246&lt;&gt;"",IF(M246="",'CONCEPTOS Y PARAMETROS'!$C$7*Z246,0),0)</f>
        <v>0</v>
      </c>
      <c r="AD246" s="1107">
        <f>IFERROR(ROUND(VLOOKUP($X246,'CONCEPTOS Y PARAMETROS'!H:I,2,0)*($V246+AA246+AB246+AC246),2),0)</f>
        <v>94</v>
      </c>
      <c r="AE246" s="1107">
        <f t="shared" si="647"/>
        <v>224</v>
      </c>
      <c r="AF246" s="1107">
        <f t="shared" si="650"/>
        <v>0</v>
      </c>
      <c r="AG246" s="1107">
        <f t="shared" si="651"/>
        <v>0</v>
      </c>
      <c r="AH246" s="1107">
        <f t="shared" si="652"/>
        <v>65</v>
      </c>
      <c r="AI246" s="1107">
        <f t="shared" si="653"/>
        <v>65</v>
      </c>
      <c r="AJ246" s="1107">
        <f t="shared" si="654"/>
        <v>47</v>
      </c>
      <c r="AK246" s="1107">
        <f t="shared" si="655"/>
        <v>47</v>
      </c>
      <c r="AL246" s="1108">
        <f t="shared" si="656"/>
        <v>112</v>
      </c>
      <c r="AM246" s="1108">
        <f t="shared" si="657"/>
        <v>112</v>
      </c>
      <c r="AN246" s="990">
        <v>0</v>
      </c>
      <c r="AO246" s="1147">
        <f>'CONCEPTOS Y PARAMETROS'!$C$18*AN246</f>
        <v>0</v>
      </c>
      <c r="AP246" s="990">
        <v>0</v>
      </c>
      <c r="AQ246" s="1147">
        <f>'CONCEPTOS Y PARAMETROS'!$C$21*AP246</f>
        <v>0</v>
      </c>
      <c r="AR246" s="1318">
        <v>0</v>
      </c>
      <c r="AS246" s="1318">
        <v>0</v>
      </c>
      <c r="AT246" s="1318">
        <f t="shared" si="609"/>
        <v>0</v>
      </c>
      <c r="AU246" s="1108">
        <f t="shared" si="606"/>
        <v>470</v>
      </c>
      <c r="AV246" s="1133">
        <v>0</v>
      </c>
      <c r="AW246" s="1108">
        <f t="shared" si="599"/>
        <v>0</v>
      </c>
      <c r="AX246" s="1107">
        <f>IF(T246&lt;&gt;"0",(ROUND(IF(A246="EMPLEADO",eval_formula('CONCEPTOS Y PARAMETROS'!$C$8,NOMINA!V246,NOMINA!$AU246,NOMINA!I246+NOMINA!J246),eval_formula('CONCEPTOS Y PARAMETROS'!$D$8,NOMINA!V246,NOMINA!$AU246,NOMINA!I246+NOMINA!J246)),2))*IF(H246&lt;&gt;"",IF(MONTH(H246)=$BR$8,IF(YEAR(H246)&lt;$BT$7,1,0),0)))</f>
        <v>0</v>
      </c>
      <c r="AY246" s="1108">
        <v>180</v>
      </c>
      <c r="AZ246" s="1107">
        <f>IFERROR(VLOOKUP(AY246,'CONCEPTOS Y PARAMETROS'!Y:Z,2,0),0)</f>
        <v>150</v>
      </c>
      <c r="BA246" s="1107">
        <f t="shared" si="658"/>
        <v>3525</v>
      </c>
      <c r="BB246" s="1107">
        <f t="shared" si="659"/>
        <v>0</v>
      </c>
      <c r="BC246" s="990">
        <v>0</v>
      </c>
      <c r="BD246" s="1107" t="str">
        <f t="shared" si="607"/>
        <v>0</v>
      </c>
      <c r="BE246" s="990">
        <v>0</v>
      </c>
      <c r="BF246" s="1107">
        <f t="shared" si="561"/>
        <v>0</v>
      </c>
      <c r="BG246" s="1108">
        <v>320</v>
      </c>
      <c r="BH246" s="1108">
        <v>0</v>
      </c>
      <c r="BI246" s="1132">
        <v>0</v>
      </c>
      <c r="BJ246" s="1108">
        <v>12.5</v>
      </c>
      <c r="BK246" s="1108">
        <v>0</v>
      </c>
      <c r="BL246" s="1107">
        <f t="shared" si="437"/>
        <v>21.69</v>
      </c>
      <c r="BM246" s="1107">
        <f t="shared" si="438"/>
        <v>2.71</v>
      </c>
      <c r="BN246" s="1107">
        <f t="shared" si="626"/>
        <v>4.7</v>
      </c>
      <c r="BO246" s="1107">
        <v>0</v>
      </c>
      <c r="BP246" s="1107">
        <v>0</v>
      </c>
      <c r="BQ246" s="1320">
        <f t="shared" si="660"/>
        <v>29.1</v>
      </c>
      <c r="BR246" s="1107">
        <f t="shared" si="439"/>
        <v>48.81</v>
      </c>
      <c r="BS246" s="1107">
        <f t="shared" si="440"/>
        <v>10.85</v>
      </c>
      <c r="BT246" s="1107">
        <f t="shared" si="627"/>
        <v>9.4</v>
      </c>
      <c r="BU246" s="1107">
        <v>0</v>
      </c>
      <c r="BV246" s="1108">
        <f t="shared" si="631"/>
        <v>69.06</v>
      </c>
      <c r="BW246" s="1112">
        <f t="shared" si="632"/>
        <v>98.16</v>
      </c>
      <c r="BX246" s="1112">
        <f t="shared" ref="BX246:BX264" si="662">ROUND(BA246/4,2)</f>
        <v>881.25</v>
      </c>
      <c r="BY246" s="1108">
        <v>0</v>
      </c>
      <c r="BZ246" s="1108">
        <f t="shared" si="661"/>
        <v>881.25</v>
      </c>
      <c r="CA246" s="1321">
        <f>'CONCEPTOS Y PARAMETROS'!$A$102</f>
        <v>6255</v>
      </c>
      <c r="CB246" s="1112">
        <f t="shared" si="611"/>
        <v>205.9</v>
      </c>
      <c r="CC246" s="1113">
        <f t="shared" si="612"/>
        <v>567.5</v>
      </c>
      <c r="CD246" s="512"/>
      <c r="CE246" s="512"/>
      <c r="CF246" s="470">
        <f t="shared" si="613"/>
        <v>875</v>
      </c>
      <c r="CG246" s="509">
        <f t="shared" si="628"/>
        <v>205.9</v>
      </c>
      <c r="CH246" s="1603">
        <f t="shared" si="614"/>
        <v>12.5</v>
      </c>
      <c r="CI246" s="1491">
        <f t="shared" si="608"/>
        <v>320</v>
      </c>
      <c r="CJ246" s="1502">
        <v>1</v>
      </c>
      <c r="CK246" s="509">
        <f t="shared" si="615"/>
        <v>555</v>
      </c>
      <c r="CL246" s="1689">
        <f t="shared" si="616"/>
        <v>555</v>
      </c>
      <c r="CM246" s="1689">
        <f t="shared" si="610"/>
        <v>0</v>
      </c>
      <c r="CN246" s="510">
        <f t="shared" si="617"/>
        <v>0</v>
      </c>
      <c r="CO246" s="511">
        <v>0</v>
      </c>
      <c r="CP246" s="510">
        <f t="shared" si="618"/>
        <v>0</v>
      </c>
      <c r="CQ246" s="510">
        <f t="shared" si="619"/>
        <v>0</v>
      </c>
      <c r="CR246" s="510">
        <f t="shared" si="620"/>
        <v>1110</v>
      </c>
      <c r="CS246" s="510">
        <f t="shared" si="621"/>
        <v>98.16</v>
      </c>
      <c r="CT246" s="510">
        <f t="shared" si="622"/>
        <v>6255</v>
      </c>
      <c r="CU246" s="512"/>
      <c r="CV246" s="512"/>
      <c r="CW246" s="512"/>
      <c r="CX246" s="512"/>
      <c r="CY246" s="1149" t="s">
        <v>7332</v>
      </c>
      <c r="CZ246" s="1149" t="s">
        <v>6870</v>
      </c>
      <c r="DA246" s="1152"/>
      <c r="DB246" s="1642" t="s">
        <v>7395</v>
      </c>
      <c r="DC246" s="1642"/>
      <c r="DD246" s="1642" t="s">
        <v>6158</v>
      </c>
      <c r="DE246" s="1642" t="s">
        <v>6255</v>
      </c>
      <c r="DF246" s="1643" t="s">
        <v>7396</v>
      </c>
      <c r="DG246" s="1643" t="s">
        <v>7397</v>
      </c>
      <c r="DH246" s="512"/>
      <c r="DI246" s="512"/>
      <c r="DJ246" s="512"/>
      <c r="DK246" s="512"/>
      <c r="DL246" s="512"/>
      <c r="DN246" s="476" t="str">
        <f>VLOOKUP(X246,Hoja1!$A$4:$B$10,2,0)</f>
        <v>PROFESIONAL</v>
      </c>
      <c r="DO246" s="476" t="str">
        <f>VLOOKUP(S246,Hoja1!$D$4:$F$77,3,0)</f>
        <v>PI</v>
      </c>
      <c r="DP246" s="1619" t="str">
        <f t="shared" si="623"/>
        <v>0</v>
      </c>
      <c r="DQ246" s="1484">
        <f>IF(T246&lt;&gt;"0",(ROUND(IF(A246="EMPLEADO",eval_formula('CONCEPTOS Y PARAMETROS'!$C$8,NOMINA!V246,AU246+BF246,NOMINA!I246+NOMINA!J246),eval_formula('CONCEPTOS Y PARAMETROS'!$D$8,NOMINA!V246,AU246+BF246,NOMINA!I246+NOMINA!J246)),2))*IF(H246&lt;&gt;"",IF(MONTH(H246)=$BR$8,IF(YEAR(H246)&lt;$BT$7,1,0),0)))</f>
        <v>0</v>
      </c>
      <c r="DR246" s="1799" t="str">
        <f t="shared" si="624"/>
        <v>F</v>
      </c>
      <c r="DS246" s="1799"/>
    </row>
    <row r="247" spans="1:123" s="476" customFormat="1" ht="21.95" customHeight="1" x14ac:dyDescent="0.25">
      <c r="A247" s="508" t="s">
        <v>2846</v>
      </c>
      <c r="B247" s="1314">
        <f t="shared" ca="1" si="471"/>
        <v>204</v>
      </c>
      <c r="C247" s="1148">
        <v>20655363</v>
      </c>
      <c r="D247" s="1149" t="s">
        <v>5967</v>
      </c>
      <c r="E247" s="1135" t="s">
        <v>4622</v>
      </c>
      <c r="F247" s="1150">
        <v>33672</v>
      </c>
      <c r="G247" s="1135" t="s">
        <v>4620</v>
      </c>
      <c r="H247" s="1150">
        <v>45323</v>
      </c>
      <c r="I247" s="1140">
        <f t="shared" si="625"/>
        <v>1</v>
      </c>
      <c r="J247" s="1132">
        <v>0</v>
      </c>
      <c r="K247" s="1140">
        <f t="shared" si="600"/>
        <v>1</v>
      </c>
      <c r="L247" s="1145" t="s">
        <v>5535</v>
      </c>
      <c r="M247" s="1132"/>
      <c r="N247" s="1132"/>
      <c r="O247" s="1002" t="s">
        <v>5218</v>
      </c>
      <c r="P247" s="1151" t="s">
        <v>5975</v>
      </c>
      <c r="Q247" s="1315" t="str">
        <f>IFERROR(VLOOKUP(O247,CARGOS!A:E,2,0),"")</f>
        <v>79511</v>
      </c>
      <c r="R247" s="1002" t="s">
        <v>5218</v>
      </c>
      <c r="S247" s="1146" t="s">
        <v>5462</v>
      </c>
      <c r="T247" s="1107">
        <f>IFERROR(VLOOKUP(S247,'TAB EMP'!A:B,2,0),0)</f>
        <v>192</v>
      </c>
      <c r="U247" s="1108">
        <v>0</v>
      </c>
      <c r="V247" s="1107">
        <f t="shared" ref="V247" si="663">T247-U247</f>
        <v>192</v>
      </c>
      <c r="W247" s="1108">
        <f t="shared" ref="W247" si="664">ROUND(V247/2,2)</f>
        <v>96</v>
      </c>
      <c r="X247" s="1135" t="s">
        <v>2885</v>
      </c>
      <c r="Y247" s="1135"/>
      <c r="Z247" s="1135">
        <v>2</v>
      </c>
      <c r="AA247" s="1107">
        <f>ROUND(IF(H247&lt;&gt;"",VLOOKUP(SUM(I247+J247),'CONCEPTOS Y PARAMETROS'!F:G,2,0)*V247,0),2)</f>
        <v>1.92</v>
      </c>
      <c r="AB247" s="1107">
        <f>IF(S247&lt;&gt;"",IF(M247="",'CONCEPTOS Y PARAMETROS'!$C$4,0),0)</f>
        <v>130</v>
      </c>
      <c r="AC247" s="1107">
        <f>IF(S247&lt;&gt;"",IF(M247="",'CONCEPTOS Y PARAMETROS'!$C$7*Z247,0),0)</f>
        <v>25</v>
      </c>
      <c r="AD247" s="1107">
        <f>IFERROR(ROUND(VLOOKUP($X247,'CONCEPTOS Y PARAMETROS'!H:I,2,0)*($V247+AA247+AB247+AC247),2),0)</f>
        <v>87.23</v>
      </c>
      <c r="AE247" s="1107">
        <f t="shared" ref="AE247" si="665">SUM(AA247:AD247)</f>
        <v>244.14999999999998</v>
      </c>
      <c r="AF247" s="1107">
        <f t="shared" ref="AF247" si="666">ROUND(AA247/2,2)</f>
        <v>0.96</v>
      </c>
      <c r="AG247" s="1107">
        <f t="shared" ref="AG247" si="667">ROUND(AA247-AF247,2)</f>
        <v>0.96</v>
      </c>
      <c r="AH247" s="1107">
        <f t="shared" ref="AH247" si="668">ROUND(AB247/2,2)</f>
        <v>65</v>
      </c>
      <c r="AI247" s="1107">
        <f t="shared" ref="AI247" si="669">ROUND(AB247-AH247,2)</f>
        <v>65</v>
      </c>
      <c r="AJ247" s="1107">
        <f t="shared" ref="AJ247" si="670">ROUND(AD247/2,2)</f>
        <v>43.62</v>
      </c>
      <c r="AK247" s="1107">
        <f t="shared" ref="AK247" si="671">ROUND(AD247-AJ247,2)</f>
        <v>43.61</v>
      </c>
      <c r="AL247" s="1108">
        <f t="shared" ref="AL247" si="672">ROUND(AF247+AH247+AJ247+AC247,2)</f>
        <v>134.58000000000001</v>
      </c>
      <c r="AM247" s="1108">
        <f t="shared" ref="AM247" si="673">ROUND(AG247+AI247+AK247,2)</f>
        <v>109.57</v>
      </c>
      <c r="AN247" s="1453">
        <v>2</v>
      </c>
      <c r="AO247" s="1147">
        <f>'CONCEPTOS Y PARAMETROS'!$C$18*AN247</f>
        <v>25</v>
      </c>
      <c r="AP247" s="990">
        <v>0</v>
      </c>
      <c r="AQ247" s="1147">
        <f>'CONCEPTOS Y PARAMETROS'!$C$21*AP247</f>
        <v>0</v>
      </c>
      <c r="AR247" s="1318">
        <v>0</v>
      </c>
      <c r="AS247" s="1318">
        <v>0</v>
      </c>
      <c r="AT247" s="1318">
        <f t="shared" ref="AT247" si="674">+AO247+AQ247+AR247+AS247</f>
        <v>25</v>
      </c>
      <c r="AU247" s="1108">
        <f t="shared" si="606"/>
        <v>567</v>
      </c>
      <c r="AV247" s="1133" t="s">
        <v>5080</v>
      </c>
      <c r="AW247" s="1108">
        <f t="shared" si="599"/>
        <v>130.85</v>
      </c>
      <c r="AX247" s="1107">
        <f>IF(T247&lt;&gt;"0",(ROUND(IF(A247="EMPLEADO",eval_formula('CONCEPTOS Y PARAMETROS'!$C$8,NOMINA!V247,NOMINA!$AU247,NOMINA!I247+NOMINA!J247),eval_formula('CONCEPTOS Y PARAMETROS'!$D$8,NOMINA!V247,NOMINA!$AU247,NOMINA!I247+NOMINA!J247)),2))*IF(H247&lt;&gt;"",IF(MONTH(H247)=$BR$8,IF(YEAR(H247)&lt;$BT$7,1,0),0)))</f>
        <v>0</v>
      </c>
      <c r="AY247" s="1108">
        <v>165</v>
      </c>
      <c r="AZ247" s="1107">
        <f>IFERROR(VLOOKUP(AY247,'CONCEPTOS Y PARAMETROS'!Y:Z,2,0),0)</f>
        <v>137.5</v>
      </c>
      <c r="BA247" s="1107">
        <f t="shared" ref="BA247" si="675">ROUND((((AU247))/30*AY247/12+(AU247))/30*AZ247,2)</f>
        <v>3789.84</v>
      </c>
      <c r="BB247" s="1107">
        <f t="shared" ref="BB247:BB264" si="676">ROUND(AU247/30*$BB$10,2)</f>
        <v>0</v>
      </c>
      <c r="BC247" s="990">
        <v>0</v>
      </c>
      <c r="BD247" s="1107" t="str">
        <f t="shared" si="607"/>
        <v>0</v>
      </c>
      <c r="BE247" s="990">
        <v>3</v>
      </c>
      <c r="BF247" s="1107">
        <f t="shared" si="561"/>
        <v>85.05</v>
      </c>
      <c r="BG247" s="1108">
        <v>320</v>
      </c>
      <c r="BH247" s="1108">
        <v>0</v>
      </c>
      <c r="BI247" s="1132">
        <v>0</v>
      </c>
      <c r="BJ247" s="1108">
        <v>12.5</v>
      </c>
      <c r="BK247" s="1108">
        <v>0</v>
      </c>
      <c r="BL247" s="1107">
        <f t="shared" si="437"/>
        <v>26.17</v>
      </c>
      <c r="BM247" s="1107">
        <f t="shared" si="438"/>
        <v>3.27</v>
      </c>
      <c r="BN247" s="1107">
        <f t="shared" si="626"/>
        <v>5.67</v>
      </c>
      <c r="BO247" s="1107">
        <v>0</v>
      </c>
      <c r="BP247" s="1107">
        <v>0</v>
      </c>
      <c r="BQ247" s="1320">
        <f t="shared" ref="BQ247" si="677">ROUND(SUM(BL247:BP247),2)</f>
        <v>35.11</v>
      </c>
      <c r="BR247" s="1107">
        <f t="shared" si="439"/>
        <v>58.88</v>
      </c>
      <c r="BS247" s="1107">
        <f t="shared" si="440"/>
        <v>13.08</v>
      </c>
      <c r="BT247" s="1107">
        <f t="shared" si="627"/>
        <v>11.34</v>
      </c>
      <c r="BU247" s="1107">
        <v>0</v>
      </c>
      <c r="BV247" s="1108">
        <f t="shared" ref="BV247" si="678">ROUND(SUM(BR247:BT247),2)</f>
        <v>83.3</v>
      </c>
      <c r="BW247" s="1112">
        <f t="shared" ref="BW247" si="679">BQ247+BV247</f>
        <v>118.41</v>
      </c>
      <c r="BX247" s="1112">
        <f t="shared" si="662"/>
        <v>947.46</v>
      </c>
      <c r="BY247" s="1108">
        <v>0</v>
      </c>
      <c r="BZ247" s="1108">
        <f t="shared" si="598"/>
        <v>947.46</v>
      </c>
      <c r="CA247" s="1321">
        <f>'CONCEPTOS Y PARAMETROS'!$A$102</f>
        <v>6255</v>
      </c>
      <c r="CB247" s="1112">
        <f t="shared" si="611"/>
        <v>195.47000000000003</v>
      </c>
      <c r="CC247" s="1113">
        <f t="shared" si="612"/>
        <v>778.97</v>
      </c>
      <c r="CD247" s="512"/>
      <c r="CE247" s="512"/>
      <c r="CF247" s="470">
        <f t="shared" si="613"/>
        <v>845.56999999999994</v>
      </c>
      <c r="CG247" s="509">
        <f t="shared" si="628"/>
        <v>195.47000000000003</v>
      </c>
      <c r="CH247" s="498">
        <f t="shared" si="614"/>
        <v>37.5</v>
      </c>
      <c r="CI247" s="1491">
        <f t="shared" si="608"/>
        <v>320</v>
      </c>
      <c r="CJ247" s="1500">
        <v>1</v>
      </c>
      <c r="CK247" s="509">
        <f t="shared" si="615"/>
        <v>525.56999999999994</v>
      </c>
      <c r="CL247" s="1689">
        <f t="shared" si="616"/>
        <v>525.57000000000005</v>
      </c>
      <c r="CM247" s="1689">
        <f t="shared" si="610"/>
        <v>0</v>
      </c>
      <c r="CN247" s="510">
        <f t="shared" si="617"/>
        <v>85.05</v>
      </c>
      <c r="CO247" s="511">
        <v>0</v>
      </c>
      <c r="CP247" s="510">
        <f t="shared" si="618"/>
        <v>130.85</v>
      </c>
      <c r="CQ247" s="510">
        <f t="shared" si="619"/>
        <v>0</v>
      </c>
      <c r="CR247" s="496">
        <f t="shared" si="620"/>
        <v>1267.0399999999997</v>
      </c>
      <c r="CS247" s="510">
        <f t="shared" si="621"/>
        <v>118.41</v>
      </c>
      <c r="CT247" s="510">
        <f t="shared" si="622"/>
        <v>6255</v>
      </c>
      <c r="CU247" s="470"/>
      <c r="CV247" s="470"/>
      <c r="CW247" s="470"/>
      <c r="CX247" s="470"/>
      <c r="CY247" s="1149" t="s">
        <v>6974</v>
      </c>
      <c r="CZ247" s="1149" t="s">
        <v>6975</v>
      </c>
      <c r="DA247" s="1152"/>
      <c r="DB247" s="1642" t="s">
        <v>7460</v>
      </c>
      <c r="DC247" s="1642"/>
      <c r="DD247" s="1642" t="s">
        <v>6133</v>
      </c>
      <c r="DE247" s="1642" t="s">
        <v>6133</v>
      </c>
      <c r="DF247" s="1642" t="s">
        <v>6496</v>
      </c>
      <c r="DG247" s="1642"/>
      <c r="DH247" s="512"/>
      <c r="DI247" s="512"/>
      <c r="DJ247" s="512"/>
      <c r="DK247" s="512"/>
      <c r="DL247" s="512"/>
      <c r="DN247" s="476" t="str">
        <f>VLOOKUP(X247,Hoja1!$A$4:$B$10,2,0)</f>
        <v>PROFESIONAL</v>
      </c>
      <c r="DO247" s="476" t="str">
        <f>VLOOKUP(S247,Hoja1!$D$4:$F$77,3,0)</f>
        <v>TI</v>
      </c>
      <c r="DP247" s="1158" t="str">
        <f t="shared" si="623"/>
        <v>SI</v>
      </c>
      <c r="DQ247" s="1484">
        <f>IF(T247&lt;&gt;"0",(ROUND(IF(A247="EMPLEADO",eval_formula('CONCEPTOS Y PARAMETROS'!$C$8,NOMINA!V247,AU247+BF247,NOMINA!I247+NOMINA!J247),eval_formula('CONCEPTOS Y PARAMETROS'!$D$8,NOMINA!V247,AU247+BF247,NOMINA!I247+NOMINA!J247)),2))*IF(H247&lt;&gt;"",IF(MONTH(H247)=$BR$8,IF(YEAR(H247)&lt;$BT$7,1,0),0)))</f>
        <v>0</v>
      </c>
      <c r="DR247" s="1799" t="str">
        <f t="shared" si="624"/>
        <v>F</v>
      </c>
      <c r="DS247" s="1799"/>
    </row>
    <row r="248" spans="1:123" s="476" customFormat="1" ht="21.95" customHeight="1" x14ac:dyDescent="0.25">
      <c r="A248" s="508" t="s">
        <v>2846</v>
      </c>
      <c r="B248" s="1314">
        <f t="shared" ca="1" si="471"/>
        <v>205</v>
      </c>
      <c r="C248" s="1148">
        <v>20401711</v>
      </c>
      <c r="D248" s="1149" t="s">
        <v>4887</v>
      </c>
      <c r="E248" s="1135" t="s">
        <v>4622</v>
      </c>
      <c r="F248" s="1150">
        <v>33888</v>
      </c>
      <c r="G248" s="1135" t="s">
        <v>4620</v>
      </c>
      <c r="H248" s="1150">
        <v>44363</v>
      </c>
      <c r="I248" s="1140">
        <f t="shared" si="625"/>
        <v>4</v>
      </c>
      <c r="J248" s="1132">
        <v>2</v>
      </c>
      <c r="K248" s="1140">
        <f t="shared" si="600"/>
        <v>6</v>
      </c>
      <c r="L248" s="1145" t="s">
        <v>5525</v>
      </c>
      <c r="M248" s="1132"/>
      <c r="N248" s="1132"/>
      <c r="O248" s="1002" t="s">
        <v>5217</v>
      </c>
      <c r="P248" s="1132" t="s">
        <v>5424</v>
      </c>
      <c r="Q248" s="1315" t="str">
        <f>IFERROR(VLOOKUP(O248,CARGOS!A:E,2,0),"")</f>
        <v>79512</v>
      </c>
      <c r="R248" s="1327" t="s">
        <v>5217</v>
      </c>
      <c r="S248" s="1146" t="s">
        <v>5478</v>
      </c>
      <c r="T248" s="1107">
        <f>IFERROR(VLOOKUP(S248,'TAB EMP'!A:B,2,0),0)</f>
        <v>221</v>
      </c>
      <c r="U248" s="1108">
        <v>0</v>
      </c>
      <c r="V248" s="1107">
        <f t="shared" ref="V248:V302" si="680">T248-U248</f>
        <v>221</v>
      </c>
      <c r="W248" s="1108">
        <f t="shared" ref="W248:W302" si="681">ROUND(V248/2,2)</f>
        <v>110.5</v>
      </c>
      <c r="X248" s="1135" t="s">
        <v>2844</v>
      </c>
      <c r="Y248" s="1135"/>
      <c r="Z248" s="1135">
        <v>2</v>
      </c>
      <c r="AA248" s="1107">
        <f>ROUND(IF(H248&lt;&gt;"",VLOOKUP(SUM(I248+J248),'CONCEPTOS Y PARAMETROS'!F:G,2,0)*V248,0),2)</f>
        <v>13.7</v>
      </c>
      <c r="AB248" s="1107">
        <f>IF(S248&lt;&gt;"",IF(M248="",'CONCEPTOS Y PARAMETROS'!$C$4,0),0)</f>
        <v>130</v>
      </c>
      <c r="AC248" s="1107">
        <f>IF(S248&lt;&gt;"",IF(M248="",'CONCEPTOS Y PARAMETROS'!$C$7*Z248,0),0)</f>
        <v>25</v>
      </c>
      <c r="AD248" s="1107">
        <f>IFERROR(ROUND(VLOOKUP($X248,'CONCEPTOS Y PARAMETROS'!H:I,2,0)*($V248+AA248+AB248+AC248),2),0)</f>
        <v>77.94</v>
      </c>
      <c r="AE248" s="1107">
        <f t="shared" si="647"/>
        <v>246.64</v>
      </c>
      <c r="AF248" s="1107">
        <f t="shared" ref="AF248:AF302" si="682">ROUND(AA248/2,2)</f>
        <v>6.85</v>
      </c>
      <c r="AG248" s="1107">
        <f t="shared" ref="AG248:AG302" si="683">ROUND(AA248-AF248,2)</f>
        <v>6.85</v>
      </c>
      <c r="AH248" s="1107">
        <f t="shared" ref="AH248:AH302" si="684">ROUND(AB248/2,2)</f>
        <v>65</v>
      </c>
      <c r="AI248" s="1107">
        <f t="shared" ref="AI248:AI302" si="685">ROUND(AB248-AH248,2)</f>
        <v>65</v>
      </c>
      <c r="AJ248" s="1107">
        <f t="shared" ref="AJ248:AJ302" si="686">ROUND(AD248/2,2)</f>
        <v>38.97</v>
      </c>
      <c r="AK248" s="1107">
        <f t="shared" ref="AK248:AK302" si="687">ROUND(AD248-AJ248,2)</f>
        <v>38.97</v>
      </c>
      <c r="AL248" s="1108">
        <f t="shared" ref="AL248:AL302" si="688">ROUND(AF248+AH248+AJ248+AC248,2)</f>
        <v>135.82</v>
      </c>
      <c r="AM248" s="1108">
        <f t="shared" ref="AM248:AM302" si="689">ROUND(AG248+AI248+AK248,2)</f>
        <v>110.82</v>
      </c>
      <c r="AN248" s="1453">
        <v>1</v>
      </c>
      <c r="AO248" s="1147">
        <f>'CONCEPTOS Y PARAMETROS'!$C$18*AN248</f>
        <v>12.5</v>
      </c>
      <c r="AP248" s="990">
        <v>0</v>
      </c>
      <c r="AQ248" s="1147">
        <f>'CONCEPTOS Y PARAMETROS'!$C$21*AP248</f>
        <v>0</v>
      </c>
      <c r="AR248" s="1318">
        <v>0</v>
      </c>
      <c r="AS248" s="1318">
        <v>0</v>
      </c>
      <c r="AT248" s="1318">
        <f t="shared" si="609"/>
        <v>12.5</v>
      </c>
      <c r="AU248" s="1108">
        <f t="shared" si="606"/>
        <v>607.92999999999995</v>
      </c>
      <c r="AV248" s="1133" t="s">
        <v>5080</v>
      </c>
      <c r="AW248" s="1108">
        <f t="shared" si="599"/>
        <v>140.29</v>
      </c>
      <c r="AX248" s="1107">
        <f>IF(T248&lt;&gt;"0",(ROUND(IF(A248="EMPLEADO",eval_formula('CONCEPTOS Y PARAMETROS'!$C$8,NOMINA!V248,NOMINA!$AU248,NOMINA!I248+NOMINA!J248),eval_formula('CONCEPTOS Y PARAMETROS'!$D$8,NOMINA!V248,NOMINA!$AU248,NOMINA!I248+NOMINA!J248)),2))*IF(H248&lt;&gt;"",IF(MONTH(H248)=$BR$8,IF(YEAR(H248)&lt;$BT$7,1,0),0)))</f>
        <v>0</v>
      </c>
      <c r="AY248" s="1108">
        <v>180</v>
      </c>
      <c r="AZ248" s="1107">
        <f>IFERROR(VLOOKUP(AY248,'CONCEPTOS Y PARAMETROS'!Y:Z,2,0),0)</f>
        <v>150</v>
      </c>
      <c r="BA248" s="1107">
        <f t="shared" ref="BA248:BA302" si="690">ROUND((((AU248))/30*AY248/12+(AU248))/30*AZ248,2)</f>
        <v>4559.4799999999996</v>
      </c>
      <c r="BB248" s="1107">
        <f t="shared" si="676"/>
        <v>0</v>
      </c>
      <c r="BC248" s="990">
        <v>0</v>
      </c>
      <c r="BD248" s="1107" t="str">
        <f t="shared" si="607"/>
        <v>0</v>
      </c>
      <c r="BE248" s="990">
        <v>3</v>
      </c>
      <c r="BF248" s="1107">
        <f t="shared" si="561"/>
        <v>91.19</v>
      </c>
      <c r="BG248" s="1108">
        <v>320</v>
      </c>
      <c r="BH248" s="1108">
        <v>0</v>
      </c>
      <c r="BI248" s="1132">
        <v>0</v>
      </c>
      <c r="BJ248" s="1108">
        <v>12.5</v>
      </c>
      <c r="BK248" s="1108">
        <v>0</v>
      </c>
      <c r="BL248" s="1107">
        <f t="shared" si="437"/>
        <v>28.06</v>
      </c>
      <c r="BM248" s="1107">
        <f t="shared" si="438"/>
        <v>3.51</v>
      </c>
      <c r="BN248" s="1107">
        <f t="shared" si="626"/>
        <v>6.08</v>
      </c>
      <c r="BO248" s="1107">
        <v>0</v>
      </c>
      <c r="BP248" s="1107">
        <v>0</v>
      </c>
      <c r="BQ248" s="1320">
        <f t="shared" si="630"/>
        <v>37.65</v>
      </c>
      <c r="BR248" s="1107">
        <f t="shared" si="439"/>
        <v>63.13</v>
      </c>
      <c r="BS248" s="1107">
        <f t="shared" si="440"/>
        <v>14.03</v>
      </c>
      <c r="BT248" s="1107">
        <f t="shared" si="627"/>
        <v>12.16</v>
      </c>
      <c r="BU248" s="1107">
        <v>0</v>
      </c>
      <c r="BV248" s="1108">
        <f t="shared" si="631"/>
        <v>89.32</v>
      </c>
      <c r="BW248" s="1112">
        <f t="shared" si="632"/>
        <v>126.97</v>
      </c>
      <c r="BX248" s="1112">
        <f t="shared" si="662"/>
        <v>1139.8699999999999</v>
      </c>
      <c r="BY248" s="1108">
        <v>0</v>
      </c>
      <c r="BZ248" s="1108">
        <f t="shared" si="598"/>
        <v>1139.8699999999999</v>
      </c>
      <c r="CA248" s="1321">
        <f>'CONCEPTOS Y PARAMETROS'!$A$102</f>
        <v>6255</v>
      </c>
      <c r="CB248" s="1112">
        <f t="shared" si="611"/>
        <v>208.67</v>
      </c>
      <c r="CC248" s="1113">
        <f t="shared" si="612"/>
        <v>797.8</v>
      </c>
      <c r="CD248" s="512"/>
      <c r="CE248" s="512"/>
      <c r="CF248" s="470">
        <f t="shared" si="613"/>
        <v>861.31999999999994</v>
      </c>
      <c r="CG248" s="495">
        <f t="shared" si="628"/>
        <v>208.67</v>
      </c>
      <c r="CH248" s="498">
        <f t="shared" si="614"/>
        <v>25</v>
      </c>
      <c r="CI248" s="1490">
        <f t="shared" si="608"/>
        <v>320</v>
      </c>
      <c r="CJ248" s="1500">
        <v>1</v>
      </c>
      <c r="CK248" s="495">
        <f t="shared" si="615"/>
        <v>541.31999999999994</v>
      </c>
      <c r="CL248" s="1689">
        <f t="shared" si="616"/>
        <v>541.32000000000005</v>
      </c>
      <c r="CM248" s="1689">
        <f t="shared" si="610"/>
        <v>0</v>
      </c>
      <c r="CN248" s="496">
        <f t="shared" si="617"/>
        <v>91.19</v>
      </c>
      <c r="CO248" s="497">
        <v>0</v>
      </c>
      <c r="CP248" s="496">
        <f t="shared" si="618"/>
        <v>140.29</v>
      </c>
      <c r="CQ248" s="496">
        <f t="shared" si="619"/>
        <v>0</v>
      </c>
      <c r="CR248" s="496">
        <f t="shared" si="620"/>
        <v>1314.12</v>
      </c>
      <c r="CS248" s="496">
        <f t="shared" si="621"/>
        <v>126.97</v>
      </c>
      <c r="CT248" s="496">
        <f t="shared" si="622"/>
        <v>6255</v>
      </c>
      <c r="CU248" s="470"/>
      <c r="CV248" s="470"/>
      <c r="CW248" s="470"/>
      <c r="CX248" s="470"/>
      <c r="CY248" s="1149" t="s">
        <v>6976</v>
      </c>
      <c r="CZ248" s="1149" t="s">
        <v>6977</v>
      </c>
      <c r="DA248" s="1152"/>
      <c r="DB248" s="1642" t="s">
        <v>6303</v>
      </c>
      <c r="DC248" s="1642"/>
      <c r="DD248" s="1642" t="s">
        <v>6253</v>
      </c>
      <c r="DE248" s="1642" t="s">
        <v>6254</v>
      </c>
      <c r="DF248" s="1642" t="s">
        <v>6596</v>
      </c>
      <c r="DG248" s="1642"/>
      <c r="DH248" s="512"/>
      <c r="DI248" s="512"/>
      <c r="DJ248" s="470"/>
      <c r="DK248" s="470"/>
      <c r="DL248" s="470"/>
      <c r="DM248" s="471"/>
      <c r="DN248" s="471" t="str">
        <f>VLOOKUP(X248,Hoja1!$A$4:$B$10,2,0)</f>
        <v>TÉCNICO SUPERIOR UNIVERSITARIO</v>
      </c>
      <c r="DO248" s="471" t="str">
        <f>VLOOKUP(S248,Hoja1!$D$4:$F$77,3,0)</f>
        <v>TII - III</v>
      </c>
      <c r="DP248" s="1156" t="str">
        <f t="shared" si="623"/>
        <v>SI</v>
      </c>
      <c r="DQ248" s="1484">
        <f>IF(T248&lt;&gt;"0",(ROUND(IF(A248="EMPLEADO",eval_formula('CONCEPTOS Y PARAMETROS'!$C$8,NOMINA!V248,AU248+BF248,NOMINA!I248+NOMINA!J248),eval_formula('CONCEPTOS Y PARAMETROS'!$D$8,NOMINA!V248,AU248+BF248,NOMINA!I248+NOMINA!J248)),2))*IF(H248&lt;&gt;"",IF(MONTH(H248)=$BR$8,IF(YEAR(H248)&lt;$BT$7,1,0),0)))</f>
        <v>0</v>
      </c>
      <c r="DR248" s="1801" t="str">
        <f t="shared" si="624"/>
        <v>F</v>
      </c>
      <c r="DS248" s="1801"/>
    </row>
    <row r="249" spans="1:123" s="476" customFormat="1" ht="21.95" customHeight="1" x14ac:dyDescent="0.2">
      <c r="A249" s="508" t="s">
        <v>2846</v>
      </c>
      <c r="B249" s="1314">
        <f t="shared" ca="1" si="471"/>
        <v>206</v>
      </c>
      <c r="C249" s="1148">
        <v>20428039</v>
      </c>
      <c r="D249" s="1149" t="s">
        <v>6759</v>
      </c>
      <c r="E249" s="1135" t="s">
        <v>4622</v>
      </c>
      <c r="F249" s="1150">
        <v>33242</v>
      </c>
      <c r="G249" s="1135" t="s">
        <v>4621</v>
      </c>
      <c r="H249" s="1150">
        <v>45566</v>
      </c>
      <c r="I249" s="1140">
        <f t="shared" si="625"/>
        <v>0</v>
      </c>
      <c r="J249" s="1132">
        <v>4</v>
      </c>
      <c r="K249" s="1140">
        <f t="shared" si="600"/>
        <v>4</v>
      </c>
      <c r="L249" s="1145" t="s">
        <v>5536</v>
      </c>
      <c r="M249" s="1132"/>
      <c r="N249" s="1132"/>
      <c r="O249" s="1002" t="s">
        <v>5218</v>
      </c>
      <c r="P249" s="1151" t="s">
        <v>6760</v>
      </c>
      <c r="Q249" s="1373" t="str">
        <f>IFERROR(VLOOKUP(O249,CARGOS!A:E,2,0),"")</f>
        <v>79511</v>
      </c>
      <c r="R249" s="1327" t="s">
        <v>5218</v>
      </c>
      <c r="S249" s="1146" t="s">
        <v>5470</v>
      </c>
      <c r="T249" s="1107">
        <f>IFERROR(VLOOKUP(S249,'TAB EMP'!A:B,2,0),0)</f>
        <v>130</v>
      </c>
      <c r="U249" s="1108">
        <v>0</v>
      </c>
      <c r="V249" s="1107">
        <f t="shared" ref="V249" si="691">T249-U249</f>
        <v>130</v>
      </c>
      <c r="W249" s="1108">
        <f t="shared" ref="W249" si="692">ROUND(V249/2,2)</f>
        <v>65</v>
      </c>
      <c r="X249" s="1135" t="s">
        <v>2884</v>
      </c>
      <c r="Y249" s="1135"/>
      <c r="Z249" s="1135">
        <v>2</v>
      </c>
      <c r="AA249" s="1107">
        <f>ROUND(IF(H249&lt;&gt;"",VLOOKUP(SUM(I249+J249),'CONCEPTOS Y PARAMETROS'!F:G,2,0)*V249,0),2)</f>
        <v>5.2</v>
      </c>
      <c r="AB249" s="1107">
        <f>IF(S249&lt;&gt;"",IF(M249="",'CONCEPTOS Y PARAMETROS'!$C$4,0),0)</f>
        <v>130</v>
      </c>
      <c r="AC249" s="1107">
        <f>IF(S249&lt;&gt;"",IF(M249="",'CONCEPTOS Y PARAMETROS'!$C$7*Z249,0),0)</f>
        <v>25</v>
      </c>
      <c r="AD249" s="1107">
        <f>IFERROR(ROUND(VLOOKUP($X249,'CONCEPTOS Y PARAMETROS'!H:I,2,0)*($V249+AA249+AB249+AC249),2),0)</f>
        <v>0</v>
      </c>
      <c r="AE249" s="1107">
        <f t="shared" ref="AE249" si="693">SUM(AA249:AD249)</f>
        <v>160.19999999999999</v>
      </c>
      <c r="AF249" s="1107">
        <f t="shared" ref="AF249" si="694">ROUND(AA249/2,2)</f>
        <v>2.6</v>
      </c>
      <c r="AG249" s="1107">
        <f t="shared" ref="AG249" si="695">ROUND(AA249-AF249,2)</f>
        <v>2.6</v>
      </c>
      <c r="AH249" s="1107">
        <f t="shared" ref="AH249" si="696">ROUND(AB249/2,2)</f>
        <v>65</v>
      </c>
      <c r="AI249" s="1107">
        <f t="shared" ref="AI249" si="697">ROUND(AB249-AH249,2)</f>
        <v>65</v>
      </c>
      <c r="AJ249" s="1107">
        <f t="shared" ref="AJ249" si="698">ROUND(AD249/2,2)</f>
        <v>0</v>
      </c>
      <c r="AK249" s="1107">
        <f t="shared" ref="AK249" si="699">ROUND(AD249-AJ249,2)</f>
        <v>0</v>
      </c>
      <c r="AL249" s="1108">
        <f t="shared" ref="AL249" si="700">ROUND(AF249+AH249+AJ249+AC249,2)</f>
        <v>92.6</v>
      </c>
      <c r="AM249" s="1108">
        <f t="shared" ref="AM249" si="701">ROUND(AG249+AI249+AK249,2)</f>
        <v>67.599999999999994</v>
      </c>
      <c r="AN249" s="1453">
        <v>2</v>
      </c>
      <c r="AO249" s="1147">
        <f>'CONCEPTOS Y PARAMETROS'!$C$18*AN249</f>
        <v>25</v>
      </c>
      <c r="AP249" s="990">
        <v>0</v>
      </c>
      <c r="AQ249" s="1147">
        <f>'CONCEPTOS Y PARAMETROS'!$C$21*AP249</f>
        <v>0</v>
      </c>
      <c r="AR249" s="1318">
        <v>0</v>
      </c>
      <c r="AS249" s="1318">
        <v>0</v>
      </c>
      <c r="AT249" s="1318">
        <f t="shared" si="609"/>
        <v>25</v>
      </c>
      <c r="AU249" s="1108">
        <f t="shared" si="606"/>
        <v>377.26</v>
      </c>
      <c r="AV249" s="1133" t="s">
        <v>5080</v>
      </c>
      <c r="AW249" s="1108">
        <f t="shared" si="599"/>
        <v>87.06</v>
      </c>
      <c r="AX249" s="1108">
        <f>IF(T249&lt;&gt;"0",(ROUND(IF(A249="EMPLEADO",eval_formula('CONCEPTOS Y PARAMETROS'!$C$8,NOMINA!V249,NOMINA!$AU249,NOMINA!I249+NOMINA!J249),eval_formula('CONCEPTOS Y PARAMETROS'!$D$8,NOMINA!V249,NOMINA!$AU249,NOMINA!I249+NOMINA!J249)),2))*IF(H249&lt;&gt;"",IF(MONTH(H249)=$BR$8,IF(YEAR(H249)&lt;$BT$7,1,0),0)))</f>
        <v>0</v>
      </c>
      <c r="AY249" s="1108">
        <v>45</v>
      </c>
      <c r="AZ249" s="1107">
        <f>IFERROR(VLOOKUP(AY249,'CONCEPTOS Y PARAMETROS'!Y:Z,2,0),0)</f>
        <v>37.5</v>
      </c>
      <c r="BA249" s="1107">
        <f t="shared" ref="BA249" si="702">ROUND((((AU249))/30*AY249/12+(AU249))/30*AZ249,2)</f>
        <v>530.52</v>
      </c>
      <c r="BB249" s="1107">
        <f t="shared" si="676"/>
        <v>0</v>
      </c>
      <c r="BC249" s="990">
        <v>0</v>
      </c>
      <c r="BD249" s="1107" t="str">
        <f t="shared" si="607"/>
        <v>0</v>
      </c>
      <c r="BE249" s="1637">
        <v>3</v>
      </c>
      <c r="BF249" s="1107">
        <f t="shared" ref="BF249:BF277" si="703">ROUND(IF(BE249&gt;0,(((V249+AA249+AB249+AC249+AD249+AW249)/30)*50%+((V249+AA249+AB249+AC249+AD249+AW249)/30))*BE249,"0"),2)</f>
        <v>56.59</v>
      </c>
      <c r="BG249" s="1108">
        <v>320</v>
      </c>
      <c r="BH249" s="1108">
        <v>0</v>
      </c>
      <c r="BI249" s="1132">
        <v>0</v>
      </c>
      <c r="BJ249" s="1108">
        <v>12.5</v>
      </c>
      <c r="BK249" s="1108">
        <v>0</v>
      </c>
      <c r="BL249" s="1107">
        <f t="shared" ref="BL249:BL302" si="704">ROUND(IF(M249="", (((AU249*12)/52)*4%)*$BS$8,0),2)</f>
        <v>17.41</v>
      </c>
      <c r="BM249" s="1107">
        <f t="shared" ref="BM249:BM302" si="705">ROUND(IF(M249="",(((AU249*12)/52)*0.5%)*$BS$8,0),2)</f>
        <v>2.1800000000000002</v>
      </c>
      <c r="BN249" s="1107">
        <f t="shared" si="626"/>
        <v>3.77</v>
      </c>
      <c r="BO249" s="1107">
        <v>0</v>
      </c>
      <c r="BP249" s="1107">
        <v>0</v>
      </c>
      <c r="BQ249" s="1320">
        <f t="shared" ref="BQ249" si="706">ROUND(SUM(BL249:BP249),2)</f>
        <v>23.36</v>
      </c>
      <c r="BR249" s="1107">
        <f t="shared" ref="BR249:BR302" si="707">ROUND(IF(M249="", (((AU249*12)/52)*9%)*$BS$8,0),2)</f>
        <v>39.18</v>
      </c>
      <c r="BS249" s="1107">
        <f t="shared" ref="BS249:BS302" si="708">ROUND(IF(M249="",(((AU249*12)/52)*2%)*$BS$8,0),2)</f>
        <v>8.7100000000000009</v>
      </c>
      <c r="BT249" s="1107">
        <f t="shared" si="627"/>
        <v>7.54</v>
      </c>
      <c r="BU249" s="1107">
        <v>0</v>
      </c>
      <c r="BV249" s="1108">
        <f t="shared" si="631"/>
        <v>55.43</v>
      </c>
      <c r="BW249" s="1112">
        <f t="shared" si="632"/>
        <v>78.789999999999992</v>
      </c>
      <c r="BX249" s="1112">
        <f t="shared" si="662"/>
        <v>132.63</v>
      </c>
      <c r="BY249" s="1108">
        <v>0</v>
      </c>
      <c r="BZ249" s="1108">
        <f t="shared" si="598"/>
        <v>132.63</v>
      </c>
      <c r="CA249" s="1321">
        <f>'CONCEPTOS Y PARAMETROS'!$A$102</f>
        <v>6255</v>
      </c>
      <c r="CB249" s="1112">
        <f t="shared" si="611"/>
        <v>134.24</v>
      </c>
      <c r="CC249" s="1113">
        <f t="shared" si="612"/>
        <v>633.75</v>
      </c>
      <c r="CD249" s="512"/>
      <c r="CE249" s="512"/>
      <c r="CF249" s="470">
        <f t="shared" si="613"/>
        <v>772.6</v>
      </c>
      <c r="CG249" s="509">
        <f t="shared" si="628"/>
        <v>134.24</v>
      </c>
      <c r="CH249" s="498">
        <f t="shared" si="614"/>
        <v>37.5</v>
      </c>
      <c r="CI249" s="1491">
        <f t="shared" si="608"/>
        <v>320</v>
      </c>
      <c r="CJ249" s="1500">
        <v>1</v>
      </c>
      <c r="CK249" s="509">
        <f t="shared" si="615"/>
        <v>452.6</v>
      </c>
      <c r="CL249" s="1689">
        <f t="shared" si="616"/>
        <v>452.6</v>
      </c>
      <c r="CM249" s="1689">
        <f t="shared" si="610"/>
        <v>0</v>
      </c>
      <c r="CN249" s="510">
        <f t="shared" si="617"/>
        <v>56.59</v>
      </c>
      <c r="CO249" s="511">
        <v>0</v>
      </c>
      <c r="CP249" s="510">
        <f t="shared" si="618"/>
        <v>87.06</v>
      </c>
      <c r="CQ249" s="510">
        <f t="shared" si="619"/>
        <v>0</v>
      </c>
      <c r="CR249" s="496">
        <f t="shared" si="620"/>
        <v>1048.8500000000001</v>
      </c>
      <c r="CS249" s="510">
        <f t="shared" si="621"/>
        <v>78.789999999999992</v>
      </c>
      <c r="CT249" s="510">
        <f t="shared" si="622"/>
        <v>6255</v>
      </c>
      <c r="CU249" s="470"/>
      <c r="CV249" s="470"/>
      <c r="CW249" s="470"/>
      <c r="CX249" s="470"/>
      <c r="CY249" s="1149" t="s">
        <v>6897</v>
      </c>
      <c r="CZ249" s="1149" t="s">
        <v>6978</v>
      </c>
      <c r="DA249" s="1152"/>
      <c r="DB249" s="1642" t="s">
        <v>6761</v>
      </c>
      <c r="DC249" s="1642"/>
      <c r="DD249" s="1642" t="s">
        <v>6158</v>
      </c>
      <c r="DE249" s="1647" t="s">
        <v>6222</v>
      </c>
      <c r="DF249" s="1642" t="s">
        <v>7486</v>
      </c>
      <c r="DG249" s="1642" t="s">
        <v>7487</v>
      </c>
      <c r="DH249" s="512"/>
      <c r="DI249" s="512"/>
      <c r="DJ249" s="512"/>
      <c r="DK249" s="512"/>
      <c r="DL249" s="512"/>
      <c r="DN249" s="476" t="str">
        <f>VLOOKUP(X249,Hoja1!$A$4:$B$10,2,0)</f>
        <v>BACHILLER</v>
      </c>
      <c r="DO249" s="476" t="str">
        <f>VLOOKUP(S249,Hoja1!$D$4:$F$77,3,0)</f>
        <v>BI</v>
      </c>
      <c r="DP249" s="1303" t="str">
        <f t="shared" si="623"/>
        <v>SI</v>
      </c>
      <c r="DQ249" s="1484">
        <f>IF(T249&lt;&gt;"0",(ROUND(IF(A249="EMPLEADO",eval_formula('CONCEPTOS Y PARAMETROS'!$C$8,NOMINA!V249,AU249+BF249,NOMINA!I249+NOMINA!J249),eval_formula('CONCEPTOS Y PARAMETROS'!$D$8,NOMINA!V249,AU249+BF249,NOMINA!I249+NOMINA!J249)),2))*IF(H249&lt;&gt;"",IF(MONTH(H249)=$BR$8,IF(YEAR(H249)&lt;$BT$7,1,0),0)))</f>
        <v>0</v>
      </c>
      <c r="DR249" s="1799" t="str">
        <f t="shared" si="624"/>
        <v>M</v>
      </c>
      <c r="DS249" s="1799"/>
    </row>
    <row r="250" spans="1:123" s="476" customFormat="1" ht="21.95" customHeight="1" x14ac:dyDescent="0.25">
      <c r="A250" s="508" t="s">
        <v>2846</v>
      </c>
      <c r="B250" s="1314">
        <f t="shared" ca="1" si="471"/>
        <v>207</v>
      </c>
      <c r="C250" s="1148">
        <v>20603227</v>
      </c>
      <c r="D250" s="1149" t="s">
        <v>4888</v>
      </c>
      <c r="E250" s="1135" t="s">
        <v>4622</v>
      </c>
      <c r="F250" s="1150">
        <v>33456</v>
      </c>
      <c r="G250" s="1135" t="s">
        <v>4620</v>
      </c>
      <c r="H250" s="1150">
        <v>44470</v>
      </c>
      <c r="I250" s="1140">
        <f t="shared" si="625"/>
        <v>3</v>
      </c>
      <c r="J250" s="1132">
        <v>0</v>
      </c>
      <c r="K250" s="1140">
        <f t="shared" si="600"/>
        <v>3</v>
      </c>
      <c r="L250" s="1145" t="s">
        <v>5531</v>
      </c>
      <c r="M250" s="1132"/>
      <c r="N250" s="1132"/>
      <c r="O250" s="1002" t="s">
        <v>5250</v>
      </c>
      <c r="P250" s="1132" t="s">
        <v>5425</v>
      </c>
      <c r="Q250" s="1315" t="str">
        <f>IFERROR(VLOOKUP(O250,CARGOS!A:E,2,0),"")</f>
        <v>79342</v>
      </c>
      <c r="R250" s="1327" t="s">
        <v>5250</v>
      </c>
      <c r="S250" s="1146" t="s">
        <v>5468</v>
      </c>
      <c r="T250" s="1107">
        <f>IFERROR(VLOOKUP(S250,'TAB EMP'!A:B,2,0),0)</f>
        <v>219</v>
      </c>
      <c r="U250" s="1108">
        <v>0</v>
      </c>
      <c r="V250" s="1107">
        <f t="shared" si="680"/>
        <v>219</v>
      </c>
      <c r="W250" s="1108">
        <f t="shared" si="681"/>
        <v>109.5</v>
      </c>
      <c r="X250" s="1135" t="s">
        <v>2844</v>
      </c>
      <c r="Y250" s="1135"/>
      <c r="Z250" s="1135">
        <v>2</v>
      </c>
      <c r="AA250" s="1107">
        <f>ROUND(IF(H250&lt;&gt;"",VLOOKUP(SUM(I250+J250),'CONCEPTOS Y PARAMETROS'!F:G,2,0)*V250,0),2)</f>
        <v>6.57</v>
      </c>
      <c r="AB250" s="1107">
        <f>IF(S250&lt;&gt;"",IF(M250="",'CONCEPTOS Y PARAMETROS'!$C$4,0),0)</f>
        <v>130</v>
      </c>
      <c r="AC250" s="1107">
        <f>IF(S250&lt;&gt;"",IF(M250="",'CONCEPTOS Y PARAMETROS'!$C$7*Z250,0),0)</f>
        <v>25</v>
      </c>
      <c r="AD250" s="1107">
        <f>IFERROR(ROUND(VLOOKUP($X250,'CONCEPTOS Y PARAMETROS'!H:I,2,0)*($V250+AA250+AB250+AC250),2),0)</f>
        <v>76.11</v>
      </c>
      <c r="AE250" s="1107">
        <f t="shared" si="647"/>
        <v>237.68</v>
      </c>
      <c r="AF250" s="1107">
        <f t="shared" si="682"/>
        <v>3.29</v>
      </c>
      <c r="AG250" s="1107">
        <f t="shared" si="683"/>
        <v>3.28</v>
      </c>
      <c r="AH250" s="1107">
        <f t="shared" si="684"/>
        <v>65</v>
      </c>
      <c r="AI250" s="1107">
        <f t="shared" si="685"/>
        <v>65</v>
      </c>
      <c r="AJ250" s="1107">
        <f t="shared" si="686"/>
        <v>38.06</v>
      </c>
      <c r="AK250" s="1107">
        <f t="shared" si="687"/>
        <v>38.049999999999997</v>
      </c>
      <c r="AL250" s="1108">
        <f t="shared" si="688"/>
        <v>131.35</v>
      </c>
      <c r="AM250" s="1108">
        <f t="shared" si="689"/>
        <v>106.33</v>
      </c>
      <c r="AN250" s="990">
        <v>2</v>
      </c>
      <c r="AO250" s="1147">
        <f>'CONCEPTOS Y PARAMETROS'!$C$18*AN250</f>
        <v>25</v>
      </c>
      <c r="AP250" s="990">
        <v>0</v>
      </c>
      <c r="AQ250" s="1147">
        <f>'CONCEPTOS Y PARAMETROS'!$C$21*AP250</f>
        <v>0</v>
      </c>
      <c r="AR250" s="1318">
        <v>0</v>
      </c>
      <c r="AS250" s="1318">
        <v>0</v>
      </c>
      <c r="AT250" s="1318">
        <f t="shared" si="609"/>
        <v>25</v>
      </c>
      <c r="AU250" s="1108">
        <f t="shared" si="606"/>
        <v>456.68</v>
      </c>
      <c r="AV250" s="1133">
        <v>0</v>
      </c>
      <c r="AW250" s="1108">
        <f t="shared" si="599"/>
        <v>0</v>
      </c>
      <c r="AX250" s="1107">
        <f>IF(T250&lt;&gt;"0",(ROUND(IF(A250="EMPLEADO",eval_formula('CONCEPTOS Y PARAMETROS'!$C$8,NOMINA!V250,NOMINA!$AU250,NOMINA!I250+NOMINA!J250),eval_formula('CONCEPTOS Y PARAMETROS'!$D$8,NOMINA!V250,NOMINA!$AU250,NOMINA!I250+NOMINA!J250)),2))*IF(H250&lt;&gt;"",IF(MONTH(H250)=$BR$8,IF(YEAR(H250)&lt;$BT$7,1,0),0)))</f>
        <v>0</v>
      </c>
      <c r="AY250" s="1108">
        <v>180</v>
      </c>
      <c r="AZ250" s="1107">
        <f>IFERROR(VLOOKUP(AY250,'CONCEPTOS Y PARAMETROS'!Y:Z,2,0),0)</f>
        <v>150</v>
      </c>
      <c r="BA250" s="1107">
        <f t="shared" si="690"/>
        <v>3425.1</v>
      </c>
      <c r="BB250" s="1107">
        <f t="shared" si="676"/>
        <v>0</v>
      </c>
      <c r="BC250" s="990">
        <v>0</v>
      </c>
      <c r="BD250" s="1107" t="str">
        <f t="shared" si="607"/>
        <v>0</v>
      </c>
      <c r="BE250" s="990">
        <v>0</v>
      </c>
      <c r="BF250" s="1107">
        <f t="shared" si="703"/>
        <v>0</v>
      </c>
      <c r="BG250" s="1108">
        <v>320</v>
      </c>
      <c r="BH250" s="1108">
        <v>0</v>
      </c>
      <c r="BI250" s="1132">
        <v>0</v>
      </c>
      <c r="BJ250" s="1108">
        <v>12.5</v>
      </c>
      <c r="BK250" s="1108">
        <v>0</v>
      </c>
      <c r="BL250" s="1107">
        <f t="shared" si="704"/>
        <v>21.08</v>
      </c>
      <c r="BM250" s="1107">
        <f t="shared" si="705"/>
        <v>2.63</v>
      </c>
      <c r="BN250" s="1107">
        <f t="shared" si="626"/>
        <v>4.57</v>
      </c>
      <c r="BO250" s="1107">
        <v>0</v>
      </c>
      <c r="BP250" s="1107">
        <v>0</v>
      </c>
      <c r="BQ250" s="1320">
        <f t="shared" si="630"/>
        <v>28.28</v>
      </c>
      <c r="BR250" s="1107">
        <f t="shared" si="707"/>
        <v>47.42</v>
      </c>
      <c r="BS250" s="1107">
        <f t="shared" si="708"/>
        <v>10.54</v>
      </c>
      <c r="BT250" s="1107">
        <f t="shared" si="627"/>
        <v>9.14</v>
      </c>
      <c r="BU250" s="1107">
        <v>0</v>
      </c>
      <c r="BV250" s="1108">
        <f t="shared" si="631"/>
        <v>67.099999999999994</v>
      </c>
      <c r="BW250" s="1112">
        <f t="shared" si="632"/>
        <v>95.38</v>
      </c>
      <c r="BX250" s="1112">
        <f t="shared" si="662"/>
        <v>856.28</v>
      </c>
      <c r="BY250" s="1108">
        <v>0</v>
      </c>
      <c r="BZ250" s="1108">
        <f t="shared" si="598"/>
        <v>856.28</v>
      </c>
      <c r="CA250" s="1321">
        <f>'CONCEPTOS Y PARAMETROS'!$A$102</f>
        <v>6255</v>
      </c>
      <c r="CB250" s="1112">
        <f t="shared" si="611"/>
        <v>212.57</v>
      </c>
      <c r="CC250" s="1113">
        <f t="shared" si="612"/>
        <v>573.33000000000004</v>
      </c>
      <c r="CD250" s="512"/>
      <c r="CE250" s="512"/>
      <c r="CF250" s="470">
        <f t="shared" si="613"/>
        <v>855.82999999999993</v>
      </c>
      <c r="CG250" s="509">
        <f t="shared" si="628"/>
        <v>212.57</v>
      </c>
      <c r="CH250" s="1603">
        <f t="shared" si="614"/>
        <v>37.5</v>
      </c>
      <c r="CI250" s="1491">
        <f t="shared" si="608"/>
        <v>320</v>
      </c>
      <c r="CJ250" s="1502">
        <v>1</v>
      </c>
      <c r="CK250" s="509">
        <f t="shared" si="615"/>
        <v>535.82999999999993</v>
      </c>
      <c r="CL250" s="1689">
        <f t="shared" si="616"/>
        <v>535.83000000000004</v>
      </c>
      <c r="CM250" s="1689">
        <f t="shared" si="610"/>
        <v>0</v>
      </c>
      <c r="CN250" s="510">
        <f t="shared" si="617"/>
        <v>0</v>
      </c>
      <c r="CO250" s="511">
        <v>0</v>
      </c>
      <c r="CP250" s="510">
        <f t="shared" si="618"/>
        <v>0</v>
      </c>
      <c r="CQ250" s="510">
        <f t="shared" si="619"/>
        <v>0</v>
      </c>
      <c r="CR250" s="510">
        <f t="shared" si="620"/>
        <v>1071.6599999999999</v>
      </c>
      <c r="CS250" s="510">
        <f t="shared" si="621"/>
        <v>95.38</v>
      </c>
      <c r="CT250" s="510">
        <f t="shared" si="622"/>
        <v>6255</v>
      </c>
      <c r="CU250" s="512"/>
      <c r="CV250" s="512"/>
      <c r="CW250" s="512"/>
      <c r="CX250" s="512"/>
      <c r="CY250" s="1149" t="s">
        <v>6956</v>
      </c>
      <c r="CZ250" s="1149" t="s">
        <v>6980</v>
      </c>
      <c r="DA250" s="1152"/>
      <c r="DB250" s="1642" t="s">
        <v>6205</v>
      </c>
      <c r="DC250" s="1642"/>
      <c r="DD250" s="1642" t="s">
        <v>6135</v>
      </c>
      <c r="DE250" s="1642" t="s">
        <v>6206</v>
      </c>
      <c r="DF250" s="1642" t="s">
        <v>6486</v>
      </c>
      <c r="DG250" s="1642"/>
      <c r="DH250" s="512"/>
      <c r="DI250" s="512"/>
      <c r="DJ250" s="512"/>
      <c r="DK250" s="512"/>
      <c r="DL250" s="512"/>
      <c r="DN250" s="476" t="str">
        <f>VLOOKUP(X250,Hoja1!$A$4:$B$10,2,0)</f>
        <v>TÉCNICO SUPERIOR UNIVERSITARIO</v>
      </c>
      <c r="DO250" s="476" t="str">
        <f>VLOOKUP(S250,Hoja1!$D$4:$F$77,3,0)</f>
        <v>TII - II</v>
      </c>
      <c r="DP250" s="1594" t="str">
        <f t="shared" si="623"/>
        <v>0</v>
      </c>
      <c r="DQ250" s="1484">
        <f>IF(T250&lt;&gt;"0",(ROUND(IF(A250="EMPLEADO",eval_formula('CONCEPTOS Y PARAMETROS'!$C$8,NOMINA!V250,AU250+BF250,NOMINA!I250+NOMINA!J250),eval_formula('CONCEPTOS Y PARAMETROS'!$D$8,NOMINA!V250,AU250+BF250,NOMINA!I250+NOMINA!J250)),2))*IF(H250&lt;&gt;"",IF(MONTH(H250)=$BR$8,IF(YEAR(H250)&lt;$BT$7,1,0),0)))</f>
        <v>0</v>
      </c>
      <c r="DR250" s="1799" t="str">
        <f t="shared" si="624"/>
        <v>F</v>
      </c>
      <c r="DS250" s="1799"/>
    </row>
    <row r="251" spans="1:123" s="476" customFormat="1" ht="21.95" customHeight="1" x14ac:dyDescent="0.25">
      <c r="A251" s="508" t="s">
        <v>2846</v>
      </c>
      <c r="B251" s="1314">
        <f t="shared" ca="1" si="471"/>
        <v>208</v>
      </c>
      <c r="C251" s="1148">
        <v>20707490</v>
      </c>
      <c r="D251" s="1149" t="s">
        <v>4890</v>
      </c>
      <c r="E251" s="1135" t="s">
        <v>4622</v>
      </c>
      <c r="F251" s="1150">
        <v>33504</v>
      </c>
      <c r="G251" s="1135" t="s">
        <v>4620</v>
      </c>
      <c r="H251" s="1150">
        <v>42751</v>
      </c>
      <c r="I251" s="1140">
        <f t="shared" si="625"/>
        <v>8</v>
      </c>
      <c r="J251" s="1132">
        <v>0</v>
      </c>
      <c r="K251" s="1140">
        <f t="shared" si="600"/>
        <v>8</v>
      </c>
      <c r="L251" s="1145" t="s">
        <v>5529</v>
      </c>
      <c r="M251" s="1132"/>
      <c r="N251" s="1132"/>
      <c r="O251" s="1002" t="s">
        <v>5233</v>
      </c>
      <c r="P251" s="1132" t="s">
        <v>5426</v>
      </c>
      <c r="Q251" s="1315" t="str">
        <f>IFERROR(VLOOKUP(O251,CARGOS!A:E,2,0),"")</f>
        <v>79523</v>
      </c>
      <c r="R251" s="1327" t="s">
        <v>5233</v>
      </c>
      <c r="S251" s="1146" t="s">
        <v>5475</v>
      </c>
      <c r="T251" s="1107">
        <f>IFERROR(VLOOKUP(S251,'TAB EMP'!A:B,2,0),0)</f>
        <v>279</v>
      </c>
      <c r="U251" s="1108">
        <v>0</v>
      </c>
      <c r="V251" s="1107">
        <f t="shared" si="680"/>
        <v>279</v>
      </c>
      <c r="W251" s="1108">
        <f t="shared" si="681"/>
        <v>139.5</v>
      </c>
      <c r="X251" s="1135" t="s">
        <v>2884</v>
      </c>
      <c r="Y251" s="1135"/>
      <c r="Z251" s="1135">
        <v>2</v>
      </c>
      <c r="AA251" s="1107">
        <f>ROUND(IF(H251&lt;&gt;"",VLOOKUP(SUM(I251+J251),'CONCEPTOS Y PARAMETROS'!F:G,2,0)*V251,0),2)</f>
        <v>23.99</v>
      </c>
      <c r="AB251" s="1107">
        <f>IF(S251&lt;&gt;"",IF(M251="",'CONCEPTOS Y PARAMETROS'!$C$4,0),0)</f>
        <v>130</v>
      </c>
      <c r="AC251" s="1107">
        <f>IF(S251&lt;&gt;"",IF(M251="",'CONCEPTOS Y PARAMETROS'!$C$7*Z251,0),0)</f>
        <v>25</v>
      </c>
      <c r="AD251" s="1107">
        <f>IFERROR(ROUND(VLOOKUP($X251,'CONCEPTOS Y PARAMETROS'!H:I,2,0)*($V251+AA251+AB251+AC251),2),0)</f>
        <v>0</v>
      </c>
      <c r="AE251" s="1107">
        <f t="shared" si="647"/>
        <v>178.99</v>
      </c>
      <c r="AF251" s="1107">
        <f t="shared" si="682"/>
        <v>12</v>
      </c>
      <c r="AG251" s="1107">
        <f t="shared" si="683"/>
        <v>11.99</v>
      </c>
      <c r="AH251" s="1107">
        <f t="shared" si="684"/>
        <v>65</v>
      </c>
      <c r="AI251" s="1107">
        <f t="shared" si="685"/>
        <v>65</v>
      </c>
      <c r="AJ251" s="1107">
        <f t="shared" si="686"/>
        <v>0</v>
      </c>
      <c r="AK251" s="1107">
        <f t="shared" si="687"/>
        <v>0</v>
      </c>
      <c r="AL251" s="1108">
        <f t="shared" si="688"/>
        <v>102</v>
      </c>
      <c r="AM251" s="1108">
        <f t="shared" si="689"/>
        <v>76.989999999999995</v>
      </c>
      <c r="AN251" s="990">
        <v>0</v>
      </c>
      <c r="AO251" s="1147">
        <f>'CONCEPTOS Y PARAMETROS'!$C$18*AN251</f>
        <v>0</v>
      </c>
      <c r="AP251" s="990">
        <v>0</v>
      </c>
      <c r="AQ251" s="1147">
        <f>'CONCEPTOS Y PARAMETROS'!$C$21*AP251</f>
        <v>0</v>
      </c>
      <c r="AR251" s="1318">
        <v>0</v>
      </c>
      <c r="AS251" s="1318">
        <v>0</v>
      </c>
      <c r="AT251" s="1318">
        <f t="shared" si="609"/>
        <v>0</v>
      </c>
      <c r="AU251" s="1108">
        <f t="shared" si="606"/>
        <v>457.99</v>
      </c>
      <c r="AV251" s="1133">
        <v>0</v>
      </c>
      <c r="AW251" s="1108">
        <f t="shared" si="599"/>
        <v>0</v>
      </c>
      <c r="AX251" s="1107">
        <f>IF(T251&lt;&gt;"0",(ROUND(IF(A251="EMPLEADO",eval_formula('CONCEPTOS Y PARAMETROS'!$C$8,NOMINA!V251,NOMINA!$AU251,NOMINA!I251+NOMINA!J251),eval_formula('CONCEPTOS Y PARAMETROS'!$D$8,NOMINA!V251,NOMINA!$AU251,NOMINA!I251+NOMINA!J251)),2))*IF(H251&lt;&gt;"",IF(MONTH(H251)=$BR$8,IF(YEAR(H251)&lt;$BT$7,1,0),0)))</f>
        <v>0</v>
      </c>
      <c r="AY251" s="1108">
        <v>180</v>
      </c>
      <c r="AZ251" s="1107">
        <f>IFERROR(VLOOKUP(AY251,'CONCEPTOS Y PARAMETROS'!Y:Z,2,0),0)</f>
        <v>150</v>
      </c>
      <c r="BA251" s="1107">
        <f t="shared" si="690"/>
        <v>3434.93</v>
      </c>
      <c r="BB251" s="1107">
        <f t="shared" si="676"/>
        <v>0</v>
      </c>
      <c r="BC251" s="990">
        <v>0</v>
      </c>
      <c r="BD251" s="1107" t="str">
        <f t="shared" si="607"/>
        <v>0</v>
      </c>
      <c r="BE251" s="990">
        <v>0</v>
      </c>
      <c r="BF251" s="1107">
        <f t="shared" si="703"/>
        <v>0</v>
      </c>
      <c r="BG251" s="1108">
        <v>320</v>
      </c>
      <c r="BH251" s="1108">
        <v>0</v>
      </c>
      <c r="BI251" s="1132">
        <v>0</v>
      </c>
      <c r="BJ251" s="1108">
        <v>12.5</v>
      </c>
      <c r="BK251" s="1108">
        <v>0</v>
      </c>
      <c r="BL251" s="1107">
        <f t="shared" si="704"/>
        <v>21.14</v>
      </c>
      <c r="BM251" s="1107">
        <f t="shared" si="705"/>
        <v>2.64</v>
      </c>
      <c r="BN251" s="1107">
        <f t="shared" si="626"/>
        <v>4.58</v>
      </c>
      <c r="BO251" s="1107">
        <v>0</v>
      </c>
      <c r="BP251" s="1107">
        <v>0</v>
      </c>
      <c r="BQ251" s="1320">
        <f t="shared" si="630"/>
        <v>28.36</v>
      </c>
      <c r="BR251" s="1107">
        <f t="shared" si="707"/>
        <v>47.56</v>
      </c>
      <c r="BS251" s="1107">
        <f t="shared" si="708"/>
        <v>10.57</v>
      </c>
      <c r="BT251" s="1107">
        <f t="shared" si="627"/>
        <v>9.16</v>
      </c>
      <c r="BU251" s="1107">
        <v>0</v>
      </c>
      <c r="BV251" s="1108">
        <f t="shared" si="631"/>
        <v>67.290000000000006</v>
      </c>
      <c r="BW251" s="1112">
        <f t="shared" si="632"/>
        <v>95.65</v>
      </c>
      <c r="BX251" s="1112">
        <f t="shared" si="662"/>
        <v>858.73</v>
      </c>
      <c r="BY251" s="1108">
        <v>0</v>
      </c>
      <c r="BZ251" s="1108">
        <f t="shared" si="598"/>
        <v>858.73</v>
      </c>
      <c r="CA251" s="1321">
        <f>'CONCEPTOS Y PARAMETROS'!$A$102</f>
        <v>6255</v>
      </c>
      <c r="CB251" s="1112">
        <f t="shared" si="611"/>
        <v>213.14</v>
      </c>
      <c r="CC251" s="1113">
        <f t="shared" si="612"/>
        <v>548.99</v>
      </c>
      <c r="CD251" s="512"/>
      <c r="CE251" s="512"/>
      <c r="CF251" s="470">
        <f t="shared" si="613"/>
        <v>856.49</v>
      </c>
      <c r="CG251" s="509">
        <f t="shared" si="628"/>
        <v>213.14</v>
      </c>
      <c r="CH251" s="1603">
        <f t="shared" si="614"/>
        <v>12.5</v>
      </c>
      <c r="CI251" s="1491">
        <f t="shared" si="608"/>
        <v>320</v>
      </c>
      <c r="CJ251" s="1502">
        <v>1</v>
      </c>
      <c r="CK251" s="509">
        <f t="shared" si="615"/>
        <v>536.49</v>
      </c>
      <c r="CL251" s="1689">
        <f t="shared" si="616"/>
        <v>536.49</v>
      </c>
      <c r="CM251" s="1689">
        <f t="shared" si="610"/>
        <v>0</v>
      </c>
      <c r="CN251" s="510">
        <f t="shared" si="617"/>
        <v>0</v>
      </c>
      <c r="CO251" s="511">
        <v>0</v>
      </c>
      <c r="CP251" s="510">
        <f t="shared" si="618"/>
        <v>0</v>
      </c>
      <c r="CQ251" s="510">
        <f t="shared" si="619"/>
        <v>0</v>
      </c>
      <c r="CR251" s="510">
        <f t="shared" si="620"/>
        <v>1072.98</v>
      </c>
      <c r="CS251" s="510">
        <f t="shared" si="621"/>
        <v>95.65</v>
      </c>
      <c r="CT251" s="510">
        <f t="shared" si="622"/>
        <v>6255</v>
      </c>
      <c r="CU251" s="512"/>
      <c r="CV251" s="512"/>
      <c r="CW251" s="512"/>
      <c r="CX251" s="512"/>
      <c r="CY251" s="1149" t="s">
        <v>6824</v>
      </c>
      <c r="CZ251" s="1149" t="s">
        <v>6981</v>
      </c>
      <c r="DA251" s="1152"/>
      <c r="DB251" s="1642" t="s">
        <v>6371</v>
      </c>
      <c r="DC251" s="1642"/>
      <c r="DD251" s="1642" t="s">
        <v>6174</v>
      </c>
      <c r="DE251" s="1642" t="s">
        <v>6245</v>
      </c>
      <c r="DF251" s="1642" t="s">
        <v>6372</v>
      </c>
      <c r="DG251" s="1152"/>
      <c r="DH251" s="512"/>
      <c r="DI251" s="512"/>
      <c r="DJ251" s="512"/>
      <c r="DK251" s="512"/>
      <c r="DL251" s="512"/>
      <c r="DN251" s="476" t="str">
        <f>VLOOKUP(X251,Hoja1!$A$4:$B$10,2,0)</f>
        <v>BACHILLER</v>
      </c>
      <c r="DO251" s="476" t="str">
        <f>VLOOKUP(S251,Hoja1!$D$4:$F$77,3,0)</f>
        <v>PII - III</v>
      </c>
      <c r="DP251" s="1594" t="str">
        <f t="shared" si="623"/>
        <v>0</v>
      </c>
      <c r="DQ251" s="1484">
        <f>IF(T251&lt;&gt;"0",(ROUND(IF(A251="EMPLEADO",eval_formula('CONCEPTOS Y PARAMETROS'!$C$8,NOMINA!V251,AU251+BF251,NOMINA!I251+NOMINA!J251),eval_formula('CONCEPTOS Y PARAMETROS'!$D$8,NOMINA!V251,AU251+BF251,NOMINA!I251+NOMINA!J251)),2))*IF(H251&lt;&gt;"",IF(MONTH(H251)=$BR$8,IF(YEAR(H251)&lt;$BT$7,1,0),0)))</f>
        <v>0</v>
      </c>
      <c r="DR251" s="1799" t="str">
        <f t="shared" si="624"/>
        <v>F</v>
      </c>
      <c r="DS251" s="1799"/>
    </row>
    <row r="252" spans="1:123" s="476" customFormat="1" ht="21.95" customHeight="1" x14ac:dyDescent="0.25">
      <c r="A252" s="508" t="s">
        <v>2846</v>
      </c>
      <c r="B252" s="1314">
        <f t="shared" ca="1" si="471"/>
        <v>209</v>
      </c>
      <c r="C252" s="1148">
        <v>20789286</v>
      </c>
      <c r="D252" s="1149" t="s">
        <v>7354</v>
      </c>
      <c r="E252" s="1135" t="s">
        <v>4622</v>
      </c>
      <c r="F252" s="1150">
        <v>32459</v>
      </c>
      <c r="G252" s="1135" t="s">
        <v>4620</v>
      </c>
      <c r="H252" s="1150">
        <v>44713</v>
      </c>
      <c r="I252" s="1140">
        <f t="shared" si="625"/>
        <v>3</v>
      </c>
      <c r="J252" s="1132">
        <v>0</v>
      </c>
      <c r="K252" s="1140">
        <f t="shared" si="600"/>
        <v>3</v>
      </c>
      <c r="L252" s="1145" t="s">
        <v>5539</v>
      </c>
      <c r="M252" s="1132"/>
      <c r="N252" s="1132"/>
      <c r="O252" s="1002" t="s">
        <v>5219</v>
      </c>
      <c r="P252" s="1132" t="s">
        <v>5427</v>
      </c>
      <c r="Q252" s="1315" t="str">
        <f>IFERROR(VLOOKUP(O252,CARGOS!A:E,2,0),"")</f>
        <v>12114</v>
      </c>
      <c r="R252" s="1327" t="s">
        <v>5219</v>
      </c>
      <c r="S252" s="1146" t="s">
        <v>5467</v>
      </c>
      <c r="T252" s="1107">
        <f>IFERROR(VLOOKUP(S252,'TAB EMP'!A:B,2,0),0)</f>
        <v>277</v>
      </c>
      <c r="U252" s="1108">
        <v>0</v>
      </c>
      <c r="V252" s="1107">
        <f t="shared" si="680"/>
        <v>277</v>
      </c>
      <c r="W252" s="1108">
        <f t="shared" si="681"/>
        <v>138.5</v>
      </c>
      <c r="X252" s="1135" t="s">
        <v>2885</v>
      </c>
      <c r="Y252" s="1135"/>
      <c r="Z252" s="1135">
        <v>1</v>
      </c>
      <c r="AA252" s="1107">
        <f>ROUND(IF(H252&lt;&gt;"",VLOOKUP(SUM(I252+J252),'CONCEPTOS Y PARAMETROS'!F:G,2,0)*V252,0),2)</f>
        <v>8.31</v>
      </c>
      <c r="AB252" s="1107">
        <f>IF(S252&lt;&gt;"",IF(M252="",'CONCEPTOS Y PARAMETROS'!$C$4,0),0)</f>
        <v>130</v>
      </c>
      <c r="AC252" s="1107">
        <f>IF(S252&lt;&gt;"",IF(M252="",'CONCEPTOS Y PARAMETROS'!$C$7*Z252,0),0)</f>
        <v>12.5</v>
      </c>
      <c r="AD252" s="1107">
        <f>IFERROR(ROUND(VLOOKUP($X252,'CONCEPTOS Y PARAMETROS'!H:I,2,0)*($V252+AA252+AB252+AC252),2),0)</f>
        <v>106.95</v>
      </c>
      <c r="AE252" s="1107">
        <f t="shared" si="647"/>
        <v>257.76</v>
      </c>
      <c r="AF252" s="1107">
        <f t="shared" si="682"/>
        <v>4.16</v>
      </c>
      <c r="AG252" s="1107">
        <f t="shared" si="683"/>
        <v>4.1500000000000004</v>
      </c>
      <c r="AH252" s="1107">
        <f t="shared" si="684"/>
        <v>65</v>
      </c>
      <c r="AI252" s="1107">
        <f t="shared" si="685"/>
        <v>65</v>
      </c>
      <c r="AJ252" s="1107">
        <f t="shared" si="686"/>
        <v>53.48</v>
      </c>
      <c r="AK252" s="1107">
        <f t="shared" si="687"/>
        <v>53.47</v>
      </c>
      <c r="AL252" s="1108">
        <f t="shared" si="688"/>
        <v>135.13999999999999</v>
      </c>
      <c r="AM252" s="1108">
        <f t="shared" si="689"/>
        <v>122.62</v>
      </c>
      <c r="AN252" s="990">
        <v>0</v>
      </c>
      <c r="AO252" s="1147">
        <f>'CONCEPTOS Y PARAMETROS'!$C$18*AN252</f>
        <v>0</v>
      </c>
      <c r="AP252" s="990">
        <v>0</v>
      </c>
      <c r="AQ252" s="1147">
        <f>'CONCEPTOS Y PARAMETROS'!$C$21*AP252</f>
        <v>0</v>
      </c>
      <c r="AR252" s="1318">
        <v>0</v>
      </c>
      <c r="AS252" s="1318">
        <v>0</v>
      </c>
      <c r="AT252" s="1318">
        <f t="shared" si="609"/>
        <v>0</v>
      </c>
      <c r="AU252" s="1108">
        <f t="shared" si="606"/>
        <v>534.76</v>
      </c>
      <c r="AV252" s="1133">
        <v>0</v>
      </c>
      <c r="AW252" s="1108">
        <f t="shared" si="599"/>
        <v>0</v>
      </c>
      <c r="AX252" s="1107">
        <f>IF(T252&lt;&gt;"0",(ROUND(IF(A252="EMPLEADO",eval_formula('CONCEPTOS Y PARAMETROS'!$C$8,NOMINA!V252,NOMINA!$AU252,NOMINA!I252+NOMINA!J252),eval_formula('CONCEPTOS Y PARAMETROS'!$D$8,NOMINA!V252,NOMINA!$AU252,NOMINA!I252+NOMINA!J252)),2))*IF(H252&lt;&gt;"",IF(MONTH(H252)=$BR$8,IF(YEAR(H252)&lt;$BT$7,1,0),0)))</f>
        <v>0</v>
      </c>
      <c r="AY252" s="1108">
        <v>180</v>
      </c>
      <c r="AZ252" s="1107">
        <f>IFERROR(VLOOKUP(AY252,'CONCEPTOS Y PARAMETROS'!Y:Z,2,0),0)</f>
        <v>150</v>
      </c>
      <c r="BA252" s="1107">
        <f t="shared" si="690"/>
        <v>4010.7</v>
      </c>
      <c r="BB252" s="1107">
        <f t="shared" si="676"/>
        <v>0</v>
      </c>
      <c r="BC252" s="990">
        <v>0</v>
      </c>
      <c r="BD252" s="1107" t="str">
        <f t="shared" si="607"/>
        <v>0</v>
      </c>
      <c r="BE252" s="990">
        <v>0</v>
      </c>
      <c r="BF252" s="1107">
        <f t="shared" si="703"/>
        <v>0</v>
      </c>
      <c r="BG252" s="1108">
        <v>320</v>
      </c>
      <c r="BH252" s="1108">
        <v>0</v>
      </c>
      <c r="BI252" s="1132">
        <v>0</v>
      </c>
      <c r="BJ252" s="1108">
        <v>12.5</v>
      </c>
      <c r="BK252" s="1108">
        <v>0</v>
      </c>
      <c r="BL252" s="1107">
        <f t="shared" si="704"/>
        <v>24.68</v>
      </c>
      <c r="BM252" s="1107">
        <f t="shared" si="705"/>
        <v>3.09</v>
      </c>
      <c r="BN252" s="1107">
        <f t="shared" si="626"/>
        <v>5.35</v>
      </c>
      <c r="BO252" s="1107">
        <v>0</v>
      </c>
      <c r="BP252" s="1107">
        <v>0</v>
      </c>
      <c r="BQ252" s="1320">
        <f t="shared" si="630"/>
        <v>33.119999999999997</v>
      </c>
      <c r="BR252" s="1107">
        <f t="shared" si="707"/>
        <v>55.53</v>
      </c>
      <c r="BS252" s="1107">
        <f t="shared" si="708"/>
        <v>12.34</v>
      </c>
      <c r="BT252" s="1107">
        <f t="shared" si="627"/>
        <v>10.7</v>
      </c>
      <c r="BU252" s="1107">
        <v>0</v>
      </c>
      <c r="BV252" s="1108">
        <f t="shared" si="631"/>
        <v>78.569999999999993</v>
      </c>
      <c r="BW252" s="1112">
        <f t="shared" si="632"/>
        <v>111.69</v>
      </c>
      <c r="BX252" s="1112">
        <f t="shared" si="662"/>
        <v>1002.68</v>
      </c>
      <c r="BY252" s="1108">
        <v>0</v>
      </c>
      <c r="BZ252" s="1108">
        <f t="shared" si="598"/>
        <v>1002.68</v>
      </c>
      <c r="CA252" s="1321">
        <f>'CONCEPTOS Y PARAMETROS'!$A$102</f>
        <v>6255</v>
      </c>
      <c r="CB252" s="1112">
        <f t="shared" si="611"/>
        <v>240.51999999999998</v>
      </c>
      <c r="CC252" s="1113">
        <f t="shared" si="612"/>
        <v>593.62</v>
      </c>
      <c r="CD252" s="512"/>
      <c r="CE252" s="512"/>
      <c r="CF252" s="470">
        <f t="shared" si="613"/>
        <v>901.12</v>
      </c>
      <c r="CG252" s="495">
        <f t="shared" si="628"/>
        <v>240.51999999999998</v>
      </c>
      <c r="CH252" s="498">
        <f t="shared" si="614"/>
        <v>12.5</v>
      </c>
      <c r="CI252" s="1490">
        <f t="shared" si="608"/>
        <v>320</v>
      </c>
      <c r="CJ252" s="1500">
        <v>1</v>
      </c>
      <c r="CK252" s="495">
        <f t="shared" si="615"/>
        <v>581.12</v>
      </c>
      <c r="CL252" s="1689">
        <f t="shared" si="616"/>
        <v>581.12</v>
      </c>
      <c r="CM252" s="1689">
        <f t="shared" si="610"/>
        <v>0</v>
      </c>
      <c r="CN252" s="496">
        <f t="shared" si="617"/>
        <v>0</v>
      </c>
      <c r="CO252" s="497">
        <v>0</v>
      </c>
      <c r="CP252" s="496">
        <f t="shared" si="618"/>
        <v>0</v>
      </c>
      <c r="CQ252" s="496">
        <f t="shared" si="619"/>
        <v>0</v>
      </c>
      <c r="CR252" s="496">
        <f t="shared" si="620"/>
        <v>1162.24</v>
      </c>
      <c r="CS252" s="496">
        <f t="shared" si="621"/>
        <v>111.69</v>
      </c>
      <c r="CT252" s="496">
        <f t="shared" si="622"/>
        <v>6255</v>
      </c>
      <c r="CU252" s="470"/>
      <c r="CV252" s="470"/>
      <c r="CW252" s="470"/>
      <c r="CX252" s="470"/>
      <c r="CY252" s="1149" t="s">
        <v>6886</v>
      </c>
      <c r="CZ252" s="1149" t="s">
        <v>6982</v>
      </c>
      <c r="DA252" s="480"/>
      <c r="DB252" s="1642" t="s">
        <v>6353</v>
      </c>
      <c r="DC252" s="1642"/>
      <c r="DD252" s="1642" t="s">
        <v>6156</v>
      </c>
      <c r="DE252" s="1642" t="s">
        <v>6351</v>
      </c>
      <c r="DF252" s="1642" t="s">
        <v>6551</v>
      </c>
      <c r="DG252" s="1152"/>
      <c r="DH252" s="512"/>
      <c r="DI252" s="512"/>
      <c r="DJ252" s="470"/>
      <c r="DK252" s="470"/>
      <c r="DL252" s="470"/>
      <c r="DM252" s="471"/>
      <c r="DN252" s="471" t="str">
        <f>VLOOKUP(X252,Hoja1!$A$4:$B$10,2,0)</f>
        <v>PROFESIONAL</v>
      </c>
      <c r="DO252" s="471" t="str">
        <f>VLOOKUP(S252,Hoja1!$D$4:$F$77,3,0)</f>
        <v>PII - II</v>
      </c>
      <c r="DP252" s="1156" t="str">
        <f t="shared" si="623"/>
        <v>0</v>
      </c>
      <c r="DQ252" s="1484">
        <f>IF(T252&lt;&gt;"0",(ROUND(IF(A252="EMPLEADO",eval_formula('CONCEPTOS Y PARAMETROS'!$C$8,NOMINA!V252,AU252+BF252,NOMINA!I252+NOMINA!J252),eval_formula('CONCEPTOS Y PARAMETROS'!$D$8,NOMINA!V252,AU252+BF252,NOMINA!I252+NOMINA!J252)),2))*IF(H252&lt;&gt;"",IF(MONTH(H252)=$BR$8,IF(YEAR(H252)&lt;$BT$7,1,0),0)))</f>
        <v>0</v>
      </c>
      <c r="DR252" s="1801" t="str">
        <f t="shared" si="624"/>
        <v>F</v>
      </c>
      <c r="DS252" s="1801"/>
    </row>
    <row r="253" spans="1:123" s="911" customFormat="1" ht="21.95" customHeight="1" x14ac:dyDescent="0.25">
      <c r="A253" s="910" t="s">
        <v>2846</v>
      </c>
      <c r="B253" s="1328">
        <f ca="1">OFFSET(B253,-1,0)+1</f>
        <v>210</v>
      </c>
      <c r="C253" s="1329">
        <v>20790947</v>
      </c>
      <c r="D253" s="1330" t="s">
        <v>4686</v>
      </c>
      <c r="E253" s="1331" t="s">
        <v>4622</v>
      </c>
      <c r="F253" s="1332">
        <v>33464</v>
      </c>
      <c r="G253" s="1331" t="s">
        <v>4620</v>
      </c>
      <c r="H253" s="1332">
        <v>43967</v>
      </c>
      <c r="I253" s="1333">
        <f t="shared" si="625"/>
        <v>5</v>
      </c>
      <c r="J253" s="1334">
        <v>0</v>
      </c>
      <c r="K253" s="1333">
        <f t="shared" si="600"/>
        <v>5</v>
      </c>
      <c r="L253" s="1335" t="s">
        <v>5530</v>
      </c>
      <c r="M253" s="1334"/>
      <c r="N253" s="1334"/>
      <c r="O253" s="1336" t="s">
        <v>5219</v>
      </c>
      <c r="P253" s="1334" t="s">
        <v>5203</v>
      </c>
      <c r="Q253" s="1337" t="str">
        <f>IFERROR(VLOOKUP(O253,CARGOS!A:E,2,0),"")</f>
        <v>12114</v>
      </c>
      <c r="R253" s="1336" t="s">
        <v>5219</v>
      </c>
      <c r="S253" s="1338" t="s">
        <v>5467</v>
      </c>
      <c r="T253" s="1339">
        <v>0</v>
      </c>
      <c r="U253" s="1307">
        <v>0</v>
      </c>
      <c r="V253" s="1339">
        <f>T253-U253</f>
        <v>0</v>
      </c>
      <c r="W253" s="1307">
        <f>ROUND(V253/2,2)</f>
        <v>0</v>
      </c>
      <c r="X253" s="1331" t="s">
        <v>2885</v>
      </c>
      <c r="Y253" s="1331"/>
      <c r="Z253" s="1331">
        <v>0</v>
      </c>
      <c r="AA253" s="1339">
        <f>ROUND(IF(H253&lt;&gt;"",VLOOKUP(SUM(I253+J253),'CONCEPTOS Y PARAMETROS'!F:G,2,0)*V253,0),2)</f>
        <v>0</v>
      </c>
      <c r="AB253" s="1339">
        <v>0</v>
      </c>
      <c r="AC253" s="1339">
        <v>0</v>
      </c>
      <c r="AD253" s="1339">
        <f>IFERROR(ROUND(VLOOKUP($X253,'CONCEPTOS Y PARAMETROS'!H:I,2,0)*($V253+AA253+AB253+AC253),2),0)</f>
        <v>0</v>
      </c>
      <c r="AE253" s="1339">
        <f>SUM(AA253:AD253)</f>
        <v>0</v>
      </c>
      <c r="AF253" s="1339">
        <f>ROUND(AA253/2,2)</f>
        <v>0</v>
      </c>
      <c r="AG253" s="1339">
        <f>ROUND(AA253-AF253,2)</f>
        <v>0</v>
      </c>
      <c r="AH253" s="1339">
        <f>ROUND(AB253/2,2)</f>
        <v>0</v>
      </c>
      <c r="AI253" s="1339">
        <f>ROUND(AB253-AH253,2)</f>
        <v>0</v>
      </c>
      <c r="AJ253" s="1339">
        <f>ROUND(AD253/2,2)</f>
        <v>0</v>
      </c>
      <c r="AK253" s="1339">
        <f>ROUND(AD253-AJ253,2)</f>
        <v>0</v>
      </c>
      <c r="AL253" s="1307">
        <f>ROUND(AF253+AH253+AJ253+AC253,2)</f>
        <v>0</v>
      </c>
      <c r="AM253" s="1307">
        <f>ROUND(AG253+AI253+AK253,2)</f>
        <v>0</v>
      </c>
      <c r="AN253" s="1333">
        <f>1*0</f>
        <v>0</v>
      </c>
      <c r="AO253" s="1341">
        <v>0</v>
      </c>
      <c r="AP253" s="1340">
        <v>0</v>
      </c>
      <c r="AQ253" s="1341">
        <f>'CONCEPTOS Y PARAMETROS'!$C$21*AP253</f>
        <v>0</v>
      </c>
      <c r="AR253" s="1342">
        <v>0</v>
      </c>
      <c r="AS253" s="1342">
        <v>0</v>
      </c>
      <c r="AT253" s="1342">
        <f>+AO253+AQ253+AR253+AS253</f>
        <v>0</v>
      </c>
      <c r="AU253" s="1307">
        <f t="shared" si="606"/>
        <v>0</v>
      </c>
      <c r="AV253" s="1343">
        <v>0</v>
      </c>
      <c r="AW253" s="1307">
        <f>ROUND(IF(O253="VIGILANTE",(V253+AE253)*30%,0),2)</f>
        <v>0</v>
      </c>
      <c r="AX253" s="1339">
        <f>IF(T253&lt;&gt;"0",(ROUND(IF(A253="EMPLEADO",eval_formula('CONCEPTOS Y PARAMETROS'!$C$8,NOMINA!V253,NOMINA!$AU253,NOMINA!I253+NOMINA!J253),eval_formula('CONCEPTOS Y PARAMETROS'!$D$8,NOMINA!V253,NOMINA!$AU253,NOMINA!I253+NOMINA!J253)),2))*IF(H253&lt;&gt;"",IF(MONTH(H253)=$BR$8,IF(YEAR(H253)&lt;$BT$7,1,0),0)))</f>
        <v>0</v>
      </c>
      <c r="AY253" s="1307">
        <v>180</v>
      </c>
      <c r="AZ253" s="1339">
        <f>IFERROR(VLOOKUP(AY253,'CONCEPTOS Y PARAMETROS'!Y:Z,2,0),0)</f>
        <v>150</v>
      </c>
      <c r="BA253" s="1339">
        <f>ROUND((((AU253))/30*AY253/12+(AU253))/30*AZ253,2)</f>
        <v>0</v>
      </c>
      <c r="BB253" s="1339">
        <f t="shared" si="676"/>
        <v>0</v>
      </c>
      <c r="BC253" s="1340">
        <v>0</v>
      </c>
      <c r="BD253" s="1339" t="str">
        <f t="shared" si="607"/>
        <v>0</v>
      </c>
      <c r="BE253" s="1340">
        <v>0</v>
      </c>
      <c r="BF253" s="1339">
        <f t="shared" si="703"/>
        <v>0</v>
      </c>
      <c r="BG253" s="1307">
        <v>0</v>
      </c>
      <c r="BH253" s="1307">
        <v>0</v>
      </c>
      <c r="BI253" s="1334">
        <v>0</v>
      </c>
      <c r="BJ253" s="1307">
        <v>0</v>
      </c>
      <c r="BK253" s="1307">
        <v>0</v>
      </c>
      <c r="BL253" s="1339">
        <f t="shared" si="704"/>
        <v>0</v>
      </c>
      <c r="BM253" s="1339">
        <f t="shared" si="705"/>
        <v>0</v>
      </c>
      <c r="BN253" s="1339">
        <f t="shared" si="626"/>
        <v>0</v>
      </c>
      <c r="BO253" s="1339">
        <v>0</v>
      </c>
      <c r="BP253" s="1339">
        <v>0</v>
      </c>
      <c r="BQ253" s="1344">
        <f t="shared" ref="BQ253" si="709">ROUND(SUM(BL253:BP253),2)</f>
        <v>0</v>
      </c>
      <c r="BR253" s="1339">
        <f t="shared" si="707"/>
        <v>0</v>
      </c>
      <c r="BS253" s="1339">
        <f t="shared" si="708"/>
        <v>0</v>
      </c>
      <c r="BT253" s="1339">
        <f t="shared" si="627"/>
        <v>0</v>
      </c>
      <c r="BU253" s="1339">
        <v>0</v>
      </c>
      <c r="BV253" s="1307">
        <f t="shared" ref="BV253" si="710">ROUND(SUM(BR253:BT253),2)</f>
        <v>0</v>
      </c>
      <c r="BW253" s="1305">
        <f>BQ253+BV253</f>
        <v>0</v>
      </c>
      <c r="BX253" s="1305">
        <f t="shared" si="662"/>
        <v>0</v>
      </c>
      <c r="BY253" s="1307">
        <v>0</v>
      </c>
      <c r="BZ253" s="1307">
        <f t="shared" si="598"/>
        <v>0</v>
      </c>
      <c r="CA253" s="1345">
        <v>0</v>
      </c>
      <c r="CB253" s="1305">
        <f t="shared" si="611"/>
        <v>0</v>
      </c>
      <c r="CC253" s="1346">
        <f t="shared" si="612"/>
        <v>0</v>
      </c>
      <c r="CD253" s="915"/>
      <c r="CE253" s="915"/>
      <c r="CF253" s="470">
        <f t="shared" si="613"/>
        <v>0</v>
      </c>
      <c r="CG253" s="912">
        <f t="shared" si="628"/>
        <v>0</v>
      </c>
      <c r="CH253" s="498">
        <f t="shared" si="614"/>
        <v>0</v>
      </c>
      <c r="CI253" s="1492">
        <f t="shared" si="608"/>
        <v>0</v>
      </c>
      <c r="CJ253" s="1504">
        <v>0</v>
      </c>
      <c r="CK253" s="912">
        <f t="shared" si="615"/>
        <v>0</v>
      </c>
      <c r="CL253" s="912">
        <f t="shared" si="616"/>
        <v>0</v>
      </c>
      <c r="CM253" s="912">
        <f t="shared" si="610"/>
        <v>0</v>
      </c>
      <c r="CN253" s="913">
        <f t="shared" si="617"/>
        <v>0</v>
      </c>
      <c r="CO253" s="914">
        <v>0</v>
      </c>
      <c r="CP253" s="913">
        <f t="shared" si="618"/>
        <v>0</v>
      </c>
      <c r="CQ253" s="913">
        <f t="shared" si="619"/>
        <v>0</v>
      </c>
      <c r="CR253" s="496">
        <f t="shared" si="620"/>
        <v>0</v>
      </c>
      <c r="CS253" s="913">
        <f t="shared" si="621"/>
        <v>0</v>
      </c>
      <c r="CT253" s="913">
        <f t="shared" si="622"/>
        <v>0</v>
      </c>
      <c r="CU253" s="470"/>
      <c r="CV253" s="470"/>
      <c r="CW253" s="470"/>
      <c r="CX253" s="470"/>
      <c r="CY253" s="1330" t="s">
        <v>6983</v>
      </c>
      <c r="CZ253" s="1330" t="s">
        <v>6984</v>
      </c>
      <c r="DA253" s="1613"/>
      <c r="DB253" s="1143"/>
      <c r="DC253" s="1143"/>
      <c r="DD253" s="1143"/>
      <c r="DE253" s="1143"/>
      <c r="DF253" s="1143"/>
      <c r="DG253" s="1143"/>
      <c r="DH253" s="512"/>
      <c r="DI253" s="512"/>
      <c r="DJ253" s="915"/>
      <c r="DK253" s="915"/>
      <c r="DL253" s="915"/>
      <c r="DN253" s="911" t="str">
        <f>VLOOKUP(X253,Hoja1!$A$4:$B$10,2,0)</f>
        <v>PROFESIONAL</v>
      </c>
      <c r="DO253" s="911" t="str">
        <f>VLOOKUP(S253,Hoja1!$D$4:$F$77,3,0)</f>
        <v>PII - II</v>
      </c>
      <c r="DP253" s="1157" t="str">
        <f t="shared" si="623"/>
        <v>0</v>
      </c>
      <c r="DQ253" s="1484">
        <f>IF(T253&lt;&gt;"0",(ROUND(IF(A253="EMPLEADO",eval_formula('CONCEPTOS Y PARAMETROS'!$C$8,NOMINA!V253,AU253+BF253,NOMINA!I253+NOMINA!J253),eval_formula('CONCEPTOS Y PARAMETROS'!$D$8,NOMINA!V253,AU253+BF253,NOMINA!I253+NOMINA!J253)),2))*IF(H253&lt;&gt;"",IF(MONTH(H253)=$BR$8,IF(YEAR(H253)&lt;$BT$7,1,0),0)))</f>
        <v>0</v>
      </c>
      <c r="DR253" s="1800" t="str">
        <f t="shared" si="624"/>
        <v>F</v>
      </c>
      <c r="DS253" s="1800"/>
    </row>
    <row r="254" spans="1:123" s="471" customFormat="1" ht="21.95" customHeight="1" x14ac:dyDescent="0.2">
      <c r="A254" s="508" t="s">
        <v>2846</v>
      </c>
      <c r="B254" s="1314">
        <f t="shared" ca="1" si="471"/>
        <v>211</v>
      </c>
      <c r="C254" s="1148">
        <v>21061126</v>
      </c>
      <c r="D254" s="1149" t="s">
        <v>5725</v>
      </c>
      <c r="E254" s="1135" t="s">
        <v>4622</v>
      </c>
      <c r="F254" s="1150">
        <v>33430</v>
      </c>
      <c r="G254" s="1135" t="s">
        <v>4621</v>
      </c>
      <c r="H254" s="1150">
        <v>45047</v>
      </c>
      <c r="I254" s="1140">
        <f t="shared" si="625"/>
        <v>2</v>
      </c>
      <c r="J254" s="1132">
        <v>0</v>
      </c>
      <c r="K254" s="1140">
        <f t="shared" si="600"/>
        <v>2</v>
      </c>
      <c r="L254" s="1145" t="s">
        <v>5546</v>
      </c>
      <c r="M254" s="1132"/>
      <c r="N254" s="1132"/>
      <c r="O254" s="1002" t="s">
        <v>5218</v>
      </c>
      <c r="P254" s="1151" t="s">
        <v>5728</v>
      </c>
      <c r="Q254" s="1373" t="str">
        <f>IFERROR(VLOOKUP(O254,CARGOS!A:E,2,0),"")</f>
        <v>79511</v>
      </c>
      <c r="R254" s="1327" t="s">
        <v>5218</v>
      </c>
      <c r="S254" s="1146" t="s">
        <v>5462</v>
      </c>
      <c r="T254" s="1107">
        <f>IFERROR(VLOOKUP(S254,'TAB EMP'!A:B,2,0),0)</f>
        <v>192</v>
      </c>
      <c r="U254" s="1108">
        <v>0</v>
      </c>
      <c r="V254" s="1107">
        <f t="shared" si="680"/>
        <v>192</v>
      </c>
      <c r="W254" s="1108">
        <f t="shared" si="681"/>
        <v>96</v>
      </c>
      <c r="X254" s="1135" t="s">
        <v>2885</v>
      </c>
      <c r="Y254" s="1135"/>
      <c r="Z254" s="1135">
        <v>0</v>
      </c>
      <c r="AA254" s="1107">
        <f>ROUND(IF(H254&lt;&gt;"",VLOOKUP(SUM(I254+J254),'CONCEPTOS Y PARAMETROS'!F:G,2,0)*V254,0),2)</f>
        <v>3.84</v>
      </c>
      <c r="AB254" s="1107">
        <f>IF(S254&lt;&gt;"",IF(M254="",'CONCEPTOS Y PARAMETROS'!$C$4,0),0)</f>
        <v>130</v>
      </c>
      <c r="AC254" s="1107">
        <f>IF(S254&lt;&gt;"",IF(M254="",'CONCEPTOS Y PARAMETROS'!$C$7*Z254,0),0)</f>
        <v>0</v>
      </c>
      <c r="AD254" s="1107">
        <f>IFERROR(ROUND(VLOOKUP($X254,'CONCEPTOS Y PARAMETROS'!H:I,2,0)*($V254+AA254+AB254+AC254),2),0)</f>
        <v>81.459999999999994</v>
      </c>
      <c r="AE254" s="1107">
        <f t="shared" si="647"/>
        <v>215.3</v>
      </c>
      <c r="AF254" s="1107">
        <f t="shared" si="682"/>
        <v>1.92</v>
      </c>
      <c r="AG254" s="1107">
        <f t="shared" si="683"/>
        <v>1.92</v>
      </c>
      <c r="AH254" s="1107">
        <f t="shared" si="684"/>
        <v>65</v>
      </c>
      <c r="AI254" s="1107">
        <f t="shared" si="685"/>
        <v>65</v>
      </c>
      <c r="AJ254" s="1107">
        <f t="shared" si="686"/>
        <v>40.729999999999997</v>
      </c>
      <c r="AK254" s="1107">
        <f t="shared" si="687"/>
        <v>40.729999999999997</v>
      </c>
      <c r="AL254" s="1108">
        <f t="shared" si="688"/>
        <v>107.65</v>
      </c>
      <c r="AM254" s="1108">
        <f t="shared" si="689"/>
        <v>107.65</v>
      </c>
      <c r="AN254" s="990">
        <v>0</v>
      </c>
      <c r="AO254" s="1147">
        <f>'CONCEPTOS Y PARAMETROS'!$C$18*AN254</f>
        <v>0</v>
      </c>
      <c r="AP254" s="990">
        <v>0</v>
      </c>
      <c r="AQ254" s="1147">
        <f>'CONCEPTOS Y PARAMETROS'!$C$21*AP254</f>
        <v>0</v>
      </c>
      <c r="AR254" s="1318">
        <v>0</v>
      </c>
      <c r="AS254" s="1318">
        <v>0</v>
      </c>
      <c r="AT254" s="1318">
        <f t="shared" ref="AT254" si="711">+AO254+AQ254+AR254+AS254</f>
        <v>0</v>
      </c>
      <c r="AU254" s="1108">
        <f t="shared" si="606"/>
        <v>529.49</v>
      </c>
      <c r="AV254" s="1133" t="s">
        <v>5080</v>
      </c>
      <c r="AW254" s="1108">
        <f>ROUND(IF(AV254="NOCTURN",(V254+AE254)*30%,0),2)</f>
        <v>122.19</v>
      </c>
      <c r="AX254" s="1108">
        <f>IF(T254&lt;&gt;"0",(ROUND(IF(A254="EMPLEADO",eval_formula('CONCEPTOS Y PARAMETROS'!$C$8,NOMINA!V254,NOMINA!$AU254,NOMINA!I254+NOMINA!J254),eval_formula('CONCEPTOS Y PARAMETROS'!$D$8,NOMINA!V254,NOMINA!$AU254,NOMINA!I254+NOMINA!J254)),2))*IF(H254&lt;&gt;"",IF(MONTH(H254)=$BR$8,IF(YEAR(H254)&lt;$BT$7,1,0),0)))</f>
        <v>0</v>
      </c>
      <c r="AY254" s="1108">
        <v>180</v>
      </c>
      <c r="AZ254" s="1107">
        <f>IFERROR(VLOOKUP(AY254,'CONCEPTOS Y PARAMETROS'!Y:Z,2,0),0)</f>
        <v>150</v>
      </c>
      <c r="BA254" s="1107">
        <f t="shared" si="690"/>
        <v>3971.18</v>
      </c>
      <c r="BB254" s="1107">
        <f t="shared" si="676"/>
        <v>0</v>
      </c>
      <c r="BC254" s="990">
        <v>0</v>
      </c>
      <c r="BD254" s="1107" t="str">
        <f t="shared" si="607"/>
        <v>0</v>
      </c>
      <c r="BE254" s="990">
        <v>3</v>
      </c>
      <c r="BF254" s="1107">
        <f t="shared" si="703"/>
        <v>79.42</v>
      </c>
      <c r="BG254" s="1108">
        <v>320</v>
      </c>
      <c r="BH254" s="1108">
        <v>0</v>
      </c>
      <c r="BI254" s="1132">
        <v>0</v>
      </c>
      <c r="BJ254" s="1108">
        <v>12.5</v>
      </c>
      <c r="BK254" s="1108">
        <v>0</v>
      </c>
      <c r="BL254" s="1107">
        <f t="shared" si="704"/>
        <v>24.44</v>
      </c>
      <c r="BM254" s="1107">
        <f t="shared" si="705"/>
        <v>3.05</v>
      </c>
      <c r="BN254" s="1107">
        <f t="shared" si="626"/>
        <v>5.29</v>
      </c>
      <c r="BO254" s="1107">
        <v>0</v>
      </c>
      <c r="BP254" s="1107">
        <v>0</v>
      </c>
      <c r="BQ254" s="1320">
        <f t="shared" ref="BQ254" si="712">ROUND(SUM(BL254:BP254),2)</f>
        <v>32.78</v>
      </c>
      <c r="BR254" s="1107">
        <f t="shared" si="707"/>
        <v>54.99</v>
      </c>
      <c r="BS254" s="1107">
        <f t="shared" si="708"/>
        <v>12.22</v>
      </c>
      <c r="BT254" s="1107">
        <f t="shared" si="627"/>
        <v>10.58</v>
      </c>
      <c r="BU254" s="1107">
        <v>0</v>
      </c>
      <c r="BV254" s="1108">
        <f t="shared" ref="BV254" si="713">ROUND(SUM(BR254:BT254),2)</f>
        <v>77.790000000000006</v>
      </c>
      <c r="BW254" s="1112">
        <f t="shared" ref="BW254" si="714">BQ254+BV254</f>
        <v>110.57000000000001</v>
      </c>
      <c r="BX254" s="1112">
        <f t="shared" si="662"/>
        <v>992.8</v>
      </c>
      <c r="BY254" s="1108">
        <v>0</v>
      </c>
      <c r="BZ254" s="1108">
        <f t="shared" si="598"/>
        <v>992.8</v>
      </c>
      <c r="CA254" s="1321">
        <f>'CONCEPTOS Y PARAMETROS'!$A$102</f>
        <v>6255</v>
      </c>
      <c r="CB254" s="1112">
        <f t="shared" si="611"/>
        <v>170.87</v>
      </c>
      <c r="CC254" s="1113">
        <f t="shared" si="612"/>
        <v>737.76</v>
      </c>
      <c r="CD254" s="512"/>
      <c r="CE254" s="512"/>
      <c r="CF254" s="470">
        <f t="shared" si="613"/>
        <v>843.65</v>
      </c>
      <c r="CG254" s="509">
        <f t="shared" si="628"/>
        <v>170.87</v>
      </c>
      <c r="CH254" s="498">
        <f t="shared" si="614"/>
        <v>12.5</v>
      </c>
      <c r="CI254" s="1490">
        <f t="shared" si="608"/>
        <v>320</v>
      </c>
      <c r="CJ254" s="1500">
        <v>1</v>
      </c>
      <c r="CK254" s="495">
        <f t="shared" si="615"/>
        <v>523.65</v>
      </c>
      <c r="CL254" s="1689">
        <f t="shared" si="616"/>
        <v>523.65</v>
      </c>
      <c r="CM254" s="1689">
        <f t="shared" si="610"/>
        <v>0</v>
      </c>
      <c r="CN254" s="510">
        <f t="shared" si="617"/>
        <v>79.42</v>
      </c>
      <c r="CO254" s="511">
        <v>0</v>
      </c>
      <c r="CP254" s="510">
        <f t="shared" si="618"/>
        <v>122.19</v>
      </c>
      <c r="CQ254" s="510">
        <f t="shared" si="619"/>
        <v>0</v>
      </c>
      <c r="CR254" s="496">
        <f t="shared" si="620"/>
        <v>1248.9100000000001</v>
      </c>
      <c r="CS254" s="496">
        <f t="shared" si="621"/>
        <v>110.57000000000001</v>
      </c>
      <c r="CT254" s="510">
        <f t="shared" si="622"/>
        <v>6255</v>
      </c>
      <c r="CU254" s="470"/>
      <c r="CV254" s="470"/>
      <c r="CW254" s="470"/>
      <c r="CX254" s="470"/>
      <c r="CY254" s="1149" t="s">
        <v>6985</v>
      </c>
      <c r="CZ254" s="1149" t="s">
        <v>6986</v>
      </c>
      <c r="DA254" s="1152"/>
      <c r="DB254" s="1642" t="s">
        <v>6505</v>
      </c>
      <c r="DC254" s="1642"/>
      <c r="DD254" s="1642" t="s">
        <v>6497</v>
      </c>
      <c r="DE254" s="1647" t="s">
        <v>6494</v>
      </c>
      <c r="DF254" s="1642" t="s">
        <v>6498</v>
      </c>
      <c r="DG254" s="1642"/>
      <c r="DH254" s="512"/>
      <c r="DI254" s="512"/>
      <c r="DJ254" s="512"/>
      <c r="DK254" s="512"/>
      <c r="DL254" s="512"/>
      <c r="DM254" s="476"/>
      <c r="DN254" s="471" t="str">
        <f>VLOOKUP(X254,Hoja1!$A$4:$B$10,2,0)</f>
        <v>PROFESIONAL</v>
      </c>
      <c r="DO254" s="471" t="str">
        <f>VLOOKUP(S254,Hoja1!$D$4:$F$77,3,0)</f>
        <v>TI</v>
      </c>
      <c r="DP254" s="1156" t="str">
        <f t="shared" si="623"/>
        <v>SI</v>
      </c>
      <c r="DQ254" s="1484">
        <f>IF(T254&lt;&gt;"0",(ROUND(IF(A254="EMPLEADO",eval_formula('CONCEPTOS Y PARAMETROS'!$C$8,NOMINA!V254,AU254+BF254,NOMINA!I254+NOMINA!J254),eval_formula('CONCEPTOS Y PARAMETROS'!$D$8,NOMINA!V254,AU254+BF254,NOMINA!I254+NOMINA!J254)),2))*IF(H254&lt;&gt;"",IF(MONTH(H254)=$BR$8,IF(YEAR(H254)&lt;$BT$7,1,0),0)))</f>
        <v>0</v>
      </c>
      <c r="DR254" s="1801" t="str">
        <f t="shared" si="624"/>
        <v>M</v>
      </c>
      <c r="DS254" s="1801"/>
    </row>
    <row r="255" spans="1:123" s="471" customFormat="1" ht="21.95" customHeight="1" x14ac:dyDescent="0.25">
      <c r="A255" s="508" t="s">
        <v>2846</v>
      </c>
      <c r="B255" s="1314">
        <f t="shared" ca="1" si="471"/>
        <v>212</v>
      </c>
      <c r="C255" s="1148">
        <v>21061789</v>
      </c>
      <c r="D255" s="1149" t="s">
        <v>7355</v>
      </c>
      <c r="E255" s="1135" t="s">
        <v>4622</v>
      </c>
      <c r="F255" s="1150">
        <v>33523</v>
      </c>
      <c r="G255" s="1135" t="s">
        <v>4621</v>
      </c>
      <c r="H255" s="1150">
        <v>44713</v>
      </c>
      <c r="I255" s="1140">
        <f t="shared" si="625"/>
        <v>3</v>
      </c>
      <c r="J255" s="1132">
        <v>0</v>
      </c>
      <c r="K255" s="1140">
        <f t="shared" si="600"/>
        <v>3</v>
      </c>
      <c r="L255" s="1145" t="s">
        <v>5540</v>
      </c>
      <c r="M255" s="1132"/>
      <c r="N255" s="1132"/>
      <c r="O255" s="1002" t="s">
        <v>5212</v>
      </c>
      <c r="P255" s="1132" t="s">
        <v>5428</v>
      </c>
      <c r="Q255" s="1315" t="str">
        <f>IFERROR(VLOOKUP(O255,CARGOS!A:E,2,0),"")</f>
        <v>35121</v>
      </c>
      <c r="R255" s="1327" t="s">
        <v>5212</v>
      </c>
      <c r="S255" s="1146" t="s">
        <v>5467</v>
      </c>
      <c r="T255" s="1107">
        <f>IFERROR(VLOOKUP(S255,'TAB EMP'!A:B,2,0),0)</f>
        <v>277</v>
      </c>
      <c r="U255" s="1108">
        <v>0</v>
      </c>
      <c r="V255" s="1107">
        <f t="shared" si="680"/>
        <v>277</v>
      </c>
      <c r="W255" s="1108">
        <f t="shared" si="681"/>
        <v>138.5</v>
      </c>
      <c r="X255" s="1135" t="s">
        <v>2885</v>
      </c>
      <c r="Y255" s="1135"/>
      <c r="Z255" s="1135">
        <v>0</v>
      </c>
      <c r="AA255" s="1107">
        <f>ROUND(IF(H255&lt;&gt;"",VLOOKUP(SUM(I255+J255),'CONCEPTOS Y PARAMETROS'!F:G,2,0)*V255,0),2)</f>
        <v>8.31</v>
      </c>
      <c r="AB255" s="1107">
        <f>IF(S255&lt;&gt;"",IF(M255="",'CONCEPTOS Y PARAMETROS'!$C$4,0),0)</f>
        <v>130</v>
      </c>
      <c r="AC255" s="1107">
        <f>IF(S255&lt;&gt;"",IF(M255="",'CONCEPTOS Y PARAMETROS'!$C$7*Z255,0),0)</f>
        <v>0</v>
      </c>
      <c r="AD255" s="1107">
        <f>IFERROR(ROUND(VLOOKUP($X255,'CONCEPTOS Y PARAMETROS'!H:I,2,0)*($V255+AA255+AB255+AC255),2),0)</f>
        <v>103.83</v>
      </c>
      <c r="AE255" s="1107">
        <f t="shared" si="647"/>
        <v>242.14</v>
      </c>
      <c r="AF255" s="1107">
        <f t="shared" si="682"/>
        <v>4.16</v>
      </c>
      <c r="AG255" s="1107">
        <f t="shared" si="683"/>
        <v>4.1500000000000004</v>
      </c>
      <c r="AH255" s="1107">
        <f t="shared" si="684"/>
        <v>65</v>
      </c>
      <c r="AI255" s="1107">
        <f t="shared" si="685"/>
        <v>65</v>
      </c>
      <c r="AJ255" s="1107">
        <f t="shared" si="686"/>
        <v>51.92</v>
      </c>
      <c r="AK255" s="1107">
        <f t="shared" si="687"/>
        <v>51.91</v>
      </c>
      <c r="AL255" s="1108">
        <f t="shared" si="688"/>
        <v>121.08</v>
      </c>
      <c r="AM255" s="1108">
        <f t="shared" si="689"/>
        <v>121.06</v>
      </c>
      <c r="AN255" s="990">
        <v>0</v>
      </c>
      <c r="AO255" s="1147">
        <f>'CONCEPTOS Y PARAMETROS'!$C$18*AN255</f>
        <v>0</v>
      </c>
      <c r="AP255" s="990">
        <v>0</v>
      </c>
      <c r="AQ255" s="1147">
        <f>'CONCEPTOS Y PARAMETROS'!$C$21*AP255</f>
        <v>0</v>
      </c>
      <c r="AR255" s="1318">
        <v>0</v>
      </c>
      <c r="AS255" s="1318">
        <v>0</v>
      </c>
      <c r="AT255" s="1318">
        <f t="shared" si="609"/>
        <v>0</v>
      </c>
      <c r="AU255" s="1108">
        <f t="shared" si="606"/>
        <v>519.14</v>
      </c>
      <c r="AV255" s="1133">
        <v>0</v>
      </c>
      <c r="AW255" s="1108">
        <f>ROUND(IF(AV255="NOCTURN",(V255+AE255)*30%,0),2)</f>
        <v>0</v>
      </c>
      <c r="AX255" s="1107">
        <f>IF(T255&lt;&gt;"0",(ROUND(IF(A255="EMPLEADO",eval_formula('CONCEPTOS Y PARAMETROS'!$C$8,NOMINA!V255,NOMINA!$AU255,NOMINA!I255+NOMINA!J255),eval_formula('CONCEPTOS Y PARAMETROS'!$D$8,NOMINA!V255,NOMINA!$AU255,NOMINA!I255+NOMINA!J255)),2))*IF(H255&lt;&gt;"",IF(MONTH(H255)=$BR$8,IF(YEAR(H255)&lt;$BT$7,1,0),0)))</f>
        <v>0</v>
      </c>
      <c r="AY255" s="1108">
        <v>180</v>
      </c>
      <c r="AZ255" s="1107">
        <f>IFERROR(VLOOKUP(AY255,'CONCEPTOS Y PARAMETROS'!Y:Z,2,0),0)</f>
        <v>150</v>
      </c>
      <c r="BA255" s="1107">
        <f t="shared" si="690"/>
        <v>3893.55</v>
      </c>
      <c r="BB255" s="1107">
        <f t="shared" si="676"/>
        <v>0</v>
      </c>
      <c r="BC255" s="990">
        <v>0</v>
      </c>
      <c r="BD255" s="1107" t="str">
        <f t="shared" si="607"/>
        <v>0</v>
      </c>
      <c r="BE255" s="990">
        <v>0</v>
      </c>
      <c r="BF255" s="1107">
        <f t="shared" si="703"/>
        <v>0</v>
      </c>
      <c r="BG255" s="1108">
        <v>320</v>
      </c>
      <c r="BH255" s="1108">
        <v>0</v>
      </c>
      <c r="BI255" s="1132">
        <v>0</v>
      </c>
      <c r="BJ255" s="1108">
        <v>12.5</v>
      </c>
      <c r="BK255" s="1108">
        <v>0</v>
      </c>
      <c r="BL255" s="1107">
        <f t="shared" si="704"/>
        <v>23.96</v>
      </c>
      <c r="BM255" s="1107">
        <f t="shared" si="705"/>
        <v>3</v>
      </c>
      <c r="BN255" s="1107">
        <f t="shared" si="626"/>
        <v>5.19</v>
      </c>
      <c r="BO255" s="1107">
        <v>0</v>
      </c>
      <c r="BP255" s="1107">
        <v>0</v>
      </c>
      <c r="BQ255" s="1320">
        <f t="shared" si="630"/>
        <v>32.15</v>
      </c>
      <c r="BR255" s="1107">
        <f t="shared" si="707"/>
        <v>53.91</v>
      </c>
      <c r="BS255" s="1107">
        <f t="shared" si="708"/>
        <v>11.98</v>
      </c>
      <c r="BT255" s="1107">
        <f t="shared" si="627"/>
        <v>10.38</v>
      </c>
      <c r="BU255" s="1107">
        <v>0</v>
      </c>
      <c r="BV255" s="1108">
        <f t="shared" si="631"/>
        <v>76.27</v>
      </c>
      <c r="BW255" s="1112">
        <f t="shared" si="632"/>
        <v>108.41999999999999</v>
      </c>
      <c r="BX255" s="1112">
        <f t="shared" si="662"/>
        <v>973.39</v>
      </c>
      <c r="BY255" s="1108">
        <v>0</v>
      </c>
      <c r="BZ255" s="1108">
        <f t="shared" si="598"/>
        <v>973.39</v>
      </c>
      <c r="CA255" s="1321">
        <f>'CONCEPTOS Y PARAMETROS'!$A$102</f>
        <v>6255</v>
      </c>
      <c r="CB255" s="1112">
        <f t="shared" si="611"/>
        <v>227.42999999999998</v>
      </c>
      <c r="CC255" s="1113">
        <f t="shared" si="612"/>
        <v>592.05999999999995</v>
      </c>
      <c r="CD255" s="512"/>
      <c r="CE255" s="512"/>
      <c r="CF255" s="470">
        <f t="shared" si="613"/>
        <v>899.56</v>
      </c>
      <c r="CG255" s="495">
        <f t="shared" si="628"/>
        <v>227.42999999999998</v>
      </c>
      <c r="CH255" s="498">
        <f t="shared" si="614"/>
        <v>12.5</v>
      </c>
      <c r="CI255" s="1490">
        <f t="shared" si="608"/>
        <v>320</v>
      </c>
      <c r="CJ255" s="1500">
        <v>1</v>
      </c>
      <c r="CK255" s="495">
        <f t="shared" si="615"/>
        <v>579.55999999999995</v>
      </c>
      <c r="CL255" s="1689">
        <f t="shared" si="616"/>
        <v>579.55999999999995</v>
      </c>
      <c r="CM255" s="1689">
        <f t="shared" si="610"/>
        <v>0</v>
      </c>
      <c r="CN255" s="496">
        <f t="shared" si="617"/>
        <v>0</v>
      </c>
      <c r="CO255" s="497">
        <v>0</v>
      </c>
      <c r="CP255" s="496">
        <f t="shared" si="618"/>
        <v>0</v>
      </c>
      <c r="CQ255" s="496">
        <f t="shared" si="619"/>
        <v>0</v>
      </c>
      <c r="CR255" s="496">
        <f t="shared" si="620"/>
        <v>1159.1199999999999</v>
      </c>
      <c r="CS255" s="496">
        <f t="shared" si="621"/>
        <v>108.41999999999999</v>
      </c>
      <c r="CT255" s="496">
        <f t="shared" si="622"/>
        <v>6255</v>
      </c>
      <c r="CU255" s="470"/>
      <c r="CV255" s="470"/>
      <c r="CW255" s="470"/>
      <c r="CX255" s="470"/>
      <c r="CY255" s="1149" t="s">
        <v>6972</v>
      </c>
      <c r="CZ255" s="1149" t="s">
        <v>6987</v>
      </c>
      <c r="DA255" s="480"/>
      <c r="DB255" s="1642" t="s">
        <v>6418</v>
      </c>
      <c r="DC255" s="1642"/>
      <c r="DD255" s="1642" t="s">
        <v>6158</v>
      </c>
      <c r="DE255" s="1642" t="s">
        <v>6192</v>
      </c>
      <c r="DF255" s="1642" t="s">
        <v>6193</v>
      </c>
      <c r="DG255" s="1152"/>
      <c r="DH255" s="512"/>
      <c r="DI255" s="512"/>
      <c r="DJ255" s="470"/>
      <c r="DK255" s="470"/>
      <c r="DL255" s="470"/>
      <c r="DN255" s="471" t="str">
        <f>VLOOKUP(X255,Hoja1!$A$4:$B$10,2,0)</f>
        <v>PROFESIONAL</v>
      </c>
      <c r="DO255" s="471" t="str">
        <f>VLOOKUP(S255,Hoja1!$D$4:$F$77,3,0)</f>
        <v>PII - II</v>
      </c>
      <c r="DP255" s="1156" t="str">
        <f t="shared" si="623"/>
        <v>0</v>
      </c>
      <c r="DQ255" s="1484">
        <f>IF(T255&lt;&gt;"0",(ROUND(IF(A255="EMPLEADO",eval_formula('CONCEPTOS Y PARAMETROS'!$C$8,NOMINA!V255,AU255+BF255,NOMINA!I255+NOMINA!J255),eval_formula('CONCEPTOS Y PARAMETROS'!$D$8,NOMINA!V255,AU255+BF255,NOMINA!I255+NOMINA!J255)),2))*IF(H255&lt;&gt;"",IF(MONTH(H255)=$BR$8,IF(YEAR(H255)&lt;$BT$7,1,0),0)))</f>
        <v>0</v>
      </c>
      <c r="DR255" s="1801" t="str">
        <f t="shared" si="624"/>
        <v>M</v>
      </c>
      <c r="DS255" s="1801"/>
    </row>
    <row r="256" spans="1:123" s="476" customFormat="1" ht="21.95" customHeight="1" x14ac:dyDescent="0.25">
      <c r="A256" s="508" t="s">
        <v>2846</v>
      </c>
      <c r="B256" s="1314">
        <f t="shared" ca="1" si="471"/>
        <v>213</v>
      </c>
      <c r="C256" s="1148">
        <v>21365212</v>
      </c>
      <c r="D256" s="1149" t="s">
        <v>4896</v>
      </c>
      <c r="E256" s="1135" t="s">
        <v>4622</v>
      </c>
      <c r="F256" s="1150">
        <v>34454</v>
      </c>
      <c r="G256" s="1135" t="s">
        <v>4621</v>
      </c>
      <c r="H256" s="1150">
        <v>44317</v>
      </c>
      <c r="I256" s="1140">
        <f t="shared" si="625"/>
        <v>4</v>
      </c>
      <c r="J256" s="1132">
        <v>0</v>
      </c>
      <c r="K256" s="1140">
        <f t="shared" si="600"/>
        <v>4</v>
      </c>
      <c r="L256" s="1145" t="s">
        <v>5532</v>
      </c>
      <c r="M256" s="1132"/>
      <c r="N256" s="1132"/>
      <c r="O256" s="1002" t="s">
        <v>7261</v>
      </c>
      <c r="P256" s="1132" t="s">
        <v>5429</v>
      </c>
      <c r="Q256" s="1315" t="str">
        <f>IFERROR(VLOOKUP(O256,CARGOS!A:E,2,0),"")</f>
        <v>12112</v>
      </c>
      <c r="R256" s="1327" t="s">
        <v>7261</v>
      </c>
      <c r="S256" s="1146" t="s">
        <v>5477</v>
      </c>
      <c r="T256" s="1107">
        <f>IFERROR(VLOOKUP(S256,'TAB EMP'!A:B,2,0),0)</f>
        <v>150</v>
      </c>
      <c r="U256" s="1108">
        <v>0</v>
      </c>
      <c r="V256" s="1107">
        <f t="shared" si="680"/>
        <v>150</v>
      </c>
      <c r="W256" s="1108">
        <f t="shared" si="681"/>
        <v>75</v>
      </c>
      <c r="X256" s="1135" t="s">
        <v>2884</v>
      </c>
      <c r="Y256" s="1135"/>
      <c r="Z256" s="1135">
        <v>0</v>
      </c>
      <c r="AA256" s="1107">
        <f>ROUND(IF(H256&lt;&gt;"",VLOOKUP(SUM(I256+J256),'CONCEPTOS Y PARAMETROS'!F:G,2,0)*V256,0),2)</f>
        <v>6</v>
      </c>
      <c r="AB256" s="1107">
        <f>IF(S256&lt;&gt;"",IF(M256="",'CONCEPTOS Y PARAMETROS'!$C$4,0),0)</f>
        <v>130</v>
      </c>
      <c r="AC256" s="1107">
        <f>IF(S256&lt;&gt;"",IF(M256="",'CONCEPTOS Y PARAMETROS'!$C$7*Z256,0),0)</f>
        <v>0</v>
      </c>
      <c r="AD256" s="1107">
        <f>IFERROR(ROUND(VLOOKUP($X256,'CONCEPTOS Y PARAMETROS'!H:I,2,0)*($V256+AA256+AB256+AC256),2),0)</f>
        <v>0</v>
      </c>
      <c r="AE256" s="1107">
        <f t="shared" si="647"/>
        <v>136</v>
      </c>
      <c r="AF256" s="1107">
        <f t="shared" si="682"/>
        <v>3</v>
      </c>
      <c r="AG256" s="1107">
        <f t="shared" si="683"/>
        <v>3</v>
      </c>
      <c r="AH256" s="1107">
        <f t="shared" si="684"/>
        <v>65</v>
      </c>
      <c r="AI256" s="1107">
        <f t="shared" si="685"/>
        <v>65</v>
      </c>
      <c r="AJ256" s="1107">
        <f t="shared" si="686"/>
        <v>0</v>
      </c>
      <c r="AK256" s="1107">
        <f t="shared" si="687"/>
        <v>0</v>
      </c>
      <c r="AL256" s="1108">
        <f t="shared" si="688"/>
        <v>68</v>
      </c>
      <c r="AM256" s="1108">
        <f t="shared" si="689"/>
        <v>68</v>
      </c>
      <c r="AN256" s="990">
        <v>0</v>
      </c>
      <c r="AO256" s="1147">
        <f>'CONCEPTOS Y PARAMETROS'!$C$18*AN256</f>
        <v>0</v>
      </c>
      <c r="AP256" s="990">
        <v>0</v>
      </c>
      <c r="AQ256" s="1147">
        <f>'CONCEPTOS Y PARAMETROS'!$C$21*AP256</f>
        <v>0</v>
      </c>
      <c r="AR256" s="1318">
        <v>0</v>
      </c>
      <c r="AS256" s="1318">
        <v>0</v>
      </c>
      <c r="AT256" s="1318">
        <f t="shared" si="609"/>
        <v>0</v>
      </c>
      <c r="AU256" s="1108">
        <f t="shared" si="606"/>
        <v>286</v>
      </c>
      <c r="AV256" s="1133">
        <v>0</v>
      </c>
      <c r="AW256" s="1108">
        <f>ROUND(IF(AV256="NOCTURN",(V256+AE256)*30%,0),2)</f>
        <v>0</v>
      </c>
      <c r="AX256" s="1107">
        <f>IF(T256&lt;&gt;"0",(ROUND(IF(A256="EMPLEADO",eval_formula('CONCEPTOS Y PARAMETROS'!$C$8,NOMINA!V256,NOMINA!$AU256,NOMINA!I256+NOMINA!J256),eval_formula('CONCEPTOS Y PARAMETROS'!$D$8,NOMINA!V256,NOMINA!$AU256,NOMINA!I256+NOMINA!J256)),2))*IF(H256&lt;&gt;"",IF(MONTH(H256)=$BR$8,IF(YEAR(H256)&lt;$BT$7,1,0),0)))</f>
        <v>0</v>
      </c>
      <c r="AY256" s="1108">
        <v>180</v>
      </c>
      <c r="AZ256" s="1107">
        <f>IFERROR(VLOOKUP(AY256,'CONCEPTOS Y PARAMETROS'!Y:Z,2,0),0)</f>
        <v>150</v>
      </c>
      <c r="BA256" s="1107">
        <f t="shared" si="690"/>
        <v>2145</v>
      </c>
      <c r="BB256" s="1107">
        <f t="shared" si="676"/>
        <v>0</v>
      </c>
      <c r="BC256" s="990">
        <v>0</v>
      </c>
      <c r="BD256" s="1107" t="str">
        <f t="shared" si="607"/>
        <v>0</v>
      </c>
      <c r="BE256" s="990">
        <v>0</v>
      </c>
      <c r="BF256" s="1107">
        <f t="shared" si="703"/>
        <v>0</v>
      </c>
      <c r="BG256" s="1108">
        <v>320</v>
      </c>
      <c r="BH256" s="1108">
        <v>0</v>
      </c>
      <c r="BI256" s="1132">
        <v>0</v>
      </c>
      <c r="BJ256" s="1108">
        <v>12.5</v>
      </c>
      <c r="BK256" s="1108">
        <v>0</v>
      </c>
      <c r="BL256" s="1107">
        <f t="shared" si="704"/>
        <v>13.2</v>
      </c>
      <c r="BM256" s="1107">
        <f t="shared" si="705"/>
        <v>1.65</v>
      </c>
      <c r="BN256" s="1107">
        <f t="shared" si="626"/>
        <v>2.86</v>
      </c>
      <c r="BO256" s="1107">
        <v>0</v>
      </c>
      <c r="BP256" s="1107">
        <v>0</v>
      </c>
      <c r="BQ256" s="1320">
        <f t="shared" si="630"/>
        <v>17.71</v>
      </c>
      <c r="BR256" s="1107">
        <f t="shared" si="707"/>
        <v>29.7</v>
      </c>
      <c r="BS256" s="1107">
        <f t="shared" si="708"/>
        <v>6.6</v>
      </c>
      <c r="BT256" s="1107">
        <f t="shared" si="627"/>
        <v>5.72</v>
      </c>
      <c r="BU256" s="1107">
        <v>0</v>
      </c>
      <c r="BV256" s="1108">
        <f t="shared" si="631"/>
        <v>42.02</v>
      </c>
      <c r="BW256" s="1112">
        <f t="shared" si="632"/>
        <v>59.730000000000004</v>
      </c>
      <c r="BX256" s="1112">
        <f t="shared" si="662"/>
        <v>536.25</v>
      </c>
      <c r="BY256" s="1108">
        <v>0</v>
      </c>
      <c r="BZ256" s="1108">
        <f t="shared" si="598"/>
        <v>536.25</v>
      </c>
      <c r="CA256" s="1321">
        <f>'CONCEPTOS Y PARAMETROS'!$A$102</f>
        <v>6255</v>
      </c>
      <c r="CB256" s="1112">
        <f t="shared" si="611"/>
        <v>125.28999999999999</v>
      </c>
      <c r="CC256" s="1113">
        <f t="shared" si="612"/>
        <v>475.5</v>
      </c>
      <c r="CD256" s="512"/>
      <c r="CE256" s="512"/>
      <c r="CF256" s="470">
        <f t="shared" si="613"/>
        <v>783</v>
      </c>
      <c r="CG256" s="509">
        <f t="shared" si="628"/>
        <v>125.28999999999999</v>
      </c>
      <c r="CH256" s="1603">
        <f t="shared" si="614"/>
        <v>12.5</v>
      </c>
      <c r="CI256" s="1491">
        <f t="shared" si="608"/>
        <v>320</v>
      </c>
      <c r="CJ256" s="1502">
        <v>1</v>
      </c>
      <c r="CK256" s="509">
        <f t="shared" si="615"/>
        <v>463</v>
      </c>
      <c r="CL256" s="1689">
        <f t="shared" si="616"/>
        <v>463</v>
      </c>
      <c r="CM256" s="1689">
        <f t="shared" si="610"/>
        <v>0</v>
      </c>
      <c r="CN256" s="510">
        <f t="shared" si="617"/>
        <v>0</v>
      </c>
      <c r="CO256" s="511">
        <v>0</v>
      </c>
      <c r="CP256" s="510">
        <f t="shared" si="618"/>
        <v>0</v>
      </c>
      <c r="CQ256" s="510">
        <f t="shared" si="619"/>
        <v>0</v>
      </c>
      <c r="CR256" s="510">
        <f t="shared" si="620"/>
        <v>926</v>
      </c>
      <c r="CS256" s="510">
        <f t="shared" si="621"/>
        <v>59.730000000000004</v>
      </c>
      <c r="CT256" s="510">
        <f t="shared" si="622"/>
        <v>6255</v>
      </c>
      <c r="CU256" s="512"/>
      <c r="CV256" s="512"/>
      <c r="CW256" s="512"/>
      <c r="CX256" s="512"/>
      <c r="CY256" s="1149" t="s">
        <v>6897</v>
      </c>
      <c r="CZ256" s="1149" t="s">
        <v>6988</v>
      </c>
      <c r="DA256" s="1152"/>
      <c r="DB256" s="1642" t="s">
        <v>6207</v>
      </c>
      <c r="DC256" s="1642"/>
      <c r="DD256" s="1642" t="s">
        <v>6255</v>
      </c>
      <c r="DE256" s="1642" t="s">
        <v>6208</v>
      </c>
      <c r="DF256" s="1642" t="s">
        <v>6595</v>
      </c>
      <c r="DG256" s="1152"/>
      <c r="DH256" s="512"/>
      <c r="DI256" s="512"/>
      <c r="DJ256" s="512"/>
      <c r="DK256" s="512"/>
      <c r="DL256" s="512"/>
      <c r="DN256" s="476" t="str">
        <f>VLOOKUP(X256,Hoja1!$A$4:$B$10,2,0)</f>
        <v>BACHILLER</v>
      </c>
      <c r="DO256" s="476" t="str">
        <f>VLOOKUP(S256,Hoja1!$D$4:$F$77,3,0)</f>
        <v>BII - II</v>
      </c>
      <c r="DP256" s="1594" t="str">
        <f t="shared" si="623"/>
        <v>0</v>
      </c>
      <c r="DQ256" s="1484">
        <f>IF(T256&lt;&gt;"0",(ROUND(IF(A256="EMPLEADO",eval_formula('CONCEPTOS Y PARAMETROS'!$C$8,NOMINA!V256,AU256+BF256,NOMINA!I256+NOMINA!J256),eval_formula('CONCEPTOS Y PARAMETROS'!$D$8,NOMINA!V256,AU256+BF256,NOMINA!I256+NOMINA!J256)),2))*IF(H256&lt;&gt;"",IF(MONTH(H256)=$BR$8,IF(YEAR(H256)&lt;$BT$7,1,0),0)))</f>
        <v>0</v>
      </c>
      <c r="DR256" s="1799" t="str">
        <f t="shared" si="624"/>
        <v>M</v>
      </c>
      <c r="DS256" s="1799"/>
    </row>
    <row r="257" spans="1:123" s="911" customFormat="1" ht="21.95" customHeight="1" x14ac:dyDescent="0.25">
      <c r="A257" s="910" t="s">
        <v>2846</v>
      </c>
      <c r="B257" s="1328">
        <f t="shared" ca="1" si="471"/>
        <v>214</v>
      </c>
      <c r="C257" s="1329">
        <v>21592108</v>
      </c>
      <c r="D257" s="1330" t="s">
        <v>4682</v>
      </c>
      <c r="E257" s="1331" t="s">
        <v>4622</v>
      </c>
      <c r="F257" s="1332">
        <v>33800</v>
      </c>
      <c r="G257" s="1331" t="s">
        <v>4620</v>
      </c>
      <c r="H257" s="1332">
        <v>43024</v>
      </c>
      <c r="I257" s="1333">
        <f t="shared" si="625"/>
        <v>7</v>
      </c>
      <c r="J257" s="1334">
        <v>0</v>
      </c>
      <c r="K257" s="1333">
        <f t="shared" si="600"/>
        <v>7</v>
      </c>
      <c r="L257" s="1335" t="s">
        <v>5540</v>
      </c>
      <c r="M257" s="1334"/>
      <c r="N257" s="1334"/>
      <c r="O257" s="996" t="s">
        <v>1926</v>
      </c>
      <c r="P257" s="1334" t="s">
        <v>5193</v>
      </c>
      <c r="Q257" s="1337" t="str">
        <f>IFERROR(VLOOKUP(O257,CARGOS!A:E,2,0),"")</f>
        <v>13361</v>
      </c>
      <c r="R257" s="1336" t="s">
        <v>5264</v>
      </c>
      <c r="S257" s="1338" t="s">
        <v>5478</v>
      </c>
      <c r="T257" s="1339">
        <v>0</v>
      </c>
      <c r="U257" s="1307">
        <v>0</v>
      </c>
      <c r="V257" s="1339">
        <f t="shared" si="680"/>
        <v>0</v>
      </c>
      <c r="W257" s="1307">
        <f t="shared" si="681"/>
        <v>0</v>
      </c>
      <c r="X257" s="1331" t="s">
        <v>2844</v>
      </c>
      <c r="Y257" s="1331"/>
      <c r="Z257" s="1331">
        <v>0</v>
      </c>
      <c r="AA257" s="1339">
        <f>ROUND(IF(H257&lt;&gt;"",VLOOKUP(SUM(I257+J257),'CONCEPTOS Y PARAMETROS'!F:G,2,0)*V257,0),2)</f>
        <v>0</v>
      </c>
      <c r="AB257" s="1339">
        <v>0</v>
      </c>
      <c r="AC257" s="1339">
        <v>0</v>
      </c>
      <c r="AD257" s="1339">
        <f>IFERROR(ROUND(VLOOKUP($X257,'CONCEPTOS Y PARAMETROS'!H:I,2,0)*($V257+AA257+AB257+AC257),2),0)</f>
        <v>0</v>
      </c>
      <c r="AE257" s="1339">
        <f t="shared" si="647"/>
        <v>0</v>
      </c>
      <c r="AF257" s="1339">
        <f t="shared" si="682"/>
        <v>0</v>
      </c>
      <c r="AG257" s="1339">
        <f t="shared" si="683"/>
        <v>0</v>
      </c>
      <c r="AH257" s="1339">
        <f t="shared" si="684"/>
        <v>0</v>
      </c>
      <c r="AI257" s="1339">
        <f t="shared" si="685"/>
        <v>0</v>
      </c>
      <c r="AJ257" s="1339">
        <f t="shared" si="686"/>
        <v>0</v>
      </c>
      <c r="AK257" s="1339">
        <f t="shared" si="687"/>
        <v>0</v>
      </c>
      <c r="AL257" s="1307">
        <f t="shared" si="688"/>
        <v>0</v>
      </c>
      <c r="AM257" s="1307">
        <f t="shared" si="689"/>
        <v>0</v>
      </c>
      <c r="AN257" s="1340">
        <v>0</v>
      </c>
      <c r="AO257" s="1341">
        <v>0</v>
      </c>
      <c r="AP257" s="1340">
        <v>0</v>
      </c>
      <c r="AQ257" s="1341">
        <f>'CONCEPTOS Y PARAMETROS'!$C$21*AP257</f>
        <v>0</v>
      </c>
      <c r="AR257" s="1342">
        <v>0</v>
      </c>
      <c r="AS257" s="1342">
        <v>0</v>
      </c>
      <c r="AT257" s="1342">
        <f t="shared" si="609"/>
        <v>0</v>
      </c>
      <c r="AU257" s="1307">
        <f t="shared" si="606"/>
        <v>0</v>
      </c>
      <c r="AV257" s="1343">
        <v>0</v>
      </c>
      <c r="AW257" s="1307">
        <f>ROUND(IF(O257="VIGILANTE",(V257+AE257)*30%,0),2)</f>
        <v>0</v>
      </c>
      <c r="AX257" s="1339">
        <f>IF(T257&lt;&gt;"0",(ROUND(IF(A257="EMPLEADO",eval_formula('CONCEPTOS Y PARAMETROS'!$C$8,NOMINA!V257,NOMINA!$AU257,NOMINA!I257+NOMINA!J257),eval_formula('CONCEPTOS Y PARAMETROS'!$D$8,NOMINA!V257,NOMINA!$AU257,NOMINA!I257+NOMINA!J257)),2))*IF(H257&lt;&gt;"",IF(MONTH(H257)=$BR$8,IF(YEAR(H257)&lt;$BT$7,1,0),0)))</f>
        <v>0</v>
      </c>
      <c r="AY257" s="1307">
        <v>180</v>
      </c>
      <c r="AZ257" s="1339">
        <f>IFERROR(VLOOKUP(AY257,'CONCEPTOS Y PARAMETROS'!Y:Z,2,0),0)</f>
        <v>150</v>
      </c>
      <c r="BA257" s="1339">
        <f t="shared" si="690"/>
        <v>0</v>
      </c>
      <c r="BB257" s="1339">
        <f t="shared" si="676"/>
        <v>0</v>
      </c>
      <c r="BC257" s="1340">
        <v>0</v>
      </c>
      <c r="BD257" s="1339" t="str">
        <f t="shared" si="607"/>
        <v>0</v>
      </c>
      <c r="BE257" s="1340">
        <v>0</v>
      </c>
      <c r="BF257" s="1339">
        <f t="shared" si="703"/>
        <v>0</v>
      </c>
      <c r="BG257" s="1307">
        <v>0</v>
      </c>
      <c r="BH257" s="1307">
        <v>0</v>
      </c>
      <c r="BI257" s="1334">
        <v>0</v>
      </c>
      <c r="BJ257" s="1307">
        <v>0</v>
      </c>
      <c r="BK257" s="1307">
        <v>0</v>
      </c>
      <c r="BL257" s="1339">
        <f t="shared" si="704"/>
        <v>0</v>
      </c>
      <c r="BM257" s="1339">
        <f t="shared" si="705"/>
        <v>0</v>
      </c>
      <c r="BN257" s="1339">
        <f t="shared" si="626"/>
        <v>0</v>
      </c>
      <c r="BO257" s="1339">
        <v>0</v>
      </c>
      <c r="BP257" s="1339">
        <v>0</v>
      </c>
      <c r="BQ257" s="1344">
        <f t="shared" ref="BQ257" si="715">ROUND(SUM(BL257:BP257),2)</f>
        <v>0</v>
      </c>
      <c r="BR257" s="1339">
        <f t="shared" si="707"/>
        <v>0</v>
      </c>
      <c r="BS257" s="1339">
        <f t="shared" si="708"/>
        <v>0</v>
      </c>
      <c r="BT257" s="1339">
        <f t="shared" si="627"/>
        <v>0</v>
      </c>
      <c r="BU257" s="1339">
        <v>0</v>
      </c>
      <c r="BV257" s="1339">
        <f t="shared" si="631"/>
        <v>0</v>
      </c>
      <c r="BW257" s="1374">
        <f t="shared" si="632"/>
        <v>0</v>
      </c>
      <c r="BX257" s="1305">
        <f t="shared" si="662"/>
        <v>0</v>
      </c>
      <c r="BY257" s="1307">
        <v>0</v>
      </c>
      <c r="BZ257" s="1307">
        <f t="shared" si="598"/>
        <v>0</v>
      </c>
      <c r="CA257" s="1345">
        <v>0</v>
      </c>
      <c r="CB257" s="1305">
        <f t="shared" si="611"/>
        <v>0</v>
      </c>
      <c r="CC257" s="1346">
        <f t="shared" si="612"/>
        <v>0</v>
      </c>
      <c r="CD257" s="915"/>
      <c r="CE257" s="915"/>
      <c r="CF257" s="470">
        <f t="shared" si="613"/>
        <v>0</v>
      </c>
      <c r="CG257" s="912">
        <f t="shared" si="628"/>
        <v>0</v>
      </c>
      <c r="CH257" s="498">
        <f t="shared" si="614"/>
        <v>0</v>
      </c>
      <c r="CI257" s="1492">
        <f t="shared" si="608"/>
        <v>0</v>
      </c>
      <c r="CJ257" s="1504">
        <v>0</v>
      </c>
      <c r="CK257" s="912">
        <f t="shared" si="615"/>
        <v>0</v>
      </c>
      <c r="CL257" s="912">
        <f t="shared" si="616"/>
        <v>0</v>
      </c>
      <c r="CM257" s="912">
        <f t="shared" si="610"/>
        <v>0</v>
      </c>
      <c r="CN257" s="913">
        <f t="shared" si="617"/>
        <v>0</v>
      </c>
      <c r="CO257" s="914">
        <v>0</v>
      </c>
      <c r="CP257" s="913">
        <f t="shared" si="618"/>
        <v>0</v>
      </c>
      <c r="CQ257" s="913">
        <f t="shared" si="619"/>
        <v>0</v>
      </c>
      <c r="CR257" s="496">
        <f t="shared" si="620"/>
        <v>0</v>
      </c>
      <c r="CS257" s="913">
        <f t="shared" si="621"/>
        <v>0</v>
      </c>
      <c r="CT257" s="913">
        <f t="shared" si="622"/>
        <v>0</v>
      </c>
      <c r="CU257" s="470"/>
      <c r="CV257" s="470"/>
      <c r="CW257" s="470"/>
      <c r="CX257" s="470"/>
      <c r="CY257" s="1330" t="s">
        <v>6989</v>
      </c>
      <c r="CZ257" s="1330" t="s">
        <v>6802</v>
      </c>
      <c r="DA257" s="1613"/>
      <c r="DB257" s="1614"/>
      <c r="DC257" s="1614"/>
      <c r="DD257" s="1614"/>
      <c r="DE257" s="1614"/>
      <c r="DF257" s="1614"/>
      <c r="DG257" s="1614"/>
      <c r="DH257" s="915"/>
      <c r="DI257" s="915"/>
      <c r="DJ257" s="915"/>
      <c r="DK257" s="915"/>
      <c r="DL257" s="915"/>
      <c r="DN257" s="911" t="str">
        <f>VLOOKUP(X257,Hoja1!$A$4:$B$10,2,0)</f>
        <v>TÉCNICO SUPERIOR UNIVERSITARIO</v>
      </c>
      <c r="DO257" s="911" t="str">
        <f>VLOOKUP(S257,Hoja1!$D$4:$F$77,3,0)</f>
        <v>TII - III</v>
      </c>
      <c r="DP257" s="1157" t="str">
        <f t="shared" si="623"/>
        <v>0</v>
      </c>
      <c r="DQ257" s="1484">
        <f>IF(T257&lt;&gt;"0",(ROUND(IF(A257="EMPLEADO",eval_formula('CONCEPTOS Y PARAMETROS'!$C$8,NOMINA!V257,AU257+BF257,NOMINA!I257+NOMINA!J257),eval_formula('CONCEPTOS Y PARAMETROS'!$D$8,NOMINA!V257,AU257+BF257,NOMINA!I257+NOMINA!J257)),2))*IF(H257&lt;&gt;"",IF(MONTH(H257)=$BR$8,IF(YEAR(H257)&lt;$BT$7,1,0),0)))</f>
        <v>0</v>
      </c>
      <c r="DR257" s="1800" t="str">
        <f t="shared" si="624"/>
        <v>F</v>
      </c>
      <c r="DS257" s="1800"/>
    </row>
    <row r="258" spans="1:123" s="471" customFormat="1" ht="21.95" customHeight="1" x14ac:dyDescent="0.25">
      <c r="A258" s="508" t="s">
        <v>2846</v>
      </c>
      <c r="B258" s="1314">
        <f t="shared" ca="1" si="471"/>
        <v>215</v>
      </c>
      <c r="C258" s="1148">
        <v>22622493</v>
      </c>
      <c r="D258" s="1149" t="s">
        <v>7356</v>
      </c>
      <c r="E258" s="1135" t="s">
        <v>4622</v>
      </c>
      <c r="F258" s="1150">
        <v>34903</v>
      </c>
      <c r="G258" s="1135" t="s">
        <v>4620</v>
      </c>
      <c r="H258" s="1150">
        <v>44363</v>
      </c>
      <c r="I258" s="1140">
        <f t="shared" si="625"/>
        <v>4</v>
      </c>
      <c r="J258" s="1132">
        <v>0</v>
      </c>
      <c r="K258" s="1140">
        <f t="shared" si="600"/>
        <v>4</v>
      </c>
      <c r="L258" s="1145" t="s">
        <v>5528</v>
      </c>
      <c r="M258" s="1132"/>
      <c r="N258" s="1132"/>
      <c r="O258" s="1002" t="s">
        <v>5218</v>
      </c>
      <c r="P258" s="1132" t="s">
        <v>5430</v>
      </c>
      <c r="Q258" s="1315" t="str">
        <f>IFERROR(VLOOKUP(O258,CARGOS!A:E,2,0),"")</f>
        <v>79511</v>
      </c>
      <c r="R258" s="1327" t="s">
        <v>5218</v>
      </c>
      <c r="S258" s="1146" t="s">
        <v>5477</v>
      </c>
      <c r="T258" s="1107">
        <f>IFERROR(VLOOKUP(S258,'TAB EMP'!A:B,2,0),0)</f>
        <v>150</v>
      </c>
      <c r="U258" s="1108">
        <v>0</v>
      </c>
      <c r="V258" s="1107">
        <f t="shared" si="680"/>
        <v>150</v>
      </c>
      <c r="W258" s="1108">
        <f t="shared" si="681"/>
        <v>75</v>
      </c>
      <c r="X258" s="1135" t="s">
        <v>2884</v>
      </c>
      <c r="Y258" s="1135"/>
      <c r="Z258" s="1135">
        <v>2</v>
      </c>
      <c r="AA258" s="1107">
        <f>ROUND(IF(H258&lt;&gt;"",VLOOKUP(SUM(I258+J258),'CONCEPTOS Y PARAMETROS'!F:G,2,0)*V258,0),2)</f>
        <v>6</v>
      </c>
      <c r="AB258" s="1107">
        <f>IF(S258&lt;&gt;"",IF(M258="",'CONCEPTOS Y PARAMETROS'!$C$4,0),0)</f>
        <v>130</v>
      </c>
      <c r="AC258" s="1107">
        <f>IF(S258&lt;&gt;"",IF(M258="",'CONCEPTOS Y PARAMETROS'!$C$7*Z258,0),0)</f>
        <v>25</v>
      </c>
      <c r="AD258" s="1107">
        <f>IFERROR(ROUND(VLOOKUP($X258,'CONCEPTOS Y PARAMETROS'!H:I,2,0)*($V258+AA258+AB258+AC258),2),0)</f>
        <v>0</v>
      </c>
      <c r="AE258" s="1107">
        <f t="shared" si="647"/>
        <v>161</v>
      </c>
      <c r="AF258" s="1107">
        <f t="shared" si="682"/>
        <v>3</v>
      </c>
      <c r="AG258" s="1107">
        <f t="shared" si="683"/>
        <v>3</v>
      </c>
      <c r="AH258" s="1107">
        <f t="shared" si="684"/>
        <v>65</v>
      </c>
      <c r="AI258" s="1107">
        <f t="shared" si="685"/>
        <v>65</v>
      </c>
      <c r="AJ258" s="1107">
        <f t="shared" si="686"/>
        <v>0</v>
      </c>
      <c r="AK258" s="1107">
        <f t="shared" si="687"/>
        <v>0</v>
      </c>
      <c r="AL258" s="1108">
        <f t="shared" si="688"/>
        <v>93</v>
      </c>
      <c r="AM258" s="1108">
        <f t="shared" si="689"/>
        <v>68</v>
      </c>
      <c r="AN258" s="1453">
        <v>2</v>
      </c>
      <c r="AO258" s="1147">
        <f>'CONCEPTOS Y PARAMETROS'!$C$18*AN258</f>
        <v>25</v>
      </c>
      <c r="AP258" s="990">
        <v>0</v>
      </c>
      <c r="AQ258" s="1147">
        <f>'CONCEPTOS Y PARAMETROS'!$C$21*AP258</f>
        <v>0</v>
      </c>
      <c r="AR258" s="1318">
        <v>0</v>
      </c>
      <c r="AS258" s="1318">
        <v>0</v>
      </c>
      <c r="AT258" s="1318">
        <f t="shared" si="609"/>
        <v>25</v>
      </c>
      <c r="AU258" s="1108">
        <f t="shared" si="606"/>
        <v>404.3</v>
      </c>
      <c r="AV258" s="1133" t="s">
        <v>5080</v>
      </c>
      <c r="AW258" s="1108">
        <f t="shared" ref="AW258:AW302" si="716">ROUND(IF(AV258="NOCTURN",(V258+AE258)*30%,0),2)</f>
        <v>93.3</v>
      </c>
      <c r="AX258" s="1107">
        <f>IF(T258&lt;&gt;"0",(ROUND(IF(A258="EMPLEADO",eval_formula('CONCEPTOS Y PARAMETROS'!$C$8,NOMINA!V258,NOMINA!$AU258,NOMINA!I258+NOMINA!J258),eval_formula('CONCEPTOS Y PARAMETROS'!$D$8,NOMINA!V258,NOMINA!$AU258,NOMINA!I258+NOMINA!J258)),2))*IF(H258&lt;&gt;"",IF(MONTH(H258)=$BR$8,IF(YEAR(H258)&lt;$BT$7,1,0),0)))</f>
        <v>0</v>
      </c>
      <c r="AY258" s="1108">
        <v>180</v>
      </c>
      <c r="AZ258" s="1107">
        <f>IFERROR(VLOOKUP(AY258,'CONCEPTOS Y PARAMETROS'!Y:Z,2,0),0)</f>
        <v>150</v>
      </c>
      <c r="BA258" s="1107">
        <f t="shared" si="690"/>
        <v>3032.25</v>
      </c>
      <c r="BB258" s="1107">
        <f t="shared" si="676"/>
        <v>0</v>
      </c>
      <c r="BC258" s="990">
        <v>0</v>
      </c>
      <c r="BD258" s="1107" t="str">
        <f t="shared" si="607"/>
        <v>0</v>
      </c>
      <c r="BE258" s="990">
        <v>3</v>
      </c>
      <c r="BF258" s="1107">
        <f t="shared" si="703"/>
        <v>60.65</v>
      </c>
      <c r="BG258" s="1108">
        <v>320</v>
      </c>
      <c r="BH258" s="1108">
        <v>0</v>
      </c>
      <c r="BI258" s="1132">
        <v>0</v>
      </c>
      <c r="BJ258" s="1108">
        <v>12.5</v>
      </c>
      <c r="BK258" s="1108">
        <v>0</v>
      </c>
      <c r="BL258" s="1107">
        <f t="shared" si="704"/>
        <v>18.66</v>
      </c>
      <c r="BM258" s="1107">
        <f t="shared" si="705"/>
        <v>2.33</v>
      </c>
      <c r="BN258" s="1107">
        <f t="shared" si="626"/>
        <v>4.04</v>
      </c>
      <c r="BO258" s="1107">
        <v>0</v>
      </c>
      <c r="BP258" s="1107">
        <v>0</v>
      </c>
      <c r="BQ258" s="1320">
        <f t="shared" si="630"/>
        <v>25.03</v>
      </c>
      <c r="BR258" s="1107">
        <f t="shared" si="707"/>
        <v>41.99</v>
      </c>
      <c r="BS258" s="1107">
        <f t="shared" si="708"/>
        <v>9.33</v>
      </c>
      <c r="BT258" s="1107">
        <f t="shared" si="627"/>
        <v>8.08</v>
      </c>
      <c r="BU258" s="1107">
        <v>0</v>
      </c>
      <c r="BV258" s="1108">
        <f t="shared" si="631"/>
        <v>59.4</v>
      </c>
      <c r="BW258" s="1112">
        <f t="shared" si="632"/>
        <v>84.43</v>
      </c>
      <c r="BX258" s="1112">
        <f t="shared" si="662"/>
        <v>758.06</v>
      </c>
      <c r="BY258" s="1108">
        <v>0</v>
      </c>
      <c r="BZ258" s="1108">
        <f t="shared" si="598"/>
        <v>758.06</v>
      </c>
      <c r="CA258" s="1321">
        <f>'CONCEPTOS Y PARAMETROS'!$A$102</f>
        <v>6255</v>
      </c>
      <c r="CB258" s="1112">
        <f t="shared" si="611"/>
        <v>142.97</v>
      </c>
      <c r="CC258" s="1113">
        <f t="shared" si="612"/>
        <v>654.45000000000005</v>
      </c>
      <c r="CD258" s="512"/>
      <c r="CE258" s="512"/>
      <c r="CF258" s="470">
        <f t="shared" si="613"/>
        <v>783</v>
      </c>
      <c r="CG258" s="495">
        <f t="shared" si="628"/>
        <v>142.97</v>
      </c>
      <c r="CH258" s="498">
        <f t="shared" si="614"/>
        <v>37.5</v>
      </c>
      <c r="CI258" s="1490">
        <f t="shared" si="608"/>
        <v>320</v>
      </c>
      <c r="CJ258" s="1500">
        <v>1</v>
      </c>
      <c r="CK258" s="495">
        <f t="shared" si="615"/>
        <v>463</v>
      </c>
      <c r="CL258" s="1689">
        <f t="shared" si="616"/>
        <v>463</v>
      </c>
      <c r="CM258" s="1689">
        <f t="shared" si="610"/>
        <v>0</v>
      </c>
      <c r="CN258" s="496">
        <f t="shared" si="617"/>
        <v>60.65</v>
      </c>
      <c r="CO258" s="497">
        <v>0</v>
      </c>
      <c r="CP258" s="496">
        <f t="shared" si="618"/>
        <v>93.3</v>
      </c>
      <c r="CQ258" s="496">
        <f t="shared" si="619"/>
        <v>0</v>
      </c>
      <c r="CR258" s="496">
        <f t="shared" si="620"/>
        <v>1079.95</v>
      </c>
      <c r="CS258" s="496">
        <f t="shared" si="621"/>
        <v>84.43</v>
      </c>
      <c r="CT258" s="496">
        <f t="shared" si="622"/>
        <v>6255</v>
      </c>
      <c r="CU258" s="470"/>
      <c r="CV258" s="470"/>
      <c r="CW258" s="470"/>
      <c r="CX258" s="470"/>
      <c r="CY258" s="1149" t="s">
        <v>6990</v>
      </c>
      <c r="CZ258" s="1149" t="s">
        <v>6991</v>
      </c>
      <c r="DA258" s="480"/>
      <c r="DB258" s="1642" t="s">
        <v>6285</v>
      </c>
      <c r="DC258" s="1642"/>
      <c r="DD258" s="1642" t="s">
        <v>6158</v>
      </c>
      <c r="DE258" s="1642" t="s">
        <v>6553</v>
      </c>
      <c r="DF258" s="1642" t="s">
        <v>7442</v>
      </c>
      <c r="DG258" s="1642" t="s">
        <v>7443</v>
      </c>
      <c r="DH258" s="512"/>
      <c r="DI258" s="512"/>
      <c r="DJ258" s="470"/>
      <c r="DK258" s="470"/>
      <c r="DL258" s="470"/>
      <c r="DN258" s="471" t="str">
        <f>VLOOKUP(X258,Hoja1!$A$4:$B$10,2,0)</f>
        <v>BACHILLER</v>
      </c>
      <c r="DO258" s="471" t="str">
        <f>VLOOKUP(S258,Hoja1!$D$4:$F$77,3,0)</f>
        <v>BII - II</v>
      </c>
      <c r="DP258" s="1156" t="str">
        <f t="shared" si="623"/>
        <v>SI</v>
      </c>
      <c r="DQ258" s="1484">
        <f>IF(T258&lt;&gt;"0",(ROUND(IF(A258="EMPLEADO",eval_formula('CONCEPTOS Y PARAMETROS'!$C$8,NOMINA!V258,AU258+BF258,NOMINA!I258+NOMINA!J258),eval_formula('CONCEPTOS Y PARAMETROS'!$D$8,NOMINA!V258,AU258+BF258,NOMINA!I258+NOMINA!J258)),2))*IF(H258&lt;&gt;"",IF(MONTH(H258)=$BR$8,IF(YEAR(H258)&lt;$BT$7,1,0),0)))</f>
        <v>0</v>
      </c>
      <c r="DR258" s="1801" t="str">
        <f t="shared" si="624"/>
        <v>F</v>
      </c>
      <c r="DS258" s="1801"/>
    </row>
    <row r="259" spans="1:123" s="476" customFormat="1" ht="21.95" customHeight="1" x14ac:dyDescent="0.25">
      <c r="A259" s="508" t="s">
        <v>2846</v>
      </c>
      <c r="B259" s="1314">
        <f t="shared" ca="1" si="471"/>
        <v>216</v>
      </c>
      <c r="C259" s="1148">
        <v>22892886</v>
      </c>
      <c r="D259" s="1149" t="s">
        <v>7346</v>
      </c>
      <c r="E259" s="1135" t="s">
        <v>4622</v>
      </c>
      <c r="F259" s="1150">
        <v>33836</v>
      </c>
      <c r="G259" s="1135" t="s">
        <v>4620</v>
      </c>
      <c r="H259" s="1150">
        <v>45748</v>
      </c>
      <c r="I259" s="1140">
        <f t="shared" si="625"/>
        <v>0</v>
      </c>
      <c r="J259" s="1132">
        <v>0</v>
      </c>
      <c r="K259" s="1140">
        <f t="shared" ref="K259" si="717">I259+J259</f>
        <v>0</v>
      </c>
      <c r="L259" s="1145" t="s">
        <v>6113</v>
      </c>
      <c r="M259" s="1132"/>
      <c r="N259" s="1132"/>
      <c r="O259" s="1002" t="s">
        <v>5218</v>
      </c>
      <c r="P259" s="1151" t="s">
        <v>7347</v>
      </c>
      <c r="Q259" s="1315" t="str">
        <f>IFERROR(VLOOKUP(O259,CARGOS!A:E,2,0),"")</f>
        <v>79511</v>
      </c>
      <c r="R259" s="1327" t="s">
        <v>5218</v>
      </c>
      <c r="S259" s="1146" t="s">
        <v>5470</v>
      </c>
      <c r="T259" s="1107">
        <f>IFERROR(VLOOKUP(S259,'TAB EMP'!A:B,2,0),0)</f>
        <v>130</v>
      </c>
      <c r="U259" s="1108">
        <v>0</v>
      </c>
      <c r="V259" s="1107">
        <f t="shared" ref="V259" si="718">T259-U259</f>
        <v>130</v>
      </c>
      <c r="W259" s="1108">
        <f t="shared" ref="W259" si="719">ROUND(V259/2,2)</f>
        <v>65</v>
      </c>
      <c r="X259" s="1135" t="s">
        <v>2884</v>
      </c>
      <c r="Y259" s="1135"/>
      <c r="Z259" s="1135">
        <v>0</v>
      </c>
      <c r="AA259" s="1107">
        <f>ROUND(IF(H259&lt;&gt;"",VLOOKUP(SUM(I259+J259),'CONCEPTOS Y PARAMETROS'!F:G,2,0)*V259,0),2)</f>
        <v>0</v>
      </c>
      <c r="AB259" s="1107">
        <f>IF(S259&lt;&gt;"",IF(M259="",'CONCEPTOS Y PARAMETROS'!$C$4,0),0)</f>
        <v>130</v>
      </c>
      <c r="AC259" s="1107">
        <f>IF(S259&lt;&gt;"",IF(M259="",'CONCEPTOS Y PARAMETROS'!$C$7*Z259,0),0)</f>
        <v>0</v>
      </c>
      <c r="AD259" s="1107">
        <f>IFERROR(ROUND(VLOOKUP($X259,'CONCEPTOS Y PARAMETROS'!H:I,2,0)*($V259+AA259+AB259+AC259),2),0)</f>
        <v>0</v>
      </c>
      <c r="AE259" s="1107">
        <f t="shared" ref="AE259" si="720">SUM(AA259:AD259)</f>
        <v>130</v>
      </c>
      <c r="AF259" s="1107">
        <f t="shared" ref="AF259" si="721">ROUND(AA259/2,2)</f>
        <v>0</v>
      </c>
      <c r="AG259" s="1107">
        <f t="shared" ref="AG259" si="722">ROUND(AA259-AF259,2)</f>
        <v>0</v>
      </c>
      <c r="AH259" s="1107">
        <f t="shared" ref="AH259" si="723">ROUND(AB259/2,2)</f>
        <v>65</v>
      </c>
      <c r="AI259" s="1107">
        <f t="shared" ref="AI259" si="724">ROUND(AB259-AH259,2)</f>
        <v>65</v>
      </c>
      <c r="AJ259" s="1107">
        <f t="shared" ref="AJ259" si="725">ROUND(AD259/2,2)</f>
        <v>0</v>
      </c>
      <c r="AK259" s="1107">
        <f t="shared" ref="AK259" si="726">ROUND(AD259-AJ259,2)</f>
        <v>0</v>
      </c>
      <c r="AL259" s="1108">
        <f t="shared" ref="AL259" si="727">ROUND(AF259+AH259+AJ259+AC259,2)</f>
        <v>65</v>
      </c>
      <c r="AM259" s="1108">
        <f t="shared" ref="AM259" si="728">ROUND(AG259+AI259+AK259,2)</f>
        <v>65</v>
      </c>
      <c r="AN259" s="990">
        <v>0</v>
      </c>
      <c r="AO259" s="1147">
        <f>'CONCEPTOS Y PARAMETROS'!$C$18*AN259</f>
        <v>0</v>
      </c>
      <c r="AP259" s="990">
        <v>0</v>
      </c>
      <c r="AQ259" s="1147">
        <f>'CONCEPTOS Y PARAMETROS'!$C$21*AP259</f>
        <v>0</v>
      </c>
      <c r="AR259" s="1318">
        <v>0</v>
      </c>
      <c r="AS259" s="1318">
        <v>0</v>
      </c>
      <c r="AT259" s="1318">
        <f t="shared" ref="AT259" si="729">+AO259+AQ259+AR259+AS259</f>
        <v>0</v>
      </c>
      <c r="AU259" s="1108">
        <f t="shared" ref="AU259" si="730">V259+AE259+AW259</f>
        <v>338</v>
      </c>
      <c r="AV259" s="1133" t="s">
        <v>5080</v>
      </c>
      <c r="AW259" s="1108">
        <f t="shared" ref="AW259" si="731">ROUND(IF(AV259="NOCTURN",(V259+AE259)*30%,0),2)</f>
        <v>78</v>
      </c>
      <c r="AX259" s="1107">
        <f>IF(T259&lt;&gt;"0",(ROUND(IF(A259="EMPLEADO",eval_formula('CONCEPTOS Y PARAMETROS'!$C$8,NOMINA!V259,NOMINA!$AU259,NOMINA!I259+NOMINA!J259),eval_formula('CONCEPTOS Y PARAMETROS'!$D$8,NOMINA!V259,NOMINA!$AU259,NOMINA!I259+NOMINA!J259)),2))*IF(H259&lt;&gt;"",IF(MONTH(H259)=$BR$8,IF(YEAR(H259)&lt;$BT$7,1,0),0)))</f>
        <v>0</v>
      </c>
      <c r="AY259" s="1108">
        <v>180</v>
      </c>
      <c r="AZ259" s="1107">
        <f>IFERROR(VLOOKUP(AY259,'CONCEPTOS Y PARAMETROS'!Y:Z,2,0),0)</f>
        <v>150</v>
      </c>
      <c r="BA259" s="1107">
        <f t="shared" ref="BA259" si="732">ROUND((((AU259))/30*AY259/12+(AU259))/30*AZ259,2)</f>
        <v>2535</v>
      </c>
      <c r="BB259" s="1107">
        <f t="shared" ref="BB259" si="733">ROUND(AU259/30*$BB$10,2)</f>
        <v>0</v>
      </c>
      <c r="BC259" s="990">
        <v>0</v>
      </c>
      <c r="BD259" s="1107" t="str">
        <f t="shared" ref="BD259" si="734">IF(BC259&gt;0,((((((V259+AA259+AB259+AC259+AD259)/30)/8)*50%)+((((V259+AA259+AB259+AC259+AD259)/30)/8)))*30%+(((((V259+AA259+AB259+AC259+AD259)/30)/8)*50%)+((((V259+AA259+AB259+AC259+AD259)/30)/8))))*BC259,"0")</f>
        <v>0</v>
      </c>
      <c r="BE259" s="990">
        <v>3</v>
      </c>
      <c r="BF259" s="1107">
        <f t="shared" si="703"/>
        <v>50.7</v>
      </c>
      <c r="BG259" s="1108">
        <v>320</v>
      </c>
      <c r="BH259" s="1108">
        <v>0</v>
      </c>
      <c r="BI259" s="1132">
        <v>0</v>
      </c>
      <c r="BJ259" s="1108">
        <v>12.5</v>
      </c>
      <c r="BK259" s="1108">
        <v>0</v>
      </c>
      <c r="BL259" s="1107">
        <f t="shared" si="704"/>
        <v>15.6</v>
      </c>
      <c r="BM259" s="1107">
        <f t="shared" si="705"/>
        <v>1.95</v>
      </c>
      <c r="BN259" s="1107">
        <f t="shared" si="626"/>
        <v>3.38</v>
      </c>
      <c r="BO259" s="1107">
        <v>0</v>
      </c>
      <c r="BP259" s="1107">
        <v>0</v>
      </c>
      <c r="BQ259" s="1320">
        <f t="shared" ref="BQ259" si="735">ROUND(SUM(BL259:BP259),2)</f>
        <v>20.93</v>
      </c>
      <c r="BR259" s="1107">
        <f t="shared" si="707"/>
        <v>35.1</v>
      </c>
      <c r="BS259" s="1107">
        <f t="shared" si="708"/>
        <v>7.8</v>
      </c>
      <c r="BT259" s="1107">
        <f t="shared" si="627"/>
        <v>6.76</v>
      </c>
      <c r="BU259" s="1107">
        <v>0</v>
      </c>
      <c r="BV259" s="1108">
        <f t="shared" ref="BV259" si="736">ROUND(SUM(BR259:BT259),2)</f>
        <v>49.66</v>
      </c>
      <c r="BW259" s="1112">
        <f t="shared" ref="BW259" si="737">BQ259+BV259</f>
        <v>70.59</v>
      </c>
      <c r="BX259" s="1112">
        <f t="shared" si="662"/>
        <v>633.75</v>
      </c>
      <c r="BY259" s="1108">
        <v>0</v>
      </c>
      <c r="BZ259" s="1108">
        <f t="shared" ref="BZ259" si="738">+BX259+BY259</f>
        <v>633.75</v>
      </c>
      <c r="CA259" s="1321">
        <f>'CONCEPTOS Y PARAMETROS'!$A$102</f>
        <v>6255</v>
      </c>
      <c r="CB259" s="1112">
        <f t="shared" si="611"/>
        <v>109.07</v>
      </c>
      <c r="CC259" s="1113">
        <f t="shared" si="612"/>
        <v>591.20000000000005</v>
      </c>
      <c r="CD259" s="512"/>
      <c r="CE259" s="512"/>
      <c r="CF259" s="512">
        <f t="shared" si="613"/>
        <v>770</v>
      </c>
      <c r="CG259" s="509">
        <f t="shared" si="628"/>
        <v>109.07</v>
      </c>
      <c r="CH259" s="1603">
        <f t="shared" si="614"/>
        <v>12.5</v>
      </c>
      <c r="CI259" s="1491">
        <f t="shared" ref="CI259" si="739">BG259</f>
        <v>320</v>
      </c>
      <c r="CJ259" s="1502">
        <v>1</v>
      </c>
      <c r="CK259" s="509">
        <f t="shared" si="615"/>
        <v>450</v>
      </c>
      <c r="CL259" s="1689">
        <f t="shared" si="616"/>
        <v>450</v>
      </c>
      <c r="CM259" s="1689">
        <f t="shared" si="610"/>
        <v>0</v>
      </c>
      <c r="CN259" s="510">
        <f t="shared" si="617"/>
        <v>50.7</v>
      </c>
      <c r="CO259" s="511">
        <v>0</v>
      </c>
      <c r="CP259" s="510">
        <f t="shared" si="618"/>
        <v>78</v>
      </c>
      <c r="CQ259" s="510">
        <f t="shared" si="619"/>
        <v>0</v>
      </c>
      <c r="CR259" s="510">
        <f t="shared" si="620"/>
        <v>1028.7</v>
      </c>
      <c r="CS259" s="510">
        <f t="shared" si="621"/>
        <v>70.59</v>
      </c>
      <c r="CT259" s="510">
        <f t="shared" si="622"/>
        <v>6255</v>
      </c>
      <c r="CU259" s="512"/>
      <c r="CV259" s="512"/>
      <c r="CW259" s="512"/>
      <c r="CX259" s="512"/>
      <c r="CY259" s="1149" t="s">
        <v>6880</v>
      </c>
      <c r="CZ259" s="1149" t="s">
        <v>7349</v>
      </c>
      <c r="DA259" s="1152"/>
      <c r="DB259" s="1642" t="s">
        <v>6450</v>
      </c>
      <c r="DC259" s="1642"/>
      <c r="DD259" s="1642" t="s">
        <v>6135</v>
      </c>
      <c r="DE259" s="1642" t="s">
        <v>7350</v>
      </c>
      <c r="DF259" s="1642" t="s">
        <v>7479</v>
      </c>
      <c r="DG259" s="1642" t="s">
        <v>7478</v>
      </c>
      <c r="DH259" s="512"/>
      <c r="DI259" s="512"/>
      <c r="DJ259" s="512"/>
      <c r="DK259" s="512"/>
      <c r="DL259" s="512"/>
      <c r="DN259" s="476" t="str">
        <f>VLOOKUP(X259,Hoja1!$A$4:$B$10,2,0)</f>
        <v>BACHILLER</v>
      </c>
      <c r="DO259" s="476" t="str">
        <f>VLOOKUP(S259,Hoja1!$D$4:$F$77,3,0)</f>
        <v>BI</v>
      </c>
      <c r="DP259" s="1631" t="str">
        <f t="shared" si="623"/>
        <v>SI</v>
      </c>
      <c r="DQ259" s="1484">
        <f>IF(T259&lt;&gt;"0",(ROUND(IF(A259="EMPLEADO",eval_formula('CONCEPTOS Y PARAMETROS'!$C$8,NOMINA!V259,AU259+BF259,NOMINA!I259+NOMINA!J259),eval_formula('CONCEPTOS Y PARAMETROS'!$D$8,NOMINA!V259,AU259+BF259,NOMINA!I259+NOMINA!J259)),2))*IF(H259&lt;&gt;"",IF(MONTH(H259)=$BR$8,IF(YEAR(H259)&lt;$BT$7,1,0),0)))</f>
        <v>0</v>
      </c>
      <c r="DR259" s="1799" t="str">
        <f t="shared" si="624"/>
        <v>F</v>
      </c>
      <c r="DS259" s="1799"/>
    </row>
    <row r="260" spans="1:123" s="476" customFormat="1" ht="21.95" customHeight="1" x14ac:dyDescent="0.25">
      <c r="A260" s="508" t="s">
        <v>2846</v>
      </c>
      <c r="B260" s="1314">
        <f ca="1">OFFSET(B260,-1,0)+1</f>
        <v>217</v>
      </c>
      <c r="C260" s="1148">
        <v>23254359</v>
      </c>
      <c r="D260" s="1149" t="s">
        <v>7341</v>
      </c>
      <c r="E260" s="1135" t="s">
        <v>4622</v>
      </c>
      <c r="F260" s="1150">
        <v>33118</v>
      </c>
      <c r="G260" s="1135" t="s">
        <v>4621</v>
      </c>
      <c r="H260" s="1150">
        <v>45748</v>
      </c>
      <c r="I260" s="1140">
        <f t="shared" si="625"/>
        <v>0</v>
      </c>
      <c r="J260" s="1132">
        <v>0</v>
      </c>
      <c r="K260" s="1140">
        <f t="shared" ref="K260" si="740">I260+J260</f>
        <v>0</v>
      </c>
      <c r="L260" s="1145" t="s">
        <v>5546</v>
      </c>
      <c r="M260" s="1132"/>
      <c r="N260" s="1132"/>
      <c r="O260" s="1002" t="s">
        <v>5218</v>
      </c>
      <c r="P260" s="1151" t="s">
        <v>7345</v>
      </c>
      <c r="Q260" s="1315" t="str">
        <f>IFERROR(VLOOKUP(O260,CARGOS!A:E,2,0),"")</f>
        <v>79511</v>
      </c>
      <c r="R260" s="1327" t="s">
        <v>5218</v>
      </c>
      <c r="S260" s="1146" t="s">
        <v>5470</v>
      </c>
      <c r="T260" s="1107">
        <f>IFERROR(VLOOKUP(S260,'TAB EMP'!A:B,2,0),0)</f>
        <v>130</v>
      </c>
      <c r="U260" s="1108">
        <v>0</v>
      </c>
      <c r="V260" s="1107">
        <f t="shared" ref="V260" si="741">T260-U260</f>
        <v>130</v>
      </c>
      <c r="W260" s="1108">
        <f t="shared" ref="W260" si="742">ROUND(V260/2,2)</f>
        <v>65</v>
      </c>
      <c r="X260" s="1135" t="s">
        <v>2884</v>
      </c>
      <c r="Y260" s="1135"/>
      <c r="Z260" s="1135">
        <v>0</v>
      </c>
      <c r="AA260" s="1107">
        <f>ROUND(IF(H260&lt;&gt;"",VLOOKUP(SUM(I260+J260),'CONCEPTOS Y PARAMETROS'!F:G,2,0)*V260,0),2)</f>
        <v>0</v>
      </c>
      <c r="AB260" s="1107">
        <f>IF(S260&lt;&gt;"",IF(M260="",'CONCEPTOS Y PARAMETROS'!$C$4,0),0)</f>
        <v>130</v>
      </c>
      <c r="AC260" s="1107">
        <f>IF(S260&lt;&gt;"",IF(M260="",'CONCEPTOS Y PARAMETROS'!$C$7*Z260,0),0)</f>
        <v>0</v>
      </c>
      <c r="AD260" s="1107">
        <f>IFERROR(ROUND(VLOOKUP($X260,'CONCEPTOS Y PARAMETROS'!H:I,2,0)*($V260+AA260+AB260+AC260),2),0)</f>
        <v>0</v>
      </c>
      <c r="AE260" s="1107">
        <f t="shared" ref="AE260" si="743">SUM(AA260:AD260)</f>
        <v>130</v>
      </c>
      <c r="AF260" s="1107">
        <f t="shared" ref="AF260" si="744">ROUND(AA260/2,2)</f>
        <v>0</v>
      </c>
      <c r="AG260" s="1107">
        <f t="shared" ref="AG260" si="745">ROUND(AA260-AF260,2)</f>
        <v>0</v>
      </c>
      <c r="AH260" s="1107">
        <f t="shared" ref="AH260" si="746">ROUND(AB260/2,2)</f>
        <v>65</v>
      </c>
      <c r="AI260" s="1107">
        <f t="shared" ref="AI260" si="747">ROUND(AB260-AH260,2)</f>
        <v>65</v>
      </c>
      <c r="AJ260" s="1107">
        <f t="shared" ref="AJ260" si="748">ROUND(AD260/2,2)</f>
        <v>0</v>
      </c>
      <c r="AK260" s="1107">
        <f t="shared" ref="AK260" si="749">ROUND(AD260-AJ260,2)</f>
        <v>0</v>
      </c>
      <c r="AL260" s="1108">
        <f t="shared" ref="AL260" si="750">ROUND(AF260+AH260+AJ260+AC260,2)</f>
        <v>65</v>
      </c>
      <c r="AM260" s="1108">
        <f t="shared" ref="AM260" si="751">ROUND(AG260+AI260+AK260,2)</f>
        <v>65</v>
      </c>
      <c r="AN260" s="990">
        <v>0</v>
      </c>
      <c r="AO260" s="1147">
        <f>'CONCEPTOS Y PARAMETROS'!$C$18*AN260</f>
        <v>0</v>
      </c>
      <c r="AP260" s="990">
        <v>0</v>
      </c>
      <c r="AQ260" s="1147">
        <f>'CONCEPTOS Y PARAMETROS'!$C$21*AP260</f>
        <v>0</v>
      </c>
      <c r="AR260" s="1318">
        <v>0</v>
      </c>
      <c r="AS260" s="1318">
        <v>0</v>
      </c>
      <c r="AT260" s="1318">
        <f t="shared" ref="AT260" si="752">+AO260+AQ260+AR260+AS260</f>
        <v>0</v>
      </c>
      <c r="AU260" s="1108">
        <f t="shared" ref="AU260" si="753">V260+AE260+AW260</f>
        <v>338</v>
      </c>
      <c r="AV260" s="1133" t="s">
        <v>5080</v>
      </c>
      <c r="AW260" s="1108">
        <f t="shared" ref="AW260" si="754">ROUND(IF(AV260="NOCTURN",(V260+AE260)*30%,0),2)</f>
        <v>78</v>
      </c>
      <c r="AX260" s="1107">
        <f>IF(T260&lt;&gt;"0",(ROUND(IF(A260="EMPLEADO",eval_formula('CONCEPTOS Y PARAMETROS'!$C$8,NOMINA!V260,NOMINA!$AU260,NOMINA!I260+NOMINA!J260),eval_formula('CONCEPTOS Y PARAMETROS'!$D$8,NOMINA!V260,NOMINA!$AU260,NOMINA!I260+NOMINA!J260)),2))*IF(H260&lt;&gt;"",IF(MONTH(H260)=$BR$8,IF(YEAR(H260)&lt;$BT$7,1,0),0)))</f>
        <v>0</v>
      </c>
      <c r="AY260" s="1108">
        <v>180</v>
      </c>
      <c r="AZ260" s="1107">
        <f>IFERROR(VLOOKUP(AY260,'CONCEPTOS Y PARAMETROS'!Y:Z,2,0),0)</f>
        <v>150</v>
      </c>
      <c r="BA260" s="1107">
        <f t="shared" ref="BA260" si="755">ROUND((((AU260))/30*AY260/12+(AU260))/30*AZ260,2)</f>
        <v>2535</v>
      </c>
      <c r="BB260" s="1107">
        <f t="shared" ref="BB260" si="756">ROUND(AU260/30*$BB$10,2)</f>
        <v>0</v>
      </c>
      <c r="BC260" s="990">
        <v>0</v>
      </c>
      <c r="BD260" s="1107" t="str">
        <f t="shared" ref="BD260" si="757">IF(BC260&gt;0,((((((V260+AA260+AB260+AC260+AD260)/30)/8)*50%)+((((V260+AA260+AB260+AC260+AD260)/30)/8)))*30%+(((((V260+AA260+AB260+AC260+AD260)/30)/8)*50%)+((((V260+AA260+AB260+AC260+AD260)/30)/8))))*BC260,"0")</f>
        <v>0</v>
      </c>
      <c r="BE260" s="990">
        <v>3</v>
      </c>
      <c r="BF260" s="1107">
        <f t="shared" si="703"/>
        <v>50.7</v>
      </c>
      <c r="BG260" s="1108">
        <v>320</v>
      </c>
      <c r="BH260" s="1108">
        <v>0</v>
      </c>
      <c r="BI260" s="1132">
        <v>0</v>
      </c>
      <c r="BJ260" s="1108">
        <v>12.5</v>
      </c>
      <c r="BK260" s="1108">
        <v>0</v>
      </c>
      <c r="BL260" s="1107">
        <f t="shared" si="704"/>
        <v>15.6</v>
      </c>
      <c r="BM260" s="1107">
        <f t="shared" si="705"/>
        <v>1.95</v>
      </c>
      <c r="BN260" s="1107">
        <f t="shared" si="626"/>
        <v>3.38</v>
      </c>
      <c r="BO260" s="1107">
        <v>0</v>
      </c>
      <c r="BP260" s="1107">
        <v>0</v>
      </c>
      <c r="BQ260" s="1320">
        <f t="shared" ref="BQ260" si="758">ROUND(SUM(BL260:BP260),2)</f>
        <v>20.93</v>
      </c>
      <c r="BR260" s="1107">
        <f t="shared" si="707"/>
        <v>35.1</v>
      </c>
      <c r="BS260" s="1107">
        <f t="shared" si="708"/>
        <v>7.8</v>
      </c>
      <c r="BT260" s="1107">
        <f t="shared" si="627"/>
        <v>6.76</v>
      </c>
      <c r="BU260" s="1107">
        <v>0</v>
      </c>
      <c r="BV260" s="1108">
        <f t="shared" ref="BV260" si="759">ROUND(SUM(BR260:BT260),2)</f>
        <v>49.66</v>
      </c>
      <c r="BW260" s="1112">
        <f t="shared" ref="BW260" si="760">BQ260+BV260</f>
        <v>70.59</v>
      </c>
      <c r="BX260" s="1112">
        <f t="shared" si="662"/>
        <v>633.75</v>
      </c>
      <c r="BY260" s="1108">
        <v>0</v>
      </c>
      <c r="BZ260" s="1108">
        <f t="shared" ref="BZ260" si="761">+BX260+BY260</f>
        <v>633.75</v>
      </c>
      <c r="CA260" s="1321">
        <f>'CONCEPTOS Y PARAMETROS'!$A$102</f>
        <v>6255</v>
      </c>
      <c r="CB260" s="1112">
        <f t="shared" si="611"/>
        <v>109.07</v>
      </c>
      <c r="CC260" s="1113">
        <f t="shared" si="612"/>
        <v>591.20000000000005</v>
      </c>
      <c r="CD260" s="512"/>
      <c r="CE260" s="512"/>
      <c r="CF260" s="512">
        <f t="shared" si="613"/>
        <v>770</v>
      </c>
      <c r="CG260" s="509">
        <f t="shared" si="628"/>
        <v>109.07</v>
      </c>
      <c r="CH260" s="1603">
        <f t="shared" si="614"/>
        <v>12.5</v>
      </c>
      <c r="CI260" s="1491">
        <f t="shared" ref="CI260" si="762">BG260</f>
        <v>320</v>
      </c>
      <c r="CJ260" s="1502">
        <v>1</v>
      </c>
      <c r="CK260" s="509">
        <f t="shared" si="615"/>
        <v>450</v>
      </c>
      <c r="CL260" s="1689">
        <f t="shared" si="616"/>
        <v>450</v>
      </c>
      <c r="CM260" s="1689">
        <f t="shared" si="610"/>
        <v>0</v>
      </c>
      <c r="CN260" s="510">
        <f t="shared" si="617"/>
        <v>50.7</v>
      </c>
      <c r="CO260" s="511">
        <v>0</v>
      </c>
      <c r="CP260" s="510">
        <f t="shared" si="618"/>
        <v>78</v>
      </c>
      <c r="CQ260" s="510">
        <f t="shared" si="619"/>
        <v>0</v>
      </c>
      <c r="CR260" s="510">
        <f t="shared" si="620"/>
        <v>1028.7</v>
      </c>
      <c r="CS260" s="510">
        <f t="shared" si="621"/>
        <v>70.59</v>
      </c>
      <c r="CT260" s="510">
        <f t="shared" si="622"/>
        <v>6255</v>
      </c>
      <c r="CU260" s="512"/>
      <c r="CV260" s="512"/>
      <c r="CW260" s="512"/>
      <c r="CX260" s="512"/>
      <c r="CY260" s="1149" t="s">
        <v>7342</v>
      </c>
      <c r="CZ260" s="1149" t="s">
        <v>6813</v>
      </c>
      <c r="DA260" s="1152"/>
      <c r="DB260" s="1642" t="s">
        <v>7343</v>
      </c>
      <c r="DC260" s="1642"/>
      <c r="DD260" s="1642" t="s">
        <v>6415</v>
      </c>
      <c r="DE260" s="1642"/>
      <c r="DF260" s="1642" t="s">
        <v>7519</v>
      </c>
      <c r="DG260" s="1642" t="s">
        <v>7520</v>
      </c>
      <c r="DH260" s="512"/>
      <c r="DI260" s="512"/>
      <c r="DJ260" s="512"/>
      <c r="DK260" s="512"/>
      <c r="DL260" s="512"/>
      <c r="DN260" s="476" t="str">
        <f>VLOOKUP(X260,Hoja1!$A$4:$B$10,2,0)</f>
        <v>BACHILLER</v>
      </c>
      <c r="DO260" s="476" t="str">
        <f>VLOOKUP(S260,Hoja1!$D$4:$F$77,3,0)</f>
        <v>BI</v>
      </c>
      <c r="DP260" s="1631" t="str">
        <f t="shared" si="623"/>
        <v>SI</v>
      </c>
      <c r="DQ260" s="1484">
        <f>IF(T260&lt;&gt;"0",(ROUND(IF(A260="EMPLEADO",eval_formula('CONCEPTOS Y PARAMETROS'!$C$8,NOMINA!V260,AU260+BF260,NOMINA!I260+NOMINA!J260),eval_formula('CONCEPTOS Y PARAMETROS'!$D$8,NOMINA!V260,AU260+BF260,NOMINA!I260+NOMINA!J260)),2))*IF(H260&lt;&gt;"",IF(MONTH(H260)=$BR$8,IF(YEAR(H260)&lt;$BT$7,1,0),0)))</f>
        <v>0</v>
      </c>
      <c r="DR260" s="1799" t="str">
        <f t="shared" si="624"/>
        <v>M</v>
      </c>
      <c r="DS260" s="1799"/>
    </row>
    <row r="261" spans="1:123" s="476" customFormat="1" ht="21.95" customHeight="1" x14ac:dyDescent="0.25">
      <c r="A261" s="508" t="s">
        <v>2846</v>
      </c>
      <c r="B261" s="1314">
        <f t="shared" ca="1" si="471"/>
        <v>218</v>
      </c>
      <c r="C261" s="1148">
        <v>23782360</v>
      </c>
      <c r="D261" s="1149" t="s">
        <v>4901</v>
      </c>
      <c r="E261" s="1135" t="s">
        <v>4622</v>
      </c>
      <c r="F261" s="1150">
        <v>26305</v>
      </c>
      <c r="G261" s="1135" t="s">
        <v>4620</v>
      </c>
      <c r="H261" s="1150">
        <v>39203</v>
      </c>
      <c r="I261" s="1140">
        <f t="shared" si="625"/>
        <v>18</v>
      </c>
      <c r="J261" s="1132">
        <v>0</v>
      </c>
      <c r="K261" s="1140">
        <f t="shared" si="600"/>
        <v>18</v>
      </c>
      <c r="L261" s="1145" t="s">
        <v>5539</v>
      </c>
      <c r="M261" s="1132"/>
      <c r="N261" s="1132"/>
      <c r="O261" s="1002" t="s">
        <v>5245</v>
      </c>
      <c r="P261" s="1132" t="s">
        <v>5431</v>
      </c>
      <c r="Q261" s="1315" t="str">
        <f>IFERROR(VLOOKUP(O261,CARGOS!A:E,2,0),"")</f>
        <v>12123</v>
      </c>
      <c r="R261" s="1327" t="s">
        <v>5245</v>
      </c>
      <c r="S261" s="1146" t="s">
        <v>5458</v>
      </c>
      <c r="T261" s="1107">
        <f>IFERROR(VLOOKUP(S261,'TAB EMP'!A:B,2,0),0)</f>
        <v>287</v>
      </c>
      <c r="U261" s="1108">
        <v>0</v>
      </c>
      <c r="V261" s="1107">
        <f t="shared" si="680"/>
        <v>287</v>
      </c>
      <c r="W261" s="1108">
        <f t="shared" si="681"/>
        <v>143.5</v>
      </c>
      <c r="X261" s="1135" t="s">
        <v>2885</v>
      </c>
      <c r="Y261" s="1135"/>
      <c r="Z261" s="1135">
        <v>0</v>
      </c>
      <c r="AA261" s="1107">
        <f>ROUND(IF(H261&lt;&gt;"",VLOOKUP(SUM(I261+J261),'CONCEPTOS Y PARAMETROS'!F:G,2,0)*V261,0),2)</f>
        <v>65.44</v>
      </c>
      <c r="AB261" s="1107">
        <f>IF(S261&lt;&gt;"",IF(M261="",'CONCEPTOS Y PARAMETROS'!$C$4,0),0)</f>
        <v>130</v>
      </c>
      <c r="AC261" s="1107">
        <f>IF(S261&lt;&gt;"",IF(M261="",'CONCEPTOS Y PARAMETROS'!$C$7*Z261,0),0)</f>
        <v>0</v>
      </c>
      <c r="AD261" s="1107">
        <f>IFERROR(ROUND(VLOOKUP($X261,'CONCEPTOS Y PARAMETROS'!H:I,2,0)*($V261+AA261+AB261+AC261),2),0)</f>
        <v>120.61</v>
      </c>
      <c r="AE261" s="1107">
        <f t="shared" si="647"/>
        <v>316.05</v>
      </c>
      <c r="AF261" s="1107">
        <f t="shared" si="682"/>
        <v>32.72</v>
      </c>
      <c r="AG261" s="1107">
        <f t="shared" si="683"/>
        <v>32.72</v>
      </c>
      <c r="AH261" s="1107">
        <f t="shared" si="684"/>
        <v>65</v>
      </c>
      <c r="AI261" s="1107">
        <f t="shared" si="685"/>
        <v>65</v>
      </c>
      <c r="AJ261" s="1107">
        <f t="shared" si="686"/>
        <v>60.31</v>
      </c>
      <c r="AK261" s="1107">
        <f t="shared" si="687"/>
        <v>60.3</v>
      </c>
      <c r="AL261" s="1108">
        <f t="shared" si="688"/>
        <v>158.03</v>
      </c>
      <c r="AM261" s="1108">
        <f t="shared" si="689"/>
        <v>158.02000000000001</v>
      </c>
      <c r="AN261" s="990">
        <v>0</v>
      </c>
      <c r="AO261" s="1147">
        <f>'CONCEPTOS Y PARAMETROS'!$C$18*AN261</f>
        <v>0</v>
      </c>
      <c r="AP261" s="990">
        <v>0</v>
      </c>
      <c r="AQ261" s="1147">
        <f>'CONCEPTOS Y PARAMETROS'!$C$21*AP261</f>
        <v>0</v>
      </c>
      <c r="AR261" s="1318">
        <v>0</v>
      </c>
      <c r="AS261" s="1318">
        <v>0</v>
      </c>
      <c r="AT261" s="1318">
        <f t="shared" si="609"/>
        <v>0</v>
      </c>
      <c r="AU261" s="1108">
        <f t="shared" si="606"/>
        <v>603.04999999999995</v>
      </c>
      <c r="AV261" s="1133">
        <v>0</v>
      </c>
      <c r="AW261" s="1108">
        <f t="shared" si="716"/>
        <v>0</v>
      </c>
      <c r="AX261" s="1107">
        <f>IF(T261&lt;&gt;"0",(ROUND(IF(A261="EMPLEADO",eval_formula('CONCEPTOS Y PARAMETROS'!$C$8,NOMINA!V261,NOMINA!$AU261,NOMINA!I261+NOMINA!J261),eval_formula('CONCEPTOS Y PARAMETROS'!$D$8,NOMINA!V261,NOMINA!$AU261,NOMINA!I261+NOMINA!J261)),2))*IF(H261&lt;&gt;"",IF(MONTH(H261)=$BR$8,IF(YEAR(H261)&lt;$BT$7,1,0),0)))</f>
        <v>0</v>
      </c>
      <c r="AY261" s="1108">
        <v>180</v>
      </c>
      <c r="AZ261" s="1107">
        <f>IFERROR(VLOOKUP(AY261,'CONCEPTOS Y PARAMETROS'!Y:Z,2,0),0)</f>
        <v>150</v>
      </c>
      <c r="BA261" s="1107">
        <f t="shared" si="690"/>
        <v>4522.88</v>
      </c>
      <c r="BB261" s="1107">
        <f t="shared" si="676"/>
        <v>0</v>
      </c>
      <c r="BC261" s="990">
        <v>0</v>
      </c>
      <c r="BD261" s="1107" t="str">
        <f t="shared" si="607"/>
        <v>0</v>
      </c>
      <c r="BE261" s="990">
        <v>0</v>
      </c>
      <c r="BF261" s="1107">
        <f t="shared" si="703"/>
        <v>0</v>
      </c>
      <c r="BG261" s="1108">
        <v>320</v>
      </c>
      <c r="BH261" s="1108">
        <v>0</v>
      </c>
      <c r="BI261" s="1132">
        <v>0</v>
      </c>
      <c r="BJ261" s="1108">
        <v>12.5</v>
      </c>
      <c r="BK261" s="1108">
        <v>0</v>
      </c>
      <c r="BL261" s="1107">
        <f t="shared" si="704"/>
        <v>27.83</v>
      </c>
      <c r="BM261" s="1107">
        <f t="shared" si="705"/>
        <v>3.48</v>
      </c>
      <c r="BN261" s="1107">
        <f t="shared" si="626"/>
        <v>6.03</v>
      </c>
      <c r="BO261" s="1107">
        <v>0</v>
      </c>
      <c r="BP261" s="1107">
        <v>0</v>
      </c>
      <c r="BQ261" s="1320">
        <f t="shared" si="630"/>
        <v>37.340000000000003</v>
      </c>
      <c r="BR261" s="1107">
        <f t="shared" si="707"/>
        <v>62.62</v>
      </c>
      <c r="BS261" s="1107">
        <f t="shared" si="708"/>
        <v>13.92</v>
      </c>
      <c r="BT261" s="1107">
        <f t="shared" si="627"/>
        <v>12.06</v>
      </c>
      <c r="BU261" s="1107">
        <v>0</v>
      </c>
      <c r="BV261" s="1108">
        <f t="shared" si="631"/>
        <v>88.6</v>
      </c>
      <c r="BW261" s="1112">
        <f t="shared" si="632"/>
        <v>125.94</v>
      </c>
      <c r="BX261" s="1112">
        <f t="shared" si="662"/>
        <v>1130.72</v>
      </c>
      <c r="BY261" s="1108">
        <v>0</v>
      </c>
      <c r="BZ261" s="1108">
        <f t="shared" si="598"/>
        <v>1130.72</v>
      </c>
      <c r="CA261" s="1321">
        <v>0</v>
      </c>
      <c r="CB261" s="1112">
        <f t="shared" si="611"/>
        <v>264.18999999999994</v>
      </c>
      <c r="CC261" s="1113">
        <f t="shared" si="612"/>
        <v>634.02</v>
      </c>
      <c r="CD261" s="512"/>
      <c r="CE261" s="512"/>
      <c r="CF261" s="470">
        <f t="shared" si="613"/>
        <v>941.52</v>
      </c>
      <c r="CG261" s="495">
        <f t="shared" si="628"/>
        <v>264.18999999999994</v>
      </c>
      <c r="CH261" s="498">
        <f t="shared" si="614"/>
        <v>12.5</v>
      </c>
      <c r="CI261" s="1490">
        <f t="shared" si="608"/>
        <v>320</v>
      </c>
      <c r="CJ261" s="1500">
        <v>2</v>
      </c>
      <c r="CK261" s="495">
        <f t="shared" si="615"/>
        <v>621.52</v>
      </c>
      <c r="CL261" s="1689">
        <f t="shared" si="616"/>
        <v>298.33</v>
      </c>
      <c r="CM261" s="1689">
        <f t="shared" si="610"/>
        <v>323.19</v>
      </c>
      <c r="CN261" s="496">
        <f t="shared" si="617"/>
        <v>0</v>
      </c>
      <c r="CO261" s="497">
        <v>0</v>
      </c>
      <c r="CP261" s="496">
        <f t="shared" si="618"/>
        <v>0</v>
      </c>
      <c r="CQ261" s="496">
        <f t="shared" si="619"/>
        <v>0</v>
      </c>
      <c r="CR261" s="496">
        <f t="shared" si="620"/>
        <v>1243.04</v>
      </c>
      <c r="CS261" s="496">
        <f t="shared" si="621"/>
        <v>125.94</v>
      </c>
      <c r="CT261" s="496">
        <f t="shared" si="622"/>
        <v>0</v>
      </c>
      <c r="CU261" s="470"/>
      <c r="CV261" s="470"/>
      <c r="CW261" s="470"/>
      <c r="CX261" s="470"/>
      <c r="CY261" s="1149" t="s">
        <v>6914</v>
      </c>
      <c r="CZ261" s="1149" t="s">
        <v>6992</v>
      </c>
      <c r="DA261" s="480"/>
      <c r="DB261" s="1152" t="s">
        <v>6570</v>
      </c>
      <c r="DC261" s="1152" t="s">
        <v>7546</v>
      </c>
      <c r="DD261" s="1152" t="s">
        <v>6137</v>
      </c>
      <c r="DE261" s="1152" t="s">
        <v>6358</v>
      </c>
      <c r="DF261" s="1152" t="s">
        <v>6359</v>
      </c>
      <c r="DG261" s="1152"/>
      <c r="DH261" s="512"/>
      <c r="DI261" s="512"/>
      <c r="DJ261" s="470"/>
      <c r="DK261" s="470"/>
      <c r="DL261" s="470"/>
      <c r="DM261" s="471"/>
      <c r="DN261" s="471" t="str">
        <f>VLOOKUP(X261,Hoja1!$A$4:$B$10,2,0)</f>
        <v>PROFESIONAL</v>
      </c>
      <c r="DO261" s="471" t="str">
        <f>VLOOKUP(S261,Hoja1!$D$4:$F$77,3,0)</f>
        <v>PII - VII</v>
      </c>
      <c r="DP261" s="1156" t="str">
        <f t="shared" si="623"/>
        <v>0</v>
      </c>
      <c r="DQ261" s="1484">
        <f>IF(T261&lt;&gt;"0",(ROUND(IF(A261="EMPLEADO",eval_formula('CONCEPTOS Y PARAMETROS'!$C$8,NOMINA!V261,AU261+BF261,NOMINA!I261+NOMINA!J261),eval_formula('CONCEPTOS Y PARAMETROS'!$D$8,NOMINA!V261,AU261+BF261,NOMINA!I261+NOMINA!J261)),2))*IF(H261&lt;&gt;"",IF(MONTH(H261)=$BR$8,IF(YEAR(H261)&lt;$BT$7,1,0),0)))</f>
        <v>0</v>
      </c>
      <c r="DR261" s="1801" t="str">
        <f t="shared" si="624"/>
        <v>F</v>
      </c>
      <c r="DS261" s="1801"/>
    </row>
    <row r="262" spans="1:123" s="476" customFormat="1" ht="21.95" customHeight="1" x14ac:dyDescent="0.25">
      <c r="A262" s="508" t="s">
        <v>2846</v>
      </c>
      <c r="B262" s="1314">
        <f t="shared" ca="1" si="471"/>
        <v>219</v>
      </c>
      <c r="C262" s="1148">
        <v>23960738</v>
      </c>
      <c r="D262" s="1149" t="s">
        <v>4902</v>
      </c>
      <c r="E262" s="1135" t="s">
        <v>4622</v>
      </c>
      <c r="F262" s="1150">
        <v>35178</v>
      </c>
      <c r="G262" s="1135" t="s">
        <v>4620</v>
      </c>
      <c r="H262" s="1150">
        <v>43497</v>
      </c>
      <c r="I262" s="1140">
        <f t="shared" si="625"/>
        <v>6</v>
      </c>
      <c r="J262" s="1132">
        <v>0</v>
      </c>
      <c r="K262" s="1140">
        <f t="shared" si="600"/>
        <v>6</v>
      </c>
      <c r="L262" s="1145" t="s">
        <v>5542</v>
      </c>
      <c r="M262" s="1132"/>
      <c r="N262" s="1132"/>
      <c r="O262" s="1002" t="s">
        <v>5268</v>
      </c>
      <c r="P262" s="1132" t="s">
        <v>5432</v>
      </c>
      <c r="Q262" s="1315" t="str">
        <f>IFERROR(VLOOKUP(O262,CARGOS!A:E,2,0),"")</f>
        <v>36322</v>
      </c>
      <c r="R262" s="1327" t="s">
        <v>5268</v>
      </c>
      <c r="S262" s="1146" t="s">
        <v>5475</v>
      </c>
      <c r="T262" s="1107">
        <f>IFERROR(VLOOKUP(S262,'TAB EMP'!A:B,2,0),0)</f>
        <v>279</v>
      </c>
      <c r="U262" s="1108">
        <v>0</v>
      </c>
      <c r="V262" s="1107">
        <f t="shared" si="680"/>
        <v>279</v>
      </c>
      <c r="W262" s="1108">
        <f t="shared" si="681"/>
        <v>139.5</v>
      </c>
      <c r="X262" s="1135" t="s">
        <v>2885</v>
      </c>
      <c r="Y262" s="1135"/>
      <c r="Z262" s="1135">
        <v>0</v>
      </c>
      <c r="AA262" s="1107">
        <f>ROUND(IF(H262&lt;&gt;"",VLOOKUP(SUM(I262+J262),'CONCEPTOS Y PARAMETROS'!F:G,2,0)*V262,0),2)</f>
        <v>17.3</v>
      </c>
      <c r="AB262" s="1107">
        <f>IF(S262&lt;&gt;"",IF(M262="",'CONCEPTOS Y PARAMETROS'!$C$4,0),0)</f>
        <v>130</v>
      </c>
      <c r="AC262" s="1107">
        <f>IF(S262&lt;&gt;"",IF(M262="",'CONCEPTOS Y PARAMETROS'!$C$7*Z262,0),0)</f>
        <v>0</v>
      </c>
      <c r="AD262" s="1107">
        <f>IFERROR(ROUND(VLOOKUP($X262,'CONCEPTOS Y PARAMETROS'!H:I,2,0)*($V262+AA262+AB262+AC262),2),0)</f>
        <v>106.58</v>
      </c>
      <c r="AE262" s="1107">
        <f t="shared" si="647"/>
        <v>253.88</v>
      </c>
      <c r="AF262" s="1107">
        <f t="shared" si="682"/>
        <v>8.65</v>
      </c>
      <c r="AG262" s="1107">
        <f t="shared" si="683"/>
        <v>8.65</v>
      </c>
      <c r="AH262" s="1107">
        <f t="shared" si="684"/>
        <v>65</v>
      </c>
      <c r="AI262" s="1107">
        <f t="shared" si="685"/>
        <v>65</v>
      </c>
      <c r="AJ262" s="1107">
        <f t="shared" si="686"/>
        <v>53.29</v>
      </c>
      <c r="AK262" s="1107">
        <f t="shared" si="687"/>
        <v>53.29</v>
      </c>
      <c r="AL262" s="1108">
        <f t="shared" si="688"/>
        <v>126.94</v>
      </c>
      <c r="AM262" s="1108">
        <f t="shared" si="689"/>
        <v>126.94</v>
      </c>
      <c r="AN262" s="990">
        <v>0</v>
      </c>
      <c r="AO262" s="1147">
        <f>'CONCEPTOS Y PARAMETROS'!$C$18*AN262</f>
        <v>0</v>
      </c>
      <c r="AP262" s="990">
        <v>0</v>
      </c>
      <c r="AQ262" s="1147">
        <f>'CONCEPTOS Y PARAMETROS'!$C$21*AP262</f>
        <v>0</v>
      </c>
      <c r="AR262" s="1318">
        <v>0</v>
      </c>
      <c r="AS262" s="1318">
        <v>0</v>
      </c>
      <c r="AT262" s="1318">
        <f t="shared" si="609"/>
        <v>0</v>
      </c>
      <c r="AU262" s="1108">
        <f t="shared" si="606"/>
        <v>532.88</v>
      </c>
      <c r="AV262" s="1133">
        <v>0</v>
      </c>
      <c r="AW262" s="1108">
        <f t="shared" si="716"/>
        <v>0</v>
      </c>
      <c r="AX262" s="1107">
        <f>IF(T262&lt;&gt;"0",(ROUND(IF(A262="EMPLEADO",eval_formula('CONCEPTOS Y PARAMETROS'!$C$8,NOMINA!V262,NOMINA!$AU262,NOMINA!I262+NOMINA!J262),eval_formula('CONCEPTOS Y PARAMETROS'!$D$8,NOMINA!V262,NOMINA!$AU262,NOMINA!I262+NOMINA!J262)),2))*IF(H262&lt;&gt;"",IF(MONTH(H262)=$BR$8,IF(YEAR(H262)&lt;$BT$7,1,0),0)))</f>
        <v>0</v>
      </c>
      <c r="AY262" s="1108">
        <v>180</v>
      </c>
      <c r="AZ262" s="1107">
        <f>IFERROR(VLOOKUP(AY262,'CONCEPTOS Y PARAMETROS'!Y:Z,2,0),0)</f>
        <v>150</v>
      </c>
      <c r="BA262" s="1107">
        <f t="shared" si="690"/>
        <v>3996.6</v>
      </c>
      <c r="BB262" s="1107">
        <f t="shared" si="676"/>
        <v>0</v>
      </c>
      <c r="BC262" s="990">
        <v>0</v>
      </c>
      <c r="BD262" s="1107" t="str">
        <f t="shared" si="607"/>
        <v>0</v>
      </c>
      <c r="BE262" s="990">
        <v>0</v>
      </c>
      <c r="BF262" s="1107">
        <f t="shared" si="703"/>
        <v>0</v>
      </c>
      <c r="BG262" s="1108">
        <v>320</v>
      </c>
      <c r="BH262" s="1108">
        <v>0</v>
      </c>
      <c r="BI262" s="1132">
        <v>0</v>
      </c>
      <c r="BJ262" s="1108">
        <v>12.5</v>
      </c>
      <c r="BK262" s="1108">
        <v>0</v>
      </c>
      <c r="BL262" s="1107">
        <f t="shared" si="704"/>
        <v>24.59</v>
      </c>
      <c r="BM262" s="1107">
        <f t="shared" si="705"/>
        <v>3.07</v>
      </c>
      <c r="BN262" s="1107">
        <f t="shared" si="626"/>
        <v>5.33</v>
      </c>
      <c r="BO262" s="1107">
        <v>0</v>
      </c>
      <c r="BP262" s="1107">
        <v>0</v>
      </c>
      <c r="BQ262" s="1320">
        <f t="shared" si="630"/>
        <v>32.99</v>
      </c>
      <c r="BR262" s="1107">
        <f t="shared" si="707"/>
        <v>55.34</v>
      </c>
      <c r="BS262" s="1107">
        <f t="shared" si="708"/>
        <v>12.3</v>
      </c>
      <c r="BT262" s="1107">
        <f t="shared" si="627"/>
        <v>10.66</v>
      </c>
      <c r="BU262" s="1107">
        <v>0</v>
      </c>
      <c r="BV262" s="1108">
        <f t="shared" si="631"/>
        <v>78.3</v>
      </c>
      <c r="BW262" s="1112">
        <f t="shared" si="632"/>
        <v>111.28999999999999</v>
      </c>
      <c r="BX262" s="1112">
        <f t="shared" si="662"/>
        <v>999.15</v>
      </c>
      <c r="BY262" s="1108">
        <v>0</v>
      </c>
      <c r="BZ262" s="1108">
        <f t="shared" si="598"/>
        <v>999.15</v>
      </c>
      <c r="CA262" s="1321">
        <f>'CONCEPTOS Y PARAMETROS'!$A$102</f>
        <v>6255</v>
      </c>
      <c r="CB262" s="1112">
        <f t="shared" si="611"/>
        <v>233.45</v>
      </c>
      <c r="CC262" s="1113">
        <f t="shared" si="612"/>
        <v>598.94000000000005</v>
      </c>
      <c r="CD262" s="512"/>
      <c r="CE262" s="512"/>
      <c r="CF262" s="512">
        <f t="shared" si="613"/>
        <v>906.44</v>
      </c>
      <c r="CG262" s="509">
        <f t="shared" si="628"/>
        <v>233.45</v>
      </c>
      <c r="CH262" s="1603">
        <f t="shared" si="614"/>
        <v>12.5</v>
      </c>
      <c r="CI262" s="1491">
        <f t="shared" si="608"/>
        <v>320</v>
      </c>
      <c r="CJ262" s="1502">
        <v>1</v>
      </c>
      <c r="CK262" s="509">
        <f t="shared" si="615"/>
        <v>586.44000000000005</v>
      </c>
      <c r="CL262" s="1695">
        <f t="shared" si="616"/>
        <v>586.44000000000005</v>
      </c>
      <c r="CM262" s="1695">
        <f t="shared" si="610"/>
        <v>0</v>
      </c>
      <c r="CN262" s="510">
        <f t="shared" si="617"/>
        <v>0</v>
      </c>
      <c r="CO262" s="511">
        <v>0</v>
      </c>
      <c r="CP262" s="510">
        <f t="shared" si="618"/>
        <v>0</v>
      </c>
      <c r="CQ262" s="510">
        <f t="shared" si="619"/>
        <v>0</v>
      </c>
      <c r="CR262" s="510">
        <f t="shared" si="620"/>
        <v>1172.8800000000001</v>
      </c>
      <c r="CS262" s="510">
        <f t="shared" si="621"/>
        <v>111.28999999999999</v>
      </c>
      <c r="CT262" s="510">
        <f t="shared" si="622"/>
        <v>6255</v>
      </c>
      <c r="CU262" s="512"/>
      <c r="CV262" s="512"/>
      <c r="CW262" s="512"/>
      <c r="CX262" s="512"/>
      <c r="CY262" s="1149" t="s">
        <v>6993</v>
      </c>
      <c r="CZ262" s="1149" t="s">
        <v>6805</v>
      </c>
      <c r="DA262" s="1152"/>
      <c r="DB262" s="1152" t="s">
        <v>6189</v>
      </c>
      <c r="DC262" s="1152"/>
      <c r="DD262" s="1152" t="s">
        <v>6179</v>
      </c>
      <c r="DE262" s="1152" t="s">
        <v>6180</v>
      </c>
      <c r="DF262" s="1152" t="s">
        <v>6614</v>
      </c>
      <c r="DG262" s="1152"/>
      <c r="DH262" s="512"/>
      <c r="DI262" s="512"/>
      <c r="DJ262" s="512"/>
      <c r="DK262" s="512"/>
      <c r="DL262" s="512"/>
      <c r="DN262" s="476" t="str">
        <f>VLOOKUP(X262,Hoja1!$A$4:$B$10,2,0)</f>
        <v>PROFESIONAL</v>
      </c>
      <c r="DO262" s="476" t="str">
        <f>VLOOKUP(S262,Hoja1!$D$4:$F$77,3,0)</f>
        <v>PII - III</v>
      </c>
      <c r="DP262" s="1721" t="str">
        <f t="shared" si="623"/>
        <v>0</v>
      </c>
      <c r="DQ262" s="1696">
        <f>IF(T262&lt;&gt;"0",(ROUND(IF(A262="EMPLEADO",eval_formula('CONCEPTOS Y PARAMETROS'!$C$8,NOMINA!V262,AU262+BF262,NOMINA!I262+NOMINA!J262),eval_formula('CONCEPTOS Y PARAMETROS'!$D$8,NOMINA!V262,AU262+BF262,NOMINA!I262+NOMINA!J262)),2))*IF(H262&lt;&gt;"",IF(MONTH(H262)=$BR$8,IF(YEAR(H262)&lt;$BT$7,1,0),0)))</f>
        <v>0</v>
      </c>
      <c r="DR262" s="1799" t="str">
        <f t="shared" si="624"/>
        <v>F</v>
      </c>
      <c r="DS262" s="1799"/>
    </row>
    <row r="263" spans="1:123" s="471" customFormat="1" ht="21.95" customHeight="1" x14ac:dyDescent="0.25">
      <c r="A263" s="508" t="s">
        <v>2846</v>
      </c>
      <c r="B263" s="1314">
        <f t="shared" ca="1" si="471"/>
        <v>220</v>
      </c>
      <c r="C263" s="1148">
        <v>24135378</v>
      </c>
      <c r="D263" s="1149" t="s">
        <v>4903</v>
      </c>
      <c r="E263" s="1135" t="s">
        <v>4622</v>
      </c>
      <c r="F263" s="1150">
        <v>34213</v>
      </c>
      <c r="G263" s="1135" t="s">
        <v>4620</v>
      </c>
      <c r="H263" s="1150">
        <v>43862</v>
      </c>
      <c r="I263" s="1140">
        <f t="shared" si="625"/>
        <v>5</v>
      </c>
      <c r="J263" s="1132">
        <v>0</v>
      </c>
      <c r="K263" s="1140">
        <f t="shared" si="600"/>
        <v>5</v>
      </c>
      <c r="L263" s="1145" t="s">
        <v>5528</v>
      </c>
      <c r="M263" s="1132"/>
      <c r="N263" s="1132"/>
      <c r="O263" s="1002" t="s">
        <v>5219</v>
      </c>
      <c r="P263" s="1132" t="s">
        <v>5433</v>
      </c>
      <c r="Q263" s="1315" t="str">
        <f>IFERROR(VLOOKUP(O263,CARGOS!A:E,2,0),"")</f>
        <v>12114</v>
      </c>
      <c r="R263" s="1327" t="s">
        <v>5219</v>
      </c>
      <c r="S263" s="1146" t="s">
        <v>5467</v>
      </c>
      <c r="T263" s="1107">
        <f>IFERROR(VLOOKUP(S263,'TAB EMP'!A:B,2,0),0)</f>
        <v>277</v>
      </c>
      <c r="U263" s="1108">
        <v>0</v>
      </c>
      <c r="V263" s="1107">
        <f t="shared" si="680"/>
        <v>277</v>
      </c>
      <c r="W263" s="1108">
        <f t="shared" si="681"/>
        <v>138.5</v>
      </c>
      <c r="X263" s="1135" t="s">
        <v>2885</v>
      </c>
      <c r="Y263" s="1135"/>
      <c r="Z263" s="1135">
        <v>2</v>
      </c>
      <c r="AA263" s="1107">
        <f>ROUND(IF(H263&lt;&gt;"",VLOOKUP(SUM(I263+J263),'CONCEPTOS Y PARAMETROS'!F:G,2,0)*V263,0),2)</f>
        <v>13.85</v>
      </c>
      <c r="AB263" s="1107">
        <f>IF(S263&lt;&gt;"",IF(M263="",'CONCEPTOS Y PARAMETROS'!$C$4,0),0)</f>
        <v>130</v>
      </c>
      <c r="AC263" s="1107">
        <f>IF(S263&lt;&gt;"",IF(M263="",'CONCEPTOS Y PARAMETROS'!$C$7*Z263,0),0)</f>
        <v>25</v>
      </c>
      <c r="AD263" s="1107">
        <f>IFERROR(ROUND(VLOOKUP($X263,'CONCEPTOS Y PARAMETROS'!H:I,2,0)*($V263+AA263+AB263+AC263),2),0)</f>
        <v>111.46</v>
      </c>
      <c r="AE263" s="1107">
        <f t="shared" si="647"/>
        <v>280.31</v>
      </c>
      <c r="AF263" s="1107">
        <f t="shared" si="682"/>
        <v>6.93</v>
      </c>
      <c r="AG263" s="1107">
        <f t="shared" si="683"/>
        <v>6.92</v>
      </c>
      <c r="AH263" s="1107">
        <f t="shared" si="684"/>
        <v>65</v>
      </c>
      <c r="AI263" s="1107">
        <f t="shared" si="685"/>
        <v>65</v>
      </c>
      <c r="AJ263" s="1107">
        <f t="shared" si="686"/>
        <v>55.73</v>
      </c>
      <c r="AK263" s="1107">
        <f t="shared" si="687"/>
        <v>55.73</v>
      </c>
      <c r="AL263" s="1108">
        <f t="shared" si="688"/>
        <v>152.66</v>
      </c>
      <c r="AM263" s="1108">
        <f t="shared" si="689"/>
        <v>127.65</v>
      </c>
      <c r="AN263" s="1453">
        <v>1</v>
      </c>
      <c r="AO263" s="1147">
        <f>'CONCEPTOS Y PARAMETROS'!$C$18*AN263</f>
        <v>12.5</v>
      </c>
      <c r="AP263" s="990">
        <v>0</v>
      </c>
      <c r="AQ263" s="1147">
        <f>'CONCEPTOS Y PARAMETROS'!$C$21*AP263</f>
        <v>0</v>
      </c>
      <c r="AR263" s="1318">
        <v>0</v>
      </c>
      <c r="AS263" s="1318">
        <v>0</v>
      </c>
      <c r="AT263" s="1318">
        <f t="shared" si="609"/>
        <v>12.5</v>
      </c>
      <c r="AU263" s="1108">
        <f t="shared" si="606"/>
        <v>557.30999999999995</v>
      </c>
      <c r="AV263" s="1133">
        <v>0</v>
      </c>
      <c r="AW263" s="1108">
        <f t="shared" si="716"/>
        <v>0</v>
      </c>
      <c r="AX263" s="1107">
        <f>IF(T263&lt;&gt;"0",(ROUND(IF(A263="EMPLEADO",eval_formula('CONCEPTOS Y PARAMETROS'!$C$8,NOMINA!V263,NOMINA!$AU263,NOMINA!I263+NOMINA!J263),eval_formula('CONCEPTOS Y PARAMETROS'!$D$8,NOMINA!V263,NOMINA!$AU263,NOMINA!I263+NOMINA!J263)),2))*IF(H263&lt;&gt;"",IF(MONTH(H263)=$BR$8,IF(YEAR(H263)&lt;$BT$7,1,0),0)))</f>
        <v>0</v>
      </c>
      <c r="AY263" s="1108">
        <v>180</v>
      </c>
      <c r="AZ263" s="1107">
        <f>IFERROR(VLOOKUP(AY263,'CONCEPTOS Y PARAMETROS'!Y:Z,2,0),0)</f>
        <v>150</v>
      </c>
      <c r="BA263" s="1107">
        <f t="shared" si="690"/>
        <v>4179.83</v>
      </c>
      <c r="BB263" s="1107">
        <f t="shared" si="676"/>
        <v>0</v>
      </c>
      <c r="BC263" s="990">
        <v>0</v>
      </c>
      <c r="BD263" s="1107" t="str">
        <f t="shared" si="607"/>
        <v>0</v>
      </c>
      <c r="BE263" s="990">
        <v>0</v>
      </c>
      <c r="BF263" s="1107">
        <f t="shared" si="703"/>
        <v>0</v>
      </c>
      <c r="BG263" s="1108">
        <v>320</v>
      </c>
      <c r="BH263" s="1108">
        <v>0</v>
      </c>
      <c r="BI263" s="1132">
        <v>0</v>
      </c>
      <c r="BJ263" s="1108">
        <v>12.5</v>
      </c>
      <c r="BK263" s="1108">
        <v>0</v>
      </c>
      <c r="BL263" s="1107">
        <f t="shared" si="704"/>
        <v>25.72</v>
      </c>
      <c r="BM263" s="1107">
        <f t="shared" si="705"/>
        <v>3.22</v>
      </c>
      <c r="BN263" s="1107">
        <f t="shared" si="626"/>
        <v>5.57</v>
      </c>
      <c r="BO263" s="1107">
        <v>0</v>
      </c>
      <c r="BP263" s="1107">
        <v>0</v>
      </c>
      <c r="BQ263" s="1320">
        <f t="shared" si="630"/>
        <v>34.51</v>
      </c>
      <c r="BR263" s="1107">
        <f t="shared" si="707"/>
        <v>57.87</v>
      </c>
      <c r="BS263" s="1107">
        <f t="shared" si="708"/>
        <v>12.86</v>
      </c>
      <c r="BT263" s="1107">
        <f t="shared" si="627"/>
        <v>11.14</v>
      </c>
      <c r="BU263" s="1107">
        <v>0</v>
      </c>
      <c r="BV263" s="1108">
        <f t="shared" si="631"/>
        <v>81.87</v>
      </c>
      <c r="BW263" s="1112">
        <f t="shared" si="632"/>
        <v>116.38</v>
      </c>
      <c r="BX263" s="1112">
        <f t="shared" si="662"/>
        <v>1044.96</v>
      </c>
      <c r="BY263" s="1108">
        <v>0</v>
      </c>
      <c r="BZ263" s="1108">
        <f t="shared" si="598"/>
        <v>1044.96</v>
      </c>
      <c r="CA263" s="1321">
        <f>'CONCEPTOS Y PARAMETROS'!$A$102</f>
        <v>6255</v>
      </c>
      <c r="CB263" s="1112">
        <f t="shared" si="611"/>
        <v>256.64999999999998</v>
      </c>
      <c r="CC263" s="1113">
        <f t="shared" si="612"/>
        <v>611.15</v>
      </c>
      <c r="CD263" s="512"/>
      <c r="CE263" s="512"/>
      <c r="CF263" s="470">
        <f t="shared" si="613"/>
        <v>906.15</v>
      </c>
      <c r="CG263" s="495">
        <f t="shared" si="628"/>
        <v>256.64999999999998</v>
      </c>
      <c r="CH263" s="498">
        <f t="shared" si="614"/>
        <v>25</v>
      </c>
      <c r="CI263" s="1490">
        <f t="shared" si="608"/>
        <v>320</v>
      </c>
      <c r="CJ263" s="1500">
        <v>1</v>
      </c>
      <c r="CK263" s="495">
        <f t="shared" si="615"/>
        <v>586.15</v>
      </c>
      <c r="CL263" s="1689">
        <f t="shared" si="616"/>
        <v>586.15</v>
      </c>
      <c r="CM263" s="1689">
        <f t="shared" si="610"/>
        <v>0</v>
      </c>
      <c r="CN263" s="496">
        <f t="shared" si="617"/>
        <v>0</v>
      </c>
      <c r="CO263" s="497">
        <v>0</v>
      </c>
      <c r="CP263" s="496">
        <f t="shared" si="618"/>
        <v>0</v>
      </c>
      <c r="CQ263" s="496">
        <f t="shared" si="619"/>
        <v>0</v>
      </c>
      <c r="CR263" s="496">
        <f t="shared" si="620"/>
        <v>1172.3</v>
      </c>
      <c r="CS263" s="496">
        <f t="shared" si="621"/>
        <v>116.38</v>
      </c>
      <c r="CT263" s="496">
        <f t="shared" si="622"/>
        <v>6255</v>
      </c>
      <c r="CU263" s="470"/>
      <c r="CV263" s="470"/>
      <c r="CW263" s="470"/>
      <c r="CX263" s="470"/>
      <c r="CY263" s="1149" t="s">
        <v>6880</v>
      </c>
      <c r="CZ263" s="1149" t="s">
        <v>6994</v>
      </c>
      <c r="DA263" s="480"/>
      <c r="DB263" s="1642" t="s">
        <v>7454</v>
      </c>
      <c r="DC263" s="1642"/>
      <c r="DD263" s="1642" t="s">
        <v>6158</v>
      </c>
      <c r="DE263" s="1642" t="s">
        <v>6159</v>
      </c>
      <c r="DF263" s="1642" t="s">
        <v>7453</v>
      </c>
      <c r="DG263" s="1642"/>
      <c r="DH263" s="512"/>
      <c r="DI263" s="512"/>
      <c r="DJ263" s="470"/>
      <c r="DK263" s="470"/>
      <c r="DL263" s="470"/>
      <c r="DN263" s="471" t="str">
        <f>VLOOKUP(X263,Hoja1!$A$4:$B$10,2,0)</f>
        <v>PROFESIONAL</v>
      </c>
      <c r="DO263" s="471" t="str">
        <f>VLOOKUP(S263,Hoja1!$D$4:$F$77,3,0)</f>
        <v>PII - II</v>
      </c>
      <c r="DP263" s="1156" t="str">
        <f t="shared" si="623"/>
        <v>0</v>
      </c>
      <c r="DQ263" s="1484">
        <f>IF(T263&lt;&gt;"0",(ROUND(IF(A263="EMPLEADO",eval_formula('CONCEPTOS Y PARAMETROS'!$C$8,NOMINA!V263,AU263+BF263,NOMINA!I263+NOMINA!J263),eval_formula('CONCEPTOS Y PARAMETROS'!$D$8,NOMINA!V263,AU263+BF263,NOMINA!I263+NOMINA!J263)),2))*IF(H263&lt;&gt;"",IF(MONTH(H263)=$BR$8,IF(YEAR(H263)&lt;$BT$7,1,0),0)))</f>
        <v>0</v>
      </c>
      <c r="DR263" s="1801" t="str">
        <f t="shared" si="624"/>
        <v>F</v>
      </c>
      <c r="DS263" s="1801"/>
    </row>
    <row r="264" spans="1:123" s="471" customFormat="1" ht="21.95" customHeight="1" x14ac:dyDescent="0.25">
      <c r="A264" s="508" t="s">
        <v>2846</v>
      </c>
      <c r="B264" s="1314">
        <f t="shared" ca="1" si="471"/>
        <v>221</v>
      </c>
      <c r="C264" s="1148">
        <v>24136795</v>
      </c>
      <c r="D264" s="1149" t="s">
        <v>7357</v>
      </c>
      <c r="E264" s="1135" t="s">
        <v>4622</v>
      </c>
      <c r="F264" s="1150">
        <v>34676</v>
      </c>
      <c r="G264" s="1135" t="s">
        <v>4621</v>
      </c>
      <c r="H264" s="1150">
        <v>44600</v>
      </c>
      <c r="I264" s="1140">
        <f t="shared" si="625"/>
        <v>3</v>
      </c>
      <c r="J264" s="1132">
        <v>0</v>
      </c>
      <c r="K264" s="1140">
        <f t="shared" si="600"/>
        <v>3</v>
      </c>
      <c r="L264" s="1145" t="s">
        <v>5530</v>
      </c>
      <c r="M264" s="1132"/>
      <c r="N264" s="1132"/>
      <c r="O264" s="1002" t="s">
        <v>5266</v>
      </c>
      <c r="P264" s="1132" t="s">
        <v>5434</v>
      </c>
      <c r="Q264" s="1315" t="str">
        <f>IFERROR(VLOOKUP(O264,CARGOS!A:E,2,0),"")</f>
        <v>34232</v>
      </c>
      <c r="R264" s="1327" t="s">
        <v>5266</v>
      </c>
      <c r="S264" s="1146" t="s">
        <v>5477</v>
      </c>
      <c r="T264" s="1107">
        <f>IFERROR(VLOOKUP(S264,'TAB EMP'!A:B,2,0),0)</f>
        <v>150</v>
      </c>
      <c r="U264" s="1108">
        <v>0</v>
      </c>
      <c r="V264" s="1107">
        <f t="shared" si="680"/>
        <v>150</v>
      </c>
      <c r="W264" s="1108">
        <f t="shared" si="681"/>
        <v>75</v>
      </c>
      <c r="X264" s="1135" t="s">
        <v>2884</v>
      </c>
      <c r="Y264" s="1135"/>
      <c r="Z264" s="1135">
        <f>1+1</f>
        <v>2</v>
      </c>
      <c r="AA264" s="1107">
        <f>ROUND(IF(H264&lt;&gt;"",VLOOKUP(SUM(I264+J264),'CONCEPTOS Y PARAMETROS'!F:G,2,0)*V264,0),2)</f>
        <v>4.5</v>
      </c>
      <c r="AB264" s="1107">
        <f>IF(S264&lt;&gt;"",IF(M264="",'CONCEPTOS Y PARAMETROS'!$C$4,0),0)</f>
        <v>130</v>
      </c>
      <c r="AC264" s="1107">
        <f>IF(S264&lt;&gt;"",IF(M264="",'CONCEPTOS Y PARAMETROS'!$C$7*Z264,0),0)</f>
        <v>25</v>
      </c>
      <c r="AD264" s="1107">
        <f>IFERROR(ROUND(VLOOKUP($X264,'CONCEPTOS Y PARAMETROS'!H:I,2,0)*($V264+AA264+AB264+AC264),2),0)</f>
        <v>0</v>
      </c>
      <c r="AE264" s="1107">
        <f t="shared" si="647"/>
        <v>159.5</v>
      </c>
      <c r="AF264" s="1107">
        <f t="shared" si="682"/>
        <v>2.25</v>
      </c>
      <c r="AG264" s="1107">
        <f t="shared" si="683"/>
        <v>2.25</v>
      </c>
      <c r="AH264" s="1107">
        <f t="shared" si="684"/>
        <v>65</v>
      </c>
      <c r="AI264" s="1107">
        <f t="shared" si="685"/>
        <v>65</v>
      </c>
      <c r="AJ264" s="1107">
        <f t="shared" si="686"/>
        <v>0</v>
      </c>
      <c r="AK264" s="1107">
        <f t="shared" si="687"/>
        <v>0</v>
      </c>
      <c r="AL264" s="1108">
        <f t="shared" si="688"/>
        <v>92.25</v>
      </c>
      <c r="AM264" s="1108">
        <f t="shared" si="689"/>
        <v>67.25</v>
      </c>
      <c r="AN264" s="1453">
        <v>1</v>
      </c>
      <c r="AO264" s="1147">
        <f>'CONCEPTOS Y PARAMETROS'!$C$18*AN264</f>
        <v>12.5</v>
      </c>
      <c r="AP264" s="990">
        <v>0</v>
      </c>
      <c r="AQ264" s="1147">
        <f>'CONCEPTOS Y PARAMETROS'!$C$21*AP264</f>
        <v>0</v>
      </c>
      <c r="AR264" s="1318">
        <v>0</v>
      </c>
      <c r="AS264" s="1318">
        <v>0</v>
      </c>
      <c r="AT264" s="1318">
        <f t="shared" si="609"/>
        <v>12.5</v>
      </c>
      <c r="AU264" s="1108">
        <f t="shared" si="606"/>
        <v>309.5</v>
      </c>
      <c r="AV264" s="1133">
        <v>0</v>
      </c>
      <c r="AW264" s="1108">
        <f t="shared" si="716"/>
        <v>0</v>
      </c>
      <c r="AX264" s="1107">
        <f>IF(T264&lt;&gt;"0",(ROUND(IF(A264="EMPLEADO",eval_formula('CONCEPTOS Y PARAMETROS'!$C$8,NOMINA!V264,NOMINA!$AU264,NOMINA!I264+NOMINA!J264),eval_formula('CONCEPTOS Y PARAMETROS'!$D$8,NOMINA!V264,NOMINA!$AU264,NOMINA!I264+NOMINA!J264)),2))*IF(H264&lt;&gt;"",IF(MONTH(H264)=$BR$8,IF(YEAR(H264)&lt;$BT$7,1,0),0)))</f>
        <v>0</v>
      </c>
      <c r="AY264" s="1108">
        <v>180</v>
      </c>
      <c r="AZ264" s="1107">
        <f>IFERROR(VLOOKUP(AY264,'CONCEPTOS Y PARAMETROS'!Y:Z,2,0),0)</f>
        <v>150</v>
      </c>
      <c r="BA264" s="1107">
        <f t="shared" si="690"/>
        <v>2321.25</v>
      </c>
      <c r="BB264" s="1107">
        <f t="shared" si="676"/>
        <v>0</v>
      </c>
      <c r="BC264" s="990">
        <v>0</v>
      </c>
      <c r="BD264" s="1107" t="str">
        <f t="shared" si="607"/>
        <v>0</v>
      </c>
      <c r="BE264" s="990">
        <v>0</v>
      </c>
      <c r="BF264" s="1107">
        <f t="shared" si="703"/>
        <v>0</v>
      </c>
      <c r="BG264" s="1108">
        <v>320</v>
      </c>
      <c r="BH264" s="1108">
        <v>0</v>
      </c>
      <c r="BI264" s="1132">
        <v>0</v>
      </c>
      <c r="BJ264" s="1108">
        <v>12.5</v>
      </c>
      <c r="BK264" s="1108">
        <v>0</v>
      </c>
      <c r="BL264" s="1107">
        <f t="shared" si="704"/>
        <v>14.28</v>
      </c>
      <c r="BM264" s="1107">
        <f t="shared" si="705"/>
        <v>1.79</v>
      </c>
      <c r="BN264" s="1107">
        <f t="shared" si="626"/>
        <v>3.1</v>
      </c>
      <c r="BO264" s="1107">
        <v>0</v>
      </c>
      <c r="BP264" s="1107">
        <v>0</v>
      </c>
      <c r="BQ264" s="1320">
        <f t="shared" si="630"/>
        <v>19.170000000000002</v>
      </c>
      <c r="BR264" s="1107">
        <f t="shared" si="707"/>
        <v>32.14</v>
      </c>
      <c r="BS264" s="1107">
        <f t="shared" si="708"/>
        <v>7.14</v>
      </c>
      <c r="BT264" s="1107">
        <f t="shared" si="627"/>
        <v>6.2</v>
      </c>
      <c r="BU264" s="1107">
        <v>0</v>
      </c>
      <c r="BV264" s="1108">
        <f t="shared" si="631"/>
        <v>45.48</v>
      </c>
      <c r="BW264" s="1112">
        <f t="shared" si="632"/>
        <v>64.650000000000006</v>
      </c>
      <c r="BX264" s="1112">
        <f t="shared" si="662"/>
        <v>580.30999999999995</v>
      </c>
      <c r="BY264" s="1108">
        <v>0</v>
      </c>
      <c r="BZ264" s="1108">
        <f t="shared" si="598"/>
        <v>580.30999999999995</v>
      </c>
      <c r="CA264" s="1321">
        <f>'CONCEPTOS Y PARAMETROS'!$A$102</f>
        <v>6255</v>
      </c>
      <c r="CB264" s="1112">
        <f t="shared" si="611"/>
        <v>148.07999999999998</v>
      </c>
      <c r="CC264" s="1113">
        <f t="shared" si="612"/>
        <v>487.25</v>
      </c>
      <c r="CD264" s="512"/>
      <c r="CE264" s="512"/>
      <c r="CF264" s="470">
        <f t="shared" si="613"/>
        <v>782.25</v>
      </c>
      <c r="CG264" s="495">
        <f t="shared" si="628"/>
        <v>148.07999999999998</v>
      </c>
      <c r="CH264" s="498">
        <f t="shared" si="614"/>
        <v>25</v>
      </c>
      <c r="CI264" s="1490">
        <f t="shared" si="608"/>
        <v>320</v>
      </c>
      <c r="CJ264" s="1500">
        <v>1</v>
      </c>
      <c r="CK264" s="495">
        <f t="shared" si="615"/>
        <v>462.25</v>
      </c>
      <c r="CL264" s="1689">
        <f t="shared" si="616"/>
        <v>462.25</v>
      </c>
      <c r="CM264" s="1689">
        <f t="shared" si="610"/>
        <v>0</v>
      </c>
      <c r="CN264" s="496">
        <f t="shared" si="617"/>
        <v>0</v>
      </c>
      <c r="CO264" s="497">
        <v>0</v>
      </c>
      <c r="CP264" s="496">
        <f t="shared" si="618"/>
        <v>0</v>
      </c>
      <c r="CQ264" s="496">
        <f t="shared" si="619"/>
        <v>0</v>
      </c>
      <c r="CR264" s="496">
        <f t="shared" si="620"/>
        <v>924.5</v>
      </c>
      <c r="CS264" s="496">
        <f t="shared" si="621"/>
        <v>64.650000000000006</v>
      </c>
      <c r="CT264" s="496">
        <f t="shared" si="622"/>
        <v>6255</v>
      </c>
      <c r="CU264" s="470"/>
      <c r="CV264" s="470"/>
      <c r="CW264" s="470"/>
      <c r="CX264" s="470"/>
      <c r="CY264" s="1149" t="s">
        <v>6886</v>
      </c>
      <c r="CZ264" s="1149" t="s">
        <v>6810</v>
      </c>
      <c r="DA264" s="480"/>
      <c r="DB264" s="1642" t="s">
        <v>6582</v>
      </c>
      <c r="DC264" s="1642"/>
      <c r="DD264" s="1642" t="s">
        <v>6135</v>
      </c>
      <c r="DE264" s="1642" t="s">
        <v>6192</v>
      </c>
      <c r="DF264" s="1642" t="s">
        <v>7532</v>
      </c>
      <c r="DG264" s="1152"/>
      <c r="DH264" s="512"/>
      <c r="DI264" s="512"/>
      <c r="DJ264" s="470"/>
      <c r="DK264" s="470"/>
      <c r="DL264" s="470"/>
      <c r="DN264" s="471" t="str">
        <f>VLOOKUP(X264,Hoja1!$A$4:$B$10,2,0)</f>
        <v>BACHILLER</v>
      </c>
      <c r="DO264" s="471" t="str">
        <f>VLOOKUP(S264,Hoja1!$D$4:$F$77,3,0)</f>
        <v>BII - II</v>
      </c>
      <c r="DP264" s="1156" t="str">
        <f t="shared" si="623"/>
        <v>0</v>
      </c>
      <c r="DQ264" s="1484">
        <f>IF(T264&lt;&gt;"0",(ROUND(IF(A264="EMPLEADO",eval_formula('CONCEPTOS Y PARAMETROS'!$C$8,NOMINA!V264,AU264+BF264,NOMINA!I264+NOMINA!J264),eval_formula('CONCEPTOS Y PARAMETROS'!$D$8,NOMINA!V264,AU264+BF264,NOMINA!I264+NOMINA!J264)),2))*IF(H264&lt;&gt;"",IF(MONTH(H264)=$BR$8,IF(YEAR(H264)&lt;$BT$7,1,0),0)))</f>
        <v>0</v>
      </c>
      <c r="DR264" s="1801" t="str">
        <f t="shared" si="624"/>
        <v>M</v>
      </c>
      <c r="DS264" s="1801"/>
    </row>
    <row r="265" spans="1:123" s="476" customFormat="1" ht="21.95" customHeight="1" x14ac:dyDescent="0.25">
      <c r="A265" s="508" t="s">
        <v>2846</v>
      </c>
      <c r="B265" s="1314">
        <f ca="1">OFFSET(B265,-1,0)+1</f>
        <v>222</v>
      </c>
      <c r="C265" s="990">
        <v>23254845</v>
      </c>
      <c r="D265" s="1275" t="s">
        <v>5038</v>
      </c>
      <c r="E265" s="1135" t="s">
        <v>4622</v>
      </c>
      <c r="F265" s="1118">
        <v>34033</v>
      </c>
      <c r="G265" s="1135" t="s">
        <v>4621</v>
      </c>
      <c r="H265" s="1118">
        <v>44332</v>
      </c>
      <c r="I265" s="1140">
        <f t="shared" si="625"/>
        <v>4</v>
      </c>
      <c r="J265" s="1132">
        <v>0</v>
      </c>
      <c r="K265" s="1140">
        <f t="shared" si="600"/>
        <v>4</v>
      </c>
      <c r="L265" s="1145" t="s">
        <v>5531</v>
      </c>
      <c r="M265" s="1132"/>
      <c r="N265" s="1132"/>
      <c r="O265" s="1002" t="s">
        <v>5266</v>
      </c>
      <c r="P265" s="1132" t="s">
        <v>5173</v>
      </c>
      <c r="Q265" s="1315">
        <v>7152</v>
      </c>
      <c r="R265" s="1327" t="s">
        <v>5266</v>
      </c>
      <c r="S265" s="1146" t="s">
        <v>5477</v>
      </c>
      <c r="T265" s="1107">
        <f>IFERROR(VLOOKUP(S265,'TAB EMP'!A:B,2,0),0)</f>
        <v>150</v>
      </c>
      <c r="U265" s="1108">
        <v>0</v>
      </c>
      <c r="V265" s="1107">
        <f>T265-U265</f>
        <v>150</v>
      </c>
      <c r="W265" s="1108">
        <f>ROUND(V265/2,2)</f>
        <v>75</v>
      </c>
      <c r="X265" s="1135" t="s">
        <v>2884</v>
      </c>
      <c r="Y265" s="1135"/>
      <c r="Z265" s="1135">
        <v>0</v>
      </c>
      <c r="AA265" s="1107">
        <f>ROUND(IF(H265&lt;&gt;"",VLOOKUP(SUM(I265+J265),'CONCEPTOS Y PARAMETROS'!F:G,2,0)*V265,0),2)</f>
        <v>6</v>
      </c>
      <c r="AB265" s="1107">
        <f>IF(S265&lt;&gt;"",IF(M265="",'CONCEPTOS Y PARAMETROS'!$C$4,0),0)</f>
        <v>130</v>
      </c>
      <c r="AC265" s="1107">
        <f>IF(S265&lt;&gt;"",IF(M265="",'CONCEPTOS Y PARAMETROS'!$C$7*Z265,0),0)</f>
        <v>0</v>
      </c>
      <c r="AD265" s="1107">
        <f>IFERROR(ROUND(VLOOKUP($X265,'CONCEPTOS Y PARAMETROS'!H:I,2,0)*($V265+AA265+AB265+AC265),2),0)</f>
        <v>0</v>
      </c>
      <c r="AE265" s="1107">
        <f>SUM(AA265:AD265)</f>
        <v>136</v>
      </c>
      <c r="AF265" s="1107">
        <f>ROUND(AA265/2,2)</f>
        <v>3</v>
      </c>
      <c r="AG265" s="1107">
        <f>ROUND(AA265-AF265,2)</f>
        <v>3</v>
      </c>
      <c r="AH265" s="1107">
        <f>ROUND(AB265/2,2)</f>
        <v>65</v>
      </c>
      <c r="AI265" s="1107">
        <f>ROUND(AB265-AH265,2)</f>
        <v>65</v>
      </c>
      <c r="AJ265" s="1107">
        <f>ROUND(AD265/2,2)</f>
        <v>0</v>
      </c>
      <c r="AK265" s="1107">
        <f>ROUND(AD265-AJ265,2)</f>
        <v>0</v>
      </c>
      <c r="AL265" s="1108">
        <f>ROUND(AF265+AH265+AJ265+AC265,2)</f>
        <v>68</v>
      </c>
      <c r="AM265" s="1108">
        <f>ROUND(AG265+AI265+AK265,2)</f>
        <v>68</v>
      </c>
      <c r="AN265" s="990">
        <v>0</v>
      </c>
      <c r="AO265" s="1147">
        <f>'CONCEPTOS Y PARAMETROS'!$C$18*AN265</f>
        <v>0</v>
      </c>
      <c r="AP265" s="990">
        <v>0</v>
      </c>
      <c r="AQ265" s="1147">
        <f>'CONCEPTOS Y PARAMETROS'!$C$21*AP265</f>
        <v>0</v>
      </c>
      <c r="AR265" s="1318">
        <v>0</v>
      </c>
      <c r="AS265" s="1318">
        <v>0</v>
      </c>
      <c r="AT265" s="1318">
        <f>+AO265+AQ265+AR265+AS265</f>
        <v>0</v>
      </c>
      <c r="AU265" s="1108">
        <f t="shared" si="606"/>
        <v>286</v>
      </c>
      <c r="AV265" s="1133">
        <v>0</v>
      </c>
      <c r="AW265" s="1108">
        <f t="shared" si="716"/>
        <v>0</v>
      </c>
      <c r="AX265" s="1107">
        <f>IF(T265&lt;&gt;"0",(ROUND(IF(A265="EMPLEADO",eval_formula('CONCEPTOS Y PARAMETROS'!$C$8,NOMINA!V265,NOMINA!$AU265,NOMINA!I265+NOMINA!J265),eval_formula('CONCEPTOS Y PARAMETROS'!$D$8,NOMINA!V265,NOMINA!$AU265,NOMINA!I265+NOMINA!J265)),2))*IF(H265&lt;&gt;"",IF(MONTH(H265)=$BR$8,IF(YEAR(H265)&lt;$BT$7,1,0),0)))</f>
        <v>0</v>
      </c>
      <c r="AY265" s="1108">
        <v>180</v>
      </c>
      <c r="AZ265" s="1107">
        <f>IFERROR(VLOOKUP(AY265,'CONCEPTOS Y PARAMETROS'!Y:Z,2,0),0)</f>
        <v>150</v>
      </c>
      <c r="BA265" s="1107">
        <f>ROUND((((AU265))/30*AY265/12+(AU265))/30*AZ265,2)</f>
        <v>2145</v>
      </c>
      <c r="BB265" s="1107">
        <f t="shared" ref="BB265:BB288" si="763">ROUND(AU265/30*$BB$10,2)</f>
        <v>0</v>
      </c>
      <c r="BC265" s="990">
        <v>0</v>
      </c>
      <c r="BD265" s="1107" t="str">
        <f t="shared" si="607"/>
        <v>0</v>
      </c>
      <c r="BE265" s="990">
        <v>0</v>
      </c>
      <c r="BF265" s="1107">
        <f t="shared" si="703"/>
        <v>0</v>
      </c>
      <c r="BG265" s="1108">
        <v>320</v>
      </c>
      <c r="BH265" s="1108">
        <v>0</v>
      </c>
      <c r="BI265" s="1132">
        <v>0</v>
      </c>
      <c r="BJ265" s="1108">
        <v>12.5</v>
      </c>
      <c r="BK265" s="1108">
        <v>0</v>
      </c>
      <c r="BL265" s="1107">
        <f t="shared" si="704"/>
        <v>13.2</v>
      </c>
      <c r="BM265" s="1107">
        <f t="shared" si="705"/>
        <v>1.65</v>
      </c>
      <c r="BN265" s="1107">
        <f t="shared" si="626"/>
        <v>2.86</v>
      </c>
      <c r="BO265" s="1107">
        <v>0</v>
      </c>
      <c r="BP265" s="1107">
        <v>0</v>
      </c>
      <c r="BQ265" s="1320">
        <f>ROUND(SUM(BL265:BP265),2)</f>
        <v>17.71</v>
      </c>
      <c r="BR265" s="1107">
        <f t="shared" si="707"/>
        <v>29.7</v>
      </c>
      <c r="BS265" s="1107">
        <f t="shared" si="708"/>
        <v>6.6</v>
      </c>
      <c r="BT265" s="1107">
        <f t="shared" si="627"/>
        <v>5.72</v>
      </c>
      <c r="BU265" s="1107">
        <v>0</v>
      </c>
      <c r="BV265" s="1108">
        <f>ROUND(SUM(BR265:BT265),2)</f>
        <v>42.02</v>
      </c>
      <c r="BW265" s="1112">
        <f>BQ265+BV265</f>
        <v>59.730000000000004</v>
      </c>
      <c r="BX265" s="1112">
        <f>ROUND(BA265/4,2)</f>
        <v>536.25</v>
      </c>
      <c r="BY265" s="1108">
        <v>0</v>
      </c>
      <c r="BZ265" s="1108">
        <f t="shared" si="598"/>
        <v>536.25</v>
      </c>
      <c r="CA265" s="1321">
        <f>'CONCEPTOS Y PARAMETROS'!$A$102</f>
        <v>6255</v>
      </c>
      <c r="CB265" s="1112">
        <f t="shared" si="611"/>
        <v>125.28999999999999</v>
      </c>
      <c r="CC265" s="1113">
        <f t="shared" si="612"/>
        <v>475.5</v>
      </c>
      <c r="CD265" s="512"/>
      <c r="CE265" s="512"/>
      <c r="CF265" s="470">
        <f t="shared" si="613"/>
        <v>783</v>
      </c>
      <c r="CG265" s="509">
        <f t="shared" si="628"/>
        <v>125.28999999999999</v>
      </c>
      <c r="CH265" s="498">
        <f t="shared" si="614"/>
        <v>12.5</v>
      </c>
      <c r="CI265" s="1491">
        <f t="shared" si="608"/>
        <v>320</v>
      </c>
      <c r="CJ265" s="1500">
        <v>1</v>
      </c>
      <c r="CK265" s="509">
        <f t="shared" si="615"/>
        <v>463</v>
      </c>
      <c r="CL265" s="1689">
        <f t="shared" si="616"/>
        <v>463</v>
      </c>
      <c r="CM265" s="1689">
        <f t="shared" si="610"/>
        <v>0</v>
      </c>
      <c r="CN265" s="510">
        <f t="shared" si="617"/>
        <v>0</v>
      </c>
      <c r="CO265" s="511">
        <v>0</v>
      </c>
      <c r="CP265" s="510">
        <f t="shared" si="618"/>
        <v>0</v>
      </c>
      <c r="CQ265" s="510">
        <f t="shared" si="619"/>
        <v>0</v>
      </c>
      <c r="CR265" s="496">
        <f t="shared" si="620"/>
        <v>926</v>
      </c>
      <c r="CS265" s="510">
        <f t="shared" si="621"/>
        <v>59.730000000000004</v>
      </c>
      <c r="CT265" s="510">
        <f t="shared" si="622"/>
        <v>6255</v>
      </c>
      <c r="CU265" s="470"/>
      <c r="CV265" s="470"/>
      <c r="CW265" s="470"/>
      <c r="CX265" s="470"/>
      <c r="CY265" s="1275" t="s">
        <v>6995</v>
      </c>
      <c r="CZ265" s="1275" t="s">
        <v>6996</v>
      </c>
      <c r="DA265" s="1152"/>
      <c r="DB265" s="1642" t="s">
        <v>6583</v>
      </c>
      <c r="DC265" s="1642" t="s">
        <v>6233</v>
      </c>
      <c r="DD265" s="1642" t="s">
        <v>6199</v>
      </c>
      <c r="DE265" s="1642" t="s">
        <v>6196</v>
      </c>
      <c r="DF265" s="1642" t="s">
        <v>6597</v>
      </c>
      <c r="DG265" s="1642"/>
      <c r="DH265" s="512"/>
      <c r="DI265" s="512"/>
      <c r="DJ265" s="512"/>
      <c r="DK265" s="512"/>
      <c r="DL265" s="512"/>
      <c r="DN265" s="476" t="str">
        <f>VLOOKUP(X265,Hoja1!$A$4:$B$10,2,0)</f>
        <v>BACHILLER</v>
      </c>
      <c r="DO265" s="476" t="str">
        <f>VLOOKUP(S265,Hoja1!$D$4:$F$77,3,0)</f>
        <v>BII - II</v>
      </c>
      <c r="DP265" s="1158" t="str">
        <f t="shared" si="623"/>
        <v>0</v>
      </c>
      <c r="DQ265" s="1484">
        <f>IF(T265&lt;&gt;"0",(ROUND(IF(A265="EMPLEADO",eval_formula('CONCEPTOS Y PARAMETROS'!$C$8,NOMINA!V265,AU265+BF265,NOMINA!I265+NOMINA!J265),eval_formula('CONCEPTOS Y PARAMETROS'!$D$8,NOMINA!V265,AU265+BF265,NOMINA!I265+NOMINA!J265)),2))*IF(H265&lt;&gt;"",IF(MONTH(H265)=$BR$8,IF(YEAR(H265)&lt;$BT$7,1,0),0)))</f>
        <v>0</v>
      </c>
      <c r="DR265" s="1799" t="str">
        <f t="shared" si="624"/>
        <v>M</v>
      </c>
      <c r="DS265" s="1799"/>
    </row>
    <row r="266" spans="1:123" s="476" customFormat="1" ht="21.95" customHeight="1" x14ac:dyDescent="0.25">
      <c r="A266" s="508" t="s">
        <v>2846</v>
      </c>
      <c r="B266" s="1314">
        <f t="shared" ref="B266:B267" ca="1" si="764">OFFSET(B266,-1,0)+1</f>
        <v>223</v>
      </c>
      <c r="C266" s="1148">
        <v>23594366</v>
      </c>
      <c r="D266" s="1149" t="s">
        <v>6482</v>
      </c>
      <c r="E266" s="1135" t="s">
        <v>4622</v>
      </c>
      <c r="F266" s="1150">
        <v>34122</v>
      </c>
      <c r="G266" s="1135" t="s">
        <v>4620</v>
      </c>
      <c r="H266" s="1150">
        <v>45413</v>
      </c>
      <c r="I266" s="1140">
        <f t="shared" si="625"/>
        <v>1</v>
      </c>
      <c r="J266" s="1132">
        <v>0</v>
      </c>
      <c r="K266" s="1140">
        <f t="shared" si="600"/>
        <v>1</v>
      </c>
      <c r="L266" s="1145" t="s">
        <v>5528</v>
      </c>
      <c r="M266" s="1132"/>
      <c r="N266" s="1132"/>
      <c r="O266" s="1002" t="s">
        <v>5224</v>
      </c>
      <c r="P266" s="1151" t="s">
        <v>6483</v>
      </c>
      <c r="Q266" s="1315" t="str">
        <f>IFERROR(VLOOKUP(O266,CARGOS!A:E,2,0),"")</f>
        <v>79521</v>
      </c>
      <c r="R266" s="1327" t="s">
        <v>5224</v>
      </c>
      <c r="S266" s="1146" t="s">
        <v>5456</v>
      </c>
      <c r="T266" s="1107">
        <f>IFERROR(VLOOKUP(S266,'TAB EMP'!A:B,2,0),0)</f>
        <v>246</v>
      </c>
      <c r="U266" s="1108">
        <v>0</v>
      </c>
      <c r="V266" s="1107">
        <f t="shared" ref="V266:V267" si="765">T266-U266</f>
        <v>246</v>
      </c>
      <c r="W266" s="1108">
        <f t="shared" ref="W266:W267" si="766">ROUND(V266/2,2)</f>
        <v>123</v>
      </c>
      <c r="X266" s="1135" t="s">
        <v>2885</v>
      </c>
      <c r="Y266" s="1135"/>
      <c r="Z266" s="1135">
        <v>0</v>
      </c>
      <c r="AA266" s="1107">
        <f>ROUND(IF(H266&lt;&gt;"",VLOOKUP(SUM(I266+J266),'CONCEPTOS Y PARAMETROS'!F:G,2,0)*V266,0),2)</f>
        <v>2.46</v>
      </c>
      <c r="AB266" s="1107">
        <f>IF(S266&lt;&gt;"",IF(M266="",'CONCEPTOS Y PARAMETROS'!$C$4,0),0)</f>
        <v>130</v>
      </c>
      <c r="AC266" s="1107">
        <f>IF(S266&lt;&gt;"",IF(M266="",'CONCEPTOS Y PARAMETROS'!$C$7*Z266,0),0)</f>
        <v>0</v>
      </c>
      <c r="AD266" s="1107">
        <f>IFERROR(ROUND(VLOOKUP($X266,'CONCEPTOS Y PARAMETROS'!H:I,2,0)*($V266+AA266+AB266+AC266),2),0)</f>
        <v>94.62</v>
      </c>
      <c r="AE266" s="1107">
        <f t="shared" ref="AE266:AE267" si="767">SUM(AA266:AD266)</f>
        <v>227.08</v>
      </c>
      <c r="AF266" s="1107">
        <f t="shared" ref="AF266:AF267" si="768">ROUND(AA266/2,2)</f>
        <v>1.23</v>
      </c>
      <c r="AG266" s="1107">
        <f t="shared" ref="AG266:AG267" si="769">ROUND(AA266-AF266,2)</f>
        <v>1.23</v>
      </c>
      <c r="AH266" s="1107">
        <f t="shared" ref="AH266:AH267" si="770">ROUND(AB266/2,2)</f>
        <v>65</v>
      </c>
      <c r="AI266" s="1107">
        <f t="shared" ref="AI266:AI267" si="771">ROUND(AB266-AH266,2)</f>
        <v>65</v>
      </c>
      <c r="AJ266" s="1107">
        <f t="shared" ref="AJ266:AJ267" si="772">ROUND(AD266/2,2)</f>
        <v>47.31</v>
      </c>
      <c r="AK266" s="1107">
        <f t="shared" ref="AK266:AK267" si="773">ROUND(AD266-AJ266,2)</f>
        <v>47.31</v>
      </c>
      <c r="AL266" s="1108">
        <f t="shared" ref="AL266:AL267" si="774">ROUND(AF266+AH266+AJ266+AC266,2)</f>
        <v>113.54</v>
      </c>
      <c r="AM266" s="1108">
        <f t="shared" ref="AM266:AM267" si="775">ROUND(AG266+AI266+AK266,2)</f>
        <v>113.54</v>
      </c>
      <c r="AN266" s="990">
        <v>0</v>
      </c>
      <c r="AO266" s="1147">
        <f>'CONCEPTOS Y PARAMETROS'!$C$18*AN266</f>
        <v>0</v>
      </c>
      <c r="AP266" s="990">
        <v>0</v>
      </c>
      <c r="AQ266" s="1147">
        <f>'CONCEPTOS Y PARAMETROS'!$C$21*AP266</f>
        <v>0</v>
      </c>
      <c r="AR266" s="1318">
        <v>0</v>
      </c>
      <c r="AS266" s="1318">
        <v>0</v>
      </c>
      <c r="AT266" s="1318">
        <f t="shared" ref="AT266:AT267" si="776">+AO266+AQ266+AR266+AS266</f>
        <v>0</v>
      </c>
      <c r="AU266" s="1108">
        <f t="shared" si="606"/>
        <v>473.08000000000004</v>
      </c>
      <c r="AV266" s="1133">
        <v>0</v>
      </c>
      <c r="AW266" s="1108">
        <f t="shared" si="716"/>
        <v>0</v>
      </c>
      <c r="AX266" s="1107">
        <f>IF(T266&lt;&gt;"0",(ROUND(IF(A266="EMPLEADO",eval_formula('CONCEPTOS Y PARAMETROS'!$C$8,NOMINA!V266,NOMINA!$AU266,NOMINA!I266+NOMINA!J266),eval_formula('CONCEPTOS Y PARAMETROS'!$D$8,NOMINA!V266,NOMINA!$AU266,NOMINA!I266+NOMINA!J266)),2))*IF(H266&lt;&gt;"",IF(MONTH(H266)=$BR$8,IF(YEAR(H266)&lt;$BT$7,1,0),0)))</f>
        <v>0</v>
      </c>
      <c r="AY266" s="1108">
        <v>120</v>
      </c>
      <c r="AZ266" s="1107">
        <f>IFERROR(VLOOKUP(AY266,'CONCEPTOS Y PARAMETROS'!Y:Z,2,0),0)</f>
        <v>100</v>
      </c>
      <c r="BA266" s="1107">
        <f t="shared" ref="BA266:BA267" si="777">ROUND((((AU266))/30*AY266/12+(AU266))/30*AZ266,2)</f>
        <v>2102.58</v>
      </c>
      <c r="BB266" s="1107">
        <f t="shared" si="763"/>
        <v>0</v>
      </c>
      <c r="BC266" s="990">
        <v>0</v>
      </c>
      <c r="BD266" s="1107" t="str">
        <f t="shared" si="607"/>
        <v>0</v>
      </c>
      <c r="BE266" s="990">
        <v>0</v>
      </c>
      <c r="BF266" s="1107">
        <f t="shared" si="703"/>
        <v>0</v>
      </c>
      <c r="BG266" s="1108">
        <v>320</v>
      </c>
      <c r="BH266" s="1108">
        <v>0</v>
      </c>
      <c r="BI266" s="1132">
        <v>0</v>
      </c>
      <c r="BJ266" s="1108">
        <v>12.5</v>
      </c>
      <c r="BK266" s="1108">
        <v>0</v>
      </c>
      <c r="BL266" s="1107">
        <f t="shared" si="704"/>
        <v>21.83</v>
      </c>
      <c r="BM266" s="1107">
        <f t="shared" si="705"/>
        <v>2.73</v>
      </c>
      <c r="BN266" s="1107">
        <f t="shared" si="626"/>
        <v>4.7300000000000004</v>
      </c>
      <c r="BO266" s="1107">
        <v>0</v>
      </c>
      <c r="BP266" s="1107">
        <v>0</v>
      </c>
      <c r="BQ266" s="1320">
        <f t="shared" ref="BQ266:BQ267" si="778">ROUND(SUM(BL266:BP266),2)</f>
        <v>29.29</v>
      </c>
      <c r="BR266" s="1107">
        <f t="shared" si="707"/>
        <v>49.13</v>
      </c>
      <c r="BS266" s="1107">
        <f t="shared" si="708"/>
        <v>10.92</v>
      </c>
      <c r="BT266" s="1107">
        <f t="shared" si="627"/>
        <v>9.4600000000000009</v>
      </c>
      <c r="BU266" s="1107">
        <v>0</v>
      </c>
      <c r="BV266" s="1108">
        <f t="shared" ref="BV266" si="779">ROUND(SUM(BR266:BT266),2)</f>
        <v>69.510000000000005</v>
      </c>
      <c r="BW266" s="1112">
        <f t="shared" ref="BW266:BW267" si="780">BQ266+BV266</f>
        <v>98.800000000000011</v>
      </c>
      <c r="BX266" s="1112">
        <f>ROUND(BA266/4,2)</f>
        <v>525.65</v>
      </c>
      <c r="BY266" s="1108">
        <v>0</v>
      </c>
      <c r="BZ266" s="1108">
        <f t="shared" si="598"/>
        <v>525.65</v>
      </c>
      <c r="CA266" s="1321">
        <f>'CONCEPTOS Y PARAMETROS'!$A$102</f>
        <v>6255</v>
      </c>
      <c r="CB266" s="1112">
        <f t="shared" si="611"/>
        <v>207.25000000000003</v>
      </c>
      <c r="CC266" s="1113">
        <f t="shared" si="612"/>
        <v>569.04</v>
      </c>
      <c r="CD266" s="512"/>
      <c r="CE266" s="512"/>
      <c r="CF266" s="470">
        <f t="shared" si="613"/>
        <v>876.54</v>
      </c>
      <c r="CG266" s="509">
        <f t="shared" si="628"/>
        <v>207.25000000000003</v>
      </c>
      <c r="CH266" s="498">
        <f t="shared" si="614"/>
        <v>12.5</v>
      </c>
      <c r="CI266" s="1491">
        <f t="shared" si="608"/>
        <v>320</v>
      </c>
      <c r="CJ266" s="1500">
        <v>1</v>
      </c>
      <c r="CK266" s="509">
        <f t="shared" si="615"/>
        <v>556.54</v>
      </c>
      <c r="CL266" s="1689">
        <f t="shared" si="616"/>
        <v>556.54</v>
      </c>
      <c r="CM266" s="1689">
        <f t="shared" si="610"/>
        <v>0</v>
      </c>
      <c r="CN266" s="510">
        <f t="shared" si="617"/>
        <v>0</v>
      </c>
      <c r="CO266" s="511">
        <v>0</v>
      </c>
      <c r="CP266" s="510">
        <f t="shared" si="618"/>
        <v>0</v>
      </c>
      <c r="CQ266" s="510">
        <f t="shared" si="619"/>
        <v>0</v>
      </c>
      <c r="CR266" s="496">
        <f t="shared" si="620"/>
        <v>1113.08</v>
      </c>
      <c r="CS266" s="510">
        <f t="shared" si="621"/>
        <v>98.800000000000011</v>
      </c>
      <c r="CT266" s="510">
        <f t="shared" si="622"/>
        <v>6255</v>
      </c>
      <c r="CU266" s="470"/>
      <c r="CV266" s="470"/>
      <c r="CW266" s="470"/>
      <c r="CX266" s="470"/>
      <c r="CY266" s="1149" t="s">
        <v>6942</v>
      </c>
      <c r="CZ266" s="1149" t="s">
        <v>6997</v>
      </c>
      <c r="DA266" s="1152"/>
      <c r="DB266" s="1642" t="s">
        <v>6584</v>
      </c>
      <c r="DC266" s="1642"/>
      <c r="DD266" s="1642" t="s">
        <v>6255</v>
      </c>
      <c r="DE266" s="1642" t="s">
        <v>6255</v>
      </c>
      <c r="DF266" s="1642" t="s">
        <v>7452</v>
      </c>
      <c r="DG266" s="1642"/>
      <c r="DH266" s="512"/>
      <c r="DI266" s="512"/>
      <c r="DJ266" s="512"/>
      <c r="DK266" s="512"/>
      <c r="DL266" s="512"/>
      <c r="DN266" s="476" t="str">
        <f>VLOOKUP(X266,Hoja1!$A$4:$B$10,2,0)</f>
        <v>PROFESIONAL</v>
      </c>
      <c r="DO266" s="476" t="str">
        <f>VLOOKUP(S266,Hoja1!$D$4:$F$77,3,0)</f>
        <v>PI</v>
      </c>
      <c r="DP266" s="1158" t="str">
        <f t="shared" si="623"/>
        <v>0</v>
      </c>
      <c r="DQ266" s="1484">
        <f>IF(T266&lt;&gt;"0",(ROUND(IF(A266="EMPLEADO",eval_formula('CONCEPTOS Y PARAMETROS'!$C$8,NOMINA!V266,AU266+BF266,NOMINA!I266+NOMINA!J266),eval_formula('CONCEPTOS Y PARAMETROS'!$D$8,NOMINA!V266,AU266+BF266,NOMINA!I266+NOMINA!J266)),2))*IF(H266&lt;&gt;"",IF(MONTH(H266)=$BR$8,IF(YEAR(H266)&lt;$BT$7,1,0),0)))</f>
        <v>0</v>
      </c>
      <c r="DR266" s="1799" t="str">
        <f t="shared" si="624"/>
        <v>F</v>
      </c>
      <c r="DS266" s="1799"/>
    </row>
    <row r="267" spans="1:123" s="476" customFormat="1" ht="21.95" customHeight="1" x14ac:dyDescent="0.25">
      <c r="A267" s="508" t="s">
        <v>2846</v>
      </c>
      <c r="B267" s="1314">
        <f t="shared" ca="1" si="764"/>
        <v>224</v>
      </c>
      <c r="C267" s="1148">
        <v>23775734</v>
      </c>
      <c r="D267" s="1149" t="s">
        <v>7238</v>
      </c>
      <c r="E267" s="1135" t="s">
        <v>4622</v>
      </c>
      <c r="F267" s="1118">
        <v>34387</v>
      </c>
      <c r="G267" s="1135" t="s">
        <v>4620</v>
      </c>
      <c r="H267" s="1118">
        <v>45627</v>
      </c>
      <c r="I267" s="1140">
        <f t="shared" si="625"/>
        <v>0</v>
      </c>
      <c r="J267" s="1132">
        <f>5</f>
        <v>5</v>
      </c>
      <c r="K267" s="1140">
        <f t="shared" si="600"/>
        <v>5</v>
      </c>
      <c r="L267" s="1145" t="s">
        <v>5536</v>
      </c>
      <c r="M267" s="1132"/>
      <c r="N267" s="1132"/>
      <c r="O267" s="1002" t="s">
        <v>5218</v>
      </c>
      <c r="P267" s="1151" t="s">
        <v>7239</v>
      </c>
      <c r="Q267" s="1315" t="str">
        <f>IFERROR(VLOOKUP(O267,CARGOS!A:E,2,0),"")</f>
        <v>79511</v>
      </c>
      <c r="R267" s="1324" t="s">
        <v>5218</v>
      </c>
      <c r="S267" s="1146" t="s">
        <v>5470</v>
      </c>
      <c r="T267" s="1107">
        <f>IFERROR(VLOOKUP(S267,'TAB EMP'!A:B,2,0),0)</f>
        <v>130</v>
      </c>
      <c r="U267" s="1108">
        <v>0</v>
      </c>
      <c r="V267" s="1107">
        <f t="shared" si="765"/>
        <v>130</v>
      </c>
      <c r="W267" s="1108">
        <f t="shared" si="766"/>
        <v>65</v>
      </c>
      <c r="X267" s="1135" t="s">
        <v>2884</v>
      </c>
      <c r="Y267" s="1135"/>
      <c r="Z267" s="1135">
        <v>1</v>
      </c>
      <c r="AA267" s="1107">
        <f>ROUND(IF(H267&lt;&gt;"",VLOOKUP(SUM(I267+J267),'CONCEPTOS Y PARAMETROS'!F:G,2,0)*V267,0),2)</f>
        <v>6.5</v>
      </c>
      <c r="AB267" s="1107">
        <f>IF(S267&lt;&gt;"",IF(M267="",'CONCEPTOS Y PARAMETROS'!$C$4,0),0)</f>
        <v>130</v>
      </c>
      <c r="AC267" s="1107">
        <f>IF(S267&lt;&gt;"",IF(M267="",'CONCEPTOS Y PARAMETROS'!$C$7*Z267,0),0)</f>
        <v>12.5</v>
      </c>
      <c r="AD267" s="1107">
        <f>IFERROR(ROUND(VLOOKUP($X267,'CONCEPTOS Y PARAMETROS'!H:I,2,0)*($V267+AA267+AB267+AC267),2),0)</f>
        <v>0</v>
      </c>
      <c r="AE267" s="1107">
        <f t="shared" si="767"/>
        <v>149</v>
      </c>
      <c r="AF267" s="1107">
        <f t="shared" si="768"/>
        <v>3.25</v>
      </c>
      <c r="AG267" s="1107">
        <f t="shared" si="769"/>
        <v>3.25</v>
      </c>
      <c r="AH267" s="1107">
        <f t="shared" si="770"/>
        <v>65</v>
      </c>
      <c r="AI267" s="1107">
        <f t="shared" si="771"/>
        <v>65</v>
      </c>
      <c r="AJ267" s="1107">
        <f t="shared" si="772"/>
        <v>0</v>
      </c>
      <c r="AK267" s="1107">
        <f t="shared" si="773"/>
        <v>0</v>
      </c>
      <c r="AL267" s="1108">
        <f t="shared" si="774"/>
        <v>80.75</v>
      </c>
      <c r="AM267" s="1108">
        <f t="shared" si="775"/>
        <v>68.25</v>
      </c>
      <c r="AN267" s="990">
        <v>0</v>
      </c>
      <c r="AO267" s="1147">
        <f>'CONCEPTOS Y PARAMETROS'!$C$18*AN267</f>
        <v>0</v>
      </c>
      <c r="AP267" s="990">
        <v>0</v>
      </c>
      <c r="AQ267" s="1147">
        <f>'CONCEPTOS Y PARAMETROS'!$C$21*AP267</f>
        <v>0</v>
      </c>
      <c r="AR267" s="1318">
        <v>0</v>
      </c>
      <c r="AS267" s="1318">
        <v>0</v>
      </c>
      <c r="AT267" s="1318">
        <f t="shared" si="776"/>
        <v>0</v>
      </c>
      <c r="AU267" s="1108">
        <f t="shared" si="606"/>
        <v>362.7</v>
      </c>
      <c r="AV267" s="1133" t="s">
        <v>5080</v>
      </c>
      <c r="AW267" s="1108">
        <f t="shared" si="716"/>
        <v>83.7</v>
      </c>
      <c r="AX267" s="1107">
        <f>IF(T267&lt;&gt;"0",(ROUND(IF(A267="EMPLEADO",eval_formula('CONCEPTOS Y PARAMETROS'!$C$8,NOMINA!V267,NOMINA!$AU267,NOMINA!I267+NOMINA!J267),eval_formula('CONCEPTOS Y PARAMETROS'!$D$8,NOMINA!V267,NOMINA!$AU267,NOMINA!I267+NOMINA!J267)),2))*IF(H267&lt;&gt;"",IF(MONTH(H267)=$BR$8,IF(YEAR(H267)&lt;$BT$7,1,0),0)))</f>
        <v>0</v>
      </c>
      <c r="AY267" s="1108">
        <v>15</v>
      </c>
      <c r="AZ267" s="1107">
        <f>IFERROR(VLOOKUP(AY267,'CONCEPTOS Y PARAMETROS'!Y:Z,2,0),0)</f>
        <v>12.5</v>
      </c>
      <c r="BA267" s="1107">
        <f t="shared" si="777"/>
        <v>157.41999999999999</v>
      </c>
      <c r="BB267" s="1107">
        <f t="shared" si="763"/>
        <v>0</v>
      </c>
      <c r="BC267" s="990">
        <v>0</v>
      </c>
      <c r="BD267" s="1107" t="str">
        <f t="shared" si="607"/>
        <v>0</v>
      </c>
      <c r="BE267" s="990">
        <v>4</v>
      </c>
      <c r="BF267" s="1107">
        <f t="shared" si="703"/>
        <v>72.540000000000006</v>
      </c>
      <c r="BG267" s="1108">
        <v>320</v>
      </c>
      <c r="BH267" s="1108">
        <v>0</v>
      </c>
      <c r="BI267" s="1132">
        <v>0</v>
      </c>
      <c r="BJ267" s="1108">
        <v>12.5</v>
      </c>
      <c r="BK267" s="1108">
        <v>0</v>
      </c>
      <c r="BL267" s="1107">
        <f t="shared" si="704"/>
        <v>16.739999999999998</v>
      </c>
      <c r="BM267" s="1107">
        <f t="shared" si="705"/>
        <v>2.09</v>
      </c>
      <c r="BN267" s="1107">
        <f t="shared" si="626"/>
        <v>3.63</v>
      </c>
      <c r="BO267" s="1107">
        <v>0</v>
      </c>
      <c r="BP267" s="1107">
        <v>0</v>
      </c>
      <c r="BQ267" s="1320">
        <f t="shared" si="778"/>
        <v>22.46</v>
      </c>
      <c r="BR267" s="1107">
        <f t="shared" si="707"/>
        <v>37.67</v>
      </c>
      <c r="BS267" s="1107">
        <f t="shared" si="708"/>
        <v>8.3699999999999992</v>
      </c>
      <c r="BT267" s="1107">
        <f t="shared" si="627"/>
        <v>7.26</v>
      </c>
      <c r="BU267" s="1107">
        <v>0</v>
      </c>
      <c r="BV267" s="1108">
        <f t="shared" ref="BV267" si="781">ROUND(SUM(BR267:BT267),2)</f>
        <v>53.3</v>
      </c>
      <c r="BW267" s="1112">
        <f t="shared" si="780"/>
        <v>75.759999999999991</v>
      </c>
      <c r="BX267" s="1112">
        <f>ROUND(BA267/1,2)</f>
        <v>157.41999999999999</v>
      </c>
      <c r="BY267" s="1108">
        <v>0</v>
      </c>
      <c r="BZ267" s="1108">
        <f t="shared" si="598"/>
        <v>157.41999999999999</v>
      </c>
      <c r="CA267" s="1321">
        <f>'CONCEPTOS Y PARAMETROS'!$A$102</f>
        <v>6255</v>
      </c>
      <c r="CB267" s="1112">
        <f t="shared" si="611"/>
        <v>123.28999999999999</v>
      </c>
      <c r="CC267" s="1113">
        <f t="shared" si="612"/>
        <v>621.99</v>
      </c>
      <c r="CD267" s="1452"/>
      <c r="CE267" s="512"/>
      <c r="CF267" s="470">
        <f t="shared" si="613"/>
        <v>773.25</v>
      </c>
      <c r="CG267" s="509">
        <f t="shared" si="628"/>
        <v>123.28999999999999</v>
      </c>
      <c r="CH267" s="498">
        <f t="shared" si="614"/>
        <v>12.5</v>
      </c>
      <c r="CI267" s="1491">
        <f t="shared" si="608"/>
        <v>320</v>
      </c>
      <c r="CJ267" s="1500">
        <v>1</v>
      </c>
      <c r="CK267" s="509">
        <f t="shared" si="615"/>
        <v>453.25</v>
      </c>
      <c r="CL267" s="1689">
        <f t="shared" si="616"/>
        <v>453.25</v>
      </c>
      <c r="CM267" s="1689">
        <f t="shared" si="610"/>
        <v>0</v>
      </c>
      <c r="CN267" s="510">
        <f t="shared" si="617"/>
        <v>72.540000000000006</v>
      </c>
      <c r="CO267" s="511">
        <v>0</v>
      </c>
      <c r="CP267" s="510">
        <f t="shared" si="618"/>
        <v>83.7</v>
      </c>
      <c r="CQ267" s="510">
        <f t="shared" si="619"/>
        <v>0</v>
      </c>
      <c r="CR267" s="496">
        <f t="shared" si="620"/>
        <v>1062.74</v>
      </c>
      <c r="CS267" s="510">
        <f t="shared" si="621"/>
        <v>75.759999999999991</v>
      </c>
      <c r="CT267" s="510">
        <f t="shared" si="622"/>
        <v>6255</v>
      </c>
      <c r="CU267" s="470"/>
      <c r="CV267" s="470"/>
      <c r="CW267" s="470"/>
      <c r="CX267" s="470"/>
      <c r="CY267" s="1149" t="s">
        <v>6865</v>
      </c>
      <c r="CZ267" s="1149" t="s">
        <v>7280</v>
      </c>
      <c r="DA267" s="1152"/>
      <c r="DB267" s="1644" t="s">
        <v>7489</v>
      </c>
      <c r="DC267" s="1644"/>
      <c r="DD267" s="1642" t="s">
        <v>6174</v>
      </c>
      <c r="DE267" s="1642"/>
      <c r="DF267" s="1642" t="s">
        <v>7490</v>
      </c>
      <c r="DG267" s="1642" t="s">
        <v>7491</v>
      </c>
      <c r="DH267" s="512"/>
      <c r="DI267" s="512"/>
      <c r="DJ267" s="512"/>
      <c r="DK267" s="512"/>
      <c r="DL267" s="512"/>
      <c r="DN267" s="476" t="str">
        <f>VLOOKUP(X267,Hoja1!$A$4:$B$10,2,0)</f>
        <v>BACHILLER</v>
      </c>
      <c r="DO267" s="476" t="str">
        <f>VLOOKUP(S267,Hoja1!$D$4:$F$77,3,0)</f>
        <v>BI</v>
      </c>
      <c r="DP267" s="1469" t="str">
        <f t="shared" si="623"/>
        <v>SI</v>
      </c>
      <c r="DQ267" s="1484">
        <f>IF(T267&lt;&gt;"0",(ROUND(IF(A267="EMPLEADO",eval_formula('CONCEPTOS Y PARAMETROS'!$C$8,NOMINA!V267,AU267+BF267,NOMINA!I267+NOMINA!J267),eval_formula('CONCEPTOS Y PARAMETROS'!$D$8,NOMINA!V267,AU267+BF267,NOMINA!I267+NOMINA!J267)),2))*IF(H267&lt;&gt;"",IF(MONTH(H267)=$BR$8,IF(YEAR(H267)&lt;$BT$7,1,0),0)))</f>
        <v>0</v>
      </c>
      <c r="DR267" s="1799" t="str">
        <f t="shared" si="624"/>
        <v>F</v>
      </c>
      <c r="DS267" s="1799"/>
    </row>
    <row r="268" spans="1:123" s="471" customFormat="1" ht="21" customHeight="1" x14ac:dyDescent="0.25">
      <c r="A268" s="520" t="s">
        <v>2846</v>
      </c>
      <c r="B268" s="1375">
        <f t="shared" ref="B268:B302" ca="1" si="782">OFFSET(B268,-1,0)+1</f>
        <v>225</v>
      </c>
      <c r="C268" s="1376">
        <v>24565372</v>
      </c>
      <c r="D268" s="1377" t="s">
        <v>4906</v>
      </c>
      <c r="E268" s="1378" t="s">
        <v>4622</v>
      </c>
      <c r="F268" s="1379">
        <v>34371</v>
      </c>
      <c r="G268" s="1378" t="s">
        <v>4621</v>
      </c>
      <c r="H268" s="1379">
        <v>40360</v>
      </c>
      <c r="I268" s="1380">
        <f t="shared" si="625"/>
        <v>15</v>
      </c>
      <c r="J268" s="1381">
        <v>0</v>
      </c>
      <c r="K268" s="1380">
        <f t="shared" si="600"/>
        <v>15</v>
      </c>
      <c r="L268" s="1382" t="s">
        <v>5539</v>
      </c>
      <c r="M268" s="1381"/>
      <c r="N268" s="1654" t="s">
        <v>7556</v>
      </c>
      <c r="O268" s="1383" t="s">
        <v>5267</v>
      </c>
      <c r="P268" s="1381" t="s">
        <v>5435</v>
      </c>
      <c r="Q268" s="1322" t="str">
        <f>IFERROR(VLOOKUP(O268,CARGOS!A:E,2,0),"")</f>
        <v>31330</v>
      </c>
      <c r="R268" s="1325" t="s">
        <v>5267</v>
      </c>
      <c r="S268" s="1384" t="s">
        <v>5464</v>
      </c>
      <c r="T268" s="1385">
        <f>IFERROR(VLOOKUP(S268,'TAB EMP'!A:B,2,0),0)*0</f>
        <v>0</v>
      </c>
      <c r="U268" s="1386">
        <v>0</v>
      </c>
      <c r="V268" s="1385">
        <f t="shared" si="680"/>
        <v>0</v>
      </c>
      <c r="W268" s="1386">
        <f t="shared" si="681"/>
        <v>0</v>
      </c>
      <c r="X268" s="1378" t="s">
        <v>2885</v>
      </c>
      <c r="Y268" s="1378"/>
      <c r="Z268" s="1135">
        <v>0</v>
      </c>
      <c r="AA268" s="1385">
        <f>ROUND(IF(H268&lt;&gt;"",VLOOKUP(SUM(I268+J268),'CONCEPTOS Y PARAMETROS'!F:G,2,0)*V268,0),2)</f>
        <v>0</v>
      </c>
      <c r="AB268" s="1385">
        <f>IF(S268&lt;&gt;"",IF(M268="",'CONCEPTOS Y PARAMETROS'!$C$4,0),0)*0</f>
        <v>0</v>
      </c>
      <c r="AC268" s="1385">
        <f>IF(S268&lt;&gt;"",IF(M268="",'CONCEPTOS Y PARAMETROS'!$C$7*Z268,0),0)</f>
        <v>0</v>
      </c>
      <c r="AD268" s="1385">
        <f>IFERROR(ROUND(VLOOKUP($X268,'CONCEPTOS Y PARAMETROS'!H:I,2,0)*($V268+AA268+AB268+AC268),2),0)</f>
        <v>0</v>
      </c>
      <c r="AE268" s="1385">
        <f t="shared" si="647"/>
        <v>0</v>
      </c>
      <c r="AF268" s="1385">
        <f t="shared" si="682"/>
        <v>0</v>
      </c>
      <c r="AG268" s="1385">
        <f t="shared" si="683"/>
        <v>0</v>
      </c>
      <c r="AH268" s="1385">
        <f t="shared" si="684"/>
        <v>0</v>
      </c>
      <c r="AI268" s="1385">
        <f t="shared" si="685"/>
        <v>0</v>
      </c>
      <c r="AJ268" s="1385">
        <f t="shared" si="686"/>
        <v>0</v>
      </c>
      <c r="AK268" s="1385">
        <f t="shared" si="687"/>
        <v>0</v>
      </c>
      <c r="AL268" s="1386">
        <f t="shared" si="688"/>
        <v>0</v>
      </c>
      <c r="AM268" s="1386">
        <f t="shared" si="689"/>
        <v>0</v>
      </c>
      <c r="AN268" s="990">
        <v>0</v>
      </c>
      <c r="AO268" s="1387">
        <f>'CONCEPTOS Y PARAMETROS'!$C$18*AN268</f>
        <v>0</v>
      </c>
      <c r="AP268" s="1388">
        <v>0</v>
      </c>
      <c r="AQ268" s="1387">
        <f>'CONCEPTOS Y PARAMETROS'!$C$21*AP268</f>
        <v>0</v>
      </c>
      <c r="AR268" s="1389">
        <v>0</v>
      </c>
      <c r="AS268" s="1389">
        <v>0</v>
      </c>
      <c r="AT268" s="1389">
        <f t="shared" si="609"/>
        <v>0</v>
      </c>
      <c r="AU268" s="1386">
        <f t="shared" si="606"/>
        <v>0</v>
      </c>
      <c r="AV268" s="1390">
        <v>0</v>
      </c>
      <c r="AW268" s="1386">
        <f t="shared" si="716"/>
        <v>0</v>
      </c>
      <c r="AX268" s="1385">
        <f>IF(T268&lt;&gt;"0",(ROUND(IF(A268="EMPLEADO",eval_formula('CONCEPTOS Y PARAMETROS'!$C$8,NOMINA!V268,NOMINA!$AU268,NOMINA!I268+NOMINA!J268),eval_formula('CONCEPTOS Y PARAMETROS'!$D$8,NOMINA!V268,NOMINA!$AU268,NOMINA!I268+NOMINA!J268)),2))*IF(H268&lt;&gt;"",IF(MONTH(H268)=$BR$8,IF(YEAR(H268)&lt;$BT$7,1,0),0)))</f>
        <v>0</v>
      </c>
      <c r="AY268" s="1385">
        <v>180</v>
      </c>
      <c r="AZ268" s="1385">
        <f>IFERROR(VLOOKUP(AY268,'CONCEPTOS Y PARAMETROS'!Y:Z,2,0),0)</f>
        <v>150</v>
      </c>
      <c r="BA268" s="1385">
        <f t="shared" si="690"/>
        <v>0</v>
      </c>
      <c r="BB268" s="1385">
        <f t="shared" si="763"/>
        <v>0</v>
      </c>
      <c r="BC268" s="1388">
        <v>0</v>
      </c>
      <c r="BD268" s="1385" t="str">
        <f t="shared" si="607"/>
        <v>0</v>
      </c>
      <c r="BE268" s="1388">
        <v>0</v>
      </c>
      <c r="BF268" s="1385">
        <f t="shared" si="703"/>
        <v>0</v>
      </c>
      <c r="BG268" s="1386">
        <v>0</v>
      </c>
      <c r="BH268" s="1386">
        <v>0</v>
      </c>
      <c r="BI268" s="1381">
        <v>0</v>
      </c>
      <c r="BJ268" s="1386">
        <v>0</v>
      </c>
      <c r="BK268" s="1386">
        <v>0</v>
      </c>
      <c r="BL268" s="1385">
        <f t="shared" si="704"/>
        <v>0</v>
      </c>
      <c r="BM268" s="1385">
        <f t="shared" si="705"/>
        <v>0</v>
      </c>
      <c r="BN268" s="1385">
        <f t="shared" si="626"/>
        <v>0</v>
      </c>
      <c r="BO268" s="1385">
        <v>0</v>
      </c>
      <c r="BP268" s="1385">
        <v>0</v>
      </c>
      <c r="BQ268" s="1424">
        <f t="shared" si="630"/>
        <v>0</v>
      </c>
      <c r="BR268" s="1385">
        <f t="shared" si="707"/>
        <v>0</v>
      </c>
      <c r="BS268" s="1385">
        <f t="shared" si="708"/>
        <v>0</v>
      </c>
      <c r="BT268" s="1385">
        <f t="shared" si="627"/>
        <v>0</v>
      </c>
      <c r="BU268" s="1385">
        <v>0</v>
      </c>
      <c r="BV268" s="1386">
        <f t="shared" si="631"/>
        <v>0</v>
      </c>
      <c r="BW268" s="1391">
        <f t="shared" si="632"/>
        <v>0</v>
      </c>
      <c r="BX268" s="1391">
        <f t="shared" ref="BX268:BX288" si="783">ROUND(BA268/4,2)</f>
        <v>0</v>
      </c>
      <c r="BY268" s="1386">
        <v>0</v>
      </c>
      <c r="BZ268" s="1386">
        <f t="shared" si="598"/>
        <v>0</v>
      </c>
      <c r="CA268" s="1425">
        <v>0</v>
      </c>
      <c r="CB268" s="1391">
        <f t="shared" si="611"/>
        <v>0</v>
      </c>
      <c r="CC268" s="1426">
        <f t="shared" si="612"/>
        <v>0</v>
      </c>
      <c r="CD268" s="521"/>
      <c r="CE268" s="521"/>
      <c r="CF268" s="470">
        <f t="shared" si="613"/>
        <v>0</v>
      </c>
      <c r="CG268" s="1427">
        <f t="shared" si="628"/>
        <v>0</v>
      </c>
      <c r="CH268" s="498">
        <f t="shared" si="614"/>
        <v>0</v>
      </c>
      <c r="CI268" s="1494">
        <f t="shared" si="608"/>
        <v>0</v>
      </c>
      <c r="CJ268" s="1506">
        <v>0</v>
      </c>
      <c r="CK268" s="1427">
        <f t="shared" si="615"/>
        <v>0</v>
      </c>
      <c r="CL268" s="1689">
        <f t="shared" si="616"/>
        <v>0</v>
      </c>
      <c r="CM268" s="1689">
        <f t="shared" si="610"/>
        <v>0</v>
      </c>
      <c r="CN268" s="1428">
        <f t="shared" si="617"/>
        <v>0</v>
      </c>
      <c r="CO268" s="1429">
        <v>0</v>
      </c>
      <c r="CP268" s="1428">
        <f t="shared" si="618"/>
        <v>0</v>
      </c>
      <c r="CQ268" s="1428">
        <f t="shared" si="619"/>
        <v>0</v>
      </c>
      <c r="CR268" s="496">
        <f t="shared" si="620"/>
        <v>0</v>
      </c>
      <c r="CS268" s="1428">
        <f t="shared" si="621"/>
        <v>0</v>
      </c>
      <c r="CT268" s="1428">
        <f t="shared" si="622"/>
        <v>0</v>
      </c>
      <c r="CU268" s="470"/>
      <c r="CV268" s="470"/>
      <c r="CW268" s="470"/>
      <c r="CX268" s="470"/>
      <c r="CY268" s="1377" t="s">
        <v>6998</v>
      </c>
      <c r="CZ268" s="1377" t="s">
        <v>6999</v>
      </c>
      <c r="DA268" s="1430"/>
      <c r="DB268" s="1430" t="s">
        <v>6569</v>
      </c>
      <c r="DC268" s="1430"/>
      <c r="DD268" s="1430" t="s">
        <v>6135</v>
      </c>
      <c r="DE268" s="1430" t="s">
        <v>6667</v>
      </c>
      <c r="DF268" s="1430" t="s">
        <v>6613</v>
      </c>
      <c r="DG268" s="1430"/>
      <c r="DH268" s="521"/>
      <c r="DI268" s="521"/>
      <c r="DJ268" s="521"/>
      <c r="DK268" s="521"/>
      <c r="DL268" s="521"/>
      <c r="DM268" s="522"/>
      <c r="DN268" s="522" t="str">
        <f>VLOOKUP(X268,Hoja1!$A$4:$B$10,2,0)</f>
        <v>PROFESIONAL</v>
      </c>
      <c r="DO268" s="522" t="str">
        <f>VLOOKUP(S268,Hoja1!$D$4:$F$77,3,0)</f>
        <v>BIII - V</v>
      </c>
      <c r="DP268" s="345" t="str">
        <f t="shared" si="623"/>
        <v>0</v>
      </c>
      <c r="DQ268" s="1484">
        <f>IF(T268&lt;&gt;"0",(ROUND(IF(A268="EMPLEADO",eval_formula('CONCEPTOS Y PARAMETROS'!$C$8,NOMINA!V268,AU268+BF268,NOMINA!I268+NOMINA!J268),eval_formula('CONCEPTOS Y PARAMETROS'!$D$8,NOMINA!V268,AU268+BF268,NOMINA!I268+NOMINA!J268)),2))*IF(H268&lt;&gt;"",IF(MONTH(H268)=$BR$8,IF(YEAR(H268)&lt;$BT$7,1,0),0)))</f>
        <v>0</v>
      </c>
      <c r="DR268" s="1803" t="str">
        <f t="shared" si="624"/>
        <v>M</v>
      </c>
      <c r="DS268" s="1803"/>
    </row>
    <row r="269" spans="1:123" s="471" customFormat="1" ht="21.95" customHeight="1" x14ac:dyDescent="0.25">
      <c r="A269" s="508" t="s">
        <v>2846</v>
      </c>
      <c r="B269" s="1314">
        <f t="shared" ca="1" si="782"/>
        <v>226</v>
      </c>
      <c r="C269" s="1148">
        <v>25006139</v>
      </c>
      <c r="D269" s="1149" t="s">
        <v>4908</v>
      </c>
      <c r="E269" s="1135" t="s">
        <v>4622</v>
      </c>
      <c r="F269" s="1150">
        <v>34640</v>
      </c>
      <c r="G269" s="1135" t="s">
        <v>4620</v>
      </c>
      <c r="H269" s="1150">
        <v>43512</v>
      </c>
      <c r="I269" s="1140">
        <f t="shared" si="625"/>
        <v>6</v>
      </c>
      <c r="J269" s="1132">
        <v>0</v>
      </c>
      <c r="K269" s="1140">
        <f t="shared" si="600"/>
        <v>6</v>
      </c>
      <c r="L269" s="1145" t="s">
        <v>5528</v>
      </c>
      <c r="M269" s="1132"/>
      <c r="N269" s="1132"/>
      <c r="O269" s="1002" t="s">
        <v>5218</v>
      </c>
      <c r="P269" s="1132" t="s">
        <v>5436</v>
      </c>
      <c r="Q269" s="1315" t="str">
        <f>IFERROR(VLOOKUP(O269,CARGOS!A:E,2,0),"")</f>
        <v>79511</v>
      </c>
      <c r="R269" s="1327" t="s">
        <v>5218</v>
      </c>
      <c r="S269" s="1146" t="s">
        <v>5480</v>
      </c>
      <c r="T269" s="1107">
        <f>IFERROR(VLOOKUP(S269,'TAB EMP'!A:B,2,0),0)</f>
        <v>170</v>
      </c>
      <c r="U269" s="1108">
        <v>0</v>
      </c>
      <c r="V269" s="1107">
        <f t="shared" si="680"/>
        <v>170</v>
      </c>
      <c r="W269" s="1108">
        <f t="shared" si="681"/>
        <v>85</v>
      </c>
      <c r="X269" s="1135" t="s">
        <v>2884</v>
      </c>
      <c r="Y269" s="1135"/>
      <c r="Z269" s="1135">
        <v>2</v>
      </c>
      <c r="AA269" s="1107">
        <f>ROUND(IF(H269&lt;&gt;"",VLOOKUP(SUM(I269+J269),'CONCEPTOS Y PARAMETROS'!F:G,2,0)*V269,0),2)</f>
        <v>10.54</v>
      </c>
      <c r="AB269" s="1107">
        <f>IF(S269&lt;&gt;"",IF(M269="",'CONCEPTOS Y PARAMETROS'!$C$4,0),0)</f>
        <v>130</v>
      </c>
      <c r="AC269" s="1107">
        <f>IF(S269&lt;&gt;"",IF(M269="",'CONCEPTOS Y PARAMETROS'!$C$7*Z269,0),0)</f>
        <v>25</v>
      </c>
      <c r="AD269" s="1107">
        <f>IFERROR(ROUND(VLOOKUP($X269,'CONCEPTOS Y PARAMETROS'!H:I,2,0)*($V269+AA269+AB269+AC269),2),0)</f>
        <v>0</v>
      </c>
      <c r="AE269" s="1107">
        <f t="shared" si="647"/>
        <v>165.54</v>
      </c>
      <c r="AF269" s="1107">
        <f t="shared" si="682"/>
        <v>5.27</v>
      </c>
      <c r="AG269" s="1107">
        <f t="shared" si="683"/>
        <v>5.27</v>
      </c>
      <c r="AH269" s="1107">
        <f t="shared" si="684"/>
        <v>65</v>
      </c>
      <c r="AI269" s="1107">
        <f t="shared" si="685"/>
        <v>65</v>
      </c>
      <c r="AJ269" s="1107">
        <f t="shared" si="686"/>
        <v>0</v>
      </c>
      <c r="AK269" s="1107">
        <f t="shared" si="687"/>
        <v>0</v>
      </c>
      <c r="AL269" s="1108">
        <f t="shared" si="688"/>
        <v>95.27</v>
      </c>
      <c r="AM269" s="1108">
        <f t="shared" si="689"/>
        <v>70.27</v>
      </c>
      <c r="AN269" s="990">
        <v>0</v>
      </c>
      <c r="AO269" s="1147">
        <f>'CONCEPTOS Y PARAMETROS'!$C$18*AN269</f>
        <v>0</v>
      </c>
      <c r="AP269" s="990">
        <v>0</v>
      </c>
      <c r="AQ269" s="1147">
        <f>'CONCEPTOS Y PARAMETROS'!$C$21*AP269</f>
        <v>0</v>
      </c>
      <c r="AR269" s="1318">
        <v>0</v>
      </c>
      <c r="AS269" s="1318">
        <v>0</v>
      </c>
      <c r="AT269" s="1318">
        <f t="shared" ref="AT269:AT302" si="784">+AO269+AQ269+AR269+AS269</f>
        <v>0</v>
      </c>
      <c r="AU269" s="1108">
        <f t="shared" si="606"/>
        <v>436.19999999999993</v>
      </c>
      <c r="AV269" s="1133" t="s">
        <v>5080</v>
      </c>
      <c r="AW269" s="1108">
        <f t="shared" si="716"/>
        <v>100.66</v>
      </c>
      <c r="AX269" s="1107">
        <f>IF(T269&lt;&gt;"0",(ROUND(IF(A269="EMPLEADO",eval_formula('CONCEPTOS Y PARAMETROS'!$C$8,NOMINA!V269,NOMINA!$AU269,NOMINA!I269+NOMINA!J269),eval_formula('CONCEPTOS Y PARAMETROS'!$D$8,NOMINA!V269,NOMINA!$AU269,NOMINA!I269+NOMINA!J269)),2))*IF(H269&lt;&gt;"",IF(MONTH(H269)=$BR$8,IF(YEAR(H269)&lt;$BT$7,1,0),0)))</f>
        <v>0</v>
      </c>
      <c r="AY269" s="1108">
        <v>180</v>
      </c>
      <c r="AZ269" s="1107">
        <f>IFERROR(VLOOKUP(AY269,'CONCEPTOS Y PARAMETROS'!Y:Z,2,0),0)</f>
        <v>150</v>
      </c>
      <c r="BA269" s="1107">
        <f t="shared" si="690"/>
        <v>3271.5</v>
      </c>
      <c r="BB269" s="1107">
        <f t="shared" si="763"/>
        <v>0</v>
      </c>
      <c r="BC269" s="990">
        <v>0</v>
      </c>
      <c r="BD269" s="1107" t="str">
        <f t="shared" si="607"/>
        <v>0</v>
      </c>
      <c r="BE269" s="990">
        <v>1</v>
      </c>
      <c r="BF269" s="1107">
        <f t="shared" si="703"/>
        <v>21.81</v>
      </c>
      <c r="BG269" s="1108">
        <v>320</v>
      </c>
      <c r="BH269" s="1108">
        <v>0</v>
      </c>
      <c r="BI269" s="1132">
        <v>0</v>
      </c>
      <c r="BJ269" s="1108">
        <v>12.5</v>
      </c>
      <c r="BK269" s="1108">
        <v>0</v>
      </c>
      <c r="BL269" s="1107">
        <f t="shared" si="704"/>
        <v>20.13</v>
      </c>
      <c r="BM269" s="1107">
        <f t="shared" si="705"/>
        <v>2.52</v>
      </c>
      <c r="BN269" s="1107">
        <f t="shared" si="626"/>
        <v>4.3600000000000003</v>
      </c>
      <c r="BO269" s="1107">
        <v>0</v>
      </c>
      <c r="BP269" s="1107">
        <v>0</v>
      </c>
      <c r="BQ269" s="1320">
        <f t="shared" si="630"/>
        <v>27.01</v>
      </c>
      <c r="BR269" s="1107">
        <f t="shared" si="707"/>
        <v>45.3</v>
      </c>
      <c r="BS269" s="1107">
        <f t="shared" si="708"/>
        <v>10.07</v>
      </c>
      <c r="BT269" s="1107">
        <f t="shared" si="627"/>
        <v>8.7200000000000006</v>
      </c>
      <c r="BU269" s="1107">
        <v>0</v>
      </c>
      <c r="BV269" s="1108">
        <f t="shared" si="631"/>
        <v>64.09</v>
      </c>
      <c r="BW269" s="1112">
        <f t="shared" si="632"/>
        <v>91.100000000000009</v>
      </c>
      <c r="BX269" s="1112">
        <f t="shared" si="783"/>
        <v>817.88</v>
      </c>
      <c r="BY269" s="1108">
        <v>0</v>
      </c>
      <c r="BZ269" s="1108">
        <f t="shared" si="598"/>
        <v>817.88</v>
      </c>
      <c r="CA269" s="1321">
        <f>'CONCEPTOS Y PARAMETROS'!$A$102</f>
        <v>6255</v>
      </c>
      <c r="CB269" s="1112">
        <f t="shared" si="611"/>
        <v>153.26</v>
      </c>
      <c r="CC269" s="1113">
        <f t="shared" si="612"/>
        <v>610.24</v>
      </c>
      <c r="CD269" s="512"/>
      <c r="CE269" s="512"/>
      <c r="CF269" s="470">
        <f t="shared" si="613"/>
        <v>795.27</v>
      </c>
      <c r="CG269" s="495">
        <f t="shared" si="628"/>
        <v>153.26</v>
      </c>
      <c r="CH269" s="498">
        <f t="shared" si="614"/>
        <v>12.5</v>
      </c>
      <c r="CI269" s="1490">
        <f t="shared" si="608"/>
        <v>320</v>
      </c>
      <c r="CJ269" s="1500">
        <v>1</v>
      </c>
      <c r="CK269" s="495">
        <f t="shared" si="615"/>
        <v>475.27</v>
      </c>
      <c r="CL269" s="1689">
        <f t="shared" si="616"/>
        <v>475.27</v>
      </c>
      <c r="CM269" s="1689">
        <f t="shared" si="610"/>
        <v>0</v>
      </c>
      <c r="CN269" s="496">
        <f t="shared" si="617"/>
        <v>21.81</v>
      </c>
      <c r="CO269" s="497">
        <v>0</v>
      </c>
      <c r="CP269" s="496">
        <f t="shared" si="618"/>
        <v>100.66</v>
      </c>
      <c r="CQ269" s="496">
        <f t="shared" si="619"/>
        <v>0</v>
      </c>
      <c r="CR269" s="496">
        <f t="shared" si="620"/>
        <v>1073.01</v>
      </c>
      <c r="CS269" s="496">
        <f t="shared" si="621"/>
        <v>91.100000000000009</v>
      </c>
      <c r="CT269" s="496">
        <f t="shared" si="622"/>
        <v>6255</v>
      </c>
      <c r="CU269" s="470"/>
      <c r="CV269" s="470"/>
      <c r="CW269" s="470"/>
      <c r="CX269" s="470"/>
      <c r="CY269" s="1149" t="s">
        <v>6950</v>
      </c>
      <c r="CZ269" s="1149" t="s">
        <v>7000</v>
      </c>
      <c r="DA269" s="480"/>
      <c r="DB269" s="1642" t="s">
        <v>6286</v>
      </c>
      <c r="DC269" s="1642"/>
      <c r="DD269" s="1642" t="s">
        <v>6560</v>
      </c>
      <c r="DE269" s="1642" t="s">
        <v>6230</v>
      </c>
      <c r="DF269" s="1642" t="s">
        <v>6287</v>
      </c>
      <c r="DG269" s="1152"/>
      <c r="DH269" s="512"/>
      <c r="DI269" s="512"/>
      <c r="DJ269" s="470"/>
      <c r="DK269" s="470"/>
      <c r="DL269" s="470"/>
      <c r="DN269" s="471" t="str">
        <f>VLOOKUP(X269,Hoja1!$A$4:$B$10,2,0)</f>
        <v>BACHILLER</v>
      </c>
      <c r="DO269" s="471" t="str">
        <f>VLOOKUP(S269,Hoja1!$D$4:$F$77,3,0)</f>
        <v>BIII - III</v>
      </c>
      <c r="DP269" s="1156" t="str">
        <f t="shared" si="623"/>
        <v>SI</v>
      </c>
      <c r="DQ269" s="1484">
        <f>IF(T269&lt;&gt;"0",(ROUND(IF(A269="EMPLEADO",eval_formula('CONCEPTOS Y PARAMETROS'!$C$8,NOMINA!V269,AU269+BF269,NOMINA!I269+NOMINA!J269),eval_formula('CONCEPTOS Y PARAMETROS'!$D$8,NOMINA!V269,AU269+BF269,NOMINA!I269+NOMINA!J269)),2))*IF(H269&lt;&gt;"",IF(MONTH(H269)=$BR$8,IF(YEAR(H269)&lt;$BT$7,1,0),0)))</f>
        <v>0</v>
      </c>
      <c r="DR269" s="1801" t="str">
        <f t="shared" si="624"/>
        <v>F</v>
      </c>
      <c r="DS269" s="1801"/>
    </row>
    <row r="270" spans="1:123" s="471" customFormat="1" ht="21.95" customHeight="1" x14ac:dyDescent="0.25">
      <c r="A270" s="508" t="s">
        <v>2846</v>
      </c>
      <c r="B270" s="1314">
        <f t="shared" ca="1" si="782"/>
        <v>227</v>
      </c>
      <c r="C270" s="1148">
        <v>25006878</v>
      </c>
      <c r="D270" s="1149" t="s">
        <v>5485</v>
      </c>
      <c r="E270" s="1135" t="s">
        <v>4622</v>
      </c>
      <c r="F270" s="1150">
        <v>34828</v>
      </c>
      <c r="G270" s="1135" t="s">
        <v>4621</v>
      </c>
      <c r="H270" s="1150">
        <v>44986</v>
      </c>
      <c r="I270" s="1140">
        <f t="shared" si="625"/>
        <v>2</v>
      </c>
      <c r="J270" s="1132">
        <v>7</v>
      </c>
      <c r="K270" s="1140">
        <f t="shared" si="600"/>
        <v>9</v>
      </c>
      <c r="L270" s="1145" t="s">
        <v>5546</v>
      </c>
      <c r="M270" s="1132"/>
      <c r="N270" s="1132"/>
      <c r="O270" s="1002" t="s">
        <v>5218</v>
      </c>
      <c r="P270" s="1132" t="s">
        <v>5486</v>
      </c>
      <c r="Q270" s="1373" t="str">
        <f>IFERROR(VLOOKUP(O270,CARGOS!A:E,2,0),"")</f>
        <v>79511</v>
      </c>
      <c r="R270" s="1327" t="s">
        <v>5218</v>
      </c>
      <c r="S270" s="1146" t="s">
        <v>5465</v>
      </c>
      <c r="T270" s="1107">
        <f>IFERROR(VLOOKUP(S270,'TAB EMP'!A:B,2,0),0)</f>
        <v>172</v>
      </c>
      <c r="U270" s="1108">
        <v>0</v>
      </c>
      <c r="V270" s="1107">
        <f t="shared" si="680"/>
        <v>172</v>
      </c>
      <c r="W270" s="1108">
        <f t="shared" si="681"/>
        <v>86</v>
      </c>
      <c r="X270" s="1135" t="s">
        <v>2884</v>
      </c>
      <c r="Y270" s="1135"/>
      <c r="Z270" s="1135">
        <v>1</v>
      </c>
      <c r="AA270" s="1107">
        <f>ROUND(IF(H270&lt;&gt;"",VLOOKUP(SUM(I270+J270),'CONCEPTOS Y PARAMETROS'!F:G,2,0)*V270,0),2)</f>
        <v>16.86</v>
      </c>
      <c r="AB270" s="1107">
        <f>IF(S270&lt;&gt;"",IF(M270="",'CONCEPTOS Y PARAMETROS'!$C$4,0),0)</f>
        <v>130</v>
      </c>
      <c r="AC270" s="1107">
        <f>IF(S270&lt;&gt;"",IF(M270="",'CONCEPTOS Y PARAMETROS'!$C$7*Z270,0),0)</f>
        <v>12.5</v>
      </c>
      <c r="AD270" s="1107">
        <f>IFERROR(ROUND(VLOOKUP($X270,'CONCEPTOS Y PARAMETROS'!H:I,2,0)*($V270+AA270+AB270+AC270),2),0)</f>
        <v>0</v>
      </c>
      <c r="AE270" s="1107">
        <f t="shared" si="647"/>
        <v>159.36000000000001</v>
      </c>
      <c r="AF270" s="1107">
        <f t="shared" si="682"/>
        <v>8.43</v>
      </c>
      <c r="AG270" s="1107">
        <f t="shared" si="683"/>
        <v>8.43</v>
      </c>
      <c r="AH270" s="1107">
        <f t="shared" si="684"/>
        <v>65</v>
      </c>
      <c r="AI270" s="1107">
        <f t="shared" si="685"/>
        <v>65</v>
      </c>
      <c r="AJ270" s="1107">
        <f t="shared" si="686"/>
        <v>0</v>
      </c>
      <c r="AK270" s="1107">
        <f t="shared" si="687"/>
        <v>0</v>
      </c>
      <c r="AL270" s="1108">
        <f t="shared" si="688"/>
        <v>85.93</v>
      </c>
      <c r="AM270" s="1108">
        <f t="shared" si="689"/>
        <v>73.430000000000007</v>
      </c>
      <c r="AN270" s="990">
        <v>0</v>
      </c>
      <c r="AO270" s="1147">
        <f>'CONCEPTOS Y PARAMETROS'!$C$18*AN270</f>
        <v>0</v>
      </c>
      <c r="AP270" s="990">
        <v>0</v>
      </c>
      <c r="AQ270" s="1147">
        <f>'CONCEPTOS Y PARAMETROS'!$C$21*AP270</f>
        <v>0</v>
      </c>
      <c r="AR270" s="1318">
        <v>0</v>
      </c>
      <c r="AS270" s="1318">
        <v>0</v>
      </c>
      <c r="AT270" s="1318">
        <f t="shared" si="784"/>
        <v>0</v>
      </c>
      <c r="AU270" s="1108">
        <f t="shared" si="606"/>
        <v>430.77</v>
      </c>
      <c r="AV270" s="1133" t="s">
        <v>5080</v>
      </c>
      <c r="AW270" s="1108">
        <f t="shared" si="716"/>
        <v>99.41</v>
      </c>
      <c r="AX270" s="1108">
        <f>IF(T270&lt;&gt;"0",(ROUND(IF(A270="EMPLEADO",eval_formula('CONCEPTOS Y PARAMETROS'!$C$8,NOMINA!V270,NOMINA!$AU270,NOMINA!I270+NOMINA!J270),eval_formula('CONCEPTOS Y PARAMETROS'!$D$8,NOMINA!V270,NOMINA!$AU270,NOMINA!I270+NOMINA!J270)),2))*IF(H270&lt;&gt;"",IF(MONTH(H270)=$BR$8,IF(YEAR(H270)&lt;$BT$7,1,0),0)))</f>
        <v>0</v>
      </c>
      <c r="AY270" s="1108">
        <v>180</v>
      </c>
      <c r="AZ270" s="1107">
        <f>IFERROR(VLOOKUP(AY270,'CONCEPTOS Y PARAMETROS'!Y:Z,2,0),0)</f>
        <v>150</v>
      </c>
      <c r="BA270" s="1107">
        <f t="shared" si="690"/>
        <v>3230.78</v>
      </c>
      <c r="BB270" s="1107">
        <f t="shared" si="763"/>
        <v>0</v>
      </c>
      <c r="BC270" s="990">
        <v>0</v>
      </c>
      <c r="BD270" s="1107" t="str">
        <f t="shared" si="607"/>
        <v>0</v>
      </c>
      <c r="BE270" s="990">
        <v>3</v>
      </c>
      <c r="BF270" s="1107">
        <f t="shared" si="703"/>
        <v>64.62</v>
      </c>
      <c r="BG270" s="1108">
        <v>320</v>
      </c>
      <c r="BH270" s="1108">
        <v>0</v>
      </c>
      <c r="BI270" s="1132">
        <v>0</v>
      </c>
      <c r="BJ270" s="1108">
        <v>12.5</v>
      </c>
      <c r="BK270" s="1108">
        <v>0</v>
      </c>
      <c r="BL270" s="1107">
        <f t="shared" si="704"/>
        <v>19.88</v>
      </c>
      <c r="BM270" s="1107">
        <f t="shared" si="705"/>
        <v>2.4900000000000002</v>
      </c>
      <c r="BN270" s="1107">
        <f t="shared" si="626"/>
        <v>4.3099999999999996</v>
      </c>
      <c r="BO270" s="1107">
        <v>0</v>
      </c>
      <c r="BP270" s="1107">
        <v>0</v>
      </c>
      <c r="BQ270" s="1320">
        <f t="shared" ref="BQ270" si="785">ROUND(SUM(BL270:BP270),2)</f>
        <v>26.68</v>
      </c>
      <c r="BR270" s="1107">
        <f t="shared" si="707"/>
        <v>44.73</v>
      </c>
      <c r="BS270" s="1107">
        <f t="shared" si="708"/>
        <v>9.94</v>
      </c>
      <c r="BT270" s="1107">
        <f t="shared" si="627"/>
        <v>8.6199999999999992</v>
      </c>
      <c r="BU270" s="1107">
        <v>0</v>
      </c>
      <c r="BV270" s="1108">
        <f t="shared" si="631"/>
        <v>63.29</v>
      </c>
      <c r="BW270" s="1112">
        <f t="shared" si="632"/>
        <v>89.97</v>
      </c>
      <c r="BX270" s="1112">
        <f t="shared" si="783"/>
        <v>807.7</v>
      </c>
      <c r="BY270" s="1108">
        <v>0</v>
      </c>
      <c r="BZ270" s="1108">
        <f t="shared" si="598"/>
        <v>807.7</v>
      </c>
      <c r="CA270" s="1321">
        <f>'CONCEPTOS Y PARAMETROS'!$A$102</f>
        <v>6255</v>
      </c>
      <c r="CB270" s="1112">
        <f t="shared" si="611"/>
        <v>145.25</v>
      </c>
      <c r="CC270" s="1113">
        <f t="shared" si="612"/>
        <v>655.96</v>
      </c>
      <c r="CD270" s="512"/>
      <c r="CE270" s="512"/>
      <c r="CF270" s="470">
        <f t="shared" si="613"/>
        <v>799.43000000000006</v>
      </c>
      <c r="CG270" s="495">
        <f t="shared" si="628"/>
        <v>145.25</v>
      </c>
      <c r="CH270" s="498">
        <f t="shared" si="614"/>
        <v>12.5</v>
      </c>
      <c r="CI270" s="1490">
        <f t="shared" si="608"/>
        <v>320</v>
      </c>
      <c r="CJ270" s="1500">
        <v>1</v>
      </c>
      <c r="CK270" s="495">
        <f t="shared" si="615"/>
        <v>479.43</v>
      </c>
      <c r="CL270" s="1689">
        <f t="shared" si="616"/>
        <v>479.43</v>
      </c>
      <c r="CM270" s="1689">
        <f t="shared" si="610"/>
        <v>0</v>
      </c>
      <c r="CN270" s="496">
        <f t="shared" si="617"/>
        <v>64.62</v>
      </c>
      <c r="CO270" s="511">
        <v>0</v>
      </c>
      <c r="CP270" s="496">
        <f t="shared" si="618"/>
        <v>99.41</v>
      </c>
      <c r="CQ270" s="510">
        <f t="shared" si="619"/>
        <v>0</v>
      </c>
      <c r="CR270" s="496">
        <f t="shared" si="620"/>
        <v>1122.8900000000001</v>
      </c>
      <c r="CS270" s="496">
        <f t="shared" si="621"/>
        <v>89.97</v>
      </c>
      <c r="CT270" s="510">
        <f t="shared" si="622"/>
        <v>6255</v>
      </c>
      <c r="CU270" s="470"/>
      <c r="CV270" s="470"/>
      <c r="CW270" s="470"/>
      <c r="CX270" s="470"/>
      <c r="CY270" s="1149" t="s">
        <v>7001</v>
      </c>
      <c r="CZ270" s="1149" t="s">
        <v>7002</v>
      </c>
      <c r="DA270" s="1152"/>
      <c r="DB270" s="1642" t="s">
        <v>6506</v>
      </c>
      <c r="DC270" s="1642"/>
      <c r="DD270" s="1642" t="s">
        <v>6199</v>
      </c>
      <c r="DE270" s="1642" t="s">
        <v>6230</v>
      </c>
      <c r="DF270" s="1642" t="s">
        <v>6492</v>
      </c>
      <c r="DG270" s="1642"/>
      <c r="DH270" s="512"/>
      <c r="DI270" s="512"/>
      <c r="DJ270" s="512"/>
      <c r="DK270" s="512"/>
      <c r="DL270" s="512"/>
      <c r="DM270" s="476"/>
      <c r="DN270" s="471" t="str">
        <f>VLOOKUP(X270,Hoja1!$A$4:$B$10,2,0)</f>
        <v>BACHILLER</v>
      </c>
      <c r="DO270" s="471" t="str">
        <f>VLOOKUP(S270,Hoja1!$D$4:$F$77,3,0)</f>
        <v>BIII - IV</v>
      </c>
      <c r="DP270" s="1156" t="str">
        <f t="shared" si="623"/>
        <v>SI</v>
      </c>
      <c r="DQ270" s="1484">
        <f>IF(T270&lt;&gt;"0",(ROUND(IF(A270="EMPLEADO",eval_formula('CONCEPTOS Y PARAMETROS'!$C$8,NOMINA!V270,AU270+BF270,NOMINA!I270+NOMINA!J270),eval_formula('CONCEPTOS Y PARAMETROS'!$D$8,NOMINA!V270,AU270+BF270,NOMINA!I270+NOMINA!J270)),2))*IF(H270&lt;&gt;"",IF(MONTH(H270)=$BR$8,IF(YEAR(H270)&lt;$BT$7,1,0),0)))</f>
        <v>0</v>
      </c>
      <c r="DR270" s="1801" t="str">
        <f t="shared" si="624"/>
        <v>M</v>
      </c>
      <c r="DS270" s="1801"/>
    </row>
    <row r="271" spans="1:123" s="476" customFormat="1" ht="21.95" customHeight="1" x14ac:dyDescent="0.25">
      <c r="A271" s="508" t="s">
        <v>2846</v>
      </c>
      <c r="B271" s="1314">
        <f t="shared" ca="1" si="782"/>
        <v>228</v>
      </c>
      <c r="C271" s="1148">
        <v>25096069</v>
      </c>
      <c r="D271" s="1149" t="s">
        <v>4909</v>
      </c>
      <c r="E271" s="1135" t="s">
        <v>4622</v>
      </c>
      <c r="F271" s="1150">
        <v>34308</v>
      </c>
      <c r="G271" s="1135" t="s">
        <v>4620</v>
      </c>
      <c r="H271" s="1150">
        <v>44599</v>
      </c>
      <c r="I271" s="1140">
        <f t="shared" si="625"/>
        <v>3</v>
      </c>
      <c r="J271" s="1132">
        <v>0</v>
      </c>
      <c r="K271" s="1140">
        <f t="shared" si="600"/>
        <v>3</v>
      </c>
      <c r="L271" s="1145" t="s">
        <v>5528</v>
      </c>
      <c r="M271" s="1132"/>
      <c r="N271" s="1132"/>
      <c r="O271" s="1002" t="s">
        <v>5218</v>
      </c>
      <c r="P271" s="1132" t="s">
        <v>5437</v>
      </c>
      <c r="Q271" s="1315" t="str">
        <f>IFERROR(VLOOKUP(O271,CARGOS!A:E,2,0),"")</f>
        <v>79511</v>
      </c>
      <c r="R271" s="1327" t="s">
        <v>5218</v>
      </c>
      <c r="S271" s="1146" t="s">
        <v>5468</v>
      </c>
      <c r="T271" s="1107">
        <f>IFERROR(VLOOKUP(S271,'TAB EMP'!A:B,2,0),0)</f>
        <v>219</v>
      </c>
      <c r="U271" s="1108">
        <v>0</v>
      </c>
      <c r="V271" s="1107">
        <f t="shared" si="680"/>
        <v>219</v>
      </c>
      <c r="W271" s="1108">
        <f t="shared" si="681"/>
        <v>109.5</v>
      </c>
      <c r="X271" s="1135" t="s">
        <v>2885</v>
      </c>
      <c r="Y271" s="1135"/>
      <c r="Z271" s="1135">
        <v>1</v>
      </c>
      <c r="AA271" s="1107">
        <f>ROUND(IF(H271&lt;&gt;"",VLOOKUP(SUM(I271+J271),'CONCEPTOS Y PARAMETROS'!F:G,2,0)*V271,0),2)</f>
        <v>6.57</v>
      </c>
      <c r="AB271" s="1107">
        <f>IF(S271&lt;&gt;"",IF(M271="",'CONCEPTOS Y PARAMETROS'!$C$4,0),0)</f>
        <v>130</v>
      </c>
      <c r="AC271" s="1107">
        <f>IF(S271&lt;&gt;"",IF(M271="",'CONCEPTOS Y PARAMETROS'!$C$7*Z271,0),0)</f>
        <v>12.5</v>
      </c>
      <c r="AD271" s="1107">
        <f>IFERROR(ROUND(VLOOKUP($X271,'CONCEPTOS Y PARAMETROS'!H:I,2,0)*($V271+AA271+AB271+AC271),2),0)</f>
        <v>92.02</v>
      </c>
      <c r="AE271" s="1107">
        <f t="shared" si="647"/>
        <v>241.08999999999997</v>
      </c>
      <c r="AF271" s="1107">
        <f t="shared" si="682"/>
        <v>3.29</v>
      </c>
      <c r="AG271" s="1107">
        <f t="shared" si="683"/>
        <v>3.28</v>
      </c>
      <c r="AH271" s="1107">
        <f t="shared" si="684"/>
        <v>65</v>
      </c>
      <c r="AI271" s="1107">
        <f t="shared" si="685"/>
        <v>65</v>
      </c>
      <c r="AJ271" s="1107">
        <f t="shared" si="686"/>
        <v>46.01</v>
      </c>
      <c r="AK271" s="1107">
        <f t="shared" si="687"/>
        <v>46.01</v>
      </c>
      <c r="AL271" s="1108">
        <f t="shared" si="688"/>
        <v>126.8</v>
      </c>
      <c r="AM271" s="1108">
        <f t="shared" si="689"/>
        <v>114.29</v>
      </c>
      <c r="AN271" s="1453">
        <v>1</v>
      </c>
      <c r="AO271" s="1147">
        <f>'CONCEPTOS Y PARAMETROS'!$C$18*AN271</f>
        <v>12.5</v>
      </c>
      <c r="AP271" s="990">
        <v>0</v>
      </c>
      <c r="AQ271" s="1147">
        <f>'CONCEPTOS Y PARAMETROS'!$C$21*AP271</f>
        <v>0</v>
      </c>
      <c r="AR271" s="1318">
        <v>0</v>
      </c>
      <c r="AS271" s="1318">
        <v>0</v>
      </c>
      <c r="AT271" s="1318">
        <f t="shared" si="784"/>
        <v>12.5</v>
      </c>
      <c r="AU271" s="1108">
        <f t="shared" si="606"/>
        <v>598.12</v>
      </c>
      <c r="AV271" s="1133" t="s">
        <v>5080</v>
      </c>
      <c r="AW271" s="1108">
        <f t="shared" si="716"/>
        <v>138.03</v>
      </c>
      <c r="AX271" s="1107">
        <f>IF(T271&lt;&gt;"0",(ROUND(IF(A271="EMPLEADO",eval_formula('CONCEPTOS Y PARAMETROS'!$C$8,NOMINA!V271,NOMINA!$AU271,NOMINA!I271+NOMINA!J271),eval_formula('CONCEPTOS Y PARAMETROS'!$D$8,NOMINA!V271,NOMINA!$AU271,NOMINA!I271+NOMINA!J271)),2))*IF(H271&lt;&gt;"",IF(MONTH(H271)=$BR$8,IF(YEAR(H271)&lt;$BT$7,1,0),0)))</f>
        <v>0</v>
      </c>
      <c r="AY271" s="1108">
        <v>180</v>
      </c>
      <c r="AZ271" s="1107">
        <f>IFERROR(VLOOKUP(AY271,'CONCEPTOS Y PARAMETROS'!Y:Z,2,0),0)</f>
        <v>150</v>
      </c>
      <c r="BA271" s="1107">
        <f t="shared" si="690"/>
        <v>4485.8999999999996</v>
      </c>
      <c r="BB271" s="1107">
        <f t="shared" si="763"/>
        <v>0</v>
      </c>
      <c r="BC271" s="990">
        <v>0</v>
      </c>
      <c r="BD271" s="1107" t="str">
        <f t="shared" si="607"/>
        <v>0</v>
      </c>
      <c r="BE271" s="990">
        <v>3</v>
      </c>
      <c r="BF271" s="1107">
        <f t="shared" si="703"/>
        <v>89.72</v>
      </c>
      <c r="BG271" s="1108">
        <v>320</v>
      </c>
      <c r="BH271" s="1108">
        <v>0</v>
      </c>
      <c r="BI271" s="1132">
        <v>0</v>
      </c>
      <c r="BJ271" s="1108">
        <v>12.5</v>
      </c>
      <c r="BK271" s="1108">
        <v>0</v>
      </c>
      <c r="BL271" s="1107">
        <f t="shared" si="704"/>
        <v>27.61</v>
      </c>
      <c r="BM271" s="1107">
        <f t="shared" si="705"/>
        <v>3.45</v>
      </c>
      <c r="BN271" s="1107">
        <f t="shared" si="626"/>
        <v>5.98</v>
      </c>
      <c r="BO271" s="1107">
        <v>0</v>
      </c>
      <c r="BP271" s="1107">
        <v>0</v>
      </c>
      <c r="BQ271" s="1320">
        <f t="shared" si="630"/>
        <v>37.04</v>
      </c>
      <c r="BR271" s="1107">
        <f t="shared" si="707"/>
        <v>62.11</v>
      </c>
      <c r="BS271" s="1107">
        <f t="shared" si="708"/>
        <v>13.8</v>
      </c>
      <c r="BT271" s="1107">
        <f t="shared" si="627"/>
        <v>11.96</v>
      </c>
      <c r="BU271" s="1107">
        <v>0</v>
      </c>
      <c r="BV271" s="1108">
        <f t="shared" si="631"/>
        <v>87.87</v>
      </c>
      <c r="BW271" s="1112">
        <f t="shared" si="632"/>
        <v>124.91</v>
      </c>
      <c r="BX271" s="1112">
        <f t="shared" si="783"/>
        <v>1121.48</v>
      </c>
      <c r="BY271" s="1108">
        <v>0</v>
      </c>
      <c r="BZ271" s="1108">
        <f t="shared" si="598"/>
        <v>1121.48</v>
      </c>
      <c r="CA271" s="1321">
        <f>'CONCEPTOS Y PARAMETROS'!$A$102</f>
        <v>6255</v>
      </c>
      <c r="CB271" s="1112">
        <f t="shared" si="611"/>
        <v>199.26000000000002</v>
      </c>
      <c r="CC271" s="1113">
        <f t="shared" si="612"/>
        <v>796.54</v>
      </c>
      <c r="CD271" s="512"/>
      <c r="CE271" s="512"/>
      <c r="CF271" s="470">
        <f t="shared" si="613"/>
        <v>863.79</v>
      </c>
      <c r="CG271" s="495">
        <f t="shared" si="628"/>
        <v>199.26000000000002</v>
      </c>
      <c r="CH271" s="498">
        <f t="shared" si="614"/>
        <v>25</v>
      </c>
      <c r="CI271" s="1490">
        <f t="shared" si="608"/>
        <v>320</v>
      </c>
      <c r="CJ271" s="1500">
        <v>1</v>
      </c>
      <c r="CK271" s="495">
        <f t="shared" si="615"/>
        <v>543.79</v>
      </c>
      <c r="CL271" s="1689">
        <f t="shared" si="616"/>
        <v>543.79</v>
      </c>
      <c r="CM271" s="1689">
        <f t="shared" si="610"/>
        <v>0</v>
      </c>
      <c r="CN271" s="496">
        <f t="shared" si="617"/>
        <v>89.72</v>
      </c>
      <c r="CO271" s="497">
        <v>0</v>
      </c>
      <c r="CP271" s="496">
        <f t="shared" si="618"/>
        <v>138.03</v>
      </c>
      <c r="CQ271" s="496">
        <f t="shared" si="619"/>
        <v>0</v>
      </c>
      <c r="CR271" s="496">
        <f t="shared" si="620"/>
        <v>1315.33</v>
      </c>
      <c r="CS271" s="496">
        <f t="shared" si="621"/>
        <v>124.91</v>
      </c>
      <c r="CT271" s="496">
        <f t="shared" si="622"/>
        <v>6255</v>
      </c>
      <c r="CU271" s="470"/>
      <c r="CV271" s="470"/>
      <c r="CW271" s="470"/>
      <c r="CX271" s="470"/>
      <c r="CY271" s="1149" t="s">
        <v>7003</v>
      </c>
      <c r="CZ271" s="1149" t="s">
        <v>7004</v>
      </c>
      <c r="DA271" s="480"/>
      <c r="DB271" s="1642" t="s">
        <v>7444</v>
      </c>
      <c r="DC271" s="1642"/>
      <c r="DD271" s="1642" t="s">
        <v>6135</v>
      </c>
      <c r="DE271" s="1642" t="s">
        <v>6171</v>
      </c>
      <c r="DF271" s="1642" t="s">
        <v>6234</v>
      </c>
      <c r="DG271" s="1642"/>
      <c r="DH271" s="512"/>
      <c r="DI271" s="512"/>
      <c r="DJ271" s="470"/>
      <c r="DK271" s="470"/>
      <c r="DL271" s="470"/>
      <c r="DM271" s="471"/>
      <c r="DN271" s="471" t="str">
        <f>VLOOKUP(X271,Hoja1!$A$4:$B$10,2,0)</f>
        <v>PROFESIONAL</v>
      </c>
      <c r="DO271" s="471" t="str">
        <f>VLOOKUP(S271,Hoja1!$D$4:$F$77,3,0)</f>
        <v>TII - II</v>
      </c>
      <c r="DP271" s="1156" t="str">
        <f t="shared" si="623"/>
        <v>SI</v>
      </c>
      <c r="DQ271" s="1484">
        <f>IF(T271&lt;&gt;"0",(ROUND(IF(A271="EMPLEADO",eval_formula('CONCEPTOS Y PARAMETROS'!$C$8,NOMINA!V271,AU271+BF271,NOMINA!I271+NOMINA!J271),eval_formula('CONCEPTOS Y PARAMETROS'!$D$8,NOMINA!V271,AU271+BF271,NOMINA!I271+NOMINA!J271)),2))*IF(H271&lt;&gt;"",IF(MONTH(H271)=$BR$8,IF(YEAR(H271)&lt;$BT$7,1,0),0)))</f>
        <v>0</v>
      </c>
      <c r="DR271" s="1801" t="str">
        <f t="shared" si="624"/>
        <v>F</v>
      </c>
      <c r="DS271" s="1801"/>
    </row>
    <row r="272" spans="1:123" s="476" customFormat="1" ht="21.95" customHeight="1" x14ac:dyDescent="0.25">
      <c r="A272" s="508" t="s">
        <v>2846</v>
      </c>
      <c r="B272" s="1314">
        <f t="shared" ca="1" si="782"/>
        <v>229</v>
      </c>
      <c r="C272" s="1148">
        <v>25173983</v>
      </c>
      <c r="D272" s="1149" t="s">
        <v>4910</v>
      </c>
      <c r="E272" s="1135" t="s">
        <v>4622</v>
      </c>
      <c r="F272" s="1150">
        <v>35356</v>
      </c>
      <c r="G272" s="1135" t="s">
        <v>4620</v>
      </c>
      <c r="H272" s="1150">
        <v>44363</v>
      </c>
      <c r="I272" s="1140">
        <f t="shared" si="625"/>
        <v>4</v>
      </c>
      <c r="J272" s="1132">
        <v>0</v>
      </c>
      <c r="K272" s="1140">
        <f t="shared" si="600"/>
        <v>4</v>
      </c>
      <c r="L272" s="1145" t="s">
        <v>5529</v>
      </c>
      <c r="M272" s="1132"/>
      <c r="N272" s="1132"/>
      <c r="O272" s="1002" t="s">
        <v>5218</v>
      </c>
      <c r="P272" s="1132" t="s">
        <v>5438</v>
      </c>
      <c r="Q272" s="1315" t="str">
        <f>IFERROR(VLOOKUP(O272,CARGOS!A:E,2,0),"")</f>
        <v>79511</v>
      </c>
      <c r="R272" s="1327" t="s">
        <v>5218</v>
      </c>
      <c r="S272" s="1146" t="s">
        <v>5477</v>
      </c>
      <c r="T272" s="1107">
        <f>IFERROR(VLOOKUP(S272,'TAB EMP'!A:B,2,0),0)</f>
        <v>150</v>
      </c>
      <c r="U272" s="1108">
        <v>0</v>
      </c>
      <c r="V272" s="1107">
        <f t="shared" si="680"/>
        <v>150</v>
      </c>
      <c r="W272" s="1108">
        <f t="shared" si="681"/>
        <v>75</v>
      </c>
      <c r="X272" s="1135" t="s">
        <v>2884</v>
      </c>
      <c r="Y272" s="1135"/>
      <c r="Z272" s="1135">
        <v>1</v>
      </c>
      <c r="AA272" s="1107">
        <f>ROUND(IF(H272&lt;&gt;"",VLOOKUP(SUM(I272+J272),'CONCEPTOS Y PARAMETROS'!F:G,2,0)*V272,0),2)</f>
        <v>6</v>
      </c>
      <c r="AB272" s="1107">
        <f>IF(S272&lt;&gt;"",IF(M272="",'CONCEPTOS Y PARAMETROS'!$C$4,0),0)</f>
        <v>130</v>
      </c>
      <c r="AC272" s="1107">
        <f>IF(S272&lt;&gt;"",IF(M272="",'CONCEPTOS Y PARAMETROS'!$C$7*Z272,0),0)</f>
        <v>12.5</v>
      </c>
      <c r="AD272" s="1107">
        <f>IFERROR(ROUND(VLOOKUP($X272,'CONCEPTOS Y PARAMETROS'!H:I,2,0)*($V272+AA272+AB272+AC272),2),0)</f>
        <v>0</v>
      </c>
      <c r="AE272" s="1107">
        <f t="shared" si="647"/>
        <v>148.5</v>
      </c>
      <c r="AF272" s="1107">
        <f t="shared" si="682"/>
        <v>3</v>
      </c>
      <c r="AG272" s="1107">
        <f t="shared" si="683"/>
        <v>3</v>
      </c>
      <c r="AH272" s="1107">
        <f t="shared" si="684"/>
        <v>65</v>
      </c>
      <c r="AI272" s="1107">
        <f t="shared" si="685"/>
        <v>65</v>
      </c>
      <c r="AJ272" s="1107">
        <f t="shared" si="686"/>
        <v>0</v>
      </c>
      <c r="AK272" s="1107">
        <f t="shared" si="687"/>
        <v>0</v>
      </c>
      <c r="AL272" s="1108">
        <f t="shared" si="688"/>
        <v>80.5</v>
      </c>
      <c r="AM272" s="1108">
        <f t="shared" si="689"/>
        <v>68</v>
      </c>
      <c r="AN272" s="1453">
        <v>1</v>
      </c>
      <c r="AO272" s="1147">
        <f>'CONCEPTOS Y PARAMETROS'!$C$18*AN272</f>
        <v>12.5</v>
      </c>
      <c r="AP272" s="990">
        <v>0</v>
      </c>
      <c r="AQ272" s="1147">
        <f>'CONCEPTOS Y PARAMETROS'!$C$21*AP272</f>
        <v>0</v>
      </c>
      <c r="AR272" s="1318">
        <v>0</v>
      </c>
      <c r="AS272" s="1318">
        <v>0</v>
      </c>
      <c r="AT272" s="1318">
        <f t="shared" si="784"/>
        <v>12.5</v>
      </c>
      <c r="AU272" s="1108">
        <f t="shared" si="606"/>
        <v>298.5</v>
      </c>
      <c r="AV272" s="1133">
        <v>0</v>
      </c>
      <c r="AW272" s="1108">
        <f t="shared" si="716"/>
        <v>0</v>
      </c>
      <c r="AX272" s="1107">
        <f>IF(T272&lt;&gt;"0",(ROUND(IF(A272="EMPLEADO",eval_formula('CONCEPTOS Y PARAMETROS'!$C$8,NOMINA!V272,NOMINA!$AU272,NOMINA!I272+NOMINA!J272),eval_formula('CONCEPTOS Y PARAMETROS'!$D$8,NOMINA!V272,NOMINA!$AU272,NOMINA!I272+NOMINA!J272)),2))*IF(H272&lt;&gt;"",IF(MONTH(H272)=$BR$8,IF(YEAR(H272)&lt;$BT$7,1,0),0)))</f>
        <v>0</v>
      </c>
      <c r="AY272" s="1108">
        <v>180</v>
      </c>
      <c r="AZ272" s="1107">
        <f>IFERROR(VLOOKUP(AY272,'CONCEPTOS Y PARAMETROS'!Y:Z,2,0),0)</f>
        <v>150</v>
      </c>
      <c r="BA272" s="1107">
        <f t="shared" si="690"/>
        <v>2238.75</v>
      </c>
      <c r="BB272" s="1107">
        <f t="shared" si="763"/>
        <v>0</v>
      </c>
      <c r="BC272" s="990">
        <v>0</v>
      </c>
      <c r="BD272" s="1107" t="str">
        <f t="shared" si="607"/>
        <v>0</v>
      </c>
      <c r="BE272" s="990">
        <v>0</v>
      </c>
      <c r="BF272" s="1107">
        <f t="shared" si="703"/>
        <v>0</v>
      </c>
      <c r="BG272" s="1108">
        <v>320</v>
      </c>
      <c r="BH272" s="1108">
        <v>0</v>
      </c>
      <c r="BI272" s="1132">
        <v>0</v>
      </c>
      <c r="BJ272" s="1108">
        <v>12.5</v>
      </c>
      <c r="BK272" s="1108">
        <v>0</v>
      </c>
      <c r="BL272" s="1107">
        <f t="shared" si="704"/>
        <v>13.78</v>
      </c>
      <c r="BM272" s="1107">
        <f t="shared" si="705"/>
        <v>1.72</v>
      </c>
      <c r="BN272" s="1107">
        <f t="shared" si="626"/>
        <v>2.99</v>
      </c>
      <c r="BO272" s="1107">
        <v>0</v>
      </c>
      <c r="BP272" s="1107">
        <v>0</v>
      </c>
      <c r="BQ272" s="1320">
        <f t="shared" si="630"/>
        <v>18.489999999999998</v>
      </c>
      <c r="BR272" s="1107">
        <f t="shared" si="707"/>
        <v>31</v>
      </c>
      <c r="BS272" s="1107">
        <f t="shared" si="708"/>
        <v>6.89</v>
      </c>
      <c r="BT272" s="1107">
        <f t="shared" si="627"/>
        <v>5.98</v>
      </c>
      <c r="BU272" s="1107">
        <v>0</v>
      </c>
      <c r="BV272" s="1108">
        <f t="shared" si="631"/>
        <v>43.87</v>
      </c>
      <c r="BW272" s="1112">
        <f t="shared" si="632"/>
        <v>62.36</v>
      </c>
      <c r="BX272" s="1112">
        <f t="shared" si="783"/>
        <v>559.69000000000005</v>
      </c>
      <c r="BY272" s="1108">
        <v>0</v>
      </c>
      <c r="BZ272" s="1108">
        <f t="shared" si="598"/>
        <v>559.69000000000005</v>
      </c>
      <c r="CA272" s="1321">
        <f>'CONCEPTOS Y PARAMETROS'!$A$102</f>
        <v>6255</v>
      </c>
      <c r="CB272" s="1112">
        <f t="shared" si="611"/>
        <v>137.01</v>
      </c>
      <c r="CC272" s="1113">
        <f t="shared" si="612"/>
        <v>488</v>
      </c>
      <c r="CD272" s="512"/>
      <c r="CE272" s="512"/>
      <c r="CF272" s="470">
        <f t="shared" si="613"/>
        <v>783</v>
      </c>
      <c r="CG272" s="495">
        <f t="shared" si="628"/>
        <v>137.01</v>
      </c>
      <c r="CH272" s="498">
        <f t="shared" si="614"/>
        <v>25</v>
      </c>
      <c r="CI272" s="1490">
        <f t="shared" si="608"/>
        <v>320</v>
      </c>
      <c r="CJ272" s="1500">
        <v>1</v>
      </c>
      <c r="CK272" s="495">
        <f t="shared" si="615"/>
        <v>463</v>
      </c>
      <c r="CL272" s="1689">
        <f t="shared" si="616"/>
        <v>463</v>
      </c>
      <c r="CM272" s="1689">
        <f t="shared" si="610"/>
        <v>0</v>
      </c>
      <c r="CN272" s="496">
        <f t="shared" si="617"/>
        <v>0</v>
      </c>
      <c r="CO272" s="497">
        <v>0</v>
      </c>
      <c r="CP272" s="496">
        <f t="shared" si="618"/>
        <v>0</v>
      </c>
      <c r="CQ272" s="496">
        <f t="shared" si="619"/>
        <v>0</v>
      </c>
      <c r="CR272" s="496">
        <f t="shared" si="620"/>
        <v>926</v>
      </c>
      <c r="CS272" s="496">
        <f t="shared" si="621"/>
        <v>62.36</v>
      </c>
      <c r="CT272" s="496">
        <f t="shared" si="622"/>
        <v>6255</v>
      </c>
      <c r="CU272" s="470"/>
      <c r="CV272" s="470"/>
      <c r="CW272" s="470"/>
      <c r="CX272" s="470"/>
      <c r="CY272" s="1149" t="s">
        <v>7005</v>
      </c>
      <c r="CZ272" s="1149" t="s">
        <v>7006</v>
      </c>
      <c r="DA272" s="480"/>
      <c r="DB272" s="1642" t="s">
        <v>6374</v>
      </c>
      <c r="DC272" s="1642"/>
      <c r="DD272" s="1642" t="s">
        <v>6367</v>
      </c>
      <c r="DE272" s="1642" t="s">
        <v>6367</v>
      </c>
      <c r="DF272" s="1642" t="s">
        <v>6609</v>
      </c>
      <c r="DG272" s="1152"/>
      <c r="DH272" s="512"/>
      <c r="DI272" s="512"/>
      <c r="DJ272" s="470"/>
      <c r="DK272" s="470"/>
      <c r="DL272" s="470"/>
      <c r="DM272" s="471"/>
      <c r="DN272" s="471" t="str">
        <f>VLOOKUP(X272,Hoja1!$A$4:$B$10,2,0)</f>
        <v>BACHILLER</v>
      </c>
      <c r="DO272" s="471" t="str">
        <f>VLOOKUP(S272,Hoja1!$D$4:$F$77,3,0)</f>
        <v>BII - II</v>
      </c>
      <c r="DP272" s="1156" t="str">
        <f t="shared" si="623"/>
        <v>0</v>
      </c>
      <c r="DQ272" s="1484">
        <f>IF(T272&lt;&gt;"0",(ROUND(IF(A272="EMPLEADO",eval_formula('CONCEPTOS Y PARAMETROS'!$C$8,NOMINA!V272,AU272+BF272,NOMINA!I272+NOMINA!J272),eval_formula('CONCEPTOS Y PARAMETROS'!$D$8,NOMINA!V272,AU272+BF272,NOMINA!I272+NOMINA!J272)),2))*IF(H272&lt;&gt;"",IF(MONTH(H272)=$BR$8,IF(YEAR(H272)&lt;$BT$7,1,0),0)))</f>
        <v>0</v>
      </c>
      <c r="DR272" s="1801" t="str">
        <f t="shared" si="624"/>
        <v>F</v>
      </c>
      <c r="DS272" s="1801"/>
    </row>
    <row r="273" spans="1:123" s="471" customFormat="1" ht="21.95" customHeight="1" x14ac:dyDescent="0.25">
      <c r="A273" s="508" t="s">
        <v>2846</v>
      </c>
      <c r="B273" s="1314">
        <f t="shared" ca="1" si="782"/>
        <v>230</v>
      </c>
      <c r="C273" s="1148">
        <v>25303390</v>
      </c>
      <c r="D273" s="1149" t="s">
        <v>4911</v>
      </c>
      <c r="E273" s="1135" t="s">
        <v>4622</v>
      </c>
      <c r="F273" s="1150">
        <v>35290</v>
      </c>
      <c r="G273" s="1135" t="s">
        <v>4620</v>
      </c>
      <c r="H273" s="1150">
        <v>43862</v>
      </c>
      <c r="I273" s="1140">
        <f t="shared" si="625"/>
        <v>5</v>
      </c>
      <c r="J273" s="1132">
        <v>0</v>
      </c>
      <c r="K273" s="1140">
        <f t="shared" si="600"/>
        <v>5</v>
      </c>
      <c r="L273" s="1145" t="s">
        <v>5525</v>
      </c>
      <c r="M273" s="1132"/>
      <c r="N273" s="1132"/>
      <c r="O273" s="1002" t="s">
        <v>5218</v>
      </c>
      <c r="P273" s="1132" t="s">
        <v>5439</v>
      </c>
      <c r="Q273" s="1315" t="str">
        <f>IFERROR(VLOOKUP(O273,CARGOS!A:E,2,0),"")</f>
        <v>79511</v>
      </c>
      <c r="R273" s="1327" t="s">
        <v>5218</v>
      </c>
      <c r="S273" s="1146" t="s">
        <v>5477</v>
      </c>
      <c r="T273" s="1107">
        <f>IFERROR(VLOOKUP(S273,'TAB EMP'!A:B,2,0),0)</f>
        <v>150</v>
      </c>
      <c r="U273" s="1108">
        <v>0</v>
      </c>
      <c r="V273" s="1107">
        <f t="shared" si="680"/>
        <v>150</v>
      </c>
      <c r="W273" s="1108">
        <f t="shared" si="681"/>
        <v>75</v>
      </c>
      <c r="X273" s="1135" t="s">
        <v>2884</v>
      </c>
      <c r="Y273" s="1135"/>
      <c r="Z273" s="1135">
        <v>2</v>
      </c>
      <c r="AA273" s="1107">
        <f>ROUND(IF(H273&lt;&gt;"",VLOOKUP(SUM(I273+J273),'CONCEPTOS Y PARAMETROS'!F:G,2,0)*V273,0),2)</f>
        <v>7.5</v>
      </c>
      <c r="AB273" s="1107">
        <f>IF(S273&lt;&gt;"",IF(M273="",'CONCEPTOS Y PARAMETROS'!$C$4,0),0)</f>
        <v>130</v>
      </c>
      <c r="AC273" s="1107">
        <f>IF(S273&lt;&gt;"",IF(M273="",'CONCEPTOS Y PARAMETROS'!$C$7*Z273,0),0)</f>
        <v>25</v>
      </c>
      <c r="AD273" s="1107">
        <f>IFERROR(ROUND(VLOOKUP($X273,'CONCEPTOS Y PARAMETROS'!H:I,2,0)*($V273+AA273+AB273+AC273),2),0)</f>
        <v>0</v>
      </c>
      <c r="AE273" s="1107">
        <f t="shared" si="647"/>
        <v>162.5</v>
      </c>
      <c r="AF273" s="1107">
        <f t="shared" si="682"/>
        <v>3.75</v>
      </c>
      <c r="AG273" s="1107">
        <f t="shared" si="683"/>
        <v>3.75</v>
      </c>
      <c r="AH273" s="1107">
        <f t="shared" si="684"/>
        <v>65</v>
      </c>
      <c r="AI273" s="1107">
        <f t="shared" si="685"/>
        <v>65</v>
      </c>
      <c r="AJ273" s="1107">
        <f t="shared" si="686"/>
        <v>0</v>
      </c>
      <c r="AK273" s="1107">
        <f t="shared" si="687"/>
        <v>0</v>
      </c>
      <c r="AL273" s="1108">
        <f t="shared" si="688"/>
        <v>93.75</v>
      </c>
      <c r="AM273" s="1108">
        <f t="shared" si="689"/>
        <v>68.75</v>
      </c>
      <c r="AN273" s="1453">
        <v>2</v>
      </c>
      <c r="AO273" s="1147">
        <f>'CONCEPTOS Y PARAMETROS'!$C$18*AN273</f>
        <v>25</v>
      </c>
      <c r="AP273" s="990">
        <v>0</v>
      </c>
      <c r="AQ273" s="1147">
        <f>'CONCEPTOS Y PARAMETROS'!$C$21*AP273</f>
        <v>0</v>
      </c>
      <c r="AR273" s="1318">
        <v>0</v>
      </c>
      <c r="AS273" s="1318">
        <v>0</v>
      </c>
      <c r="AT273" s="1318">
        <f t="shared" si="784"/>
        <v>25</v>
      </c>
      <c r="AU273" s="1108">
        <f t="shared" si="606"/>
        <v>406.25</v>
      </c>
      <c r="AV273" s="1133" t="s">
        <v>5080</v>
      </c>
      <c r="AW273" s="1108">
        <f t="shared" si="716"/>
        <v>93.75</v>
      </c>
      <c r="AX273" s="1107">
        <f>IF(T273&lt;&gt;"0",(ROUND(IF(A273="EMPLEADO",eval_formula('CONCEPTOS Y PARAMETROS'!$C$8,NOMINA!V273,NOMINA!$AU273,NOMINA!I273+NOMINA!J273),eval_formula('CONCEPTOS Y PARAMETROS'!$D$8,NOMINA!V273,NOMINA!$AU273,NOMINA!I273+NOMINA!J273)),2))*IF(H273&lt;&gt;"",IF(MONTH(H273)=$BR$8,IF(YEAR(H273)&lt;$BT$7,1,0),0)))</f>
        <v>0</v>
      </c>
      <c r="AY273" s="1108">
        <v>180</v>
      </c>
      <c r="AZ273" s="1107">
        <f>IFERROR(VLOOKUP(AY273,'CONCEPTOS Y PARAMETROS'!Y:Z,2,0),0)</f>
        <v>150</v>
      </c>
      <c r="BA273" s="1107">
        <f t="shared" si="690"/>
        <v>3046.88</v>
      </c>
      <c r="BB273" s="1107">
        <f t="shared" si="763"/>
        <v>0</v>
      </c>
      <c r="BC273" s="990">
        <v>0</v>
      </c>
      <c r="BD273" s="1107" t="str">
        <f t="shared" si="607"/>
        <v>0</v>
      </c>
      <c r="BE273" s="990">
        <v>3</v>
      </c>
      <c r="BF273" s="1107">
        <f t="shared" si="703"/>
        <v>60.94</v>
      </c>
      <c r="BG273" s="1108">
        <v>320</v>
      </c>
      <c r="BH273" s="1108">
        <v>0</v>
      </c>
      <c r="BI273" s="1132">
        <v>0</v>
      </c>
      <c r="BJ273" s="1108">
        <v>12.5</v>
      </c>
      <c r="BK273" s="1108">
        <v>0</v>
      </c>
      <c r="BL273" s="1107">
        <f t="shared" si="704"/>
        <v>18.75</v>
      </c>
      <c r="BM273" s="1107">
        <f t="shared" si="705"/>
        <v>2.34</v>
      </c>
      <c r="BN273" s="1107">
        <f t="shared" si="626"/>
        <v>4.0599999999999996</v>
      </c>
      <c r="BO273" s="1107">
        <v>0</v>
      </c>
      <c r="BP273" s="1107">
        <v>0</v>
      </c>
      <c r="BQ273" s="1320">
        <f t="shared" si="630"/>
        <v>25.15</v>
      </c>
      <c r="BR273" s="1107">
        <f t="shared" si="707"/>
        <v>42.19</v>
      </c>
      <c r="BS273" s="1107">
        <f t="shared" si="708"/>
        <v>9.3800000000000008</v>
      </c>
      <c r="BT273" s="1107">
        <f t="shared" si="627"/>
        <v>8.1199999999999992</v>
      </c>
      <c r="BU273" s="1107">
        <v>0</v>
      </c>
      <c r="BV273" s="1108">
        <f t="shared" si="631"/>
        <v>59.69</v>
      </c>
      <c r="BW273" s="1112">
        <f t="shared" si="632"/>
        <v>84.84</v>
      </c>
      <c r="BX273" s="1112">
        <f t="shared" si="783"/>
        <v>761.72</v>
      </c>
      <c r="BY273" s="1108">
        <v>0</v>
      </c>
      <c r="BZ273" s="1108">
        <f t="shared" si="598"/>
        <v>761.72</v>
      </c>
      <c r="CA273" s="1321">
        <f>'CONCEPTOS Y PARAMETROS'!$A$102</f>
        <v>6255</v>
      </c>
      <c r="CB273" s="1112">
        <f t="shared" si="611"/>
        <v>143.6</v>
      </c>
      <c r="CC273" s="1113">
        <f t="shared" si="612"/>
        <v>655.94</v>
      </c>
      <c r="CD273" s="512"/>
      <c r="CE273" s="512"/>
      <c r="CF273" s="470">
        <f t="shared" si="613"/>
        <v>783.75</v>
      </c>
      <c r="CG273" s="495">
        <f t="shared" si="628"/>
        <v>143.6</v>
      </c>
      <c r="CH273" s="498">
        <f t="shared" si="614"/>
        <v>37.5</v>
      </c>
      <c r="CI273" s="1490">
        <f t="shared" si="608"/>
        <v>320</v>
      </c>
      <c r="CJ273" s="1500">
        <v>1</v>
      </c>
      <c r="CK273" s="495">
        <f t="shared" si="615"/>
        <v>463.75</v>
      </c>
      <c r="CL273" s="1689">
        <f t="shared" si="616"/>
        <v>463.75</v>
      </c>
      <c r="CM273" s="1689">
        <f t="shared" si="610"/>
        <v>0</v>
      </c>
      <c r="CN273" s="496">
        <f t="shared" si="617"/>
        <v>60.94</v>
      </c>
      <c r="CO273" s="497">
        <v>0</v>
      </c>
      <c r="CP273" s="496">
        <f t="shared" si="618"/>
        <v>93.75</v>
      </c>
      <c r="CQ273" s="496">
        <f t="shared" si="619"/>
        <v>0</v>
      </c>
      <c r="CR273" s="496">
        <f t="shared" si="620"/>
        <v>1082.19</v>
      </c>
      <c r="CS273" s="496">
        <f t="shared" si="621"/>
        <v>84.84</v>
      </c>
      <c r="CT273" s="496">
        <f t="shared" si="622"/>
        <v>6255</v>
      </c>
      <c r="CU273" s="470"/>
      <c r="CV273" s="470"/>
      <c r="CW273" s="470"/>
      <c r="CX273" s="470"/>
      <c r="CY273" s="1149" t="s">
        <v>7007</v>
      </c>
      <c r="CZ273" s="1149" t="s">
        <v>7008</v>
      </c>
      <c r="DA273" s="480"/>
      <c r="DB273" s="1642" t="s">
        <v>6238</v>
      </c>
      <c r="DC273" s="1642"/>
      <c r="DD273" s="1642" t="s">
        <v>6174</v>
      </c>
      <c r="DE273" s="1642" t="s">
        <v>6237</v>
      </c>
      <c r="DF273" s="1642" t="s">
        <v>6239</v>
      </c>
      <c r="DG273" s="1642"/>
      <c r="DH273" s="512"/>
      <c r="DI273" s="512"/>
      <c r="DJ273" s="470"/>
      <c r="DK273" s="470"/>
      <c r="DL273" s="470"/>
      <c r="DN273" s="471" t="str">
        <f>VLOOKUP(X273,Hoja1!$A$4:$B$10,2,0)</f>
        <v>BACHILLER</v>
      </c>
      <c r="DO273" s="471" t="str">
        <f>VLOOKUP(S273,Hoja1!$D$4:$F$77,3,0)</f>
        <v>BII - II</v>
      </c>
      <c r="DP273" s="1156" t="str">
        <f t="shared" si="623"/>
        <v>SI</v>
      </c>
      <c r="DQ273" s="1484">
        <f>IF(T273&lt;&gt;"0",(ROUND(IF(A273="EMPLEADO",eval_formula('CONCEPTOS Y PARAMETROS'!$C$8,NOMINA!V273,AU273+BF273,NOMINA!I273+NOMINA!J273),eval_formula('CONCEPTOS Y PARAMETROS'!$D$8,NOMINA!V273,AU273+BF273,NOMINA!I273+NOMINA!J273)),2))*IF(H273&lt;&gt;"",IF(MONTH(H273)=$BR$8,IF(YEAR(H273)&lt;$BT$7,1,0),0)))</f>
        <v>0</v>
      </c>
      <c r="DR273" s="1801" t="str">
        <f t="shared" si="624"/>
        <v>F</v>
      </c>
      <c r="DS273" s="1801"/>
    </row>
    <row r="274" spans="1:123" s="476" customFormat="1" ht="21.95" customHeight="1" x14ac:dyDescent="0.25">
      <c r="A274" s="508" t="s">
        <v>2846</v>
      </c>
      <c r="B274" s="1314">
        <f t="shared" ca="1" si="782"/>
        <v>231</v>
      </c>
      <c r="C274" s="1148">
        <v>25454143</v>
      </c>
      <c r="D274" s="1149" t="s">
        <v>6698</v>
      </c>
      <c r="E274" s="1135" t="s">
        <v>4622</v>
      </c>
      <c r="F274" s="1150">
        <v>35500</v>
      </c>
      <c r="G274" s="1135" t="s">
        <v>4620</v>
      </c>
      <c r="H274" s="1150">
        <v>45536</v>
      </c>
      <c r="I274" s="1140">
        <f t="shared" si="625"/>
        <v>1</v>
      </c>
      <c r="J274" s="1132">
        <v>0</v>
      </c>
      <c r="K274" s="1140">
        <f t="shared" si="600"/>
        <v>1</v>
      </c>
      <c r="L274" s="1145" t="s">
        <v>6113</v>
      </c>
      <c r="M274" s="1132"/>
      <c r="N274" s="1132"/>
      <c r="O274" s="1002" t="s">
        <v>5218</v>
      </c>
      <c r="P274" s="1151" t="s">
        <v>6699</v>
      </c>
      <c r="Q274" s="1315" t="str">
        <f>IFERROR(VLOOKUP(O274,CARGOS!A:E,2,0),"")</f>
        <v>79511</v>
      </c>
      <c r="R274" s="1327" t="s">
        <v>5218</v>
      </c>
      <c r="S274" s="1146" t="s">
        <v>5470</v>
      </c>
      <c r="T274" s="1107">
        <f>IFERROR(VLOOKUP(S274,'TAB EMP'!A:B,2,0),0)</f>
        <v>130</v>
      </c>
      <c r="U274" s="1108">
        <v>0</v>
      </c>
      <c r="V274" s="1107">
        <f t="shared" ref="V274" si="786">T274-U274</f>
        <v>130</v>
      </c>
      <c r="W274" s="1108">
        <f t="shared" ref="W274" si="787">ROUND(V274/2,2)</f>
        <v>65</v>
      </c>
      <c r="X274" s="1135" t="s">
        <v>2884</v>
      </c>
      <c r="Y274" s="1135"/>
      <c r="Z274" s="1135">
        <v>1</v>
      </c>
      <c r="AA274" s="1107">
        <f>ROUND(IF(H274&lt;&gt;"",VLOOKUP(SUM(I274+J274),'CONCEPTOS Y PARAMETROS'!F:G,2,0)*V274,0),2)</f>
        <v>1.3</v>
      </c>
      <c r="AB274" s="1107">
        <f>IF(S274&lt;&gt;"",IF(M274="",'CONCEPTOS Y PARAMETROS'!$C$4,0),0)</f>
        <v>130</v>
      </c>
      <c r="AC274" s="1107">
        <f>IF(S274&lt;&gt;"",IF(M274="",'CONCEPTOS Y PARAMETROS'!$C$7*Z274,0),0)</f>
        <v>12.5</v>
      </c>
      <c r="AD274" s="1107">
        <f>IFERROR(ROUND(VLOOKUP($X274,'CONCEPTOS Y PARAMETROS'!H:I,2,0)*($V274+AA274+AB274+AC274),2),0)</f>
        <v>0</v>
      </c>
      <c r="AE274" s="1107">
        <f t="shared" ref="AE274" si="788">SUM(AA274:AD274)</f>
        <v>143.80000000000001</v>
      </c>
      <c r="AF274" s="1107">
        <f t="shared" ref="AF274" si="789">ROUND(AA274/2,2)</f>
        <v>0.65</v>
      </c>
      <c r="AG274" s="1107">
        <f t="shared" ref="AG274" si="790">ROUND(AA274-AF274,2)</f>
        <v>0.65</v>
      </c>
      <c r="AH274" s="1107">
        <f t="shared" ref="AH274" si="791">ROUND(AB274/2,2)</f>
        <v>65</v>
      </c>
      <c r="AI274" s="1107">
        <f t="shared" ref="AI274" si="792">ROUND(AB274-AH274,2)</f>
        <v>65</v>
      </c>
      <c r="AJ274" s="1107">
        <f t="shared" ref="AJ274" si="793">ROUND(AD274/2,2)</f>
        <v>0</v>
      </c>
      <c r="AK274" s="1107">
        <f t="shared" ref="AK274" si="794">ROUND(AD274-AJ274,2)</f>
        <v>0</v>
      </c>
      <c r="AL274" s="1108">
        <f t="shared" ref="AL274" si="795">ROUND(AF274+AH274+AJ274+AC274,2)</f>
        <v>78.150000000000006</v>
      </c>
      <c r="AM274" s="1108">
        <f t="shared" ref="AM274" si="796">ROUND(AG274+AI274+AK274,2)</f>
        <v>65.650000000000006</v>
      </c>
      <c r="AN274" s="990">
        <v>0</v>
      </c>
      <c r="AO274" s="1147">
        <f>'CONCEPTOS Y PARAMETROS'!$C$18*AN274</f>
        <v>0</v>
      </c>
      <c r="AP274" s="990">
        <v>0</v>
      </c>
      <c r="AQ274" s="1147">
        <f>'CONCEPTOS Y PARAMETROS'!$C$21*AP274</f>
        <v>0</v>
      </c>
      <c r="AR274" s="1318">
        <v>0</v>
      </c>
      <c r="AS274" s="1318">
        <v>0</v>
      </c>
      <c r="AT274" s="1318">
        <f t="shared" ref="AT274" si="797">+AO274+AQ274+AR274+AS274</f>
        <v>0</v>
      </c>
      <c r="AU274" s="1108">
        <f t="shared" si="606"/>
        <v>355.94</v>
      </c>
      <c r="AV274" s="1133" t="s">
        <v>5080</v>
      </c>
      <c r="AW274" s="1108">
        <f t="shared" si="716"/>
        <v>82.14</v>
      </c>
      <c r="AX274" s="1107">
        <f>IF(T274&lt;&gt;"0",(ROUND(IF(A274="EMPLEADO",eval_formula('CONCEPTOS Y PARAMETROS'!$C$8,NOMINA!V274,NOMINA!$AU274,NOMINA!I274+NOMINA!J274),eval_formula('CONCEPTOS Y PARAMETROS'!$D$8,NOMINA!V274,NOMINA!$AU274,NOMINA!I274+NOMINA!J274)),2))*IF(H274&lt;&gt;"",IF(MONTH(H274)=$BR$8,IF(YEAR(H274)&lt;$BT$7,1,0),0)))</f>
        <v>2847.52</v>
      </c>
      <c r="AY274" s="1108">
        <v>60</v>
      </c>
      <c r="AZ274" s="1107">
        <f>IFERROR(VLOOKUP(AY274,'CONCEPTOS Y PARAMETROS'!Y:Z,2,0),0)</f>
        <v>50</v>
      </c>
      <c r="BA274" s="1107">
        <f t="shared" ref="BA274" si="798">ROUND((((AU274))/30*AY274/12+(AU274))/30*AZ274,2)</f>
        <v>692.11</v>
      </c>
      <c r="BB274" s="1107">
        <f t="shared" si="763"/>
        <v>0</v>
      </c>
      <c r="BC274" s="990">
        <v>0</v>
      </c>
      <c r="BD274" s="1107" t="str">
        <f t="shared" si="607"/>
        <v>0</v>
      </c>
      <c r="BE274" s="990">
        <v>3</v>
      </c>
      <c r="BF274" s="1107">
        <f t="shared" si="703"/>
        <v>53.39</v>
      </c>
      <c r="BG274" s="1108">
        <v>320</v>
      </c>
      <c r="BH274" s="1108">
        <v>0</v>
      </c>
      <c r="BI274" s="1132">
        <v>0</v>
      </c>
      <c r="BJ274" s="1108">
        <v>12.5</v>
      </c>
      <c r="BK274" s="1108">
        <v>0</v>
      </c>
      <c r="BL274" s="1107">
        <f t="shared" si="704"/>
        <v>16.43</v>
      </c>
      <c r="BM274" s="1107">
        <f t="shared" si="705"/>
        <v>2.0499999999999998</v>
      </c>
      <c r="BN274" s="1107">
        <f t="shared" si="626"/>
        <v>3.56</v>
      </c>
      <c r="BO274" s="1107">
        <v>0</v>
      </c>
      <c r="BP274" s="1107">
        <v>0</v>
      </c>
      <c r="BQ274" s="1320">
        <f t="shared" ref="BQ274" si="799">ROUND(SUM(BL274:BP274),2)</f>
        <v>22.04</v>
      </c>
      <c r="BR274" s="1107">
        <f t="shared" si="707"/>
        <v>36.96</v>
      </c>
      <c r="BS274" s="1107">
        <f t="shared" si="708"/>
        <v>8.2100000000000009</v>
      </c>
      <c r="BT274" s="1107">
        <f t="shared" si="627"/>
        <v>7.12</v>
      </c>
      <c r="BU274" s="1107">
        <v>0</v>
      </c>
      <c r="BV274" s="1108">
        <f t="shared" ref="BV274" si="800">ROUND(SUM(BR274:BT274),2)</f>
        <v>52.29</v>
      </c>
      <c r="BW274" s="1112">
        <f t="shared" ref="BW274" si="801">BQ274+BV274</f>
        <v>74.33</v>
      </c>
      <c r="BX274" s="1112">
        <f t="shared" si="783"/>
        <v>173.03</v>
      </c>
      <c r="BY274" s="1108">
        <v>0</v>
      </c>
      <c r="BZ274" s="1108">
        <f t="shared" si="598"/>
        <v>173.03</v>
      </c>
      <c r="CA274" s="1321">
        <f>'CONCEPTOS Y PARAMETROS'!$A$102</f>
        <v>6255</v>
      </c>
      <c r="CB274" s="1112">
        <f t="shared" si="611"/>
        <v>121.11000000000001</v>
      </c>
      <c r="CC274" s="1113">
        <f t="shared" si="612"/>
        <v>3446.2</v>
      </c>
      <c r="CD274" s="512"/>
      <c r="CE274" s="512"/>
      <c r="CF274" s="470">
        <f t="shared" si="613"/>
        <v>770.65</v>
      </c>
      <c r="CG274" s="509">
        <f t="shared" si="628"/>
        <v>121.11000000000001</v>
      </c>
      <c r="CH274" s="498">
        <f t="shared" si="614"/>
        <v>12.5</v>
      </c>
      <c r="CI274" s="1491">
        <f t="shared" si="608"/>
        <v>320</v>
      </c>
      <c r="CJ274" s="1500">
        <v>1</v>
      </c>
      <c r="CK274" s="509">
        <f t="shared" si="615"/>
        <v>450.65</v>
      </c>
      <c r="CL274" s="1689">
        <f t="shared" si="616"/>
        <v>450.65</v>
      </c>
      <c r="CM274" s="1689">
        <f t="shared" si="610"/>
        <v>0</v>
      </c>
      <c r="CN274" s="510">
        <f t="shared" si="617"/>
        <v>53.39</v>
      </c>
      <c r="CO274" s="511">
        <v>0</v>
      </c>
      <c r="CP274" s="510">
        <f t="shared" si="618"/>
        <v>82.14</v>
      </c>
      <c r="CQ274" s="510">
        <f t="shared" si="619"/>
        <v>2847.52</v>
      </c>
      <c r="CR274" s="496">
        <f t="shared" si="620"/>
        <v>3884.35</v>
      </c>
      <c r="CS274" s="510">
        <f t="shared" si="621"/>
        <v>74.33</v>
      </c>
      <c r="CT274" s="510">
        <f t="shared" si="622"/>
        <v>6255</v>
      </c>
      <c r="CU274" s="470"/>
      <c r="CV274" s="470"/>
      <c r="CW274" s="470"/>
      <c r="CX274" s="470"/>
      <c r="CY274" s="1149" t="s">
        <v>6829</v>
      </c>
      <c r="CZ274" s="1149" t="s">
        <v>6857</v>
      </c>
      <c r="DA274" s="1152"/>
      <c r="DB274" s="1642" t="s">
        <v>6700</v>
      </c>
      <c r="DC274" s="1642"/>
      <c r="DD274" s="1642" t="s">
        <v>7469</v>
      </c>
      <c r="DE274" s="1642" t="s">
        <v>7467</v>
      </c>
      <c r="DF274" s="1642" t="s">
        <v>7466</v>
      </c>
      <c r="DG274" s="1642" t="s">
        <v>7468</v>
      </c>
      <c r="DH274" s="512"/>
      <c r="DI274" s="512"/>
      <c r="DJ274" s="512"/>
      <c r="DK274" s="512"/>
      <c r="DL274" s="512"/>
      <c r="DN274" s="476" t="str">
        <f>VLOOKUP(X274,Hoja1!$A$4:$B$10,2,0)</f>
        <v>BACHILLER</v>
      </c>
      <c r="DO274" s="476" t="str">
        <f>VLOOKUP(S274,Hoja1!$D$4:$F$77,3,0)</f>
        <v>BI</v>
      </c>
      <c r="DP274" s="1177" t="str">
        <f t="shared" si="623"/>
        <v>SI</v>
      </c>
      <c r="DQ274" s="1484">
        <f>IF(T274&lt;&gt;"0",(ROUND(IF(A274="EMPLEADO",eval_formula('CONCEPTOS Y PARAMETROS'!$C$8,NOMINA!V274,AU274+BF274,NOMINA!I274+NOMINA!J274),eval_formula('CONCEPTOS Y PARAMETROS'!$D$8,NOMINA!V274,AU274+BF274,NOMINA!I274+NOMINA!J274)),2))*IF(H274&lt;&gt;"",IF(MONTH(H274)=$BR$8,IF(YEAR(H274)&lt;$BT$7,1,0),0)))</f>
        <v>3274.64</v>
      </c>
      <c r="DR274" s="1799" t="str">
        <f t="shared" si="624"/>
        <v>F</v>
      </c>
      <c r="DS274" s="1799"/>
    </row>
    <row r="275" spans="1:123" s="476" customFormat="1" ht="21.95" customHeight="1" x14ac:dyDescent="0.25">
      <c r="A275" s="508" t="s">
        <v>2846</v>
      </c>
      <c r="B275" s="1314">
        <f t="shared" ca="1" si="782"/>
        <v>232</v>
      </c>
      <c r="C275" s="1148">
        <v>25604733</v>
      </c>
      <c r="D275" s="1149" t="s">
        <v>4912</v>
      </c>
      <c r="E275" s="1135" t="s">
        <v>4622</v>
      </c>
      <c r="F275" s="1150">
        <v>35373</v>
      </c>
      <c r="G275" s="1135" t="s">
        <v>4620</v>
      </c>
      <c r="H275" s="1150">
        <v>43754</v>
      </c>
      <c r="I275" s="1140">
        <f t="shared" si="625"/>
        <v>5</v>
      </c>
      <c r="J275" s="1132">
        <v>0</v>
      </c>
      <c r="K275" s="1140">
        <f t="shared" si="600"/>
        <v>5</v>
      </c>
      <c r="L275" s="1145" t="s">
        <v>5529</v>
      </c>
      <c r="M275" s="1132"/>
      <c r="N275" s="1132"/>
      <c r="O275" s="1002" t="s">
        <v>5266</v>
      </c>
      <c r="P275" s="1132" t="s">
        <v>5440</v>
      </c>
      <c r="Q275" s="1315" t="str">
        <f>IFERROR(VLOOKUP(O275,CARGOS!A:E,2,0),"")</f>
        <v>34232</v>
      </c>
      <c r="R275" s="1327" t="s">
        <v>5266</v>
      </c>
      <c r="S275" s="1146" t="s">
        <v>5477</v>
      </c>
      <c r="T275" s="1107">
        <f>IFERROR(VLOOKUP(S275,'TAB EMP'!A:B,2,0),0)</f>
        <v>150</v>
      </c>
      <c r="U275" s="1108">
        <v>0</v>
      </c>
      <c r="V275" s="1107">
        <f t="shared" si="680"/>
        <v>150</v>
      </c>
      <c r="W275" s="1108">
        <f t="shared" si="681"/>
        <v>75</v>
      </c>
      <c r="X275" s="1135" t="s">
        <v>2884</v>
      </c>
      <c r="Y275" s="1135"/>
      <c r="Z275" s="1135">
        <v>0</v>
      </c>
      <c r="AA275" s="1107">
        <f>ROUND(IF(H275&lt;&gt;"",VLOOKUP(SUM(I275+J275),'CONCEPTOS Y PARAMETROS'!F:G,2,0)*V275,0),2)</f>
        <v>7.5</v>
      </c>
      <c r="AB275" s="1107">
        <f>IF(S275&lt;&gt;"",IF(M275="",'CONCEPTOS Y PARAMETROS'!$C$4,0),0)</f>
        <v>130</v>
      </c>
      <c r="AC275" s="1107">
        <f>IF(S275&lt;&gt;"",IF(M275="",'CONCEPTOS Y PARAMETROS'!$C$7*Z275,0),0)</f>
        <v>0</v>
      </c>
      <c r="AD275" s="1107">
        <f>IFERROR(ROUND(VLOOKUP($X275,'CONCEPTOS Y PARAMETROS'!H:I,2,0)*($V275+AA275+AB275+AC275),2),0)</f>
        <v>0</v>
      </c>
      <c r="AE275" s="1107">
        <f t="shared" si="647"/>
        <v>137.5</v>
      </c>
      <c r="AF275" s="1107">
        <f t="shared" si="682"/>
        <v>3.75</v>
      </c>
      <c r="AG275" s="1107">
        <f t="shared" si="683"/>
        <v>3.75</v>
      </c>
      <c r="AH275" s="1107">
        <f t="shared" si="684"/>
        <v>65</v>
      </c>
      <c r="AI275" s="1107">
        <f t="shared" si="685"/>
        <v>65</v>
      </c>
      <c r="AJ275" s="1107">
        <f t="shared" si="686"/>
        <v>0</v>
      </c>
      <c r="AK275" s="1107">
        <f t="shared" si="687"/>
        <v>0</v>
      </c>
      <c r="AL275" s="1108">
        <f t="shared" si="688"/>
        <v>68.75</v>
      </c>
      <c r="AM275" s="1108">
        <f t="shared" si="689"/>
        <v>68.75</v>
      </c>
      <c r="AN275" s="990">
        <v>0</v>
      </c>
      <c r="AO275" s="1147">
        <f>'CONCEPTOS Y PARAMETROS'!$C$18*AN275</f>
        <v>0</v>
      </c>
      <c r="AP275" s="990">
        <v>0</v>
      </c>
      <c r="AQ275" s="1147">
        <f>'CONCEPTOS Y PARAMETROS'!$C$21*AP275</f>
        <v>0</v>
      </c>
      <c r="AR275" s="1318">
        <v>0</v>
      </c>
      <c r="AS275" s="1318">
        <v>0</v>
      </c>
      <c r="AT275" s="1318">
        <f t="shared" si="784"/>
        <v>0</v>
      </c>
      <c r="AU275" s="1108">
        <f t="shared" si="606"/>
        <v>287.5</v>
      </c>
      <c r="AV275" s="1133">
        <v>0</v>
      </c>
      <c r="AW275" s="1108">
        <f t="shared" si="716"/>
        <v>0</v>
      </c>
      <c r="AX275" s="1107">
        <f>IF(T275&lt;&gt;"0",(ROUND(IF(A275="EMPLEADO",eval_formula('CONCEPTOS Y PARAMETROS'!$C$8,NOMINA!V275,NOMINA!$AU275,NOMINA!I275+NOMINA!J275),eval_formula('CONCEPTOS Y PARAMETROS'!$D$8,NOMINA!V275,NOMINA!$AU275,NOMINA!I275+NOMINA!J275)),2))*IF(H275&lt;&gt;"",IF(MONTH(H275)=$BR$8,IF(YEAR(H275)&lt;$BT$7,1,0),0)))</f>
        <v>0</v>
      </c>
      <c r="AY275" s="1108">
        <v>180</v>
      </c>
      <c r="AZ275" s="1107">
        <f>IFERROR(VLOOKUP(AY275,'CONCEPTOS Y PARAMETROS'!Y:Z,2,0),0)</f>
        <v>150</v>
      </c>
      <c r="BA275" s="1107">
        <f t="shared" si="690"/>
        <v>2156.25</v>
      </c>
      <c r="BB275" s="1107">
        <f t="shared" si="763"/>
        <v>0</v>
      </c>
      <c r="BC275" s="990">
        <v>0</v>
      </c>
      <c r="BD275" s="1107" t="str">
        <f t="shared" si="607"/>
        <v>0</v>
      </c>
      <c r="BE275" s="990">
        <v>0</v>
      </c>
      <c r="BF275" s="1107">
        <f t="shared" si="703"/>
        <v>0</v>
      </c>
      <c r="BG275" s="1108">
        <v>320</v>
      </c>
      <c r="BH275" s="1108">
        <v>0</v>
      </c>
      <c r="BI275" s="1132">
        <v>0</v>
      </c>
      <c r="BJ275" s="1108">
        <v>12.5</v>
      </c>
      <c r="BK275" s="1108">
        <v>0</v>
      </c>
      <c r="BL275" s="1107">
        <f t="shared" si="704"/>
        <v>13.27</v>
      </c>
      <c r="BM275" s="1107">
        <f t="shared" si="705"/>
        <v>1.66</v>
      </c>
      <c r="BN275" s="1107">
        <f t="shared" si="626"/>
        <v>2.88</v>
      </c>
      <c r="BO275" s="1107">
        <v>0</v>
      </c>
      <c r="BP275" s="1107">
        <v>0</v>
      </c>
      <c r="BQ275" s="1320">
        <f t="shared" si="630"/>
        <v>17.809999999999999</v>
      </c>
      <c r="BR275" s="1107">
        <f t="shared" si="707"/>
        <v>29.86</v>
      </c>
      <c r="BS275" s="1107">
        <f t="shared" si="708"/>
        <v>6.63</v>
      </c>
      <c r="BT275" s="1107">
        <f t="shared" si="627"/>
        <v>5.76</v>
      </c>
      <c r="BU275" s="1107">
        <v>0</v>
      </c>
      <c r="BV275" s="1108">
        <f t="shared" si="631"/>
        <v>42.25</v>
      </c>
      <c r="BW275" s="1112">
        <f t="shared" si="632"/>
        <v>60.06</v>
      </c>
      <c r="BX275" s="1112">
        <f t="shared" si="783"/>
        <v>539.05999999999995</v>
      </c>
      <c r="BY275" s="1108">
        <v>0</v>
      </c>
      <c r="BZ275" s="1108">
        <f t="shared" si="598"/>
        <v>539.05999999999995</v>
      </c>
      <c r="CA275" s="1321">
        <f>'CONCEPTOS Y PARAMETROS'!$A$102</f>
        <v>6255</v>
      </c>
      <c r="CB275" s="1112">
        <f t="shared" si="611"/>
        <v>125.94</v>
      </c>
      <c r="CC275" s="1113">
        <f t="shared" si="612"/>
        <v>476.25</v>
      </c>
      <c r="CD275" s="512"/>
      <c r="CE275" s="512"/>
      <c r="CF275" s="470">
        <f t="shared" si="613"/>
        <v>783.75</v>
      </c>
      <c r="CG275" s="509">
        <f t="shared" si="628"/>
        <v>125.94</v>
      </c>
      <c r="CH275" s="1603">
        <f t="shared" si="614"/>
        <v>12.5</v>
      </c>
      <c r="CI275" s="1491">
        <f t="shared" si="608"/>
        <v>320</v>
      </c>
      <c r="CJ275" s="1502">
        <v>1</v>
      </c>
      <c r="CK275" s="509">
        <f t="shared" si="615"/>
        <v>463.75</v>
      </c>
      <c r="CL275" s="1689">
        <f t="shared" si="616"/>
        <v>463.75</v>
      </c>
      <c r="CM275" s="1689">
        <f t="shared" si="610"/>
        <v>0</v>
      </c>
      <c r="CN275" s="510">
        <f t="shared" si="617"/>
        <v>0</v>
      </c>
      <c r="CO275" s="511">
        <v>0</v>
      </c>
      <c r="CP275" s="510">
        <f t="shared" si="618"/>
        <v>0</v>
      </c>
      <c r="CQ275" s="510">
        <f t="shared" si="619"/>
        <v>0</v>
      </c>
      <c r="CR275" s="510">
        <f t="shared" si="620"/>
        <v>927.5</v>
      </c>
      <c r="CS275" s="510">
        <f t="shared" si="621"/>
        <v>60.06</v>
      </c>
      <c r="CT275" s="510">
        <f t="shared" si="622"/>
        <v>6255</v>
      </c>
      <c r="CU275" s="512"/>
      <c r="CV275" s="512"/>
      <c r="CW275" s="512"/>
      <c r="CX275" s="512"/>
      <c r="CY275" s="1149" t="s">
        <v>7009</v>
      </c>
      <c r="CZ275" s="1149" t="s">
        <v>7010</v>
      </c>
      <c r="DA275" s="1152"/>
      <c r="DB275" s="1642" t="s">
        <v>6375</v>
      </c>
      <c r="DC275" s="1642"/>
      <c r="DD275" s="1642" t="s">
        <v>6174</v>
      </c>
      <c r="DE275" s="1642" t="s">
        <v>6174</v>
      </c>
      <c r="DF275" s="1642" t="s">
        <v>6376</v>
      </c>
      <c r="DG275" s="1152"/>
      <c r="DH275" s="512"/>
      <c r="DI275" s="512"/>
      <c r="DJ275" s="512"/>
      <c r="DK275" s="512"/>
      <c r="DL275" s="512"/>
      <c r="DN275" s="476" t="str">
        <f>VLOOKUP(X275,Hoja1!$A$4:$B$10,2,0)</f>
        <v>BACHILLER</v>
      </c>
      <c r="DO275" s="476" t="str">
        <f>VLOOKUP(S275,Hoja1!$D$4:$F$77,3,0)</f>
        <v>BII - II</v>
      </c>
      <c r="DP275" s="1594" t="str">
        <f t="shared" si="623"/>
        <v>0</v>
      </c>
      <c r="DQ275" s="1484">
        <f>IF(T275&lt;&gt;"0",(ROUND(IF(A275="EMPLEADO",eval_formula('CONCEPTOS Y PARAMETROS'!$C$8,NOMINA!V275,AU275+BF275,NOMINA!I275+NOMINA!J275),eval_formula('CONCEPTOS Y PARAMETROS'!$D$8,NOMINA!V275,AU275+BF275,NOMINA!I275+NOMINA!J275)),2))*IF(H275&lt;&gt;"",IF(MONTH(H275)=$BR$8,IF(YEAR(H275)&lt;$BT$7,1,0),0)))</f>
        <v>0</v>
      </c>
      <c r="DR275" s="1799" t="str">
        <f t="shared" si="624"/>
        <v>F</v>
      </c>
      <c r="DS275" s="1799"/>
    </row>
    <row r="276" spans="1:123" s="683" customFormat="1" ht="21.95" customHeight="1" x14ac:dyDescent="0.25">
      <c r="A276" s="508" t="s">
        <v>2846</v>
      </c>
      <c r="B276" s="1314">
        <f ca="1">OFFSET(B276,-1,0)+1</f>
        <v>233</v>
      </c>
      <c r="C276" s="1148">
        <v>25619540</v>
      </c>
      <c r="D276" s="1149" t="s">
        <v>7358</v>
      </c>
      <c r="E276" s="1135" t="s">
        <v>4622</v>
      </c>
      <c r="F276" s="1150">
        <v>34604</v>
      </c>
      <c r="G276" s="1135" t="s">
        <v>4620</v>
      </c>
      <c r="H276" s="1150">
        <v>44743</v>
      </c>
      <c r="I276" s="1140">
        <f t="shared" si="625"/>
        <v>3</v>
      </c>
      <c r="J276" s="1132">
        <v>0</v>
      </c>
      <c r="K276" s="1140">
        <f t="shared" si="600"/>
        <v>3</v>
      </c>
      <c r="L276" s="1145" t="s">
        <v>5536</v>
      </c>
      <c r="M276" s="1132"/>
      <c r="N276" s="1132"/>
      <c r="O276" s="1002" t="s">
        <v>5218</v>
      </c>
      <c r="P276" s="1132" t="s">
        <v>5441</v>
      </c>
      <c r="Q276" s="1315" t="str">
        <f>IFERROR(VLOOKUP(O276,CARGOS!A:E,2,0),"")</f>
        <v>79511</v>
      </c>
      <c r="R276" s="1327" t="s">
        <v>5218</v>
      </c>
      <c r="S276" s="1146" t="s">
        <v>5477</v>
      </c>
      <c r="T276" s="1107">
        <f>IFERROR(VLOOKUP(S276,'TAB EMP'!A:B,2,0),0)</f>
        <v>150</v>
      </c>
      <c r="U276" s="1108">
        <v>0</v>
      </c>
      <c r="V276" s="1107">
        <f t="shared" si="680"/>
        <v>150</v>
      </c>
      <c r="W276" s="1108">
        <f t="shared" si="681"/>
        <v>75</v>
      </c>
      <c r="X276" s="1135" t="s">
        <v>2884</v>
      </c>
      <c r="Y276" s="1135"/>
      <c r="Z276" s="1135">
        <v>2</v>
      </c>
      <c r="AA276" s="1107">
        <f>ROUND(IF(H276&lt;&gt;"",VLOOKUP(SUM(I276+J276),'CONCEPTOS Y PARAMETROS'!F:G,2,0)*V276,0),2)</f>
        <v>4.5</v>
      </c>
      <c r="AB276" s="1107">
        <f>IF(S276&lt;&gt;"",IF(M276="",'CONCEPTOS Y PARAMETROS'!$C$4,0),0)</f>
        <v>130</v>
      </c>
      <c r="AC276" s="1107">
        <f>IF(S276&lt;&gt;"",IF(M276="",'CONCEPTOS Y PARAMETROS'!$C$7*Z276,0),0)</f>
        <v>25</v>
      </c>
      <c r="AD276" s="1107">
        <f>IFERROR(ROUND(VLOOKUP($X276,'CONCEPTOS Y PARAMETROS'!H:I,2,0)*($V276+AA276+AB276+AC276),2),0)</f>
        <v>0</v>
      </c>
      <c r="AE276" s="1107">
        <f t="shared" si="647"/>
        <v>159.5</v>
      </c>
      <c r="AF276" s="1107">
        <f t="shared" si="682"/>
        <v>2.25</v>
      </c>
      <c r="AG276" s="1107">
        <f t="shared" si="683"/>
        <v>2.25</v>
      </c>
      <c r="AH276" s="1107">
        <f t="shared" si="684"/>
        <v>65</v>
      </c>
      <c r="AI276" s="1107">
        <f t="shared" si="685"/>
        <v>65</v>
      </c>
      <c r="AJ276" s="1107">
        <f t="shared" si="686"/>
        <v>0</v>
      </c>
      <c r="AK276" s="1107">
        <f t="shared" si="687"/>
        <v>0</v>
      </c>
      <c r="AL276" s="1108">
        <f t="shared" si="688"/>
        <v>92.25</v>
      </c>
      <c r="AM276" s="1108">
        <f t="shared" si="689"/>
        <v>67.25</v>
      </c>
      <c r="AN276" s="990">
        <v>2</v>
      </c>
      <c r="AO276" s="1147">
        <f>'CONCEPTOS Y PARAMETROS'!$C$18*AN276</f>
        <v>25</v>
      </c>
      <c r="AP276" s="990">
        <v>0</v>
      </c>
      <c r="AQ276" s="1147">
        <f>'CONCEPTOS Y PARAMETROS'!$C$21*AP276</f>
        <v>0</v>
      </c>
      <c r="AR276" s="1318">
        <v>0</v>
      </c>
      <c r="AS276" s="1318">
        <v>0</v>
      </c>
      <c r="AT276" s="1318">
        <f t="shared" si="784"/>
        <v>25</v>
      </c>
      <c r="AU276" s="1108">
        <f t="shared" si="606"/>
        <v>402.35</v>
      </c>
      <c r="AV276" s="1133" t="s">
        <v>5080</v>
      </c>
      <c r="AW276" s="1108">
        <f t="shared" si="716"/>
        <v>92.85</v>
      </c>
      <c r="AX276" s="1107">
        <f>IF(T276&lt;&gt;"0",(ROUND(IF(A276="EMPLEADO",eval_formula('CONCEPTOS Y PARAMETROS'!$C$8,NOMINA!V276,NOMINA!$AU276,NOMINA!I276+NOMINA!J276),eval_formula('CONCEPTOS Y PARAMETROS'!$D$8,NOMINA!V276,NOMINA!$AU276,NOMINA!I276+NOMINA!J276)),2))*IF(H276&lt;&gt;"",IF(MONTH(H276)=$BR$8,IF(YEAR(H276)&lt;$BT$7,1,0),0)))</f>
        <v>0</v>
      </c>
      <c r="AY276" s="1108">
        <v>180</v>
      </c>
      <c r="AZ276" s="1107">
        <f>IFERROR(VLOOKUP(AY276,'CONCEPTOS Y PARAMETROS'!Y:Z,2,0),0)</f>
        <v>150</v>
      </c>
      <c r="BA276" s="1107">
        <f t="shared" si="690"/>
        <v>3017.63</v>
      </c>
      <c r="BB276" s="1107">
        <f t="shared" si="763"/>
        <v>0</v>
      </c>
      <c r="BC276" s="990">
        <v>0</v>
      </c>
      <c r="BD276" s="1107" t="str">
        <f t="shared" si="607"/>
        <v>0</v>
      </c>
      <c r="BE276" s="1637">
        <v>3</v>
      </c>
      <c r="BF276" s="1107">
        <f t="shared" si="703"/>
        <v>60.35</v>
      </c>
      <c r="BG276" s="1108">
        <v>320</v>
      </c>
      <c r="BH276" s="1108">
        <v>0</v>
      </c>
      <c r="BI276" s="1132">
        <v>0</v>
      </c>
      <c r="BJ276" s="1108">
        <v>12.5</v>
      </c>
      <c r="BK276" s="1108">
        <v>0</v>
      </c>
      <c r="BL276" s="1107">
        <f t="shared" si="704"/>
        <v>18.57</v>
      </c>
      <c r="BM276" s="1107">
        <f t="shared" si="705"/>
        <v>2.3199999999999998</v>
      </c>
      <c r="BN276" s="1107">
        <f t="shared" si="626"/>
        <v>4.0199999999999996</v>
      </c>
      <c r="BO276" s="1107">
        <v>0</v>
      </c>
      <c r="BP276" s="1107">
        <v>0</v>
      </c>
      <c r="BQ276" s="1320">
        <f t="shared" si="630"/>
        <v>24.91</v>
      </c>
      <c r="BR276" s="1107">
        <f t="shared" si="707"/>
        <v>41.78</v>
      </c>
      <c r="BS276" s="1107">
        <f t="shared" si="708"/>
        <v>9.2899999999999991</v>
      </c>
      <c r="BT276" s="1107">
        <f t="shared" si="627"/>
        <v>8.0399999999999991</v>
      </c>
      <c r="BU276" s="1107">
        <v>0</v>
      </c>
      <c r="BV276" s="1108">
        <f t="shared" si="631"/>
        <v>59.11</v>
      </c>
      <c r="BW276" s="1112">
        <f t="shared" si="632"/>
        <v>84.02</v>
      </c>
      <c r="BX276" s="1112">
        <f t="shared" si="783"/>
        <v>754.41</v>
      </c>
      <c r="BY276" s="1108">
        <v>0</v>
      </c>
      <c r="BZ276" s="1108">
        <f t="shared" si="598"/>
        <v>754.41</v>
      </c>
      <c r="CA276" s="1321">
        <f>'CONCEPTOS Y PARAMETROS'!$A$102</f>
        <v>6255</v>
      </c>
      <c r="CB276" s="1112">
        <f t="shared" si="611"/>
        <v>142.34</v>
      </c>
      <c r="CC276" s="1113">
        <f t="shared" si="612"/>
        <v>652.95000000000005</v>
      </c>
      <c r="CD276" s="512"/>
      <c r="CE276" s="512"/>
      <c r="CF276" s="470">
        <f t="shared" si="613"/>
        <v>782.25</v>
      </c>
      <c r="CG276" s="509">
        <f t="shared" si="628"/>
        <v>142.34</v>
      </c>
      <c r="CH276" s="1603">
        <f t="shared" si="614"/>
        <v>37.5</v>
      </c>
      <c r="CI276" s="1491">
        <f t="shared" si="608"/>
        <v>320</v>
      </c>
      <c r="CJ276" s="1502">
        <v>1</v>
      </c>
      <c r="CK276" s="509">
        <f t="shared" si="615"/>
        <v>462.25</v>
      </c>
      <c r="CL276" s="1689">
        <f t="shared" si="616"/>
        <v>462.25</v>
      </c>
      <c r="CM276" s="1689">
        <f t="shared" si="610"/>
        <v>0</v>
      </c>
      <c r="CN276" s="510">
        <f t="shared" si="617"/>
        <v>60.35</v>
      </c>
      <c r="CO276" s="511">
        <v>0</v>
      </c>
      <c r="CP276" s="510">
        <f t="shared" si="618"/>
        <v>92.85</v>
      </c>
      <c r="CQ276" s="510">
        <f t="shared" si="619"/>
        <v>0</v>
      </c>
      <c r="CR276" s="510">
        <f t="shared" si="620"/>
        <v>1077.7</v>
      </c>
      <c r="CS276" s="510">
        <f t="shared" si="621"/>
        <v>84.02</v>
      </c>
      <c r="CT276" s="510">
        <f t="shared" si="622"/>
        <v>6255</v>
      </c>
      <c r="CU276" s="512"/>
      <c r="CV276" s="512"/>
      <c r="CW276" s="512"/>
      <c r="CX276" s="512"/>
      <c r="CY276" s="1149" t="s">
        <v>7011</v>
      </c>
      <c r="CZ276" s="1149" t="s">
        <v>6805</v>
      </c>
      <c r="DA276" s="1152"/>
      <c r="DB276" s="1642" t="s">
        <v>6304</v>
      </c>
      <c r="DC276" s="1642"/>
      <c r="DD276" s="1642" t="s">
        <v>6150</v>
      </c>
      <c r="DE276" s="1642" t="s">
        <v>6244</v>
      </c>
      <c r="DF276" s="1642" t="s">
        <v>7483</v>
      </c>
      <c r="DG276" s="1642"/>
      <c r="DH276" s="512"/>
      <c r="DI276" s="512"/>
      <c r="DJ276" s="512"/>
      <c r="DK276" s="512"/>
      <c r="DL276" s="512"/>
      <c r="DM276" s="476"/>
      <c r="DN276" s="476" t="str">
        <f>VLOOKUP(X276,Hoja1!$A$4:$B$10,2,0)</f>
        <v>BACHILLER</v>
      </c>
      <c r="DO276" s="476" t="str">
        <f>VLOOKUP(S276,Hoja1!$D$4:$F$77,3,0)</f>
        <v>BII - II</v>
      </c>
      <c r="DP276" s="1594" t="str">
        <f t="shared" si="623"/>
        <v>SI</v>
      </c>
      <c r="DQ276" s="1484">
        <f>IF(T276&lt;&gt;"0",(ROUND(IF(A276="EMPLEADO",eval_formula('CONCEPTOS Y PARAMETROS'!$C$8,NOMINA!V276,AU276+BF276,NOMINA!I276+NOMINA!J276),eval_formula('CONCEPTOS Y PARAMETROS'!$D$8,NOMINA!V276,AU276+BF276,NOMINA!I276+NOMINA!J276)),2))*IF(H276&lt;&gt;"",IF(MONTH(H276)=$BR$8,IF(YEAR(H276)&lt;$BT$7,1,0),0)))</f>
        <v>0</v>
      </c>
      <c r="DR276" s="1799" t="str">
        <f t="shared" si="624"/>
        <v>F</v>
      </c>
      <c r="DS276" s="1799"/>
    </row>
    <row r="277" spans="1:123" s="476" customFormat="1" ht="21.95" customHeight="1" x14ac:dyDescent="0.25">
      <c r="A277" s="508" t="s">
        <v>2846</v>
      </c>
      <c r="B277" s="1314">
        <f t="shared" ca="1" si="782"/>
        <v>234</v>
      </c>
      <c r="C277" s="1148">
        <v>26094609</v>
      </c>
      <c r="D277" s="1149" t="s">
        <v>4914</v>
      </c>
      <c r="E277" s="1135" t="s">
        <v>4622</v>
      </c>
      <c r="F277" s="1150">
        <v>35785</v>
      </c>
      <c r="G277" s="1135" t="s">
        <v>4620</v>
      </c>
      <c r="H277" s="1150">
        <v>44713</v>
      </c>
      <c r="I277" s="1140">
        <f t="shared" si="625"/>
        <v>3</v>
      </c>
      <c r="J277" s="1132">
        <v>0</v>
      </c>
      <c r="K277" s="1140">
        <f t="shared" si="600"/>
        <v>3</v>
      </c>
      <c r="L277" s="1145" t="s">
        <v>5518</v>
      </c>
      <c r="M277" s="1132"/>
      <c r="N277" s="1132"/>
      <c r="O277" s="1002" t="s">
        <v>5212</v>
      </c>
      <c r="P277" s="1132" t="s">
        <v>5442</v>
      </c>
      <c r="Q277" s="1315" t="str">
        <f>IFERROR(VLOOKUP(O277,CARGOS!A:E,2,0),"")</f>
        <v>35121</v>
      </c>
      <c r="R277" s="1327" t="s">
        <v>5212</v>
      </c>
      <c r="S277" s="1146" t="s">
        <v>5467</v>
      </c>
      <c r="T277" s="1107">
        <f>IFERROR(VLOOKUP(S277,'TAB EMP'!A:B,2,0),0)</f>
        <v>277</v>
      </c>
      <c r="U277" s="1108">
        <v>0</v>
      </c>
      <c r="V277" s="1107">
        <f t="shared" si="680"/>
        <v>277</v>
      </c>
      <c r="W277" s="1108">
        <f t="shared" si="681"/>
        <v>138.5</v>
      </c>
      <c r="X277" s="1135" t="s">
        <v>2885</v>
      </c>
      <c r="Y277" s="1135"/>
      <c r="Z277" s="1135">
        <v>0</v>
      </c>
      <c r="AA277" s="1107">
        <f>ROUND(IF(H277&lt;&gt;"",VLOOKUP(SUM(I277+J277),'CONCEPTOS Y PARAMETROS'!F:G,2,0)*V277,0),2)</f>
        <v>8.31</v>
      </c>
      <c r="AB277" s="1107">
        <f>IF(S277&lt;&gt;"",IF(M277="",'CONCEPTOS Y PARAMETROS'!$C$4,0),0)</f>
        <v>130</v>
      </c>
      <c r="AC277" s="1107">
        <f>IF(S277&lt;&gt;"",IF(M277="",'CONCEPTOS Y PARAMETROS'!$C$7*Z277,0),0)</f>
        <v>0</v>
      </c>
      <c r="AD277" s="1107">
        <f>IFERROR(ROUND(VLOOKUP($X277,'CONCEPTOS Y PARAMETROS'!H:I,2,0)*($V277+AA277+AB277+AC277),2),0)</f>
        <v>103.83</v>
      </c>
      <c r="AE277" s="1107">
        <f t="shared" si="647"/>
        <v>242.14</v>
      </c>
      <c r="AF277" s="1107">
        <f t="shared" si="682"/>
        <v>4.16</v>
      </c>
      <c r="AG277" s="1107">
        <f t="shared" si="683"/>
        <v>4.1500000000000004</v>
      </c>
      <c r="AH277" s="1107">
        <f t="shared" si="684"/>
        <v>65</v>
      </c>
      <c r="AI277" s="1107">
        <f t="shared" si="685"/>
        <v>65</v>
      </c>
      <c r="AJ277" s="1107">
        <f t="shared" si="686"/>
        <v>51.92</v>
      </c>
      <c r="AK277" s="1107">
        <f t="shared" si="687"/>
        <v>51.91</v>
      </c>
      <c r="AL277" s="1108">
        <f t="shared" si="688"/>
        <v>121.08</v>
      </c>
      <c r="AM277" s="1108">
        <f t="shared" si="689"/>
        <v>121.06</v>
      </c>
      <c r="AN277" s="990">
        <v>0</v>
      </c>
      <c r="AO277" s="1147">
        <f>'CONCEPTOS Y PARAMETROS'!$C$18*AN277</f>
        <v>0</v>
      </c>
      <c r="AP277" s="990">
        <v>0</v>
      </c>
      <c r="AQ277" s="1147">
        <f>'CONCEPTOS Y PARAMETROS'!$C$21*AP277</f>
        <v>0</v>
      </c>
      <c r="AR277" s="1318">
        <v>0</v>
      </c>
      <c r="AS277" s="1318">
        <v>0</v>
      </c>
      <c r="AT277" s="1318">
        <f t="shared" si="784"/>
        <v>0</v>
      </c>
      <c r="AU277" s="1108">
        <f t="shared" si="606"/>
        <v>519.14</v>
      </c>
      <c r="AV277" s="1133">
        <v>0</v>
      </c>
      <c r="AW277" s="1108">
        <f t="shared" si="716"/>
        <v>0</v>
      </c>
      <c r="AX277" s="1107">
        <f>IF(T277&lt;&gt;"0",(ROUND(IF(A277="EMPLEADO",eval_formula('CONCEPTOS Y PARAMETROS'!$C$8,NOMINA!V277,NOMINA!$AU277,NOMINA!I277+NOMINA!J277),eval_formula('CONCEPTOS Y PARAMETROS'!$D$8,NOMINA!V277,NOMINA!$AU277,NOMINA!I277+NOMINA!J277)),2))*IF(H277&lt;&gt;"",IF(MONTH(H277)=$BR$8,IF(YEAR(H277)&lt;$BT$7,1,0),0)))</f>
        <v>0</v>
      </c>
      <c r="AY277" s="1108">
        <v>180</v>
      </c>
      <c r="AZ277" s="1107">
        <f>IFERROR(VLOOKUP(AY277,'CONCEPTOS Y PARAMETROS'!Y:Z,2,0),0)</f>
        <v>150</v>
      </c>
      <c r="BA277" s="1107">
        <f t="shared" si="690"/>
        <v>3893.55</v>
      </c>
      <c r="BB277" s="1107">
        <f t="shared" si="763"/>
        <v>0</v>
      </c>
      <c r="BC277" s="990">
        <v>0</v>
      </c>
      <c r="BD277" s="1107" t="str">
        <f t="shared" si="607"/>
        <v>0</v>
      </c>
      <c r="BE277" s="990">
        <v>0</v>
      </c>
      <c r="BF277" s="1107">
        <f t="shared" si="703"/>
        <v>0</v>
      </c>
      <c r="BG277" s="1108">
        <v>320</v>
      </c>
      <c r="BH277" s="1108">
        <v>0</v>
      </c>
      <c r="BI277" s="1132">
        <v>0</v>
      </c>
      <c r="BJ277" s="1108">
        <v>12.5</v>
      </c>
      <c r="BK277" s="1108">
        <v>0</v>
      </c>
      <c r="BL277" s="1107">
        <f t="shared" si="704"/>
        <v>23.96</v>
      </c>
      <c r="BM277" s="1107">
        <f t="shared" si="705"/>
        <v>3</v>
      </c>
      <c r="BN277" s="1107">
        <f t="shared" si="626"/>
        <v>5.19</v>
      </c>
      <c r="BO277" s="1107">
        <v>0</v>
      </c>
      <c r="BP277" s="1107">
        <v>0</v>
      </c>
      <c r="BQ277" s="1320">
        <f t="shared" si="630"/>
        <v>32.15</v>
      </c>
      <c r="BR277" s="1107">
        <f t="shared" si="707"/>
        <v>53.91</v>
      </c>
      <c r="BS277" s="1107">
        <f t="shared" si="708"/>
        <v>11.98</v>
      </c>
      <c r="BT277" s="1107">
        <f t="shared" si="627"/>
        <v>10.38</v>
      </c>
      <c r="BU277" s="1107">
        <v>0</v>
      </c>
      <c r="BV277" s="1108">
        <f t="shared" si="631"/>
        <v>76.27</v>
      </c>
      <c r="BW277" s="1112">
        <f t="shared" si="632"/>
        <v>108.41999999999999</v>
      </c>
      <c r="BX277" s="1112">
        <f t="shared" si="783"/>
        <v>973.39</v>
      </c>
      <c r="BY277" s="1108">
        <v>0</v>
      </c>
      <c r="BZ277" s="1108">
        <f t="shared" si="598"/>
        <v>973.39</v>
      </c>
      <c r="CA277" s="1321">
        <f>'CONCEPTOS Y PARAMETROS'!$A$102</f>
        <v>6255</v>
      </c>
      <c r="CB277" s="1112">
        <f t="shared" si="611"/>
        <v>227.42999999999998</v>
      </c>
      <c r="CC277" s="1113">
        <f t="shared" si="612"/>
        <v>592.05999999999995</v>
      </c>
      <c r="CD277" s="512"/>
      <c r="CE277" s="512"/>
      <c r="CF277" s="470">
        <f t="shared" si="613"/>
        <v>899.56</v>
      </c>
      <c r="CG277" s="509">
        <f t="shared" si="628"/>
        <v>227.42999999999998</v>
      </c>
      <c r="CH277" s="1603">
        <f t="shared" si="614"/>
        <v>12.5</v>
      </c>
      <c r="CI277" s="1491">
        <f t="shared" si="608"/>
        <v>320</v>
      </c>
      <c r="CJ277" s="1502">
        <v>1</v>
      </c>
      <c r="CK277" s="509">
        <f t="shared" si="615"/>
        <v>579.55999999999995</v>
      </c>
      <c r="CL277" s="1689">
        <f t="shared" si="616"/>
        <v>579.55999999999995</v>
      </c>
      <c r="CM277" s="1689">
        <f t="shared" si="610"/>
        <v>0</v>
      </c>
      <c r="CN277" s="510">
        <f t="shared" si="617"/>
        <v>0</v>
      </c>
      <c r="CO277" s="511">
        <v>0</v>
      </c>
      <c r="CP277" s="510">
        <f t="shared" si="618"/>
        <v>0</v>
      </c>
      <c r="CQ277" s="510">
        <f t="shared" si="619"/>
        <v>0</v>
      </c>
      <c r="CR277" s="510">
        <f t="shared" si="620"/>
        <v>1159.1199999999999</v>
      </c>
      <c r="CS277" s="510">
        <f t="shared" si="621"/>
        <v>108.41999999999999</v>
      </c>
      <c r="CT277" s="510">
        <f t="shared" si="622"/>
        <v>6255</v>
      </c>
      <c r="CU277" s="512"/>
      <c r="CV277" s="512"/>
      <c r="CW277" s="512"/>
      <c r="CX277" s="512"/>
      <c r="CY277" s="1149" t="s">
        <v>7012</v>
      </c>
      <c r="CZ277" s="1149" t="s">
        <v>7013</v>
      </c>
      <c r="DA277" s="1152"/>
      <c r="DB277" s="1642" t="s">
        <v>6419</v>
      </c>
      <c r="DC277" s="1642"/>
      <c r="DD277" s="1642" t="s">
        <v>6135</v>
      </c>
      <c r="DE277" s="1642" t="s">
        <v>6192</v>
      </c>
      <c r="DF277" s="1642" t="s">
        <v>6420</v>
      </c>
      <c r="DG277" s="1152"/>
      <c r="DH277" s="512"/>
      <c r="DI277" s="512"/>
      <c r="DJ277" s="512"/>
      <c r="DK277" s="512"/>
      <c r="DL277" s="512"/>
      <c r="DN277" s="476" t="str">
        <f>VLOOKUP(X277,Hoja1!$A$4:$B$10,2,0)</f>
        <v>PROFESIONAL</v>
      </c>
      <c r="DO277" s="476" t="str">
        <f>VLOOKUP(S277,Hoja1!$D$4:$F$77,3,0)</f>
        <v>PII - II</v>
      </c>
      <c r="DP277" s="1594" t="str">
        <f t="shared" si="623"/>
        <v>0</v>
      </c>
      <c r="DQ277" s="1484">
        <f>IF(T277&lt;&gt;"0",(ROUND(IF(A277="EMPLEADO",eval_formula('CONCEPTOS Y PARAMETROS'!$C$8,NOMINA!V277,AU277+BF277,NOMINA!I277+NOMINA!J277),eval_formula('CONCEPTOS Y PARAMETROS'!$D$8,NOMINA!V277,AU277+BF277,NOMINA!I277+NOMINA!J277)),2))*IF(H277&lt;&gt;"",IF(MONTH(H277)=$BR$8,IF(YEAR(H277)&lt;$BT$7,1,0),0)))</f>
        <v>0</v>
      </c>
      <c r="DR277" s="1799" t="str">
        <f t="shared" si="624"/>
        <v>F</v>
      </c>
      <c r="DS277" s="1799"/>
    </row>
    <row r="278" spans="1:123" s="476" customFormat="1" ht="21.95" customHeight="1" x14ac:dyDescent="0.25">
      <c r="A278" s="508" t="s">
        <v>2846</v>
      </c>
      <c r="B278" s="1314">
        <f ca="1">OFFSET(B278,-1,0)+1</f>
        <v>235</v>
      </c>
      <c r="C278" s="1148">
        <v>26094690</v>
      </c>
      <c r="D278" s="1149" t="s">
        <v>5511</v>
      </c>
      <c r="E278" s="1135" t="s">
        <v>4622</v>
      </c>
      <c r="F278" s="1150">
        <v>35649</v>
      </c>
      <c r="G278" s="1135" t="s">
        <v>4621</v>
      </c>
      <c r="H278" s="1150">
        <v>45017</v>
      </c>
      <c r="I278" s="1140">
        <f t="shared" si="625"/>
        <v>2</v>
      </c>
      <c r="J278" s="1132">
        <v>0</v>
      </c>
      <c r="K278" s="1140">
        <f t="shared" si="600"/>
        <v>2</v>
      </c>
      <c r="L278" s="1145" t="s">
        <v>5536</v>
      </c>
      <c r="M278" s="1132"/>
      <c r="N278" s="1132"/>
      <c r="O278" s="1002" t="s">
        <v>5218</v>
      </c>
      <c r="P278" s="1151" t="s">
        <v>5512</v>
      </c>
      <c r="Q278" s="1315" t="str">
        <f>IFERROR(VLOOKUP(O278,CARGOS!A:E,2,0),"")</f>
        <v>79511</v>
      </c>
      <c r="R278" s="1327" t="s">
        <v>5218</v>
      </c>
      <c r="S278" s="1146" t="s">
        <v>5470</v>
      </c>
      <c r="T278" s="1107">
        <f>IFERROR(VLOOKUP(S278,'TAB EMP'!A:B,2,0),0)</f>
        <v>130</v>
      </c>
      <c r="U278" s="1108">
        <v>0</v>
      </c>
      <c r="V278" s="1107">
        <f t="shared" si="680"/>
        <v>130</v>
      </c>
      <c r="W278" s="1108">
        <f t="shared" si="681"/>
        <v>65</v>
      </c>
      <c r="X278" s="1135" t="s">
        <v>2884</v>
      </c>
      <c r="Y278" s="1135"/>
      <c r="Z278" s="1135">
        <v>2</v>
      </c>
      <c r="AA278" s="1107">
        <f>ROUND(IF(H278&lt;&gt;"",VLOOKUP(SUM(I278+J278),'CONCEPTOS Y PARAMETROS'!F:G,2,0)*V278,0),2)</f>
        <v>2.6</v>
      </c>
      <c r="AB278" s="1107">
        <f>IF(S278&lt;&gt;"",IF(M278="",'CONCEPTOS Y PARAMETROS'!$C$4,0),0)</f>
        <v>130</v>
      </c>
      <c r="AC278" s="1107">
        <f>IF(S278&lt;&gt;"",IF(M278="",'CONCEPTOS Y PARAMETROS'!$C$7*Z278,0),0)</f>
        <v>25</v>
      </c>
      <c r="AD278" s="1107">
        <f>IFERROR(ROUND(VLOOKUP($X278,'CONCEPTOS Y PARAMETROS'!H:I,2,0)*($V278+AA278+AB278+AC278),2),0)</f>
        <v>0</v>
      </c>
      <c r="AE278" s="1107">
        <f t="shared" si="647"/>
        <v>157.6</v>
      </c>
      <c r="AF278" s="1107">
        <f t="shared" si="682"/>
        <v>1.3</v>
      </c>
      <c r="AG278" s="1107">
        <f t="shared" si="683"/>
        <v>1.3</v>
      </c>
      <c r="AH278" s="1107">
        <f t="shared" si="684"/>
        <v>65</v>
      </c>
      <c r="AI278" s="1107">
        <f t="shared" si="685"/>
        <v>65</v>
      </c>
      <c r="AJ278" s="1107">
        <f t="shared" si="686"/>
        <v>0</v>
      </c>
      <c r="AK278" s="1107">
        <f t="shared" si="687"/>
        <v>0</v>
      </c>
      <c r="AL278" s="1108">
        <f t="shared" si="688"/>
        <v>91.3</v>
      </c>
      <c r="AM278" s="1108">
        <f t="shared" si="689"/>
        <v>66.3</v>
      </c>
      <c r="AN278" s="990">
        <v>0</v>
      </c>
      <c r="AO278" s="1147">
        <f>'CONCEPTOS Y PARAMETROS'!$C$18*AN278</f>
        <v>0</v>
      </c>
      <c r="AP278" s="990">
        <v>0</v>
      </c>
      <c r="AQ278" s="1147">
        <f>'CONCEPTOS Y PARAMETROS'!$C$21*AP278</f>
        <v>0</v>
      </c>
      <c r="AR278" s="1318">
        <v>0</v>
      </c>
      <c r="AS278" s="1318">
        <v>0</v>
      </c>
      <c r="AT278" s="1318">
        <f t="shared" si="784"/>
        <v>0</v>
      </c>
      <c r="AU278" s="1108">
        <f t="shared" si="606"/>
        <v>373.88</v>
      </c>
      <c r="AV278" s="1133" t="s">
        <v>5080</v>
      </c>
      <c r="AW278" s="1108">
        <f t="shared" si="716"/>
        <v>86.28</v>
      </c>
      <c r="AX278" s="1107">
        <f>IF(T278&lt;&gt;"0",(ROUND(IF(A278="EMPLEADO",eval_formula('CONCEPTOS Y PARAMETROS'!$C$8,NOMINA!V278,NOMINA!$AU278,NOMINA!I278+NOMINA!J278),eval_formula('CONCEPTOS Y PARAMETROS'!$D$8,NOMINA!V278,NOMINA!$AU278,NOMINA!I278+NOMINA!J278)),2))*IF(H278&lt;&gt;"",IF(MONTH(H278)=$BR$8,IF(YEAR(H278)&lt;$BT$7,1,0),0)))</f>
        <v>0</v>
      </c>
      <c r="AY278" s="1108">
        <v>180</v>
      </c>
      <c r="AZ278" s="1107">
        <f>IFERROR(VLOOKUP(AY278,'CONCEPTOS Y PARAMETROS'!Y:Z,2,0),0)</f>
        <v>150</v>
      </c>
      <c r="BA278" s="1107">
        <f t="shared" si="690"/>
        <v>2804.1</v>
      </c>
      <c r="BB278" s="1107">
        <f t="shared" si="763"/>
        <v>0</v>
      </c>
      <c r="BC278" s="990">
        <v>0</v>
      </c>
      <c r="BD278" s="1107" t="str">
        <f t="shared" si="607"/>
        <v>0</v>
      </c>
      <c r="BE278" s="1637">
        <v>3</v>
      </c>
      <c r="BF278" s="1107">
        <f t="shared" ref="BF278:BF302" si="802">ROUND(IF(BE278&gt;0,(((V278+AA278+AB278+AC278+AD278+AW278)/30)*50%+((V278+AA278+AB278+AC278+AD278+AW278)/30))*BE278,"0"),2)</f>
        <v>56.08</v>
      </c>
      <c r="BG278" s="1108">
        <v>320</v>
      </c>
      <c r="BH278" s="1108">
        <v>0</v>
      </c>
      <c r="BI278" s="1132">
        <v>0</v>
      </c>
      <c r="BJ278" s="1108">
        <v>12.5</v>
      </c>
      <c r="BK278" s="1108">
        <v>0</v>
      </c>
      <c r="BL278" s="1107">
        <f t="shared" si="704"/>
        <v>17.260000000000002</v>
      </c>
      <c r="BM278" s="1107">
        <f t="shared" si="705"/>
        <v>2.16</v>
      </c>
      <c r="BN278" s="1107">
        <f t="shared" si="626"/>
        <v>3.74</v>
      </c>
      <c r="BO278" s="1107">
        <v>0</v>
      </c>
      <c r="BP278" s="1107">
        <v>0</v>
      </c>
      <c r="BQ278" s="1320">
        <f t="shared" ref="BQ278" si="803">ROUND(SUM(BL278:BP278),2)</f>
        <v>23.16</v>
      </c>
      <c r="BR278" s="1107">
        <f t="shared" si="707"/>
        <v>38.83</v>
      </c>
      <c r="BS278" s="1107">
        <f t="shared" si="708"/>
        <v>8.6300000000000008</v>
      </c>
      <c r="BT278" s="1107">
        <f t="shared" si="627"/>
        <v>7.48</v>
      </c>
      <c r="BU278" s="1107">
        <v>0</v>
      </c>
      <c r="BV278" s="1108">
        <f t="shared" ref="BV278" si="804">ROUND(SUM(BR278:BT278),2)</f>
        <v>54.94</v>
      </c>
      <c r="BW278" s="1112">
        <f t="shared" ref="BW278" si="805">BQ278+BV278</f>
        <v>78.099999999999994</v>
      </c>
      <c r="BX278" s="1112">
        <f t="shared" si="783"/>
        <v>701.03</v>
      </c>
      <c r="BY278" s="1108">
        <v>0</v>
      </c>
      <c r="BZ278" s="1108">
        <f t="shared" si="598"/>
        <v>701.03</v>
      </c>
      <c r="CA278" s="1321">
        <f>'CONCEPTOS Y PARAMETROS'!$A$102</f>
        <v>6255</v>
      </c>
      <c r="CB278" s="1112">
        <f t="shared" si="611"/>
        <v>133.14000000000001</v>
      </c>
      <c r="CC278" s="1113">
        <f t="shared" si="612"/>
        <v>606.16</v>
      </c>
      <c r="CD278" s="512"/>
      <c r="CE278" s="512"/>
      <c r="CF278" s="470">
        <f t="shared" si="613"/>
        <v>771.3</v>
      </c>
      <c r="CG278" s="509">
        <f t="shared" si="628"/>
        <v>133.14000000000001</v>
      </c>
      <c r="CH278" s="1603">
        <f t="shared" si="614"/>
        <v>12.5</v>
      </c>
      <c r="CI278" s="1491">
        <f t="shared" si="608"/>
        <v>320</v>
      </c>
      <c r="CJ278" s="1502">
        <v>1</v>
      </c>
      <c r="CK278" s="509">
        <f t="shared" si="615"/>
        <v>451.3</v>
      </c>
      <c r="CL278" s="1689">
        <f t="shared" si="616"/>
        <v>451.3</v>
      </c>
      <c r="CM278" s="1689">
        <f t="shared" si="610"/>
        <v>0</v>
      </c>
      <c r="CN278" s="510">
        <f t="shared" si="617"/>
        <v>56.08</v>
      </c>
      <c r="CO278" s="511">
        <v>0</v>
      </c>
      <c r="CP278" s="510">
        <f t="shared" si="618"/>
        <v>86.28</v>
      </c>
      <c r="CQ278" s="510">
        <f t="shared" si="619"/>
        <v>0</v>
      </c>
      <c r="CR278" s="510">
        <f t="shared" si="620"/>
        <v>1044.96</v>
      </c>
      <c r="CS278" s="510">
        <f t="shared" si="621"/>
        <v>78.099999999999994</v>
      </c>
      <c r="CT278" s="510">
        <f t="shared" si="622"/>
        <v>6255</v>
      </c>
      <c r="CU278" s="512"/>
      <c r="CV278" s="512"/>
      <c r="CW278" s="512"/>
      <c r="CX278" s="512"/>
      <c r="CY278" s="1149" t="s">
        <v>7001</v>
      </c>
      <c r="CZ278" s="1149" t="s">
        <v>7014</v>
      </c>
      <c r="DA278" s="1152"/>
      <c r="DB278" s="1152" t="s">
        <v>6507</v>
      </c>
      <c r="DC278" s="1152" t="s">
        <v>7546</v>
      </c>
      <c r="DD278" s="1152" t="s">
        <v>6255</v>
      </c>
      <c r="DE278" s="1152" t="s">
        <v>6154</v>
      </c>
      <c r="DF278" s="1152" t="s">
        <v>6499</v>
      </c>
      <c r="DG278" s="1152"/>
      <c r="DH278" s="512"/>
      <c r="DI278" s="512"/>
      <c r="DJ278" s="512"/>
      <c r="DK278" s="512"/>
      <c r="DL278" s="512"/>
      <c r="DN278" s="476" t="str">
        <f>VLOOKUP(X278,Hoja1!$A$4:$B$10,2,0)</f>
        <v>BACHILLER</v>
      </c>
      <c r="DO278" s="476" t="str">
        <f>VLOOKUP(S278,Hoja1!$D$4:$F$77,3,0)</f>
        <v>BI</v>
      </c>
      <c r="DP278" s="1594" t="str">
        <f t="shared" si="623"/>
        <v>SI</v>
      </c>
      <c r="DQ278" s="1484">
        <f>IF(T278&lt;&gt;"0",(ROUND(IF(A278="EMPLEADO",eval_formula('CONCEPTOS Y PARAMETROS'!$C$8,NOMINA!V278,AU278+BF278,NOMINA!I278+NOMINA!J278),eval_formula('CONCEPTOS Y PARAMETROS'!$D$8,NOMINA!V278,AU278+BF278,NOMINA!I278+NOMINA!J278)),2))*IF(H278&lt;&gt;"",IF(MONTH(H278)=$BR$8,IF(YEAR(H278)&lt;$BT$7,1,0),0)))</f>
        <v>0</v>
      </c>
      <c r="DR278" s="1799" t="str">
        <f t="shared" si="624"/>
        <v>M</v>
      </c>
      <c r="DS278" s="1799"/>
    </row>
    <row r="279" spans="1:123" s="476" customFormat="1" ht="21.95" customHeight="1" x14ac:dyDescent="0.25">
      <c r="A279" s="508" t="s">
        <v>2846</v>
      </c>
      <c r="B279" s="1314">
        <f t="shared" ca="1" si="782"/>
        <v>236</v>
      </c>
      <c r="C279" s="1148">
        <v>26114271</v>
      </c>
      <c r="D279" s="1149" t="s">
        <v>4915</v>
      </c>
      <c r="E279" s="1135" t="s">
        <v>4622</v>
      </c>
      <c r="F279" s="1150">
        <v>35719</v>
      </c>
      <c r="G279" s="1135" t="s">
        <v>4620</v>
      </c>
      <c r="H279" s="1150">
        <v>44636</v>
      </c>
      <c r="I279" s="1140">
        <f t="shared" si="625"/>
        <v>3</v>
      </c>
      <c r="J279" s="1132">
        <v>0</v>
      </c>
      <c r="K279" s="1140">
        <f t="shared" si="600"/>
        <v>3</v>
      </c>
      <c r="L279" s="1145" t="s">
        <v>5518</v>
      </c>
      <c r="M279" s="1132"/>
      <c r="N279" s="1132"/>
      <c r="O279" s="1002" t="s">
        <v>5212</v>
      </c>
      <c r="P279" s="1132" t="s">
        <v>5443</v>
      </c>
      <c r="Q279" s="1315" t="str">
        <f>IFERROR(VLOOKUP(O279,CARGOS!A:E,2,0),"")</f>
        <v>35121</v>
      </c>
      <c r="R279" s="1327" t="s">
        <v>5212</v>
      </c>
      <c r="S279" s="1146" t="s">
        <v>5467</v>
      </c>
      <c r="T279" s="1107">
        <f>IFERROR(VLOOKUP(S279,'TAB EMP'!A:B,2,0),0)</f>
        <v>277</v>
      </c>
      <c r="U279" s="1108">
        <v>0</v>
      </c>
      <c r="V279" s="1107">
        <f t="shared" si="680"/>
        <v>277</v>
      </c>
      <c r="W279" s="1108">
        <f t="shared" si="681"/>
        <v>138.5</v>
      </c>
      <c r="X279" s="1135" t="s">
        <v>2885</v>
      </c>
      <c r="Y279" s="1135"/>
      <c r="Z279" s="1135">
        <v>0</v>
      </c>
      <c r="AA279" s="1107">
        <f>ROUND(IF(H279&lt;&gt;"",VLOOKUP(SUM(I279+J279),'CONCEPTOS Y PARAMETROS'!F:G,2,0)*V279,0),2)</f>
        <v>8.31</v>
      </c>
      <c r="AB279" s="1107">
        <f>IF(S279&lt;&gt;"",IF(M279="",'CONCEPTOS Y PARAMETROS'!$C$4,0),0)</f>
        <v>130</v>
      </c>
      <c r="AC279" s="1107">
        <f>IF(S279&lt;&gt;"",IF(M279="",'CONCEPTOS Y PARAMETROS'!$C$7*Z279,0),0)</f>
        <v>0</v>
      </c>
      <c r="AD279" s="1107">
        <f>IFERROR(ROUND(VLOOKUP($X279,'CONCEPTOS Y PARAMETROS'!H:I,2,0)*($V279+AA279+AB279+AC279),2),0)</f>
        <v>103.83</v>
      </c>
      <c r="AE279" s="1107">
        <f t="shared" si="647"/>
        <v>242.14</v>
      </c>
      <c r="AF279" s="1107">
        <f t="shared" si="682"/>
        <v>4.16</v>
      </c>
      <c r="AG279" s="1107">
        <f t="shared" si="683"/>
        <v>4.1500000000000004</v>
      </c>
      <c r="AH279" s="1107">
        <f t="shared" si="684"/>
        <v>65</v>
      </c>
      <c r="AI279" s="1107">
        <f t="shared" si="685"/>
        <v>65</v>
      </c>
      <c r="AJ279" s="1107">
        <f t="shared" si="686"/>
        <v>51.92</v>
      </c>
      <c r="AK279" s="1107">
        <f t="shared" si="687"/>
        <v>51.91</v>
      </c>
      <c r="AL279" s="1108">
        <f t="shared" si="688"/>
        <v>121.08</v>
      </c>
      <c r="AM279" s="1108">
        <f t="shared" si="689"/>
        <v>121.06</v>
      </c>
      <c r="AN279" s="990">
        <v>0</v>
      </c>
      <c r="AO279" s="1147">
        <f>'CONCEPTOS Y PARAMETROS'!$C$18*AN279</f>
        <v>0</v>
      </c>
      <c r="AP279" s="990">
        <v>0</v>
      </c>
      <c r="AQ279" s="1147">
        <f>'CONCEPTOS Y PARAMETROS'!$C$21*AP279</f>
        <v>0</v>
      </c>
      <c r="AR279" s="1318">
        <v>0</v>
      </c>
      <c r="AS279" s="1318">
        <v>0</v>
      </c>
      <c r="AT279" s="1318">
        <f t="shared" si="784"/>
        <v>0</v>
      </c>
      <c r="AU279" s="1108">
        <f t="shared" si="606"/>
        <v>519.14</v>
      </c>
      <c r="AV279" s="1133">
        <v>0</v>
      </c>
      <c r="AW279" s="1108">
        <f t="shared" si="716"/>
        <v>0</v>
      </c>
      <c r="AX279" s="1107">
        <f>IF(T279&lt;&gt;"0",(ROUND(IF(A279="EMPLEADO",eval_formula('CONCEPTOS Y PARAMETROS'!$C$8,NOMINA!V279,NOMINA!$AU279,NOMINA!I279+NOMINA!J279),eval_formula('CONCEPTOS Y PARAMETROS'!$D$8,NOMINA!V279,NOMINA!$AU279,NOMINA!I279+NOMINA!J279)),2))*IF(H279&lt;&gt;"",IF(MONTH(H279)=$BR$8,IF(YEAR(H279)&lt;$BT$7,1,0),0)))</f>
        <v>0</v>
      </c>
      <c r="AY279" s="1108">
        <v>180</v>
      </c>
      <c r="AZ279" s="1107">
        <f>IFERROR(VLOOKUP(AY279,'CONCEPTOS Y PARAMETROS'!Y:Z,2,0),0)</f>
        <v>150</v>
      </c>
      <c r="BA279" s="1107">
        <f t="shared" si="690"/>
        <v>3893.55</v>
      </c>
      <c r="BB279" s="1107">
        <f t="shared" si="763"/>
        <v>0</v>
      </c>
      <c r="BC279" s="990">
        <v>0</v>
      </c>
      <c r="BD279" s="1107" t="str">
        <f t="shared" si="607"/>
        <v>0</v>
      </c>
      <c r="BE279" s="990">
        <v>0</v>
      </c>
      <c r="BF279" s="1107">
        <f t="shared" si="802"/>
        <v>0</v>
      </c>
      <c r="BG279" s="1108">
        <v>320</v>
      </c>
      <c r="BH279" s="1108">
        <v>0</v>
      </c>
      <c r="BI279" s="1132">
        <v>0</v>
      </c>
      <c r="BJ279" s="1108">
        <v>12.5</v>
      </c>
      <c r="BK279" s="1108">
        <v>0</v>
      </c>
      <c r="BL279" s="1107">
        <f t="shared" si="704"/>
        <v>23.96</v>
      </c>
      <c r="BM279" s="1107">
        <f t="shared" si="705"/>
        <v>3</v>
      </c>
      <c r="BN279" s="1107">
        <f t="shared" si="626"/>
        <v>5.19</v>
      </c>
      <c r="BO279" s="1107">
        <v>0</v>
      </c>
      <c r="BP279" s="1107">
        <v>0</v>
      </c>
      <c r="BQ279" s="1320">
        <f t="shared" si="630"/>
        <v>32.15</v>
      </c>
      <c r="BR279" s="1107">
        <f t="shared" si="707"/>
        <v>53.91</v>
      </c>
      <c r="BS279" s="1107">
        <f t="shared" si="708"/>
        <v>11.98</v>
      </c>
      <c r="BT279" s="1107">
        <f t="shared" si="627"/>
        <v>10.38</v>
      </c>
      <c r="BU279" s="1107">
        <v>0</v>
      </c>
      <c r="BV279" s="1108">
        <f t="shared" si="631"/>
        <v>76.27</v>
      </c>
      <c r="BW279" s="1112">
        <f t="shared" si="632"/>
        <v>108.41999999999999</v>
      </c>
      <c r="BX279" s="1112">
        <f t="shared" si="783"/>
        <v>973.39</v>
      </c>
      <c r="BY279" s="1108">
        <v>0</v>
      </c>
      <c r="BZ279" s="1108">
        <f t="shared" si="598"/>
        <v>973.39</v>
      </c>
      <c r="CA279" s="1321">
        <f>'CONCEPTOS Y PARAMETROS'!$A$102</f>
        <v>6255</v>
      </c>
      <c r="CB279" s="1112">
        <f t="shared" si="611"/>
        <v>227.42999999999998</v>
      </c>
      <c r="CC279" s="1113">
        <f t="shared" si="612"/>
        <v>592.05999999999995</v>
      </c>
      <c r="CD279" s="512"/>
      <c r="CE279" s="512"/>
      <c r="CF279" s="470">
        <f t="shared" si="613"/>
        <v>899.56</v>
      </c>
      <c r="CG279" s="509">
        <f t="shared" si="628"/>
        <v>227.42999999999998</v>
      </c>
      <c r="CH279" s="1603">
        <f t="shared" si="614"/>
        <v>12.5</v>
      </c>
      <c r="CI279" s="1491">
        <f t="shared" si="608"/>
        <v>320</v>
      </c>
      <c r="CJ279" s="1502">
        <v>1</v>
      </c>
      <c r="CK279" s="509">
        <f t="shared" si="615"/>
        <v>579.55999999999995</v>
      </c>
      <c r="CL279" s="1689">
        <f t="shared" si="616"/>
        <v>579.55999999999995</v>
      </c>
      <c r="CM279" s="1689">
        <f t="shared" si="610"/>
        <v>0</v>
      </c>
      <c r="CN279" s="510">
        <f t="shared" si="617"/>
        <v>0</v>
      </c>
      <c r="CO279" s="511">
        <v>0</v>
      </c>
      <c r="CP279" s="510">
        <f t="shared" si="618"/>
        <v>0</v>
      </c>
      <c r="CQ279" s="510">
        <f t="shared" si="619"/>
        <v>0</v>
      </c>
      <c r="CR279" s="510">
        <f t="shared" si="620"/>
        <v>1159.1199999999999</v>
      </c>
      <c r="CS279" s="510">
        <f t="shared" si="621"/>
        <v>108.41999999999999</v>
      </c>
      <c r="CT279" s="510">
        <f t="shared" si="622"/>
        <v>6255</v>
      </c>
      <c r="CU279" s="512"/>
      <c r="CV279" s="512"/>
      <c r="CW279" s="512"/>
      <c r="CX279" s="512"/>
      <c r="CY279" s="1149" t="s">
        <v>7015</v>
      </c>
      <c r="CZ279" s="1149" t="s">
        <v>7016</v>
      </c>
      <c r="DA279" s="1152"/>
      <c r="DB279" s="1642" t="s">
        <v>6421</v>
      </c>
      <c r="DC279" s="1642"/>
      <c r="DD279" s="1642" t="s">
        <v>6135</v>
      </c>
      <c r="DE279" s="1642" t="s">
        <v>6162</v>
      </c>
      <c r="DF279" s="1642" t="s">
        <v>6488</v>
      </c>
      <c r="DG279" s="1152"/>
      <c r="DH279" s="512"/>
      <c r="DI279" s="512"/>
      <c r="DJ279" s="512"/>
      <c r="DK279" s="512"/>
      <c r="DL279" s="512"/>
      <c r="DN279" s="476" t="str">
        <f>VLOOKUP(X279,Hoja1!$A$4:$B$10,2,0)</f>
        <v>PROFESIONAL</v>
      </c>
      <c r="DO279" s="476" t="str">
        <f>VLOOKUP(S279,Hoja1!$D$4:$F$77,3,0)</f>
        <v>PII - II</v>
      </c>
      <c r="DP279" s="1594" t="str">
        <f t="shared" si="623"/>
        <v>0</v>
      </c>
      <c r="DQ279" s="1484">
        <f>IF(T279&lt;&gt;"0",(ROUND(IF(A279="EMPLEADO",eval_formula('CONCEPTOS Y PARAMETROS'!$C$8,NOMINA!V279,AU279+BF279,NOMINA!I279+NOMINA!J279),eval_formula('CONCEPTOS Y PARAMETROS'!$D$8,NOMINA!V279,AU279+BF279,NOMINA!I279+NOMINA!J279)),2))*IF(H279&lt;&gt;"",IF(MONTH(H279)=$BR$8,IF(YEAR(H279)&lt;$BT$7,1,0),0)))</f>
        <v>0</v>
      </c>
      <c r="DR279" s="1799" t="str">
        <f t="shared" si="624"/>
        <v>F</v>
      </c>
      <c r="DS279" s="1799"/>
    </row>
    <row r="280" spans="1:123" s="476" customFormat="1" ht="21.95" customHeight="1" x14ac:dyDescent="0.25">
      <c r="A280" s="508" t="s">
        <v>2846</v>
      </c>
      <c r="B280" s="1314">
        <f t="shared" ca="1" si="782"/>
        <v>237</v>
      </c>
      <c r="C280" s="1148">
        <v>26191823</v>
      </c>
      <c r="D280" s="1149" t="s">
        <v>4916</v>
      </c>
      <c r="E280" s="1135" t="s">
        <v>4622</v>
      </c>
      <c r="F280" s="1150">
        <v>35213</v>
      </c>
      <c r="G280" s="1135" t="s">
        <v>4621</v>
      </c>
      <c r="H280" s="1150">
        <v>44470</v>
      </c>
      <c r="I280" s="1140">
        <f t="shared" si="625"/>
        <v>3</v>
      </c>
      <c r="J280" s="1132">
        <v>0</v>
      </c>
      <c r="K280" s="1140">
        <f t="shared" si="600"/>
        <v>3</v>
      </c>
      <c r="L280" s="1145" t="s">
        <v>5518</v>
      </c>
      <c r="M280" s="1132"/>
      <c r="N280" s="1132"/>
      <c r="O280" s="1002" t="s">
        <v>7258</v>
      </c>
      <c r="P280" s="1132" t="s">
        <v>5444</v>
      </c>
      <c r="Q280" s="1315" t="str">
        <f>IFERROR(VLOOKUP(O280,CARGOS!A:E,2,0),"")</f>
        <v>35122</v>
      </c>
      <c r="R280" s="1327" t="s">
        <v>7258</v>
      </c>
      <c r="S280" s="1146" t="s">
        <v>5467</v>
      </c>
      <c r="T280" s="1107">
        <f>IFERROR(VLOOKUP(S280,'TAB EMP'!A:B,2,0),0)</f>
        <v>277</v>
      </c>
      <c r="U280" s="1108">
        <v>0</v>
      </c>
      <c r="V280" s="1107">
        <f t="shared" si="680"/>
        <v>277</v>
      </c>
      <c r="W280" s="1108">
        <f t="shared" si="681"/>
        <v>138.5</v>
      </c>
      <c r="X280" s="1135" t="s">
        <v>2885</v>
      </c>
      <c r="Y280" s="1135"/>
      <c r="Z280" s="1135">
        <v>0</v>
      </c>
      <c r="AA280" s="1107">
        <f>ROUND(IF(H280&lt;&gt;"",VLOOKUP(SUM(I280+J280),'CONCEPTOS Y PARAMETROS'!F:G,2,0)*V280,0),2)</f>
        <v>8.31</v>
      </c>
      <c r="AB280" s="1107">
        <f>IF(S280&lt;&gt;"",IF(M280="",'CONCEPTOS Y PARAMETROS'!$C$4,0),0)</f>
        <v>130</v>
      </c>
      <c r="AC280" s="1107">
        <f>IF(S280&lt;&gt;"",IF(M280="",'CONCEPTOS Y PARAMETROS'!$C$7*Z280,0),0)</f>
        <v>0</v>
      </c>
      <c r="AD280" s="1107">
        <f>IFERROR(ROUND(VLOOKUP($X280,'CONCEPTOS Y PARAMETROS'!H:I,2,0)*($V280+AA280+AB280+AC280),2),0)</f>
        <v>103.83</v>
      </c>
      <c r="AE280" s="1107">
        <f t="shared" si="647"/>
        <v>242.14</v>
      </c>
      <c r="AF280" s="1107">
        <f t="shared" si="682"/>
        <v>4.16</v>
      </c>
      <c r="AG280" s="1107">
        <f t="shared" si="683"/>
        <v>4.1500000000000004</v>
      </c>
      <c r="AH280" s="1107">
        <f t="shared" si="684"/>
        <v>65</v>
      </c>
      <c r="AI280" s="1107">
        <f t="shared" si="685"/>
        <v>65</v>
      </c>
      <c r="AJ280" s="1107">
        <f t="shared" si="686"/>
        <v>51.92</v>
      </c>
      <c r="AK280" s="1107">
        <f t="shared" si="687"/>
        <v>51.91</v>
      </c>
      <c r="AL280" s="1108">
        <f t="shared" si="688"/>
        <v>121.08</v>
      </c>
      <c r="AM280" s="1108">
        <f t="shared" si="689"/>
        <v>121.06</v>
      </c>
      <c r="AN280" s="990">
        <v>0</v>
      </c>
      <c r="AO280" s="1147">
        <f>'CONCEPTOS Y PARAMETROS'!$C$18*AN280</f>
        <v>0</v>
      </c>
      <c r="AP280" s="990">
        <v>0</v>
      </c>
      <c r="AQ280" s="1147">
        <f>'CONCEPTOS Y PARAMETROS'!$C$21*AP280</f>
        <v>0</v>
      </c>
      <c r="AR280" s="1318">
        <v>0</v>
      </c>
      <c r="AS280" s="1318">
        <v>0</v>
      </c>
      <c r="AT280" s="1318">
        <f t="shared" si="784"/>
        <v>0</v>
      </c>
      <c r="AU280" s="1108">
        <f t="shared" si="606"/>
        <v>519.14</v>
      </c>
      <c r="AV280" s="1133">
        <v>0</v>
      </c>
      <c r="AW280" s="1108">
        <f t="shared" si="716"/>
        <v>0</v>
      </c>
      <c r="AX280" s="1107">
        <f>IF(T280&lt;&gt;"0",(ROUND(IF(A280="EMPLEADO",eval_formula('CONCEPTOS Y PARAMETROS'!$C$8,NOMINA!V280,NOMINA!$AU280,NOMINA!I280+NOMINA!J280),eval_formula('CONCEPTOS Y PARAMETROS'!$D$8,NOMINA!V280,NOMINA!$AU280,NOMINA!I280+NOMINA!J280)),2))*IF(H280&lt;&gt;"",IF(MONTH(H280)=$BR$8,IF(YEAR(H280)&lt;$BT$7,1,0),0)))</f>
        <v>0</v>
      </c>
      <c r="AY280" s="1108">
        <v>180</v>
      </c>
      <c r="AZ280" s="1107">
        <f>IFERROR(VLOOKUP(AY280,'CONCEPTOS Y PARAMETROS'!Y:Z,2,0),0)</f>
        <v>150</v>
      </c>
      <c r="BA280" s="1107">
        <f t="shared" si="690"/>
        <v>3893.55</v>
      </c>
      <c r="BB280" s="1107">
        <f t="shared" si="763"/>
        <v>0</v>
      </c>
      <c r="BC280" s="990">
        <v>0</v>
      </c>
      <c r="BD280" s="1107" t="str">
        <f t="shared" si="607"/>
        <v>0</v>
      </c>
      <c r="BE280" s="990">
        <v>0</v>
      </c>
      <c r="BF280" s="1107">
        <f t="shared" si="802"/>
        <v>0</v>
      </c>
      <c r="BG280" s="1108">
        <v>320</v>
      </c>
      <c r="BH280" s="1108">
        <v>0</v>
      </c>
      <c r="BI280" s="1132">
        <v>0</v>
      </c>
      <c r="BJ280" s="1108">
        <v>12.5</v>
      </c>
      <c r="BK280" s="1108">
        <v>0</v>
      </c>
      <c r="BL280" s="1107">
        <f t="shared" si="704"/>
        <v>23.96</v>
      </c>
      <c r="BM280" s="1107">
        <f t="shared" si="705"/>
        <v>3</v>
      </c>
      <c r="BN280" s="1107">
        <f t="shared" si="626"/>
        <v>5.19</v>
      </c>
      <c r="BO280" s="1107">
        <v>0</v>
      </c>
      <c r="BP280" s="1107">
        <v>0</v>
      </c>
      <c r="BQ280" s="1320">
        <f t="shared" si="630"/>
        <v>32.15</v>
      </c>
      <c r="BR280" s="1107">
        <f t="shared" si="707"/>
        <v>53.91</v>
      </c>
      <c r="BS280" s="1107">
        <f t="shared" si="708"/>
        <v>11.98</v>
      </c>
      <c r="BT280" s="1107">
        <f t="shared" si="627"/>
        <v>10.38</v>
      </c>
      <c r="BU280" s="1107">
        <v>0</v>
      </c>
      <c r="BV280" s="1108">
        <f t="shared" si="631"/>
        <v>76.27</v>
      </c>
      <c r="BW280" s="1112">
        <f t="shared" si="632"/>
        <v>108.41999999999999</v>
      </c>
      <c r="BX280" s="1112">
        <f t="shared" si="783"/>
        <v>973.39</v>
      </c>
      <c r="BY280" s="1108">
        <v>0</v>
      </c>
      <c r="BZ280" s="1108">
        <f t="shared" si="598"/>
        <v>973.39</v>
      </c>
      <c r="CA280" s="1321">
        <f>'CONCEPTOS Y PARAMETROS'!$A$102</f>
        <v>6255</v>
      </c>
      <c r="CB280" s="1112">
        <f t="shared" si="611"/>
        <v>227.42999999999998</v>
      </c>
      <c r="CC280" s="1113">
        <f t="shared" si="612"/>
        <v>592.05999999999995</v>
      </c>
      <c r="CD280" s="512"/>
      <c r="CE280" s="512"/>
      <c r="CF280" s="470">
        <f t="shared" si="613"/>
        <v>899.56</v>
      </c>
      <c r="CG280" s="509">
        <f t="shared" si="628"/>
        <v>227.42999999999998</v>
      </c>
      <c r="CH280" s="1603">
        <f t="shared" si="614"/>
        <v>12.5</v>
      </c>
      <c r="CI280" s="1491">
        <f t="shared" si="608"/>
        <v>320</v>
      </c>
      <c r="CJ280" s="1502">
        <v>1</v>
      </c>
      <c r="CK280" s="509">
        <f t="shared" si="615"/>
        <v>579.55999999999995</v>
      </c>
      <c r="CL280" s="1689">
        <f t="shared" si="616"/>
        <v>579.55999999999995</v>
      </c>
      <c r="CM280" s="1689">
        <f t="shared" si="610"/>
        <v>0</v>
      </c>
      <c r="CN280" s="510">
        <f t="shared" si="617"/>
        <v>0</v>
      </c>
      <c r="CO280" s="511">
        <v>0</v>
      </c>
      <c r="CP280" s="510">
        <f t="shared" si="618"/>
        <v>0</v>
      </c>
      <c r="CQ280" s="510">
        <f t="shared" si="619"/>
        <v>0</v>
      </c>
      <c r="CR280" s="510">
        <f t="shared" si="620"/>
        <v>1159.1199999999999</v>
      </c>
      <c r="CS280" s="510">
        <f t="shared" si="621"/>
        <v>108.41999999999999</v>
      </c>
      <c r="CT280" s="510">
        <f t="shared" si="622"/>
        <v>6255</v>
      </c>
      <c r="CU280" s="512"/>
      <c r="CV280" s="512"/>
      <c r="CW280" s="512"/>
      <c r="CX280" s="512"/>
      <c r="CY280" s="1149" t="s">
        <v>6829</v>
      </c>
      <c r="CZ280" s="1149" t="s">
        <v>7017</v>
      </c>
      <c r="DA280" s="1152"/>
      <c r="DB280" s="1642" t="s">
        <v>6422</v>
      </c>
      <c r="DC280" s="1642"/>
      <c r="DD280" s="1642" t="s">
        <v>6135</v>
      </c>
      <c r="DE280" s="1642" t="s">
        <v>6247</v>
      </c>
      <c r="DF280" s="1642" t="s">
        <v>6615</v>
      </c>
      <c r="DG280" s="1152"/>
      <c r="DH280" s="512"/>
      <c r="DI280" s="512"/>
      <c r="DJ280" s="512"/>
      <c r="DK280" s="512"/>
      <c r="DL280" s="512"/>
      <c r="DN280" s="476" t="str">
        <f>VLOOKUP(X280,Hoja1!$A$4:$B$10,2,0)</f>
        <v>PROFESIONAL</v>
      </c>
      <c r="DO280" s="476" t="str">
        <f>VLOOKUP(S280,Hoja1!$D$4:$F$77,3,0)</f>
        <v>PII - II</v>
      </c>
      <c r="DP280" s="1594" t="str">
        <f t="shared" si="623"/>
        <v>0</v>
      </c>
      <c r="DQ280" s="1484">
        <f>IF(T280&lt;&gt;"0",(ROUND(IF(A280="EMPLEADO",eval_formula('CONCEPTOS Y PARAMETROS'!$C$8,NOMINA!V280,AU280+BF280,NOMINA!I280+NOMINA!J280),eval_formula('CONCEPTOS Y PARAMETROS'!$D$8,NOMINA!V280,AU280+BF280,NOMINA!I280+NOMINA!J280)),2))*IF(H280&lt;&gt;"",IF(MONTH(H280)=$BR$8,IF(YEAR(H280)&lt;$BT$7,1,0),0)))</f>
        <v>0</v>
      </c>
      <c r="DR280" s="1799" t="str">
        <f t="shared" si="624"/>
        <v>M</v>
      </c>
      <c r="DS280" s="1799"/>
    </row>
    <row r="281" spans="1:123" s="476" customFormat="1" ht="21.95" customHeight="1" x14ac:dyDescent="0.2">
      <c r="A281" s="508" t="s">
        <v>2846</v>
      </c>
      <c r="B281" s="1314">
        <f t="shared" ca="1" si="782"/>
        <v>238</v>
      </c>
      <c r="C281" s="1148">
        <v>26235963</v>
      </c>
      <c r="D281" s="1149" t="s">
        <v>6112</v>
      </c>
      <c r="E281" s="1135" t="s">
        <v>4622</v>
      </c>
      <c r="F281" s="1150">
        <v>35273</v>
      </c>
      <c r="G281" s="1135" t="s">
        <v>4620</v>
      </c>
      <c r="H281" s="1150">
        <v>45383</v>
      </c>
      <c r="I281" s="1140">
        <f t="shared" si="625"/>
        <v>1</v>
      </c>
      <c r="J281" s="1132">
        <v>0</v>
      </c>
      <c r="K281" s="1140">
        <f t="shared" si="600"/>
        <v>1</v>
      </c>
      <c r="L281" s="1145" t="s">
        <v>6113</v>
      </c>
      <c r="M281" s="1132"/>
      <c r="N281" s="1132"/>
      <c r="O281" s="1002" t="s">
        <v>5263</v>
      </c>
      <c r="P281" s="1151" t="s">
        <v>6114</v>
      </c>
      <c r="Q281" s="1315" t="s">
        <v>1997</v>
      </c>
      <c r="R281" s="1327" t="s">
        <v>5263</v>
      </c>
      <c r="S281" s="1146" t="s">
        <v>5456</v>
      </c>
      <c r="T281" s="1107">
        <f>IFERROR(VLOOKUP(S281,'TAB EMP'!A:B,2,0),0)</f>
        <v>246</v>
      </c>
      <c r="U281" s="1108">
        <v>0</v>
      </c>
      <c r="V281" s="1107">
        <f t="shared" si="680"/>
        <v>246</v>
      </c>
      <c r="W281" s="1108">
        <f t="shared" si="681"/>
        <v>123</v>
      </c>
      <c r="X281" s="1135" t="s">
        <v>2885</v>
      </c>
      <c r="Y281" s="1135"/>
      <c r="Z281" s="1135">
        <v>1</v>
      </c>
      <c r="AA281" s="1107">
        <f>ROUND(IF(H281&lt;&gt;"",VLOOKUP(SUM(I281+J281),'CONCEPTOS Y PARAMETROS'!F:G,2,0)*V281,0),2)</f>
        <v>2.46</v>
      </c>
      <c r="AB281" s="1107">
        <f>IF(S281&lt;&gt;"",IF(M281="",'CONCEPTOS Y PARAMETROS'!$C$4,0),0)</f>
        <v>130</v>
      </c>
      <c r="AC281" s="1107">
        <f>IF(S281&lt;&gt;"",IF(M281="",'CONCEPTOS Y PARAMETROS'!$C$7*Z281,0),0)</f>
        <v>12.5</v>
      </c>
      <c r="AD281" s="1107">
        <f>IFERROR(ROUND(VLOOKUP($X281,'CONCEPTOS Y PARAMETROS'!H:I,2,0)*($V281+AA281+AB281+AC281),2),0)</f>
        <v>97.74</v>
      </c>
      <c r="AE281" s="1107">
        <f t="shared" si="647"/>
        <v>242.7</v>
      </c>
      <c r="AF281" s="1107">
        <f t="shared" si="682"/>
        <v>1.23</v>
      </c>
      <c r="AG281" s="1107">
        <f t="shared" si="683"/>
        <v>1.23</v>
      </c>
      <c r="AH281" s="1107">
        <f t="shared" si="684"/>
        <v>65</v>
      </c>
      <c r="AI281" s="1107">
        <f t="shared" si="685"/>
        <v>65</v>
      </c>
      <c r="AJ281" s="1107">
        <f t="shared" si="686"/>
        <v>48.87</v>
      </c>
      <c r="AK281" s="1107">
        <f t="shared" si="687"/>
        <v>48.87</v>
      </c>
      <c r="AL281" s="1108">
        <f t="shared" si="688"/>
        <v>127.6</v>
      </c>
      <c r="AM281" s="1108">
        <f t="shared" si="689"/>
        <v>115.1</v>
      </c>
      <c r="AN281" s="990">
        <v>0</v>
      </c>
      <c r="AO281" s="1147">
        <v>0</v>
      </c>
      <c r="AP281" s="990">
        <v>0</v>
      </c>
      <c r="AQ281" s="1147">
        <v>0</v>
      </c>
      <c r="AR281" s="1318">
        <v>0</v>
      </c>
      <c r="AS281" s="1318">
        <v>0</v>
      </c>
      <c r="AT281" s="1318">
        <f t="shared" si="784"/>
        <v>0</v>
      </c>
      <c r="AU281" s="1108">
        <f t="shared" si="606"/>
        <v>488.7</v>
      </c>
      <c r="AV281" s="1133">
        <v>0</v>
      </c>
      <c r="AW281" s="1108">
        <f t="shared" si="716"/>
        <v>0</v>
      </c>
      <c r="AX281" s="1107">
        <f>IF(T281&lt;&gt;"0",(ROUND(IF(A281="EMPLEADO",eval_formula('CONCEPTOS Y PARAMETROS'!$C$8,NOMINA!V281,NOMINA!$AU281,NOMINA!I281+NOMINA!J281),eval_formula('CONCEPTOS Y PARAMETROS'!$D$8,NOMINA!V281,NOMINA!$AU281,NOMINA!I281+NOMINA!J281)),2))*IF(H281&lt;&gt;"",IF(MONTH(H281)=$BR$8,IF(YEAR(H281)&lt;$BT$7,1,0),0)))</f>
        <v>0</v>
      </c>
      <c r="AY281" s="1108">
        <v>135</v>
      </c>
      <c r="AZ281" s="1107">
        <f>IFERROR(VLOOKUP(AY281,'CONCEPTOS Y PARAMETROS'!Y:Z,2,0),0)</f>
        <v>112.5</v>
      </c>
      <c r="BA281" s="1107">
        <f t="shared" si="690"/>
        <v>2519.86</v>
      </c>
      <c r="BB281" s="1107">
        <f t="shared" si="763"/>
        <v>0</v>
      </c>
      <c r="BC281" s="990">
        <v>0</v>
      </c>
      <c r="BD281" s="1107" t="str">
        <f t="shared" si="607"/>
        <v>0</v>
      </c>
      <c r="BE281" s="990">
        <v>0</v>
      </c>
      <c r="BF281" s="1107">
        <f t="shared" si="802"/>
        <v>0</v>
      </c>
      <c r="BG281" s="1108">
        <v>320</v>
      </c>
      <c r="BH281" s="1108">
        <v>0</v>
      </c>
      <c r="BI281" s="1132">
        <v>0</v>
      </c>
      <c r="BJ281" s="1108">
        <v>12.5</v>
      </c>
      <c r="BK281" s="1108">
        <v>0</v>
      </c>
      <c r="BL281" s="1107">
        <f t="shared" si="704"/>
        <v>22.56</v>
      </c>
      <c r="BM281" s="1107">
        <f t="shared" si="705"/>
        <v>2.82</v>
      </c>
      <c r="BN281" s="1107">
        <f t="shared" si="626"/>
        <v>4.8899999999999997</v>
      </c>
      <c r="BO281" s="1107">
        <v>0</v>
      </c>
      <c r="BP281" s="1107">
        <v>0</v>
      </c>
      <c r="BQ281" s="1320">
        <f t="shared" si="630"/>
        <v>30.27</v>
      </c>
      <c r="BR281" s="1107">
        <f t="shared" si="707"/>
        <v>50.75</v>
      </c>
      <c r="BS281" s="1107">
        <f t="shared" si="708"/>
        <v>11.28</v>
      </c>
      <c r="BT281" s="1107">
        <f t="shared" si="627"/>
        <v>9.7799999999999994</v>
      </c>
      <c r="BU281" s="1107">
        <v>0</v>
      </c>
      <c r="BV281" s="1108">
        <f t="shared" si="631"/>
        <v>71.81</v>
      </c>
      <c r="BW281" s="1112">
        <f t="shared" si="632"/>
        <v>102.08</v>
      </c>
      <c r="BX281" s="1112">
        <f t="shared" si="783"/>
        <v>629.97</v>
      </c>
      <c r="BY281" s="1108">
        <v>0</v>
      </c>
      <c r="BZ281" s="1108">
        <f t="shared" si="598"/>
        <v>629.97</v>
      </c>
      <c r="CA281" s="1321">
        <f>'CONCEPTOS Y PARAMETROS'!$A$102</f>
        <v>6255</v>
      </c>
      <c r="CB281" s="1112">
        <f t="shared" si="611"/>
        <v>220.32999999999998</v>
      </c>
      <c r="CC281" s="1113">
        <f t="shared" si="612"/>
        <v>570.6</v>
      </c>
      <c r="CD281" s="512"/>
      <c r="CE281" s="512"/>
      <c r="CF281" s="470">
        <f t="shared" si="613"/>
        <v>878.1</v>
      </c>
      <c r="CG281" s="509">
        <f t="shared" si="628"/>
        <v>220.32999999999998</v>
      </c>
      <c r="CH281" s="498">
        <f t="shared" si="614"/>
        <v>12.5</v>
      </c>
      <c r="CI281" s="1491">
        <f t="shared" si="608"/>
        <v>320</v>
      </c>
      <c r="CJ281" s="1500">
        <v>1</v>
      </c>
      <c r="CK281" s="509">
        <f t="shared" si="615"/>
        <v>558.1</v>
      </c>
      <c r="CL281" s="1689">
        <f t="shared" si="616"/>
        <v>558.1</v>
      </c>
      <c r="CM281" s="1689">
        <f t="shared" si="610"/>
        <v>0</v>
      </c>
      <c r="CN281" s="510">
        <f t="shared" si="617"/>
        <v>0</v>
      </c>
      <c r="CO281" s="511">
        <v>0</v>
      </c>
      <c r="CP281" s="1108">
        <f t="shared" si="618"/>
        <v>0</v>
      </c>
      <c r="CQ281" s="510">
        <f t="shared" si="619"/>
        <v>0</v>
      </c>
      <c r="CR281" s="496">
        <f t="shared" si="620"/>
        <v>1116.2</v>
      </c>
      <c r="CS281" s="510">
        <f t="shared" si="621"/>
        <v>102.08</v>
      </c>
      <c r="CT281" s="510">
        <f t="shared" si="622"/>
        <v>6255</v>
      </c>
      <c r="CU281" s="470"/>
      <c r="CV281" s="470"/>
      <c r="CW281" s="470"/>
      <c r="CX281" s="470"/>
      <c r="CY281" s="1149" t="s">
        <v>7018</v>
      </c>
      <c r="CZ281" s="1149" t="s">
        <v>7019</v>
      </c>
      <c r="DA281" s="1152"/>
      <c r="DB281" s="1645" t="s">
        <v>6508</v>
      </c>
      <c r="DC281" s="1645"/>
      <c r="DD281" s="1642" t="s">
        <v>6199</v>
      </c>
      <c r="DE281" s="1647" t="s">
        <v>6200</v>
      </c>
      <c r="DF281" s="1642" t="s">
        <v>6279</v>
      </c>
      <c r="DG281" s="1642"/>
      <c r="DH281" s="512"/>
      <c r="DI281" s="512"/>
      <c r="DJ281" s="512"/>
      <c r="DK281" s="512"/>
      <c r="DL281" s="512"/>
      <c r="DN281" s="476" t="str">
        <f>VLOOKUP(X281,Hoja1!$A$4:$B$10,2,0)</f>
        <v>PROFESIONAL</v>
      </c>
      <c r="DO281" s="476" t="str">
        <f>VLOOKUP(S281,Hoja1!$D$4:$F$77,3,0)</f>
        <v>PI</v>
      </c>
      <c r="DP281" s="1158" t="str">
        <f t="shared" si="623"/>
        <v>0</v>
      </c>
      <c r="DQ281" s="1484">
        <f>IF(T281&lt;&gt;"0",(ROUND(IF(A281="EMPLEADO",eval_formula('CONCEPTOS Y PARAMETROS'!$C$8,NOMINA!V281,AU281+BF281,NOMINA!I281+NOMINA!J281),eval_formula('CONCEPTOS Y PARAMETROS'!$D$8,NOMINA!V281,AU281+BF281,NOMINA!I281+NOMINA!J281)),2))*IF(H281&lt;&gt;"",IF(MONTH(H281)=$BR$8,IF(YEAR(H281)&lt;$BT$7,1,0),0)))</f>
        <v>0</v>
      </c>
      <c r="DR281" s="1799" t="str">
        <f t="shared" si="624"/>
        <v>F</v>
      </c>
      <c r="DS281" s="1799"/>
    </row>
    <row r="282" spans="1:123" s="471" customFormat="1" ht="21.95" customHeight="1" x14ac:dyDescent="0.25">
      <c r="A282" s="508" t="s">
        <v>2846</v>
      </c>
      <c r="B282" s="1314">
        <f t="shared" ca="1" si="782"/>
        <v>239</v>
      </c>
      <c r="C282" s="1148">
        <v>26413871</v>
      </c>
      <c r="D282" s="1149" t="s">
        <v>4917</v>
      </c>
      <c r="E282" s="1135" t="s">
        <v>4622</v>
      </c>
      <c r="F282" s="1150">
        <v>36138</v>
      </c>
      <c r="G282" s="1135" t="s">
        <v>4620</v>
      </c>
      <c r="H282" s="1150">
        <v>44228</v>
      </c>
      <c r="I282" s="1140">
        <f t="shared" si="625"/>
        <v>4</v>
      </c>
      <c r="J282" s="1132">
        <v>0</v>
      </c>
      <c r="K282" s="1140">
        <f t="shared" si="600"/>
        <v>4</v>
      </c>
      <c r="L282" s="1145" t="s">
        <v>5528</v>
      </c>
      <c r="M282" s="1132"/>
      <c r="N282" s="1132"/>
      <c r="O282" s="1002" t="s">
        <v>5218</v>
      </c>
      <c r="P282" s="1132" t="s">
        <v>5445</v>
      </c>
      <c r="Q282" s="1315" t="str">
        <f>IFERROR(VLOOKUP(O282,CARGOS!A:E,2,0),"")</f>
        <v>79511</v>
      </c>
      <c r="R282" s="1327" t="s">
        <v>5218</v>
      </c>
      <c r="S282" s="1146" t="s">
        <v>5477</v>
      </c>
      <c r="T282" s="1107">
        <f>IFERROR(VLOOKUP(S282,'TAB EMP'!A:B,2,0),0)</f>
        <v>150</v>
      </c>
      <c r="U282" s="1108">
        <v>0</v>
      </c>
      <c r="V282" s="1107">
        <f t="shared" si="680"/>
        <v>150</v>
      </c>
      <c r="W282" s="1108">
        <f t="shared" si="681"/>
        <v>75</v>
      </c>
      <c r="X282" s="1135" t="s">
        <v>2884</v>
      </c>
      <c r="Y282" s="1135"/>
      <c r="Z282" s="1135">
        <v>2</v>
      </c>
      <c r="AA282" s="1107">
        <f>ROUND(IF(H282&lt;&gt;"",VLOOKUP(SUM(I282+J282),'CONCEPTOS Y PARAMETROS'!F:G,2,0)*V282,0),2)</f>
        <v>6</v>
      </c>
      <c r="AB282" s="1107">
        <f>IF(S282&lt;&gt;"",IF(M282="",'CONCEPTOS Y PARAMETROS'!$C$4,0),0)</f>
        <v>130</v>
      </c>
      <c r="AC282" s="1107">
        <f>IF(S282&lt;&gt;"",IF(M282="",'CONCEPTOS Y PARAMETROS'!$C$7*Z282,0),0)</f>
        <v>25</v>
      </c>
      <c r="AD282" s="1107">
        <f>IFERROR(ROUND(VLOOKUP($X282,'CONCEPTOS Y PARAMETROS'!H:I,2,0)*($V282+AA282+AB282+AC282),2),0)</f>
        <v>0</v>
      </c>
      <c r="AE282" s="1107">
        <f t="shared" si="647"/>
        <v>161</v>
      </c>
      <c r="AF282" s="1107">
        <f t="shared" si="682"/>
        <v>3</v>
      </c>
      <c r="AG282" s="1107">
        <f t="shared" si="683"/>
        <v>3</v>
      </c>
      <c r="AH282" s="1107">
        <f t="shared" si="684"/>
        <v>65</v>
      </c>
      <c r="AI282" s="1107">
        <f t="shared" si="685"/>
        <v>65</v>
      </c>
      <c r="AJ282" s="1107">
        <f t="shared" si="686"/>
        <v>0</v>
      </c>
      <c r="AK282" s="1107">
        <f t="shared" si="687"/>
        <v>0</v>
      </c>
      <c r="AL282" s="1108">
        <f t="shared" si="688"/>
        <v>93</v>
      </c>
      <c r="AM282" s="1108">
        <f t="shared" si="689"/>
        <v>68</v>
      </c>
      <c r="AN282" s="990">
        <v>0</v>
      </c>
      <c r="AO282" s="1147">
        <f>'CONCEPTOS Y PARAMETROS'!$C$18*AN282</f>
        <v>0</v>
      </c>
      <c r="AP282" s="990">
        <v>0</v>
      </c>
      <c r="AQ282" s="1147">
        <f>'CONCEPTOS Y PARAMETROS'!$C$21*AP282</f>
        <v>0</v>
      </c>
      <c r="AR282" s="1318">
        <v>0</v>
      </c>
      <c r="AS282" s="1318">
        <v>0</v>
      </c>
      <c r="AT282" s="1318">
        <f t="shared" si="784"/>
        <v>0</v>
      </c>
      <c r="AU282" s="1108">
        <f t="shared" si="606"/>
        <v>404.3</v>
      </c>
      <c r="AV282" s="1133" t="s">
        <v>5080</v>
      </c>
      <c r="AW282" s="1108">
        <f t="shared" si="716"/>
        <v>93.3</v>
      </c>
      <c r="AX282" s="1107">
        <f>IF(T282&lt;&gt;"0",(ROUND(IF(A282="EMPLEADO",eval_formula('CONCEPTOS Y PARAMETROS'!$C$8,NOMINA!V282,NOMINA!$AU282,NOMINA!I282+NOMINA!J282),eval_formula('CONCEPTOS Y PARAMETROS'!$D$8,NOMINA!V282,NOMINA!$AU282,NOMINA!I282+NOMINA!J282)),2))*IF(H282&lt;&gt;"",IF(MONTH(H282)=$BR$8,IF(YEAR(H282)&lt;$BT$7,1,0),0)))</f>
        <v>0</v>
      </c>
      <c r="AY282" s="1108">
        <v>180</v>
      </c>
      <c r="AZ282" s="1107">
        <f>IFERROR(VLOOKUP(AY282,'CONCEPTOS Y PARAMETROS'!Y:Z,2,0),0)</f>
        <v>150</v>
      </c>
      <c r="BA282" s="1107">
        <f t="shared" si="690"/>
        <v>3032.25</v>
      </c>
      <c r="BB282" s="1107">
        <f t="shared" si="763"/>
        <v>0</v>
      </c>
      <c r="BC282" s="990">
        <v>0</v>
      </c>
      <c r="BD282" s="1107" t="str">
        <f t="shared" si="607"/>
        <v>0</v>
      </c>
      <c r="BE282" s="990">
        <v>1</v>
      </c>
      <c r="BF282" s="1107">
        <f t="shared" si="802"/>
        <v>20.22</v>
      </c>
      <c r="BG282" s="1108">
        <v>320</v>
      </c>
      <c r="BH282" s="1108">
        <v>0</v>
      </c>
      <c r="BI282" s="1132">
        <v>0</v>
      </c>
      <c r="BJ282" s="1108">
        <v>12.5</v>
      </c>
      <c r="BK282" s="1108">
        <v>0</v>
      </c>
      <c r="BL282" s="1107">
        <f t="shared" si="704"/>
        <v>18.66</v>
      </c>
      <c r="BM282" s="1107">
        <f t="shared" si="705"/>
        <v>2.33</v>
      </c>
      <c r="BN282" s="1107">
        <f t="shared" si="626"/>
        <v>4.04</v>
      </c>
      <c r="BO282" s="1107">
        <v>0</v>
      </c>
      <c r="BP282" s="1107">
        <v>0</v>
      </c>
      <c r="BQ282" s="1320">
        <f t="shared" si="630"/>
        <v>25.03</v>
      </c>
      <c r="BR282" s="1107">
        <f t="shared" si="707"/>
        <v>41.99</v>
      </c>
      <c r="BS282" s="1107">
        <f t="shared" si="708"/>
        <v>9.33</v>
      </c>
      <c r="BT282" s="1107">
        <f t="shared" si="627"/>
        <v>8.08</v>
      </c>
      <c r="BU282" s="1107">
        <v>0</v>
      </c>
      <c r="BV282" s="1108">
        <f t="shared" si="631"/>
        <v>59.4</v>
      </c>
      <c r="BW282" s="1112">
        <f t="shared" si="632"/>
        <v>84.43</v>
      </c>
      <c r="BX282" s="1112">
        <f t="shared" si="783"/>
        <v>758.06</v>
      </c>
      <c r="BY282" s="1108">
        <v>0</v>
      </c>
      <c r="BZ282" s="1108">
        <f t="shared" si="598"/>
        <v>758.06</v>
      </c>
      <c r="CA282" s="1321">
        <f>'CONCEPTOS Y PARAMETROS'!$A$102</f>
        <v>6255</v>
      </c>
      <c r="CB282" s="1112">
        <f t="shared" si="611"/>
        <v>142.97</v>
      </c>
      <c r="CC282" s="1113">
        <f t="shared" si="612"/>
        <v>589.02</v>
      </c>
      <c r="CD282" s="512"/>
      <c r="CE282" s="512"/>
      <c r="CF282" s="470">
        <f t="shared" si="613"/>
        <v>783</v>
      </c>
      <c r="CG282" s="495">
        <f t="shared" si="628"/>
        <v>142.97</v>
      </c>
      <c r="CH282" s="498">
        <f t="shared" si="614"/>
        <v>12.5</v>
      </c>
      <c r="CI282" s="1490">
        <f t="shared" si="608"/>
        <v>320</v>
      </c>
      <c r="CJ282" s="1500">
        <v>1</v>
      </c>
      <c r="CK282" s="495">
        <f t="shared" si="615"/>
        <v>463</v>
      </c>
      <c r="CL282" s="1689">
        <f t="shared" si="616"/>
        <v>463</v>
      </c>
      <c r="CM282" s="1689">
        <f t="shared" si="610"/>
        <v>0</v>
      </c>
      <c r="CN282" s="496">
        <f t="shared" si="617"/>
        <v>20.22</v>
      </c>
      <c r="CO282" s="497">
        <v>0</v>
      </c>
      <c r="CP282" s="496">
        <f t="shared" si="618"/>
        <v>93.3</v>
      </c>
      <c r="CQ282" s="496">
        <f t="shared" si="619"/>
        <v>0</v>
      </c>
      <c r="CR282" s="496">
        <f t="shared" si="620"/>
        <v>1039.52</v>
      </c>
      <c r="CS282" s="496">
        <f t="shared" si="621"/>
        <v>84.43</v>
      </c>
      <c r="CT282" s="496">
        <f t="shared" si="622"/>
        <v>6255</v>
      </c>
      <c r="CU282" s="470"/>
      <c r="CV282" s="470"/>
      <c r="CW282" s="470"/>
      <c r="CX282" s="470"/>
      <c r="CY282" s="1149" t="s">
        <v>6993</v>
      </c>
      <c r="CZ282" s="1149" t="s">
        <v>7020</v>
      </c>
      <c r="DA282" s="1152"/>
      <c r="DB282" s="1642" t="s">
        <v>6288</v>
      </c>
      <c r="DC282" s="1642"/>
      <c r="DD282" s="1642" t="s">
        <v>6158</v>
      </c>
      <c r="DE282" s="1642" t="s">
        <v>6222</v>
      </c>
      <c r="DF282" s="1642" t="s">
        <v>6524</v>
      </c>
      <c r="DG282" s="1642"/>
      <c r="DH282" s="512"/>
      <c r="DI282" s="512"/>
      <c r="DJ282" s="470"/>
      <c r="DK282" s="470"/>
      <c r="DL282" s="470"/>
      <c r="DN282" s="471" t="str">
        <f>VLOOKUP(X282,Hoja1!$A$4:$B$10,2,0)</f>
        <v>BACHILLER</v>
      </c>
      <c r="DO282" s="471" t="str">
        <f>VLOOKUP(S282,Hoja1!$D$4:$F$77,3,0)</f>
        <v>BII - II</v>
      </c>
      <c r="DP282" s="1156" t="str">
        <f t="shared" si="623"/>
        <v>SI</v>
      </c>
      <c r="DQ282" s="1484">
        <f>IF(T282&lt;&gt;"0",(ROUND(IF(A282="EMPLEADO",eval_formula('CONCEPTOS Y PARAMETROS'!$C$8,NOMINA!V282,AU282+BF282,NOMINA!I282+NOMINA!J282),eval_formula('CONCEPTOS Y PARAMETROS'!$D$8,NOMINA!V282,AU282+BF282,NOMINA!I282+NOMINA!J282)),2))*IF(H282&lt;&gt;"",IF(MONTH(H282)=$BR$8,IF(YEAR(H282)&lt;$BT$7,1,0),0)))</f>
        <v>0</v>
      </c>
      <c r="DR282" s="1801" t="str">
        <f t="shared" si="624"/>
        <v>F</v>
      </c>
      <c r="DS282" s="1801"/>
    </row>
    <row r="283" spans="1:123" s="471" customFormat="1" ht="21.95" customHeight="1" x14ac:dyDescent="0.25">
      <c r="A283" s="508" t="s">
        <v>2846</v>
      </c>
      <c r="B283" s="1314">
        <f t="shared" ca="1" si="782"/>
        <v>240</v>
      </c>
      <c r="C283" s="1148">
        <v>26591879</v>
      </c>
      <c r="D283" s="1149" t="s">
        <v>4918</v>
      </c>
      <c r="E283" s="1135" t="s">
        <v>4622</v>
      </c>
      <c r="F283" s="1150">
        <v>35691</v>
      </c>
      <c r="G283" s="1135" t="s">
        <v>4620</v>
      </c>
      <c r="H283" s="1150">
        <v>43587</v>
      </c>
      <c r="I283" s="1140">
        <f t="shared" si="625"/>
        <v>6</v>
      </c>
      <c r="J283" s="1132">
        <v>0</v>
      </c>
      <c r="K283" s="1140">
        <f t="shared" si="600"/>
        <v>6</v>
      </c>
      <c r="L283" s="1145" t="s">
        <v>5522</v>
      </c>
      <c r="M283" s="1132"/>
      <c r="N283" s="1132"/>
      <c r="O283" s="1002" t="s">
        <v>5268</v>
      </c>
      <c r="P283" s="1132" t="s">
        <v>5446</v>
      </c>
      <c r="Q283" s="1315" t="str">
        <f>IFERROR(VLOOKUP(O283,CARGOS!A:E,2,0),"")</f>
        <v>36322</v>
      </c>
      <c r="R283" s="1327" t="s">
        <v>5268</v>
      </c>
      <c r="S283" s="1146" t="s">
        <v>5475</v>
      </c>
      <c r="T283" s="1107">
        <f>IFERROR(VLOOKUP(S283,'TAB EMP'!A:B,2,0),0)</f>
        <v>279</v>
      </c>
      <c r="U283" s="1108">
        <v>0</v>
      </c>
      <c r="V283" s="1107">
        <f t="shared" si="680"/>
        <v>279</v>
      </c>
      <c r="W283" s="1108">
        <f t="shared" si="681"/>
        <v>139.5</v>
      </c>
      <c r="X283" s="1135" t="s">
        <v>2885</v>
      </c>
      <c r="Y283" s="1135"/>
      <c r="Z283" s="1135">
        <v>1</v>
      </c>
      <c r="AA283" s="1107">
        <f>ROUND(IF(H283&lt;&gt;"",VLOOKUP(SUM(I283+J283),'CONCEPTOS Y PARAMETROS'!F:G,2,0)*V283,0),2)</f>
        <v>17.3</v>
      </c>
      <c r="AB283" s="1107">
        <f>IF(S283&lt;&gt;"",IF(M283="",'CONCEPTOS Y PARAMETROS'!$C$4,0),0)</f>
        <v>130</v>
      </c>
      <c r="AC283" s="1107">
        <f>IF(S283&lt;&gt;"",IF(M283="",'CONCEPTOS Y PARAMETROS'!$C$7*Z283,0),0)</f>
        <v>12.5</v>
      </c>
      <c r="AD283" s="1107">
        <f>IFERROR(ROUND(VLOOKUP($X283,'CONCEPTOS Y PARAMETROS'!H:I,2,0)*($V283+AA283+AB283+AC283),2),0)</f>
        <v>109.7</v>
      </c>
      <c r="AE283" s="1107">
        <f t="shared" si="647"/>
        <v>269.5</v>
      </c>
      <c r="AF283" s="1107">
        <f t="shared" si="682"/>
        <v>8.65</v>
      </c>
      <c r="AG283" s="1107">
        <f t="shared" si="683"/>
        <v>8.65</v>
      </c>
      <c r="AH283" s="1107">
        <f t="shared" si="684"/>
        <v>65</v>
      </c>
      <c r="AI283" s="1107">
        <f t="shared" si="685"/>
        <v>65</v>
      </c>
      <c r="AJ283" s="1107">
        <f t="shared" si="686"/>
        <v>54.85</v>
      </c>
      <c r="AK283" s="1107">
        <f t="shared" si="687"/>
        <v>54.85</v>
      </c>
      <c r="AL283" s="1108">
        <f t="shared" si="688"/>
        <v>141</v>
      </c>
      <c r="AM283" s="1108">
        <f t="shared" si="689"/>
        <v>128.5</v>
      </c>
      <c r="AN283" s="990">
        <v>0</v>
      </c>
      <c r="AO283" s="1147">
        <f>'CONCEPTOS Y PARAMETROS'!$C$18*AN283</f>
        <v>0</v>
      </c>
      <c r="AP283" s="990">
        <v>0</v>
      </c>
      <c r="AQ283" s="1147">
        <f>'CONCEPTOS Y PARAMETROS'!$C$21*AP283</f>
        <v>0</v>
      </c>
      <c r="AR283" s="1318">
        <v>0</v>
      </c>
      <c r="AS283" s="1318">
        <v>0</v>
      </c>
      <c r="AT283" s="1318">
        <f t="shared" si="784"/>
        <v>0</v>
      </c>
      <c r="AU283" s="1108">
        <f t="shared" si="606"/>
        <v>548.5</v>
      </c>
      <c r="AV283" s="1133">
        <v>0</v>
      </c>
      <c r="AW283" s="1108">
        <f t="shared" si="716"/>
        <v>0</v>
      </c>
      <c r="AX283" s="1107">
        <f>IF(T283&lt;&gt;"0",(ROUND(IF(A283="EMPLEADO",eval_formula('CONCEPTOS Y PARAMETROS'!$C$8,NOMINA!V283,NOMINA!$AU283,NOMINA!I283+NOMINA!J283),eval_formula('CONCEPTOS Y PARAMETROS'!$D$8,NOMINA!V283,NOMINA!$AU283,NOMINA!I283+NOMINA!J283)),2))*IF(H283&lt;&gt;"",IF(MONTH(H283)=$BR$8,IF(YEAR(H283)&lt;$BT$7,1,0),0)))</f>
        <v>0</v>
      </c>
      <c r="AY283" s="1108">
        <v>180</v>
      </c>
      <c r="AZ283" s="1107">
        <f>IFERROR(VLOOKUP(AY283,'CONCEPTOS Y PARAMETROS'!Y:Z,2,0),0)</f>
        <v>150</v>
      </c>
      <c r="BA283" s="1107">
        <f t="shared" si="690"/>
        <v>4113.75</v>
      </c>
      <c r="BB283" s="1107">
        <f t="shared" si="763"/>
        <v>0</v>
      </c>
      <c r="BC283" s="990">
        <v>0</v>
      </c>
      <c r="BD283" s="1107" t="str">
        <f t="shared" si="607"/>
        <v>0</v>
      </c>
      <c r="BE283" s="990">
        <v>0</v>
      </c>
      <c r="BF283" s="1107">
        <f t="shared" si="802"/>
        <v>0</v>
      </c>
      <c r="BG283" s="1108">
        <v>320</v>
      </c>
      <c r="BH283" s="1108">
        <v>0</v>
      </c>
      <c r="BI283" s="1132">
        <v>0</v>
      </c>
      <c r="BJ283" s="1108">
        <v>12.5</v>
      </c>
      <c r="BK283" s="1108">
        <v>0</v>
      </c>
      <c r="BL283" s="1107">
        <f t="shared" si="704"/>
        <v>25.32</v>
      </c>
      <c r="BM283" s="1107">
        <f t="shared" si="705"/>
        <v>3.16</v>
      </c>
      <c r="BN283" s="1107">
        <f t="shared" si="626"/>
        <v>5.49</v>
      </c>
      <c r="BO283" s="1107">
        <v>0</v>
      </c>
      <c r="BP283" s="1107">
        <v>0</v>
      </c>
      <c r="BQ283" s="1320">
        <f t="shared" si="630"/>
        <v>33.97</v>
      </c>
      <c r="BR283" s="1107">
        <f t="shared" si="707"/>
        <v>56.96</v>
      </c>
      <c r="BS283" s="1107">
        <f t="shared" si="708"/>
        <v>12.66</v>
      </c>
      <c r="BT283" s="1107">
        <f t="shared" si="627"/>
        <v>10.98</v>
      </c>
      <c r="BU283" s="1107">
        <v>0</v>
      </c>
      <c r="BV283" s="1108">
        <f t="shared" si="631"/>
        <v>80.599999999999994</v>
      </c>
      <c r="BW283" s="1112">
        <f t="shared" si="632"/>
        <v>114.57</v>
      </c>
      <c r="BX283" s="1112">
        <f t="shared" si="783"/>
        <v>1028.44</v>
      </c>
      <c r="BY283" s="1108">
        <v>0</v>
      </c>
      <c r="BZ283" s="1108">
        <f t="shared" si="598"/>
        <v>1028.44</v>
      </c>
      <c r="CA283" s="1321">
        <f>'CONCEPTOS Y PARAMETROS'!$A$102</f>
        <v>6255</v>
      </c>
      <c r="CB283" s="1112">
        <f t="shared" si="611"/>
        <v>246.53</v>
      </c>
      <c r="CC283" s="1113">
        <f t="shared" si="612"/>
        <v>600.5</v>
      </c>
      <c r="CD283" s="512"/>
      <c r="CE283" s="512"/>
      <c r="CF283" s="470">
        <f t="shared" si="613"/>
        <v>908</v>
      </c>
      <c r="CG283" s="495">
        <f t="shared" si="628"/>
        <v>246.53</v>
      </c>
      <c r="CH283" s="498">
        <f t="shared" si="614"/>
        <v>12.5</v>
      </c>
      <c r="CI283" s="1490">
        <f t="shared" si="608"/>
        <v>320</v>
      </c>
      <c r="CJ283" s="1500">
        <v>1</v>
      </c>
      <c r="CK283" s="495">
        <f t="shared" si="615"/>
        <v>588</v>
      </c>
      <c r="CL283" s="1689">
        <f t="shared" si="616"/>
        <v>588</v>
      </c>
      <c r="CM283" s="1689">
        <f t="shared" si="610"/>
        <v>0</v>
      </c>
      <c r="CN283" s="496">
        <f t="shared" si="617"/>
        <v>0</v>
      </c>
      <c r="CO283" s="497">
        <v>0</v>
      </c>
      <c r="CP283" s="496">
        <f t="shared" si="618"/>
        <v>0</v>
      </c>
      <c r="CQ283" s="496">
        <f t="shared" si="619"/>
        <v>0</v>
      </c>
      <c r="CR283" s="496">
        <f t="shared" si="620"/>
        <v>1176</v>
      </c>
      <c r="CS283" s="496">
        <f t="shared" si="621"/>
        <v>114.57</v>
      </c>
      <c r="CT283" s="496">
        <f t="shared" si="622"/>
        <v>6255</v>
      </c>
      <c r="CU283" s="470"/>
      <c r="CV283" s="470"/>
      <c r="CW283" s="470"/>
      <c r="CX283" s="470"/>
      <c r="CY283" s="1149" t="s">
        <v>7021</v>
      </c>
      <c r="CZ283" s="1149" t="s">
        <v>7022</v>
      </c>
      <c r="DA283" s="1152"/>
      <c r="DB283" s="1642" t="s">
        <v>6319</v>
      </c>
      <c r="DC283" s="1642"/>
      <c r="DD283" s="1642" t="s">
        <v>6135</v>
      </c>
      <c r="DE283" s="1642" t="s">
        <v>6192</v>
      </c>
      <c r="DF283" s="1642" t="s">
        <v>6606</v>
      </c>
      <c r="DG283" s="1642" t="s">
        <v>7513</v>
      </c>
      <c r="DH283" s="512"/>
      <c r="DI283" s="512"/>
      <c r="DJ283" s="470"/>
      <c r="DK283" s="470"/>
      <c r="DL283" s="470"/>
      <c r="DN283" s="471" t="str">
        <f>VLOOKUP(X283,Hoja1!$A$4:$B$10,2,0)</f>
        <v>PROFESIONAL</v>
      </c>
      <c r="DO283" s="471" t="str">
        <f>VLOOKUP(S283,Hoja1!$D$4:$F$77,3,0)</f>
        <v>PII - III</v>
      </c>
      <c r="DP283" s="1156" t="str">
        <f t="shared" si="623"/>
        <v>0</v>
      </c>
      <c r="DQ283" s="1484">
        <f>IF(T283&lt;&gt;"0",(ROUND(IF(A283="EMPLEADO",eval_formula('CONCEPTOS Y PARAMETROS'!$C$8,NOMINA!V283,AU283+BF283,NOMINA!I283+NOMINA!J283),eval_formula('CONCEPTOS Y PARAMETROS'!$D$8,NOMINA!V283,AU283+BF283,NOMINA!I283+NOMINA!J283)),2))*IF(H283&lt;&gt;"",IF(MONTH(H283)=$BR$8,IF(YEAR(H283)&lt;$BT$7,1,0),0)))</f>
        <v>0</v>
      </c>
      <c r="DR283" s="1801" t="str">
        <f t="shared" si="624"/>
        <v>F</v>
      </c>
      <c r="DS283" s="1801"/>
    </row>
    <row r="284" spans="1:123" s="471" customFormat="1" ht="21.95" customHeight="1" x14ac:dyDescent="0.25">
      <c r="A284" s="508" t="s">
        <v>2846</v>
      </c>
      <c r="B284" s="1314">
        <f t="shared" ca="1" si="782"/>
        <v>241</v>
      </c>
      <c r="C284" s="1148">
        <v>26690908</v>
      </c>
      <c r="D284" s="1149" t="s">
        <v>4919</v>
      </c>
      <c r="E284" s="1135" t="s">
        <v>4622</v>
      </c>
      <c r="F284" s="1150">
        <v>35069</v>
      </c>
      <c r="G284" s="1135" t="s">
        <v>4620</v>
      </c>
      <c r="H284" s="1150">
        <v>44228</v>
      </c>
      <c r="I284" s="1140">
        <f t="shared" si="625"/>
        <v>4</v>
      </c>
      <c r="J284" s="1132">
        <v>0</v>
      </c>
      <c r="K284" s="1140">
        <f t="shared" si="600"/>
        <v>4</v>
      </c>
      <c r="L284" s="1145" t="s">
        <v>5535</v>
      </c>
      <c r="M284" s="1132"/>
      <c r="N284" s="1132"/>
      <c r="O284" s="1002" t="s">
        <v>5218</v>
      </c>
      <c r="P284" s="1132" t="s">
        <v>5447</v>
      </c>
      <c r="Q284" s="1315" t="str">
        <f>IFERROR(VLOOKUP(O284,CARGOS!A:E,2,0),"")</f>
        <v>79511</v>
      </c>
      <c r="R284" s="1327" t="s">
        <v>5218</v>
      </c>
      <c r="S284" s="1146" t="s">
        <v>5477</v>
      </c>
      <c r="T284" s="1107">
        <f>IFERROR(VLOOKUP(S284,'TAB EMP'!A:B,2,0),0)</f>
        <v>150</v>
      </c>
      <c r="U284" s="1108">
        <v>0</v>
      </c>
      <c r="V284" s="1107">
        <f t="shared" si="680"/>
        <v>150</v>
      </c>
      <c r="W284" s="1108">
        <f t="shared" si="681"/>
        <v>75</v>
      </c>
      <c r="X284" s="1135" t="s">
        <v>2884</v>
      </c>
      <c r="Y284" s="1135"/>
      <c r="Z284" s="1135">
        <v>1</v>
      </c>
      <c r="AA284" s="1107">
        <f>ROUND(IF(H284&lt;&gt;"",VLOOKUP(SUM(I284+J284),'CONCEPTOS Y PARAMETROS'!F:G,2,0)*V284,0),2)</f>
        <v>6</v>
      </c>
      <c r="AB284" s="1107">
        <f>IF(S284&lt;&gt;"",IF(M284="",'CONCEPTOS Y PARAMETROS'!$C$4,0),0)</f>
        <v>130</v>
      </c>
      <c r="AC284" s="1107">
        <f>IF(S284&lt;&gt;"",IF(M284="",'CONCEPTOS Y PARAMETROS'!$C$7*Z284,0),0)</f>
        <v>12.5</v>
      </c>
      <c r="AD284" s="1107">
        <f>IFERROR(ROUND(VLOOKUP($X284,'CONCEPTOS Y PARAMETROS'!H:I,2,0)*($V284+AA284+AB284+AC284),2),0)</f>
        <v>0</v>
      </c>
      <c r="AE284" s="1107">
        <f t="shared" si="647"/>
        <v>148.5</v>
      </c>
      <c r="AF284" s="1107">
        <f t="shared" si="682"/>
        <v>3</v>
      </c>
      <c r="AG284" s="1107">
        <f t="shared" si="683"/>
        <v>3</v>
      </c>
      <c r="AH284" s="1107">
        <f t="shared" si="684"/>
        <v>65</v>
      </c>
      <c r="AI284" s="1107">
        <f t="shared" si="685"/>
        <v>65</v>
      </c>
      <c r="AJ284" s="1107">
        <f t="shared" si="686"/>
        <v>0</v>
      </c>
      <c r="AK284" s="1107">
        <f t="shared" si="687"/>
        <v>0</v>
      </c>
      <c r="AL284" s="1108">
        <f t="shared" si="688"/>
        <v>80.5</v>
      </c>
      <c r="AM284" s="1108">
        <f t="shared" si="689"/>
        <v>68</v>
      </c>
      <c r="AN284" s="990">
        <v>0</v>
      </c>
      <c r="AO284" s="1147">
        <f>'CONCEPTOS Y PARAMETROS'!$C$18*AN284</f>
        <v>0</v>
      </c>
      <c r="AP284" s="990">
        <v>0</v>
      </c>
      <c r="AQ284" s="1147">
        <f>'CONCEPTOS Y PARAMETROS'!$C$21*AP284</f>
        <v>0</v>
      </c>
      <c r="AR284" s="1318">
        <v>0</v>
      </c>
      <c r="AS284" s="1318">
        <v>0</v>
      </c>
      <c r="AT284" s="1318">
        <f t="shared" si="784"/>
        <v>0</v>
      </c>
      <c r="AU284" s="1108">
        <f t="shared" si="606"/>
        <v>388.05</v>
      </c>
      <c r="AV284" s="1133" t="s">
        <v>5080</v>
      </c>
      <c r="AW284" s="1108">
        <f t="shared" si="716"/>
        <v>89.55</v>
      </c>
      <c r="AX284" s="1107">
        <f>IF(T284&lt;&gt;"0",(ROUND(IF(A284="EMPLEADO",eval_formula('CONCEPTOS Y PARAMETROS'!$C$8,NOMINA!V284,NOMINA!$AU284,NOMINA!I284+NOMINA!J284),eval_formula('CONCEPTOS Y PARAMETROS'!$D$8,NOMINA!V284,NOMINA!$AU284,NOMINA!I284+NOMINA!J284)),2))*IF(H284&lt;&gt;"",IF(MONTH(H284)=$BR$8,IF(YEAR(H284)&lt;$BT$7,1,0),0)))</f>
        <v>0</v>
      </c>
      <c r="AY284" s="1108">
        <v>180</v>
      </c>
      <c r="AZ284" s="1107">
        <f>IFERROR(VLOOKUP(AY284,'CONCEPTOS Y PARAMETROS'!Y:Z,2,0),0)</f>
        <v>150</v>
      </c>
      <c r="BA284" s="1107">
        <f t="shared" si="690"/>
        <v>2910.38</v>
      </c>
      <c r="BB284" s="1107">
        <f t="shared" si="763"/>
        <v>0</v>
      </c>
      <c r="BC284" s="990">
        <v>0</v>
      </c>
      <c r="BD284" s="1107" t="str">
        <f t="shared" si="607"/>
        <v>0</v>
      </c>
      <c r="BE284" s="990">
        <v>3</v>
      </c>
      <c r="BF284" s="1107">
        <f t="shared" si="802"/>
        <v>58.21</v>
      </c>
      <c r="BG284" s="1108">
        <v>320</v>
      </c>
      <c r="BH284" s="1108">
        <v>0</v>
      </c>
      <c r="BI284" s="1132">
        <v>0</v>
      </c>
      <c r="BJ284" s="1108">
        <v>12.5</v>
      </c>
      <c r="BK284" s="1108">
        <v>0</v>
      </c>
      <c r="BL284" s="1107">
        <f t="shared" si="704"/>
        <v>17.91</v>
      </c>
      <c r="BM284" s="1107">
        <f t="shared" si="705"/>
        <v>2.2400000000000002</v>
      </c>
      <c r="BN284" s="1107">
        <f t="shared" si="626"/>
        <v>3.88</v>
      </c>
      <c r="BO284" s="1107">
        <v>0</v>
      </c>
      <c r="BP284" s="1107">
        <v>0</v>
      </c>
      <c r="BQ284" s="1320">
        <f t="shared" si="630"/>
        <v>24.03</v>
      </c>
      <c r="BR284" s="1107">
        <f t="shared" si="707"/>
        <v>40.299999999999997</v>
      </c>
      <c r="BS284" s="1107">
        <f t="shared" si="708"/>
        <v>8.9600000000000009</v>
      </c>
      <c r="BT284" s="1107">
        <f t="shared" si="627"/>
        <v>7.76</v>
      </c>
      <c r="BU284" s="1107">
        <v>0</v>
      </c>
      <c r="BV284" s="1108">
        <f t="shared" si="631"/>
        <v>57.02</v>
      </c>
      <c r="BW284" s="1112">
        <f t="shared" si="632"/>
        <v>81.050000000000011</v>
      </c>
      <c r="BX284" s="1112">
        <f t="shared" si="783"/>
        <v>727.6</v>
      </c>
      <c r="BY284" s="1108">
        <v>0</v>
      </c>
      <c r="BZ284" s="1108">
        <f t="shared" si="598"/>
        <v>727.6</v>
      </c>
      <c r="CA284" s="1321">
        <f>'CONCEPTOS Y PARAMETROS'!$A$102</f>
        <v>6255</v>
      </c>
      <c r="CB284" s="1112">
        <f t="shared" si="611"/>
        <v>131.47</v>
      </c>
      <c r="CC284" s="1113">
        <f t="shared" si="612"/>
        <v>623.26</v>
      </c>
      <c r="CD284" s="512"/>
      <c r="CE284" s="512"/>
      <c r="CF284" s="470">
        <f t="shared" si="613"/>
        <v>783</v>
      </c>
      <c r="CG284" s="495">
        <f t="shared" si="628"/>
        <v>131.47</v>
      </c>
      <c r="CH284" s="498">
        <f t="shared" si="614"/>
        <v>12.5</v>
      </c>
      <c r="CI284" s="1490">
        <f t="shared" si="608"/>
        <v>320</v>
      </c>
      <c r="CJ284" s="1500">
        <v>1</v>
      </c>
      <c r="CK284" s="495">
        <f t="shared" si="615"/>
        <v>463</v>
      </c>
      <c r="CL284" s="1689">
        <f t="shared" si="616"/>
        <v>463</v>
      </c>
      <c r="CM284" s="1689">
        <f t="shared" si="610"/>
        <v>0</v>
      </c>
      <c r="CN284" s="496">
        <f t="shared" si="617"/>
        <v>58.21</v>
      </c>
      <c r="CO284" s="497">
        <v>0</v>
      </c>
      <c r="CP284" s="496">
        <f t="shared" si="618"/>
        <v>89.55</v>
      </c>
      <c r="CQ284" s="496">
        <f t="shared" si="619"/>
        <v>0</v>
      </c>
      <c r="CR284" s="496">
        <f t="shared" si="620"/>
        <v>1073.76</v>
      </c>
      <c r="CS284" s="496">
        <f t="shared" si="621"/>
        <v>81.050000000000011</v>
      </c>
      <c r="CT284" s="496">
        <f t="shared" si="622"/>
        <v>6255</v>
      </c>
      <c r="CU284" s="470"/>
      <c r="CV284" s="470"/>
      <c r="CW284" s="470"/>
      <c r="CX284" s="470"/>
      <c r="CY284" s="1149" t="s">
        <v>7018</v>
      </c>
      <c r="CZ284" s="1149" t="s">
        <v>7023</v>
      </c>
      <c r="DA284" s="1152"/>
      <c r="DB284" s="1642" t="s">
        <v>7459</v>
      </c>
      <c r="DC284" s="1642"/>
      <c r="DD284" s="1642" t="s">
        <v>6255</v>
      </c>
      <c r="DE284" s="1642" t="s">
        <v>6256</v>
      </c>
      <c r="DF284" s="1642" t="s">
        <v>7458</v>
      </c>
      <c r="DG284" s="1642"/>
      <c r="DH284" s="512"/>
      <c r="DI284" s="512"/>
      <c r="DJ284" s="470"/>
      <c r="DK284" s="470"/>
      <c r="DL284" s="470"/>
      <c r="DN284" s="471" t="str">
        <f>VLOOKUP(X284,Hoja1!$A$4:$B$10,2,0)</f>
        <v>BACHILLER</v>
      </c>
      <c r="DO284" s="471" t="str">
        <f>VLOOKUP(S284,Hoja1!$D$4:$F$77,3,0)</f>
        <v>BII - II</v>
      </c>
      <c r="DP284" s="1156" t="str">
        <f t="shared" si="623"/>
        <v>SI</v>
      </c>
      <c r="DQ284" s="1484">
        <f>IF(T284&lt;&gt;"0",(ROUND(IF(A284="EMPLEADO",eval_formula('CONCEPTOS Y PARAMETROS'!$C$8,NOMINA!V284,AU284+BF284,NOMINA!I284+NOMINA!J284),eval_formula('CONCEPTOS Y PARAMETROS'!$D$8,NOMINA!V284,AU284+BF284,NOMINA!I284+NOMINA!J284)),2))*IF(H284&lt;&gt;"",IF(MONTH(H284)=$BR$8,IF(YEAR(H284)&lt;$BT$7,1,0),0)))</f>
        <v>0</v>
      </c>
      <c r="DR284" s="1801" t="str">
        <f t="shared" si="624"/>
        <v>F</v>
      </c>
      <c r="DS284" s="1801"/>
    </row>
    <row r="285" spans="1:123" s="476" customFormat="1" ht="21.95" customHeight="1" x14ac:dyDescent="0.25">
      <c r="A285" s="508" t="s">
        <v>2846</v>
      </c>
      <c r="B285" s="1314">
        <f t="shared" ca="1" si="782"/>
        <v>242</v>
      </c>
      <c r="C285" s="1148">
        <v>26962104</v>
      </c>
      <c r="D285" s="1149" t="s">
        <v>4920</v>
      </c>
      <c r="E285" s="1135" t="s">
        <v>4622</v>
      </c>
      <c r="F285" s="1150">
        <v>35922</v>
      </c>
      <c r="G285" s="1135" t="s">
        <v>4620</v>
      </c>
      <c r="H285" s="1150">
        <v>44393</v>
      </c>
      <c r="I285" s="1140">
        <f t="shared" si="625"/>
        <v>4</v>
      </c>
      <c r="J285" s="1132">
        <v>0</v>
      </c>
      <c r="K285" s="1140">
        <f t="shared" si="600"/>
        <v>4</v>
      </c>
      <c r="L285" s="1145" t="s">
        <v>5535</v>
      </c>
      <c r="M285" s="1132"/>
      <c r="N285" s="1132"/>
      <c r="O285" s="1002" t="s">
        <v>7261</v>
      </c>
      <c r="P285" s="1132" t="s">
        <v>5448</v>
      </c>
      <c r="Q285" s="1315" t="str">
        <f>IFERROR(VLOOKUP(O285,CARGOS!A:E,2,0),"")</f>
        <v>12112</v>
      </c>
      <c r="R285" s="1327" t="s">
        <v>7261</v>
      </c>
      <c r="S285" s="1146" t="s">
        <v>5477</v>
      </c>
      <c r="T285" s="1107">
        <f>IFERROR(VLOOKUP(S285,'TAB EMP'!A:B,2,0),0)</f>
        <v>150</v>
      </c>
      <c r="U285" s="1108">
        <v>0</v>
      </c>
      <c r="V285" s="1107">
        <f t="shared" si="680"/>
        <v>150</v>
      </c>
      <c r="W285" s="1108">
        <f t="shared" si="681"/>
        <v>75</v>
      </c>
      <c r="X285" s="1135" t="s">
        <v>2884</v>
      </c>
      <c r="Y285" s="1135"/>
      <c r="Z285" s="1135">
        <v>1</v>
      </c>
      <c r="AA285" s="1107">
        <f>ROUND(IF(H285&lt;&gt;"",VLOOKUP(SUM(I285+J285),'CONCEPTOS Y PARAMETROS'!F:G,2,0)*V285,0),2)</f>
        <v>6</v>
      </c>
      <c r="AB285" s="1107">
        <f>IF(S285&lt;&gt;"",IF(M285="",'CONCEPTOS Y PARAMETROS'!$C$4,0),0)</f>
        <v>130</v>
      </c>
      <c r="AC285" s="1107">
        <f>IF(S285&lt;&gt;"",IF(M285="",'CONCEPTOS Y PARAMETROS'!$C$7*Z285,0),0)</f>
        <v>12.5</v>
      </c>
      <c r="AD285" s="1107">
        <f>IFERROR(ROUND(VLOOKUP($X285,'CONCEPTOS Y PARAMETROS'!H:I,2,0)*($V285+AA285+AB285+AC285),2),0)</f>
        <v>0</v>
      </c>
      <c r="AE285" s="1107">
        <f t="shared" si="647"/>
        <v>148.5</v>
      </c>
      <c r="AF285" s="1107">
        <f t="shared" si="682"/>
        <v>3</v>
      </c>
      <c r="AG285" s="1107">
        <f t="shared" si="683"/>
        <v>3</v>
      </c>
      <c r="AH285" s="1107">
        <f t="shared" si="684"/>
        <v>65</v>
      </c>
      <c r="AI285" s="1107">
        <f t="shared" si="685"/>
        <v>65</v>
      </c>
      <c r="AJ285" s="1107">
        <f t="shared" si="686"/>
        <v>0</v>
      </c>
      <c r="AK285" s="1107">
        <f t="shared" si="687"/>
        <v>0</v>
      </c>
      <c r="AL285" s="1108">
        <f t="shared" si="688"/>
        <v>80.5</v>
      </c>
      <c r="AM285" s="1108">
        <f t="shared" si="689"/>
        <v>68</v>
      </c>
      <c r="AN285" s="990">
        <v>0</v>
      </c>
      <c r="AO285" s="1147">
        <f>'CONCEPTOS Y PARAMETROS'!$C$18*AN285</f>
        <v>0</v>
      </c>
      <c r="AP285" s="990">
        <v>0</v>
      </c>
      <c r="AQ285" s="1147">
        <f>'CONCEPTOS Y PARAMETROS'!$C$21*AP285</f>
        <v>0</v>
      </c>
      <c r="AR285" s="1318">
        <v>12.5</v>
      </c>
      <c r="AS285" s="1318">
        <v>0</v>
      </c>
      <c r="AT285" s="1318">
        <f t="shared" si="784"/>
        <v>12.5</v>
      </c>
      <c r="AU285" s="1108">
        <f t="shared" si="606"/>
        <v>298.5</v>
      </c>
      <c r="AV285" s="1133">
        <v>0</v>
      </c>
      <c r="AW285" s="1108">
        <f t="shared" si="716"/>
        <v>0</v>
      </c>
      <c r="AX285" s="1107">
        <f>IF(T285&lt;&gt;"0",(ROUND(IF(A285="EMPLEADO",eval_formula('CONCEPTOS Y PARAMETROS'!$C$8,NOMINA!V285,NOMINA!$AU285,NOMINA!I285+NOMINA!J285),eval_formula('CONCEPTOS Y PARAMETROS'!$D$8,NOMINA!V285,NOMINA!$AU285,NOMINA!I285+NOMINA!J285)),2))*IF(H285&lt;&gt;"",IF(MONTH(H285)=$BR$8,IF(YEAR(H285)&lt;$BT$7,1,0),0)))</f>
        <v>0</v>
      </c>
      <c r="AY285" s="1108">
        <v>180</v>
      </c>
      <c r="AZ285" s="1107">
        <f>IFERROR(VLOOKUP(AY285,'CONCEPTOS Y PARAMETROS'!Y:Z,2,0),0)</f>
        <v>150</v>
      </c>
      <c r="BA285" s="1107">
        <f t="shared" si="690"/>
        <v>2238.75</v>
      </c>
      <c r="BB285" s="1107">
        <f t="shared" si="763"/>
        <v>0</v>
      </c>
      <c r="BC285" s="990">
        <v>0</v>
      </c>
      <c r="BD285" s="1107" t="str">
        <f t="shared" si="607"/>
        <v>0</v>
      </c>
      <c r="BE285" s="990">
        <v>0</v>
      </c>
      <c r="BF285" s="1107">
        <f t="shared" si="802"/>
        <v>0</v>
      </c>
      <c r="BG285" s="1108">
        <v>320</v>
      </c>
      <c r="BH285" s="1108">
        <v>0</v>
      </c>
      <c r="BI285" s="1132">
        <v>0</v>
      </c>
      <c r="BJ285" s="1108">
        <v>12.5</v>
      </c>
      <c r="BK285" s="1108">
        <v>0</v>
      </c>
      <c r="BL285" s="1107">
        <f t="shared" si="704"/>
        <v>13.78</v>
      </c>
      <c r="BM285" s="1107">
        <f t="shared" si="705"/>
        <v>1.72</v>
      </c>
      <c r="BN285" s="1107">
        <f t="shared" si="626"/>
        <v>2.99</v>
      </c>
      <c r="BO285" s="1107">
        <v>0</v>
      </c>
      <c r="BP285" s="1107">
        <v>0</v>
      </c>
      <c r="BQ285" s="1320">
        <f t="shared" si="630"/>
        <v>18.489999999999998</v>
      </c>
      <c r="BR285" s="1107">
        <f t="shared" si="707"/>
        <v>31</v>
      </c>
      <c r="BS285" s="1107">
        <f t="shared" si="708"/>
        <v>6.89</v>
      </c>
      <c r="BT285" s="1107">
        <f t="shared" si="627"/>
        <v>5.98</v>
      </c>
      <c r="BU285" s="1107">
        <v>0</v>
      </c>
      <c r="BV285" s="1108">
        <f t="shared" si="631"/>
        <v>43.87</v>
      </c>
      <c r="BW285" s="1112">
        <f t="shared" si="632"/>
        <v>62.36</v>
      </c>
      <c r="BX285" s="1112">
        <f t="shared" si="783"/>
        <v>559.69000000000005</v>
      </c>
      <c r="BY285" s="1108">
        <v>0</v>
      </c>
      <c r="BZ285" s="1108">
        <f t="shared" si="598"/>
        <v>559.69000000000005</v>
      </c>
      <c r="CA285" s="1321">
        <f>'CONCEPTOS Y PARAMETROS'!$A$102</f>
        <v>6255</v>
      </c>
      <c r="CB285" s="1112">
        <f t="shared" si="611"/>
        <v>137.01</v>
      </c>
      <c r="CC285" s="1113">
        <f t="shared" si="612"/>
        <v>488</v>
      </c>
      <c r="CD285" s="512"/>
      <c r="CE285" s="512"/>
      <c r="CF285" s="470">
        <f t="shared" si="613"/>
        <v>783</v>
      </c>
      <c r="CG285" s="509">
        <f t="shared" si="628"/>
        <v>137.01</v>
      </c>
      <c r="CH285" s="1603">
        <f t="shared" si="614"/>
        <v>25</v>
      </c>
      <c r="CI285" s="1491">
        <f t="shared" si="608"/>
        <v>320</v>
      </c>
      <c r="CJ285" s="1502">
        <v>1</v>
      </c>
      <c r="CK285" s="509">
        <f t="shared" si="615"/>
        <v>463</v>
      </c>
      <c r="CL285" s="1689">
        <f t="shared" si="616"/>
        <v>463</v>
      </c>
      <c r="CM285" s="1689">
        <f t="shared" si="610"/>
        <v>0</v>
      </c>
      <c r="CN285" s="510">
        <f t="shared" si="617"/>
        <v>0</v>
      </c>
      <c r="CO285" s="511">
        <v>0</v>
      </c>
      <c r="CP285" s="510">
        <f t="shared" si="618"/>
        <v>0</v>
      </c>
      <c r="CQ285" s="510">
        <f t="shared" si="619"/>
        <v>0</v>
      </c>
      <c r="CR285" s="510">
        <f t="shared" si="620"/>
        <v>926</v>
      </c>
      <c r="CS285" s="510">
        <f t="shared" si="621"/>
        <v>62.36</v>
      </c>
      <c r="CT285" s="510">
        <f t="shared" si="622"/>
        <v>6255</v>
      </c>
      <c r="CU285" s="512"/>
      <c r="CV285" s="512"/>
      <c r="CW285" s="512"/>
      <c r="CX285" s="512"/>
      <c r="CY285" s="1149" t="s">
        <v>7024</v>
      </c>
      <c r="CZ285" s="1149" t="s">
        <v>6979</v>
      </c>
      <c r="DA285" s="1152"/>
      <c r="DB285" s="1642" t="s">
        <v>6391</v>
      </c>
      <c r="DC285" s="1642" t="s">
        <v>7282</v>
      </c>
      <c r="DD285" s="1642" t="s">
        <v>6135</v>
      </c>
      <c r="DE285" s="1642" t="s">
        <v>6192</v>
      </c>
      <c r="DF285" s="1642" t="s">
        <v>6383</v>
      </c>
      <c r="DG285" s="1642"/>
      <c r="DH285" s="512"/>
      <c r="DI285" s="512"/>
      <c r="DJ285" s="512"/>
      <c r="DK285" s="512"/>
      <c r="DL285" s="512"/>
      <c r="DN285" s="476" t="str">
        <f>VLOOKUP(X285,Hoja1!$A$4:$B$10,2,0)</f>
        <v>BACHILLER</v>
      </c>
      <c r="DO285" s="476" t="str">
        <f>VLOOKUP(S285,Hoja1!$D$4:$F$77,3,0)</f>
        <v>BII - II</v>
      </c>
      <c r="DP285" s="1594" t="str">
        <f t="shared" si="623"/>
        <v>0</v>
      </c>
      <c r="DQ285" s="1484">
        <f>IF(T285&lt;&gt;"0",(ROUND(IF(A285="EMPLEADO",eval_formula('CONCEPTOS Y PARAMETROS'!$C$8,NOMINA!V285,AU285+BF285,NOMINA!I285+NOMINA!J285),eval_formula('CONCEPTOS Y PARAMETROS'!$D$8,NOMINA!V285,AU285+BF285,NOMINA!I285+NOMINA!J285)),2))*IF(H285&lt;&gt;"",IF(MONTH(H285)=$BR$8,IF(YEAR(H285)&lt;$BT$7,1,0),0)))</f>
        <v>0</v>
      </c>
      <c r="DR285" s="1799" t="str">
        <f t="shared" si="624"/>
        <v>F</v>
      </c>
      <c r="DS285" s="1799"/>
    </row>
    <row r="286" spans="1:123" s="476" customFormat="1" ht="21.95" customHeight="1" x14ac:dyDescent="0.25">
      <c r="A286" s="508" t="s">
        <v>2846</v>
      </c>
      <c r="B286" s="1314">
        <f t="shared" ca="1" si="782"/>
        <v>243</v>
      </c>
      <c r="C286" s="1148">
        <v>27022450</v>
      </c>
      <c r="D286" s="1149" t="s">
        <v>7333</v>
      </c>
      <c r="E286" s="1135" t="s">
        <v>4622</v>
      </c>
      <c r="F286" s="1150">
        <v>36360</v>
      </c>
      <c r="G286" s="1135" t="s">
        <v>4620</v>
      </c>
      <c r="H286" s="1150">
        <v>45717</v>
      </c>
      <c r="I286" s="1140">
        <f t="shared" si="625"/>
        <v>0</v>
      </c>
      <c r="J286" s="1132">
        <v>0</v>
      </c>
      <c r="K286" s="1140">
        <f t="shared" si="600"/>
        <v>0</v>
      </c>
      <c r="L286" s="1145" t="s">
        <v>5529</v>
      </c>
      <c r="M286" s="1132"/>
      <c r="N286" s="1132"/>
      <c r="O286" s="1002" t="s">
        <v>5220</v>
      </c>
      <c r="P286" s="1151" t="s">
        <v>7334</v>
      </c>
      <c r="Q286" s="1315" t="str">
        <f>IFERROR(VLOOKUP(O286,CARGOS!A:E,2,0),"")</f>
        <v>79341</v>
      </c>
      <c r="R286" s="1327" t="s">
        <v>5220</v>
      </c>
      <c r="S286" s="1146" t="s">
        <v>5462</v>
      </c>
      <c r="T286" s="1107">
        <f>IFERROR(VLOOKUP(S286,'TAB EMP'!A:B,2,0),0)</f>
        <v>192</v>
      </c>
      <c r="U286" s="1108">
        <v>0</v>
      </c>
      <c r="V286" s="1107">
        <f t="shared" si="680"/>
        <v>192</v>
      </c>
      <c r="W286" s="1108">
        <f t="shared" si="681"/>
        <v>96</v>
      </c>
      <c r="X286" s="1135" t="s">
        <v>2844</v>
      </c>
      <c r="Y286" s="1135"/>
      <c r="Z286" s="1135">
        <v>0</v>
      </c>
      <c r="AA286" s="1107">
        <f>ROUND(IF(H286&lt;&gt;"",VLOOKUP(SUM(I286+J286),'CONCEPTOS Y PARAMETROS'!F:G,2,0)*V286,0),2)</f>
        <v>0</v>
      </c>
      <c r="AB286" s="1107">
        <f>IF(S286&lt;&gt;"",IF(M286="",'CONCEPTOS Y PARAMETROS'!$C$4,0),0)</f>
        <v>130</v>
      </c>
      <c r="AC286" s="1107">
        <f>IF(S286&lt;&gt;"",IF(M286="",'CONCEPTOS Y PARAMETROS'!$C$7*Z286,0),0)</f>
        <v>0</v>
      </c>
      <c r="AD286" s="1107">
        <f>IFERROR(ROUND(VLOOKUP($X286,'CONCEPTOS Y PARAMETROS'!H:I,2,0)*($V286+AA286+AB286+AC286),2),0)</f>
        <v>64.400000000000006</v>
      </c>
      <c r="AE286" s="1107">
        <f t="shared" si="647"/>
        <v>194.4</v>
      </c>
      <c r="AF286" s="1107">
        <f t="shared" si="682"/>
        <v>0</v>
      </c>
      <c r="AG286" s="1107">
        <f t="shared" si="683"/>
        <v>0</v>
      </c>
      <c r="AH286" s="1107">
        <f t="shared" si="684"/>
        <v>65</v>
      </c>
      <c r="AI286" s="1107">
        <f t="shared" si="685"/>
        <v>65</v>
      </c>
      <c r="AJ286" s="1107">
        <f t="shared" si="686"/>
        <v>32.200000000000003</v>
      </c>
      <c r="AK286" s="1107">
        <f t="shared" si="687"/>
        <v>32.200000000000003</v>
      </c>
      <c r="AL286" s="1108">
        <f t="shared" si="688"/>
        <v>97.2</v>
      </c>
      <c r="AM286" s="1108">
        <f t="shared" si="689"/>
        <v>97.2</v>
      </c>
      <c r="AN286" s="990">
        <v>0</v>
      </c>
      <c r="AO286" s="1147">
        <f>'CONCEPTOS Y PARAMETROS'!$C$18*AN286</f>
        <v>0</v>
      </c>
      <c r="AP286" s="990">
        <v>0</v>
      </c>
      <c r="AQ286" s="1147">
        <f>'CONCEPTOS Y PARAMETROS'!$C$21*AP286</f>
        <v>0</v>
      </c>
      <c r="AR286" s="1318">
        <v>0</v>
      </c>
      <c r="AS286" s="1318">
        <v>0</v>
      </c>
      <c r="AT286" s="1318">
        <f t="shared" si="784"/>
        <v>0</v>
      </c>
      <c r="AU286" s="1108">
        <f t="shared" si="606"/>
        <v>386.4</v>
      </c>
      <c r="AV286" s="1133">
        <v>0</v>
      </c>
      <c r="AW286" s="1108">
        <f t="shared" si="716"/>
        <v>0</v>
      </c>
      <c r="AX286" s="1107">
        <f>IF(T286&lt;&gt;"0",(ROUND(IF(A286="EMPLEADO",eval_formula('CONCEPTOS Y PARAMETROS'!$C$8,NOMINA!V286,NOMINA!$AU286,NOMINA!I286+NOMINA!J286),eval_formula('CONCEPTOS Y PARAMETROS'!$D$8,NOMINA!V286,NOMINA!$AU286,NOMINA!I286+NOMINA!J286)),2))*IF(H286&lt;&gt;"",IF(MONTH(H286)=$BR$8,IF(YEAR(H286)&lt;$BT$7,1,0),0)))</f>
        <v>0</v>
      </c>
      <c r="AY286" s="1108">
        <v>180</v>
      </c>
      <c r="AZ286" s="1107">
        <f>IFERROR(VLOOKUP(AY286,'CONCEPTOS Y PARAMETROS'!Y:Z,2,0),0)</f>
        <v>150</v>
      </c>
      <c r="BA286" s="1107">
        <f t="shared" si="690"/>
        <v>2898</v>
      </c>
      <c r="BB286" s="1107">
        <f t="shared" si="763"/>
        <v>0</v>
      </c>
      <c r="BC286" s="990">
        <v>0</v>
      </c>
      <c r="BD286" s="1107" t="str">
        <f t="shared" si="607"/>
        <v>0</v>
      </c>
      <c r="BE286" s="990">
        <v>0</v>
      </c>
      <c r="BF286" s="1107">
        <f t="shared" si="802"/>
        <v>0</v>
      </c>
      <c r="BG286" s="1108">
        <v>320</v>
      </c>
      <c r="BH286" s="1108">
        <v>0</v>
      </c>
      <c r="BI286" s="1132">
        <v>0</v>
      </c>
      <c r="BJ286" s="1108">
        <v>12.5</v>
      </c>
      <c r="BK286" s="1108">
        <v>0</v>
      </c>
      <c r="BL286" s="1107">
        <f t="shared" si="704"/>
        <v>17.829999999999998</v>
      </c>
      <c r="BM286" s="1107">
        <f t="shared" si="705"/>
        <v>2.23</v>
      </c>
      <c r="BN286" s="1107">
        <f t="shared" si="626"/>
        <v>3.86</v>
      </c>
      <c r="BO286" s="1107">
        <v>0</v>
      </c>
      <c r="BP286" s="1107">
        <v>0</v>
      </c>
      <c r="BQ286" s="1320">
        <f t="shared" si="630"/>
        <v>23.92</v>
      </c>
      <c r="BR286" s="1107">
        <f t="shared" si="707"/>
        <v>40.130000000000003</v>
      </c>
      <c r="BS286" s="1107">
        <f t="shared" si="708"/>
        <v>8.92</v>
      </c>
      <c r="BT286" s="1107">
        <f t="shared" si="627"/>
        <v>7.72</v>
      </c>
      <c r="BU286" s="1107">
        <v>0</v>
      </c>
      <c r="BV286" s="1108">
        <f t="shared" si="631"/>
        <v>56.77</v>
      </c>
      <c r="BW286" s="1112">
        <f t="shared" si="632"/>
        <v>80.69</v>
      </c>
      <c r="BX286" s="1112">
        <f t="shared" si="783"/>
        <v>724.5</v>
      </c>
      <c r="BY286" s="1108">
        <v>0</v>
      </c>
      <c r="BZ286" s="1108">
        <f t="shared" si="598"/>
        <v>724.5</v>
      </c>
      <c r="CA286" s="1321">
        <f>'CONCEPTOS Y PARAMETROS'!$A$102</f>
        <v>6255</v>
      </c>
      <c r="CB286" s="1112">
        <f t="shared" si="611"/>
        <v>169.27999999999997</v>
      </c>
      <c r="CC286" s="1113">
        <f t="shared" si="612"/>
        <v>525.70000000000005</v>
      </c>
      <c r="CD286" s="512"/>
      <c r="CE286" s="512"/>
      <c r="CF286" s="470">
        <f t="shared" si="613"/>
        <v>833.2</v>
      </c>
      <c r="CG286" s="509">
        <f t="shared" si="628"/>
        <v>169.27999999999997</v>
      </c>
      <c r="CH286" s="1603">
        <f t="shared" si="614"/>
        <v>12.5</v>
      </c>
      <c r="CI286" s="1491">
        <f t="shared" si="608"/>
        <v>320</v>
      </c>
      <c r="CJ286" s="1502">
        <v>1</v>
      </c>
      <c r="CK286" s="509">
        <f t="shared" si="615"/>
        <v>513.20000000000005</v>
      </c>
      <c r="CL286" s="1689">
        <f t="shared" si="616"/>
        <v>513.20000000000005</v>
      </c>
      <c r="CM286" s="1689">
        <f t="shared" si="610"/>
        <v>0</v>
      </c>
      <c r="CN286" s="510">
        <f t="shared" si="617"/>
        <v>0</v>
      </c>
      <c r="CO286" s="511">
        <v>0</v>
      </c>
      <c r="CP286" s="510">
        <f t="shared" si="618"/>
        <v>0</v>
      </c>
      <c r="CQ286" s="510">
        <f t="shared" si="619"/>
        <v>0</v>
      </c>
      <c r="CR286" s="510">
        <f t="shared" si="620"/>
        <v>1026.4000000000001</v>
      </c>
      <c r="CS286" s="510">
        <f t="shared" si="621"/>
        <v>80.69</v>
      </c>
      <c r="CT286" s="510">
        <f t="shared" si="622"/>
        <v>6255</v>
      </c>
      <c r="CU286" s="512"/>
      <c r="CV286" s="512"/>
      <c r="CW286" s="512"/>
      <c r="CX286" s="512"/>
      <c r="CY286" s="1149" t="s">
        <v>6840</v>
      </c>
      <c r="CZ286" s="1149" t="s">
        <v>6805</v>
      </c>
      <c r="DA286" s="1152"/>
      <c r="DB286" s="1152" t="s">
        <v>7335</v>
      </c>
      <c r="DC286" s="1152" t="s">
        <v>7546</v>
      </c>
      <c r="DD286" s="1152"/>
      <c r="DE286" s="1152"/>
      <c r="DF286" s="1152"/>
      <c r="DG286" s="1152"/>
      <c r="DH286" s="512"/>
      <c r="DI286" s="512"/>
      <c r="DJ286" s="512"/>
      <c r="DK286" s="512"/>
      <c r="DL286" s="512"/>
      <c r="DN286" s="476" t="str">
        <f>VLOOKUP(X286,Hoja1!$A$4:$B$10,2,0)</f>
        <v>TÉCNICO SUPERIOR UNIVERSITARIO</v>
      </c>
      <c r="DO286" s="476" t="str">
        <f>VLOOKUP(S286,Hoja1!$D$4:$F$77,3,0)</f>
        <v>TI</v>
      </c>
      <c r="DP286" s="1623" t="str">
        <f t="shared" si="623"/>
        <v>0</v>
      </c>
      <c r="DQ286" s="1484">
        <f>IF(T286&lt;&gt;"0",(ROUND(IF(A286="EMPLEADO",eval_formula('CONCEPTOS Y PARAMETROS'!$C$8,NOMINA!V286,AU286+BF286,NOMINA!I286+NOMINA!J286),eval_formula('CONCEPTOS Y PARAMETROS'!$D$8,NOMINA!V286,AU286+BF286,NOMINA!I286+NOMINA!J286)),2))*IF(H286&lt;&gt;"",IF(MONTH(H286)=$BR$8,IF(YEAR(H286)&lt;$BT$7,1,0),0)))</f>
        <v>0</v>
      </c>
      <c r="DR286" s="1799" t="str">
        <f t="shared" si="624"/>
        <v>F</v>
      </c>
      <c r="DS286" s="1799"/>
    </row>
    <row r="287" spans="1:123" s="476" customFormat="1" ht="21.95" customHeight="1" x14ac:dyDescent="0.25">
      <c r="A287" s="508" t="s">
        <v>2846</v>
      </c>
      <c r="B287" s="1314">
        <f t="shared" ca="1" si="782"/>
        <v>244</v>
      </c>
      <c r="C287" s="1148">
        <v>27251885</v>
      </c>
      <c r="D287" s="1149" t="s">
        <v>6626</v>
      </c>
      <c r="E287" s="1135" t="s">
        <v>4622</v>
      </c>
      <c r="F287" s="1150">
        <v>36010</v>
      </c>
      <c r="G287" s="1135" t="s">
        <v>4620</v>
      </c>
      <c r="H287" s="1150">
        <v>45474</v>
      </c>
      <c r="I287" s="1140">
        <f t="shared" si="625"/>
        <v>1</v>
      </c>
      <c r="J287" s="1132">
        <v>0</v>
      </c>
      <c r="K287" s="1140">
        <f t="shared" si="600"/>
        <v>1</v>
      </c>
      <c r="L287" s="1326" t="s">
        <v>5525</v>
      </c>
      <c r="M287" s="1132"/>
      <c r="N287" s="1132"/>
      <c r="O287" s="1002" t="s">
        <v>5218</v>
      </c>
      <c r="P287" s="1151" t="s">
        <v>6627</v>
      </c>
      <c r="Q287" s="1315" t="str">
        <f>IFERROR(VLOOKUP(O287,CARGOS!A:E,2,0),"")</f>
        <v>79511</v>
      </c>
      <c r="R287" s="1327" t="s">
        <v>5218</v>
      </c>
      <c r="S287" s="1146" t="s">
        <v>5470</v>
      </c>
      <c r="T287" s="1107">
        <f>IFERROR(VLOOKUP(S287,'TAB EMP'!A:B,2,0),0)</f>
        <v>130</v>
      </c>
      <c r="U287" s="1108">
        <v>0</v>
      </c>
      <c r="V287" s="1107">
        <f t="shared" si="680"/>
        <v>130</v>
      </c>
      <c r="W287" s="1108">
        <f t="shared" si="681"/>
        <v>65</v>
      </c>
      <c r="X287" s="1135" t="s">
        <v>2884</v>
      </c>
      <c r="Y287" s="1135"/>
      <c r="Z287" s="1135">
        <v>1</v>
      </c>
      <c r="AA287" s="1107">
        <f>ROUND(IF(H287&lt;&gt;"",VLOOKUP(SUM(I287+J287),'CONCEPTOS Y PARAMETROS'!F:G,2,0)*V287,0),2)</f>
        <v>1.3</v>
      </c>
      <c r="AB287" s="1107">
        <f>IF(S287&lt;&gt;"",IF(M287="",'CONCEPTOS Y PARAMETROS'!$C$4,0),0)</f>
        <v>130</v>
      </c>
      <c r="AC287" s="1107">
        <f>IF(S287&lt;&gt;"",IF(M287="",'CONCEPTOS Y PARAMETROS'!$C$7*Z287,0),0)</f>
        <v>12.5</v>
      </c>
      <c r="AD287" s="1107">
        <f>IFERROR(ROUND(VLOOKUP($X287,'CONCEPTOS Y PARAMETROS'!H:I,2,0)*($V287+AA287+AB287+AC287),2),0)</f>
        <v>0</v>
      </c>
      <c r="AE287" s="1107">
        <f t="shared" si="647"/>
        <v>143.80000000000001</v>
      </c>
      <c r="AF287" s="1107">
        <f t="shared" si="682"/>
        <v>0.65</v>
      </c>
      <c r="AG287" s="1107">
        <f t="shared" si="683"/>
        <v>0.65</v>
      </c>
      <c r="AH287" s="1107">
        <f t="shared" si="684"/>
        <v>65</v>
      </c>
      <c r="AI287" s="1107">
        <f t="shared" si="685"/>
        <v>65</v>
      </c>
      <c r="AJ287" s="1107">
        <f t="shared" si="686"/>
        <v>0</v>
      </c>
      <c r="AK287" s="1107">
        <f t="shared" si="687"/>
        <v>0</v>
      </c>
      <c r="AL287" s="1108">
        <f t="shared" si="688"/>
        <v>78.150000000000006</v>
      </c>
      <c r="AM287" s="1108">
        <f t="shared" si="689"/>
        <v>65.650000000000006</v>
      </c>
      <c r="AN287" s="1453">
        <v>1</v>
      </c>
      <c r="AO287" s="1147">
        <f>'CONCEPTOS Y PARAMETROS'!$C$18*AN287</f>
        <v>12.5</v>
      </c>
      <c r="AP287" s="990">
        <v>0</v>
      </c>
      <c r="AQ287" s="1147">
        <f>'CONCEPTOS Y PARAMETROS'!$C$21*AP287</f>
        <v>0</v>
      </c>
      <c r="AR287" s="1318">
        <v>0</v>
      </c>
      <c r="AS287" s="1318">
        <v>0</v>
      </c>
      <c r="AT287" s="1318">
        <f t="shared" si="784"/>
        <v>12.5</v>
      </c>
      <c r="AU287" s="1108">
        <f t="shared" si="606"/>
        <v>355.94</v>
      </c>
      <c r="AV287" s="1133" t="s">
        <v>5080</v>
      </c>
      <c r="AW287" s="1108">
        <f t="shared" si="716"/>
        <v>82.14</v>
      </c>
      <c r="AX287" s="1107">
        <f>IF(T287&lt;&gt;"0",(ROUND(IF(A287="EMPLEADO",eval_formula('CONCEPTOS Y PARAMETROS'!$C$8,NOMINA!V287,NOMINA!$AU287,NOMINA!I287+NOMINA!J287),eval_formula('CONCEPTOS Y PARAMETROS'!$D$8,NOMINA!V287,NOMINA!$AU287,NOMINA!I287+NOMINA!J287)),2))*IF(H287&lt;&gt;"",IF(MONTH(H287)=$BR$8,IF(YEAR(H287)&lt;$BT$7,1,0),0)))</f>
        <v>0</v>
      </c>
      <c r="AY287" s="1108">
        <v>90</v>
      </c>
      <c r="AZ287" s="1107">
        <f>IFERROR(VLOOKUP(AY287,'CONCEPTOS Y PARAMETROS'!Y:Z,2,0),0)</f>
        <v>75</v>
      </c>
      <c r="BA287" s="1107">
        <f t="shared" si="690"/>
        <v>1112.31</v>
      </c>
      <c r="BB287" s="1107">
        <f t="shared" si="763"/>
        <v>0</v>
      </c>
      <c r="BC287" s="990">
        <v>0</v>
      </c>
      <c r="BD287" s="1107" t="str">
        <f t="shared" si="607"/>
        <v>0</v>
      </c>
      <c r="BE287" s="990">
        <v>3</v>
      </c>
      <c r="BF287" s="1107">
        <f t="shared" si="802"/>
        <v>53.39</v>
      </c>
      <c r="BG287" s="1108">
        <v>320</v>
      </c>
      <c r="BH287" s="1108">
        <v>0</v>
      </c>
      <c r="BI287" s="1132">
        <v>0</v>
      </c>
      <c r="BJ287" s="1108">
        <v>12.5</v>
      </c>
      <c r="BK287" s="1108">
        <v>0</v>
      </c>
      <c r="BL287" s="1107">
        <f t="shared" si="704"/>
        <v>16.43</v>
      </c>
      <c r="BM287" s="1107">
        <f t="shared" si="705"/>
        <v>2.0499999999999998</v>
      </c>
      <c r="BN287" s="1107">
        <f t="shared" si="626"/>
        <v>3.56</v>
      </c>
      <c r="BO287" s="1107">
        <v>0</v>
      </c>
      <c r="BP287" s="1107">
        <v>0</v>
      </c>
      <c r="BQ287" s="1320">
        <f t="shared" si="630"/>
        <v>22.04</v>
      </c>
      <c r="BR287" s="1107">
        <f t="shared" si="707"/>
        <v>36.96</v>
      </c>
      <c r="BS287" s="1107">
        <f t="shared" si="708"/>
        <v>8.2100000000000009</v>
      </c>
      <c r="BT287" s="1107">
        <f t="shared" si="627"/>
        <v>7.12</v>
      </c>
      <c r="BU287" s="1107">
        <v>0</v>
      </c>
      <c r="BV287" s="1108">
        <f t="shared" si="631"/>
        <v>52.29</v>
      </c>
      <c r="BW287" s="1112">
        <f t="shared" si="632"/>
        <v>74.33</v>
      </c>
      <c r="BX287" s="1112">
        <f t="shared" si="783"/>
        <v>278.08</v>
      </c>
      <c r="BY287" s="1108">
        <v>0</v>
      </c>
      <c r="BZ287" s="1108">
        <f t="shared" si="598"/>
        <v>278.08</v>
      </c>
      <c r="CA287" s="1321">
        <f>'CONCEPTOS Y PARAMETROS'!$A$102</f>
        <v>6255</v>
      </c>
      <c r="CB287" s="1112">
        <f t="shared" si="611"/>
        <v>121.11000000000001</v>
      </c>
      <c r="CC287" s="1113">
        <f t="shared" si="612"/>
        <v>611.17999999999995</v>
      </c>
      <c r="CD287" s="512"/>
      <c r="CE287" s="512"/>
      <c r="CF287" s="470">
        <f t="shared" si="613"/>
        <v>770.65</v>
      </c>
      <c r="CG287" s="509">
        <f t="shared" si="628"/>
        <v>121.11000000000001</v>
      </c>
      <c r="CH287" s="498">
        <f t="shared" si="614"/>
        <v>25</v>
      </c>
      <c r="CI287" s="1491">
        <f t="shared" si="608"/>
        <v>320</v>
      </c>
      <c r="CJ287" s="1500">
        <v>1</v>
      </c>
      <c r="CK287" s="509">
        <f t="shared" si="615"/>
        <v>450.65</v>
      </c>
      <c r="CL287" s="1689">
        <f t="shared" si="616"/>
        <v>450.65</v>
      </c>
      <c r="CM287" s="1689">
        <f t="shared" si="610"/>
        <v>0</v>
      </c>
      <c r="CN287" s="510">
        <f t="shared" si="617"/>
        <v>53.39</v>
      </c>
      <c r="CO287" s="511">
        <v>0</v>
      </c>
      <c r="CP287" s="510">
        <f t="shared" si="618"/>
        <v>82.14</v>
      </c>
      <c r="CQ287" s="510">
        <f t="shared" si="619"/>
        <v>0</v>
      </c>
      <c r="CR287" s="496">
        <f t="shared" si="620"/>
        <v>1036.83</v>
      </c>
      <c r="CS287" s="510">
        <f t="shared" si="621"/>
        <v>74.33</v>
      </c>
      <c r="CT287" s="510">
        <f t="shared" si="622"/>
        <v>6255</v>
      </c>
      <c r="CU287" s="470"/>
      <c r="CV287" s="470"/>
      <c r="CW287" s="470"/>
      <c r="CX287" s="470"/>
      <c r="CY287" s="1149" t="s">
        <v>7025</v>
      </c>
      <c r="CZ287" s="1149" t="s">
        <v>7026</v>
      </c>
      <c r="DA287" s="1152"/>
      <c r="DB287" s="1642" t="s">
        <v>6628</v>
      </c>
      <c r="DC287" s="1642"/>
      <c r="DD287" s="1642" t="s">
        <v>6135</v>
      </c>
      <c r="DE287" s="1642" t="s">
        <v>6171</v>
      </c>
      <c r="DF287" s="1642" t="s">
        <v>6234</v>
      </c>
      <c r="DG287" s="1642"/>
      <c r="DH287" s="512"/>
      <c r="DI287" s="512"/>
      <c r="DJ287" s="512"/>
      <c r="DK287" s="512"/>
      <c r="DL287" s="512"/>
      <c r="DN287" s="476" t="str">
        <f>VLOOKUP(X287,Hoja1!$A$4:$B$10,2,0)</f>
        <v>BACHILLER</v>
      </c>
      <c r="DO287" s="476" t="str">
        <f>VLOOKUP(S287,Hoja1!$D$4:$F$77,3,0)</f>
        <v>BI</v>
      </c>
      <c r="DP287" s="1469" t="str">
        <f t="shared" si="623"/>
        <v>SI</v>
      </c>
      <c r="DQ287" s="1484">
        <f>IF(T287&lt;&gt;"0",(ROUND(IF(A287="EMPLEADO",eval_formula('CONCEPTOS Y PARAMETROS'!$C$8,NOMINA!V287,AU287+BF287,NOMINA!I287+NOMINA!J287),eval_formula('CONCEPTOS Y PARAMETROS'!$D$8,NOMINA!V287,AU287+BF287,NOMINA!I287+NOMINA!J287)),2))*IF(H287&lt;&gt;"",IF(MONTH(H287)=$BR$8,IF(YEAR(H287)&lt;$BT$7,1,0),0)))</f>
        <v>0</v>
      </c>
      <c r="DR287" s="1799" t="str">
        <f t="shared" si="624"/>
        <v>F</v>
      </c>
      <c r="DS287" s="1799"/>
    </row>
    <row r="288" spans="1:123" s="476" customFormat="1" ht="21.95" customHeight="1" x14ac:dyDescent="0.25">
      <c r="A288" s="508" t="s">
        <v>2846</v>
      </c>
      <c r="B288" s="1314">
        <f t="shared" ca="1" si="782"/>
        <v>245</v>
      </c>
      <c r="C288" s="1148">
        <v>27251899</v>
      </c>
      <c r="D288" s="1149" t="s">
        <v>6622</v>
      </c>
      <c r="E288" s="1135" t="s">
        <v>4622</v>
      </c>
      <c r="F288" s="1150">
        <v>36588</v>
      </c>
      <c r="G288" s="1135" t="s">
        <v>4620</v>
      </c>
      <c r="H288" s="1150">
        <v>45474</v>
      </c>
      <c r="I288" s="1140">
        <f t="shared" si="625"/>
        <v>1</v>
      </c>
      <c r="J288" s="1132">
        <v>0</v>
      </c>
      <c r="K288" s="1140">
        <f t="shared" si="600"/>
        <v>1</v>
      </c>
      <c r="L288" s="1326" t="s">
        <v>5525</v>
      </c>
      <c r="M288" s="1132"/>
      <c r="N288" s="1132"/>
      <c r="O288" s="1002" t="s">
        <v>5218</v>
      </c>
      <c r="P288" s="1151" t="s">
        <v>6623</v>
      </c>
      <c r="Q288" s="1315" t="str">
        <f>IFERROR(VLOOKUP(O288,CARGOS!A:E,2,0),"")</f>
        <v>79511</v>
      </c>
      <c r="R288" s="1327" t="s">
        <v>5218</v>
      </c>
      <c r="S288" s="1146" t="s">
        <v>5470</v>
      </c>
      <c r="T288" s="1107">
        <f>IFERROR(VLOOKUP(S288,'TAB EMP'!A:B,2,0),0)</f>
        <v>130</v>
      </c>
      <c r="U288" s="1108">
        <v>0</v>
      </c>
      <c r="V288" s="1107">
        <f t="shared" ref="V288:V289" si="806">T288-U288</f>
        <v>130</v>
      </c>
      <c r="W288" s="1108">
        <f t="shared" ref="W288:W289" si="807">ROUND(V288/2,2)</f>
        <v>65</v>
      </c>
      <c r="X288" s="1135" t="s">
        <v>2884</v>
      </c>
      <c r="Y288" s="1135"/>
      <c r="Z288" s="1135">
        <v>1</v>
      </c>
      <c r="AA288" s="1107">
        <f>ROUND(IF(H288&lt;&gt;"",VLOOKUP(SUM(I288+J288),'CONCEPTOS Y PARAMETROS'!F:G,2,0)*V288,0),2)</f>
        <v>1.3</v>
      </c>
      <c r="AB288" s="1107">
        <f>IF(S288&lt;&gt;"",IF(M288="",'CONCEPTOS Y PARAMETROS'!$C$4,0),0)</f>
        <v>130</v>
      </c>
      <c r="AC288" s="1107">
        <f>IF(S288&lt;&gt;"",IF(M288="",'CONCEPTOS Y PARAMETROS'!$C$7*Z288,0),0)</f>
        <v>12.5</v>
      </c>
      <c r="AD288" s="1107">
        <f>IFERROR(ROUND(VLOOKUP($X288,'CONCEPTOS Y PARAMETROS'!H:I,2,0)*($V288+AA288+AB288+AC288),2),0)</f>
        <v>0</v>
      </c>
      <c r="AE288" s="1107">
        <f t="shared" ref="AE288:AE289" si="808">SUM(AA288:AD288)</f>
        <v>143.80000000000001</v>
      </c>
      <c r="AF288" s="1107">
        <f t="shared" ref="AF288:AF289" si="809">ROUND(AA288/2,2)</f>
        <v>0.65</v>
      </c>
      <c r="AG288" s="1107">
        <f t="shared" ref="AG288:AG289" si="810">ROUND(AA288-AF288,2)</f>
        <v>0.65</v>
      </c>
      <c r="AH288" s="1107">
        <f t="shared" ref="AH288:AH289" si="811">ROUND(AB288/2,2)</f>
        <v>65</v>
      </c>
      <c r="AI288" s="1107">
        <f t="shared" ref="AI288:AI289" si="812">ROUND(AB288-AH288,2)</f>
        <v>65</v>
      </c>
      <c r="AJ288" s="1107">
        <f t="shared" ref="AJ288:AJ289" si="813">ROUND(AD288/2,2)</f>
        <v>0</v>
      </c>
      <c r="AK288" s="1107">
        <f t="shared" ref="AK288:AK289" si="814">ROUND(AD288-AJ288,2)</f>
        <v>0</v>
      </c>
      <c r="AL288" s="1108">
        <f t="shared" ref="AL288:AL289" si="815">ROUND(AF288+AH288+AJ288+AC288,2)</f>
        <v>78.150000000000006</v>
      </c>
      <c r="AM288" s="1108">
        <f t="shared" ref="AM288:AM289" si="816">ROUND(AG288+AI288+AK288,2)</f>
        <v>65.650000000000006</v>
      </c>
      <c r="AN288" s="990">
        <v>0</v>
      </c>
      <c r="AO288" s="1147">
        <f>'CONCEPTOS Y PARAMETROS'!$C$18*AN288</f>
        <v>0</v>
      </c>
      <c r="AP288" s="990">
        <v>0</v>
      </c>
      <c r="AQ288" s="1147">
        <f>'CONCEPTOS Y PARAMETROS'!$C$21*AP288</f>
        <v>0</v>
      </c>
      <c r="AR288" s="1318">
        <v>0</v>
      </c>
      <c r="AS288" s="1318">
        <v>0</v>
      </c>
      <c r="AT288" s="1318">
        <f t="shared" ref="AT288:AT289" si="817">+AO288+AQ288+AR288+AS288</f>
        <v>0</v>
      </c>
      <c r="AU288" s="1108">
        <f t="shared" si="606"/>
        <v>355.94</v>
      </c>
      <c r="AV288" s="1133" t="s">
        <v>5080</v>
      </c>
      <c r="AW288" s="1108">
        <f t="shared" si="716"/>
        <v>82.14</v>
      </c>
      <c r="AX288" s="1107">
        <f>IF(T288&lt;&gt;"0",(ROUND(IF(A288="EMPLEADO",eval_formula('CONCEPTOS Y PARAMETROS'!$C$8,NOMINA!V288,NOMINA!$AU288,NOMINA!I288+NOMINA!J288),eval_formula('CONCEPTOS Y PARAMETROS'!$D$8,NOMINA!V288,NOMINA!$AU288,NOMINA!I288+NOMINA!J288)),2))*IF(H288&lt;&gt;"",IF(MONTH(H288)=$BR$8,IF(YEAR(H288)&lt;$BT$7,1,0),0)))</f>
        <v>0</v>
      </c>
      <c r="AY288" s="1108">
        <v>90</v>
      </c>
      <c r="AZ288" s="1107">
        <f>IFERROR(VLOOKUP(AY288,'CONCEPTOS Y PARAMETROS'!Y:Z,2,0),0)</f>
        <v>75</v>
      </c>
      <c r="BA288" s="1107">
        <f t="shared" ref="BA288:BA289" si="818">ROUND((((AU288))/30*AY288/12+(AU288))/30*AZ288,2)</f>
        <v>1112.31</v>
      </c>
      <c r="BB288" s="1107">
        <f t="shared" si="763"/>
        <v>0</v>
      </c>
      <c r="BC288" s="990">
        <v>0</v>
      </c>
      <c r="BD288" s="1107" t="str">
        <f t="shared" si="607"/>
        <v>0</v>
      </c>
      <c r="BE288" s="990">
        <v>3</v>
      </c>
      <c r="BF288" s="1107">
        <f t="shared" si="802"/>
        <v>53.39</v>
      </c>
      <c r="BG288" s="1108">
        <v>320</v>
      </c>
      <c r="BH288" s="1108">
        <v>0</v>
      </c>
      <c r="BI288" s="1132">
        <v>0</v>
      </c>
      <c r="BJ288" s="1108">
        <v>12.5</v>
      </c>
      <c r="BK288" s="1108">
        <v>0</v>
      </c>
      <c r="BL288" s="1107">
        <f t="shared" si="704"/>
        <v>16.43</v>
      </c>
      <c r="BM288" s="1107">
        <f t="shared" si="705"/>
        <v>2.0499999999999998</v>
      </c>
      <c r="BN288" s="1107">
        <f t="shared" si="626"/>
        <v>3.56</v>
      </c>
      <c r="BO288" s="1107">
        <v>0</v>
      </c>
      <c r="BP288" s="1107">
        <v>0</v>
      </c>
      <c r="BQ288" s="1320">
        <f t="shared" ref="BQ288" si="819">ROUND(SUM(BL288:BP288),2)</f>
        <v>22.04</v>
      </c>
      <c r="BR288" s="1107">
        <f t="shared" si="707"/>
        <v>36.96</v>
      </c>
      <c r="BS288" s="1107">
        <f t="shared" si="708"/>
        <v>8.2100000000000009</v>
      </c>
      <c r="BT288" s="1107">
        <f t="shared" si="627"/>
        <v>7.12</v>
      </c>
      <c r="BU288" s="1107">
        <v>0</v>
      </c>
      <c r="BV288" s="1108">
        <f t="shared" ref="BV288" si="820">ROUND(SUM(BR288:BT288),2)</f>
        <v>52.29</v>
      </c>
      <c r="BW288" s="1112">
        <f t="shared" ref="BW288:BW289" si="821">BQ288+BV288</f>
        <v>74.33</v>
      </c>
      <c r="BX288" s="1112">
        <f t="shared" si="783"/>
        <v>278.08</v>
      </c>
      <c r="BY288" s="1108">
        <v>0</v>
      </c>
      <c r="BZ288" s="1108">
        <f t="shared" si="598"/>
        <v>278.08</v>
      </c>
      <c r="CA288" s="1321">
        <f>'CONCEPTOS Y PARAMETROS'!$A$102</f>
        <v>6255</v>
      </c>
      <c r="CB288" s="1112">
        <f t="shared" si="611"/>
        <v>121.11000000000001</v>
      </c>
      <c r="CC288" s="1113">
        <f t="shared" si="612"/>
        <v>598.67999999999995</v>
      </c>
      <c r="CD288" s="512"/>
      <c r="CE288" s="512"/>
      <c r="CF288" s="470">
        <f t="shared" si="613"/>
        <v>770.65</v>
      </c>
      <c r="CG288" s="509">
        <f t="shared" si="628"/>
        <v>121.11000000000001</v>
      </c>
      <c r="CH288" s="498">
        <f t="shared" si="614"/>
        <v>12.5</v>
      </c>
      <c r="CI288" s="1491">
        <f t="shared" si="608"/>
        <v>320</v>
      </c>
      <c r="CJ288" s="1500">
        <v>1</v>
      </c>
      <c r="CK288" s="509">
        <f t="shared" si="615"/>
        <v>450.65</v>
      </c>
      <c r="CL288" s="1689">
        <f t="shared" si="616"/>
        <v>450.65</v>
      </c>
      <c r="CM288" s="1689">
        <f t="shared" si="610"/>
        <v>0</v>
      </c>
      <c r="CN288" s="510">
        <f t="shared" si="617"/>
        <v>53.39</v>
      </c>
      <c r="CO288" s="511">
        <v>0</v>
      </c>
      <c r="CP288" s="510">
        <f t="shared" si="618"/>
        <v>82.14</v>
      </c>
      <c r="CQ288" s="510">
        <f t="shared" si="619"/>
        <v>0</v>
      </c>
      <c r="CR288" s="496">
        <f t="shared" si="620"/>
        <v>1036.83</v>
      </c>
      <c r="CS288" s="510">
        <f t="shared" si="621"/>
        <v>74.33</v>
      </c>
      <c r="CT288" s="510">
        <f t="shared" si="622"/>
        <v>6255</v>
      </c>
      <c r="CU288" s="470"/>
      <c r="CV288" s="470"/>
      <c r="CW288" s="470"/>
      <c r="CX288" s="470"/>
      <c r="CY288" s="1149" t="s">
        <v>6801</v>
      </c>
      <c r="CZ288" s="1149" t="s">
        <v>6805</v>
      </c>
      <c r="DA288" s="1152"/>
      <c r="DB288" s="1642" t="s">
        <v>6624</v>
      </c>
      <c r="DC288" s="1642"/>
      <c r="DD288" s="1642" t="s">
        <v>6199</v>
      </c>
      <c r="DE288" s="1642" t="s">
        <v>6195</v>
      </c>
      <c r="DF288" s="1642" t="s">
        <v>6544</v>
      </c>
      <c r="DG288" s="1642"/>
      <c r="DH288" s="512"/>
      <c r="DI288" s="512"/>
      <c r="DJ288" s="512"/>
      <c r="DK288" s="512"/>
      <c r="DL288" s="512"/>
      <c r="DN288" s="476" t="str">
        <f>VLOOKUP(X288,Hoja1!$A$4:$B$10,2,0)</f>
        <v>BACHILLER</v>
      </c>
      <c r="DO288" s="476" t="str">
        <f>VLOOKUP(S288,Hoja1!$D$4:$F$77,3,0)</f>
        <v>BI</v>
      </c>
      <c r="DP288" s="1469" t="str">
        <f t="shared" si="623"/>
        <v>SI</v>
      </c>
      <c r="DQ288" s="1484">
        <f>IF(T288&lt;&gt;"0",(ROUND(IF(A288="EMPLEADO",eval_formula('CONCEPTOS Y PARAMETROS'!$C$8,NOMINA!V288,AU288+BF288,NOMINA!I288+NOMINA!J288),eval_formula('CONCEPTOS Y PARAMETROS'!$D$8,NOMINA!V288,AU288+BF288,NOMINA!I288+NOMINA!J288)),2))*IF(H288&lt;&gt;"",IF(MONTH(H288)=$BR$8,IF(YEAR(H288)&lt;$BT$7,1,0),0)))</f>
        <v>0</v>
      </c>
      <c r="DR288" s="1799" t="str">
        <f t="shared" si="624"/>
        <v>F</v>
      </c>
      <c r="DS288" s="1799"/>
    </row>
    <row r="289" spans="1:123" s="476" customFormat="1" ht="21.95" customHeight="1" x14ac:dyDescent="0.25">
      <c r="A289" s="508" t="s">
        <v>2846</v>
      </c>
      <c r="B289" s="1314">
        <f t="shared" ca="1" si="782"/>
        <v>246</v>
      </c>
      <c r="C289" s="1148">
        <v>27363633</v>
      </c>
      <c r="D289" s="1149" t="s">
        <v>7228</v>
      </c>
      <c r="E289" s="1135" t="s">
        <v>4622</v>
      </c>
      <c r="F289" s="1150">
        <v>36733</v>
      </c>
      <c r="G289" s="1135" t="s">
        <v>4620</v>
      </c>
      <c r="H289" s="1150">
        <v>45627</v>
      </c>
      <c r="I289" s="1140">
        <f t="shared" si="625"/>
        <v>0</v>
      </c>
      <c r="J289" s="1132">
        <v>0</v>
      </c>
      <c r="K289" s="1140">
        <f t="shared" si="600"/>
        <v>0</v>
      </c>
      <c r="L289" s="1352" t="s">
        <v>5528</v>
      </c>
      <c r="M289" s="1132"/>
      <c r="N289" s="1132"/>
      <c r="O289" s="1002" t="s">
        <v>5218</v>
      </c>
      <c r="P289" s="1151" t="s">
        <v>7229</v>
      </c>
      <c r="Q289" s="1315" t="str">
        <f>IFERROR(VLOOKUP(O289,CARGOS!A:E,2,0),"")</f>
        <v>79511</v>
      </c>
      <c r="R289" s="1327" t="s">
        <v>5218</v>
      </c>
      <c r="S289" s="1146" t="s">
        <v>5470</v>
      </c>
      <c r="T289" s="1107">
        <f>IFERROR(VLOOKUP(S289,'TAB EMP'!A:B,2,0),0)</f>
        <v>130</v>
      </c>
      <c r="U289" s="1108">
        <v>0</v>
      </c>
      <c r="V289" s="1107">
        <f t="shared" si="806"/>
        <v>130</v>
      </c>
      <c r="W289" s="1108">
        <f t="shared" si="807"/>
        <v>65</v>
      </c>
      <c r="X289" s="1135" t="s">
        <v>2884</v>
      </c>
      <c r="Y289" s="1135"/>
      <c r="Z289" s="1135">
        <v>0</v>
      </c>
      <c r="AA289" s="1107">
        <f>ROUND(IF(H289&lt;&gt;"",VLOOKUP(SUM(I289+J289),'CONCEPTOS Y PARAMETROS'!F:G,2,0)*V289,0),2)</f>
        <v>0</v>
      </c>
      <c r="AB289" s="1107">
        <f>IF(S289&lt;&gt;"",IF(M289="",'CONCEPTOS Y PARAMETROS'!$C$4,0),0)</f>
        <v>130</v>
      </c>
      <c r="AC289" s="1107">
        <f>IF(S289&lt;&gt;"",IF(M289="",'CONCEPTOS Y PARAMETROS'!$C$7*Z289,0),0)</f>
        <v>0</v>
      </c>
      <c r="AD289" s="1107">
        <f>IFERROR(ROUND(VLOOKUP($X289,'CONCEPTOS Y PARAMETROS'!H:I,2,0)*($V289+AA289+AB289+AC289),2),0)</f>
        <v>0</v>
      </c>
      <c r="AE289" s="1107">
        <f t="shared" si="808"/>
        <v>130</v>
      </c>
      <c r="AF289" s="1107">
        <f t="shared" si="809"/>
        <v>0</v>
      </c>
      <c r="AG289" s="1107">
        <f t="shared" si="810"/>
        <v>0</v>
      </c>
      <c r="AH289" s="1107">
        <f t="shared" si="811"/>
        <v>65</v>
      </c>
      <c r="AI289" s="1107">
        <f t="shared" si="812"/>
        <v>65</v>
      </c>
      <c r="AJ289" s="1107">
        <f t="shared" si="813"/>
        <v>0</v>
      </c>
      <c r="AK289" s="1107">
        <f t="shared" si="814"/>
        <v>0</v>
      </c>
      <c r="AL289" s="1108">
        <f t="shared" si="815"/>
        <v>65</v>
      </c>
      <c r="AM289" s="1108">
        <f t="shared" si="816"/>
        <v>65</v>
      </c>
      <c r="AN289" s="990">
        <v>0</v>
      </c>
      <c r="AO289" s="1147">
        <f>'CONCEPTOS Y PARAMETROS'!$C$18*AN289</f>
        <v>0</v>
      </c>
      <c r="AP289" s="990">
        <v>0</v>
      </c>
      <c r="AQ289" s="1147">
        <f>'CONCEPTOS Y PARAMETROS'!$C$21*AP289</f>
        <v>0</v>
      </c>
      <c r="AR289" s="1318">
        <v>0</v>
      </c>
      <c r="AS289" s="1318">
        <v>0</v>
      </c>
      <c r="AT289" s="1318">
        <f t="shared" si="817"/>
        <v>0</v>
      </c>
      <c r="AU289" s="1108">
        <f t="shared" si="606"/>
        <v>338</v>
      </c>
      <c r="AV289" s="1133" t="s">
        <v>5080</v>
      </c>
      <c r="AW289" s="1108">
        <f t="shared" si="716"/>
        <v>78</v>
      </c>
      <c r="AX289" s="1107">
        <f>IF(T289&lt;&gt;"0",(ROUND(IF(A289="EMPLEADO",eval_formula('CONCEPTOS Y PARAMETROS'!$C$8,NOMINA!V289,NOMINA!$AU289,NOMINA!I289+NOMINA!J289),eval_formula('CONCEPTOS Y PARAMETROS'!$D$8,NOMINA!V289,NOMINA!$AU289,NOMINA!I289+NOMINA!J289)),2))*IF(H289&lt;&gt;"",IF(MONTH(H289)=$BR$8,IF(YEAR(H289)&lt;$BT$7,1,0),0)))</f>
        <v>0</v>
      </c>
      <c r="AY289" s="1108">
        <v>15</v>
      </c>
      <c r="AZ289" s="1107">
        <f>IFERROR(VLOOKUP(AY289,'CONCEPTOS Y PARAMETROS'!Y:Z,2,0),0)</f>
        <v>12.5</v>
      </c>
      <c r="BA289" s="1107">
        <f t="shared" si="818"/>
        <v>146.69999999999999</v>
      </c>
      <c r="BB289" s="1107">
        <f t="shared" ref="BB289" si="822">ROUND(AU289/30*$BB$10,2)</f>
        <v>0</v>
      </c>
      <c r="BC289" s="990">
        <v>0</v>
      </c>
      <c r="BD289" s="1107" t="str">
        <f t="shared" si="607"/>
        <v>0</v>
      </c>
      <c r="BE289" s="990">
        <v>3</v>
      </c>
      <c r="BF289" s="1107">
        <f t="shared" si="802"/>
        <v>50.7</v>
      </c>
      <c r="BG289" s="1108">
        <v>320</v>
      </c>
      <c r="BH289" s="1108">
        <v>0</v>
      </c>
      <c r="BI289" s="1132">
        <v>0</v>
      </c>
      <c r="BJ289" s="1108">
        <v>12.5</v>
      </c>
      <c r="BK289" s="1108">
        <v>0</v>
      </c>
      <c r="BL289" s="1107">
        <f t="shared" si="704"/>
        <v>15.6</v>
      </c>
      <c r="BM289" s="1107">
        <f t="shared" si="705"/>
        <v>1.95</v>
      </c>
      <c r="BN289" s="1107">
        <f t="shared" si="626"/>
        <v>3.38</v>
      </c>
      <c r="BO289" s="1107">
        <v>0</v>
      </c>
      <c r="BP289" s="1107">
        <v>0</v>
      </c>
      <c r="BQ289" s="1108">
        <f t="shared" ref="BQ289" si="823">ROUND(SUM(BL289:BP289),2)</f>
        <v>20.93</v>
      </c>
      <c r="BR289" s="1107">
        <f t="shared" si="707"/>
        <v>35.1</v>
      </c>
      <c r="BS289" s="1107">
        <f t="shared" si="708"/>
        <v>7.8</v>
      </c>
      <c r="BT289" s="1107">
        <f t="shared" si="627"/>
        <v>6.76</v>
      </c>
      <c r="BU289" s="1107">
        <v>0</v>
      </c>
      <c r="BV289" s="1108">
        <f t="shared" ref="BV289" si="824">ROUND(SUM(BR289:BT289),2)</f>
        <v>49.66</v>
      </c>
      <c r="BW289" s="1112">
        <f t="shared" si="821"/>
        <v>70.59</v>
      </c>
      <c r="BX289" s="1112">
        <f>ROUND(BA289/1,2)</f>
        <v>146.69999999999999</v>
      </c>
      <c r="BY289" s="1108">
        <v>0</v>
      </c>
      <c r="BZ289" s="1108">
        <f t="shared" ref="BZ289" si="825">+BX289+BY289</f>
        <v>146.69999999999999</v>
      </c>
      <c r="CA289" s="1321">
        <f>'CONCEPTOS Y PARAMETROS'!$A$102</f>
        <v>6255</v>
      </c>
      <c r="CB289" s="1112">
        <f t="shared" si="611"/>
        <v>109.07</v>
      </c>
      <c r="CC289" s="1113">
        <f t="shared" si="612"/>
        <v>591.20000000000005</v>
      </c>
      <c r="CD289" s="1452"/>
      <c r="CE289" s="512"/>
      <c r="CF289" s="470">
        <f t="shared" si="613"/>
        <v>770</v>
      </c>
      <c r="CG289" s="509">
        <f t="shared" si="628"/>
        <v>109.07</v>
      </c>
      <c r="CH289" s="498">
        <f t="shared" si="614"/>
        <v>12.5</v>
      </c>
      <c r="CI289" s="1491">
        <f t="shared" si="608"/>
        <v>320</v>
      </c>
      <c r="CJ289" s="1500">
        <v>1</v>
      </c>
      <c r="CK289" s="509">
        <f t="shared" si="615"/>
        <v>450</v>
      </c>
      <c r="CL289" s="1689">
        <f t="shared" si="616"/>
        <v>450</v>
      </c>
      <c r="CM289" s="1689">
        <f t="shared" si="610"/>
        <v>0</v>
      </c>
      <c r="CN289" s="510">
        <f t="shared" si="617"/>
        <v>50.7</v>
      </c>
      <c r="CO289" s="511">
        <v>0</v>
      </c>
      <c r="CP289" s="510">
        <f t="shared" si="618"/>
        <v>78</v>
      </c>
      <c r="CQ289" s="510">
        <f t="shared" si="619"/>
        <v>0</v>
      </c>
      <c r="CR289" s="496">
        <f t="shared" si="620"/>
        <v>1028.7</v>
      </c>
      <c r="CS289" s="510">
        <f t="shared" si="621"/>
        <v>70.59</v>
      </c>
      <c r="CT289" s="510">
        <f t="shared" si="622"/>
        <v>6255</v>
      </c>
      <c r="CU289" s="470"/>
      <c r="CV289" s="470"/>
      <c r="CW289" s="470"/>
      <c r="CX289" s="470"/>
      <c r="CY289" s="1149" t="s">
        <v>7230</v>
      </c>
      <c r="CZ289" s="1149" t="s">
        <v>7231</v>
      </c>
      <c r="DA289" s="1152"/>
      <c r="DB289" s="1642" t="s">
        <v>7232</v>
      </c>
      <c r="DC289" s="1642"/>
      <c r="DD289" s="1642"/>
      <c r="DE289" s="1642"/>
      <c r="DF289" s="1642" t="s">
        <v>7449</v>
      </c>
      <c r="DG289" s="1642"/>
      <c r="DH289" s="512"/>
      <c r="DI289" s="512"/>
      <c r="DJ289" s="512"/>
      <c r="DK289" s="512"/>
      <c r="DL289" s="512"/>
      <c r="DN289" s="476" t="str">
        <f>VLOOKUP(X289,Hoja1!$A$4:$B$10,2,0)</f>
        <v>BACHILLER</v>
      </c>
      <c r="DO289" s="476" t="str">
        <f>VLOOKUP(S289,Hoja1!$D$4:$F$77,3,0)</f>
        <v>BI</v>
      </c>
      <c r="DP289" s="1469" t="str">
        <f t="shared" si="623"/>
        <v>SI</v>
      </c>
      <c r="DQ289" s="1484">
        <f>IF(T289&lt;&gt;"0",(ROUND(IF(A289="EMPLEADO",eval_formula('CONCEPTOS Y PARAMETROS'!$C$8,NOMINA!V289,AU289+BF289,NOMINA!I289+NOMINA!J289),eval_formula('CONCEPTOS Y PARAMETROS'!$D$8,NOMINA!V289,AU289+BF289,NOMINA!I289+NOMINA!J289)),2))*IF(H289&lt;&gt;"",IF(MONTH(H289)=$BR$8,IF(YEAR(H289)&lt;$BT$7,1,0),0)))</f>
        <v>0</v>
      </c>
      <c r="DR289" s="1799" t="str">
        <f t="shared" si="624"/>
        <v>F</v>
      </c>
      <c r="DS289" s="1799"/>
    </row>
    <row r="290" spans="1:123" s="476" customFormat="1" ht="21.95" customHeight="1" x14ac:dyDescent="0.25">
      <c r="A290" s="508" t="s">
        <v>2846</v>
      </c>
      <c r="B290" s="1314">
        <f t="shared" ca="1" si="782"/>
        <v>247</v>
      </c>
      <c r="C290" s="1148">
        <v>27415737</v>
      </c>
      <c r="D290" s="1149" t="s">
        <v>4922</v>
      </c>
      <c r="E290" s="1135" t="s">
        <v>4622</v>
      </c>
      <c r="F290" s="1150">
        <v>36242</v>
      </c>
      <c r="G290" s="1135" t="s">
        <v>4620</v>
      </c>
      <c r="H290" s="1150">
        <v>44363</v>
      </c>
      <c r="I290" s="1140">
        <f t="shared" si="625"/>
        <v>4</v>
      </c>
      <c r="J290" s="1132">
        <v>0</v>
      </c>
      <c r="K290" s="1140">
        <f t="shared" si="600"/>
        <v>4</v>
      </c>
      <c r="L290" s="1145" t="s">
        <v>5544</v>
      </c>
      <c r="M290" s="1132"/>
      <c r="N290" s="1132"/>
      <c r="O290" s="1002" t="s">
        <v>7261</v>
      </c>
      <c r="P290" s="1132" t="s">
        <v>5449</v>
      </c>
      <c r="Q290" s="1315" t="str">
        <f>IFERROR(VLOOKUP(O290,CARGOS!A:E,2,0),"")</f>
        <v>12112</v>
      </c>
      <c r="R290" s="1327" t="s">
        <v>7261</v>
      </c>
      <c r="S290" s="1146" t="s">
        <v>5477</v>
      </c>
      <c r="T290" s="1107">
        <f>IFERROR(VLOOKUP(S290,'TAB EMP'!A:B,2,0),0)</f>
        <v>150</v>
      </c>
      <c r="U290" s="1108">
        <v>0</v>
      </c>
      <c r="V290" s="1107">
        <f t="shared" si="680"/>
        <v>150</v>
      </c>
      <c r="W290" s="1108">
        <f t="shared" si="681"/>
        <v>75</v>
      </c>
      <c r="X290" s="1135" t="s">
        <v>2884</v>
      </c>
      <c r="Y290" s="1135"/>
      <c r="Z290" s="1135">
        <v>1</v>
      </c>
      <c r="AA290" s="1107">
        <f>ROUND(IF(H290&lt;&gt;"",VLOOKUP(SUM(I290+J290),'CONCEPTOS Y PARAMETROS'!F:G,2,0)*V290,0),2)</f>
        <v>6</v>
      </c>
      <c r="AB290" s="1107">
        <f>IF(S290&lt;&gt;"",IF(M290="",'CONCEPTOS Y PARAMETROS'!$C$4,0),0)</f>
        <v>130</v>
      </c>
      <c r="AC290" s="1107">
        <f>IF(S290&lt;&gt;"",IF(M290="",'CONCEPTOS Y PARAMETROS'!$C$7*Z290,0),0)</f>
        <v>12.5</v>
      </c>
      <c r="AD290" s="1107">
        <f>IFERROR(ROUND(VLOOKUP($X290,'CONCEPTOS Y PARAMETROS'!H:I,2,0)*($V290+AA290+AB290+AC290),2),0)</f>
        <v>0</v>
      </c>
      <c r="AE290" s="1107">
        <f t="shared" si="647"/>
        <v>148.5</v>
      </c>
      <c r="AF290" s="1107">
        <f t="shared" si="682"/>
        <v>3</v>
      </c>
      <c r="AG290" s="1107">
        <f t="shared" si="683"/>
        <v>3</v>
      </c>
      <c r="AH290" s="1107">
        <f t="shared" si="684"/>
        <v>65</v>
      </c>
      <c r="AI290" s="1107">
        <f t="shared" si="685"/>
        <v>65</v>
      </c>
      <c r="AJ290" s="1107">
        <f t="shared" si="686"/>
        <v>0</v>
      </c>
      <c r="AK290" s="1107">
        <f t="shared" si="687"/>
        <v>0</v>
      </c>
      <c r="AL290" s="1108">
        <f t="shared" si="688"/>
        <v>80.5</v>
      </c>
      <c r="AM290" s="1108">
        <f t="shared" si="689"/>
        <v>68</v>
      </c>
      <c r="AN290" s="990">
        <v>0</v>
      </c>
      <c r="AO290" s="1147">
        <f>'CONCEPTOS Y PARAMETROS'!$C$18*AN290</f>
        <v>0</v>
      </c>
      <c r="AP290" s="990">
        <v>0</v>
      </c>
      <c r="AQ290" s="1147">
        <f>'CONCEPTOS Y PARAMETROS'!$C$21*AP290</f>
        <v>0</v>
      </c>
      <c r="AR290" s="1318">
        <v>0</v>
      </c>
      <c r="AS290" s="1318">
        <v>12.5</v>
      </c>
      <c r="AT290" s="1318">
        <f t="shared" si="784"/>
        <v>12.5</v>
      </c>
      <c r="AU290" s="1108">
        <f t="shared" si="606"/>
        <v>298.5</v>
      </c>
      <c r="AV290" s="1133">
        <v>0</v>
      </c>
      <c r="AW290" s="1108">
        <f t="shared" si="716"/>
        <v>0</v>
      </c>
      <c r="AX290" s="1107">
        <f>IF(T290&lt;&gt;"0",(ROUND(IF(A290="EMPLEADO",eval_formula('CONCEPTOS Y PARAMETROS'!$C$8,NOMINA!V290,NOMINA!$AU290,NOMINA!I290+NOMINA!J290),eval_formula('CONCEPTOS Y PARAMETROS'!$D$8,NOMINA!V290,NOMINA!$AU290,NOMINA!I290+NOMINA!J290)),2))*IF(H290&lt;&gt;"",IF(MONTH(H290)=$BR$8,IF(YEAR(H290)&lt;$BT$7,1,0),0)))</f>
        <v>0</v>
      </c>
      <c r="AY290" s="1108">
        <v>180</v>
      </c>
      <c r="AZ290" s="1107">
        <f>IFERROR(VLOOKUP(AY290,'CONCEPTOS Y PARAMETROS'!Y:Z,2,0),0)</f>
        <v>150</v>
      </c>
      <c r="BA290" s="1107">
        <f t="shared" si="690"/>
        <v>2238.75</v>
      </c>
      <c r="BB290" s="1107">
        <f t="shared" ref="BB290:BB295" si="826">ROUND(AU290/30*$BB$10,2)</f>
        <v>0</v>
      </c>
      <c r="BC290" s="990">
        <v>0</v>
      </c>
      <c r="BD290" s="1107" t="str">
        <f t="shared" si="607"/>
        <v>0</v>
      </c>
      <c r="BE290" s="990">
        <v>0</v>
      </c>
      <c r="BF290" s="1107">
        <f t="shared" si="802"/>
        <v>0</v>
      </c>
      <c r="BG290" s="1108">
        <v>320</v>
      </c>
      <c r="BH290" s="1108">
        <v>0</v>
      </c>
      <c r="BI290" s="1132">
        <v>0</v>
      </c>
      <c r="BJ290" s="1108">
        <v>12.5</v>
      </c>
      <c r="BK290" s="1108">
        <v>0</v>
      </c>
      <c r="BL290" s="1107">
        <f t="shared" si="704"/>
        <v>13.78</v>
      </c>
      <c r="BM290" s="1107">
        <f t="shared" si="705"/>
        <v>1.72</v>
      </c>
      <c r="BN290" s="1107">
        <f t="shared" si="626"/>
        <v>2.99</v>
      </c>
      <c r="BO290" s="1107">
        <v>0</v>
      </c>
      <c r="BP290" s="1107">
        <v>0</v>
      </c>
      <c r="BQ290" s="1320">
        <f t="shared" si="630"/>
        <v>18.489999999999998</v>
      </c>
      <c r="BR290" s="1107">
        <f t="shared" si="707"/>
        <v>31</v>
      </c>
      <c r="BS290" s="1107">
        <f t="shared" si="708"/>
        <v>6.89</v>
      </c>
      <c r="BT290" s="1107">
        <f t="shared" si="627"/>
        <v>5.98</v>
      </c>
      <c r="BU290" s="1107">
        <v>0</v>
      </c>
      <c r="BV290" s="1108">
        <f t="shared" si="631"/>
        <v>43.87</v>
      </c>
      <c r="BW290" s="1112">
        <f t="shared" si="632"/>
        <v>62.36</v>
      </c>
      <c r="BX290" s="1112">
        <f t="shared" ref="BX290:BX302" si="827">ROUND(BA290/4,2)</f>
        <v>559.69000000000005</v>
      </c>
      <c r="BY290" s="1108">
        <v>0</v>
      </c>
      <c r="BZ290" s="1108">
        <f t="shared" si="598"/>
        <v>559.69000000000005</v>
      </c>
      <c r="CA290" s="1321">
        <f>'CONCEPTOS Y PARAMETROS'!$A$102</f>
        <v>6255</v>
      </c>
      <c r="CB290" s="1112">
        <f t="shared" si="611"/>
        <v>137.01</v>
      </c>
      <c r="CC290" s="1113">
        <f t="shared" si="612"/>
        <v>488</v>
      </c>
      <c r="CD290" s="512"/>
      <c r="CE290" s="512"/>
      <c r="CF290" s="470">
        <f t="shared" si="613"/>
        <v>783</v>
      </c>
      <c r="CG290" s="509">
        <f t="shared" si="628"/>
        <v>137.01</v>
      </c>
      <c r="CH290" s="1603">
        <f t="shared" si="614"/>
        <v>25</v>
      </c>
      <c r="CI290" s="1491">
        <f t="shared" si="608"/>
        <v>320</v>
      </c>
      <c r="CJ290" s="1502">
        <v>1</v>
      </c>
      <c r="CK290" s="509">
        <f t="shared" si="615"/>
        <v>463</v>
      </c>
      <c r="CL290" s="1689">
        <f t="shared" si="616"/>
        <v>463</v>
      </c>
      <c r="CM290" s="1689">
        <f t="shared" si="610"/>
        <v>0</v>
      </c>
      <c r="CN290" s="510">
        <f t="shared" si="617"/>
        <v>0</v>
      </c>
      <c r="CO290" s="511">
        <v>0</v>
      </c>
      <c r="CP290" s="510">
        <f t="shared" si="618"/>
        <v>0</v>
      </c>
      <c r="CQ290" s="510">
        <f t="shared" si="619"/>
        <v>0</v>
      </c>
      <c r="CR290" s="510">
        <f t="shared" si="620"/>
        <v>926</v>
      </c>
      <c r="CS290" s="510">
        <f t="shared" si="621"/>
        <v>62.36</v>
      </c>
      <c r="CT290" s="510">
        <f t="shared" si="622"/>
        <v>6255</v>
      </c>
      <c r="CU290" s="512"/>
      <c r="CV290" s="512"/>
      <c r="CW290" s="512"/>
      <c r="CX290" s="512"/>
      <c r="CY290" s="1149" t="s">
        <v>6880</v>
      </c>
      <c r="CZ290" s="1149" t="s">
        <v>7022</v>
      </c>
      <c r="DA290" s="1152"/>
      <c r="DB290" s="1642" t="s">
        <v>6412</v>
      </c>
      <c r="DC290" s="1642"/>
      <c r="DD290" s="1642" t="s">
        <v>6135</v>
      </c>
      <c r="DE290" s="1642" t="s">
        <v>6162</v>
      </c>
      <c r="DF290" s="1642" t="s">
        <v>6228</v>
      </c>
      <c r="DG290" s="1152"/>
      <c r="DH290" s="512"/>
      <c r="DI290" s="512"/>
      <c r="DJ290" s="512"/>
      <c r="DK290" s="512"/>
      <c r="DL290" s="512"/>
      <c r="DN290" s="476" t="str">
        <f>VLOOKUP(X290,Hoja1!$A$4:$B$10,2,0)</f>
        <v>BACHILLER</v>
      </c>
      <c r="DO290" s="476" t="str">
        <f>VLOOKUP(S290,Hoja1!$D$4:$F$77,3,0)</f>
        <v>BII - II</v>
      </c>
      <c r="DP290" s="1594" t="str">
        <f t="shared" si="623"/>
        <v>0</v>
      </c>
      <c r="DQ290" s="1484">
        <f>IF(T290&lt;&gt;"0",(ROUND(IF(A290="EMPLEADO",eval_formula('CONCEPTOS Y PARAMETROS'!$C$8,NOMINA!V290,AU290+BF290,NOMINA!I290+NOMINA!J290),eval_formula('CONCEPTOS Y PARAMETROS'!$D$8,NOMINA!V290,AU290+BF290,NOMINA!I290+NOMINA!J290)),2))*IF(H290&lt;&gt;"",IF(MONTH(H290)=$BR$8,IF(YEAR(H290)&lt;$BT$7,1,0),0)))</f>
        <v>0</v>
      </c>
      <c r="DR290" s="1799" t="str">
        <f t="shared" si="624"/>
        <v>F</v>
      </c>
      <c r="DS290" s="1799"/>
    </row>
    <row r="291" spans="1:123" s="476" customFormat="1" ht="21.95" customHeight="1" x14ac:dyDescent="0.25">
      <c r="A291" s="508" t="s">
        <v>2846</v>
      </c>
      <c r="B291" s="1314">
        <f t="shared" ca="1" si="782"/>
        <v>248</v>
      </c>
      <c r="C291" s="1148">
        <v>27415888</v>
      </c>
      <c r="D291" s="1149" t="s">
        <v>7603</v>
      </c>
      <c r="E291" s="1135" t="s">
        <v>4622</v>
      </c>
      <c r="F291" s="1150">
        <v>36636</v>
      </c>
      <c r="G291" s="1135" t="s">
        <v>4621</v>
      </c>
      <c r="H291" s="1150">
        <v>44713</v>
      </c>
      <c r="I291" s="1140">
        <f t="shared" si="625"/>
        <v>3</v>
      </c>
      <c r="J291" s="1132">
        <v>3</v>
      </c>
      <c r="K291" s="1140">
        <f t="shared" si="600"/>
        <v>6</v>
      </c>
      <c r="L291" s="1145" t="s">
        <v>5539</v>
      </c>
      <c r="M291" s="1132"/>
      <c r="N291" s="1132"/>
      <c r="O291" s="1002" t="s">
        <v>5266</v>
      </c>
      <c r="P291" s="1132" t="s">
        <v>5450</v>
      </c>
      <c r="Q291" s="1315" t="str">
        <f>IFERROR(VLOOKUP(O291,CARGOS!A:E,2,0),"")</f>
        <v>34232</v>
      </c>
      <c r="R291" s="1327" t="s">
        <v>5266</v>
      </c>
      <c r="S291" s="1146" t="s">
        <v>5480</v>
      </c>
      <c r="T291" s="1107">
        <f>IFERROR(VLOOKUP(S291,'TAB EMP'!A:B,2,0),0)</f>
        <v>170</v>
      </c>
      <c r="U291" s="1108">
        <v>0</v>
      </c>
      <c r="V291" s="1107">
        <f t="shared" si="680"/>
        <v>170</v>
      </c>
      <c r="W291" s="1108">
        <f t="shared" si="681"/>
        <v>85</v>
      </c>
      <c r="X291" s="1135" t="s">
        <v>2884</v>
      </c>
      <c r="Y291" s="1135"/>
      <c r="Z291" s="1135">
        <v>1</v>
      </c>
      <c r="AA291" s="1107">
        <f>ROUND(IF(H291&lt;&gt;"",VLOOKUP(SUM(I291+J291),'CONCEPTOS Y PARAMETROS'!F:G,2,0)*V291,0),2)</f>
        <v>10.54</v>
      </c>
      <c r="AB291" s="1107">
        <f>IF(S291&lt;&gt;"",IF(M291="",'CONCEPTOS Y PARAMETROS'!$C$4,0),0)</f>
        <v>130</v>
      </c>
      <c r="AC291" s="1107">
        <f>IF(S291&lt;&gt;"",IF(M291="",'CONCEPTOS Y PARAMETROS'!$C$7*Z291,0),0)</f>
        <v>12.5</v>
      </c>
      <c r="AD291" s="1107">
        <f>IFERROR(ROUND(VLOOKUP($X291,'CONCEPTOS Y PARAMETROS'!H:I,2,0)*($V291+AA291+AB291+AC291),2),0)</f>
        <v>0</v>
      </c>
      <c r="AE291" s="1107">
        <f t="shared" si="647"/>
        <v>153.04</v>
      </c>
      <c r="AF291" s="1107">
        <f t="shared" si="682"/>
        <v>5.27</v>
      </c>
      <c r="AG291" s="1107">
        <f t="shared" si="683"/>
        <v>5.27</v>
      </c>
      <c r="AH291" s="1107">
        <f t="shared" si="684"/>
        <v>65</v>
      </c>
      <c r="AI291" s="1107">
        <f t="shared" si="685"/>
        <v>65</v>
      </c>
      <c r="AJ291" s="1107">
        <f t="shared" si="686"/>
        <v>0</v>
      </c>
      <c r="AK291" s="1107">
        <f t="shared" si="687"/>
        <v>0</v>
      </c>
      <c r="AL291" s="1108">
        <f t="shared" si="688"/>
        <v>82.77</v>
      </c>
      <c r="AM291" s="1108">
        <f t="shared" si="689"/>
        <v>70.27</v>
      </c>
      <c r="AN291" s="990">
        <v>0</v>
      </c>
      <c r="AO291" s="1147">
        <f>'CONCEPTOS Y PARAMETROS'!$C$18*AN291</f>
        <v>0</v>
      </c>
      <c r="AP291" s="990">
        <v>0</v>
      </c>
      <c r="AQ291" s="1147">
        <f>'CONCEPTOS Y PARAMETROS'!$C$21*AP291</f>
        <v>0</v>
      </c>
      <c r="AR291" s="1318">
        <v>0</v>
      </c>
      <c r="AS291" s="1318">
        <v>0</v>
      </c>
      <c r="AT291" s="1318">
        <f t="shared" si="784"/>
        <v>0</v>
      </c>
      <c r="AU291" s="1108">
        <f t="shared" si="606"/>
        <v>323.03999999999996</v>
      </c>
      <c r="AV291" s="1133">
        <v>0</v>
      </c>
      <c r="AW291" s="1108">
        <f t="shared" si="716"/>
        <v>0</v>
      </c>
      <c r="AX291" s="1107">
        <f>IF(T291&lt;&gt;"0",(ROUND(IF(A291="EMPLEADO",eval_formula('CONCEPTOS Y PARAMETROS'!$C$8,NOMINA!V291,NOMINA!$AU291,NOMINA!I291+NOMINA!J291),eval_formula('CONCEPTOS Y PARAMETROS'!$D$8,NOMINA!V291,NOMINA!$AU291,NOMINA!I291+NOMINA!J291)),2))*IF(H291&lt;&gt;"",IF(MONTH(H291)=$BR$8,IF(YEAR(H291)&lt;$BT$7,1,0),0)))</f>
        <v>0</v>
      </c>
      <c r="AY291" s="1108">
        <v>180</v>
      </c>
      <c r="AZ291" s="1107">
        <f>IFERROR(VLOOKUP(AY291,'CONCEPTOS Y PARAMETROS'!Y:Z,2,0),0)</f>
        <v>150</v>
      </c>
      <c r="BA291" s="1107">
        <f t="shared" si="690"/>
        <v>2422.8000000000002</v>
      </c>
      <c r="BB291" s="1107">
        <f t="shared" si="826"/>
        <v>0</v>
      </c>
      <c r="BC291" s="990">
        <v>0</v>
      </c>
      <c r="BD291" s="1107" t="str">
        <f t="shared" si="607"/>
        <v>0</v>
      </c>
      <c r="BE291" s="990">
        <v>0</v>
      </c>
      <c r="BF291" s="1107">
        <f t="shared" si="802"/>
        <v>0</v>
      </c>
      <c r="BG291" s="1108">
        <v>320</v>
      </c>
      <c r="BH291" s="1108">
        <v>0</v>
      </c>
      <c r="BI291" s="1132">
        <v>0</v>
      </c>
      <c r="BJ291" s="1108">
        <v>12.5</v>
      </c>
      <c r="BK291" s="1108">
        <v>0</v>
      </c>
      <c r="BL291" s="1107">
        <f t="shared" si="704"/>
        <v>14.91</v>
      </c>
      <c r="BM291" s="1107">
        <f t="shared" si="705"/>
        <v>1.86</v>
      </c>
      <c r="BN291" s="1107">
        <f t="shared" si="626"/>
        <v>3.23</v>
      </c>
      <c r="BO291" s="1107">
        <v>0</v>
      </c>
      <c r="BP291" s="1107">
        <v>0</v>
      </c>
      <c r="BQ291" s="1320">
        <f t="shared" si="630"/>
        <v>20</v>
      </c>
      <c r="BR291" s="1107">
        <f t="shared" si="707"/>
        <v>33.549999999999997</v>
      </c>
      <c r="BS291" s="1107">
        <f t="shared" si="708"/>
        <v>7.45</v>
      </c>
      <c r="BT291" s="1107">
        <f t="shared" si="627"/>
        <v>6.46</v>
      </c>
      <c r="BU291" s="1107">
        <v>0</v>
      </c>
      <c r="BV291" s="1108">
        <f t="shared" si="631"/>
        <v>47.46</v>
      </c>
      <c r="BW291" s="1112">
        <f t="shared" si="632"/>
        <v>67.460000000000008</v>
      </c>
      <c r="BX291" s="1112">
        <f t="shared" si="827"/>
        <v>605.70000000000005</v>
      </c>
      <c r="BY291" s="1108">
        <v>0</v>
      </c>
      <c r="BZ291" s="1108">
        <f t="shared" ref="BZ291:BZ302" si="828">+BX291+BY291</f>
        <v>605.70000000000005</v>
      </c>
      <c r="CA291" s="1321">
        <f>'CONCEPTOS Y PARAMETROS'!$A$102</f>
        <v>6255</v>
      </c>
      <c r="CB291" s="1112">
        <f t="shared" si="611"/>
        <v>147.76999999999998</v>
      </c>
      <c r="CC291" s="1113">
        <f t="shared" si="612"/>
        <v>487.77</v>
      </c>
      <c r="CD291" s="512"/>
      <c r="CE291" s="512"/>
      <c r="CF291" s="470">
        <f t="shared" si="613"/>
        <v>795.27</v>
      </c>
      <c r="CG291" s="509">
        <f t="shared" si="628"/>
        <v>147.76999999999998</v>
      </c>
      <c r="CH291" s="1603">
        <f t="shared" si="614"/>
        <v>12.5</v>
      </c>
      <c r="CI291" s="1491">
        <f t="shared" si="608"/>
        <v>320</v>
      </c>
      <c r="CJ291" s="1502">
        <v>1</v>
      </c>
      <c r="CK291" s="509">
        <f t="shared" si="615"/>
        <v>475.27</v>
      </c>
      <c r="CL291" s="1689">
        <f t="shared" si="616"/>
        <v>475.27</v>
      </c>
      <c r="CM291" s="1689">
        <f t="shared" si="610"/>
        <v>0</v>
      </c>
      <c r="CN291" s="510">
        <f t="shared" si="617"/>
        <v>0</v>
      </c>
      <c r="CO291" s="511">
        <v>0</v>
      </c>
      <c r="CP291" s="510">
        <f t="shared" si="618"/>
        <v>0</v>
      </c>
      <c r="CQ291" s="510">
        <f t="shared" si="619"/>
        <v>0</v>
      </c>
      <c r="CR291" s="510">
        <f t="shared" si="620"/>
        <v>950.54</v>
      </c>
      <c r="CS291" s="510">
        <f t="shared" si="621"/>
        <v>67.460000000000008</v>
      </c>
      <c r="CT291" s="510">
        <f t="shared" si="622"/>
        <v>6255</v>
      </c>
      <c r="CU291" s="512"/>
      <c r="CV291" s="512"/>
      <c r="CW291" s="512"/>
      <c r="CX291" s="512"/>
      <c r="CY291" s="1149" t="s">
        <v>6873</v>
      </c>
      <c r="CZ291" s="1149" t="s">
        <v>6813</v>
      </c>
      <c r="DA291" s="480"/>
      <c r="DB291" s="1642" t="s">
        <v>6349</v>
      </c>
      <c r="DC291" s="1642"/>
      <c r="DD291" s="1642" t="s">
        <v>6156</v>
      </c>
      <c r="DE291" s="1642" t="s">
        <v>6217</v>
      </c>
      <c r="DF291" s="1642" t="s">
        <v>6352</v>
      </c>
      <c r="DG291" s="1152"/>
      <c r="DH291" s="512"/>
      <c r="DI291" s="512"/>
      <c r="DJ291" s="512"/>
      <c r="DK291" s="512"/>
      <c r="DL291" s="512"/>
      <c r="DN291" s="476" t="str">
        <f>VLOOKUP(X291,Hoja1!$A$4:$B$10,2,0)</f>
        <v>BACHILLER</v>
      </c>
      <c r="DO291" s="476" t="str">
        <f>VLOOKUP(S291,Hoja1!$D$4:$F$77,3,0)</f>
        <v>BIII - III</v>
      </c>
      <c r="DP291" s="1594" t="str">
        <f t="shared" si="623"/>
        <v>0</v>
      </c>
      <c r="DQ291" s="1484">
        <f>IF(T291&lt;&gt;"0",(ROUND(IF(A291="EMPLEADO",eval_formula('CONCEPTOS Y PARAMETROS'!$C$8,NOMINA!V291,AU291+BF291,NOMINA!I291+NOMINA!J291),eval_formula('CONCEPTOS Y PARAMETROS'!$D$8,NOMINA!V291,AU291+BF291,NOMINA!I291+NOMINA!J291)),2))*IF(H291&lt;&gt;"",IF(MONTH(H291)=$BR$8,IF(YEAR(H291)&lt;$BT$7,1,0),0)))</f>
        <v>0</v>
      </c>
      <c r="DR291" s="1799" t="str">
        <f t="shared" si="624"/>
        <v>M</v>
      </c>
      <c r="DS291" s="1799"/>
    </row>
    <row r="292" spans="1:123" s="476" customFormat="1" ht="21.95" customHeight="1" x14ac:dyDescent="0.2">
      <c r="A292" s="508" t="s">
        <v>2846</v>
      </c>
      <c r="B292" s="1314">
        <f t="shared" ca="1" si="782"/>
        <v>249</v>
      </c>
      <c r="C292" s="1392">
        <v>27628603</v>
      </c>
      <c r="D292" s="1149" t="s">
        <v>5761</v>
      </c>
      <c r="E292" s="1135" t="s">
        <v>4622</v>
      </c>
      <c r="F292" s="1150">
        <v>36695</v>
      </c>
      <c r="G292" s="1135" t="s">
        <v>4620</v>
      </c>
      <c r="H292" s="1150">
        <v>45139</v>
      </c>
      <c r="I292" s="1140">
        <f t="shared" si="625"/>
        <v>2</v>
      </c>
      <c r="J292" s="1132">
        <v>0</v>
      </c>
      <c r="K292" s="1140">
        <f t="shared" si="600"/>
        <v>2</v>
      </c>
      <c r="L292" s="1145" t="s">
        <v>5527</v>
      </c>
      <c r="M292" s="1132"/>
      <c r="N292" s="1132"/>
      <c r="O292" s="1002" t="s">
        <v>5760</v>
      </c>
      <c r="P292" s="1151" t="s">
        <v>5762</v>
      </c>
      <c r="Q292" s="1315" t="str">
        <f>IFERROR(VLOOKUP(O292,CARGOS!A:E,2,0),"")</f>
        <v>17211</v>
      </c>
      <c r="R292" s="1327" t="s">
        <v>5760</v>
      </c>
      <c r="S292" s="1146" t="s">
        <v>5470</v>
      </c>
      <c r="T292" s="1107">
        <f>IFERROR(VLOOKUP(S292,'TAB EMP'!A:B,2,0),0)</f>
        <v>130</v>
      </c>
      <c r="U292" s="1108">
        <v>0</v>
      </c>
      <c r="V292" s="1107">
        <f t="shared" si="680"/>
        <v>130</v>
      </c>
      <c r="W292" s="1108">
        <f t="shared" si="681"/>
        <v>65</v>
      </c>
      <c r="X292" s="1135" t="s">
        <v>2884</v>
      </c>
      <c r="Y292" s="1135"/>
      <c r="Z292" s="1135">
        <v>1</v>
      </c>
      <c r="AA292" s="1107">
        <f>ROUND(IF(H292&lt;&gt;"",VLOOKUP(SUM(I292+J292),'CONCEPTOS Y PARAMETROS'!F:G,2,0)*V292,0),2)</f>
        <v>2.6</v>
      </c>
      <c r="AB292" s="1107">
        <f>IF(S292&lt;&gt;"",IF(M292="",'CONCEPTOS Y PARAMETROS'!$C$4,0),0)</f>
        <v>130</v>
      </c>
      <c r="AC292" s="1107">
        <f>IF(S292&lt;&gt;"",IF(M292="",'CONCEPTOS Y PARAMETROS'!$C$7*Z292,0),0)</f>
        <v>12.5</v>
      </c>
      <c r="AD292" s="1107">
        <f>IFERROR(ROUND(VLOOKUP($X292,'CONCEPTOS Y PARAMETROS'!H:I,2,0)*($V292+AA292+AB292+AC292),2),0)</f>
        <v>0</v>
      </c>
      <c r="AE292" s="1107">
        <f t="shared" si="647"/>
        <v>145.1</v>
      </c>
      <c r="AF292" s="1107">
        <f t="shared" si="682"/>
        <v>1.3</v>
      </c>
      <c r="AG292" s="1107">
        <f t="shared" si="683"/>
        <v>1.3</v>
      </c>
      <c r="AH292" s="1107">
        <f t="shared" si="684"/>
        <v>65</v>
      </c>
      <c r="AI292" s="1107">
        <f t="shared" si="685"/>
        <v>65</v>
      </c>
      <c r="AJ292" s="1107">
        <f t="shared" si="686"/>
        <v>0</v>
      </c>
      <c r="AK292" s="1107">
        <f t="shared" si="687"/>
        <v>0</v>
      </c>
      <c r="AL292" s="1108">
        <f t="shared" si="688"/>
        <v>78.8</v>
      </c>
      <c r="AM292" s="1108">
        <f t="shared" si="689"/>
        <v>66.3</v>
      </c>
      <c r="AN292" s="990">
        <v>0</v>
      </c>
      <c r="AO292" s="1147">
        <f>'CONCEPTOS Y PARAMETROS'!$C$18*AN292</f>
        <v>0</v>
      </c>
      <c r="AP292" s="990">
        <v>0</v>
      </c>
      <c r="AQ292" s="1147">
        <f>'CONCEPTOS Y PARAMETROS'!$C$21*AP292</f>
        <v>0</v>
      </c>
      <c r="AR292" s="1318">
        <v>0</v>
      </c>
      <c r="AS292" s="1318">
        <v>0</v>
      </c>
      <c r="AT292" s="1318">
        <f>+AO292+AQ292+AR292+AS292</f>
        <v>0</v>
      </c>
      <c r="AU292" s="1108">
        <f t="shared" si="606"/>
        <v>275.10000000000002</v>
      </c>
      <c r="AV292" s="1108">
        <v>0</v>
      </c>
      <c r="AW292" s="1108">
        <f t="shared" si="716"/>
        <v>0</v>
      </c>
      <c r="AX292" s="1108">
        <f>IF(T292&lt;&gt;"0",(ROUND(IF(A292="EMPLEADO",eval_formula('CONCEPTOS Y PARAMETROS'!$C$8,NOMINA!V292,NOMINA!$AU292,NOMINA!I292+NOMINA!J292),eval_formula('CONCEPTOS Y PARAMETROS'!$D$8,NOMINA!V292,NOMINA!$AU292,NOMINA!I292+NOMINA!J292)),2))*IF(H292&lt;&gt;"",IF(MONTH(H292)=$BR$8,IF(YEAR(H292)&lt;$BT$7,1,0),0)))</f>
        <v>0</v>
      </c>
      <c r="AY292" s="1108">
        <v>180</v>
      </c>
      <c r="AZ292" s="1107">
        <f>IFERROR(VLOOKUP(AY292,'CONCEPTOS Y PARAMETROS'!Y:Z,2,0),0)</f>
        <v>150</v>
      </c>
      <c r="BA292" s="1107">
        <f t="shared" si="690"/>
        <v>2063.25</v>
      </c>
      <c r="BB292" s="1107">
        <f t="shared" si="826"/>
        <v>0</v>
      </c>
      <c r="BC292" s="990">
        <v>0</v>
      </c>
      <c r="BD292" s="1107" t="str">
        <f t="shared" si="607"/>
        <v>0</v>
      </c>
      <c r="BE292" s="990">
        <v>0</v>
      </c>
      <c r="BF292" s="1107">
        <f t="shared" si="802"/>
        <v>0</v>
      </c>
      <c r="BG292" s="1108">
        <v>320</v>
      </c>
      <c r="BH292" s="1108">
        <v>0</v>
      </c>
      <c r="BI292" s="1132">
        <v>0</v>
      </c>
      <c r="BJ292" s="1108">
        <v>12.5</v>
      </c>
      <c r="BK292" s="1108">
        <v>0</v>
      </c>
      <c r="BL292" s="1107">
        <f t="shared" si="704"/>
        <v>12.7</v>
      </c>
      <c r="BM292" s="1107">
        <f t="shared" si="705"/>
        <v>1.59</v>
      </c>
      <c r="BN292" s="1107">
        <f t="shared" si="626"/>
        <v>2.75</v>
      </c>
      <c r="BO292" s="1107">
        <v>0</v>
      </c>
      <c r="BP292" s="1107">
        <v>0</v>
      </c>
      <c r="BQ292" s="1320">
        <f>ROUND(SUM(BL292:BP292),2)</f>
        <v>17.04</v>
      </c>
      <c r="BR292" s="1107">
        <f t="shared" si="707"/>
        <v>28.57</v>
      </c>
      <c r="BS292" s="1107">
        <f t="shared" si="708"/>
        <v>6.35</v>
      </c>
      <c r="BT292" s="1107">
        <f t="shared" si="627"/>
        <v>5.5</v>
      </c>
      <c r="BU292" s="1107">
        <v>0</v>
      </c>
      <c r="BV292" s="1108">
        <f>ROUND(SUM(BR292:BT292),2)</f>
        <v>40.42</v>
      </c>
      <c r="BW292" s="1112">
        <f>BQ292+BV292</f>
        <v>57.46</v>
      </c>
      <c r="BX292" s="1112">
        <f t="shared" si="827"/>
        <v>515.80999999999995</v>
      </c>
      <c r="BY292" s="1108">
        <v>0</v>
      </c>
      <c r="BZ292" s="1108">
        <f t="shared" si="828"/>
        <v>515.80999999999995</v>
      </c>
      <c r="CA292" s="1321">
        <f>'CONCEPTOS Y PARAMETROS'!$A$102</f>
        <v>6255</v>
      </c>
      <c r="CB292" s="1112">
        <f t="shared" si="611"/>
        <v>126.76000000000002</v>
      </c>
      <c r="CC292" s="1113">
        <f t="shared" si="612"/>
        <v>463.8</v>
      </c>
      <c r="CD292" s="512"/>
      <c r="CE292" s="512"/>
      <c r="CF292" s="470">
        <f t="shared" si="613"/>
        <v>771.3</v>
      </c>
      <c r="CG292" s="509">
        <f t="shared" si="628"/>
        <v>126.76000000000002</v>
      </c>
      <c r="CH292" s="1603">
        <f t="shared" si="614"/>
        <v>12.5</v>
      </c>
      <c r="CI292" s="1491">
        <f t="shared" si="608"/>
        <v>320</v>
      </c>
      <c r="CJ292" s="1502">
        <v>1</v>
      </c>
      <c r="CK292" s="509">
        <f t="shared" si="615"/>
        <v>451.3</v>
      </c>
      <c r="CL292" s="1689">
        <f t="shared" si="616"/>
        <v>451.3</v>
      </c>
      <c r="CM292" s="1689">
        <f t="shared" si="610"/>
        <v>0</v>
      </c>
      <c r="CN292" s="510">
        <f t="shared" si="617"/>
        <v>0</v>
      </c>
      <c r="CO292" s="511">
        <v>0</v>
      </c>
      <c r="CP292" s="510">
        <f t="shared" si="618"/>
        <v>0</v>
      </c>
      <c r="CQ292" s="510">
        <f t="shared" si="619"/>
        <v>0</v>
      </c>
      <c r="CR292" s="510">
        <f t="shared" si="620"/>
        <v>902.6</v>
      </c>
      <c r="CS292" s="510">
        <f t="shared" si="621"/>
        <v>57.46</v>
      </c>
      <c r="CT292" s="510">
        <f t="shared" si="622"/>
        <v>6255</v>
      </c>
      <c r="CU292" s="512"/>
      <c r="CV292" s="512"/>
      <c r="CW292" s="512"/>
      <c r="CX292" s="512"/>
      <c r="CY292" s="1149" t="s">
        <v>6345</v>
      </c>
      <c r="CZ292" s="1149" t="s">
        <v>7027</v>
      </c>
      <c r="DA292" s="1152"/>
      <c r="DB292" s="1642" t="s">
        <v>6509</v>
      </c>
      <c r="DC292" s="1642"/>
      <c r="DD292" s="1642" t="s">
        <v>6158</v>
      </c>
      <c r="DE292" s="1647" t="s">
        <v>6192</v>
      </c>
      <c r="DF292" s="1642" t="s">
        <v>6521</v>
      </c>
      <c r="DG292" s="1642"/>
      <c r="DH292" s="512"/>
      <c r="DI292" s="512"/>
      <c r="DJ292" s="512"/>
      <c r="DK292" s="512"/>
      <c r="DL292" s="512"/>
      <c r="DN292" s="476" t="str">
        <f>VLOOKUP(X292,Hoja1!$A$4:$B$10,2,0)</f>
        <v>BACHILLER</v>
      </c>
      <c r="DO292" s="476" t="str">
        <f>VLOOKUP(S292,Hoja1!$D$4:$F$77,3,0)</f>
        <v>BI</v>
      </c>
      <c r="DP292" s="1594" t="str">
        <f t="shared" si="623"/>
        <v>0</v>
      </c>
      <c r="DQ292" s="1484">
        <f>IF(T292&lt;&gt;"0",(ROUND(IF(A292="EMPLEADO",eval_formula('CONCEPTOS Y PARAMETROS'!$C$8,NOMINA!V292,AU292+BF292,NOMINA!I292+NOMINA!J292),eval_formula('CONCEPTOS Y PARAMETROS'!$D$8,NOMINA!V292,AU292+BF292,NOMINA!I292+NOMINA!J292)),2))*IF(H292&lt;&gt;"",IF(MONTH(H292)=$BR$8,IF(YEAR(H292)&lt;$BT$7,1,0),0)))</f>
        <v>0</v>
      </c>
      <c r="DR292" s="1799" t="str">
        <f t="shared" si="624"/>
        <v>F</v>
      </c>
      <c r="DS292" s="1799"/>
    </row>
    <row r="293" spans="1:123" s="476" customFormat="1" ht="21.95" customHeight="1" x14ac:dyDescent="0.25">
      <c r="A293" s="508" t="s">
        <v>2846</v>
      </c>
      <c r="B293" s="1314">
        <f t="shared" ca="1" si="782"/>
        <v>250</v>
      </c>
      <c r="C293" s="1392">
        <v>27677242</v>
      </c>
      <c r="D293" s="1149" t="s">
        <v>5764</v>
      </c>
      <c r="E293" s="1135" t="s">
        <v>4622</v>
      </c>
      <c r="F293" s="1150">
        <v>36612</v>
      </c>
      <c r="G293" s="1135" t="s">
        <v>4621</v>
      </c>
      <c r="H293" s="1150">
        <v>45139</v>
      </c>
      <c r="I293" s="1140">
        <f t="shared" si="625"/>
        <v>2</v>
      </c>
      <c r="J293" s="1132">
        <v>0</v>
      </c>
      <c r="K293" s="1140">
        <f t="shared" ref="K293:K302" si="829">I293+J293</f>
        <v>2</v>
      </c>
      <c r="L293" s="1145" t="s">
        <v>5532</v>
      </c>
      <c r="M293" s="1132"/>
      <c r="N293" s="1132"/>
      <c r="O293" s="1127" t="s">
        <v>5953</v>
      </c>
      <c r="P293" s="1151" t="s">
        <v>5765</v>
      </c>
      <c r="Q293" s="1315" t="str">
        <f>IFERROR(VLOOKUP(O293,CARGOS!A:E,2,0),"")</f>
        <v>90124</v>
      </c>
      <c r="R293" s="1127" t="s">
        <v>5953</v>
      </c>
      <c r="S293" s="1146" t="s">
        <v>5470</v>
      </c>
      <c r="T293" s="1107">
        <f>IFERROR(VLOOKUP(S293,'TAB EMP'!A:B,2,0),0)</f>
        <v>130</v>
      </c>
      <c r="U293" s="1108">
        <v>0</v>
      </c>
      <c r="V293" s="1107">
        <f t="shared" si="680"/>
        <v>130</v>
      </c>
      <c r="W293" s="1108">
        <f t="shared" si="681"/>
        <v>65</v>
      </c>
      <c r="X293" s="1135" t="s">
        <v>2884</v>
      </c>
      <c r="Y293" s="1135"/>
      <c r="Z293" s="1135">
        <v>0</v>
      </c>
      <c r="AA293" s="1107">
        <f>ROUND(IF(H293&lt;&gt;"",VLOOKUP(SUM(I293+J293),'CONCEPTOS Y PARAMETROS'!F:G,2,0)*V293,0),2)</f>
        <v>2.6</v>
      </c>
      <c r="AB293" s="1107">
        <f>IF(S293&lt;&gt;"",IF(M293="",'CONCEPTOS Y PARAMETROS'!$C$4,0),0)</f>
        <v>130</v>
      </c>
      <c r="AC293" s="1107">
        <f>IF(S293&lt;&gt;"",IF(M293="",'CONCEPTOS Y PARAMETROS'!$C$7*Z293,0),0)</f>
        <v>0</v>
      </c>
      <c r="AD293" s="1107">
        <f>IFERROR(ROUND(VLOOKUP($X293,'CONCEPTOS Y PARAMETROS'!H:I,2,0)*($V293+AA293+AB293+AC293),2),0)</f>
        <v>0</v>
      </c>
      <c r="AE293" s="1107">
        <f t="shared" si="647"/>
        <v>132.6</v>
      </c>
      <c r="AF293" s="1107">
        <f t="shared" si="682"/>
        <v>1.3</v>
      </c>
      <c r="AG293" s="1107">
        <f t="shared" si="683"/>
        <v>1.3</v>
      </c>
      <c r="AH293" s="1107">
        <f t="shared" si="684"/>
        <v>65</v>
      </c>
      <c r="AI293" s="1107">
        <f t="shared" si="685"/>
        <v>65</v>
      </c>
      <c r="AJ293" s="1107">
        <f t="shared" si="686"/>
        <v>0</v>
      </c>
      <c r="AK293" s="1107">
        <f t="shared" si="687"/>
        <v>0</v>
      </c>
      <c r="AL293" s="1108">
        <f t="shared" si="688"/>
        <v>66.3</v>
      </c>
      <c r="AM293" s="1108">
        <f t="shared" si="689"/>
        <v>66.3</v>
      </c>
      <c r="AN293" s="990">
        <v>0</v>
      </c>
      <c r="AO293" s="1147">
        <f>'CONCEPTOS Y PARAMETROS'!$C$18*AN293</f>
        <v>0</v>
      </c>
      <c r="AP293" s="990">
        <v>0</v>
      </c>
      <c r="AQ293" s="1147">
        <f>'CONCEPTOS Y PARAMETROS'!$C$21*AP293</f>
        <v>0</v>
      </c>
      <c r="AR293" s="1318">
        <v>0</v>
      </c>
      <c r="AS293" s="1318">
        <v>0</v>
      </c>
      <c r="AT293" s="1318">
        <f t="shared" ref="AT293" si="830">+AO293+AQ293+AR293+AS293</f>
        <v>0</v>
      </c>
      <c r="AU293" s="1108">
        <f t="shared" si="606"/>
        <v>262.60000000000002</v>
      </c>
      <c r="AV293" s="1108">
        <v>0</v>
      </c>
      <c r="AW293" s="1108">
        <f t="shared" si="716"/>
        <v>0</v>
      </c>
      <c r="AX293" s="1108">
        <f>IF(T293&lt;&gt;"0",(ROUND(IF(A293="EMPLEADO",eval_formula('CONCEPTOS Y PARAMETROS'!$C$8,NOMINA!V293,NOMINA!$AU293,NOMINA!I293+NOMINA!J293),eval_formula('CONCEPTOS Y PARAMETROS'!$D$8,NOMINA!V293,NOMINA!$AU293,NOMINA!I293+NOMINA!J293)),2))*IF(H293&lt;&gt;"",IF(MONTH(H293)=$BR$8,IF(YEAR(H293)&lt;$BT$7,1,0),0)))</f>
        <v>0</v>
      </c>
      <c r="AY293" s="1108">
        <v>180</v>
      </c>
      <c r="AZ293" s="1107">
        <f>IFERROR(VLOOKUP(AY293,'CONCEPTOS Y PARAMETROS'!Y:Z,2,0),0)</f>
        <v>150</v>
      </c>
      <c r="BA293" s="1107">
        <f t="shared" si="690"/>
        <v>1969.5</v>
      </c>
      <c r="BB293" s="1107">
        <f t="shared" si="826"/>
        <v>0</v>
      </c>
      <c r="BC293" s="990">
        <v>0</v>
      </c>
      <c r="BD293" s="1107" t="str">
        <f t="shared" si="607"/>
        <v>0</v>
      </c>
      <c r="BE293" s="990">
        <v>0</v>
      </c>
      <c r="BF293" s="1107">
        <f t="shared" si="802"/>
        <v>0</v>
      </c>
      <c r="BG293" s="1108">
        <v>320</v>
      </c>
      <c r="BH293" s="1108">
        <v>0</v>
      </c>
      <c r="BI293" s="1132">
        <v>0</v>
      </c>
      <c r="BJ293" s="1108">
        <v>12.5</v>
      </c>
      <c r="BK293" s="1108">
        <v>0</v>
      </c>
      <c r="BL293" s="1107">
        <f t="shared" si="704"/>
        <v>12.12</v>
      </c>
      <c r="BM293" s="1107">
        <f t="shared" si="705"/>
        <v>1.52</v>
      </c>
      <c r="BN293" s="1107">
        <f t="shared" si="626"/>
        <v>2.63</v>
      </c>
      <c r="BO293" s="1107">
        <v>0</v>
      </c>
      <c r="BP293" s="1107">
        <v>0</v>
      </c>
      <c r="BQ293" s="1320">
        <f t="shared" ref="BQ293" si="831">ROUND(SUM(BL293:BP293),2)</f>
        <v>16.27</v>
      </c>
      <c r="BR293" s="1107">
        <f t="shared" si="707"/>
        <v>27.27</v>
      </c>
      <c r="BS293" s="1107">
        <f t="shared" si="708"/>
        <v>6.06</v>
      </c>
      <c r="BT293" s="1107">
        <f t="shared" si="627"/>
        <v>5.26</v>
      </c>
      <c r="BU293" s="1107">
        <v>0</v>
      </c>
      <c r="BV293" s="1108">
        <f t="shared" ref="BV293" si="832">ROUND(SUM(BR293:BT293),2)</f>
        <v>38.590000000000003</v>
      </c>
      <c r="BW293" s="1112">
        <f t="shared" ref="BW293" si="833">BQ293+BV293</f>
        <v>54.86</v>
      </c>
      <c r="BX293" s="1112">
        <f t="shared" si="827"/>
        <v>492.38</v>
      </c>
      <c r="BY293" s="1108">
        <v>0</v>
      </c>
      <c r="BZ293" s="1108">
        <f t="shared" si="828"/>
        <v>492.38</v>
      </c>
      <c r="CA293" s="1321">
        <f>'CONCEPTOS Y PARAMETROS'!$A$102</f>
        <v>6255</v>
      </c>
      <c r="CB293" s="1112">
        <f t="shared" si="611"/>
        <v>115.03000000000002</v>
      </c>
      <c r="CC293" s="1113">
        <f t="shared" si="612"/>
        <v>463.8</v>
      </c>
      <c r="CD293" s="512"/>
      <c r="CE293" s="512"/>
      <c r="CF293" s="470">
        <f t="shared" si="613"/>
        <v>771.3</v>
      </c>
      <c r="CG293" s="509">
        <f t="shared" si="628"/>
        <v>115.03000000000002</v>
      </c>
      <c r="CH293" s="1603">
        <f t="shared" si="614"/>
        <v>12.5</v>
      </c>
      <c r="CI293" s="1491">
        <f t="shared" si="608"/>
        <v>320</v>
      </c>
      <c r="CJ293" s="1502">
        <v>1</v>
      </c>
      <c r="CK293" s="509">
        <f t="shared" si="615"/>
        <v>451.3</v>
      </c>
      <c r="CL293" s="1689">
        <f t="shared" si="616"/>
        <v>451.3</v>
      </c>
      <c r="CM293" s="1689">
        <f t="shared" si="610"/>
        <v>0</v>
      </c>
      <c r="CN293" s="510">
        <f t="shared" si="617"/>
        <v>0</v>
      </c>
      <c r="CO293" s="511">
        <v>0</v>
      </c>
      <c r="CP293" s="510">
        <f t="shared" si="618"/>
        <v>0</v>
      </c>
      <c r="CQ293" s="510">
        <f t="shared" si="619"/>
        <v>0</v>
      </c>
      <c r="CR293" s="510">
        <f t="shared" si="620"/>
        <v>902.6</v>
      </c>
      <c r="CS293" s="510">
        <f t="shared" si="621"/>
        <v>54.86</v>
      </c>
      <c r="CT293" s="510">
        <f t="shared" si="622"/>
        <v>6255</v>
      </c>
      <c r="CU293" s="512"/>
      <c r="CV293" s="512"/>
      <c r="CW293" s="512"/>
      <c r="CX293" s="512"/>
      <c r="CY293" s="1149" t="s">
        <v>6950</v>
      </c>
      <c r="CZ293" s="1149" t="s">
        <v>7028</v>
      </c>
      <c r="DA293" s="1152"/>
      <c r="DB293" s="1642" t="s">
        <v>6510</v>
      </c>
      <c r="DC293" s="1642"/>
      <c r="DD293" s="1647" t="s">
        <v>6522</v>
      </c>
      <c r="DE293" s="1647" t="s">
        <v>6196</v>
      </c>
      <c r="DF293" s="1642" t="s">
        <v>6333</v>
      </c>
      <c r="DG293" s="1152"/>
      <c r="DH293" s="512"/>
      <c r="DI293" s="512"/>
      <c r="DJ293" s="512"/>
      <c r="DK293" s="512"/>
      <c r="DL293" s="512"/>
      <c r="DN293" s="476" t="str">
        <f>VLOOKUP(X293,Hoja1!$A$4:$B$10,2,0)</f>
        <v>BACHILLER</v>
      </c>
      <c r="DO293" s="476" t="str">
        <f>VLOOKUP(S293,Hoja1!$D$4:$F$77,3,0)</f>
        <v>BI</v>
      </c>
      <c r="DP293" s="1594" t="str">
        <f t="shared" si="623"/>
        <v>0</v>
      </c>
      <c r="DQ293" s="1484">
        <f>IF(T293&lt;&gt;"0",(ROUND(IF(A293="EMPLEADO",eval_formula('CONCEPTOS Y PARAMETROS'!$C$8,NOMINA!V293,AU293+BF293,NOMINA!I293+NOMINA!J293),eval_formula('CONCEPTOS Y PARAMETROS'!$D$8,NOMINA!V293,AU293+BF293,NOMINA!I293+NOMINA!J293)),2))*IF(H293&lt;&gt;"",IF(MONTH(H293)=$BR$8,IF(YEAR(H293)&lt;$BT$7,1,0),0)))</f>
        <v>0</v>
      </c>
      <c r="DR293" s="1799" t="str">
        <f t="shared" si="624"/>
        <v>M</v>
      </c>
      <c r="DS293" s="1799"/>
    </row>
    <row r="294" spans="1:123" s="911" customFormat="1" ht="21.95" customHeight="1" x14ac:dyDescent="0.25">
      <c r="A294" s="910" t="s">
        <v>2846</v>
      </c>
      <c r="B294" s="1328">
        <f t="shared" ca="1" si="782"/>
        <v>251</v>
      </c>
      <c r="C294" s="1329">
        <v>27889180</v>
      </c>
      <c r="D294" s="1330" t="s">
        <v>4924</v>
      </c>
      <c r="E294" s="1331" t="s">
        <v>4622</v>
      </c>
      <c r="F294" s="1347">
        <v>36692</v>
      </c>
      <c r="G294" s="1331" t="s">
        <v>4620</v>
      </c>
      <c r="H294" s="1347">
        <v>44393</v>
      </c>
      <c r="I294" s="1333">
        <f t="shared" si="625"/>
        <v>4</v>
      </c>
      <c r="J294" s="1334">
        <v>0</v>
      </c>
      <c r="K294" s="1333">
        <f t="shared" si="829"/>
        <v>4</v>
      </c>
      <c r="L294" s="1335" t="s">
        <v>6113</v>
      </c>
      <c r="M294" s="1334"/>
      <c r="N294" s="1334"/>
      <c r="O294" s="996" t="s">
        <v>7261</v>
      </c>
      <c r="P294" s="1334" t="s">
        <v>5451</v>
      </c>
      <c r="Q294" s="1337" t="str">
        <f>IFERROR(VLOOKUP(O294,CARGOS!A:E,2,0),"")</f>
        <v>12112</v>
      </c>
      <c r="R294" s="1660" t="s">
        <v>7261</v>
      </c>
      <c r="S294" s="1338" t="s">
        <v>5477</v>
      </c>
      <c r="T294" s="1339">
        <f>IFERROR(VLOOKUP(S294,'TAB EMP'!A:B,2,0),0)*0</f>
        <v>0</v>
      </c>
      <c r="U294" s="1307">
        <v>0</v>
      </c>
      <c r="V294" s="1339">
        <f t="shared" si="680"/>
        <v>0</v>
      </c>
      <c r="W294" s="1307">
        <f t="shared" si="681"/>
        <v>0</v>
      </c>
      <c r="X294" s="1331" t="s">
        <v>2884</v>
      </c>
      <c r="Y294" s="1331"/>
      <c r="Z294" s="1331">
        <v>0</v>
      </c>
      <c r="AA294" s="1339">
        <f>ROUND(IF(H294&lt;&gt;"",VLOOKUP(SUM(I294+J294),'CONCEPTOS Y PARAMETROS'!F:G,2,0)*V294,0),2)</f>
        <v>0</v>
      </c>
      <c r="AB294" s="1339">
        <f>IF(S294&lt;&gt;"",IF(M294="",'CONCEPTOS Y PARAMETROS'!$C$4,0),0)*0</f>
        <v>0</v>
      </c>
      <c r="AC294" s="1339">
        <f>IF(S294&lt;&gt;"",IF(M294="",'CONCEPTOS Y PARAMETROS'!$C$7*Z294,0),0)</f>
        <v>0</v>
      </c>
      <c r="AD294" s="1339">
        <f>IFERROR(ROUND(VLOOKUP($X294,'CONCEPTOS Y PARAMETROS'!H:I,2,0)*($V294+AA294+AB294+AC294),2),0)</f>
        <v>0</v>
      </c>
      <c r="AE294" s="1339">
        <f t="shared" si="647"/>
        <v>0</v>
      </c>
      <c r="AF294" s="1339">
        <f t="shared" si="682"/>
        <v>0</v>
      </c>
      <c r="AG294" s="1339">
        <f t="shared" si="683"/>
        <v>0</v>
      </c>
      <c r="AH294" s="1339">
        <f t="shared" si="684"/>
        <v>0</v>
      </c>
      <c r="AI294" s="1339">
        <f t="shared" si="685"/>
        <v>0</v>
      </c>
      <c r="AJ294" s="1339">
        <f t="shared" si="686"/>
        <v>0</v>
      </c>
      <c r="AK294" s="1339">
        <f t="shared" si="687"/>
        <v>0</v>
      </c>
      <c r="AL294" s="1307">
        <f t="shared" si="688"/>
        <v>0</v>
      </c>
      <c r="AM294" s="1307">
        <f t="shared" si="689"/>
        <v>0</v>
      </c>
      <c r="AN294" s="1340">
        <v>0</v>
      </c>
      <c r="AO294" s="1341">
        <f>'CONCEPTOS Y PARAMETROS'!$C$18*AN294</f>
        <v>0</v>
      </c>
      <c r="AP294" s="1340">
        <v>0</v>
      </c>
      <c r="AQ294" s="1341">
        <f>'CONCEPTOS Y PARAMETROS'!$C$21*AP294</f>
        <v>0</v>
      </c>
      <c r="AR294" s="1342">
        <v>0</v>
      </c>
      <c r="AS294" s="1342">
        <v>0</v>
      </c>
      <c r="AT294" s="1342">
        <f t="shared" si="784"/>
        <v>0</v>
      </c>
      <c r="AU294" s="1307">
        <f t="shared" si="606"/>
        <v>0</v>
      </c>
      <c r="AV294" s="1343">
        <v>0</v>
      </c>
      <c r="AW294" s="1307">
        <f t="shared" si="716"/>
        <v>0</v>
      </c>
      <c r="AX294" s="1339">
        <f>IF(T294&lt;&gt;"0",(ROUND(IF(A294="EMPLEADO",eval_formula('CONCEPTOS Y PARAMETROS'!$C$8,NOMINA!V294,NOMINA!$AU294,NOMINA!I294+NOMINA!J294),eval_formula('CONCEPTOS Y PARAMETROS'!$D$8,NOMINA!V294,NOMINA!$AU294,NOMINA!I294+NOMINA!J294)),2))*IF(H294&lt;&gt;"",IF(MONTH(H294)=$BR$8,IF(YEAR(H294)&lt;$BT$7,1,0),0)))</f>
        <v>0</v>
      </c>
      <c r="AY294" s="1307">
        <v>180</v>
      </c>
      <c r="AZ294" s="1339">
        <f>IFERROR(VLOOKUP(AY294,'CONCEPTOS Y PARAMETROS'!Y:Z,2,0),0)</f>
        <v>150</v>
      </c>
      <c r="BA294" s="1339">
        <f t="shared" si="690"/>
        <v>0</v>
      </c>
      <c r="BB294" s="1339">
        <f t="shared" si="826"/>
        <v>0</v>
      </c>
      <c r="BC294" s="1340">
        <v>0</v>
      </c>
      <c r="BD294" s="1339" t="str">
        <f t="shared" si="607"/>
        <v>0</v>
      </c>
      <c r="BE294" s="1340">
        <v>0</v>
      </c>
      <c r="BF294" s="1339">
        <f t="shared" si="802"/>
        <v>0</v>
      </c>
      <c r="BG294" s="1307">
        <f>320*0</f>
        <v>0</v>
      </c>
      <c r="BH294" s="1307">
        <v>0</v>
      </c>
      <c r="BI294" s="1334">
        <v>0</v>
      </c>
      <c r="BJ294" s="1307">
        <v>0</v>
      </c>
      <c r="BK294" s="1307">
        <v>0</v>
      </c>
      <c r="BL294" s="1339">
        <f t="shared" si="704"/>
        <v>0</v>
      </c>
      <c r="BM294" s="1339">
        <f t="shared" si="705"/>
        <v>0</v>
      </c>
      <c r="BN294" s="1339">
        <f t="shared" si="626"/>
        <v>0</v>
      </c>
      <c r="BO294" s="1339">
        <v>0</v>
      </c>
      <c r="BP294" s="1339">
        <v>0</v>
      </c>
      <c r="BQ294" s="1344">
        <f t="shared" si="630"/>
        <v>0</v>
      </c>
      <c r="BR294" s="1339">
        <f t="shared" si="707"/>
        <v>0</v>
      </c>
      <c r="BS294" s="1339">
        <f t="shared" si="708"/>
        <v>0</v>
      </c>
      <c r="BT294" s="1339">
        <f t="shared" si="627"/>
        <v>0</v>
      </c>
      <c r="BU294" s="1339">
        <v>0</v>
      </c>
      <c r="BV294" s="1307">
        <f t="shared" si="631"/>
        <v>0</v>
      </c>
      <c r="BW294" s="1305">
        <f t="shared" si="632"/>
        <v>0</v>
      </c>
      <c r="BX294" s="1305">
        <f t="shared" si="827"/>
        <v>0</v>
      </c>
      <c r="BY294" s="1307">
        <v>0</v>
      </c>
      <c r="BZ294" s="1307">
        <f t="shared" si="828"/>
        <v>0</v>
      </c>
      <c r="CA294" s="1345">
        <v>0</v>
      </c>
      <c r="CB294" s="1305">
        <f t="shared" si="611"/>
        <v>0</v>
      </c>
      <c r="CC294" s="1346">
        <f t="shared" si="612"/>
        <v>0</v>
      </c>
      <c r="CD294" s="915"/>
      <c r="CE294" s="915"/>
      <c r="CF294" s="915">
        <f t="shared" si="613"/>
        <v>0</v>
      </c>
      <c r="CG294" s="912">
        <f t="shared" si="628"/>
        <v>0</v>
      </c>
      <c r="CH294" s="1661">
        <f t="shared" si="614"/>
        <v>0</v>
      </c>
      <c r="CI294" s="1492">
        <f t="shared" si="608"/>
        <v>0</v>
      </c>
      <c r="CJ294" s="1504">
        <v>1</v>
      </c>
      <c r="CK294" s="912">
        <f t="shared" si="615"/>
        <v>0</v>
      </c>
      <c r="CL294" s="912">
        <f t="shared" si="616"/>
        <v>0</v>
      </c>
      <c r="CM294" s="912">
        <f t="shared" si="610"/>
        <v>0</v>
      </c>
      <c r="CN294" s="913">
        <f t="shared" si="617"/>
        <v>0</v>
      </c>
      <c r="CO294" s="914">
        <v>0</v>
      </c>
      <c r="CP294" s="913">
        <f t="shared" si="618"/>
        <v>0</v>
      </c>
      <c r="CQ294" s="913">
        <f t="shared" si="619"/>
        <v>0</v>
      </c>
      <c r="CR294" s="913">
        <f t="shared" si="620"/>
        <v>0</v>
      </c>
      <c r="CS294" s="913">
        <f t="shared" si="621"/>
        <v>0</v>
      </c>
      <c r="CT294" s="913">
        <f t="shared" si="622"/>
        <v>0</v>
      </c>
      <c r="CU294" s="915"/>
      <c r="CV294" s="915"/>
      <c r="CW294" s="915"/>
      <c r="CX294" s="915"/>
      <c r="CY294" s="1330" t="s">
        <v>6998</v>
      </c>
      <c r="CZ294" s="1330" t="s">
        <v>7029</v>
      </c>
      <c r="DA294" s="1613"/>
      <c r="DB294" s="1613" t="s">
        <v>6348</v>
      </c>
      <c r="DC294" s="1613"/>
      <c r="DD294" s="1613" t="s">
        <v>6158</v>
      </c>
      <c r="DE294" s="1613" t="s">
        <v>6222</v>
      </c>
      <c r="DF294" s="1613" t="s">
        <v>7462</v>
      </c>
      <c r="DG294" s="1613"/>
      <c r="DH294" s="915"/>
      <c r="DI294" s="915"/>
      <c r="DJ294" s="915"/>
      <c r="DK294" s="915"/>
      <c r="DL294" s="915"/>
      <c r="DN294" s="911" t="str">
        <f>VLOOKUP(X294,Hoja1!$A$4:$B$10,2,0)</f>
        <v>BACHILLER</v>
      </c>
      <c r="DO294" s="911" t="str">
        <f>VLOOKUP(S294,Hoja1!$D$4:$F$77,3,0)</f>
        <v>BII - II</v>
      </c>
      <c r="DP294" s="1657" t="str">
        <f t="shared" si="623"/>
        <v>0</v>
      </c>
      <c r="DQ294" s="1484">
        <f>IF(T294&lt;&gt;"0",(ROUND(IF(A294="EMPLEADO",eval_formula('CONCEPTOS Y PARAMETROS'!$C$8,NOMINA!V294,AU294+BF294,NOMINA!I294+NOMINA!J294),eval_formula('CONCEPTOS Y PARAMETROS'!$D$8,NOMINA!V294,AU294+BF294,NOMINA!I294+NOMINA!J294)),2))*IF(H294&lt;&gt;"",IF(MONTH(H294)=$BR$8,IF(YEAR(H294)&lt;$BT$7,1,0),0)))</f>
        <v>0</v>
      </c>
      <c r="DR294" s="1800" t="str">
        <f t="shared" si="624"/>
        <v>F</v>
      </c>
      <c r="DS294" s="1800"/>
    </row>
    <row r="295" spans="1:123" s="476" customFormat="1" ht="21.95" customHeight="1" x14ac:dyDescent="0.25">
      <c r="A295" s="508" t="s">
        <v>2846</v>
      </c>
      <c r="B295" s="1314">
        <f t="shared" ca="1" si="782"/>
        <v>252</v>
      </c>
      <c r="C295" s="1148">
        <v>28079765</v>
      </c>
      <c r="D295" s="1149" t="s">
        <v>4926</v>
      </c>
      <c r="E295" s="1135" t="s">
        <v>4622</v>
      </c>
      <c r="F295" s="1150">
        <v>36829</v>
      </c>
      <c r="G295" s="1135" t="s">
        <v>4621</v>
      </c>
      <c r="H295" s="1150">
        <v>44348</v>
      </c>
      <c r="I295" s="1140">
        <f t="shared" si="625"/>
        <v>4</v>
      </c>
      <c r="J295" s="1132">
        <v>0</v>
      </c>
      <c r="K295" s="1140">
        <f t="shared" si="829"/>
        <v>4</v>
      </c>
      <c r="L295" s="1145" t="s">
        <v>5526</v>
      </c>
      <c r="M295" s="1132"/>
      <c r="N295" s="1132"/>
      <c r="O295" s="1002" t="s">
        <v>7261</v>
      </c>
      <c r="P295" s="1132" t="s">
        <v>5452</v>
      </c>
      <c r="Q295" s="1315" t="str">
        <f>IFERROR(VLOOKUP(O295,CARGOS!A:E,2,0),"")</f>
        <v>12112</v>
      </c>
      <c r="R295" s="1327" t="s">
        <v>7261</v>
      </c>
      <c r="S295" s="1146" t="s">
        <v>5468</v>
      </c>
      <c r="T295" s="1107">
        <f>IFERROR(VLOOKUP(S295,'TAB EMP'!A:B,2,0),0)</f>
        <v>219</v>
      </c>
      <c r="U295" s="1108">
        <v>0</v>
      </c>
      <c r="V295" s="1107">
        <f t="shared" si="680"/>
        <v>219</v>
      </c>
      <c r="W295" s="1108">
        <f t="shared" si="681"/>
        <v>109.5</v>
      </c>
      <c r="X295" s="1135" t="s">
        <v>2844</v>
      </c>
      <c r="Y295" s="1135"/>
      <c r="Z295" s="1135">
        <v>0</v>
      </c>
      <c r="AA295" s="1107">
        <f>ROUND(IF(H295&lt;&gt;"",VLOOKUP(SUM(I295+J295),'CONCEPTOS Y PARAMETROS'!F:G,2,0)*V295,0),2)</f>
        <v>8.76</v>
      </c>
      <c r="AB295" s="1107">
        <f>IF(S295&lt;&gt;"",IF(M295="",'CONCEPTOS Y PARAMETROS'!$C$4,0),0)</f>
        <v>130</v>
      </c>
      <c r="AC295" s="1107">
        <f>IF(S295&lt;&gt;"",IF(M295="",'CONCEPTOS Y PARAMETROS'!$C$7*Z295,0),0)</f>
        <v>0</v>
      </c>
      <c r="AD295" s="1107">
        <f>IFERROR(ROUND(VLOOKUP($X295,'CONCEPTOS Y PARAMETROS'!H:I,2,0)*($V295+AA295+AB295+AC295),2),0)</f>
        <v>71.55</v>
      </c>
      <c r="AE295" s="1107">
        <f t="shared" si="647"/>
        <v>210.31</v>
      </c>
      <c r="AF295" s="1107">
        <f t="shared" si="682"/>
        <v>4.38</v>
      </c>
      <c r="AG295" s="1107">
        <f t="shared" si="683"/>
        <v>4.38</v>
      </c>
      <c r="AH295" s="1107">
        <f t="shared" si="684"/>
        <v>65</v>
      </c>
      <c r="AI295" s="1107">
        <f t="shared" si="685"/>
        <v>65</v>
      </c>
      <c r="AJ295" s="1107">
        <f t="shared" si="686"/>
        <v>35.78</v>
      </c>
      <c r="AK295" s="1107">
        <f t="shared" si="687"/>
        <v>35.770000000000003</v>
      </c>
      <c r="AL295" s="1108">
        <f t="shared" si="688"/>
        <v>105.16</v>
      </c>
      <c r="AM295" s="1108">
        <f t="shared" si="689"/>
        <v>105.15</v>
      </c>
      <c r="AN295" s="990">
        <v>0</v>
      </c>
      <c r="AO295" s="1147">
        <f>'CONCEPTOS Y PARAMETROS'!$C$18*AN295</f>
        <v>0</v>
      </c>
      <c r="AP295" s="990">
        <v>0</v>
      </c>
      <c r="AQ295" s="1147">
        <f>'CONCEPTOS Y PARAMETROS'!$C$21*AP295</f>
        <v>0</v>
      </c>
      <c r="AR295" s="1318">
        <v>0</v>
      </c>
      <c r="AS295" s="1318">
        <v>0</v>
      </c>
      <c r="AT295" s="1318">
        <f t="shared" si="784"/>
        <v>0</v>
      </c>
      <c r="AU295" s="1108">
        <f t="shared" si="606"/>
        <v>429.31</v>
      </c>
      <c r="AV295" s="1133">
        <v>0</v>
      </c>
      <c r="AW295" s="1108">
        <f t="shared" si="716"/>
        <v>0</v>
      </c>
      <c r="AX295" s="1107">
        <f>IF(T295&lt;&gt;"0",(ROUND(IF(A295="EMPLEADO",eval_formula('CONCEPTOS Y PARAMETROS'!$C$8,NOMINA!V295,NOMINA!$AU295,NOMINA!I295+NOMINA!J295),eval_formula('CONCEPTOS Y PARAMETROS'!$D$8,NOMINA!V295,NOMINA!$AU295,NOMINA!I295+NOMINA!J295)),2))*IF(H295&lt;&gt;"",IF(MONTH(H295)=$BR$8,IF(YEAR(H295)&lt;$BT$7,1,0),0)))</f>
        <v>0</v>
      </c>
      <c r="AY295" s="1108">
        <v>180</v>
      </c>
      <c r="AZ295" s="1107">
        <f>IFERROR(VLOOKUP(AY295,'CONCEPTOS Y PARAMETROS'!Y:Z,2,0),0)</f>
        <v>150</v>
      </c>
      <c r="BA295" s="1107">
        <f t="shared" si="690"/>
        <v>3219.83</v>
      </c>
      <c r="BB295" s="1107">
        <f t="shared" si="826"/>
        <v>0</v>
      </c>
      <c r="BC295" s="990">
        <v>0</v>
      </c>
      <c r="BD295" s="1107" t="str">
        <f t="shared" si="607"/>
        <v>0</v>
      </c>
      <c r="BE295" s="990">
        <v>0</v>
      </c>
      <c r="BF295" s="1107">
        <f t="shared" si="802"/>
        <v>0</v>
      </c>
      <c r="BG295" s="1108">
        <v>320</v>
      </c>
      <c r="BH295" s="1108">
        <v>0</v>
      </c>
      <c r="BI295" s="1132">
        <v>0</v>
      </c>
      <c r="BJ295" s="1108">
        <v>12.5</v>
      </c>
      <c r="BK295" s="1108">
        <v>0</v>
      </c>
      <c r="BL295" s="1107">
        <f t="shared" si="704"/>
        <v>19.809999999999999</v>
      </c>
      <c r="BM295" s="1107">
        <f t="shared" si="705"/>
        <v>2.48</v>
      </c>
      <c r="BN295" s="1107">
        <f t="shared" si="626"/>
        <v>4.29</v>
      </c>
      <c r="BO295" s="1107">
        <v>0</v>
      </c>
      <c r="BP295" s="1107">
        <v>0</v>
      </c>
      <c r="BQ295" s="1320">
        <f t="shared" si="630"/>
        <v>26.58</v>
      </c>
      <c r="BR295" s="1107">
        <f t="shared" si="707"/>
        <v>44.58</v>
      </c>
      <c r="BS295" s="1107">
        <f t="shared" si="708"/>
        <v>9.91</v>
      </c>
      <c r="BT295" s="1107">
        <f t="shared" si="627"/>
        <v>8.58</v>
      </c>
      <c r="BU295" s="1107">
        <v>0</v>
      </c>
      <c r="BV295" s="1108">
        <f t="shared" si="631"/>
        <v>63.07</v>
      </c>
      <c r="BW295" s="1112">
        <f t="shared" si="632"/>
        <v>89.65</v>
      </c>
      <c r="BX295" s="1112">
        <f t="shared" si="827"/>
        <v>804.96</v>
      </c>
      <c r="BY295" s="1108">
        <v>0</v>
      </c>
      <c r="BZ295" s="1108">
        <f t="shared" si="828"/>
        <v>804.96</v>
      </c>
      <c r="CA295" s="1321">
        <f>'CONCEPTOS Y PARAMETROS'!$A$102</f>
        <v>6255</v>
      </c>
      <c r="CB295" s="1112">
        <f t="shared" si="611"/>
        <v>188.07999999999998</v>
      </c>
      <c r="CC295" s="1113">
        <f t="shared" si="612"/>
        <v>547.15</v>
      </c>
      <c r="CD295" s="512"/>
      <c r="CE295" s="512"/>
      <c r="CF295" s="470">
        <f t="shared" si="613"/>
        <v>854.65</v>
      </c>
      <c r="CG295" s="509">
        <f t="shared" si="628"/>
        <v>188.07999999999998</v>
      </c>
      <c r="CH295" s="1603">
        <f t="shared" si="614"/>
        <v>12.5</v>
      </c>
      <c r="CI295" s="1491">
        <f t="shared" si="608"/>
        <v>320</v>
      </c>
      <c r="CJ295" s="1502">
        <v>1</v>
      </c>
      <c r="CK295" s="509">
        <f t="shared" si="615"/>
        <v>534.65</v>
      </c>
      <c r="CL295" s="1689">
        <f t="shared" si="616"/>
        <v>534.65</v>
      </c>
      <c r="CM295" s="1689">
        <f t="shared" ref="CM295:CM302" si="834">+CK295-CL295</f>
        <v>0</v>
      </c>
      <c r="CN295" s="510">
        <f t="shared" si="617"/>
        <v>0</v>
      </c>
      <c r="CO295" s="511">
        <v>0</v>
      </c>
      <c r="CP295" s="510">
        <f t="shared" si="618"/>
        <v>0</v>
      </c>
      <c r="CQ295" s="510">
        <f t="shared" si="619"/>
        <v>0</v>
      </c>
      <c r="CR295" s="510">
        <f t="shared" si="620"/>
        <v>1069.3</v>
      </c>
      <c r="CS295" s="510">
        <f t="shared" si="621"/>
        <v>89.65</v>
      </c>
      <c r="CT295" s="510">
        <f t="shared" si="622"/>
        <v>6255</v>
      </c>
      <c r="CU295" s="512"/>
      <c r="CV295" s="512"/>
      <c r="CW295" s="512"/>
      <c r="CX295" s="512"/>
      <c r="CY295" s="1149" t="s">
        <v>6345</v>
      </c>
      <c r="CZ295" s="1149" t="s">
        <v>7030</v>
      </c>
      <c r="DA295" s="1152"/>
      <c r="DB295" s="1642" t="s">
        <v>6338</v>
      </c>
      <c r="DC295" s="1642"/>
      <c r="DD295" s="1642" t="s">
        <v>6150</v>
      </c>
      <c r="DE295" s="1642" t="s">
        <v>6257</v>
      </c>
      <c r="DF295" s="1642" t="s">
        <v>7380</v>
      </c>
      <c r="DG295" s="1642" t="s">
        <v>7381</v>
      </c>
      <c r="DH295" s="512"/>
      <c r="DI295" s="512"/>
      <c r="DJ295" s="512"/>
      <c r="DK295" s="512"/>
      <c r="DL295" s="512"/>
      <c r="DN295" s="476" t="str">
        <f>VLOOKUP(X295,Hoja1!$A$4:$B$10,2,0)</f>
        <v>TÉCNICO SUPERIOR UNIVERSITARIO</v>
      </c>
      <c r="DO295" s="476" t="str">
        <f>VLOOKUP(S295,Hoja1!$D$4:$F$77,3,0)</f>
        <v>TII - II</v>
      </c>
      <c r="DP295" s="1594" t="str">
        <f t="shared" si="623"/>
        <v>0</v>
      </c>
      <c r="DQ295" s="1484">
        <f>IF(T295&lt;&gt;"0",(ROUND(IF(A295="EMPLEADO",eval_formula('CONCEPTOS Y PARAMETROS'!$C$8,NOMINA!V295,AU295+BF295,NOMINA!I295+NOMINA!J295),eval_formula('CONCEPTOS Y PARAMETROS'!$D$8,NOMINA!V295,AU295+BF295,NOMINA!I295+NOMINA!J295)),2))*IF(H295&lt;&gt;"",IF(MONTH(H295)=$BR$8,IF(YEAR(H295)&lt;$BT$7,1,0),0)))</f>
        <v>0</v>
      </c>
      <c r="DR295" s="1799" t="str">
        <f t="shared" si="624"/>
        <v>M</v>
      </c>
      <c r="DS295" s="1799"/>
    </row>
    <row r="296" spans="1:123" s="476" customFormat="1" ht="21.95" customHeight="1" x14ac:dyDescent="0.25">
      <c r="A296" s="508" t="s">
        <v>2846</v>
      </c>
      <c r="B296" s="1314">
        <f t="shared" ca="1" si="782"/>
        <v>253</v>
      </c>
      <c r="C296" s="1148">
        <v>28096003</v>
      </c>
      <c r="D296" s="1149" t="s">
        <v>4927</v>
      </c>
      <c r="E296" s="1135" t="s">
        <v>4622</v>
      </c>
      <c r="F296" s="1150">
        <v>36719</v>
      </c>
      <c r="G296" s="1135" t="s">
        <v>4620</v>
      </c>
      <c r="H296" s="1150">
        <v>44228</v>
      </c>
      <c r="I296" s="1140">
        <f t="shared" si="625"/>
        <v>4</v>
      </c>
      <c r="J296" s="1132">
        <v>0</v>
      </c>
      <c r="K296" s="1140">
        <f t="shared" si="829"/>
        <v>4</v>
      </c>
      <c r="L296" s="1145" t="s">
        <v>5528</v>
      </c>
      <c r="M296" s="1132"/>
      <c r="N296" s="1132"/>
      <c r="O296" s="1002" t="s">
        <v>5218</v>
      </c>
      <c r="P296" s="1132" t="s">
        <v>5453</v>
      </c>
      <c r="Q296" s="1315" t="str">
        <f>IFERROR(VLOOKUP(O296,CARGOS!A:E,2,0),"")</f>
        <v>79511</v>
      </c>
      <c r="R296" s="1327" t="s">
        <v>5218</v>
      </c>
      <c r="S296" s="1146" t="s">
        <v>5477</v>
      </c>
      <c r="T296" s="1107">
        <f>IFERROR(VLOOKUP(S296,'TAB EMP'!A:B,2,0),0)</f>
        <v>150</v>
      </c>
      <c r="U296" s="1108">
        <v>0</v>
      </c>
      <c r="V296" s="1107">
        <f t="shared" si="680"/>
        <v>150</v>
      </c>
      <c r="W296" s="1108">
        <f t="shared" si="681"/>
        <v>75</v>
      </c>
      <c r="X296" s="1135" t="s">
        <v>2884</v>
      </c>
      <c r="Y296" s="1135"/>
      <c r="Z296" s="1135">
        <v>0</v>
      </c>
      <c r="AA296" s="1107">
        <f>ROUND(IF(H296&lt;&gt;"",VLOOKUP(SUM(I296+J296),'CONCEPTOS Y PARAMETROS'!F:G,2,0)*V296,0),2)</f>
        <v>6</v>
      </c>
      <c r="AB296" s="1107">
        <f>IF(S296&lt;&gt;"",IF(M296="",'CONCEPTOS Y PARAMETROS'!$C$4,0),0)</f>
        <v>130</v>
      </c>
      <c r="AC296" s="1107">
        <f>IF(S296&lt;&gt;"",IF(M296="",'CONCEPTOS Y PARAMETROS'!$C$7*Z296,0),0)</f>
        <v>0</v>
      </c>
      <c r="AD296" s="1107">
        <f>IFERROR(ROUND(VLOOKUP($X296,'CONCEPTOS Y PARAMETROS'!H:I,2,0)*($V296+AA296+AB296+AC296),2),0)</f>
        <v>0</v>
      </c>
      <c r="AE296" s="1107">
        <f t="shared" si="647"/>
        <v>136</v>
      </c>
      <c r="AF296" s="1107">
        <f t="shared" si="682"/>
        <v>3</v>
      </c>
      <c r="AG296" s="1107">
        <f t="shared" si="683"/>
        <v>3</v>
      </c>
      <c r="AH296" s="1107">
        <f t="shared" si="684"/>
        <v>65</v>
      </c>
      <c r="AI296" s="1107">
        <f t="shared" si="685"/>
        <v>65</v>
      </c>
      <c r="AJ296" s="1107">
        <f t="shared" si="686"/>
        <v>0</v>
      </c>
      <c r="AK296" s="1107">
        <f t="shared" si="687"/>
        <v>0</v>
      </c>
      <c r="AL296" s="1108">
        <f t="shared" si="688"/>
        <v>68</v>
      </c>
      <c r="AM296" s="1108">
        <f t="shared" si="689"/>
        <v>68</v>
      </c>
      <c r="AN296" s="990">
        <v>0</v>
      </c>
      <c r="AO296" s="1147">
        <f>'CONCEPTOS Y PARAMETROS'!$C$18*AN296</f>
        <v>0</v>
      </c>
      <c r="AP296" s="990">
        <v>0</v>
      </c>
      <c r="AQ296" s="1147">
        <f>'CONCEPTOS Y PARAMETROS'!$C$21*AP296</f>
        <v>0</v>
      </c>
      <c r="AR296" s="1318">
        <v>12.5</v>
      </c>
      <c r="AS296" s="1318">
        <v>0</v>
      </c>
      <c r="AT296" s="1318">
        <f t="shared" si="784"/>
        <v>12.5</v>
      </c>
      <c r="AU296" s="1108">
        <f t="shared" si="606"/>
        <v>371.8</v>
      </c>
      <c r="AV296" s="1133" t="s">
        <v>5080</v>
      </c>
      <c r="AW296" s="1108">
        <f t="shared" si="716"/>
        <v>85.8</v>
      </c>
      <c r="AX296" s="1107">
        <f>IF(T296&lt;&gt;"0",(ROUND(IF(A296="EMPLEADO",eval_formula('CONCEPTOS Y PARAMETROS'!$C$8,NOMINA!V296,NOMINA!$AU296,NOMINA!I296+NOMINA!J296),eval_formula('CONCEPTOS Y PARAMETROS'!$D$8,NOMINA!V296,NOMINA!$AU296,NOMINA!I296+NOMINA!J296)),2))*IF(H296&lt;&gt;"",IF(MONTH(H296)=$BR$8,IF(YEAR(H296)&lt;$BT$7,1,0),0)))</f>
        <v>0</v>
      </c>
      <c r="AY296" s="1108">
        <v>180</v>
      </c>
      <c r="AZ296" s="1107">
        <f>IFERROR(VLOOKUP(AY296,'CONCEPTOS Y PARAMETROS'!Y:Z,2,0),0)</f>
        <v>150</v>
      </c>
      <c r="BA296" s="1107">
        <f t="shared" si="690"/>
        <v>2788.5</v>
      </c>
      <c r="BB296" s="1107">
        <f t="shared" ref="BB296:BB302" si="835">ROUND(AU296/30*$BB$10,2)</f>
        <v>0</v>
      </c>
      <c r="BC296" s="990">
        <v>0</v>
      </c>
      <c r="BD296" s="1107" t="str">
        <f t="shared" si="607"/>
        <v>0</v>
      </c>
      <c r="BE296" s="990">
        <v>3</v>
      </c>
      <c r="BF296" s="1107">
        <f t="shared" si="802"/>
        <v>55.77</v>
      </c>
      <c r="BG296" s="1108">
        <v>320</v>
      </c>
      <c r="BH296" s="1108">
        <v>0</v>
      </c>
      <c r="BI296" s="1132">
        <v>0</v>
      </c>
      <c r="BJ296" s="1108">
        <v>12.5</v>
      </c>
      <c r="BK296" s="1108">
        <v>0</v>
      </c>
      <c r="BL296" s="1107">
        <f t="shared" si="704"/>
        <v>17.16</v>
      </c>
      <c r="BM296" s="1107">
        <f t="shared" si="705"/>
        <v>2.15</v>
      </c>
      <c r="BN296" s="1107">
        <f t="shared" si="626"/>
        <v>3.72</v>
      </c>
      <c r="BO296" s="1107">
        <v>0</v>
      </c>
      <c r="BP296" s="1107">
        <v>0</v>
      </c>
      <c r="BQ296" s="1320">
        <f t="shared" si="630"/>
        <v>23.03</v>
      </c>
      <c r="BR296" s="1107">
        <f t="shared" si="707"/>
        <v>38.61</v>
      </c>
      <c r="BS296" s="1107">
        <f t="shared" si="708"/>
        <v>8.58</v>
      </c>
      <c r="BT296" s="1107">
        <f t="shared" si="627"/>
        <v>7.44</v>
      </c>
      <c r="BU296" s="1107">
        <v>0</v>
      </c>
      <c r="BV296" s="1108">
        <f t="shared" si="631"/>
        <v>54.63</v>
      </c>
      <c r="BW296" s="1112">
        <f t="shared" si="632"/>
        <v>77.66</v>
      </c>
      <c r="BX296" s="1112">
        <f t="shared" si="827"/>
        <v>697.13</v>
      </c>
      <c r="BY296" s="1108">
        <v>0</v>
      </c>
      <c r="BZ296" s="1108">
        <f t="shared" si="828"/>
        <v>697.13</v>
      </c>
      <c r="CA296" s="1321">
        <f>'CONCEPTOS Y PARAMETROS'!$A$102</f>
        <v>6255</v>
      </c>
      <c r="CB296" s="1112">
        <f t="shared" si="611"/>
        <v>119.97</v>
      </c>
      <c r="CC296" s="1113">
        <f t="shared" si="612"/>
        <v>629.57000000000005</v>
      </c>
      <c r="CD296" s="512"/>
      <c r="CE296" s="512"/>
      <c r="CF296" s="470">
        <f t="shared" ref="CF296:CF302" si="836">+CI296+CK296</f>
        <v>783</v>
      </c>
      <c r="CG296" s="509">
        <f t="shared" si="628"/>
        <v>119.97</v>
      </c>
      <c r="CH296" s="1603">
        <f t="shared" si="614"/>
        <v>25</v>
      </c>
      <c r="CI296" s="1491">
        <f t="shared" si="608"/>
        <v>320</v>
      </c>
      <c r="CJ296" s="1502">
        <v>1</v>
      </c>
      <c r="CK296" s="509">
        <f t="shared" ref="CK296:CK302" si="837">W296+AM296+BG296</f>
        <v>463</v>
      </c>
      <c r="CL296" s="1689">
        <f t="shared" ref="CL296:CL302" si="838">ROUND(IF(CK296&gt;600,CK296*48%,CK296),2)</f>
        <v>463</v>
      </c>
      <c r="CM296" s="1689">
        <f t="shared" si="834"/>
        <v>0</v>
      </c>
      <c r="CN296" s="510">
        <f t="shared" si="617"/>
        <v>55.77</v>
      </c>
      <c r="CO296" s="511">
        <v>0</v>
      </c>
      <c r="CP296" s="510">
        <f t="shared" si="618"/>
        <v>85.8</v>
      </c>
      <c r="CQ296" s="510">
        <f t="shared" si="619"/>
        <v>0</v>
      </c>
      <c r="CR296" s="510">
        <f t="shared" si="620"/>
        <v>1067.57</v>
      </c>
      <c r="CS296" s="510">
        <f t="shared" si="621"/>
        <v>77.66</v>
      </c>
      <c r="CT296" s="510">
        <f t="shared" si="622"/>
        <v>6255</v>
      </c>
      <c r="CU296" s="512"/>
      <c r="CV296" s="512"/>
      <c r="CW296" s="512"/>
      <c r="CX296" s="512"/>
      <c r="CY296" s="1149" t="s">
        <v>6942</v>
      </c>
      <c r="CZ296" s="1149" t="s">
        <v>6805</v>
      </c>
      <c r="DA296" s="1152"/>
      <c r="DB296" s="1642" t="s">
        <v>7431</v>
      </c>
      <c r="DC296" s="1642"/>
      <c r="DD296" s="1642" t="s">
        <v>6158</v>
      </c>
      <c r="DE296" s="1642" t="s">
        <v>6222</v>
      </c>
      <c r="DF296" s="1642" t="s">
        <v>6290</v>
      </c>
      <c r="DG296" s="1642"/>
      <c r="DH296" s="512"/>
      <c r="DI296" s="512"/>
      <c r="DJ296" s="512"/>
      <c r="DK296" s="512"/>
      <c r="DL296" s="512"/>
      <c r="DN296" s="476" t="str">
        <f>VLOOKUP(X296,Hoja1!$A$4:$B$10,2,0)</f>
        <v>BACHILLER</v>
      </c>
      <c r="DO296" s="476" t="str">
        <f>VLOOKUP(S296,Hoja1!$D$4:$F$77,3,0)</f>
        <v>BII - II</v>
      </c>
      <c r="DP296" s="1594" t="str">
        <f t="shared" si="623"/>
        <v>SI</v>
      </c>
      <c r="DQ296" s="1484">
        <f>IF(T296&lt;&gt;"0",(ROUND(IF(A296="EMPLEADO",eval_formula('CONCEPTOS Y PARAMETROS'!$C$8,NOMINA!V296,AU296+BF296,NOMINA!I296+NOMINA!J296),eval_formula('CONCEPTOS Y PARAMETROS'!$D$8,NOMINA!V296,AU296+BF296,NOMINA!I296+NOMINA!J296)),2))*IF(H296&lt;&gt;"",IF(MONTH(H296)=$BR$8,IF(YEAR(H296)&lt;$BT$7,1,0),0)))</f>
        <v>0</v>
      </c>
      <c r="DR296" s="1799" t="str">
        <f t="shared" si="624"/>
        <v>F</v>
      </c>
      <c r="DS296" s="1799"/>
    </row>
    <row r="297" spans="1:123" s="476" customFormat="1" ht="21.95" customHeight="1" x14ac:dyDescent="0.25">
      <c r="A297" s="508" t="s">
        <v>2846</v>
      </c>
      <c r="B297" s="1314">
        <f t="shared" ca="1" si="782"/>
        <v>254</v>
      </c>
      <c r="C297" s="1148">
        <v>28096576</v>
      </c>
      <c r="D297" s="1149" t="s">
        <v>5726</v>
      </c>
      <c r="E297" s="1135" t="s">
        <v>4622</v>
      </c>
      <c r="F297" s="1150">
        <v>36652</v>
      </c>
      <c r="G297" s="1135" t="s">
        <v>4620</v>
      </c>
      <c r="H297" s="1150">
        <v>45017</v>
      </c>
      <c r="I297" s="1140">
        <f t="shared" ref="I297:I302" si="839">IF(AND(YEAR(H297)&lt;YEAR($H$10),MONTH(H297)&gt;$BR$8),YEAR($H$10)-YEAR(H297)-1,IF(OR(H297="",YEAR(H297)&gt;YEAR($H$10)),0,YEAR($H$10)-YEAR(H297)))</f>
        <v>2</v>
      </c>
      <c r="J297" s="1132">
        <v>0</v>
      </c>
      <c r="K297" s="1140">
        <f t="shared" si="829"/>
        <v>2</v>
      </c>
      <c r="L297" s="1145" t="s">
        <v>5526</v>
      </c>
      <c r="M297" s="1132"/>
      <c r="N297" s="1132"/>
      <c r="O297" s="1002" t="s">
        <v>5231</v>
      </c>
      <c r="P297" s="1132" t="s">
        <v>5508</v>
      </c>
      <c r="Q297" s="1315" t="str">
        <f>IFERROR(VLOOKUP(O297,CARGOS!A:E,2,0),"")</f>
        <v>12111</v>
      </c>
      <c r="R297" s="1327" t="s">
        <v>5231</v>
      </c>
      <c r="S297" s="1146" t="s">
        <v>5470</v>
      </c>
      <c r="T297" s="1107">
        <f>IFERROR(VLOOKUP(S297,'TAB EMP'!A:B,2,0),0)</f>
        <v>130</v>
      </c>
      <c r="U297" s="1108">
        <v>0</v>
      </c>
      <c r="V297" s="1107">
        <f t="shared" ref="V297" si="840">T297-U297</f>
        <v>130</v>
      </c>
      <c r="W297" s="1108">
        <f t="shared" ref="W297" si="841">ROUND(V297/2,2)</f>
        <v>65</v>
      </c>
      <c r="X297" s="1135" t="s">
        <v>2884</v>
      </c>
      <c r="Y297" s="1135"/>
      <c r="Z297" s="1135">
        <v>2</v>
      </c>
      <c r="AA297" s="1107">
        <f>ROUND(IF(H297&lt;&gt;"",VLOOKUP(SUM(I297+J297),'CONCEPTOS Y PARAMETROS'!F:G,2,0)*V297,0),2)</f>
        <v>2.6</v>
      </c>
      <c r="AB297" s="1107">
        <f>IF(S297&lt;&gt;"",IF(M297="",'CONCEPTOS Y PARAMETROS'!$C$4,0),0)</f>
        <v>130</v>
      </c>
      <c r="AC297" s="1107">
        <f>IF(S297&lt;&gt;"",IF(M297="",'CONCEPTOS Y PARAMETROS'!$C$7*Z297,0),0)</f>
        <v>25</v>
      </c>
      <c r="AD297" s="1107">
        <f>IFERROR(ROUND(VLOOKUP($X297,'CONCEPTOS Y PARAMETROS'!H:I,2,0)*($V297+AA297+AB297+AC297),2),0)</f>
        <v>0</v>
      </c>
      <c r="AE297" s="1107">
        <f t="shared" ref="AE297" si="842">SUM(AA297:AD297)</f>
        <v>157.6</v>
      </c>
      <c r="AF297" s="1107">
        <f t="shared" ref="AF297" si="843">ROUND(AA297/2,2)</f>
        <v>1.3</v>
      </c>
      <c r="AG297" s="1107">
        <f t="shared" ref="AG297" si="844">ROUND(AA297-AF297,2)</f>
        <v>1.3</v>
      </c>
      <c r="AH297" s="1107">
        <f t="shared" ref="AH297" si="845">ROUND(AB297/2,2)</f>
        <v>65</v>
      </c>
      <c r="AI297" s="1107">
        <f t="shared" ref="AI297" si="846">ROUND(AB297-AH297,2)</f>
        <v>65</v>
      </c>
      <c r="AJ297" s="1107">
        <f t="shared" ref="AJ297" si="847">ROUND(AD297/2,2)</f>
        <v>0</v>
      </c>
      <c r="AK297" s="1107">
        <f t="shared" ref="AK297" si="848">ROUND(AD297-AJ297,2)</f>
        <v>0</v>
      </c>
      <c r="AL297" s="1108">
        <f t="shared" ref="AL297" si="849">ROUND(AF297+AH297+AJ297+AC297,2)</f>
        <v>91.3</v>
      </c>
      <c r="AM297" s="1108">
        <f t="shared" ref="AM297" si="850">ROUND(AG297+AI297+AK297,2)</f>
        <v>66.3</v>
      </c>
      <c r="AN297" s="990">
        <v>0</v>
      </c>
      <c r="AO297" s="1147">
        <f>'CONCEPTOS Y PARAMETROS'!$C$18*AN297</f>
        <v>0</v>
      </c>
      <c r="AP297" s="990">
        <v>0</v>
      </c>
      <c r="AQ297" s="1147">
        <f>'CONCEPTOS Y PARAMETROS'!$C$21*AP297</f>
        <v>0</v>
      </c>
      <c r="AR297" s="1318">
        <v>0</v>
      </c>
      <c r="AS297" s="1318">
        <v>0</v>
      </c>
      <c r="AT297" s="1318">
        <f t="shared" ref="AT297" si="851">+AO297+AQ297+AR297+AS297</f>
        <v>0</v>
      </c>
      <c r="AU297" s="1108">
        <f t="shared" si="606"/>
        <v>287.60000000000002</v>
      </c>
      <c r="AV297" s="1133">
        <v>0</v>
      </c>
      <c r="AW297" s="1108">
        <f t="shared" si="716"/>
        <v>0</v>
      </c>
      <c r="AX297" s="1107">
        <f>IF(T297&lt;&gt;"0",(ROUND(IF(A297="EMPLEADO",eval_formula('CONCEPTOS Y PARAMETROS'!$C$8,NOMINA!V297,NOMINA!$AU297,NOMINA!I297+NOMINA!J297),eval_formula('CONCEPTOS Y PARAMETROS'!$D$8,NOMINA!V297,NOMINA!$AU297,NOMINA!I297+NOMINA!J297)),2))*IF(H297&lt;&gt;"",IF(MONTH(H297)=$BR$8,IF(YEAR(H297)&lt;$BT$7,1,0),0)))</f>
        <v>0</v>
      </c>
      <c r="AY297" s="1108">
        <v>180</v>
      </c>
      <c r="AZ297" s="1107">
        <f>IFERROR(VLOOKUP(AY297,'CONCEPTOS Y PARAMETROS'!Y:Z,2,0),0)</f>
        <v>150</v>
      </c>
      <c r="BA297" s="1107">
        <f t="shared" ref="BA297" si="852">ROUND((((AU297))/30*AY297/12+(AU297))/30*AZ297,2)</f>
        <v>2157</v>
      </c>
      <c r="BB297" s="1107">
        <f t="shared" ref="BB297" si="853">ROUND(AU297/30*$BB$10,2)</f>
        <v>0</v>
      </c>
      <c r="BC297" s="990">
        <v>0</v>
      </c>
      <c r="BD297" s="1107" t="str">
        <f t="shared" si="607"/>
        <v>0</v>
      </c>
      <c r="BE297" s="990">
        <v>0</v>
      </c>
      <c r="BF297" s="1107">
        <f t="shared" si="802"/>
        <v>0</v>
      </c>
      <c r="BG297" s="1108">
        <v>320</v>
      </c>
      <c r="BH297" s="1108">
        <v>0</v>
      </c>
      <c r="BI297" s="1132">
        <v>0</v>
      </c>
      <c r="BJ297" s="1108">
        <v>12.5</v>
      </c>
      <c r="BK297" s="1108">
        <v>0</v>
      </c>
      <c r="BL297" s="1107">
        <f t="shared" si="704"/>
        <v>13.27</v>
      </c>
      <c r="BM297" s="1107">
        <f t="shared" si="705"/>
        <v>1.66</v>
      </c>
      <c r="BN297" s="1107">
        <f t="shared" si="626"/>
        <v>2.88</v>
      </c>
      <c r="BO297" s="1107">
        <v>0</v>
      </c>
      <c r="BP297" s="1107">
        <v>0</v>
      </c>
      <c r="BQ297" s="1320">
        <f t="shared" ref="BQ297" si="854">ROUND(SUM(BL297:BP297),2)</f>
        <v>17.809999999999999</v>
      </c>
      <c r="BR297" s="1107">
        <f t="shared" si="707"/>
        <v>29.87</v>
      </c>
      <c r="BS297" s="1107">
        <f t="shared" si="708"/>
        <v>6.64</v>
      </c>
      <c r="BT297" s="1107">
        <f t="shared" si="627"/>
        <v>5.76</v>
      </c>
      <c r="BU297" s="1107">
        <v>0</v>
      </c>
      <c r="BV297" s="1108">
        <f t="shared" ref="BV297" si="855">ROUND(SUM(BR297:BT297),2)</f>
        <v>42.27</v>
      </c>
      <c r="BW297" s="1112">
        <f t="shared" ref="BW297" si="856">BQ297+BV297</f>
        <v>60.08</v>
      </c>
      <c r="BX297" s="1112">
        <f t="shared" si="827"/>
        <v>539.25</v>
      </c>
      <c r="BY297" s="1108">
        <v>0</v>
      </c>
      <c r="BZ297" s="1108">
        <f t="shared" ref="BZ297" si="857">+BX297+BY297</f>
        <v>539.25</v>
      </c>
      <c r="CA297" s="1321">
        <f>'CONCEPTOS Y PARAMETROS'!$A$102</f>
        <v>6255</v>
      </c>
      <c r="CB297" s="1112">
        <f t="shared" si="611"/>
        <v>138.49</v>
      </c>
      <c r="CC297" s="1113">
        <f t="shared" si="612"/>
        <v>463.8</v>
      </c>
      <c r="CD297" s="512"/>
      <c r="CE297" s="512"/>
      <c r="CF297" s="470">
        <f t="shared" si="836"/>
        <v>771.3</v>
      </c>
      <c r="CG297" s="509">
        <f t="shared" si="628"/>
        <v>138.49</v>
      </c>
      <c r="CH297" s="1603">
        <f t="shared" si="614"/>
        <v>12.5</v>
      </c>
      <c r="CI297" s="1491">
        <f t="shared" si="608"/>
        <v>320</v>
      </c>
      <c r="CJ297" s="1502">
        <v>1</v>
      </c>
      <c r="CK297" s="509">
        <f t="shared" si="837"/>
        <v>451.3</v>
      </c>
      <c r="CL297" s="1689">
        <f t="shared" si="838"/>
        <v>451.3</v>
      </c>
      <c r="CM297" s="1689">
        <f t="shared" si="834"/>
        <v>0</v>
      </c>
      <c r="CN297" s="510">
        <f t="shared" si="617"/>
        <v>0</v>
      </c>
      <c r="CO297" s="511">
        <v>0</v>
      </c>
      <c r="CP297" s="510">
        <f t="shared" si="618"/>
        <v>0</v>
      </c>
      <c r="CQ297" s="510">
        <f t="shared" si="619"/>
        <v>0</v>
      </c>
      <c r="CR297" s="510">
        <f t="shared" si="620"/>
        <v>902.6</v>
      </c>
      <c r="CS297" s="510">
        <f t="shared" si="621"/>
        <v>60.08</v>
      </c>
      <c r="CT297" s="510">
        <f t="shared" si="622"/>
        <v>6255</v>
      </c>
      <c r="CU297" s="512"/>
      <c r="CV297" s="512"/>
      <c r="CW297" s="512"/>
      <c r="CX297" s="512"/>
      <c r="CY297" s="1149" t="s">
        <v>7146</v>
      </c>
      <c r="CZ297" s="1149" t="s">
        <v>7579</v>
      </c>
      <c r="DA297" s="1152"/>
      <c r="DB297" s="1152" t="s">
        <v>6289</v>
      </c>
      <c r="DC297" s="1152" t="s">
        <v>7546</v>
      </c>
      <c r="DD297" s="1152" t="s">
        <v>6158</v>
      </c>
      <c r="DE297" s="1152" t="s">
        <v>6222</v>
      </c>
      <c r="DF297" s="1152" t="s">
        <v>6290</v>
      </c>
      <c r="DG297" s="1152"/>
      <c r="DH297" s="512"/>
      <c r="DI297" s="512"/>
      <c r="DJ297" s="512"/>
      <c r="DK297" s="512"/>
      <c r="DL297" s="512"/>
      <c r="DN297" s="476" t="str">
        <f>VLOOKUP(X297,Hoja1!$A$4:$B$10,2,0)</f>
        <v>BACHILLER</v>
      </c>
      <c r="DO297" s="476" t="str">
        <f>VLOOKUP(S297,Hoja1!$D$4:$F$77,3,0)</f>
        <v>BI</v>
      </c>
      <c r="DP297" s="1594" t="str">
        <f t="shared" si="623"/>
        <v>0</v>
      </c>
      <c r="DQ297" s="1484">
        <f>IF(T297&lt;&gt;"0",(ROUND(IF(A297="EMPLEADO",eval_formula('CONCEPTOS Y PARAMETROS'!$C$8,NOMINA!V297,AU297+BF297,NOMINA!I297+NOMINA!J297),eval_formula('CONCEPTOS Y PARAMETROS'!$D$8,NOMINA!V297,AU297+BF297,NOMINA!I297+NOMINA!J297)),2))*IF(H297&lt;&gt;"",IF(MONTH(H297)=$BR$8,IF(YEAR(H297)&lt;$BT$7,1,0),0)))</f>
        <v>0</v>
      </c>
      <c r="DR297" s="1799" t="str">
        <f t="shared" si="624"/>
        <v>F</v>
      </c>
      <c r="DS297" s="1799"/>
    </row>
    <row r="298" spans="1:123" s="476" customFormat="1" ht="21.95" customHeight="1" x14ac:dyDescent="0.25">
      <c r="A298" s="508" t="s">
        <v>2846</v>
      </c>
      <c r="B298" s="1314">
        <f t="shared" ca="1" si="782"/>
        <v>255</v>
      </c>
      <c r="C298" s="1148">
        <v>28445465</v>
      </c>
      <c r="D298" s="1149" t="s">
        <v>4928</v>
      </c>
      <c r="E298" s="1135" t="s">
        <v>4622</v>
      </c>
      <c r="F298" s="1150">
        <v>37194</v>
      </c>
      <c r="G298" s="1135" t="s">
        <v>4620</v>
      </c>
      <c r="H298" s="1150">
        <v>43770</v>
      </c>
      <c r="I298" s="1140">
        <f t="shared" si="839"/>
        <v>5</v>
      </c>
      <c r="J298" s="1132">
        <v>0</v>
      </c>
      <c r="K298" s="1140">
        <f t="shared" si="829"/>
        <v>5</v>
      </c>
      <c r="L298" s="1145" t="s">
        <v>5524</v>
      </c>
      <c r="M298" s="1132"/>
      <c r="N298" s="1132"/>
      <c r="O298" s="1002" t="s">
        <v>7261</v>
      </c>
      <c r="P298" s="1132" t="s">
        <v>5454</v>
      </c>
      <c r="Q298" s="1315" t="str">
        <f>IFERROR(VLOOKUP(O298,CARGOS!A:E,2,0),"")</f>
        <v>12112</v>
      </c>
      <c r="R298" s="1327" t="s">
        <v>7261</v>
      </c>
      <c r="S298" s="1146" t="s">
        <v>5477</v>
      </c>
      <c r="T298" s="1107">
        <f>IFERROR(VLOOKUP(S298,'TAB EMP'!A:B,2,0),0)</f>
        <v>150</v>
      </c>
      <c r="U298" s="1108">
        <v>0</v>
      </c>
      <c r="V298" s="1107">
        <f t="shared" si="680"/>
        <v>150</v>
      </c>
      <c r="W298" s="1108">
        <f t="shared" si="681"/>
        <v>75</v>
      </c>
      <c r="X298" s="1135" t="s">
        <v>2884</v>
      </c>
      <c r="Y298" s="1135"/>
      <c r="Z298" s="1135">
        <v>0</v>
      </c>
      <c r="AA298" s="1107">
        <f>ROUND(IF(H298&lt;&gt;"",VLOOKUP(SUM(I298+J298),'CONCEPTOS Y PARAMETROS'!F:G,2,0)*V298,0),2)</f>
        <v>7.5</v>
      </c>
      <c r="AB298" s="1107">
        <f>IF(S298&lt;&gt;"",IF(M298="",'CONCEPTOS Y PARAMETROS'!$C$4,0),0)</f>
        <v>130</v>
      </c>
      <c r="AC298" s="1107">
        <f>IF(S298&lt;&gt;"",IF(M298="",'CONCEPTOS Y PARAMETROS'!$C$7*Z298,0),0)</f>
        <v>0</v>
      </c>
      <c r="AD298" s="1107">
        <f>IFERROR(ROUND(VLOOKUP($X298,'CONCEPTOS Y PARAMETROS'!H:I,2,0)*($V298+AA298+AB298+AC298),2),0)</f>
        <v>0</v>
      </c>
      <c r="AE298" s="1107">
        <f t="shared" si="647"/>
        <v>137.5</v>
      </c>
      <c r="AF298" s="1107">
        <f t="shared" si="682"/>
        <v>3.75</v>
      </c>
      <c r="AG298" s="1107">
        <f t="shared" si="683"/>
        <v>3.75</v>
      </c>
      <c r="AH298" s="1107">
        <f t="shared" si="684"/>
        <v>65</v>
      </c>
      <c r="AI298" s="1107">
        <f t="shared" si="685"/>
        <v>65</v>
      </c>
      <c r="AJ298" s="1107">
        <f t="shared" si="686"/>
        <v>0</v>
      </c>
      <c r="AK298" s="1107">
        <f t="shared" si="687"/>
        <v>0</v>
      </c>
      <c r="AL298" s="1108">
        <f t="shared" si="688"/>
        <v>68.75</v>
      </c>
      <c r="AM298" s="1108">
        <f t="shared" si="689"/>
        <v>68.75</v>
      </c>
      <c r="AN298" s="990">
        <v>0</v>
      </c>
      <c r="AO298" s="1147">
        <f>'CONCEPTOS Y PARAMETROS'!$C$18*AN298</f>
        <v>0</v>
      </c>
      <c r="AP298" s="990">
        <v>0</v>
      </c>
      <c r="AQ298" s="1147">
        <f>'CONCEPTOS Y PARAMETROS'!$C$21*AP298</f>
        <v>0</v>
      </c>
      <c r="AR298" s="1605">
        <v>12.5</v>
      </c>
      <c r="AS298" s="1318">
        <v>0</v>
      </c>
      <c r="AT298" s="1318">
        <f t="shared" si="784"/>
        <v>12.5</v>
      </c>
      <c r="AU298" s="1108">
        <f t="shared" si="606"/>
        <v>287.5</v>
      </c>
      <c r="AV298" s="1133">
        <v>0</v>
      </c>
      <c r="AW298" s="1108">
        <f t="shared" si="716"/>
        <v>0</v>
      </c>
      <c r="AX298" s="1107">
        <f>IF(T298&lt;&gt;"0",(ROUND(IF(A298="EMPLEADO",eval_formula('CONCEPTOS Y PARAMETROS'!$C$8,NOMINA!V298,NOMINA!$AU298,NOMINA!I298+NOMINA!J298),eval_formula('CONCEPTOS Y PARAMETROS'!$D$8,NOMINA!V298,NOMINA!$AU298,NOMINA!I298+NOMINA!J298)),2))*IF(H298&lt;&gt;"",IF(MONTH(H298)=$BR$8,IF(YEAR(H298)&lt;$BT$7,1,0),0)))</f>
        <v>0</v>
      </c>
      <c r="AY298" s="1108">
        <v>180</v>
      </c>
      <c r="AZ298" s="1107">
        <f>IFERROR(VLOOKUP(AY298,'CONCEPTOS Y PARAMETROS'!Y:Z,2,0),0)</f>
        <v>150</v>
      </c>
      <c r="BA298" s="1107">
        <f t="shared" si="690"/>
        <v>2156.25</v>
      </c>
      <c r="BB298" s="1107">
        <f t="shared" si="835"/>
        <v>0</v>
      </c>
      <c r="BC298" s="990">
        <v>0</v>
      </c>
      <c r="BD298" s="1107" t="str">
        <f t="shared" si="607"/>
        <v>0</v>
      </c>
      <c r="BE298" s="990">
        <v>0</v>
      </c>
      <c r="BF298" s="1107">
        <f t="shared" si="802"/>
        <v>0</v>
      </c>
      <c r="BG298" s="1108">
        <v>320</v>
      </c>
      <c r="BH298" s="1108">
        <v>0</v>
      </c>
      <c r="BI298" s="1132">
        <v>0</v>
      </c>
      <c r="BJ298" s="1108">
        <v>12.5</v>
      </c>
      <c r="BK298" s="1108">
        <v>0</v>
      </c>
      <c r="BL298" s="1107">
        <f t="shared" si="704"/>
        <v>13.27</v>
      </c>
      <c r="BM298" s="1107">
        <f t="shared" si="705"/>
        <v>1.66</v>
      </c>
      <c r="BN298" s="1107">
        <f t="shared" si="626"/>
        <v>2.88</v>
      </c>
      <c r="BO298" s="1107">
        <v>0</v>
      </c>
      <c r="BP298" s="1107">
        <v>0</v>
      </c>
      <c r="BQ298" s="1320">
        <f t="shared" si="630"/>
        <v>17.809999999999999</v>
      </c>
      <c r="BR298" s="1107">
        <f t="shared" si="707"/>
        <v>29.86</v>
      </c>
      <c r="BS298" s="1107">
        <f t="shared" si="708"/>
        <v>6.63</v>
      </c>
      <c r="BT298" s="1107">
        <f t="shared" si="627"/>
        <v>5.76</v>
      </c>
      <c r="BU298" s="1107">
        <v>0</v>
      </c>
      <c r="BV298" s="1108">
        <f t="shared" si="631"/>
        <v>42.25</v>
      </c>
      <c r="BW298" s="1112">
        <f t="shared" si="632"/>
        <v>60.06</v>
      </c>
      <c r="BX298" s="1112">
        <f t="shared" si="827"/>
        <v>539.05999999999995</v>
      </c>
      <c r="BY298" s="1108">
        <v>0</v>
      </c>
      <c r="BZ298" s="1108">
        <f t="shared" si="828"/>
        <v>539.05999999999995</v>
      </c>
      <c r="CA298" s="1321">
        <f>'CONCEPTOS Y PARAMETROS'!$A$102</f>
        <v>6255</v>
      </c>
      <c r="CB298" s="1112">
        <f t="shared" si="611"/>
        <v>125.94</v>
      </c>
      <c r="CC298" s="1113">
        <f t="shared" si="612"/>
        <v>488.75</v>
      </c>
      <c r="CD298" s="512"/>
      <c r="CE298" s="512"/>
      <c r="CF298" s="470">
        <f t="shared" si="836"/>
        <v>783.75</v>
      </c>
      <c r="CG298" s="509">
        <f t="shared" si="628"/>
        <v>125.94</v>
      </c>
      <c r="CH298" s="1603">
        <f t="shared" si="614"/>
        <v>25</v>
      </c>
      <c r="CI298" s="1491">
        <f t="shared" si="608"/>
        <v>320</v>
      </c>
      <c r="CJ298" s="1502">
        <v>1</v>
      </c>
      <c r="CK298" s="509">
        <f t="shared" si="837"/>
        <v>463.75</v>
      </c>
      <c r="CL298" s="1689">
        <f t="shared" si="838"/>
        <v>463.75</v>
      </c>
      <c r="CM298" s="1689">
        <f t="shared" si="834"/>
        <v>0</v>
      </c>
      <c r="CN298" s="510">
        <f t="shared" si="617"/>
        <v>0</v>
      </c>
      <c r="CO298" s="511">
        <v>0</v>
      </c>
      <c r="CP298" s="510">
        <f t="shared" si="618"/>
        <v>0</v>
      </c>
      <c r="CQ298" s="510">
        <f t="shared" si="619"/>
        <v>0</v>
      </c>
      <c r="CR298" s="510">
        <f t="shared" si="620"/>
        <v>927.5</v>
      </c>
      <c r="CS298" s="510">
        <f t="shared" si="621"/>
        <v>60.06</v>
      </c>
      <c r="CT298" s="510">
        <f t="shared" si="622"/>
        <v>6255</v>
      </c>
      <c r="CU298" s="512"/>
      <c r="CV298" s="512"/>
      <c r="CW298" s="512"/>
      <c r="CX298" s="512"/>
      <c r="CY298" s="1149" t="s">
        <v>7031</v>
      </c>
      <c r="CZ298" s="1149" t="s">
        <v>6905</v>
      </c>
      <c r="DA298" s="1152"/>
      <c r="DB298" s="1642" t="s">
        <v>6392</v>
      </c>
      <c r="DC298" s="1642"/>
      <c r="DD298" s="1642" t="s">
        <v>6133</v>
      </c>
      <c r="DE298" s="1642" t="s">
        <v>6393</v>
      </c>
      <c r="DF298" s="1642" t="s">
        <v>6449</v>
      </c>
      <c r="DG298" s="1642"/>
      <c r="DH298" s="512"/>
      <c r="DI298" s="512"/>
      <c r="DJ298" s="512"/>
      <c r="DK298" s="512"/>
      <c r="DL298" s="512"/>
      <c r="DN298" s="476" t="str">
        <f>VLOOKUP(X298,Hoja1!$A$4:$B$10,2,0)</f>
        <v>BACHILLER</v>
      </c>
      <c r="DO298" s="476" t="str">
        <f>VLOOKUP(S298,Hoja1!$D$4:$F$77,3,0)</f>
        <v>BII - II</v>
      </c>
      <c r="DP298" s="1594" t="str">
        <f t="shared" si="623"/>
        <v>0</v>
      </c>
      <c r="DQ298" s="1484">
        <f>IF(T298&lt;&gt;"0",(ROUND(IF(A298="EMPLEADO",eval_formula('CONCEPTOS Y PARAMETROS'!$C$8,NOMINA!V298,AU298+BF298,NOMINA!I298+NOMINA!J298),eval_formula('CONCEPTOS Y PARAMETROS'!$D$8,NOMINA!V298,AU298+BF298,NOMINA!I298+NOMINA!J298)),2))*IF(H298&lt;&gt;"",IF(MONTH(H298)=$BR$8,IF(YEAR(H298)&lt;$BT$7,1,0),0)))</f>
        <v>0</v>
      </c>
      <c r="DR298" s="1799" t="str">
        <f t="shared" si="624"/>
        <v>F</v>
      </c>
      <c r="DS298" s="1799"/>
    </row>
    <row r="299" spans="1:123" s="1752" customFormat="1" ht="21.95" customHeight="1" x14ac:dyDescent="0.25">
      <c r="A299" s="1722" t="s">
        <v>2846</v>
      </c>
      <c r="B299" s="1723">
        <f t="shared" ca="1" si="782"/>
        <v>256</v>
      </c>
      <c r="C299" s="1724">
        <v>29539827</v>
      </c>
      <c r="D299" s="1725" t="s">
        <v>7630</v>
      </c>
      <c r="E299" s="1726" t="s">
        <v>4622</v>
      </c>
      <c r="F299" s="1727">
        <v>37510</v>
      </c>
      <c r="G299" s="1726" t="s">
        <v>4620</v>
      </c>
      <c r="H299" s="1727">
        <v>45901</v>
      </c>
      <c r="I299" s="1728">
        <f t="shared" si="839"/>
        <v>0</v>
      </c>
      <c r="J299" s="1729">
        <v>0</v>
      </c>
      <c r="K299" s="1728">
        <f t="shared" si="829"/>
        <v>0</v>
      </c>
      <c r="L299" s="1730" t="s">
        <v>5537</v>
      </c>
      <c r="M299" s="1729"/>
      <c r="N299" s="1729"/>
      <c r="O299" s="1731" t="s">
        <v>1998</v>
      </c>
      <c r="P299" s="1755" t="s">
        <v>7631</v>
      </c>
      <c r="Q299" s="1732" t="str">
        <f>IFERROR(VLOOKUP(O299,CARGOS!A:E,2,0),"")</f>
        <v>36321</v>
      </c>
      <c r="R299" s="1733" t="s">
        <v>5263</v>
      </c>
      <c r="S299" s="1734" t="s">
        <v>5456</v>
      </c>
      <c r="T299" s="1735">
        <f>IFERROR(VLOOKUP(S299,'TAB EMP'!A:B,2,0),0)</f>
        <v>246</v>
      </c>
      <c r="U299" s="1736">
        <v>0</v>
      </c>
      <c r="V299" s="1735">
        <f t="shared" ref="V299" si="858">T299-U299</f>
        <v>246</v>
      </c>
      <c r="W299" s="1736">
        <f t="shared" ref="W299" si="859">ROUND(V299/2,2)</f>
        <v>123</v>
      </c>
      <c r="X299" s="1726" t="s">
        <v>2885</v>
      </c>
      <c r="Y299" s="1726"/>
      <c r="Z299" s="1726">
        <v>0</v>
      </c>
      <c r="AA299" s="1735">
        <f>ROUND(IF(H299&lt;&gt;"",VLOOKUP(SUM(I299+J299),'CONCEPTOS Y PARAMETROS'!F:G,2,0)*V299,0),2)</f>
        <v>0</v>
      </c>
      <c r="AB299" s="1735">
        <f>IF(S299&lt;&gt;"",IF(M299="",'CONCEPTOS Y PARAMETROS'!$C$4,0),0)</f>
        <v>130</v>
      </c>
      <c r="AC299" s="1735">
        <f>IF(S299&lt;&gt;"",IF(M299="",'CONCEPTOS Y PARAMETROS'!$C$7*Z299,0),0)</f>
        <v>0</v>
      </c>
      <c r="AD299" s="1735">
        <f>IFERROR(ROUND(VLOOKUP($X299,'CONCEPTOS Y PARAMETROS'!H:I,2,0)*($V299+AA299+AB299+AC299),2),0)</f>
        <v>94</v>
      </c>
      <c r="AE299" s="1735">
        <f t="shared" ref="AE299" si="860">SUM(AA299:AD299)</f>
        <v>224</v>
      </c>
      <c r="AF299" s="1735">
        <f t="shared" ref="AF299" si="861">ROUND(AA299/2,2)</f>
        <v>0</v>
      </c>
      <c r="AG299" s="1735">
        <f t="shared" ref="AG299" si="862">ROUND(AA299-AF299,2)</f>
        <v>0</v>
      </c>
      <c r="AH299" s="1735">
        <f t="shared" ref="AH299" si="863">ROUND(AB299/2,2)</f>
        <v>65</v>
      </c>
      <c r="AI299" s="1735">
        <f t="shared" ref="AI299" si="864">ROUND(AB299-AH299,2)</f>
        <v>65</v>
      </c>
      <c r="AJ299" s="1735">
        <f t="shared" ref="AJ299" si="865">ROUND(AD299/2,2)</f>
        <v>47</v>
      </c>
      <c r="AK299" s="1735">
        <f t="shared" ref="AK299" si="866">ROUND(AD299-AJ299,2)</f>
        <v>47</v>
      </c>
      <c r="AL299" s="1736">
        <f t="shared" ref="AL299" si="867">ROUND(AF299+AH299+AJ299+AC299,2)</f>
        <v>112</v>
      </c>
      <c r="AM299" s="1736">
        <f t="shared" ref="AM299" si="868">ROUND(AG299+AI299+AK299,2)</f>
        <v>112</v>
      </c>
      <c r="AN299" s="1737">
        <v>0</v>
      </c>
      <c r="AO299" s="1738">
        <f>'CONCEPTOS Y PARAMETROS'!$C$18*AN299</f>
        <v>0</v>
      </c>
      <c r="AP299" s="1737">
        <v>0</v>
      </c>
      <c r="AQ299" s="1738">
        <f>'CONCEPTOS Y PARAMETROS'!$C$21*AP299</f>
        <v>0</v>
      </c>
      <c r="AR299" s="1739">
        <v>0</v>
      </c>
      <c r="AS299" s="1739">
        <v>0</v>
      </c>
      <c r="AT299" s="1739">
        <f t="shared" si="784"/>
        <v>0</v>
      </c>
      <c r="AU299" s="1736">
        <f t="shared" ref="AU299" si="869">V299+AE299+AW299</f>
        <v>470</v>
      </c>
      <c r="AV299" s="1740">
        <v>0</v>
      </c>
      <c r="AW299" s="1736">
        <f t="shared" ref="AW299" si="870">ROUND(IF(AV299="NOCTURN",(V299+AE299)*30%,0),2)</f>
        <v>0</v>
      </c>
      <c r="AX299" s="1735">
        <f>IF(T299&lt;&gt;"0",(ROUND(IF(A299="EMPLEADO",eval_formula('CONCEPTOS Y PARAMETROS'!$C$8,NOMINA!V299,NOMINA!$AU299,NOMINA!I299+NOMINA!J299),eval_formula('CONCEPTOS Y PARAMETROS'!$D$8,NOMINA!V299,NOMINA!$AU299,NOMINA!I299+NOMINA!J299)),2))*IF(H299&lt;&gt;"",IF(MONTH(H299)=$BR$8,IF(YEAR(H299)&lt;$BT$7,1,0),0)))</f>
        <v>0</v>
      </c>
      <c r="AY299" s="1736">
        <v>180</v>
      </c>
      <c r="AZ299" s="1735">
        <f>IFERROR(VLOOKUP(AY299,'CONCEPTOS Y PARAMETROS'!Y:Z,2,0),0)</f>
        <v>150</v>
      </c>
      <c r="BA299" s="1735">
        <f t="shared" ref="BA299" si="871">ROUND((((AU299))/30*AY299/12+(AU299))/30*AZ299,2)</f>
        <v>3525</v>
      </c>
      <c r="BB299" s="1735">
        <f t="shared" si="835"/>
        <v>0</v>
      </c>
      <c r="BC299" s="1737">
        <v>0</v>
      </c>
      <c r="BD299" s="1735" t="str">
        <f t="shared" ref="BD299" si="872">IF(BC299&gt;0,((((((V299+AA299+AB299+AC299+AD299)/30)/8)*50%)+((((V299+AA299+AB299+AC299+AD299)/30)/8)))*30%+(((((V299+AA299+AB299+AC299+AD299)/30)/8)*50%)+((((V299+AA299+AB299+AC299+AD299)/30)/8))))*BC299,"0")</f>
        <v>0</v>
      </c>
      <c r="BE299" s="1737">
        <v>0</v>
      </c>
      <c r="BF299" s="1735">
        <f t="shared" si="802"/>
        <v>0</v>
      </c>
      <c r="BG299" s="1736">
        <v>320</v>
      </c>
      <c r="BH299" s="1736">
        <v>0</v>
      </c>
      <c r="BI299" s="1729">
        <v>0</v>
      </c>
      <c r="BJ299" s="1736">
        <v>12.5</v>
      </c>
      <c r="BK299" s="1736">
        <v>0</v>
      </c>
      <c r="BL299" s="1735">
        <f t="shared" ref="BL299" si="873">ROUND(IF(M299="", (((AU299*12)/52)*4%)*$BS$8,0),2)</f>
        <v>21.69</v>
      </c>
      <c r="BM299" s="1735">
        <f t="shared" ref="BM299" si="874">ROUND(IF(M299="",(((AU299*12)/52)*0.5%)*$BS$8,0),2)</f>
        <v>2.71</v>
      </c>
      <c r="BN299" s="1735">
        <f t="shared" ref="BN299" si="875">ROUND(IF(M299="",(AU299*1%),0),2)</f>
        <v>4.7</v>
      </c>
      <c r="BO299" s="1735">
        <v>0</v>
      </c>
      <c r="BP299" s="1735">
        <v>0</v>
      </c>
      <c r="BQ299" s="1741">
        <f t="shared" ref="BQ299" si="876">ROUND(SUM(BL299:BP299),2)</f>
        <v>29.1</v>
      </c>
      <c r="BR299" s="1735">
        <f t="shared" ref="BR299" si="877">ROUND(IF(M299="", (((AU299*12)/52)*9%)*$BS$8,0),2)</f>
        <v>48.81</v>
      </c>
      <c r="BS299" s="1735">
        <f t="shared" ref="BS299" si="878">ROUND(IF(M299="",(((AU299*12)/52)*2%)*$BS$8,0),2)</f>
        <v>10.85</v>
      </c>
      <c r="BT299" s="1735">
        <f t="shared" ref="BT299" si="879">ROUND(IF(M299="",(BN299*2),0),2)</f>
        <v>9.4</v>
      </c>
      <c r="BU299" s="1735">
        <v>0</v>
      </c>
      <c r="BV299" s="1736">
        <f t="shared" ref="BV299" si="880">ROUND(SUM(BR299:BT299),2)</f>
        <v>69.06</v>
      </c>
      <c r="BW299" s="1742">
        <f t="shared" ref="BW299" si="881">BQ299+BV299</f>
        <v>98.16</v>
      </c>
      <c r="BX299" s="1742">
        <f t="shared" si="827"/>
        <v>881.25</v>
      </c>
      <c r="BY299" s="1736">
        <v>0</v>
      </c>
      <c r="BZ299" s="1736">
        <f t="shared" si="828"/>
        <v>881.25</v>
      </c>
      <c r="CA299" s="1743">
        <f>'CONCEPTOS Y PARAMETROS'!$A$102</f>
        <v>6255</v>
      </c>
      <c r="CB299" s="1742">
        <f t="shared" si="611"/>
        <v>205.9</v>
      </c>
      <c r="CC299" s="1744">
        <f t="shared" si="612"/>
        <v>567.5</v>
      </c>
      <c r="CD299" s="1141"/>
      <c r="CE299" s="1141"/>
      <c r="CF299" s="1141">
        <f t="shared" si="836"/>
        <v>875</v>
      </c>
      <c r="CG299" s="1745">
        <f t="shared" ref="CG299" si="882">W299+AL299-BQ299</f>
        <v>205.9</v>
      </c>
      <c r="CH299" s="1746">
        <f t="shared" si="614"/>
        <v>12.5</v>
      </c>
      <c r="CI299" s="1747">
        <f t="shared" ref="CI299" si="883">BG299</f>
        <v>320</v>
      </c>
      <c r="CJ299" s="1748">
        <v>1</v>
      </c>
      <c r="CK299" s="1745">
        <f t="shared" si="837"/>
        <v>555</v>
      </c>
      <c r="CL299" s="1749">
        <f t="shared" si="838"/>
        <v>555</v>
      </c>
      <c r="CM299" s="1749">
        <f t="shared" si="834"/>
        <v>0</v>
      </c>
      <c r="CN299" s="1750">
        <f t="shared" si="617"/>
        <v>0</v>
      </c>
      <c r="CO299" s="1751">
        <v>0</v>
      </c>
      <c r="CP299" s="1750">
        <f t="shared" si="618"/>
        <v>0</v>
      </c>
      <c r="CQ299" s="1750">
        <f t="shared" si="619"/>
        <v>0</v>
      </c>
      <c r="CR299" s="1750">
        <f t="shared" si="620"/>
        <v>1110</v>
      </c>
      <c r="CS299" s="1750">
        <f t="shared" si="621"/>
        <v>98.16</v>
      </c>
      <c r="CT299" s="1750">
        <f t="shared" si="622"/>
        <v>6255</v>
      </c>
      <c r="CU299" s="1141"/>
      <c r="CV299" s="1141"/>
      <c r="CW299" s="1141"/>
      <c r="CX299" s="1141"/>
      <c r="CY299" s="1725" t="s">
        <v>6806</v>
      </c>
      <c r="CZ299" s="1725" t="s">
        <v>7632</v>
      </c>
      <c r="DA299" s="1599"/>
      <c r="DB299" s="1599" t="s">
        <v>7633</v>
      </c>
      <c r="DC299" s="1599"/>
      <c r="DD299" s="1599"/>
      <c r="DE299" s="1599"/>
      <c r="DF299" s="1599"/>
      <c r="DG299" s="1599"/>
      <c r="DH299" s="1141"/>
      <c r="DI299" s="1141"/>
      <c r="DJ299" s="1141"/>
      <c r="DK299" s="1141"/>
      <c r="DL299" s="1141"/>
      <c r="DN299" s="1752" t="str">
        <f>VLOOKUP(X299,Hoja1!$A$4:$B$10,2,0)</f>
        <v>PROFESIONAL</v>
      </c>
      <c r="DO299" s="1752" t="str">
        <f>VLOOKUP(S299,Hoja1!$D$4:$F$77,3,0)</f>
        <v>PI</v>
      </c>
      <c r="DP299" s="1753" t="str">
        <f t="shared" si="623"/>
        <v>0</v>
      </c>
      <c r="DQ299" s="1754">
        <f>IF(T299&lt;&gt;"0",(ROUND(IF(A299="EMPLEADO",eval_formula('CONCEPTOS Y PARAMETROS'!$C$8,NOMINA!V299,AU299+BF299,NOMINA!I299+NOMINA!J299),eval_formula('CONCEPTOS Y PARAMETROS'!$D$8,NOMINA!V299,AU299+BF299,NOMINA!I299+NOMINA!J299)),2))*IF(H299&lt;&gt;"",IF(MONTH(H299)=$BR$8,IF(YEAR(H299)&lt;$BT$7,1,0),0)))</f>
        <v>0</v>
      </c>
      <c r="DR299" s="1804" t="str">
        <f t="shared" si="624"/>
        <v>F</v>
      </c>
      <c r="DS299" s="1804"/>
    </row>
    <row r="300" spans="1:123" s="476" customFormat="1" ht="21.95" customHeight="1" x14ac:dyDescent="0.25">
      <c r="A300" s="508" t="s">
        <v>2846</v>
      </c>
      <c r="B300" s="1314">
        <f t="shared" ca="1" si="782"/>
        <v>257</v>
      </c>
      <c r="C300" s="1148">
        <v>29585477</v>
      </c>
      <c r="D300" s="1149" t="s">
        <v>4929</v>
      </c>
      <c r="E300" s="1135" t="s">
        <v>4622</v>
      </c>
      <c r="F300" s="1150">
        <v>36639</v>
      </c>
      <c r="G300" s="1135" t="s">
        <v>4620</v>
      </c>
      <c r="H300" s="1150">
        <v>43512</v>
      </c>
      <c r="I300" s="1140">
        <f t="shared" si="839"/>
        <v>6</v>
      </c>
      <c r="J300" s="1132">
        <v>0</v>
      </c>
      <c r="K300" s="1140">
        <f t="shared" si="829"/>
        <v>6</v>
      </c>
      <c r="L300" s="1145" t="s">
        <v>5532</v>
      </c>
      <c r="M300" s="1132"/>
      <c r="N300" s="1132"/>
      <c r="O300" s="1002" t="s">
        <v>5266</v>
      </c>
      <c r="P300" s="1132" t="s">
        <v>5455</v>
      </c>
      <c r="Q300" s="1315" t="str">
        <f>IFERROR(VLOOKUP(O300,CARGOS!A:E,2,0),"")</f>
        <v>34232</v>
      </c>
      <c r="R300" s="1327" t="s">
        <v>5266</v>
      </c>
      <c r="S300" s="1146" t="s">
        <v>5480</v>
      </c>
      <c r="T300" s="1107">
        <f>IFERROR(VLOOKUP(S300,'TAB EMP'!A:B,2,0),0)</f>
        <v>170</v>
      </c>
      <c r="U300" s="1108">
        <v>0</v>
      </c>
      <c r="V300" s="1107">
        <f t="shared" si="680"/>
        <v>170</v>
      </c>
      <c r="W300" s="1108">
        <f t="shared" si="681"/>
        <v>85</v>
      </c>
      <c r="X300" s="1135" t="s">
        <v>2884</v>
      </c>
      <c r="Y300" s="1135"/>
      <c r="Z300" s="1135">
        <v>1</v>
      </c>
      <c r="AA300" s="1107">
        <f>ROUND(IF(H300&lt;&gt;"",VLOOKUP(SUM(I300+J300),'CONCEPTOS Y PARAMETROS'!F:G,2,0)*V300,0),2)</f>
        <v>10.54</v>
      </c>
      <c r="AB300" s="1107">
        <f>IF(S300&lt;&gt;"",IF(M300="",'CONCEPTOS Y PARAMETROS'!$C$4,0),0)</f>
        <v>130</v>
      </c>
      <c r="AC300" s="1107">
        <f>IF(S300&lt;&gt;"",IF(M300="",'CONCEPTOS Y PARAMETROS'!$C$7*Z300,0),0)</f>
        <v>12.5</v>
      </c>
      <c r="AD300" s="1107">
        <f>IFERROR(ROUND(VLOOKUP($X300,'CONCEPTOS Y PARAMETROS'!H:I,2,0)*($V300+AA300+AB300+AC300),2),0)</f>
        <v>0</v>
      </c>
      <c r="AE300" s="1107">
        <f t="shared" si="647"/>
        <v>153.04</v>
      </c>
      <c r="AF300" s="1107">
        <f t="shared" si="682"/>
        <v>5.27</v>
      </c>
      <c r="AG300" s="1107">
        <f t="shared" si="683"/>
        <v>5.27</v>
      </c>
      <c r="AH300" s="1107">
        <f t="shared" si="684"/>
        <v>65</v>
      </c>
      <c r="AI300" s="1107">
        <f t="shared" si="685"/>
        <v>65</v>
      </c>
      <c r="AJ300" s="1107">
        <f t="shared" si="686"/>
        <v>0</v>
      </c>
      <c r="AK300" s="1107">
        <f t="shared" si="687"/>
        <v>0</v>
      </c>
      <c r="AL300" s="1108">
        <f t="shared" si="688"/>
        <v>82.77</v>
      </c>
      <c r="AM300" s="1108">
        <f t="shared" si="689"/>
        <v>70.27</v>
      </c>
      <c r="AN300" s="990">
        <v>0</v>
      </c>
      <c r="AO300" s="1147">
        <f>'CONCEPTOS Y PARAMETROS'!$C$18*AN300</f>
        <v>0</v>
      </c>
      <c r="AP300" s="990">
        <v>0</v>
      </c>
      <c r="AQ300" s="1147">
        <f>'CONCEPTOS Y PARAMETROS'!$C$21*AP300</f>
        <v>0</v>
      </c>
      <c r="AR300" s="1318">
        <v>0</v>
      </c>
      <c r="AS300" s="1318">
        <v>0</v>
      </c>
      <c r="AT300" s="1318">
        <f t="shared" si="784"/>
        <v>0</v>
      </c>
      <c r="AU300" s="1108">
        <f t="shared" si="606"/>
        <v>323.03999999999996</v>
      </c>
      <c r="AV300" s="1133">
        <v>0</v>
      </c>
      <c r="AW300" s="1108">
        <f t="shared" si="716"/>
        <v>0</v>
      </c>
      <c r="AX300" s="1107">
        <f>IF(T300&lt;&gt;"0",(ROUND(IF(A300="EMPLEADO",eval_formula('CONCEPTOS Y PARAMETROS'!$C$8,NOMINA!V300,NOMINA!$AU300,NOMINA!I300+NOMINA!J300),eval_formula('CONCEPTOS Y PARAMETROS'!$D$8,NOMINA!V300,NOMINA!$AU300,NOMINA!I300+NOMINA!J300)),2))*IF(H300&lt;&gt;"",IF(MONTH(H300)=$BR$8,IF(YEAR(H300)&lt;$BT$7,1,0),0)))</f>
        <v>0</v>
      </c>
      <c r="AY300" s="1108">
        <v>180</v>
      </c>
      <c r="AZ300" s="1107">
        <f>IFERROR(VLOOKUP(AY300,'CONCEPTOS Y PARAMETROS'!Y:Z,2,0),0)</f>
        <v>150</v>
      </c>
      <c r="BA300" s="1107">
        <f t="shared" si="690"/>
        <v>2422.8000000000002</v>
      </c>
      <c r="BB300" s="1107">
        <f t="shared" si="835"/>
        <v>0</v>
      </c>
      <c r="BC300" s="990">
        <v>0</v>
      </c>
      <c r="BD300" s="1107" t="str">
        <f t="shared" ref="BD300:BD302" si="884">IF(BC300&gt;0,((((((V300+AA300+AB300+AC300+AD300)/30)/8)*50%)+((((V300+AA300+AB300+AC300+AD300)/30)/8)))*30%+(((((V300+AA300+AB300+AC300+AD300)/30)/8)*50%)+((((V300+AA300+AB300+AC300+AD300)/30)/8))))*BC300,"0")</f>
        <v>0</v>
      </c>
      <c r="BE300" s="990">
        <v>0</v>
      </c>
      <c r="BF300" s="1107">
        <f t="shared" si="802"/>
        <v>0</v>
      </c>
      <c r="BG300" s="1108">
        <v>320</v>
      </c>
      <c r="BH300" s="1108">
        <v>0</v>
      </c>
      <c r="BI300" s="1132">
        <v>0</v>
      </c>
      <c r="BJ300" s="1108">
        <v>12.5</v>
      </c>
      <c r="BK300" s="1108">
        <v>0</v>
      </c>
      <c r="BL300" s="1107">
        <f t="shared" si="704"/>
        <v>14.91</v>
      </c>
      <c r="BM300" s="1107">
        <f t="shared" si="705"/>
        <v>1.86</v>
      </c>
      <c r="BN300" s="1107">
        <f t="shared" si="626"/>
        <v>3.23</v>
      </c>
      <c r="BO300" s="1107">
        <v>0</v>
      </c>
      <c r="BP300" s="1107">
        <v>0</v>
      </c>
      <c r="BQ300" s="1320">
        <f t="shared" si="630"/>
        <v>20</v>
      </c>
      <c r="BR300" s="1107">
        <f t="shared" si="707"/>
        <v>33.549999999999997</v>
      </c>
      <c r="BS300" s="1107">
        <f t="shared" si="708"/>
        <v>7.45</v>
      </c>
      <c r="BT300" s="1107">
        <f t="shared" si="627"/>
        <v>6.46</v>
      </c>
      <c r="BU300" s="1107">
        <v>0</v>
      </c>
      <c r="BV300" s="1108">
        <f t="shared" si="631"/>
        <v>47.46</v>
      </c>
      <c r="BW300" s="1112">
        <f t="shared" si="632"/>
        <v>67.460000000000008</v>
      </c>
      <c r="BX300" s="1112">
        <f t="shared" si="827"/>
        <v>605.70000000000005</v>
      </c>
      <c r="BY300" s="1108">
        <v>0</v>
      </c>
      <c r="BZ300" s="1108">
        <f t="shared" si="828"/>
        <v>605.70000000000005</v>
      </c>
      <c r="CA300" s="1321">
        <f>'CONCEPTOS Y PARAMETROS'!$A$102</f>
        <v>6255</v>
      </c>
      <c r="CB300" s="1112">
        <f t="shared" ref="CB300:CB302" si="885">W300+AL300-BQ300</f>
        <v>147.76999999999998</v>
      </c>
      <c r="CC300" s="1113">
        <f t="shared" ref="CC300:CC302" si="886">ROUND((W300+AM300+AW300+AX300+BB300+BD300+BF300+BK300+BG300+BH300+BJ300+AT300),2)</f>
        <v>487.77</v>
      </c>
      <c r="CD300" s="512"/>
      <c r="CE300" s="512"/>
      <c r="CF300" s="470">
        <f t="shared" si="836"/>
        <v>795.27</v>
      </c>
      <c r="CG300" s="509">
        <f t="shared" si="628"/>
        <v>147.76999999999998</v>
      </c>
      <c r="CH300" s="1603">
        <f t="shared" ref="CH300:CH302" si="887">AT300+BJ300</f>
        <v>12.5</v>
      </c>
      <c r="CI300" s="1491">
        <f t="shared" si="608"/>
        <v>320</v>
      </c>
      <c r="CJ300" s="1502">
        <v>1</v>
      </c>
      <c r="CK300" s="509">
        <f t="shared" si="837"/>
        <v>475.27</v>
      </c>
      <c r="CL300" s="1689">
        <f t="shared" si="838"/>
        <v>475.27</v>
      </c>
      <c r="CM300" s="1689">
        <f t="shared" si="834"/>
        <v>0</v>
      </c>
      <c r="CN300" s="510">
        <f t="shared" si="617"/>
        <v>0</v>
      </c>
      <c r="CO300" s="511">
        <v>0</v>
      </c>
      <c r="CP300" s="510">
        <f t="shared" si="618"/>
        <v>0</v>
      </c>
      <c r="CQ300" s="510">
        <f t="shared" si="619"/>
        <v>0</v>
      </c>
      <c r="CR300" s="510">
        <f t="shared" ref="CR300:CR302" si="888">SUM(CK300:CQ300)</f>
        <v>950.54</v>
      </c>
      <c r="CS300" s="510">
        <f t="shared" si="621"/>
        <v>67.460000000000008</v>
      </c>
      <c r="CT300" s="510">
        <f t="shared" si="622"/>
        <v>6255</v>
      </c>
      <c r="CU300" s="512"/>
      <c r="CV300" s="512"/>
      <c r="CW300" s="512"/>
      <c r="CX300" s="512"/>
      <c r="CY300" s="1149" t="s">
        <v>6954</v>
      </c>
      <c r="CZ300" s="1149" t="s">
        <v>7032</v>
      </c>
      <c r="DA300" s="1152"/>
      <c r="DB300" s="1642" t="s">
        <v>6326</v>
      </c>
      <c r="DC300" s="1642"/>
      <c r="DD300" s="1642" t="s">
        <v>6135</v>
      </c>
      <c r="DE300" s="1642" t="s">
        <v>6147</v>
      </c>
      <c r="DF300" s="1642" t="s">
        <v>7543</v>
      </c>
      <c r="DG300" s="1152"/>
      <c r="DH300" s="512"/>
      <c r="DI300" s="512"/>
      <c r="DJ300" s="512"/>
      <c r="DK300" s="512"/>
      <c r="DL300" s="512"/>
      <c r="DN300" s="476" t="str">
        <f>VLOOKUP(X300,Hoja1!$A$4:$B$10,2,0)</f>
        <v>BACHILLER</v>
      </c>
      <c r="DO300" s="476" t="str">
        <f>VLOOKUP(S300,Hoja1!$D$4:$F$77,3,0)</f>
        <v>BIII - III</v>
      </c>
      <c r="DP300" s="1594" t="str">
        <f t="shared" si="623"/>
        <v>0</v>
      </c>
      <c r="DQ300" s="1484">
        <f>IF(T300&lt;&gt;"0",(ROUND(IF(A300="EMPLEADO",eval_formula('CONCEPTOS Y PARAMETROS'!$C$8,NOMINA!V300,AU300+BF300,NOMINA!I300+NOMINA!J300),eval_formula('CONCEPTOS Y PARAMETROS'!$D$8,NOMINA!V300,AU300+BF300,NOMINA!I300+NOMINA!J300)),2))*IF(H300&lt;&gt;"",IF(MONTH(H300)=$BR$8,IF(YEAR(H300)&lt;$BT$7,1,0),0)))</f>
        <v>0</v>
      </c>
      <c r="DR300" s="1799" t="str">
        <f t="shared" si="624"/>
        <v>F</v>
      </c>
      <c r="DS300" s="1799"/>
    </row>
    <row r="301" spans="1:123" s="471" customFormat="1" ht="21.95" customHeight="1" x14ac:dyDescent="0.25">
      <c r="A301" s="508" t="s">
        <v>2846</v>
      </c>
      <c r="B301" s="1314">
        <f t="shared" ca="1" si="782"/>
        <v>258</v>
      </c>
      <c r="C301" s="1148">
        <v>30190238</v>
      </c>
      <c r="D301" s="1149" t="s">
        <v>5779</v>
      </c>
      <c r="E301" s="1135" t="s">
        <v>4622</v>
      </c>
      <c r="F301" s="1150">
        <v>37972</v>
      </c>
      <c r="G301" s="1135" t="s">
        <v>4620</v>
      </c>
      <c r="H301" s="1150">
        <v>45200</v>
      </c>
      <c r="I301" s="1140">
        <f t="shared" si="839"/>
        <v>1</v>
      </c>
      <c r="J301" s="1132">
        <v>0</v>
      </c>
      <c r="K301" s="1140">
        <f t="shared" si="829"/>
        <v>1</v>
      </c>
      <c r="L301" s="1145" t="s">
        <v>6111</v>
      </c>
      <c r="M301" s="1132"/>
      <c r="N301" s="1132"/>
      <c r="O301" s="1002" t="s">
        <v>5218</v>
      </c>
      <c r="P301" s="1151" t="s">
        <v>5793</v>
      </c>
      <c r="Q301" s="1315" t="s">
        <v>1161</v>
      </c>
      <c r="R301" s="1327" t="s">
        <v>5218</v>
      </c>
      <c r="S301" s="1146" t="s">
        <v>5470</v>
      </c>
      <c r="T301" s="1107">
        <f>IFERROR(VLOOKUP(S301,'TAB EMP'!A:B,2,0),0)</f>
        <v>130</v>
      </c>
      <c r="U301" s="1108">
        <v>0</v>
      </c>
      <c r="V301" s="1107">
        <f t="shared" si="680"/>
        <v>130</v>
      </c>
      <c r="W301" s="1108">
        <f t="shared" si="681"/>
        <v>65</v>
      </c>
      <c r="X301" s="1135" t="s">
        <v>2884</v>
      </c>
      <c r="Y301" s="1135"/>
      <c r="Z301" s="1135">
        <v>0</v>
      </c>
      <c r="AA301" s="1107">
        <f>ROUND(IF(H301&lt;&gt;"",VLOOKUP(SUM(I301+J301),'CONCEPTOS Y PARAMETROS'!F:G,2,0)*V301,0),2)</f>
        <v>1.3</v>
      </c>
      <c r="AB301" s="1107">
        <f>IF(S301&lt;&gt;"",IF(M301="",'CONCEPTOS Y PARAMETROS'!$C$4,0),0)</f>
        <v>130</v>
      </c>
      <c r="AC301" s="1107">
        <f>IF(S301&lt;&gt;"",IF(M301="",'CONCEPTOS Y PARAMETROS'!$C$7*Z301,0),0)</f>
        <v>0</v>
      </c>
      <c r="AD301" s="1107">
        <f>IFERROR(ROUND(VLOOKUP($X301,'CONCEPTOS Y PARAMETROS'!H:I,2,0)*($V301+AA301+AB301+AC301),2),0)</f>
        <v>0</v>
      </c>
      <c r="AE301" s="1107">
        <f t="shared" si="647"/>
        <v>131.30000000000001</v>
      </c>
      <c r="AF301" s="1107">
        <f t="shared" si="682"/>
        <v>0.65</v>
      </c>
      <c r="AG301" s="1107">
        <f t="shared" si="683"/>
        <v>0.65</v>
      </c>
      <c r="AH301" s="1107">
        <f t="shared" si="684"/>
        <v>65</v>
      </c>
      <c r="AI301" s="1107">
        <f t="shared" si="685"/>
        <v>65</v>
      </c>
      <c r="AJ301" s="1107">
        <f t="shared" si="686"/>
        <v>0</v>
      </c>
      <c r="AK301" s="1107">
        <f t="shared" si="687"/>
        <v>0</v>
      </c>
      <c r="AL301" s="1108">
        <f t="shared" si="688"/>
        <v>65.650000000000006</v>
      </c>
      <c r="AM301" s="1108">
        <f t="shared" si="689"/>
        <v>65.650000000000006</v>
      </c>
      <c r="AN301" s="990">
        <v>0</v>
      </c>
      <c r="AO301" s="1147">
        <f>'CONCEPTOS Y PARAMETROS'!$C$18*AN301</f>
        <v>0</v>
      </c>
      <c r="AP301" s="990">
        <v>0</v>
      </c>
      <c r="AQ301" s="1147">
        <f>'CONCEPTOS Y PARAMETROS'!$C$21*AP301</f>
        <v>0</v>
      </c>
      <c r="AR301" s="1318">
        <v>0</v>
      </c>
      <c r="AS301" s="1318">
        <v>0</v>
      </c>
      <c r="AT301" s="1318">
        <f t="shared" si="784"/>
        <v>0</v>
      </c>
      <c r="AU301" s="1108">
        <f t="shared" si="606"/>
        <v>339.69</v>
      </c>
      <c r="AV301" s="1133" t="s">
        <v>5080</v>
      </c>
      <c r="AW301" s="1108">
        <f t="shared" si="716"/>
        <v>78.39</v>
      </c>
      <c r="AX301" s="1107">
        <f>IF(T301&lt;&gt;"0",(ROUND(IF(A301="EMPLEADO",eval_formula('CONCEPTOS Y PARAMETROS'!$C$8,NOMINA!V301,NOMINA!$AU301,NOMINA!I301+NOMINA!J301),eval_formula('CONCEPTOS Y PARAMETROS'!$D$8,NOMINA!V301,NOMINA!$AU301,NOMINA!I301+NOMINA!J301)),2))*IF(H301&lt;&gt;"",IF(MONTH(H301)=$BR$8,IF(YEAR(H301)&lt;$BT$7,1,0),0)))</f>
        <v>0</v>
      </c>
      <c r="AY301" s="1108">
        <v>180</v>
      </c>
      <c r="AZ301" s="1107">
        <f>IFERROR(VLOOKUP(AY301,'CONCEPTOS Y PARAMETROS'!Y:Z,2,0),0)</f>
        <v>150</v>
      </c>
      <c r="BA301" s="1107">
        <f t="shared" si="690"/>
        <v>2547.6799999999998</v>
      </c>
      <c r="BB301" s="1107">
        <f t="shared" si="835"/>
        <v>0</v>
      </c>
      <c r="BC301" s="990">
        <v>0</v>
      </c>
      <c r="BD301" s="1107" t="str">
        <f t="shared" si="884"/>
        <v>0</v>
      </c>
      <c r="BE301" s="990">
        <v>3</v>
      </c>
      <c r="BF301" s="1107">
        <f t="shared" si="802"/>
        <v>50.95</v>
      </c>
      <c r="BG301" s="1108">
        <v>320</v>
      </c>
      <c r="BH301" s="1108">
        <v>0</v>
      </c>
      <c r="BI301" s="1132">
        <v>0</v>
      </c>
      <c r="BJ301" s="1108">
        <v>12.5</v>
      </c>
      <c r="BK301" s="1108">
        <v>0</v>
      </c>
      <c r="BL301" s="1107">
        <f t="shared" si="704"/>
        <v>15.68</v>
      </c>
      <c r="BM301" s="1107">
        <f t="shared" si="705"/>
        <v>1.96</v>
      </c>
      <c r="BN301" s="1107">
        <f t="shared" si="626"/>
        <v>3.4</v>
      </c>
      <c r="BO301" s="1107">
        <v>0</v>
      </c>
      <c r="BP301" s="1107">
        <v>0</v>
      </c>
      <c r="BQ301" s="1320">
        <f t="shared" ref="BQ301:BQ302" si="889">ROUND(SUM(BL301:BP301),2)</f>
        <v>21.04</v>
      </c>
      <c r="BR301" s="1107">
        <f t="shared" si="707"/>
        <v>35.28</v>
      </c>
      <c r="BS301" s="1107">
        <f t="shared" si="708"/>
        <v>7.84</v>
      </c>
      <c r="BT301" s="1107">
        <f t="shared" si="627"/>
        <v>6.8</v>
      </c>
      <c r="BU301" s="1107">
        <v>0</v>
      </c>
      <c r="BV301" s="1108">
        <f t="shared" ref="BV301:BV302" si="890">ROUND(SUM(BR301:BT301),2)</f>
        <v>49.92</v>
      </c>
      <c r="BW301" s="1112">
        <f t="shared" ref="BW301:BW302" si="891">BQ301+BV301</f>
        <v>70.960000000000008</v>
      </c>
      <c r="BX301" s="1112">
        <f t="shared" si="827"/>
        <v>636.91999999999996</v>
      </c>
      <c r="BY301" s="1108">
        <v>0</v>
      </c>
      <c r="BZ301" s="1108">
        <f t="shared" si="828"/>
        <v>636.91999999999996</v>
      </c>
      <c r="CA301" s="1321">
        <f>'CONCEPTOS Y PARAMETROS'!$A$102</f>
        <v>6255</v>
      </c>
      <c r="CB301" s="1112">
        <f t="shared" si="885"/>
        <v>109.61000000000001</v>
      </c>
      <c r="CC301" s="1113">
        <f t="shared" si="886"/>
        <v>592.49</v>
      </c>
      <c r="CD301" s="512"/>
      <c r="CE301" s="512"/>
      <c r="CF301" s="470">
        <f t="shared" si="836"/>
        <v>770.65</v>
      </c>
      <c r="CG301" s="509">
        <f t="shared" si="628"/>
        <v>109.61000000000001</v>
      </c>
      <c r="CH301" s="498">
        <f t="shared" si="887"/>
        <v>12.5</v>
      </c>
      <c r="CI301" s="1491">
        <f t="shared" si="608"/>
        <v>320</v>
      </c>
      <c r="CJ301" s="1500">
        <v>1</v>
      </c>
      <c r="CK301" s="509">
        <f t="shared" si="837"/>
        <v>450.65</v>
      </c>
      <c r="CL301" s="1689">
        <f t="shared" si="838"/>
        <v>450.65</v>
      </c>
      <c r="CM301" s="1689">
        <f t="shared" si="834"/>
        <v>0</v>
      </c>
      <c r="CN301" s="510">
        <f t="shared" si="617"/>
        <v>50.95</v>
      </c>
      <c r="CO301" s="511">
        <v>0</v>
      </c>
      <c r="CP301" s="510">
        <f t="shared" si="618"/>
        <v>78.39</v>
      </c>
      <c r="CQ301" s="510">
        <f t="shared" si="619"/>
        <v>0</v>
      </c>
      <c r="CR301" s="496">
        <f t="shared" si="888"/>
        <v>1030.6400000000001</v>
      </c>
      <c r="CS301" s="510">
        <f t="shared" si="621"/>
        <v>70.960000000000008</v>
      </c>
      <c r="CT301" s="510">
        <f t="shared" si="622"/>
        <v>6255</v>
      </c>
      <c r="CU301" s="470"/>
      <c r="CV301" s="470"/>
      <c r="CW301" s="470"/>
      <c r="CX301" s="470"/>
      <c r="CY301" s="1149" t="s">
        <v>6345</v>
      </c>
      <c r="CZ301" s="1149" t="s">
        <v>7135</v>
      </c>
      <c r="DA301" s="1152"/>
      <c r="DB301" s="1642" t="s">
        <v>7464</v>
      </c>
      <c r="DC301" s="1642"/>
      <c r="DD301" s="1642" t="s">
        <v>6135</v>
      </c>
      <c r="DE301" s="1642" t="s">
        <v>6162</v>
      </c>
      <c r="DF301" s="1642" t="s">
        <v>6528</v>
      </c>
      <c r="DG301" s="1642"/>
      <c r="DH301" s="512"/>
      <c r="DI301" s="512"/>
      <c r="DJ301" s="512"/>
      <c r="DK301" s="512"/>
      <c r="DL301" s="512"/>
      <c r="DM301" s="476"/>
      <c r="DN301" s="471" t="str">
        <f>VLOOKUP(X301,Hoja1!$A$4:$B$10,2,0)</f>
        <v>BACHILLER</v>
      </c>
      <c r="DO301" s="471" t="str">
        <f>VLOOKUP(S301,Hoja1!$D$4:$F$77,3,0)</f>
        <v>BI</v>
      </c>
      <c r="DP301" s="1156" t="str">
        <f t="shared" si="623"/>
        <v>SI</v>
      </c>
      <c r="DQ301" s="1484">
        <f>IF(T301&lt;&gt;"0",(ROUND(IF(A301="EMPLEADO",eval_formula('CONCEPTOS Y PARAMETROS'!$C$8,NOMINA!V301,AU301+BF301,NOMINA!I301+NOMINA!J301),eval_formula('CONCEPTOS Y PARAMETROS'!$D$8,NOMINA!V301,AU301+BF301,NOMINA!I301+NOMINA!J301)),2))*IF(H301&lt;&gt;"",IF(MONTH(H301)=$BR$8,IF(YEAR(H301)&lt;$BT$7,1,0),0)))</f>
        <v>0</v>
      </c>
      <c r="DR301" s="1801" t="str">
        <f t="shared" si="624"/>
        <v>F</v>
      </c>
      <c r="DS301" s="1801"/>
    </row>
    <row r="302" spans="1:123" s="476" customFormat="1" ht="21.95" customHeight="1" x14ac:dyDescent="0.25">
      <c r="A302" s="508" t="s">
        <v>2846</v>
      </c>
      <c r="B302" s="1314">
        <f t="shared" ca="1" si="782"/>
        <v>259</v>
      </c>
      <c r="C302" s="1148">
        <v>30438508</v>
      </c>
      <c r="D302" s="1149" t="s">
        <v>7359</v>
      </c>
      <c r="E302" s="1135" t="s">
        <v>4622</v>
      </c>
      <c r="F302" s="1150">
        <v>37311</v>
      </c>
      <c r="G302" s="1135" t="s">
        <v>4620</v>
      </c>
      <c r="H302" s="1150">
        <v>45200</v>
      </c>
      <c r="I302" s="1140">
        <f t="shared" si="839"/>
        <v>1</v>
      </c>
      <c r="J302" s="1132">
        <v>4</v>
      </c>
      <c r="K302" s="1140">
        <f t="shared" si="829"/>
        <v>5</v>
      </c>
      <c r="L302" s="1145" t="s">
        <v>5537</v>
      </c>
      <c r="M302" s="1132"/>
      <c r="N302" s="1132"/>
      <c r="O302" s="1002" t="s">
        <v>7261</v>
      </c>
      <c r="P302" s="1151" t="s">
        <v>5792</v>
      </c>
      <c r="Q302" s="1315" t="s">
        <v>321</v>
      </c>
      <c r="R302" s="1327" t="s">
        <v>7261</v>
      </c>
      <c r="S302" s="1146" t="s">
        <v>5477</v>
      </c>
      <c r="T302" s="1107">
        <f>IFERROR(VLOOKUP(S302,'TAB EMP'!A:B,2,0),0)</f>
        <v>150</v>
      </c>
      <c r="U302" s="1108">
        <v>0</v>
      </c>
      <c r="V302" s="1107">
        <f t="shared" si="680"/>
        <v>150</v>
      </c>
      <c r="W302" s="1108">
        <f t="shared" si="681"/>
        <v>75</v>
      </c>
      <c r="X302" s="1135" t="s">
        <v>2884</v>
      </c>
      <c r="Y302" s="1135"/>
      <c r="Z302" s="1135">
        <v>0</v>
      </c>
      <c r="AA302" s="1107">
        <f>ROUND(IF(H302&lt;&gt;"",VLOOKUP(SUM(I302+J302),'CONCEPTOS Y PARAMETROS'!F:G,2,0)*V302,0),2)</f>
        <v>7.5</v>
      </c>
      <c r="AB302" s="1107">
        <f>IF(S302&lt;&gt;"",IF(M302="",'CONCEPTOS Y PARAMETROS'!$C$4,0),0)</f>
        <v>130</v>
      </c>
      <c r="AC302" s="1107">
        <f>IF(S302&lt;&gt;"",IF(M302="",'CONCEPTOS Y PARAMETROS'!$C$7*Z302,0),0)</f>
        <v>0</v>
      </c>
      <c r="AD302" s="1107">
        <f>IFERROR(ROUND(VLOOKUP($X302,'CONCEPTOS Y PARAMETROS'!H:I,2,0)*($V302+AA302+AB302+AC302),2),0)</f>
        <v>0</v>
      </c>
      <c r="AE302" s="1107">
        <f t="shared" si="647"/>
        <v>137.5</v>
      </c>
      <c r="AF302" s="1107">
        <f t="shared" si="682"/>
        <v>3.75</v>
      </c>
      <c r="AG302" s="1107">
        <f t="shared" si="683"/>
        <v>3.75</v>
      </c>
      <c r="AH302" s="1107">
        <f t="shared" si="684"/>
        <v>65</v>
      </c>
      <c r="AI302" s="1107">
        <f t="shared" si="685"/>
        <v>65</v>
      </c>
      <c r="AJ302" s="1107">
        <f t="shared" si="686"/>
        <v>0</v>
      </c>
      <c r="AK302" s="1107">
        <f t="shared" si="687"/>
        <v>0</v>
      </c>
      <c r="AL302" s="1108">
        <f t="shared" si="688"/>
        <v>68.75</v>
      </c>
      <c r="AM302" s="1108">
        <f t="shared" si="689"/>
        <v>68.75</v>
      </c>
      <c r="AN302" s="990">
        <v>0</v>
      </c>
      <c r="AO302" s="1147">
        <f>'CONCEPTOS Y PARAMETROS'!$C$18*AN302</f>
        <v>0</v>
      </c>
      <c r="AP302" s="990">
        <v>0</v>
      </c>
      <c r="AQ302" s="1147">
        <f>'CONCEPTOS Y PARAMETROS'!$C$21*AP302</f>
        <v>0</v>
      </c>
      <c r="AR302" s="1318">
        <v>12.5</v>
      </c>
      <c r="AS302" s="1318">
        <v>0</v>
      </c>
      <c r="AT302" s="1318">
        <f t="shared" si="784"/>
        <v>12.5</v>
      </c>
      <c r="AU302" s="1108">
        <f t="shared" si="606"/>
        <v>287.5</v>
      </c>
      <c r="AV302" s="1133">
        <v>0</v>
      </c>
      <c r="AW302" s="1108">
        <f t="shared" si="716"/>
        <v>0</v>
      </c>
      <c r="AX302" s="1107">
        <f>IF(T302&lt;&gt;"0",(ROUND(IF(A302="EMPLEADO",eval_formula('CONCEPTOS Y PARAMETROS'!$C$8,NOMINA!V302,NOMINA!$AU302,NOMINA!I302+NOMINA!J302),eval_formula('CONCEPTOS Y PARAMETROS'!$D$8,NOMINA!V302,NOMINA!$AU302,NOMINA!I302+NOMINA!J302)),2))*IF(H302&lt;&gt;"",IF(MONTH(H302)=$BR$8,IF(YEAR(H302)&lt;$BT$7,1,0),0)))</f>
        <v>0</v>
      </c>
      <c r="AY302" s="1108">
        <v>180</v>
      </c>
      <c r="AZ302" s="1107">
        <f>IFERROR(VLOOKUP(AY302,'CONCEPTOS Y PARAMETROS'!Y:Z,2,0),0)</f>
        <v>150</v>
      </c>
      <c r="BA302" s="1107">
        <f t="shared" si="690"/>
        <v>2156.25</v>
      </c>
      <c r="BB302" s="1107">
        <f t="shared" si="835"/>
        <v>0</v>
      </c>
      <c r="BC302" s="990">
        <v>0</v>
      </c>
      <c r="BD302" s="1107" t="str">
        <f t="shared" si="884"/>
        <v>0</v>
      </c>
      <c r="BE302" s="990">
        <v>0</v>
      </c>
      <c r="BF302" s="1107">
        <f t="shared" si="802"/>
        <v>0</v>
      </c>
      <c r="BG302" s="1108">
        <v>320</v>
      </c>
      <c r="BH302" s="1108">
        <v>0</v>
      </c>
      <c r="BI302" s="1132">
        <v>0</v>
      </c>
      <c r="BJ302" s="1108">
        <v>12.5</v>
      </c>
      <c r="BK302" s="1108">
        <v>0</v>
      </c>
      <c r="BL302" s="1107">
        <f t="shared" si="704"/>
        <v>13.27</v>
      </c>
      <c r="BM302" s="1107">
        <f t="shared" si="705"/>
        <v>1.66</v>
      </c>
      <c r="BN302" s="1107">
        <f t="shared" si="626"/>
        <v>2.88</v>
      </c>
      <c r="BO302" s="1107">
        <v>0</v>
      </c>
      <c r="BP302" s="1107">
        <v>0</v>
      </c>
      <c r="BQ302" s="1320">
        <f t="shared" si="889"/>
        <v>17.809999999999999</v>
      </c>
      <c r="BR302" s="1107">
        <f t="shared" si="707"/>
        <v>29.86</v>
      </c>
      <c r="BS302" s="1107">
        <f t="shared" si="708"/>
        <v>6.63</v>
      </c>
      <c r="BT302" s="1107">
        <f t="shared" si="627"/>
        <v>5.76</v>
      </c>
      <c r="BU302" s="1107">
        <v>0</v>
      </c>
      <c r="BV302" s="1108">
        <f t="shared" si="890"/>
        <v>42.25</v>
      </c>
      <c r="BW302" s="1112">
        <f t="shared" si="891"/>
        <v>60.06</v>
      </c>
      <c r="BX302" s="1112">
        <f t="shared" si="827"/>
        <v>539.05999999999995</v>
      </c>
      <c r="BY302" s="1108">
        <v>0</v>
      </c>
      <c r="BZ302" s="1108">
        <f t="shared" si="828"/>
        <v>539.05999999999995</v>
      </c>
      <c r="CA302" s="1321">
        <f>'CONCEPTOS Y PARAMETROS'!$A$102</f>
        <v>6255</v>
      </c>
      <c r="CB302" s="1112">
        <f t="shared" si="885"/>
        <v>125.94</v>
      </c>
      <c r="CC302" s="1113">
        <f t="shared" si="886"/>
        <v>488.75</v>
      </c>
      <c r="CD302" s="512"/>
      <c r="CE302" s="1760"/>
      <c r="CF302" s="470">
        <f t="shared" si="836"/>
        <v>783.75</v>
      </c>
      <c r="CG302" s="509">
        <f t="shared" si="628"/>
        <v>125.94</v>
      </c>
      <c r="CH302" s="1603">
        <f t="shared" si="887"/>
        <v>25</v>
      </c>
      <c r="CI302" s="1491">
        <f t="shared" si="608"/>
        <v>320</v>
      </c>
      <c r="CJ302" s="1502">
        <v>1</v>
      </c>
      <c r="CK302" s="509">
        <f t="shared" si="837"/>
        <v>463.75</v>
      </c>
      <c r="CL302" s="1689">
        <f t="shared" si="838"/>
        <v>463.75</v>
      </c>
      <c r="CM302" s="1689">
        <f t="shared" si="834"/>
        <v>0</v>
      </c>
      <c r="CN302" s="510">
        <f t="shared" si="617"/>
        <v>0</v>
      </c>
      <c r="CO302" s="511">
        <v>0</v>
      </c>
      <c r="CP302" s="510">
        <f t="shared" si="618"/>
        <v>0</v>
      </c>
      <c r="CQ302" s="510">
        <f t="shared" si="619"/>
        <v>0</v>
      </c>
      <c r="CR302" s="510">
        <f t="shared" si="888"/>
        <v>927.5</v>
      </c>
      <c r="CS302" s="510">
        <f t="shared" si="621"/>
        <v>60.06</v>
      </c>
      <c r="CT302" s="510">
        <f t="shared" si="622"/>
        <v>6255</v>
      </c>
      <c r="CU302" s="512"/>
      <c r="CV302" s="512"/>
      <c r="CW302" s="512"/>
      <c r="CX302" s="512"/>
      <c r="CY302" s="1149" t="s">
        <v>7059</v>
      </c>
      <c r="CZ302" s="1149" t="s">
        <v>7136</v>
      </c>
      <c r="DA302" s="1152"/>
      <c r="DB302" s="1642" t="s">
        <v>6511</v>
      </c>
      <c r="DC302" s="1642"/>
      <c r="DD302" s="1642" t="s">
        <v>6123</v>
      </c>
      <c r="DE302" s="1642" t="s">
        <v>6529</v>
      </c>
      <c r="DF302" s="1642" t="s">
        <v>6530</v>
      </c>
      <c r="DG302" s="1642" t="s">
        <v>7420</v>
      </c>
      <c r="DH302" s="512"/>
      <c r="DI302" s="512"/>
      <c r="DJ302" s="512"/>
      <c r="DK302" s="512"/>
      <c r="DL302" s="512"/>
      <c r="DN302" s="476" t="str">
        <f>VLOOKUP(X302,Hoja1!$A$4:$B$10,2,0)</f>
        <v>BACHILLER</v>
      </c>
      <c r="DO302" s="476" t="str">
        <f>VLOOKUP(S302,Hoja1!$D$4:$F$77,3,0)</f>
        <v>BII - II</v>
      </c>
      <c r="DP302" s="1594" t="str">
        <f t="shared" si="623"/>
        <v>0</v>
      </c>
      <c r="DQ302" s="1484">
        <f>IF(T302&lt;&gt;"0",(ROUND(IF(A302="EMPLEADO",eval_formula('CONCEPTOS Y PARAMETROS'!$C$8,NOMINA!V302,AU302+BF302,NOMINA!I302+NOMINA!J302),eval_formula('CONCEPTOS Y PARAMETROS'!$D$8,NOMINA!V302,AU302+BF302,NOMINA!I302+NOMINA!J302)),2))*IF(H302&lt;&gt;"",IF(MONTH(H302)=$BR$8,IF(YEAR(H302)&lt;$BT$7,1,0),0)))</f>
        <v>0</v>
      </c>
      <c r="DR302" s="1799" t="str">
        <f t="shared" si="624"/>
        <v>F</v>
      </c>
      <c r="DS302" s="1799"/>
    </row>
    <row r="303" spans="1:123" s="1515" customFormat="1" ht="24.95" customHeight="1" thickBot="1" x14ac:dyDescent="0.3">
      <c r="A303" s="1517"/>
      <c r="B303" s="411">
        <f ca="1">COUNT(B44:B302)</f>
        <v>259</v>
      </c>
      <c r="C303" s="523" t="s">
        <v>4562</v>
      </c>
      <c r="D303" s="524"/>
      <c r="E303" s="524"/>
      <c r="F303" s="525"/>
      <c r="G303" s="524"/>
      <c r="H303" s="524"/>
      <c r="I303" s="412">
        <f>SUM(I44:I302)</f>
        <v>2083</v>
      </c>
      <c r="J303" s="412">
        <f>SUM(J44:J302)</f>
        <v>330</v>
      </c>
      <c r="K303" s="412">
        <f>SUM(K44:K302)</f>
        <v>2413</v>
      </c>
      <c r="L303" s="524"/>
      <c r="M303" s="524"/>
      <c r="N303" s="524"/>
      <c r="O303" s="1518"/>
      <c r="P303" s="524"/>
      <c r="Q303" s="525"/>
      <c r="R303" s="526"/>
      <c r="S303" s="526"/>
      <c r="T303" s="412">
        <f t="shared" ref="T303:AU303" si="892">SUM(T44:T302)</f>
        <v>51583</v>
      </c>
      <c r="U303" s="412">
        <f t="shared" si="892"/>
        <v>0</v>
      </c>
      <c r="V303" s="412">
        <f t="shared" si="892"/>
        <v>51583</v>
      </c>
      <c r="W303" s="412">
        <f t="shared" si="892"/>
        <v>25791.5</v>
      </c>
      <c r="X303" s="412">
        <f t="shared" si="892"/>
        <v>0</v>
      </c>
      <c r="Y303" s="412">
        <f t="shared" si="892"/>
        <v>0</v>
      </c>
      <c r="Z303" s="413">
        <f t="shared" si="892"/>
        <v>193</v>
      </c>
      <c r="AA303" s="412">
        <f t="shared" si="892"/>
        <v>5681.6200000000044</v>
      </c>
      <c r="AB303" s="412">
        <f t="shared" si="892"/>
        <v>31070</v>
      </c>
      <c r="AC303" s="412">
        <f t="shared" si="892"/>
        <v>2412.5</v>
      </c>
      <c r="AD303" s="412">
        <f t="shared" si="892"/>
        <v>15277.740000000003</v>
      </c>
      <c r="AE303" s="412">
        <f t="shared" si="892"/>
        <v>54441.860000000015</v>
      </c>
      <c r="AF303" s="412">
        <f t="shared" si="892"/>
        <v>2841.2700000000004</v>
      </c>
      <c r="AG303" s="412">
        <f t="shared" si="892"/>
        <v>2840.3500000000072</v>
      </c>
      <c r="AH303" s="412">
        <f t="shared" si="892"/>
        <v>15535</v>
      </c>
      <c r="AI303" s="412">
        <f t="shared" si="892"/>
        <v>15535</v>
      </c>
      <c r="AJ303" s="412">
        <f t="shared" si="892"/>
        <v>7639.2200000000048</v>
      </c>
      <c r="AK303" s="412">
        <f t="shared" si="892"/>
        <v>7638.52</v>
      </c>
      <c r="AL303" s="412">
        <f t="shared" si="892"/>
        <v>28427.99</v>
      </c>
      <c r="AM303" s="412">
        <f t="shared" si="892"/>
        <v>26013.870000000039</v>
      </c>
      <c r="AN303" s="414">
        <f t="shared" si="892"/>
        <v>91</v>
      </c>
      <c r="AO303" s="412">
        <f t="shared" si="892"/>
        <v>1137.5</v>
      </c>
      <c r="AP303" s="414">
        <f t="shared" si="892"/>
        <v>1</v>
      </c>
      <c r="AQ303" s="412">
        <f t="shared" si="892"/>
        <v>12.5</v>
      </c>
      <c r="AR303" s="412">
        <f t="shared" si="892"/>
        <v>50</v>
      </c>
      <c r="AS303" s="412">
        <f t="shared" si="892"/>
        <v>12.5</v>
      </c>
      <c r="AT303" s="412">
        <f t="shared" si="892"/>
        <v>1212.5</v>
      </c>
      <c r="AU303" s="412">
        <f t="shared" si="892"/>
        <v>115883.16999999995</v>
      </c>
      <c r="AV303" s="412"/>
      <c r="AW303" s="412">
        <f t="shared" ref="AW303:CC303" si="893">SUM(AW44:AW302)</f>
        <v>9858.3100000000013</v>
      </c>
      <c r="AX303" s="412">
        <f t="shared" si="893"/>
        <v>91495.12</v>
      </c>
      <c r="AY303" s="412">
        <f t="shared" si="893"/>
        <v>43500</v>
      </c>
      <c r="AZ303" s="412">
        <f t="shared" si="893"/>
        <v>36250</v>
      </c>
      <c r="BA303" s="412">
        <f t="shared" si="893"/>
        <v>805808.46000000031</v>
      </c>
      <c r="BB303" s="412">
        <f t="shared" si="893"/>
        <v>0</v>
      </c>
      <c r="BC303" s="412">
        <f t="shared" si="893"/>
        <v>0</v>
      </c>
      <c r="BD303" s="412">
        <f t="shared" si="893"/>
        <v>0</v>
      </c>
      <c r="BE303" s="412">
        <f t="shared" si="893"/>
        <v>225</v>
      </c>
      <c r="BF303" s="412">
        <f t="shared" si="893"/>
        <v>5466.2</v>
      </c>
      <c r="BG303" s="412">
        <f t="shared" si="893"/>
        <v>76480</v>
      </c>
      <c r="BH303" s="412">
        <f t="shared" si="893"/>
        <v>0</v>
      </c>
      <c r="BI303" s="1672">
        <f t="shared" si="893"/>
        <v>0</v>
      </c>
      <c r="BJ303" s="412">
        <f t="shared" si="893"/>
        <v>2987.5</v>
      </c>
      <c r="BK303" s="412">
        <f t="shared" si="893"/>
        <v>0</v>
      </c>
      <c r="BL303" s="412">
        <f t="shared" si="893"/>
        <v>5302.9300000000021</v>
      </c>
      <c r="BM303" s="412">
        <f t="shared" si="893"/>
        <v>662.94000000000028</v>
      </c>
      <c r="BN303" s="412">
        <f t="shared" si="893"/>
        <v>1158.8700000000013</v>
      </c>
      <c r="BO303" s="412">
        <f t="shared" si="893"/>
        <v>0</v>
      </c>
      <c r="BP303" s="412">
        <f t="shared" si="893"/>
        <v>0</v>
      </c>
      <c r="BQ303" s="412">
        <f t="shared" si="893"/>
        <v>7124.7399999999943</v>
      </c>
      <c r="BR303" s="412">
        <f t="shared" si="893"/>
        <v>11931.490000000003</v>
      </c>
      <c r="BS303" s="412">
        <f t="shared" si="893"/>
        <v>2651.4500000000016</v>
      </c>
      <c r="BT303" s="412">
        <f t="shared" si="893"/>
        <v>2317.7400000000025</v>
      </c>
      <c r="BU303" s="412">
        <f t="shared" si="893"/>
        <v>0</v>
      </c>
      <c r="BV303" s="412">
        <f t="shared" si="893"/>
        <v>16900.680000000011</v>
      </c>
      <c r="BW303" s="412">
        <f t="shared" si="893"/>
        <v>24025.420000000013</v>
      </c>
      <c r="BX303" s="412">
        <f t="shared" si="893"/>
        <v>202201.33</v>
      </c>
      <c r="BY303" s="412">
        <f t="shared" si="893"/>
        <v>0</v>
      </c>
      <c r="BZ303" s="412">
        <f t="shared" si="893"/>
        <v>202201.33</v>
      </c>
      <c r="CA303" s="412">
        <f t="shared" si="893"/>
        <v>1457415</v>
      </c>
      <c r="CB303" s="412">
        <f t="shared" si="893"/>
        <v>47094.749999999993</v>
      </c>
      <c r="CC303" s="412">
        <f t="shared" si="893"/>
        <v>239304.99999999994</v>
      </c>
      <c r="CD303" s="468"/>
      <c r="CE303" s="468"/>
      <c r="CF303" s="468"/>
      <c r="CG303" s="1519">
        <f t="shared" ref="CG303:CT303" si="894">SUM(CG44:CG302)</f>
        <v>47094.749999999993</v>
      </c>
      <c r="CH303" s="1519">
        <f t="shared" si="894"/>
        <v>4200</v>
      </c>
      <c r="CI303" s="1511">
        <f t="shared" si="894"/>
        <v>76480</v>
      </c>
      <c r="CJ303" s="1520">
        <f t="shared" si="894"/>
        <v>264</v>
      </c>
      <c r="CK303" s="1519">
        <f t="shared" si="894"/>
        <v>128285.36999999992</v>
      </c>
      <c r="CL303" s="1519">
        <f t="shared" si="894"/>
        <v>117460.49999999994</v>
      </c>
      <c r="CM303" s="1519">
        <f t="shared" si="894"/>
        <v>10824.87</v>
      </c>
      <c r="CN303" s="1519">
        <f t="shared" si="894"/>
        <v>5466.2</v>
      </c>
      <c r="CO303" s="1519">
        <f t="shared" si="894"/>
        <v>0</v>
      </c>
      <c r="CP303" s="1519">
        <f t="shared" si="894"/>
        <v>9858.3100000000013</v>
      </c>
      <c r="CQ303" s="1519">
        <f t="shared" si="894"/>
        <v>91495.12</v>
      </c>
      <c r="CR303" s="1519">
        <f t="shared" si="894"/>
        <v>363390.36999999994</v>
      </c>
      <c r="CS303" s="1519">
        <f t="shared" si="894"/>
        <v>24025.420000000013</v>
      </c>
      <c r="CT303" s="1519">
        <f t="shared" si="894"/>
        <v>1457415</v>
      </c>
      <c r="CU303" s="470"/>
      <c r="CV303" s="470"/>
      <c r="CW303" s="470"/>
      <c r="CX303" s="470"/>
      <c r="CY303" s="1615"/>
      <c r="CZ303" s="1615"/>
      <c r="DA303" s="480"/>
      <c r="DB303" s="1152"/>
      <c r="DC303" s="1152"/>
      <c r="DD303" s="1152"/>
      <c r="DE303" s="1152"/>
      <c r="DF303" s="1152"/>
      <c r="DG303" s="1152"/>
      <c r="DH303" s="1514"/>
      <c r="DI303" s="1521"/>
      <c r="DJ303" s="1513"/>
      <c r="DK303" s="1513"/>
      <c r="DL303" s="1513"/>
      <c r="DN303" s="468"/>
      <c r="DO303" s="468"/>
      <c r="DP303" s="1516"/>
      <c r="DQ303" s="1516"/>
    </row>
    <row r="304" spans="1:123" s="471" customFormat="1" ht="24.95" customHeight="1" thickBot="1" x14ac:dyDescent="0.3">
      <c r="A304" s="365" t="s">
        <v>4563</v>
      </c>
      <c r="B304" s="527"/>
      <c r="C304" s="528"/>
      <c r="D304" s="220"/>
      <c r="E304" s="184"/>
      <c r="F304" s="423"/>
      <c r="G304" s="185"/>
      <c r="H304" s="185"/>
      <c r="I304" s="186"/>
      <c r="J304" s="186"/>
      <c r="K304" s="186"/>
      <c r="L304" s="189"/>
      <c r="M304" s="186"/>
      <c r="N304" s="186"/>
      <c r="O304" s="187"/>
      <c r="P304" s="186"/>
      <c r="Q304" s="186"/>
      <c r="R304" s="273"/>
      <c r="S304" s="273"/>
      <c r="T304" s="186"/>
      <c r="U304" s="186"/>
      <c r="V304" s="186"/>
      <c r="W304" s="186"/>
      <c r="X304" s="186"/>
      <c r="Y304" s="186"/>
      <c r="Z304" s="372"/>
      <c r="AA304" s="189"/>
      <c r="AB304" s="189"/>
      <c r="AC304" s="189"/>
      <c r="AD304" s="189"/>
      <c r="AE304" s="189"/>
      <c r="AF304" s="189"/>
      <c r="AG304" s="189"/>
      <c r="AH304" s="189"/>
      <c r="AI304" s="189"/>
      <c r="AJ304" s="189"/>
      <c r="AK304" s="189"/>
      <c r="AL304" s="189"/>
      <c r="AM304" s="189"/>
      <c r="AN304" s="189"/>
      <c r="AO304" s="190"/>
      <c r="AP304" s="190"/>
      <c r="AQ304" s="190"/>
      <c r="AR304" s="190"/>
      <c r="AS304" s="190"/>
      <c r="AT304" s="190"/>
      <c r="AU304" s="186"/>
      <c r="AV304" s="339"/>
      <c r="AW304" s="189"/>
      <c r="AX304" s="189"/>
      <c r="AY304" s="189"/>
      <c r="AZ304" s="589"/>
      <c r="BA304" s="589"/>
      <c r="BB304" s="186"/>
      <c r="BC304" s="186"/>
      <c r="BD304" s="186"/>
      <c r="BE304" s="472"/>
      <c r="BF304" s="189"/>
      <c r="BG304" s="189"/>
      <c r="BH304" s="189"/>
      <c r="BI304" s="189"/>
      <c r="BJ304" s="189"/>
      <c r="BK304" s="189"/>
      <c r="BL304" s="186"/>
      <c r="BM304" s="186"/>
      <c r="BN304" s="186"/>
      <c r="BO304" s="186"/>
      <c r="BP304" s="186"/>
      <c r="BQ304" s="186"/>
      <c r="BR304" s="189"/>
      <c r="BS304" s="189"/>
      <c r="BT304" s="189"/>
      <c r="BU304" s="189"/>
      <c r="BV304" s="189"/>
      <c r="BW304" s="189"/>
      <c r="BX304" s="189"/>
      <c r="BY304" s="189"/>
      <c r="BZ304" s="189"/>
      <c r="CA304" s="189"/>
      <c r="CB304" s="191"/>
      <c r="CC304" s="191"/>
      <c r="CD304" s="191"/>
      <c r="CE304" s="191"/>
      <c r="CF304" s="191"/>
      <c r="CG304" s="495"/>
      <c r="CH304" s="191"/>
      <c r="CI304" s="495"/>
      <c r="CJ304" s="1500"/>
      <c r="CK304" s="495"/>
      <c r="CL304" s="1652"/>
      <c r="CM304" s="1652"/>
      <c r="CN304" s="191"/>
      <c r="CO304" s="191"/>
      <c r="CP304" s="191"/>
      <c r="CQ304" s="191"/>
      <c r="CR304" s="191"/>
      <c r="CS304" s="191"/>
      <c r="CT304" s="191"/>
      <c r="CU304" s="470"/>
      <c r="CV304" s="470"/>
      <c r="CW304" s="470"/>
      <c r="CX304" s="470"/>
      <c r="CY304" s="191"/>
      <c r="CZ304" s="191"/>
      <c r="DA304" s="191"/>
      <c r="DB304" s="1152"/>
      <c r="DC304" s="1152"/>
      <c r="DD304" s="1152"/>
      <c r="DE304" s="1152"/>
      <c r="DF304" s="1152"/>
      <c r="DG304" s="1152"/>
      <c r="DH304" s="682"/>
      <c r="DI304" s="512"/>
      <c r="DJ304" s="191"/>
      <c r="DK304" s="191"/>
      <c r="DL304" s="191"/>
      <c r="DM304" s="192"/>
      <c r="DN304" s="518"/>
      <c r="DO304" s="191"/>
      <c r="DP304" s="1156"/>
      <c r="DQ304" s="1691"/>
      <c r="DS304" s="192"/>
    </row>
    <row r="305" spans="1:123" s="471" customFormat="1" ht="21.95" customHeight="1" x14ac:dyDescent="0.25">
      <c r="A305" s="1396" t="s">
        <v>2834</v>
      </c>
      <c r="B305" s="194">
        <v>1</v>
      </c>
      <c r="C305" s="344">
        <v>5505183</v>
      </c>
      <c r="D305" s="529" t="s">
        <v>4959</v>
      </c>
      <c r="E305" s="366" t="s">
        <v>4622</v>
      </c>
      <c r="F305" s="421">
        <v>21214</v>
      </c>
      <c r="G305" s="366" t="s">
        <v>4621</v>
      </c>
      <c r="H305" s="421">
        <v>44562</v>
      </c>
      <c r="I305" s="1397">
        <f t="shared" ref="I305:I336" si="895">IF(AND(YEAR(H305)&lt;YEAR($H$10),MONTH(H305)&gt;$BR$8),YEAR($H$10)-YEAR(H305)-1,IF(OR(H305="",YEAR(H305)&gt;YEAR($H$10)),0,YEAR($H$10)-YEAR(H305)))</f>
        <v>3</v>
      </c>
      <c r="J305" s="379">
        <v>9</v>
      </c>
      <c r="K305" s="1397">
        <f t="shared" ref="K305:K336" si="896">I305+J305</f>
        <v>12</v>
      </c>
      <c r="L305" s="1131" t="s">
        <v>5549</v>
      </c>
      <c r="M305" s="379"/>
      <c r="N305" s="379"/>
      <c r="O305" s="380" t="s">
        <v>5084</v>
      </c>
      <c r="P305" s="379" t="s">
        <v>5102</v>
      </c>
      <c r="Q305" s="1398">
        <v>7152</v>
      </c>
      <c r="R305" s="1422" t="s">
        <v>5084</v>
      </c>
      <c r="S305" s="417">
        <v>3</v>
      </c>
      <c r="T305" s="831">
        <f>IFERROR(VLOOKUP(S305,'TAB OBR'!A:B,2,0),0)</f>
        <v>152</v>
      </c>
      <c r="U305" s="343">
        <v>0</v>
      </c>
      <c r="V305" s="831">
        <f t="shared" ref="V305:V336" si="897">T305-U305</f>
        <v>152</v>
      </c>
      <c r="W305" s="343">
        <f t="shared" ref="W305:W368" si="898">ROUND(V305/2,2)</f>
        <v>76</v>
      </c>
      <c r="X305" s="366" t="s">
        <v>2884</v>
      </c>
      <c r="Y305" s="366" t="s">
        <v>2884</v>
      </c>
      <c r="Z305" s="366">
        <v>0</v>
      </c>
      <c r="AA305" s="831">
        <f>ROUND(IF(H305&lt;&gt;"",VLOOKUP(SUM(I305+J305),'CONCEPTOS Y PARAMETROS'!F:G,2,0)*V305,0),2)</f>
        <v>20.98</v>
      </c>
      <c r="AB305" s="831">
        <f>IF(S305&lt;&gt;"",IF(M305="",'CONCEPTOS Y PARAMETROS'!$C$4,0),0)</f>
        <v>130</v>
      </c>
      <c r="AC305" s="831">
        <f>IF(S305&lt;&gt;"",IF(M305="",'CONCEPTOS Y PARAMETROS'!$C$7*Z305,0),0)</f>
        <v>0</v>
      </c>
      <c r="AD305" s="831">
        <f>IFERROR(ROUND(VLOOKUP($X305,'CONCEPTOS Y PARAMETROS'!H:I,2,0)*($V305+AA305+AB305+AC305),2),0)</f>
        <v>0</v>
      </c>
      <c r="AE305" s="831">
        <f t="shared" ref="AE305:AE336" si="899">SUM(AA305:AD305)</f>
        <v>150.97999999999999</v>
      </c>
      <c r="AF305" s="831">
        <f t="shared" ref="AF305:AF368" si="900">ROUND(AA305/2,2)</f>
        <v>10.49</v>
      </c>
      <c r="AG305" s="831">
        <f t="shared" ref="AG305:AG368" si="901">ROUND(AA305-AF305,2)</f>
        <v>10.49</v>
      </c>
      <c r="AH305" s="831">
        <f t="shared" ref="AH305:AH368" si="902">ROUND(AB305/2,2)</f>
        <v>65</v>
      </c>
      <c r="AI305" s="831">
        <f t="shared" ref="AI305:AI368" si="903">ROUND(AB305-AH305,2)</f>
        <v>65</v>
      </c>
      <c r="AJ305" s="831">
        <f t="shared" ref="AJ305:AJ368" si="904">ROUND(AD305/2,2)</f>
        <v>0</v>
      </c>
      <c r="AK305" s="831">
        <f t="shared" ref="AK305:AK368" si="905">ROUND(AD305-AJ305,2)</f>
        <v>0</v>
      </c>
      <c r="AL305" s="343">
        <f t="shared" ref="AL305:AL368" si="906">ROUND(AF305+AH305+AJ305+AC305,2)</f>
        <v>75.489999999999995</v>
      </c>
      <c r="AM305" s="343">
        <f t="shared" ref="AM305:AM368" si="907">ROUND(AG305+AI305+AK305,2)</f>
        <v>75.489999999999995</v>
      </c>
      <c r="AN305" s="344">
        <v>0</v>
      </c>
      <c r="AO305" s="1401">
        <f>'CONCEPTOS Y PARAMETROS'!$C$18*AN305</f>
        <v>0</v>
      </c>
      <c r="AP305" s="344">
        <v>0</v>
      </c>
      <c r="AQ305" s="1401">
        <f>'CONCEPTOS Y PARAMETROS'!$C$21*AP305</f>
        <v>0</v>
      </c>
      <c r="AR305" s="1402">
        <v>0</v>
      </c>
      <c r="AS305" s="1402">
        <v>0</v>
      </c>
      <c r="AT305" s="1402">
        <f t="shared" ref="AT305:AT335" si="908">+AO305+AQ305+AR305+AS305</f>
        <v>0</v>
      </c>
      <c r="AU305" s="343">
        <f t="shared" ref="AU305:AU336" si="909">V305+AE305+AW305</f>
        <v>302.98</v>
      </c>
      <c r="AV305" s="1403">
        <v>0</v>
      </c>
      <c r="AW305" s="343">
        <f t="shared" ref="AW305:AW336" si="910">ROUND(IF(AV305="NOCTURN",(V305+AE305)*30%,0),2)</f>
        <v>0</v>
      </c>
      <c r="AX305" s="831">
        <f>IF(T305&lt;&gt;"0",(ROUND(IF(A305="EMPLEADO",eval_formula('CONCEPTOS Y PARAMETROS'!$C$8,NOMINA!V305,NOMINA!$AU305,NOMINA!I305+NOMINA!J305),eval_formula('CONCEPTOS Y PARAMETROS'!$D$8,NOMINA!V305,NOMINA!$AU305,NOMINA!I305+NOMINA!J305)),2))*IF(H305&lt;&gt;"",IF(MONTH(H305)=$BR$8,IF(YEAR(H305)&lt;$BT$7,1,0),0)))</f>
        <v>0</v>
      </c>
      <c r="AY305" s="343">
        <v>180</v>
      </c>
      <c r="AZ305" s="831">
        <f>IFERROR(VLOOKUP(AY305,'CONCEPTOS Y PARAMETROS'!Y:Z,2,0),0)</f>
        <v>150</v>
      </c>
      <c r="BA305" s="831">
        <f t="shared" ref="BA305:BA368" si="911">ROUND((((AU305))/30*AY305/12+(AU305))/30*AZ305,2)</f>
        <v>2272.35</v>
      </c>
      <c r="BB305" s="831">
        <f t="shared" ref="BB305:BB368" si="912">ROUND(AU305/30*$BB$10,2)</f>
        <v>0</v>
      </c>
      <c r="BC305" s="344">
        <v>0</v>
      </c>
      <c r="BD305" s="831" t="str">
        <f t="shared" ref="BD305:BD336" si="913">IF(BC305&gt;0,((((((V305+AA305+AB305+AC305+AD305)/30)/8)*50%)+((((V305+AA305+AB305+AC305+AD305)/30)/8)))*30%+(((((V305+AA305+AB305+AC305+AD305)/30)/8)*50%)+((((V305+AA305+AB305+AC305+AD305)/30)/8))))*BC305,"0")</f>
        <v>0</v>
      </c>
      <c r="BE305" s="344">
        <v>0</v>
      </c>
      <c r="BF305" s="831">
        <f t="shared" ref="BF305:BF336" si="914">ROUND(IF(BE305&gt;0,(((V305+AA305+AB305+AC305+AD305+AW305)/30)*50%+((V305+AA305+AB305+AC305+AD305+AW305)/30))*BE305,"0"),2)</f>
        <v>0</v>
      </c>
      <c r="BG305" s="343">
        <v>310</v>
      </c>
      <c r="BH305" s="343">
        <v>0</v>
      </c>
      <c r="BI305" s="379">
        <v>0</v>
      </c>
      <c r="BJ305" s="343">
        <f t="shared" ref="BJ305:BJ367" si="915">+IF(BI305&lt;&gt;0,(BI305*12.5),0)</f>
        <v>0</v>
      </c>
      <c r="BK305" s="343">
        <v>0</v>
      </c>
      <c r="BL305" s="831">
        <f>ROUND(IF(M305="", (((AU305*12)/52)*4%)*$BS$8,0),2)</f>
        <v>13.98</v>
      </c>
      <c r="BM305" s="831">
        <f>ROUND(IF(M305="",(((AU305*12)/52)*0.5%)*$BS$8,0),2)</f>
        <v>1.75</v>
      </c>
      <c r="BN305" s="831">
        <f t="shared" ref="BN305:BN336" si="916">ROUND(IF(M305="",(AU305*1%),0),2)</f>
        <v>3.03</v>
      </c>
      <c r="BO305" s="831">
        <v>0</v>
      </c>
      <c r="BP305" s="831">
        <v>0</v>
      </c>
      <c r="BQ305" s="1405">
        <f t="shared" ref="BQ305:BQ368" si="917">ROUND(SUM(BL305:BP305),2)</f>
        <v>18.760000000000002</v>
      </c>
      <c r="BR305" s="831">
        <f>ROUND(IF(M305="", (((AU305*12)/52)*9%)*$BS$8,0),2)</f>
        <v>31.46</v>
      </c>
      <c r="BS305" s="831">
        <f>ROUND(IF(M305="",(((AU305*12)/52)*2%)*$BS$8,0),2)</f>
        <v>6.99</v>
      </c>
      <c r="BT305" s="831">
        <f t="shared" ref="BT305:BT336" si="918">ROUND(IF(M305="",(BN305*2),0),2)</f>
        <v>6.06</v>
      </c>
      <c r="BU305" s="831">
        <v>0</v>
      </c>
      <c r="BV305" s="343">
        <f t="shared" ref="BV305:BV335" si="919">ROUND(SUM(BR305:BT305),2)</f>
        <v>44.51</v>
      </c>
      <c r="BW305" s="664">
        <f t="shared" ref="BW305:BW335" si="920">BQ305+BV305</f>
        <v>63.269999999999996</v>
      </c>
      <c r="BX305" s="664">
        <f t="shared" ref="BX305:BX323" si="921">ROUND(BA305/4,2)</f>
        <v>568.09</v>
      </c>
      <c r="BY305" s="343">
        <v>0</v>
      </c>
      <c r="BZ305" s="343">
        <f t="shared" ref="BZ305:BZ367" si="922">+BX305+BY305</f>
        <v>568.09</v>
      </c>
      <c r="CA305" s="1406">
        <f>'CONCEPTOS Y PARAMETROS'!$A$102</f>
        <v>6255</v>
      </c>
      <c r="CB305" s="664">
        <f t="shared" ref="CB305:CB368" si="923">W305+AL305-BQ305</f>
        <v>132.73000000000002</v>
      </c>
      <c r="CC305" s="665">
        <f t="shared" ref="CC305:CC368" si="924">ROUND((W305+AM305+AW305+AX305+BB305+BD305+BF305+BK305+BG305+BH305+BJ305+AT305),2)</f>
        <v>461.49</v>
      </c>
      <c r="CD305" s="512"/>
      <c r="CE305" s="512"/>
      <c r="CF305" s="470">
        <f t="shared" ref="CF305:CF336" si="925">+CI305+CK305</f>
        <v>771.49</v>
      </c>
      <c r="CG305" s="495">
        <f t="shared" ref="CG305:CG336" si="926">W305+AL305-BQ305</f>
        <v>132.73000000000002</v>
      </c>
      <c r="CH305" s="498">
        <f t="shared" ref="CH305:CH368" si="927">AT305+BJ305</f>
        <v>0</v>
      </c>
      <c r="CI305" s="1490">
        <f t="shared" ref="CI305:CI336" si="928">BG305</f>
        <v>310</v>
      </c>
      <c r="CJ305" s="1500">
        <v>1</v>
      </c>
      <c r="CK305" s="495">
        <f t="shared" ref="CK305:CK336" si="929">W305+AM305+BG305</f>
        <v>461.49</v>
      </c>
      <c r="CL305" s="1689">
        <f t="shared" ref="CL305:CL368" si="930">ROUND(IF(CK305&gt;600,CK305*48%,CK305),2)</f>
        <v>461.49</v>
      </c>
      <c r="CM305" s="1689">
        <f t="shared" ref="CM305" si="931">+CK305-CL305</f>
        <v>0</v>
      </c>
      <c r="CN305" s="496">
        <f t="shared" ref="CN305:CN336" si="932">BF305+BB305</f>
        <v>0</v>
      </c>
      <c r="CO305" s="497">
        <v>0</v>
      </c>
      <c r="CP305" s="496">
        <f t="shared" ref="CP305:CP336" si="933">AW305</f>
        <v>0</v>
      </c>
      <c r="CQ305" s="496">
        <f t="shared" ref="CQ305:CQ336" si="934">AX305</f>
        <v>0</v>
      </c>
      <c r="CR305" s="496">
        <f t="shared" ref="CR305:CR336" si="935">SUM(CK305:CQ305)</f>
        <v>922.98</v>
      </c>
      <c r="CS305" s="496">
        <f t="shared" ref="CS305:CS336" si="936">BQ305+BV305</f>
        <v>63.269999999999996</v>
      </c>
      <c r="CT305" s="496">
        <f t="shared" ref="CT305:CT336" si="937">CA305</f>
        <v>6255</v>
      </c>
      <c r="CU305" s="470"/>
      <c r="CV305" s="470"/>
      <c r="CW305" s="470"/>
      <c r="CX305" s="470"/>
      <c r="CY305" s="529" t="s">
        <v>7069</v>
      </c>
      <c r="CZ305" s="529" t="s">
        <v>6945</v>
      </c>
      <c r="DA305" s="480"/>
      <c r="DB305" s="1642" t="s">
        <v>6423</v>
      </c>
      <c r="DC305" s="1642"/>
      <c r="DD305" s="1642" t="s">
        <v>6135</v>
      </c>
      <c r="DE305" s="1642" t="s">
        <v>6162</v>
      </c>
      <c r="DF305" s="1642" t="s">
        <v>6548</v>
      </c>
      <c r="DG305" s="1152"/>
      <c r="DH305" s="512"/>
      <c r="DI305" s="512"/>
      <c r="DJ305" s="470"/>
      <c r="DK305" s="470"/>
      <c r="DL305" s="470"/>
      <c r="DN305" s="471" t="str">
        <f>VLOOKUP(X305,Hoja1!$A$4:$B$10,2,0)</f>
        <v>BACHILLER</v>
      </c>
      <c r="DO305" s="471" t="str">
        <f>VLOOKUP(S305,Hoja1!$D$4:$F$77,3,0)</f>
        <v>GRADO (3) - MÁX</v>
      </c>
      <c r="DP305" s="1156" t="str">
        <f t="shared" ref="DP305:DP336" si="938">IF(AV305="NOCTURN","SI","0")</f>
        <v>0</v>
      </c>
      <c r="DQ305" s="1484">
        <f>IF(T305&lt;&gt;"0",(ROUND(IF(A305="EMPLEADO",eval_formula('CONCEPTOS Y PARAMETROS'!$C$8,NOMINA!V305,AU305+BF305,NOMINA!I305+NOMINA!J305),eval_formula('CONCEPTOS Y PARAMETROS'!$D$8,NOMINA!V305,AU305+BF305,NOMINA!I305+NOMINA!J305)),2))*IF(H305&lt;&gt;"",IF(MONTH(H305)=$BR$8,IF(YEAR(H305)&lt;$BT$7,1,0),0)))</f>
        <v>0</v>
      </c>
      <c r="DR305" s="1801" t="str">
        <f t="shared" ref="DR305:DR336" si="939">+G305</f>
        <v>M</v>
      </c>
      <c r="DS305" s="1801"/>
    </row>
    <row r="306" spans="1:123" s="471" customFormat="1" ht="21.95" customHeight="1" x14ac:dyDescent="0.25">
      <c r="A306" s="508" t="s">
        <v>2834</v>
      </c>
      <c r="B306" s="1314">
        <f ca="1">OFFSET(B306,-1,0)+1</f>
        <v>2</v>
      </c>
      <c r="C306" s="990">
        <v>5757455</v>
      </c>
      <c r="D306" s="1275" t="s">
        <v>4960</v>
      </c>
      <c r="E306" s="1135" t="s">
        <v>4622</v>
      </c>
      <c r="F306" s="1118">
        <v>21728</v>
      </c>
      <c r="G306" s="1135" t="s">
        <v>4620</v>
      </c>
      <c r="H306" s="1118">
        <v>39409</v>
      </c>
      <c r="I306" s="1140">
        <f t="shared" si="895"/>
        <v>17</v>
      </c>
      <c r="J306" s="1132">
        <v>0</v>
      </c>
      <c r="K306" s="1140">
        <f t="shared" si="896"/>
        <v>17</v>
      </c>
      <c r="L306" s="1145" t="s">
        <v>5550</v>
      </c>
      <c r="M306" s="1132"/>
      <c r="N306" s="1132"/>
      <c r="O306" s="1002" t="s">
        <v>5085</v>
      </c>
      <c r="P306" s="1132" t="s">
        <v>5103</v>
      </c>
      <c r="Q306" s="1315">
        <v>2202</v>
      </c>
      <c r="R306" s="1394" t="s">
        <v>5085</v>
      </c>
      <c r="S306" s="1393">
        <v>5</v>
      </c>
      <c r="T306" s="1107">
        <f>IFERROR(VLOOKUP(S306,'TAB OBR'!A:B,2,0),0)</f>
        <v>171</v>
      </c>
      <c r="U306" s="1108">
        <v>0</v>
      </c>
      <c r="V306" s="1107">
        <f t="shared" si="897"/>
        <v>171</v>
      </c>
      <c r="W306" s="1108">
        <f t="shared" si="898"/>
        <v>85.5</v>
      </c>
      <c r="X306" s="1135" t="s">
        <v>2884</v>
      </c>
      <c r="Y306" s="1135" t="s">
        <v>2884</v>
      </c>
      <c r="Z306" s="1135">
        <v>0</v>
      </c>
      <c r="AA306" s="1107">
        <f>ROUND(IF(H306&lt;&gt;"",VLOOKUP(SUM(I306+J306),'CONCEPTOS Y PARAMETROS'!F:G,2,0)*V306,0),2)</f>
        <v>36.25</v>
      </c>
      <c r="AB306" s="1107">
        <f>IF(S306&lt;&gt;"",IF(M306="",'CONCEPTOS Y PARAMETROS'!$C$4,0),0)</f>
        <v>130</v>
      </c>
      <c r="AC306" s="1107">
        <f>IF(S306&lt;&gt;"",IF(M306="",'CONCEPTOS Y PARAMETROS'!$C$7*Z306,0),0)</f>
        <v>0</v>
      </c>
      <c r="AD306" s="1107">
        <f>IFERROR(ROUND(VLOOKUP($X306,'CONCEPTOS Y PARAMETROS'!H:I,2,0)*($V306+AA306+AB306+AC306),2),0)</f>
        <v>0</v>
      </c>
      <c r="AE306" s="1107">
        <f t="shared" si="899"/>
        <v>166.25</v>
      </c>
      <c r="AF306" s="1107">
        <f t="shared" si="900"/>
        <v>18.13</v>
      </c>
      <c r="AG306" s="1107">
        <f t="shared" si="901"/>
        <v>18.12</v>
      </c>
      <c r="AH306" s="1107">
        <f t="shared" si="902"/>
        <v>65</v>
      </c>
      <c r="AI306" s="1107">
        <f t="shared" si="903"/>
        <v>65</v>
      </c>
      <c r="AJ306" s="1107">
        <f t="shared" si="904"/>
        <v>0</v>
      </c>
      <c r="AK306" s="1107">
        <f t="shared" si="905"/>
        <v>0</v>
      </c>
      <c r="AL306" s="1108">
        <f t="shared" si="906"/>
        <v>83.13</v>
      </c>
      <c r="AM306" s="1108">
        <f t="shared" si="907"/>
        <v>83.12</v>
      </c>
      <c r="AN306" s="990">
        <v>0</v>
      </c>
      <c r="AO306" s="1147">
        <f>'CONCEPTOS Y PARAMETROS'!$C$18*AN306</f>
        <v>0</v>
      </c>
      <c r="AP306" s="990">
        <v>0</v>
      </c>
      <c r="AQ306" s="1147">
        <f>'CONCEPTOS Y PARAMETROS'!$C$21*AP306</f>
        <v>0</v>
      </c>
      <c r="AR306" s="1318">
        <v>0</v>
      </c>
      <c r="AS306" s="1318">
        <v>0</v>
      </c>
      <c r="AT306" s="1318">
        <f t="shared" si="908"/>
        <v>0</v>
      </c>
      <c r="AU306" s="1108">
        <f t="shared" si="909"/>
        <v>337.25</v>
      </c>
      <c r="AV306" s="1133">
        <v>0</v>
      </c>
      <c r="AW306" s="1108">
        <f t="shared" si="910"/>
        <v>0</v>
      </c>
      <c r="AX306" s="1107">
        <f>IF(T306&lt;&gt;"0",(ROUND(IF(A306="EMPLEADO",eval_formula('CONCEPTOS Y PARAMETROS'!$C$8,NOMINA!V306,NOMINA!$AU306,NOMINA!I306+NOMINA!J306),eval_formula('CONCEPTOS Y PARAMETROS'!$D$8,NOMINA!V306,NOMINA!$AU306,NOMINA!I306+NOMINA!J306)),2))*IF(H306&lt;&gt;"",IF(MONTH(H306)=$BR$8,IF(YEAR(H306)&lt;$BT$7,1,0),0)))</f>
        <v>0</v>
      </c>
      <c r="AY306" s="1108">
        <v>180</v>
      </c>
      <c r="AZ306" s="1107">
        <f>IFERROR(VLOOKUP(AY306,'CONCEPTOS Y PARAMETROS'!Y:Z,2,0),0)</f>
        <v>150</v>
      </c>
      <c r="BA306" s="1107">
        <f t="shared" si="911"/>
        <v>2529.38</v>
      </c>
      <c r="BB306" s="1107">
        <f t="shared" si="912"/>
        <v>0</v>
      </c>
      <c r="BC306" s="990">
        <v>0</v>
      </c>
      <c r="BD306" s="1107" t="str">
        <f t="shared" si="913"/>
        <v>0</v>
      </c>
      <c r="BE306" s="990">
        <v>0</v>
      </c>
      <c r="BF306" s="1107">
        <f t="shared" si="914"/>
        <v>0</v>
      </c>
      <c r="BG306" s="1108">
        <v>310</v>
      </c>
      <c r="BH306" s="1108">
        <v>0</v>
      </c>
      <c r="BI306" s="1132">
        <v>0</v>
      </c>
      <c r="BJ306" s="1108">
        <f t="shared" si="915"/>
        <v>0</v>
      </c>
      <c r="BK306" s="1108">
        <v>0</v>
      </c>
      <c r="BL306" s="1107">
        <v>0</v>
      </c>
      <c r="BM306" s="1107">
        <v>0</v>
      </c>
      <c r="BN306" s="1107">
        <f t="shared" si="916"/>
        <v>3.37</v>
      </c>
      <c r="BO306" s="1107">
        <v>0</v>
      </c>
      <c r="BP306" s="1107">
        <v>0</v>
      </c>
      <c r="BQ306" s="1320">
        <f t="shared" si="917"/>
        <v>3.37</v>
      </c>
      <c r="BR306" s="1107">
        <v>0</v>
      </c>
      <c r="BS306" s="1107">
        <v>0</v>
      </c>
      <c r="BT306" s="1107">
        <f t="shared" si="918"/>
        <v>6.74</v>
      </c>
      <c r="BU306" s="1107">
        <v>0</v>
      </c>
      <c r="BV306" s="1108">
        <f t="shared" si="919"/>
        <v>6.74</v>
      </c>
      <c r="BW306" s="1112">
        <f t="shared" si="920"/>
        <v>10.11</v>
      </c>
      <c r="BX306" s="1112">
        <f t="shared" si="921"/>
        <v>632.35</v>
      </c>
      <c r="BY306" s="1108">
        <v>0</v>
      </c>
      <c r="BZ306" s="1108">
        <f t="shared" si="922"/>
        <v>632.35</v>
      </c>
      <c r="CA306" s="1321">
        <f>'CONCEPTOS Y PARAMETROS'!$A$102</f>
        <v>6255</v>
      </c>
      <c r="CB306" s="1112">
        <f t="shared" si="923"/>
        <v>165.26</v>
      </c>
      <c r="CC306" s="1113">
        <f t="shared" si="924"/>
        <v>478.62</v>
      </c>
      <c r="CD306" s="512"/>
      <c r="CE306" s="512"/>
      <c r="CF306" s="470">
        <f t="shared" si="925"/>
        <v>788.62</v>
      </c>
      <c r="CG306" s="495">
        <f t="shared" si="926"/>
        <v>165.26</v>
      </c>
      <c r="CH306" s="498">
        <f t="shared" si="927"/>
        <v>0</v>
      </c>
      <c r="CI306" s="1490">
        <f t="shared" si="928"/>
        <v>310</v>
      </c>
      <c r="CJ306" s="1500">
        <v>1</v>
      </c>
      <c r="CK306" s="495">
        <f t="shared" si="929"/>
        <v>478.62</v>
      </c>
      <c r="CL306" s="1689">
        <f t="shared" si="930"/>
        <v>478.62</v>
      </c>
      <c r="CM306" s="1689">
        <f t="shared" ref="CM306:CM369" si="940">+CK306-CL306</f>
        <v>0</v>
      </c>
      <c r="CN306" s="496">
        <f t="shared" si="932"/>
        <v>0</v>
      </c>
      <c r="CO306" s="497">
        <v>0</v>
      </c>
      <c r="CP306" s="496">
        <f t="shared" si="933"/>
        <v>0</v>
      </c>
      <c r="CQ306" s="496">
        <f t="shared" si="934"/>
        <v>0</v>
      </c>
      <c r="CR306" s="496">
        <f t="shared" si="935"/>
        <v>957.24</v>
      </c>
      <c r="CS306" s="496">
        <f t="shared" si="936"/>
        <v>10.11</v>
      </c>
      <c r="CT306" s="496">
        <f t="shared" si="937"/>
        <v>6255</v>
      </c>
      <c r="CU306" s="470"/>
      <c r="CV306" s="470"/>
      <c r="CW306" s="470"/>
      <c r="CX306" s="470"/>
      <c r="CY306" s="1275" t="s">
        <v>6950</v>
      </c>
      <c r="CZ306" s="1275" t="s">
        <v>6805</v>
      </c>
      <c r="DA306" s="480"/>
      <c r="DB306" s="1642" t="s">
        <v>6585</v>
      </c>
      <c r="DC306" s="1642"/>
      <c r="DD306" s="1642" t="s">
        <v>6150</v>
      </c>
      <c r="DE306" s="1642" t="s">
        <v>6257</v>
      </c>
      <c r="DF306" s="1642" t="s">
        <v>6616</v>
      </c>
      <c r="DG306" s="1642"/>
      <c r="DH306" s="512"/>
      <c r="DI306" s="512"/>
      <c r="DJ306" s="470"/>
      <c r="DK306" s="470"/>
      <c r="DL306" s="470"/>
      <c r="DN306" s="471" t="str">
        <f>VLOOKUP(X306,Hoja1!$A$4:$B$10,2,0)</f>
        <v>BACHILLER</v>
      </c>
      <c r="DO306" s="471" t="str">
        <f>VLOOKUP(S306,Hoja1!$D$4:$F$77,3,0)</f>
        <v>GRADO (5) - MÁX</v>
      </c>
      <c r="DP306" s="1156" t="str">
        <f t="shared" si="938"/>
        <v>0</v>
      </c>
      <c r="DQ306" s="1484">
        <f>IF(T306&lt;&gt;"0",(ROUND(IF(A306="EMPLEADO",eval_formula('CONCEPTOS Y PARAMETROS'!$C$8,NOMINA!V306,AU306+BF306,NOMINA!I306+NOMINA!J306),eval_formula('CONCEPTOS Y PARAMETROS'!$D$8,NOMINA!V306,AU306+BF306,NOMINA!I306+NOMINA!J306)),2))*IF(H306&lt;&gt;"",IF(MONTH(H306)=$BR$8,IF(YEAR(H306)&lt;$BT$7,1,0),0)))</f>
        <v>0</v>
      </c>
      <c r="DR306" s="1801" t="str">
        <f t="shared" si="939"/>
        <v>F</v>
      </c>
      <c r="DS306" s="1801"/>
    </row>
    <row r="307" spans="1:123" s="471" customFormat="1" ht="21.95" customHeight="1" x14ac:dyDescent="0.25">
      <c r="A307" s="508" t="s">
        <v>2834</v>
      </c>
      <c r="B307" s="1314">
        <f t="shared" ref="B307:B370" ca="1" si="941">OFFSET(B307,-1,0)+1</f>
        <v>3</v>
      </c>
      <c r="C307" s="990">
        <v>5762185</v>
      </c>
      <c r="D307" s="1275" t="s">
        <v>4961</v>
      </c>
      <c r="E307" s="1135" t="s">
        <v>4622</v>
      </c>
      <c r="F307" s="1118">
        <v>22999</v>
      </c>
      <c r="G307" s="1135" t="s">
        <v>4621</v>
      </c>
      <c r="H307" s="1118">
        <v>37622</v>
      </c>
      <c r="I307" s="1140">
        <f t="shared" si="895"/>
        <v>22</v>
      </c>
      <c r="J307" s="1132">
        <v>0</v>
      </c>
      <c r="K307" s="1140">
        <f t="shared" si="896"/>
        <v>22</v>
      </c>
      <c r="L307" s="1145" t="s">
        <v>5549</v>
      </c>
      <c r="M307" s="1132"/>
      <c r="N307" s="1132"/>
      <c r="O307" s="1002" t="s">
        <v>5093</v>
      </c>
      <c r="P307" s="1132" t="s">
        <v>5104</v>
      </c>
      <c r="Q307" s="1315">
        <v>8201</v>
      </c>
      <c r="R307" s="1394" t="s">
        <v>5093</v>
      </c>
      <c r="S307" s="1393">
        <v>5</v>
      </c>
      <c r="T307" s="1107">
        <f>IFERROR(VLOOKUP(S307,'TAB OBR'!A:B,2,0),0)</f>
        <v>171</v>
      </c>
      <c r="U307" s="1108">
        <v>0</v>
      </c>
      <c r="V307" s="1107">
        <f t="shared" si="897"/>
        <v>171</v>
      </c>
      <c r="W307" s="1108">
        <f t="shared" si="898"/>
        <v>85.5</v>
      </c>
      <c r="X307" s="1135" t="s">
        <v>2884</v>
      </c>
      <c r="Y307" s="1135" t="s">
        <v>2884</v>
      </c>
      <c r="Z307" s="1135">
        <v>0</v>
      </c>
      <c r="AA307" s="1107">
        <f>ROUND(IF(H307&lt;&gt;"",VLOOKUP(SUM(I307+J307),'CONCEPTOS Y PARAMETROS'!F:G,2,0)*V307,0),2)</f>
        <v>50.62</v>
      </c>
      <c r="AB307" s="1107">
        <f>IF(S307&lt;&gt;"",IF(M307="",'CONCEPTOS Y PARAMETROS'!$C$4,0),0)</f>
        <v>130</v>
      </c>
      <c r="AC307" s="1107">
        <f>IF(S307&lt;&gt;"",IF(M307="",'CONCEPTOS Y PARAMETROS'!$C$7*Z307,0),0)</f>
        <v>0</v>
      </c>
      <c r="AD307" s="1107">
        <f>IFERROR(ROUND(VLOOKUP($X307,'CONCEPTOS Y PARAMETROS'!H:I,2,0)*($V307+AA307+AB307+AC307),2),0)</f>
        <v>0</v>
      </c>
      <c r="AE307" s="1107">
        <f t="shared" si="899"/>
        <v>180.62</v>
      </c>
      <c r="AF307" s="1107">
        <f t="shared" si="900"/>
        <v>25.31</v>
      </c>
      <c r="AG307" s="1107">
        <f t="shared" si="901"/>
        <v>25.31</v>
      </c>
      <c r="AH307" s="1107">
        <f t="shared" si="902"/>
        <v>65</v>
      </c>
      <c r="AI307" s="1107">
        <f t="shared" si="903"/>
        <v>65</v>
      </c>
      <c r="AJ307" s="1107">
        <f t="shared" si="904"/>
        <v>0</v>
      </c>
      <c r="AK307" s="1107">
        <f t="shared" si="905"/>
        <v>0</v>
      </c>
      <c r="AL307" s="1108">
        <f t="shared" si="906"/>
        <v>90.31</v>
      </c>
      <c r="AM307" s="1108">
        <f t="shared" si="907"/>
        <v>90.31</v>
      </c>
      <c r="AN307" s="990">
        <v>0</v>
      </c>
      <c r="AO307" s="1147">
        <f>'CONCEPTOS Y PARAMETROS'!$C$18*AN307</f>
        <v>0</v>
      </c>
      <c r="AP307" s="990">
        <v>0</v>
      </c>
      <c r="AQ307" s="1147">
        <f>'CONCEPTOS Y PARAMETROS'!$C$21*AP307</f>
        <v>0</v>
      </c>
      <c r="AR307" s="1318">
        <v>0</v>
      </c>
      <c r="AS307" s="1318">
        <v>0</v>
      </c>
      <c r="AT307" s="1318">
        <f t="shared" si="908"/>
        <v>0</v>
      </c>
      <c r="AU307" s="1108">
        <f t="shared" si="909"/>
        <v>351.62</v>
      </c>
      <c r="AV307" s="1133">
        <v>0</v>
      </c>
      <c r="AW307" s="1108">
        <f t="shared" si="910"/>
        <v>0</v>
      </c>
      <c r="AX307" s="1107">
        <f>IF(T307&lt;&gt;"0",(ROUND(IF(A307="EMPLEADO",eval_formula('CONCEPTOS Y PARAMETROS'!$C$8,NOMINA!V307,NOMINA!$AU307,NOMINA!I307+NOMINA!J307),eval_formula('CONCEPTOS Y PARAMETROS'!$D$8,NOMINA!V307,NOMINA!$AU307,NOMINA!I307+NOMINA!J307)),2))*IF(H307&lt;&gt;"",IF(MONTH(H307)=$BR$8,IF(YEAR(H307)&lt;$BT$7,1,0),0)))</f>
        <v>0</v>
      </c>
      <c r="AY307" s="1108">
        <v>180</v>
      </c>
      <c r="AZ307" s="1107">
        <f>IFERROR(VLOOKUP(AY307,'CONCEPTOS Y PARAMETROS'!Y:Z,2,0),0)</f>
        <v>150</v>
      </c>
      <c r="BA307" s="1107">
        <f t="shared" si="911"/>
        <v>2637.15</v>
      </c>
      <c r="BB307" s="1107">
        <f t="shared" si="912"/>
        <v>0</v>
      </c>
      <c r="BC307" s="990">
        <v>0</v>
      </c>
      <c r="BD307" s="1107" t="str">
        <f t="shared" si="913"/>
        <v>0</v>
      </c>
      <c r="BE307" s="990">
        <v>0</v>
      </c>
      <c r="BF307" s="1107">
        <f t="shared" si="914"/>
        <v>0</v>
      </c>
      <c r="BG307" s="1108">
        <v>310</v>
      </c>
      <c r="BH307" s="1108">
        <v>0</v>
      </c>
      <c r="BI307" s="1132">
        <v>0</v>
      </c>
      <c r="BJ307" s="1108">
        <f t="shared" si="915"/>
        <v>0</v>
      </c>
      <c r="BK307" s="1108">
        <v>0</v>
      </c>
      <c r="BL307" s="1107">
        <f>ROUND(IF(M307="", (((AU307*12)/52)*4%)*$BS$8,0),2)</f>
        <v>16.23</v>
      </c>
      <c r="BM307" s="1107">
        <f>ROUND(IF(M307="",(((AU307*12)/52)*0.5%)*$BS$8,0),2)</f>
        <v>2.0299999999999998</v>
      </c>
      <c r="BN307" s="1107">
        <f t="shared" si="916"/>
        <v>3.52</v>
      </c>
      <c r="BO307" s="1107">
        <v>0</v>
      </c>
      <c r="BP307" s="1107">
        <v>0</v>
      </c>
      <c r="BQ307" s="1320">
        <f t="shared" si="917"/>
        <v>21.78</v>
      </c>
      <c r="BR307" s="1107">
        <f>ROUND(IF(M307="", (((AU307*12)/52)*9%)*$BS$8,0),2)</f>
        <v>36.51</v>
      </c>
      <c r="BS307" s="1107">
        <f>ROUND(IF(M307="",(((AU307*12)/52)*2%)*$BS$8,0),2)</f>
        <v>8.11</v>
      </c>
      <c r="BT307" s="1107">
        <f t="shared" si="918"/>
        <v>7.04</v>
      </c>
      <c r="BU307" s="1107">
        <v>0</v>
      </c>
      <c r="BV307" s="1108">
        <f t="shared" si="919"/>
        <v>51.66</v>
      </c>
      <c r="BW307" s="1112">
        <f t="shared" si="920"/>
        <v>73.44</v>
      </c>
      <c r="BX307" s="1112">
        <f t="shared" si="921"/>
        <v>659.29</v>
      </c>
      <c r="BY307" s="1108">
        <v>0</v>
      </c>
      <c r="BZ307" s="1108">
        <f t="shared" si="922"/>
        <v>659.29</v>
      </c>
      <c r="CA307" s="1321">
        <f>'CONCEPTOS Y PARAMETROS'!$A$102</f>
        <v>6255</v>
      </c>
      <c r="CB307" s="1112">
        <f t="shared" si="923"/>
        <v>154.03</v>
      </c>
      <c r="CC307" s="1113">
        <f t="shared" si="924"/>
        <v>485.81</v>
      </c>
      <c r="CD307" s="512"/>
      <c r="CE307" s="512"/>
      <c r="CF307" s="470">
        <f t="shared" si="925"/>
        <v>795.81</v>
      </c>
      <c r="CG307" s="495">
        <f t="shared" si="926"/>
        <v>154.03</v>
      </c>
      <c r="CH307" s="498">
        <f t="shared" si="927"/>
        <v>0</v>
      </c>
      <c r="CI307" s="1490">
        <f t="shared" si="928"/>
        <v>310</v>
      </c>
      <c r="CJ307" s="1500">
        <v>1</v>
      </c>
      <c r="CK307" s="495">
        <f t="shared" si="929"/>
        <v>485.81</v>
      </c>
      <c r="CL307" s="1689">
        <f t="shared" si="930"/>
        <v>485.81</v>
      </c>
      <c r="CM307" s="1689">
        <f t="shared" si="940"/>
        <v>0</v>
      </c>
      <c r="CN307" s="496">
        <f t="shared" si="932"/>
        <v>0</v>
      </c>
      <c r="CO307" s="497">
        <v>0</v>
      </c>
      <c r="CP307" s="496">
        <f t="shared" si="933"/>
        <v>0</v>
      </c>
      <c r="CQ307" s="496">
        <f t="shared" si="934"/>
        <v>0</v>
      </c>
      <c r="CR307" s="496">
        <f t="shared" si="935"/>
        <v>971.62</v>
      </c>
      <c r="CS307" s="496">
        <f t="shared" si="936"/>
        <v>73.44</v>
      </c>
      <c r="CT307" s="496">
        <f t="shared" si="937"/>
        <v>6255</v>
      </c>
      <c r="CU307" s="470"/>
      <c r="CV307" s="470"/>
      <c r="CW307" s="470"/>
      <c r="CX307" s="470"/>
      <c r="CY307" s="1275" t="s">
        <v>7137</v>
      </c>
      <c r="CZ307" s="1275" t="s">
        <v>6813</v>
      </c>
      <c r="DA307" s="480"/>
      <c r="DB307" s="1642" t="s">
        <v>6603</v>
      </c>
      <c r="DC307" s="1642"/>
      <c r="DD307" s="1642" t="s">
        <v>6135</v>
      </c>
      <c r="DE307" s="1642" t="s">
        <v>6162</v>
      </c>
      <c r="DF307" s="1642" t="s">
        <v>6424</v>
      </c>
      <c r="DG307" s="1152"/>
      <c r="DH307" s="512"/>
      <c r="DI307" s="512"/>
      <c r="DJ307" s="470"/>
      <c r="DK307" s="470"/>
      <c r="DL307" s="470"/>
      <c r="DN307" s="471" t="str">
        <f>VLOOKUP(X307,Hoja1!$A$4:$B$10,2,0)</f>
        <v>BACHILLER</v>
      </c>
      <c r="DO307" s="471" t="str">
        <f>VLOOKUP(S307,Hoja1!$D$4:$F$77,3,0)</f>
        <v>GRADO (5) - MÁX</v>
      </c>
      <c r="DP307" s="1156" t="str">
        <f t="shared" si="938"/>
        <v>0</v>
      </c>
      <c r="DQ307" s="1484">
        <f>IF(T307&lt;&gt;"0",(ROUND(IF(A307="EMPLEADO",eval_formula('CONCEPTOS Y PARAMETROS'!$C$8,NOMINA!V307,AU307+BF307,NOMINA!I307+NOMINA!J307),eval_formula('CONCEPTOS Y PARAMETROS'!$D$8,NOMINA!V307,AU307+BF307,NOMINA!I307+NOMINA!J307)),2))*IF(H307&lt;&gt;"",IF(MONTH(H307)=$BR$8,IF(YEAR(H307)&lt;$BT$7,1,0),0)))</f>
        <v>0</v>
      </c>
      <c r="DR307" s="1801" t="str">
        <f t="shared" si="939"/>
        <v>M</v>
      </c>
      <c r="DS307" s="1801"/>
    </row>
    <row r="308" spans="1:123" s="471" customFormat="1" ht="21.95" customHeight="1" x14ac:dyDescent="0.25">
      <c r="A308" s="508" t="s">
        <v>2834</v>
      </c>
      <c r="B308" s="1314">
        <f t="shared" ca="1" si="941"/>
        <v>4</v>
      </c>
      <c r="C308" s="990">
        <v>6332524</v>
      </c>
      <c r="D308" s="1275" t="s">
        <v>4962</v>
      </c>
      <c r="E308" s="1135" t="s">
        <v>4622</v>
      </c>
      <c r="F308" s="1118">
        <v>25126</v>
      </c>
      <c r="G308" s="1135" t="s">
        <v>4620</v>
      </c>
      <c r="H308" s="1118">
        <v>42948</v>
      </c>
      <c r="I308" s="1140">
        <f t="shared" si="895"/>
        <v>8</v>
      </c>
      <c r="J308" s="1132">
        <v>0</v>
      </c>
      <c r="K308" s="1140">
        <f t="shared" si="896"/>
        <v>8</v>
      </c>
      <c r="L308" s="1145" t="s">
        <v>5550</v>
      </c>
      <c r="M308" s="1132"/>
      <c r="N308" s="1132"/>
      <c r="O308" s="1002" t="s">
        <v>5085</v>
      </c>
      <c r="P308" s="1132" t="s">
        <v>5105</v>
      </c>
      <c r="Q308" s="1315">
        <v>2202</v>
      </c>
      <c r="R308" s="1394" t="s">
        <v>5085</v>
      </c>
      <c r="S308" s="1393">
        <v>5</v>
      </c>
      <c r="T308" s="1107">
        <f>IFERROR(VLOOKUP(S308,'TAB OBR'!A:B,2,0),0)</f>
        <v>171</v>
      </c>
      <c r="U308" s="1108">
        <v>0</v>
      </c>
      <c r="V308" s="1107">
        <f t="shared" si="897"/>
        <v>171</v>
      </c>
      <c r="W308" s="1108">
        <f t="shared" si="898"/>
        <v>85.5</v>
      </c>
      <c r="X308" s="1135" t="s">
        <v>2884</v>
      </c>
      <c r="Y308" s="1135" t="s">
        <v>2884</v>
      </c>
      <c r="Z308" s="1135">
        <v>0</v>
      </c>
      <c r="AA308" s="1107">
        <f>ROUND(IF(H308&lt;&gt;"",VLOOKUP(SUM(I308+J308),'CONCEPTOS Y PARAMETROS'!F:G,2,0)*V308,0),2)</f>
        <v>14.71</v>
      </c>
      <c r="AB308" s="1107">
        <f>IF(S308&lt;&gt;"",IF(M308="",'CONCEPTOS Y PARAMETROS'!$C$4,0),0)</f>
        <v>130</v>
      </c>
      <c r="AC308" s="1107">
        <f>IF(S308&lt;&gt;"",IF(M308="",'CONCEPTOS Y PARAMETROS'!$C$7*Z308,0),0)</f>
        <v>0</v>
      </c>
      <c r="AD308" s="1107">
        <f>IFERROR(ROUND(VLOOKUP($X308,'CONCEPTOS Y PARAMETROS'!H:I,2,0)*($V308+AA308+AB308+AC308),2),0)</f>
        <v>0</v>
      </c>
      <c r="AE308" s="1107">
        <f t="shared" si="899"/>
        <v>144.71</v>
      </c>
      <c r="AF308" s="1107">
        <f t="shared" si="900"/>
        <v>7.36</v>
      </c>
      <c r="AG308" s="1107">
        <f t="shared" si="901"/>
        <v>7.35</v>
      </c>
      <c r="AH308" s="1107">
        <f t="shared" si="902"/>
        <v>65</v>
      </c>
      <c r="AI308" s="1107">
        <f t="shared" si="903"/>
        <v>65</v>
      </c>
      <c r="AJ308" s="1107">
        <f t="shared" si="904"/>
        <v>0</v>
      </c>
      <c r="AK308" s="1107">
        <f t="shared" si="905"/>
        <v>0</v>
      </c>
      <c r="AL308" s="1108">
        <f t="shared" si="906"/>
        <v>72.36</v>
      </c>
      <c r="AM308" s="1108">
        <f t="shared" si="907"/>
        <v>72.349999999999994</v>
      </c>
      <c r="AN308" s="990">
        <v>0</v>
      </c>
      <c r="AO308" s="1147">
        <f>'CONCEPTOS Y PARAMETROS'!$C$18*AN308</f>
        <v>0</v>
      </c>
      <c r="AP308" s="990">
        <v>0</v>
      </c>
      <c r="AQ308" s="1147">
        <f>'CONCEPTOS Y PARAMETROS'!$C$21*AP308</f>
        <v>0</v>
      </c>
      <c r="AR308" s="1318">
        <v>0</v>
      </c>
      <c r="AS308" s="1318">
        <v>0</v>
      </c>
      <c r="AT308" s="1318">
        <f t="shared" si="908"/>
        <v>0</v>
      </c>
      <c r="AU308" s="1108">
        <f t="shared" si="909"/>
        <v>315.71000000000004</v>
      </c>
      <c r="AV308" s="1133">
        <v>0</v>
      </c>
      <c r="AW308" s="1108">
        <f t="shared" si="910"/>
        <v>0</v>
      </c>
      <c r="AX308" s="1107">
        <f>IF(T308&lt;&gt;"0",(ROUND(IF(A308="EMPLEADO",eval_formula('CONCEPTOS Y PARAMETROS'!$C$8,NOMINA!V308,NOMINA!$AU308,NOMINA!I308+NOMINA!J308),eval_formula('CONCEPTOS Y PARAMETROS'!$D$8,NOMINA!V308,NOMINA!$AU308,NOMINA!I308+NOMINA!J308)),2))*IF(H308&lt;&gt;"",IF(MONTH(H308)=$BR$8,IF(YEAR(H308)&lt;$BT$7,1,0),0)))</f>
        <v>0</v>
      </c>
      <c r="AY308" s="1108">
        <v>180</v>
      </c>
      <c r="AZ308" s="1107">
        <f>IFERROR(VLOOKUP(AY308,'CONCEPTOS Y PARAMETROS'!Y:Z,2,0),0)</f>
        <v>150</v>
      </c>
      <c r="BA308" s="1107">
        <f t="shared" si="911"/>
        <v>2367.83</v>
      </c>
      <c r="BB308" s="1107">
        <f t="shared" si="912"/>
        <v>0</v>
      </c>
      <c r="BC308" s="990">
        <v>0</v>
      </c>
      <c r="BD308" s="1107" t="str">
        <f t="shared" si="913"/>
        <v>0</v>
      </c>
      <c r="BE308" s="990">
        <v>0</v>
      </c>
      <c r="BF308" s="1107">
        <f t="shared" si="914"/>
        <v>0</v>
      </c>
      <c r="BG308" s="1108">
        <v>310</v>
      </c>
      <c r="BH308" s="1108">
        <v>0</v>
      </c>
      <c r="BI308" s="1132">
        <v>0</v>
      </c>
      <c r="BJ308" s="1108">
        <f t="shared" si="915"/>
        <v>0</v>
      </c>
      <c r="BK308" s="1108">
        <v>0</v>
      </c>
      <c r="BL308" s="1107">
        <f>ROUND(IF(M308="", (((AU308*12)/52)*4%)*$BS$8,0),2)</f>
        <v>14.57</v>
      </c>
      <c r="BM308" s="1107">
        <f>ROUND(IF(M308="",(((AU308*12)/52)*0.5%)*$BS$8,0),2)</f>
        <v>1.82</v>
      </c>
      <c r="BN308" s="1107">
        <f t="shared" si="916"/>
        <v>3.16</v>
      </c>
      <c r="BO308" s="1107">
        <v>0</v>
      </c>
      <c r="BP308" s="1107">
        <v>0</v>
      </c>
      <c r="BQ308" s="1320">
        <f t="shared" si="917"/>
        <v>19.55</v>
      </c>
      <c r="BR308" s="1107">
        <f>ROUND(IF(M308="", (((AU308*12)/52)*9%)*$BS$8,0),2)</f>
        <v>32.79</v>
      </c>
      <c r="BS308" s="1107">
        <f>ROUND(IF(M308="",(((AU308*12)/52)*2%)*$BS$8,0),2)</f>
        <v>7.29</v>
      </c>
      <c r="BT308" s="1107">
        <f t="shared" si="918"/>
        <v>6.32</v>
      </c>
      <c r="BU308" s="1107">
        <v>0</v>
      </c>
      <c r="BV308" s="1108">
        <f t="shared" si="919"/>
        <v>46.4</v>
      </c>
      <c r="BW308" s="1112">
        <f t="shared" si="920"/>
        <v>65.95</v>
      </c>
      <c r="BX308" s="1112">
        <f t="shared" si="921"/>
        <v>591.96</v>
      </c>
      <c r="BY308" s="1108">
        <v>0</v>
      </c>
      <c r="BZ308" s="1108">
        <f t="shared" si="922"/>
        <v>591.96</v>
      </c>
      <c r="CA308" s="1321">
        <f>'CONCEPTOS Y PARAMETROS'!$A$102</f>
        <v>6255</v>
      </c>
      <c r="CB308" s="1112">
        <f t="shared" si="923"/>
        <v>138.31</v>
      </c>
      <c r="CC308" s="1113">
        <f t="shared" si="924"/>
        <v>467.85</v>
      </c>
      <c r="CD308" s="512"/>
      <c r="CE308" s="512"/>
      <c r="CF308" s="470">
        <f t="shared" si="925"/>
        <v>777.85</v>
      </c>
      <c r="CG308" s="495">
        <f t="shared" si="926"/>
        <v>138.31</v>
      </c>
      <c r="CH308" s="498">
        <f t="shared" si="927"/>
        <v>0</v>
      </c>
      <c r="CI308" s="1490">
        <f t="shared" si="928"/>
        <v>310</v>
      </c>
      <c r="CJ308" s="1500">
        <v>1</v>
      </c>
      <c r="CK308" s="495">
        <f t="shared" si="929"/>
        <v>467.85</v>
      </c>
      <c r="CL308" s="1689">
        <f t="shared" si="930"/>
        <v>467.85</v>
      </c>
      <c r="CM308" s="1689">
        <f t="shared" si="940"/>
        <v>0</v>
      </c>
      <c r="CN308" s="496">
        <f t="shared" si="932"/>
        <v>0</v>
      </c>
      <c r="CO308" s="497">
        <v>0</v>
      </c>
      <c r="CP308" s="496">
        <f t="shared" si="933"/>
        <v>0</v>
      </c>
      <c r="CQ308" s="496">
        <f t="shared" si="934"/>
        <v>0</v>
      </c>
      <c r="CR308" s="496">
        <f t="shared" si="935"/>
        <v>935.7</v>
      </c>
      <c r="CS308" s="496">
        <f t="shared" si="936"/>
        <v>65.95</v>
      </c>
      <c r="CT308" s="496">
        <f t="shared" si="937"/>
        <v>6255</v>
      </c>
      <c r="CU308" s="470"/>
      <c r="CV308" s="470"/>
      <c r="CW308" s="470"/>
      <c r="CX308" s="470"/>
      <c r="CY308" s="1275" t="s">
        <v>7138</v>
      </c>
      <c r="CZ308" s="1275" t="s">
        <v>6979</v>
      </c>
      <c r="DA308" s="480"/>
      <c r="DB308" s="1642" t="s">
        <v>6425</v>
      </c>
      <c r="DC308" s="1642"/>
      <c r="DD308" s="1642" t="s">
        <v>6150</v>
      </c>
      <c r="DE308" s="1642" t="s">
        <v>6187</v>
      </c>
      <c r="DF308" s="1642" t="s">
        <v>6520</v>
      </c>
      <c r="DG308" s="1642"/>
      <c r="DH308" s="512"/>
      <c r="DI308" s="512"/>
      <c r="DJ308" s="470"/>
      <c r="DK308" s="470"/>
      <c r="DL308" s="470"/>
      <c r="DN308" s="471" t="str">
        <f>VLOOKUP(X308,Hoja1!$A$4:$B$10,2,0)</f>
        <v>BACHILLER</v>
      </c>
      <c r="DO308" s="471" t="str">
        <f>VLOOKUP(S308,Hoja1!$D$4:$F$77,3,0)</f>
        <v>GRADO (5) - MÁX</v>
      </c>
      <c r="DP308" s="1156" t="str">
        <f t="shared" si="938"/>
        <v>0</v>
      </c>
      <c r="DQ308" s="1484">
        <f>IF(T308&lt;&gt;"0",(ROUND(IF(A308="EMPLEADO",eval_formula('CONCEPTOS Y PARAMETROS'!$C$8,NOMINA!V308,AU308+BF308,NOMINA!I308+NOMINA!J308),eval_formula('CONCEPTOS Y PARAMETROS'!$D$8,NOMINA!V308,AU308+BF308,NOMINA!I308+NOMINA!J308)),2))*IF(H308&lt;&gt;"",IF(MONTH(H308)=$BR$8,IF(YEAR(H308)&lt;$BT$7,1,0),0)))</f>
        <v>0</v>
      </c>
      <c r="DR308" s="1801" t="str">
        <f t="shared" si="939"/>
        <v>F</v>
      </c>
      <c r="DS308" s="1801"/>
    </row>
    <row r="309" spans="1:123" s="471" customFormat="1" ht="21.95" customHeight="1" x14ac:dyDescent="0.25">
      <c r="A309" s="508" t="s">
        <v>2834</v>
      </c>
      <c r="B309" s="1314">
        <f t="shared" ca="1" si="941"/>
        <v>5</v>
      </c>
      <c r="C309" s="990">
        <v>6902701</v>
      </c>
      <c r="D309" s="1275" t="s">
        <v>4963</v>
      </c>
      <c r="E309" s="1135" t="s">
        <v>4622</v>
      </c>
      <c r="F309" s="1118">
        <v>23528</v>
      </c>
      <c r="G309" s="1135" t="s">
        <v>4621</v>
      </c>
      <c r="H309" s="1118">
        <v>44228</v>
      </c>
      <c r="I309" s="1140">
        <f t="shared" si="895"/>
        <v>4</v>
      </c>
      <c r="J309" s="1132">
        <v>0</v>
      </c>
      <c r="K309" s="1140">
        <f t="shared" si="896"/>
        <v>4</v>
      </c>
      <c r="L309" s="1145" t="s">
        <v>5549</v>
      </c>
      <c r="M309" s="1132"/>
      <c r="N309" s="1132"/>
      <c r="O309" s="1002" t="s">
        <v>5086</v>
      </c>
      <c r="P309" s="1132" t="s">
        <v>5106</v>
      </c>
      <c r="Q309" s="1315">
        <v>7129</v>
      </c>
      <c r="R309" s="1394" t="s">
        <v>5086</v>
      </c>
      <c r="S309" s="1393">
        <v>2</v>
      </c>
      <c r="T309" s="1107">
        <f>IFERROR(VLOOKUP(S309,'TAB OBR'!A:B,2,0),0)</f>
        <v>142</v>
      </c>
      <c r="U309" s="1108">
        <v>0</v>
      </c>
      <c r="V309" s="1107">
        <f t="shared" si="897"/>
        <v>142</v>
      </c>
      <c r="W309" s="1108">
        <f t="shared" si="898"/>
        <v>71</v>
      </c>
      <c r="X309" s="1135" t="s">
        <v>2884</v>
      </c>
      <c r="Y309" s="1135" t="s">
        <v>2884</v>
      </c>
      <c r="Z309" s="1135">
        <v>1</v>
      </c>
      <c r="AA309" s="1107">
        <f>ROUND(IF(H309&lt;&gt;"",VLOOKUP(SUM(I309+J309),'CONCEPTOS Y PARAMETROS'!F:G,2,0)*V309,0),2)</f>
        <v>5.68</v>
      </c>
      <c r="AB309" s="1107">
        <f>IF(S309&lt;&gt;"",IF(M309="",'CONCEPTOS Y PARAMETROS'!$C$4,0),0)</f>
        <v>130</v>
      </c>
      <c r="AC309" s="1107">
        <f>IF(S309&lt;&gt;"",IF(M309="",'CONCEPTOS Y PARAMETROS'!$C$7*Z309,0),0)</f>
        <v>12.5</v>
      </c>
      <c r="AD309" s="1107">
        <f>IFERROR(ROUND(VLOOKUP($X309,'CONCEPTOS Y PARAMETROS'!H:I,2,0)*($V309+AA309+AB309+AC309),2),0)</f>
        <v>0</v>
      </c>
      <c r="AE309" s="1107">
        <f t="shared" si="899"/>
        <v>148.18</v>
      </c>
      <c r="AF309" s="1107">
        <f t="shared" si="900"/>
        <v>2.84</v>
      </c>
      <c r="AG309" s="1107">
        <f t="shared" si="901"/>
        <v>2.84</v>
      </c>
      <c r="AH309" s="1107">
        <f t="shared" si="902"/>
        <v>65</v>
      </c>
      <c r="AI309" s="1107">
        <f t="shared" si="903"/>
        <v>65</v>
      </c>
      <c r="AJ309" s="1107">
        <f t="shared" si="904"/>
        <v>0</v>
      </c>
      <c r="AK309" s="1107">
        <f t="shared" si="905"/>
        <v>0</v>
      </c>
      <c r="AL309" s="1108">
        <f t="shared" si="906"/>
        <v>80.34</v>
      </c>
      <c r="AM309" s="1108">
        <f t="shared" si="907"/>
        <v>67.84</v>
      </c>
      <c r="AN309" s="990">
        <v>0</v>
      </c>
      <c r="AO309" s="1147">
        <f>'CONCEPTOS Y PARAMETROS'!$C$18*AN309</f>
        <v>0</v>
      </c>
      <c r="AP309" s="990">
        <v>0</v>
      </c>
      <c r="AQ309" s="1147">
        <f>'CONCEPTOS Y PARAMETROS'!$C$21*AP309</f>
        <v>0</v>
      </c>
      <c r="AR309" s="1318">
        <v>0</v>
      </c>
      <c r="AS309" s="1318">
        <v>0</v>
      </c>
      <c r="AT309" s="1318">
        <f t="shared" si="908"/>
        <v>0</v>
      </c>
      <c r="AU309" s="1108">
        <f t="shared" si="909"/>
        <v>290.18</v>
      </c>
      <c r="AV309" s="1133">
        <v>0</v>
      </c>
      <c r="AW309" s="1108">
        <f t="shared" si="910"/>
        <v>0</v>
      </c>
      <c r="AX309" s="1107">
        <f>IF(T309&lt;&gt;"0",(ROUND(IF(A309="EMPLEADO",eval_formula('CONCEPTOS Y PARAMETROS'!$C$8,NOMINA!V309,NOMINA!$AU309,NOMINA!I309+NOMINA!J309),eval_formula('CONCEPTOS Y PARAMETROS'!$D$8,NOMINA!V309,NOMINA!$AU309,NOMINA!I309+NOMINA!J309)),2))*IF(H309&lt;&gt;"",IF(MONTH(H309)=$BR$8,IF(YEAR(H309)&lt;$BT$7,1,0),0)))</f>
        <v>0</v>
      </c>
      <c r="AY309" s="1108">
        <v>180</v>
      </c>
      <c r="AZ309" s="1107">
        <f>IFERROR(VLOOKUP(AY309,'CONCEPTOS Y PARAMETROS'!Y:Z,2,0),0)</f>
        <v>150</v>
      </c>
      <c r="BA309" s="1107">
        <f t="shared" si="911"/>
        <v>2176.35</v>
      </c>
      <c r="BB309" s="1107">
        <f t="shared" si="912"/>
        <v>0</v>
      </c>
      <c r="BC309" s="990">
        <v>0</v>
      </c>
      <c r="BD309" s="1107" t="str">
        <f t="shared" si="913"/>
        <v>0</v>
      </c>
      <c r="BE309" s="990">
        <v>1</v>
      </c>
      <c r="BF309" s="1107">
        <f t="shared" si="914"/>
        <v>14.51</v>
      </c>
      <c r="BG309" s="1108">
        <v>310</v>
      </c>
      <c r="BH309" s="1108">
        <v>0</v>
      </c>
      <c r="BI309" s="1132">
        <v>0</v>
      </c>
      <c r="BJ309" s="1108">
        <f t="shared" si="915"/>
        <v>0</v>
      </c>
      <c r="BK309" s="1108">
        <v>0</v>
      </c>
      <c r="BL309" s="1107">
        <f>ROUND(IF(M309="", (((AU309*12)/52)*4%)*$BS$8,0),2)</f>
        <v>13.39</v>
      </c>
      <c r="BM309" s="1107">
        <f>ROUND(IF(M309="",(((AU309*12)/52)*0.5%)*$BS$8,0),2)</f>
        <v>1.67</v>
      </c>
      <c r="BN309" s="1107">
        <f t="shared" si="916"/>
        <v>2.9</v>
      </c>
      <c r="BO309" s="1107">
        <v>0</v>
      </c>
      <c r="BP309" s="1107">
        <v>0</v>
      </c>
      <c r="BQ309" s="1320">
        <f t="shared" si="917"/>
        <v>17.96</v>
      </c>
      <c r="BR309" s="1107">
        <f>ROUND(IF(M309="", (((AU309*12)/52)*9%)*$BS$8,0),2)</f>
        <v>30.13</v>
      </c>
      <c r="BS309" s="1107">
        <f>ROUND(IF(M309="",(((AU309*12)/52)*2%)*$BS$8,0),2)</f>
        <v>6.7</v>
      </c>
      <c r="BT309" s="1107">
        <f t="shared" si="918"/>
        <v>5.8</v>
      </c>
      <c r="BU309" s="1107">
        <v>0</v>
      </c>
      <c r="BV309" s="1108">
        <f t="shared" si="919"/>
        <v>42.63</v>
      </c>
      <c r="BW309" s="1112">
        <f t="shared" si="920"/>
        <v>60.59</v>
      </c>
      <c r="BX309" s="1112">
        <f t="shared" si="921"/>
        <v>544.09</v>
      </c>
      <c r="BY309" s="1108">
        <v>0</v>
      </c>
      <c r="BZ309" s="1108">
        <f t="shared" si="922"/>
        <v>544.09</v>
      </c>
      <c r="CA309" s="1321">
        <f>'CONCEPTOS Y PARAMETROS'!$A$102</f>
        <v>6255</v>
      </c>
      <c r="CB309" s="1112">
        <f t="shared" si="923"/>
        <v>133.38</v>
      </c>
      <c r="CC309" s="1113">
        <f t="shared" si="924"/>
        <v>463.35</v>
      </c>
      <c r="CD309" s="512"/>
      <c r="CE309" s="512"/>
      <c r="CF309" s="470">
        <f t="shared" si="925"/>
        <v>758.84</v>
      </c>
      <c r="CG309" s="495">
        <f t="shared" si="926"/>
        <v>133.38</v>
      </c>
      <c r="CH309" s="498">
        <f t="shared" si="927"/>
        <v>0</v>
      </c>
      <c r="CI309" s="1490">
        <f t="shared" si="928"/>
        <v>310</v>
      </c>
      <c r="CJ309" s="1500">
        <v>1</v>
      </c>
      <c r="CK309" s="495">
        <f t="shared" si="929"/>
        <v>448.84000000000003</v>
      </c>
      <c r="CL309" s="1689">
        <f t="shared" si="930"/>
        <v>448.84</v>
      </c>
      <c r="CM309" s="1689">
        <f t="shared" si="940"/>
        <v>0</v>
      </c>
      <c r="CN309" s="496">
        <f t="shared" si="932"/>
        <v>14.51</v>
      </c>
      <c r="CO309" s="497">
        <v>0</v>
      </c>
      <c r="CP309" s="496">
        <f t="shared" si="933"/>
        <v>0</v>
      </c>
      <c r="CQ309" s="496">
        <f t="shared" si="934"/>
        <v>0</v>
      </c>
      <c r="CR309" s="496">
        <f t="shared" si="935"/>
        <v>912.19</v>
      </c>
      <c r="CS309" s="496">
        <f t="shared" si="936"/>
        <v>60.59</v>
      </c>
      <c r="CT309" s="496">
        <f t="shared" si="937"/>
        <v>6255</v>
      </c>
      <c r="CU309" s="470"/>
      <c r="CV309" s="470"/>
      <c r="CW309" s="470"/>
      <c r="CX309" s="470"/>
      <c r="CY309" s="1275" t="s">
        <v>7139</v>
      </c>
      <c r="CZ309" s="1275" t="s">
        <v>6813</v>
      </c>
      <c r="DA309" s="480"/>
      <c r="DB309" s="1645" t="s">
        <v>6426</v>
      </c>
      <c r="DC309" s="1645"/>
      <c r="DD309" s="1642" t="s">
        <v>6135</v>
      </c>
      <c r="DE309" s="1642" t="s">
        <v>6192</v>
      </c>
      <c r="DF309" s="1642" t="s">
        <v>6606</v>
      </c>
      <c r="DG309" s="1152"/>
      <c r="DH309" s="512"/>
      <c r="DI309" s="512"/>
      <c r="DJ309" s="470"/>
      <c r="DK309" s="470"/>
      <c r="DL309" s="470"/>
      <c r="DN309" s="471" t="str">
        <f>VLOOKUP(X309,Hoja1!$A$4:$B$10,2,0)</f>
        <v>BACHILLER</v>
      </c>
      <c r="DO309" s="471" t="str">
        <f>VLOOKUP(S309,Hoja1!$D$4:$F$77,3,0)</f>
        <v>GRADO (2) - MÁX</v>
      </c>
      <c r="DP309" s="1156" t="str">
        <f t="shared" si="938"/>
        <v>0</v>
      </c>
      <c r="DQ309" s="1484">
        <f>IF(T309&lt;&gt;"0",(ROUND(IF(A309="EMPLEADO",eval_formula('CONCEPTOS Y PARAMETROS'!$C$8,NOMINA!V309,AU309+BF309,NOMINA!I309+NOMINA!J309),eval_formula('CONCEPTOS Y PARAMETROS'!$D$8,NOMINA!V309,AU309+BF309,NOMINA!I309+NOMINA!J309)),2))*IF(H309&lt;&gt;"",IF(MONTH(H309)=$BR$8,IF(YEAR(H309)&lt;$BT$7,1,0),0)))</f>
        <v>0</v>
      </c>
      <c r="DR309" s="1801" t="str">
        <f t="shared" si="939"/>
        <v>M</v>
      </c>
      <c r="DS309" s="1801"/>
    </row>
    <row r="310" spans="1:123" s="471" customFormat="1" ht="21.95" customHeight="1" x14ac:dyDescent="0.25">
      <c r="A310" s="508" t="s">
        <v>2834</v>
      </c>
      <c r="B310" s="1314">
        <f t="shared" ca="1" si="941"/>
        <v>6</v>
      </c>
      <c r="C310" s="990">
        <v>7252065</v>
      </c>
      <c r="D310" s="1275" t="s">
        <v>4964</v>
      </c>
      <c r="E310" s="1135" t="s">
        <v>4622</v>
      </c>
      <c r="F310" s="1118">
        <v>23394</v>
      </c>
      <c r="G310" s="1135" t="s">
        <v>4621</v>
      </c>
      <c r="H310" s="1118">
        <v>43891</v>
      </c>
      <c r="I310" s="1140">
        <f t="shared" si="895"/>
        <v>5</v>
      </c>
      <c r="J310" s="1132">
        <v>0</v>
      </c>
      <c r="K310" s="1140">
        <f t="shared" si="896"/>
        <v>5</v>
      </c>
      <c r="L310" s="1145" t="s">
        <v>5549</v>
      </c>
      <c r="M310" s="1132"/>
      <c r="N310" s="1132"/>
      <c r="O310" s="1002" t="s">
        <v>5084</v>
      </c>
      <c r="P310" s="1132" t="s">
        <v>5107</v>
      </c>
      <c r="Q310" s="1315">
        <v>7152</v>
      </c>
      <c r="R310" s="1394" t="s">
        <v>5084</v>
      </c>
      <c r="S310" s="1393">
        <v>3</v>
      </c>
      <c r="T310" s="1107">
        <f>IFERROR(VLOOKUP(S310,'TAB OBR'!A:B,2,0),0)</f>
        <v>152</v>
      </c>
      <c r="U310" s="1108">
        <v>0</v>
      </c>
      <c r="V310" s="1107">
        <f t="shared" si="897"/>
        <v>152</v>
      </c>
      <c r="W310" s="1108">
        <f t="shared" si="898"/>
        <v>76</v>
      </c>
      <c r="X310" s="1135" t="s">
        <v>2884</v>
      </c>
      <c r="Y310" s="1135" t="s">
        <v>2884</v>
      </c>
      <c r="Z310" s="1135">
        <v>0</v>
      </c>
      <c r="AA310" s="1107">
        <f>ROUND(IF(H310&lt;&gt;"",VLOOKUP(SUM(I310+J310),'CONCEPTOS Y PARAMETROS'!F:G,2,0)*V310,0),2)</f>
        <v>7.6</v>
      </c>
      <c r="AB310" s="1107">
        <f>IF(S310&lt;&gt;"",IF(M310="",'CONCEPTOS Y PARAMETROS'!$C$4,0),0)</f>
        <v>130</v>
      </c>
      <c r="AC310" s="1107">
        <f>IF(S310&lt;&gt;"",IF(M310="",'CONCEPTOS Y PARAMETROS'!$C$7*Z310,0),0)</f>
        <v>0</v>
      </c>
      <c r="AD310" s="1107">
        <f>IFERROR(ROUND(VLOOKUP($X310,'CONCEPTOS Y PARAMETROS'!H:I,2,0)*($V310+AA310+AB310+AC310),2),0)</f>
        <v>0</v>
      </c>
      <c r="AE310" s="1107">
        <f t="shared" si="899"/>
        <v>137.6</v>
      </c>
      <c r="AF310" s="1107">
        <f t="shared" si="900"/>
        <v>3.8</v>
      </c>
      <c r="AG310" s="1107">
        <f t="shared" si="901"/>
        <v>3.8</v>
      </c>
      <c r="AH310" s="1107">
        <f t="shared" si="902"/>
        <v>65</v>
      </c>
      <c r="AI310" s="1107">
        <f t="shared" si="903"/>
        <v>65</v>
      </c>
      <c r="AJ310" s="1107">
        <f t="shared" si="904"/>
        <v>0</v>
      </c>
      <c r="AK310" s="1107">
        <f t="shared" si="905"/>
        <v>0</v>
      </c>
      <c r="AL310" s="1108">
        <f t="shared" si="906"/>
        <v>68.8</v>
      </c>
      <c r="AM310" s="1108">
        <f t="shared" si="907"/>
        <v>68.8</v>
      </c>
      <c r="AN310" s="990">
        <v>0</v>
      </c>
      <c r="AO310" s="1147">
        <f>'CONCEPTOS Y PARAMETROS'!$C$18*AN310</f>
        <v>0</v>
      </c>
      <c r="AP310" s="990">
        <v>0</v>
      </c>
      <c r="AQ310" s="1147">
        <f>'CONCEPTOS Y PARAMETROS'!$C$21*AP310</f>
        <v>0</v>
      </c>
      <c r="AR310" s="1318">
        <v>0</v>
      </c>
      <c r="AS310" s="1318">
        <v>0</v>
      </c>
      <c r="AT310" s="1318">
        <f t="shared" si="908"/>
        <v>0</v>
      </c>
      <c r="AU310" s="1108">
        <f t="shared" si="909"/>
        <v>376.48</v>
      </c>
      <c r="AV310" s="1133" t="s">
        <v>5080</v>
      </c>
      <c r="AW310" s="1108">
        <f t="shared" si="910"/>
        <v>86.88</v>
      </c>
      <c r="AX310" s="1107">
        <f>IF(T310&lt;&gt;"0",(ROUND(IF(A310="EMPLEADO",eval_formula('CONCEPTOS Y PARAMETROS'!$C$8,NOMINA!V310,NOMINA!$AU310,NOMINA!I310+NOMINA!J310),eval_formula('CONCEPTOS Y PARAMETROS'!$D$8,NOMINA!V310,NOMINA!$AU310,NOMINA!I310+NOMINA!J310)),2))*IF(H310&lt;&gt;"",IF(MONTH(H310)=$BR$8,IF(YEAR(H310)&lt;$BT$7,1,0),0)))</f>
        <v>0</v>
      </c>
      <c r="AY310" s="1108">
        <v>180</v>
      </c>
      <c r="AZ310" s="1107">
        <f>IFERROR(VLOOKUP(AY310,'CONCEPTOS Y PARAMETROS'!Y:Z,2,0),0)</f>
        <v>150</v>
      </c>
      <c r="BA310" s="1107">
        <f t="shared" si="911"/>
        <v>2823.6</v>
      </c>
      <c r="BB310" s="1107">
        <f t="shared" si="912"/>
        <v>0</v>
      </c>
      <c r="BC310" s="990">
        <v>0</v>
      </c>
      <c r="BD310" s="1107" t="str">
        <f t="shared" si="913"/>
        <v>0</v>
      </c>
      <c r="BE310" s="990">
        <v>0</v>
      </c>
      <c r="BF310" s="1107">
        <f t="shared" si="914"/>
        <v>0</v>
      </c>
      <c r="BG310" s="1108">
        <v>310</v>
      </c>
      <c r="BH310" s="1108">
        <v>0</v>
      </c>
      <c r="BI310" s="1132">
        <v>0</v>
      </c>
      <c r="BJ310" s="1108">
        <f t="shared" si="915"/>
        <v>0</v>
      </c>
      <c r="BK310" s="1108">
        <v>0</v>
      </c>
      <c r="BL310" s="1107">
        <f>ROUND(IF(M310="", (((AU310*12)/52)*4%)*$BS$8,0),2)</f>
        <v>17.38</v>
      </c>
      <c r="BM310" s="1107">
        <f>ROUND(IF(M310="",(((AU310*12)/52)*0.5%)*$BS$8,0),2)</f>
        <v>2.17</v>
      </c>
      <c r="BN310" s="1107">
        <f t="shared" si="916"/>
        <v>3.76</v>
      </c>
      <c r="BO310" s="1107">
        <v>0</v>
      </c>
      <c r="BP310" s="1107">
        <v>0</v>
      </c>
      <c r="BQ310" s="1320">
        <f t="shared" si="917"/>
        <v>23.31</v>
      </c>
      <c r="BR310" s="1107">
        <f>ROUND(IF(M310="", (((AU310*12)/52)*9%)*$BS$8,0),2)</f>
        <v>39.1</v>
      </c>
      <c r="BS310" s="1107">
        <f>ROUND(IF(M310="",(((AU310*12)/52)*2%)*$BS$8,0),2)</f>
        <v>8.69</v>
      </c>
      <c r="BT310" s="1107">
        <f t="shared" si="918"/>
        <v>7.52</v>
      </c>
      <c r="BU310" s="1107">
        <v>0</v>
      </c>
      <c r="BV310" s="1108">
        <f t="shared" si="919"/>
        <v>55.31</v>
      </c>
      <c r="BW310" s="1112">
        <f t="shared" si="920"/>
        <v>78.62</v>
      </c>
      <c r="BX310" s="1112">
        <f t="shared" si="921"/>
        <v>705.9</v>
      </c>
      <c r="BY310" s="1108">
        <v>0</v>
      </c>
      <c r="BZ310" s="1108">
        <f t="shared" si="922"/>
        <v>705.9</v>
      </c>
      <c r="CA310" s="1321">
        <f>'CONCEPTOS Y PARAMETROS'!$A$102</f>
        <v>6255</v>
      </c>
      <c r="CB310" s="1112">
        <f t="shared" si="923"/>
        <v>121.49000000000001</v>
      </c>
      <c r="CC310" s="1113">
        <f t="shared" si="924"/>
        <v>541.67999999999995</v>
      </c>
      <c r="CD310" s="512"/>
      <c r="CE310" s="512"/>
      <c r="CF310" s="470">
        <f t="shared" si="925"/>
        <v>764.8</v>
      </c>
      <c r="CG310" s="495">
        <f t="shared" si="926"/>
        <v>121.49000000000001</v>
      </c>
      <c r="CH310" s="498">
        <f t="shared" si="927"/>
        <v>0</v>
      </c>
      <c r="CI310" s="1490">
        <f t="shared" si="928"/>
        <v>310</v>
      </c>
      <c r="CJ310" s="1500">
        <v>1</v>
      </c>
      <c r="CK310" s="495">
        <f t="shared" si="929"/>
        <v>454.8</v>
      </c>
      <c r="CL310" s="1689">
        <f t="shared" si="930"/>
        <v>454.8</v>
      </c>
      <c r="CM310" s="1689">
        <f t="shared" si="940"/>
        <v>0</v>
      </c>
      <c r="CN310" s="496">
        <f t="shared" si="932"/>
        <v>0</v>
      </c>
      <c r="CO310" s="497">
        <v>0</v>
      </c>
      <c r="CP310" s="496">
        <f t="shared" si="933"/>
        <v>86.88</v>
      </c>
      <c r="CQ310" s="496">
        <f t="shared" si="934"/>
        <v>0</v>
      </c>
      <c r="CR310" s="496">
        <f t="shared" si="935"/>
        <v>996.48</v>
      </c>
      <c r="CS310" s="496">
        <f t="shared" si="936"/>
        <v>78.62</v>
      </c>
      <c r="CT310" s="496">
        <f t="shared" si="937"/>
        <v>6255</v>
      </c>
      <c r="CU310" s="470"/>
      <c r="CV310" s="470"/>
      <c r="CW310" s="470"/>
      <c r="CX310" s="470"/>
      <c r="CY310" s="1275" t="s">
        <v>6880</v>
      </c>
      <c r="CZ310" s="1275" t="s">
        <v>6813</v>
      </c>
      <c r="DA310" s="480"/>
      <c r="DB310" s="1645" t="s">
        <v>6427</v>
      </c>
      <c r="DC310" s="1645"/>
      <c r="DD310" s="1645" t="s">
        <v>6135</v>
      </c>
      <c r="DE310" s="1645" t="s">
        <v>6162</v>
      </c>
      <c r="DF310" s="1642" t="s">
        <v>6228</v>
      </c>
      <c r="DG310" s="1152"/>
      <c r="DH310" s="512"/>
      <c r="DI310" s="512"/>
      <c r="DJ310" s="470"/>
      <c r="DK310" s="470"/>
      <c r="DL310" s="470"/>
      <c r="DN310" s="471" t="str">
        <f>VLOOKUP(X310,Hoja1!$A$4:$B$10,2,0)</f>
        <v>BACHILLER</v>
      </c>
      <c r="DO310" s="471" t="str">
        <f>VLOOKUP(S310,Hoja1!$D$4:$F$77,3,0)</f>
        <v>GRADO (3) - MÁX</v>
      </c>
      <c r="DP310" s="1156" t="str">
        <f t="shared" si="938"/>
        <v>SI</v>
      </c>
      <c r="DQ310" s="1484">
        <f>IF(T310&lt;&gt;"0",(ROUND(IF(A310="EMPLEADO",eval_formula('CONCEPTOS Y PARAMETROS'!$C$8,NOMINA!V310,AU310+BF310,NOMINA!I310+NOMINA!J310),eval_formula('CONCEPTOS Y PARAMETROS'!$D$8,NOMINA!V310,AU310+BF310,NOMINA!I310+NOMINA!J310)),2))*IF(H310&lt;&gt;"",IF(MONTH(H310)=$BR$8,IF(YEAR(H310)&lt;$BT$7,1,0),0)))</f>
        <v>0</v>
      </c>
      <c r="DR310" s="1801" t="str">
        <f t="shared" si="939"/>
        <v>M</v>
      </c>
      <c r="DS310" s="1801"/>
    </row>
    <row r="311" spans="1:123" s="471" customFormat="1" ht="21.95" customHeight="1" x14ac:dyDescent="0.25">
      <c r="A311" s="508" t="s">
        <v>2834</v>
      </c>
      <c r="B311" s="1314">
        <f t="shared" ca="1" si="941"/>
        <v>7</v>
      </c>
      <c r="C311" s="990">
        <v>9008311</v>
      </c>
      <c r="D311" s="1275" t="s">
        <v>4966</v>
      </c>
      <c r="E311" s="1135" t="s">
        <v>4622</v>
      </c>
      <c r="F311" s="1118">
        <v>21350</v>
      </c>
      <c r="G311" s="1135" t="s">
        <v>4621</v>
      </c>
      <c r="H311" s="1118">
        <v>39265</v>
      </c>
      <c r="I311" s="1140">
        <f t="shared" si="895"/>
        <v>18</v>
      </c>
      <c r="J311" s="1132">
        <v>0</v>
      </c>
      <c r="K311" s="1140">
        <f t="shared" si="896"/>
        <v>18</v>
      </c>
      <c r="L311" s="1145" t="s">
        <v>5531</v>
      </c>
      <c r="M311" s="1132"/>
      <c r="N311" s="1132"/>
      <c r="O311" s="1002" t="s">
        <v>5084</v>
      </c>
      <c r="P311" s="1132" t="s">
        <v>5108</v>
      </c>
      <c r="Q311" s="1315">
        <v>7152</v>
      </c>
      <c r="R311" s="1394" t="s">
        <v>5084</v>
      </c>
      <c r="S311" s="1393">
        <v>3</v>
      </c>
      <c r="T311" s="1107">
        <f>IFERROR(VLOOKUP(S311,'TAB OBR'!A:B,2,0),0)</f>
        <v>152</v>
      </c>
      <c r="U311" s="1108">
        <v>0</v>
      </c>
      <c r="V311" s="1107">
        <f t="shared" si="897"/>
        <v>152</v>
      </c>
      <c r="W311" s="1108">
        <f t="shared" si="898"/>
        <v>76</v>
      </c>
      <c r="X311" s="1135" t="s">
        <v>2884</v>
      </c>
      <c r="Y311" s="1135" t="s">
        <v>2884</v>
      </c>
      <c r="Z311" s="1135">
        <v>0</v>
      </c>
      <c r="AA311" s="1107">
        <f>ROUND(IF(H311&lt;&gt;"",VLOOKUP(SUM(I311+J311),'CONCEPTOS Y PARAMETROS'!F:G,2,0)*V311,0),2)</f>
        <v>34.659999999999997</v>
      </c>
      <c r="AB311" s="1107">
        <f>IF(S311&lt;&gt;"",IF(M311="",'CONCEPTOS Y PARAMETROS'!$C$4,0),0)</f>
        <v>130</v>
      </c>
      <c r="AC311" s="1107">
        <f>IF(S311&lt;&gt;"",IF(M311="",'CONCEPTOS Y PARAMETROS'!$C$7*Z311,0),0)</f>
        <v>0</v>
      </c>
      <c r="AD311" s="1107">
        <f>IFERROR(ROUND(VLOOKUP($X311,'CONCEPTOS Y PARAMETROS'!H:I,2,0)*($V311+AA311+AB311+AC311),2),0)</f>
        <v>0</v>
      </c>
      <c r="AE311" s="1107">
        <f t="shared" si="899"/>
        <v>164.66</v>
      </c>
      <c r="AF311" s="1107">
        <f t="shared" si="900"/>
        <v>17.329999999999998</v>
      </c>
      <c r="AG311" s="1107">
        <f t="shared" si="901"/>
        <v>17.329999999999998</v>
      </c>
      <c r="AH311" s="1107">
        <f t="shared" si="902"/>
        <v>65</v>
      </c>
      <c r="AI311" s="1107">
        <f t="shared" si="903"/>
        <v>65</v>
      </c>
      <c r="AJ311" s="1107">
        <f t="shared" si="904"/>
        <v>0</v>
      </c>
      <c r="AK311" s="1107">
        <f t="shared" si="905"/>
        <v>0</v>
      </c>
      <c r="AL311" s="1108">
        <f t="shared" si="906"/>
        <v>82.33</v>
      </c>
      <c r="AM311" s="1108">
        <f t="shared" si="907"/>
        <v>82.33</v>
      </c>
      <c r="AN311" s="990">
        <v>0</v>
      </c>
      <c r="AO311" s="1147">
        <f>'CONCEPTOS Y PARAMETROS'!$C$18*AN311</f>
        <v>0</v>
      </c>
      <c r="AP311" s="990">
        <v>0</v>
      </c>
      <c r="AQ311" s="1147">
        <f>'CONCEPTOS Y PARAMETROS'!$C$21*AP311</f>
        <v>0</v>
      </c>
      <c r="AR311" s="1318">
        <v>0</v>
      </c>
      <c r="AS311" s="1318">
        <v>0</v>
      </c>
      <c r="AT311" s="1318">
        <f t="shared" si="908"/>
        <v>0</v>
      </c>
      <c r="AU311" s="1108">
        <f t="shared" si="909"/>
        <v>316.65999999999997</v>
      </c>
      <c r="AV311" s="1133">
        <v>0</v>
      </c>
      <c r="AW311" s="1108">
        <f t="shared" si="910"/>
        <v>0</v>
      </c>
      <c r="AX311" s="1107">
        <f>IF(T311&lt;&gt;"0",(ROUND(IF(A311="EMPLEADO",eval_formula('CONCEPTOS Y PARAMETROS'!$C$8,NOMINA!V311,NOMINA!$AU311,NOMINA!I311+NOMINA!J311),eval_formula('CONCEPTOS Y PARAMETROS'!$D$8,NOMINA!V311,NOMINA!$AU311,NOMINA!I311+NOMINA!J311)),2))*IF(H311&lt;&gt;"",IF(MONTH(H311)=$BR$8,IF(YEAR(H311)&lt;$BT$7,1,0),0)))</f>
        <v>0</v>
      </c>
      <c r="AY311" s="1108">
        <v>180</v>
      </c>
      <c r="AZ311" s="1107">
        <f>IFERROR(VLOOKUP(AY311,'CONCEPTOS Y PARAMETROS'!Y:Z,2,0),0)</f>
        <v>150</v>
      </c>
      <c r="BA311" s="1107">
        <f t="shared" si="911"/>
        <v>2374.9499999999998</v>
      </c>
      <c r="BB311" s="1107">
        <f t="shared" si="912"/>
        <v>0</v>
      </c>
      <c r="BC311" s="990">
        <v>0</v>
      </c>
      <c r="BD311" s="1107" t="str">
        <f t="shared" si="913"/>
        <v>0</v>
      </c>
      <c r="BE311" s="990">
        <v>0</v>
      </c>
      <c r="BF311" s="1107">
        <f t="shared" si="914"/>
        <v>0</v>
      </c>
      <c r="BG311" s="1108">
        <v>310</v>
      </c>
      <c r="BH311" s="1108">
        <v>0</v>
      </c>
      <c r="BI311" s="1132">
        <v>0</v>
      </c>
      <c r="BJ311" s="1108">
        <f t="shared" si="915"/>
        <v>0</v>
      </c>
      <c r="BK311" s="1108">
        <v>0</v>
      </c>
      <c r="BL311" s="1107">
        <f>ROUND(IF(M311="", (((AU311*12)/52)*4%)*$BS$8,0),2)</f>
        <v>14.62</v>
      </c>
      <c r="BM311" s="1107">
        <f>ROUND(IF(M311="",(((AU311*12)/52)*0.5%)*$BS$8,0),2)</f>
        <v>1.83</v>
      </c>
      <c r="BN311" s="1107">
        <f t="shared" si="916"/>
        <v>3.17</v>
      </c>
      <c r="BO311" s="1107">
        <v>0</v>
      </c>
      <c r="BP311" s="1107">
        <v>0</v>
      </c>
      <c r="BQ311" s="1320">
        <f t="shared" si="917"/>
        <v>19.62</v>
      </c>
      <c r="BR311" s="1107">
        <f>ROUND(IF(M311="", (((AU311*12)/52)*9%)*$BS$8,0),2)</f>
        <v>32.880000000000003</v>
      </c>
      <c r="BS311" s="1107">
        <f>ROUND(IF(M311="",(((AU311*12)/52)*2%)*$BS$8,0),2)</f>
        <v>7.31</v>
      </c>
      <c r="BT311" s="1107">
        <f t="shared" si="918"/>
        <v>6.34</v>
      </c>
      <c r="BU311" s="1107">
        <v>0</v>
      </c>
      <c r="BV311" s="1108">
        <f t="shared" si="919"/>
        <v>46.53</v>
      </c>
      <c r="BW311" s="1112">
        <f t="shared" si="920"/>
        <v>66.150000000000006</v>
      </c>
      <c r="BX311" s="1112">
        <f t="shared" si="921"/>
        <v>593.74</v>
      </c>
      <c r="BY311" s="1108">
        <v>0</v>
      </c>
      <c r="BZ311" s="1108">
        <f t="shared" si="922"/>
        <v>593.74</v>
      </c>
      <c r="CA311" s="1321">
        <f>'CONCEPTOS Y PARAMETROS'!$A$102</f>
        <v>6255</v>
      </c>
      <c r="CB311" s="1112">
        <f t="shared" si="923"/>
        <v>138.70999999999998</v>
      </c>
      <c r="CC311" s="1113">
        <f t="shared" si="924"/>
        <v>468.33</v>
      </c>
      <c r="CD311" s="512"/>
      <c r="CE311" s="512"/>
      <c r="CF311" s="470">
        <f t="shared" si="925"/>
        <v>778.32999999999993</v>
      </c>
      <c r="CG311" s="495">
        <f t="shared" si="926"/>
        <v>138.70999999999998</v>
      </c>
      <c r="CH311" s="498">
        <f t="shared" si="927"/>
        <v>0</v>
      </c>
      <c r="CI311" s="1490">
        <f t="shared" si="928"/>
        <v>310</v>
      </c>
      <c r="CJ311" s="1500">
        <v>1</v>
      </c>
      <c r="CK311" s="495">
        <f t="shared" si="929"/>
        <v>468.33</v>
      </c>
      <c r="CL311" s="1689">
        <f t="shared" si="930"/>
        <v>468.33</v>
      </c>
      <c r="CM311" s="1689">
        <f t="shared" si="940"/>
        <v>0</v>
      </c>
      <c r="CN311" s="496">
        <f t="shared" si="932"/>
        <v>0</v>
      </c>
      <c r="CO311" s="497">
        <v>0</v>
      </c>
      <c r="CP311" s="496">
        <f t="shared" si="933"/>
        <v>0</v>
      </c>
      <c r="CQ311" s="496">
        <f t="shared" si="934"/>
        <v>0</v>
      </c>
      <c r="CR311" s="496">
        <f t="shared" si="935"/>
        <v>936.66</v>
      </c>
      <c r="CS311" s="496">
        <f t="shared" si="936"/>
        <v>66.150000000000006</v>
      </c>
      <c r="CT311" s="496">
        <f t="shared" si="937"/>
        <v>6255</v>
      </c>
      <c r="CU311" s="470"/>
      <c r="CV311" s="470"/>
      <c r="CW311" s="470"/>
      <c r="CX311" s="470"/>
      <c r="CY311" s="1275" t="s">
        <v>7140</v>
      </c>
      <c r="CZ311" s="1275" t="s">
        <v>7141</v>
      </c>
      <c r="DA311" s="480"/>
      <c r="DB311" s="1142" t="s">
        <v>6479</v>
      </c>
      <c r="DC311" s="1142" t="s">
        <v>7546</v>
      </c>
      <c r="DD311" s="1152" t="s">
        <v>6135</v>
      </c>
      <c r="DE311" s="1152" t="s">
        <v>6147</v>
      </c>
      <c r="DF311" s="1152" t="s">
        <v>6520</v>
      </c>
      <c r="DG311" s="1152"/>
      <c r="DH311" s="512"/>
      <c r="DI311" s="512"/>
      <c r="DJ311" s="470"/>
      <c r="DK311" s="470"/>
      <c r="DL311" s="470"/>
      <c r="DN311" s="471" t="str">
        <f>VLOOKUP(X311,Hoja1!$A$4:$B$10,2,0)</f>
        <v>BACHILLER</v>
      </c>
      <c r="DO311" s="471" t="str">
        <f>VLOOKUP(S311,Hoja1!$D$4:$F$77,3,0)</f>
        <v>GRADO (3) - MÁX</v>
      </c>
      <c r="DP311" s="1156" t="str">
        <f t="shared" si="938"/>
        <v>0</v>
      </c>
      <c r="DQ311" s="1484">
        <f>IF(T311&lt;&gt;"0",(ROUND(IF(A311="EMPLEADO",eval_formula('CONCEPTOS Y PARAMETROS'!$C$8,NOMINA!V311,AU311+BF311,NOMINA!I311+NOMINA!J311),eval_formula('CONCEPTOS Y PARAMETROS'!$D$8,NOMINA!V311,AU311+BF311,NOMINA!I311+NOMINA!J311)),2))*IF(H311&lt;&gt;"",IF(MONTH(H311)=$BR$8,IF(YEAR(H311)&lt;$BT$7,1,0),0)))</f>
        <v>0</v>
      </c>
      <c r="DR311" s="1801" t="str">
        <f t="shared" si="939"/>
        <v>M</v>
      </c>
      <c r="DS311" s="1801"/>
    </row>
    <row r="312" spans="1:123" s="471" customFormat="1" ht="21.95" customHeight="1" x14ac:dyDescent="0.25">
      <c r="A312" s="508" t="s">
        <v>2834</v>
      </c>
      <c r="B312" s="1314">
        <f t="shared" ca="1" si="941"/>
        <v>8</v>
      </c>
      <c r="C312" s="990">
        <v>9011963</v>
      </c>
      <c r="D312" s="1275" t="s">
        <v>4967</v>
      </c>
      <c r="E312" s="1135" t="s">
        <v>4622</v>
      </c>
      <c r="F312" s="1118">
        <v>18326</v>
      </c>
      <c r="G312" s="1135" t="s">
        <v>4621</v>
      </c>
      <c r="H312" s="1118">
        <v>39820</v>
      </c>
      <c r="I312" s="1140">
        <f t="shared" si="895"/>
        <v>16</v>
      </c>
      <c r="J312" s="1132">
        <v>0</v>
      </c>
      <c r="K312" s="1140">
        <f t="shared" si="896"/>
        <v>16</v>
      </c>
      <c r="L312" s="1145" t="s">
        <v>5549</v>
      </c>
      <c r="M312" s="1132"/>
      <c r="N312" s="1132"/>
      <c r="O312" s="1002" t="s">
        <v>5084</v>
      </c>
      <c r="P312" s="1132" t="s">
        <v>5109</v>
      </c>
      <c r="Q312" s="1315">
        <v>7152</v>
      </c>
      <c r="R312" s="1394" t="s">
        <v>5084</v>
      </c>
      <c r="S312" s="1393">
        <v>3</v>
      </c>
      <c r="T312" s="1107">
        <f>IFERROR(VLOOKUP(S312,'TAB OBR'!A:B,2,0),0)</f>
        <v>152</v>
      </c>
      <c r="U312" s="1108">
        <v>0</v>
      </c>
      <c r="V312" s="1107">
        <f t="shared" si="897"/>
        <v>152</v>
      </c>
      <c r="W312" s="1108">
        <f t="shared" si="898"/>
        <v>76</v>
      </c>
      <c r="X312" s="1135" t="s">
        <v>2884</v>
      </c>
      <c r="Y312" s="1135" t="s">
        <v>2884</v>
      </c>
      <c r="Z312" s="1135">
        <v>0</v>
      </c>
      <c r="AA312" s="1107">
        <f>ROUND(IF(H312&lt;&gt;"",VLOOKUP(SUM(I312+J312),'CONCEPTOS Y PARAMETROS'!F:G,2,0)*V312,0),2)</f>
        <v>29.79</v>
      </c>
      <c r="AB312" s="1107">
        <f>IF(S312&lt;&gt;"",IF(M312="",'CONCEPTOS Y PARAMETROS'!$C$4,0),0)</f>
        <v>130</v>
      </c>
      <c r="AC312" s="1107">
        <f>IF(S312&lt;&gt;"",IF(M312="",'CONCEPTOS Y PARAMETROS'!$C$7*Z312,0),0)</f>
        <v>0</v>
      </c>
      <c r="AD312" s="1107">
        <f>IFERROR(ROUND(VLOOKUP($X312,'CONCEPTOS Y PARAMETROS'!H:I,2,0)*($V312+AA312+AB312+AC312),2),0)</f>
        <v>0</v>
      </c>
      <c r="AE312" s="1107">
        <f t="shared" si="899"/>
        <v>159.79</v>
      </c>
      <c r="AF312" s="1107">
        <f t="shared" si="900"/>
        <v>14.9</v>
      </c>
      <c r="AG312" s="1107">
        <f t="shared" si="901"/>
        <v>14.89</v>
      </c>
      <c r="AH312" s="1107">
        <f t="shared" si="902"/>
        <v>65</v>
      </c>
      <c r="AI312" s="1107">
        <f t="shared" si="903"/>
        <v>65</v>
      </c>
      <c r="AJ312" s="1107">
        <f t="shared" si="904"/>
        <v>0</v>
      </c>
      <c r="AK312" s="1107">
        <f t="shared" si="905"/>
        <v>0</v>
      </c>
      <c r="AL312" s="1108">
        <f t="shared" si="906"/>
        <v>79.900000000000006</v>
      </c>
      <c r="AM312" s="1108">
        <f t="shared" si="907"/>
        <v>79.89</v>
      </c>
      <c r="AN312" s="990">
        <v>0</v>
      </c>
      <c r="AO312" s="1147">
        <f>'CONCEPTOS Y PARAMETROS'!$C$18*AN312</f>
        <v>0</v>
      </c>
      <c r="AP312" s="990">
        <v>0</v>
      </c>
      <c r="AQ312" s="1147">
        <f>'CONCEPTOS Y PARAMETROS'!$C$21*AP312</f>
        <v>0</v>
      </c>
      <c r="AR312" s="1318">
        <v>0</v>
      </c>
      <c r="AS312" s="1318">
        <v>0</v>
      </c>
      <c r="AT312" s="1318">
        <f t="shared" si="908"/>
        <v>0</v>
      </c>
      <c r="AU312" s="1108">
        <f t="shared" si="909"/>
        <v>311.78999999999996</v>
      </c>
      <c r="AV312" s="1133">
        <v>0</v>
      </c>
      <c r="AW312" s="1108">
        <f t="shared" si="910"/>
        <v>0</v>
      </c>
      <c r="AX312" s="1107">
        <f>IF(T312&lt;&gt;"0",(ROUND(IF(A312="EMPLEADO",eval_formula('CONCEPTOS Y PARAMETROS'!$C$8,NOMINA!V312,NOMINA!$AU312,NOMINA!I312+NOMINA!J312),eval_formula('CONCEPTOS Y PARAMETROS'!$D$8,NOMINA!V312,NOMINA!$AU312,NOMINA!I312+NOMINA!J312)),2))*IF(H312&lt;&gt;"",IF(MONTH(H312)=$BR$8,IF(YEAR(H312)&lt;$BT$7,1,0),0)))</f>
        <v>0</v>
      </c>
      <c r="AY312" s="1108">
        <v>180</v>
      </c>
      <c r="AZ312" s="1107">
        <f>IFERROR(VLOOKUP(AY312,'CONCEPTOS Y PARAMETROS'!Y:Z,2,0),0)</f>
        <v>150</v>
      </c>
      <c r="BA312" s="1107">
        <f t="shared" si="911"/>
        <v>2338.4299999999998</v>
      </c>
      <c r="BB312" s="1107">
        <f t="shared" si="912"/>
        <v>0</v>
      </c>
      <c r="BC312" s="990">
        <v>0</v>
      </c>
      <c r="BD312" s="1107" t="str">
        <f t="shared" si="913"/>
        <v>0</v>
      </c>
      <c r="BE312" s="990">
        <v>0</v>
      </c>
      <c r="BF312" s="1107">
        <f t="shared" si="914"/>
        <v>0</v>
      </c>
      <c r="BG312" s="1108">
        <v>310</v>
      </c>
      <c r="BH312" s="1108">
        <v>0</v>
      </c>
      <c r="BI312" s="1132">
        <v>0</v>
      </c>
      <c r="BJ312" s="1108">
        <f t="shared" si="915"/>
        <v>0</v>
      </c>
      <c r="BK312" s="1108">
        <v>0</v>
      </c>
      <c r="BL312" s="1107">
        <v>0</v>
      </c>
      <c r="BM312" s="1107">
        <v>0</v>
      </c>
      <c r="BN312" s="1107">
        <f t="shared" si="916"/>
        <v>3.12</v>
      </c>
      <c r="BO312" s="1107">
        <v>0</v>
      </c>
      <c r="BP312" s="1107">
        <v>0</v>
      </c>
      <c r="BQ312" s="1320">
        <f t="shared" si="917"/>
        <v>3.12</v>
      </c>
      <c r="BR312" s="1107">
        <v>0</v>
      </c>
      <c r="BS312" s="1107">
        <v>0</v>
      </c>
      <c r="BT312" s="1107">
        <f t="shared" si="918"/>
        <v>6.24</v>
      </c>
      <c r="BU312" s="1107">
        <v>0</v>
      </c>
      <c r="BV312" s="1108">
        <f t="shared" si="919"/>
        <v>6.24</v>
      </c>
      <c r="BW312" s="1112">
        <f t="shared" si="920"/>
        <v>9.36</v>
      </c>
      <c r="BX312" s="1112">
        <f t="shared" si="921"/>
        <v>584.61</v>
      </c>
      <c r="BY312" s="1108">
        <v>0</v>
      </c>
      <c r="BZ312" s="1108">
        <f t="shared" si="922"/>
        <v>584.61</v>
      </c>
      <c r="CA312" s="1321">
        <f>'CONCEPTOS Y PARAMETROS'!$A$102</f>
        <v>6255</v>
      </c>
      <c r="CB312" s="1112">
        <f t="shared" si="923"/>
        <v>152.78</v>
      </c>
      <c r="CC312" s="1113">
        <f t="shared" si="924"/>
        <v>465.89</v>
      </c>
      <c r="CD312" s="512"/>
      <c r="CE312" s="512"/>
      <c r="CF312" s="470">
        <f t="shared" si="925"/>
        <v>775.89</v>
      </c>
      <c r="CG312" s="495">
        <f t="shared" si="926"/>
        <v>152.78</v>
      </c>
      <c r="CH312" s="498">
        <f t="shared" si="927"/>
        <v>0</v>
      </c>
      <c r="CI312" s="1490">
        <f t="shared" si="928"/>
        <v>310</v>
      </c>
      <c r="CJ312" s="1500">
        <v>1</v>
      </c>
      <c r="CK312" s="495">
        <f t="shared" si="929"/>
        <v>465.89</v>
      </c>
      <c r="CL312" s="1689">
        <f t="shared" si="930"/>
        <v>465.89</v>
      </c>
      <c r="CM312" s="1689">
        <f t="shared" si="940"/>
        <v>0</v>
      </c>
      <c r="CN312" s="496">
        <f t="shared" si="932"/>
        <v>0</v>
      </c>
      <c r="CO312" s="497">
        <v>0</v>
      </c>
      <c r="CP312" s="496">
        <f t="shared" si="933"/>
        <v>0</v>
      </c>
      <c r="CQ312" s="496">
        <f t="shared" si="934"/>
        <v>0</v>
      </c>
      <c r="CR312" s="496">
        <f t="shared" si="935"/>
        <v>931.78</v>
      </c>
      <c r="CS312" s="496">
        <f t="shared" si="936"/>
        <v>9.36</v>
      </c>
      <c r="CT312" s="496">
        <f t="shared" si="937"/>
        <v>6255</v>
      </c>
      <c r="CU312" s="470"/>
      <c r="CV312" s="470"/>
      <c r="CW312" s="470"/>
      <c r="CX312" s="470"/>
      <c r="CY312" s="1275" t="s">
        <v>7142</v>
      </c>
      <c r="CZ312" s="1275" t="s">
        <v>7143</v>
      </c>
      <c r="DA312" s="480"/>
      <c r="DB312" s="1642" t="s">
        <v>6569</v>
      </c>
      <c r="DC312" s="1642"/>
      <c r="DD312" s="1642" t="s">
        <v>6135</v>
      </c>
      <c r="DE312" s="1642" t="s">
        <v>6247</v>
      </c>
      <c r="DF312" s="1642" t="s">
        <v>6328</v>
      </c>
      <c r="DG312" s="1152"/>
      <c r="DH312" s="512"/>
      <c r="DI312" s="512"/>
      <c r="DJ312" s="470"/>
      <c r="DK312" s="470"/>
      <c r="DL312" s="470"/>
      <c r="DN312" s="471" t="str">
        <f>VLOOKUP(X312,Hoja1!$A$4:$B$10,2,0)</f>
        <v>BACHILLER</v>
      </c>
      <c r="DO312" s="471" t="str">
        <f>VLOOKUP(S312,Hoja1!$D$4:$F$77,3,0)</f>
        <v>GRADO (3) - MÁX</v>
      </c>
      <c r="DP312" s="1156" t="str">
        <f t="shared" si="938"/>
        <v>0</v>
      </c>
      <c r="DQ312" s="1484">
        <f>IF(T312&lt;&gt;"0",(ROUND(IF(A312="EMPLEADO",eval_formula('CONCEPTOS Y PARAMETROS'!$C$8,NOMINA!V312,AU312+BF312,NOMINA!I312+NOMINA!J312),eval_formula('CONCEPTOS Y PARAMETROS'!$D$8,NOMINA!V312,AU312+BF312,NOMINA!I312+NOMINA!J312)),2))*IF(H312&lt;&gt;"",IF(MONTH(H312)=$BR$8,IF(YEAR(H312)&lt;$BT$7,1,0),0)))</f>
        <v>0</v>
      </c>
      <c r="DR312" s="1801" t="str">
        <f t="shared" si="939"/>
        <v>M</v>
      </c>
      <c r="DS312" s="1801"/>
    </row>
    <row r="313" spans="1:123" s="471" customFormat="1" ht="21.95" customHeight="1" x14ac:dyDescent="0.25">
      <c r="A313" s="508" t="s">
        <v>2834</v>
      </c>
      <c r="B313" s="1314">
        <f t="shared" ca="1" si="941"/>
        <v>9</v>
      </c>
      <c r="C313" s="990">
        <v>9100500</v>
      </c>
      <c r="D313" s="1275" t="s">
        <v>4968</v>
      </c>
      <c r="E313" s="1135" t="s">
        <v>4622</v>
      </c>
      <c r="F313" s="1118">
        <v>21654</v>
      </c>
      <c r="G313" s="1135" t="s">
        <v>4620</v>
      </c>
      <c r="H313" s="1118">
        <v>39496</v>
      </c>
      <c r="I313" s="1140">
        <f t="shared" si="895"/>
        <v>17</v>
      </c>
      <c r="J313" s="1132">
        <v>0</v>
      </c>
      <c r="K313" s="1140">
        <f t="shared" si="896"/>
        <v>17</v>
      </c>
      <c r="L313" s="1145" t="s">
        <v>5529</v>
      </c>
      <c r="M313" s="1132"/>
      <c r="N313" s="1132"/>
      <c r="O313" s="1002" t="s">
        <v>5087</v>
      </c>
      <c r="P313" s="1132" t="s">
        <v>5110</v>
      </c>
      <c r="Q313" s="1315">
        <v>7102</v>
      </c>
      <c r="R313" s="1394" t="s">
        <v>5087</v>
      </c>
      <c r="S313" s="1393">
        <v>1</v>
      </c>
      <c r="T313" s="1107">
        <f>IFERROR(VLOOKUP(S313,'TAB OBR'!A:B,2,0),0)</f>
        <v>130</v>
      </c>
      <c r="U313" s="1108">
        <v>0</v>
      </c>
      <c r="V313" s="1107">
        <f t="shared" si="897"/>
        <v>130</v>
      </c>
      <c r="W313" s="1108">
        <f t="shared" si="898"/>
        <v>65</v>
      </c>
      <c r="X313" s="1135" t="s">
        <v>2884</v>
      </c>
      <c r="Y313" s="1135" t="s">
        <v>2884</v>
      </c>
      <c r="Z313" s="1135">
        <v>0</v>
      </c>
      <c r="AA313" s="1107">
        <f>ROUND(IF(H313&lt;&gt;"",VLOOKUP(SUM(I313+J313),'CONCEPTOS Y PARAMETROS'!F:G,2,0)*V313,0),2)</f>
        <v>27.56</v>
      </c>
      <c r="AB313" s="1107">
        <f>IF(S313&lt;&gt;"",IF(M313="",'CONCEPTOS Y PARAMETROS'!$C$4,0),0)</f>
        <v>130</v>
      </c>
      <c r="AC313" s="1107">
        <f>IF(S313&lt;&gt;"",IF(M313="",'CONCEPTOS Y PARAMETROS'!$C$7*Z313,0),0)</f>
        <v>0</v>
      </c>
      <c r="AD313" s="1107">
        <f>IFERROR(ROUND(VLOOKUP($X313,'CONCEPTOS Y PARAMETROS'!H:I,2,0)*($V313+AA313+AB313+AC313),2),0)</f>
        <v>0</v>
      </c>
      <c r="AE313" s="1107">
        <f t="shared" si="899"/>
        <v>157.56</v>
      </c>
      <c r="AF313" s="1107">
        <f t="shared" si="900"/>
        <v>13.78</v>
      </c>
      <c r="AG313" s="1107">
        <f t="shared" si="901"/>
        <v>13.78</v>
      </c>
      <c r="AH313" s="1107">
        <f t="shared" si="902"/>
        <v>65</v>
      </c>
      <c r="AI313" s="1107">
        <f t="shared" si="903"/>
        <v>65</v>
      </c>
      <c r="AJ313" s="1107">
        <f t="shared" si="904"/>
        <v>0</v>
      </c>
      <c r="AK313" s="1107">
        <f t="shared" si="905"/>
        <v>0</v>
      </c>
      <c r="AL313" s="1108">
        <f t="shared" si="906"/>
        <v>78.78</v>
      </c>
      <c r="AM313" s="1108">
        <f t="shared" si="907"/>
        <v>78.78</v>
      </c>
      <c r="AN313" s="990">
        <v>0</v>
      </c>
      <c r="AO313" s="1147">
        <f>'CONCEPTOS Y PARAMETROS'!$C$18*AN313</f>
        <v>0</v>
      </c>
      <c r="AP313" s="990">
        <v>0</v>
      </c>
      <c r="AQ313" s="1147">
        <f>'CONCEPTOS Y PARAMETROS'!$C$21*AP313</f>
        <v>0</v>
      </c>
      <c r="AR313" s="1318">
        <v>0</v>
      </c>
      <c r="AS313" s="1318">
        <v>0</v>
      </c>
      <c r="AT313" s="1318">
        <f t="shared" si="908"/>
        <v>0</v>
      </c>
      <c r="AU313" s="1108">
        <f t="shared" si="909"/>
        <v>287.56</v>
      </c>
      <c r="AV313" s="1133">
        <v>0</v>
      </c>
      <c r="AW313" s="1108">
        <f t="shared" si="910"/>
        <v>0</v>
      </c>
      <c r="AX313" s="1107">
        <f>IF(T313&lt;&gt;"0",(ROUND(IF(A313="EMPLEADO",eval_formula('CONCEPTOS Y PARAMETROS'!$C$8,NOMINA!V313,NOMINA!$AU313,NOMINA!I313+NOMINA!J313),eval_formula('CONCEPTOS Y PARAMETROS'!$D$8,NOMINA!V313,NOMINA!$AU313,NOMINA!I313+NOMINA!J313)),2))*IF(H313&lt;&gt;"",IF(MONTH(H313)=$BR$8,IF(YEAR(H313)&lt;$BT$7,1,0),0)))</f>
        <v>0</v>
      </c>
      <c r="AY313" s="1108">
        <v>180</v>
      </c>
      <c r="AZ313" s="1107">
        <f>IFERROR(VLOOKUP(AY313,'CONCEPTOS Y PARAMETROS'!Y:Z,2,0),0)</f>
        <v>150</v>
      </c>
      <c r="BA313" s="1107">
        <f t="shared" si="911"/>
        <v>2156.6999999999998</v>
      </c>
      <c r="BB313" s="1107">
        <f t="shared" si="912"/>
        <v>0</v>
      </c>
      <c r="BC313" s="990">
        <v>0</v>
      </c>
      <c r="BD313" s="1107" t="str">
        <f t="shared" si="913"/>
        <v>0</v>
      </c>
      <c r="BE313" s="990">
        <v>0</v>
      </c>
      <c r="BF313" s="1107">
        <f t="shared" si="914"/>
        <v>0</v>
      </c>
      <c r="BG313" s="1108">
        <v>310</v>
      </c>
      <c r="BH313" s="1108">
        <v>0</v>
      </c>
      <c r="BI313" s="1132">
        <v>0</v>
      </c>
      <c r="BJ313" s="1108">
        <f t="shared" si="915"/>
        <v>0</v>
      </c>
      <c r="BK313" s="1108">
        <v>0</v>
      </c>
      <c r="BL313" s="1107">
        <f t="shared" ref="BL313:BL344" si="942">ROUND(IF(M313="", (((AU313*12)/52)*4%)*$BS$8,0),2)</f>
        <v>13.27</v>
      </c>
      <c r="BM313" s="1107">
        <f t="shared" ref="BM313:BM344" si="943">ROUND(IF(M313="",(((AU313*12)/52)*0.5%)*$BS$8,0),2)</f>
        <v>1.66</v>
      </c>
      <c r="BN313" s="1107">
        <f t="shared" si="916"/>
        <v>2.88</v>
      </c>
      <c r="BO313" s="1107">
        <v>0</v>
      </c>
      <c r="BP313" s="1107">
        <v>0</v>
      </c>
      <c r="BQ313" s="1320">
        <f t="shared" si="917"/>
        <v>17.809999999999999</v>
      </c>
      <c r="BR313" s="1107">
        <f t="shared" ref="BR313:BR344" si="944">ROUND(IF(M313="", (((AU313*12)/52)*9%)*$BS$8,0),2)</f>
        <v>29.86</v>
      </c>
      <c r="BS313" s="1107">
        <f t="shared" ref="BS313:BS344" si="945">ROUND(IF(M313="",(((AU313*12)/52)*2%)*$BS$8,0),2)</f>
        <v>6.64</v>
      </c>
      <c r="BT313" s="1107">
        <f t="shared" si="918"/>
        <v>5.76</v>
      </c>
      <c r="BU313" s="1107">
        <v>0</v>
      </c>
      <c r="BV313" s="1108">
        <f t="shared" si="919"/>
        <v>42.26</v>
      </c>
      <c r="BW313" s="1112">
        <f t="shared" si="920"/>
        <v>60.069999999999993</v>
      </c>
      <c r="BX313" s="1112">
        <f t="shared" si="921"/>
        <v>539.17999999999995</v>
      </c>
      <c r="BY313" s="1108">
        <v>0</v>
      </c>
      <c r="BZ313" s="1108">
        <f t="shared" si="922"/>
        <v>539.17999999999995</v>
      </c>
      <c r="CA313" s="1321">
        <f>'CONCEPTOS Y PARAMETROS'!$A$102</f>
        <v>6255</v>
      </c>
      <c r="CB313" s="1112">
        <f t="shared" si="923"/>
        <v>125.97</v>
      </c>
      <c r="CC313" s="1113">
        <f t="shared" si="924"/>
        <v>453.78</v>
      </c>
      <c r="CD313" s="512"/>
      <c r="CE313" s="512"/>
      <c r="CF313" s="470">
        <f t="shared" si="925"/>
        <v>763.78</v>
      </c>
      <c r="CG313" s="495">
        <f t="shared" si="926"/>
        <v>125.97</v>
      </c>
      <c r="CH313" s="498">
        <f t="shared" si="927"/>
        <v>0</v>
      </c>
      <c r="CI313" s="1490">
        <f t="shared" si="928"/>
        <v>310</v>
      </c>
      <c r="CJ313" s="1500">
        <v>1</v>
      </c>
      <c r="CK313" s="495">
        <f t="shared" si="929"/>
        <v>453.78</v>
      </c>
      <c r="CL313" s="1689">
        <f t="shared" si="930"/>
        <v>453.78</v>
      </c>
      <c r="CM313" s="1689">
        <f t="shared" si="940"/>
        <v>0</v>
      </c>
      <c r="CN313" s="496">
        <f t="shared" si="932"/>
        <v>0</v>
      </c>
      <c r="CO313" s="497">
        <v>0</v>
      </c>
      <c r="CP313" s="496">
        <f t="shared" si="933"/>
        <v>0</v>
      </c>
      <c r="CQ313" s="496">
        <f t="shared" si="934"/>
        <v>0</v>
      </c>
      <c r="CR313" s="496">
        <f t="shared" si="935"/>
        <v>907.56</v>
      </c>
      <c r="CS313" s="496">
        <f t="shared" si="936"/>
        <v>60.069999999999993</v>
      </c>
      <c r="CT313" s="496">
        <f t="shared" si="937"/>
        <v>6255</v>
      </c>
      <c r="CU313" s="470"/>
      <c r="CV313" s="470"/>
      <c r="CW313" s="470"/>
      <c r="CX313" s="470"/>
      <c r="CY313" s="1275" t="s">
        <v>6959</v>
      </c>
      <c r="CZ313" s="1275" t="s">
        <v>7144</v>
      </c>
      <c r="DA313" s="480"/>
      <c r="DB313" s="1642" t="s">
        <v>6428</v>
      </c>
      <c r="DC313" s="1642"/>
      <c r="DD313" s="1642" t="s">
        <v>6123</v>
      </c>
      <c r="DE313" s="1642" t="s">
        <v>6361</v>
      </c>
      <c r="DF313" s="1642" t="s">
        <v>6429</v>
      </c>
      <c r="DG313" s="1152"/>
      <c r="DH313" s="512"/>
      <c r="DI313" s="512"/>
      <c r="DJ313" s="470"/>
      <c r="DK313" s="470"/>
      <c r="DL313" s="470"/>
      <c r="DN313" s="471" t="str">
        <f>VLOOKUP(X313,Hoja1!$A$4:$B$10,2,0)</f>
        <v>BACHILLER</v>
      </c>
      <c r="DO313" s="471" t="str">
        <f>VLOOKUP(S313,Hoja1!$D$4:$F$77,3,0)</f>
        <v>GRADO (1) - MIN</v>
      </c>
      <c r="DP313" s="1156" t="str">
        <f t="shared" si="938"/>
        <v>0</v>
      </c>
      <c r="DQ313" s="1484">
        <f>IF(T313&lt;&gt;"0",(ROUND(IF(A313="EMPLEADO",eval_formula('CONCEPTOS Y PARAMETROS'!$C$8,NOMINA!V313,AU313+BF313,NOMINA!I313+NOMINA!J313),eval_formula('CONCEPTOS Y PARAMETROS'!$D$8,NOMINA!V313,AU313+BF313,NOMINA!I313+NOMINA!J313)),2))*IF(H313&lt;&gt;"",IF(MONTH(H313)=$BR$8,IF(YEAR(H313)&lt;$BT$7,1,0),0)))</f>
        <v>0</v>
      </c>
      <c r="DR313" s="1801" t="str">
        <f t="shared" si="939"/>
        <v>F</v>
      </c>
      <c r="DS313" s="1801"/>
    </row>
    <row r="314" spans="1:123" s="476" customFormat="1" ht="21.95" customHeight="1" x14ac:dyDescent="0.25">
      <c r="A314" s="508" t="s">
        <v>2834</v>
      </c>
      <c r="B314" s="1314">
        <f t="shared" ca="1" si="941"/>
        <v>10</v>
      </c>
      <c r="C314" s="990">
        <v>9110498</v>
      </c>
      <c r="D314" s="1275" t="s">
        <v>4969</v>
      </c>
      <c r="E314" s="1135" t="s">
        <v>4622</v>
      </c>
      <c r="F314" s="1118">
        <v>20157</v>
      </c>
      <c r="G314" s="1135" t="s">
        <v>4621</v>
      </c>
      <c r="H314" s="1118">
        <v>37508</v>
      </c>
      <c r="I314" s="1140">
        <f t="shared" si="895"/>
        <v>23</v>
      </c>
      <c r="J314" s="1132">
        <v>0</v>
      </c>
      <c r="K314" s="1140">
        <f t="shared" si="896"/>
        <v>23</v>
      </c>
      <c r="L314" s="1145" t="s">
        <v>5539</v>
      </c>
      <c r="M314" s="1132"/>
      <c r="N314" s="1132"/>
      <c r="O314" s="1002" t="s">
        <v>5084</v>
      </c>
      <c r="P314" s="1132" t="s">
        <v>5111</v>
      </c>
      <c r="Q314" s="1315">
        <v>7152</v>
      </c>
      <c r="R314" s="1394" t="s">
        <v>5084</v>
      </c>
      <c r="S314" s="1393">
        <v>3</v>
      </c>
      <c r="T314" s="1107">
        <f>IFERROR(VLOOKUP(S314,'TAB OBR'!A:B,2,0),0)</f>
        <v>152</v>
      </c>
      <c r="U314" s="1108">
        <v>0</v>
      </c>
      <c r="V314" s="1107">
        <f t="shared" si="897"/>
        <v>152</v>
      </c>
      <c r="W314" s="1108">
        <f t="shared" si="898"/>
        <v>76</v>
      </c>
      <c r="X314" s="1135" t="s">
        <v>2884</v>
      </c>
      <c r="Y314" s="1135" t="s">
        <v>2884</v>
      </c>
      <c r="Z314" s="1135">
        <v>0</v>
      </c>
      <c r="AA314" s="1107">
        <f>ROUND(IF(H314&lt;&gt;"",VLOOKUP(SUM(I314+J314),'CONCEPTOS Y PARAMETROS'!F:G,2,0)*V314,0),2)</f>
        <v>45.6</v>
      </c>
      <c r="AB314" s="1107">
        <f>IF(S314&lt;&gt;"",IF(M314="",'CONCEPTOS Y PARAMETROS'!$C$4,0),0)</f>
        <v>130</v>
      </c>
      <c r="AC314" s="1107">
        <f>IF(S314&lt;&gt;"",IF(M314="",'CONCEPTOS Y PARAMETROS'!$C$7*Z314,0),0)</f>
        <v>0</v>
      </c>
      <c r="AD314" s="1107">
        <f>IFERROR(ROUND(VLOOKUP($X314,'CONCEPTOS Y PARAMETROS'!H:I,2,0)*($V314+AA314+AB314+AC314),2),0)</f>
        <v>0</v>
      </c>
      <c r="AE314" s="1107">
        <f t="shared" si="899"/>
        <v>175.6</v>
      </c>
      <c r="AF314" s="1107">
        <f t="shared" si="900"/>
        <v>22.8</v>
      </c>
      <c r="AG314" s="1107">
        <f t="shared" si="901"/>
        <v>22.8</v>
      </c>
      <c r="AH314" s="1107">
        <f t="shared" si="902"/>
        <v>65</v>
      </c>
      <c r="AI314" s="1107">
        <f t="shared" si="903"/>
        <v>65</v>
      </c>
      <c r="AJ314" s="1107">
        <f t="shared" si="904"/>
        <v>0</v>
      </c>
      <c r="AK314" s="1107">
        <f t="shared" si="905"/>
        <v>0</v>
      </c>
      <c r="AL314" s="1108">
        <f t="shared" si="906"/>
        <v>87.8</v>
      </c>
      <c r="AM314" s="1108">
        <f t="shared" si="907"/>
        <v>87.8</v>
      </c>
      <c r="AN314" s="990">
        <v>0</v>
      </c>
      <c r="AO314" s="1147">
        <f>'CONCEPTOS Y PARAMETROS'!$C$18*AN314</f>
        <v>0</v>
      </c>
      <c r="AP314" s="990">
        <v>0</v>
      </c>
      <c r="AQ314" s="1147">
        <f>'CONCEPTOS Y PARAMETROS'!$C$21*AP314</f>
        <v>0</v>
      </c>
      <c r="AR314" s="1318">
        <v>0</v>
      </c>
      <c r="AS314" s="1318">
        <v>0</v>
      </c>
      <c r="AT314" s="1318">
        <f t="shared" si="908"/>
        <v>0</v>
      </c>
      <c r="AU314" s="1108">
        <f t="shared" si="909"/>
        <v>327.60000000000002</v>
      </c>
      <c r="AV314" s="1133">
        <v>0</v>
      </c>
      <c r="AW314" s="1108">
        <f t="shared" si="910"/>
        <v>0</v>
      </c>
      <c r="AX314" s="1107">
        <f>IF(T314&lt;&gt;"0",(ROUND(IF(A314="EMPLEADO",eval_formula('CONCEPTOS Y PARAMETROS'!$C$8,NOMINA!V314,NOMINA!$AU314,NOMINA!I314+NOMINA!J314),eval_formula('CONCEPTOS Y PARAMETROS'!$D$8,NOMINA!V314,NOMINA!$AU314,NOMINA!I314+NOMINA!J314)),2))*IF(H314&lt;&gt;"",IF(MONTH(H314)=$BR$8,IF(YEAR(H314)&lt;$BT$7,1,0),0)))</f>
        <v>2620.8000000000002</v>
      </c>
      <c r="AY314" s="1108">
        <v>180</v>
      </c>
      <c r="AZ314" s="1107">
        <f>IFERROR(VLOOKUP(AY314,'CONCEPTOS Y PARAMETROS'!Y:Z,2,0),0)</f>
        <v>150</v>
      </c>
      <c r="BA314" s="1107">
        <f t="shared" si="911"/>
        <v>2457</v>
      </c>
      <c r="BB314" s="1107">
        <f t="shared" si="912"/>
        <v>0</v>
      </c>
      <c r="BC314" s="990">
        <v>0</v>
      </c>
      <c r="BD314" s="1107" t="str">
        <f t="shared" si="913"/>
        <v>0</v>
      </c>
      <c r="BE314" s="990">
        <v>0</v>
      </c>
      <c r="BF314" s="1107">
        <f t="shared" si="914"/>
        <v>0</v>
      </c>
      <c r="BG314" s="1108">
        <v>310</v>
      </c>
      <c r="BH314" s="1108">
        <v>0</v>
      </c>
      <c r="BI314" s="1132">
        <v>0</v>
      </c>
      <c r="BJ314" s="1108">
        <f t="shared" si="915"/>
        <v>0</v>
      </c>
      <c r="BK314" s="1108">
        <v>0</v>
      </c>
      <c r="BL314" s="1107">
        <f t="shared" si="942"/>
        <v>15.12</v>
      </c>
      <c r="BM314" s="1107">
        <f t="shared" si="943"/>
        <v>1.89</v>
      </c>
      <c r="BN314" s="1107">
        <f t="shared" si="916"/>
        <v>3.28</v>
      </c>
      <c r="BO314" s="1107">
        <v>0</v>
      </c>
      <c r="BP314" s="1107">
        <v>0</v>
      </c>
      <c r="BQ314" s="1320">
        <f t="shared" si="917"/>
        <v>20.29</v>
      </c>
      <c r="BR314" s="1107">
        <f t="shared" si="944"/>
        <v>34.020000000000003</v>
      </c>
      <c r="BS314" s="1107">
        <f t="shared" si="945"/>
        <v>7.56</v>
      </c>
      <c r="BT314" s="1107">
        <f t="shared" si="918"/>
        <v>6.56</v>
      </c>
      <c r="BU314" s="1107">
        <v>0</v>
      </c>
      <c r="BV314" s="1108">
        <f t="shared" si="919"/>
        <v>48.14</v>
      </c>
      <c r="BW314" s="1112">
        <f t="shared" si="920"/>
        <v>68.430000000000007</v>
      </c>
      <c r="BX314" s="1112">
        <f t="shared" si="921"/>
        <v>614.25</v>
      </c>
      <c r="BY314" s="1108">
        <v>0</v>
      </c>
      <c r="BZ314" s="1108">
        <f t="shared" si="922"/>
        <v>614.25</v>
      </c>
      <c r="CA314" s="1321">
        <f>'CONCEPTOS Y PARAMETROS'!$A$102</f>
        <v>6255</v>
      </c>
      <c r="CB314" s="1112">
        <f t="shared" si="923"/>
        <v>143.51000000000002</v>
      </c>
      <c r="CC314" s="1113">
        <f t="shared" si="924"/>
        <v>3094.6</v>
      </c>
      <c r="CD314" s="512"/>
      <c r="CE314" s="512"/>
      <c r="CF314" s="470">
        <f t="shared" si="925"/>
        <v>783.8</v>
      </c>
      <c r="CG314" s="495">
        <f t="shared" si="926"/>
        <v>143.51000000000002</v>
      </c>
      <c r="CH314" s="498">
        <f t="shared" si="927"/>
        <v>0</v>
      </c>
      <c r="CI314" s="1490">
        <f t="shared" si="928"/>
        <v>310</v>
      </c>
      <c r="CJ314" s="1500">
        <v>1</v>
      </c>
      <c r="CK314" s="495">
        <f t="shared" si="929"/>
        <v>473.8</v>
      </c>
      <c r="CL314" s="1689">
        <f t="shared" si="930"/>
        <v>473.8</v>
      </c>
      <c r="CM314" s="1689">
        <f t="shared" si="940"/>
        <v>0</v>
      </c>
      <c r="CN314" s="496">
        <f t="shared" si="932"/>
        <v>0</v>
      </c>
      <c r="CO314" s="497">
        <v>0</v>
      </c>
      <c r="CP314" s="496">
        <f t="shared" si="933"/>
        <v>0</v>
      </c>
      <c r="CQ314" s="496">
        <f t="shared" si="934"/>
        <v>2620.8000000000002</v>
      </c>
      <c r="CR314" s="496">
        <f t="shared" si="935"/>
        <v>3568.4</v>
      </c>
      <c r="CS314" s="496">
        <f t="shared" si="936"/>
        <v>68.430000000000007</v>
      </c>
      <c r="CT314" s="496">
        <f t="shared" si="937"/>
        <v>6255</v>
      </c>
      <c r="CU314" s="470"/>
      <c r="CV314" s="470"/>
      <c r="CW314" s="470"/>
      <c r="CX314" s="470"/>
      <c r="CY314" s="1275" t="s">
        <v>6828</v>
      </c>
      <c r="CZ314" s="1275" t="s">
        <v>7145</v>
      </c>
      <c r="DA314" s="480"/>
      <c r="DB314" s="1642" t="s">
        <v>6430</v>
      </c>
      <c r="DC314" s="1642"/>
      <c r="DD314" s="1642" t="s">
        <v>6137</v>
      </c>
      <c r="DE314" s="1642" t="s">
        <v>6217</v>
      </c>
      <c r="DF314" s="1642" t="s">
        <v>7538</v>
      </c>
      <c r="DG314" s="1152"/>
      <c r="DH314" s="512"/>
      <c r="DI314" s="512"/>
      <c r="DJ314" s="470"/>
      <c r="DK314" s="470"/>
      <c r="DL314" s="470"/>
      <c r="DM314" s="471"/>
      <c r="DN314" s="471" t="str">
        <f>VLOOKUP(X314,Hoja1!$A$4:$B$10,2,0)</f>
        <v>BACHILLER</v>
      </c>
      <c r="DO314" s="471" t="str">
        <f>VLOOKUP(S314,Hoja1!$D$4:$F$77,3,0)</f>
        <v>GRADO (3) - MÁX</v>
      </c>
      <c r="DP314" s="1156" t="str">
        <f t="shared" si="938"/>
        <v>0</v>
      </c>
      <c r="DQ314" s="1484">
        <f>IF(T314&lt;&gt;"0",(ROUND(IF(A314="EMPLEADO",eval_formula('CONCEPTOS Y PARAMETROS'!$C$8,NOMINA!V314,AU314+BF314,NOMINA!I314+NOMINA!J314),eval_formula('CONCEPTOS Y PARAMETROS'!$D$8,NOMINA!V314,AU314+BF314,NOMINA!I314+NOMINA!J314)),2))*IF(H314&lt;&gt;"",IF(MONTH(H314)=$BR$8,IF(YEAR(H314)&lt;$BT$7,1,0),0)))</f>
        <v>2620.8000000000002</v>
      </c>
      <c r="DR314" s="1801" t="str">
        <f t="shared" si="939"/>
        <v>M</v>
      </c>
      <c r="DS314" s="1801"/>
    </row>
    <row r="315" spans="1:123" s="471" customFormat="1" ht="21.95" customHeight="1" x14ac:dyDescent="0.25">
      <c r="A315" s="508" t="s">
        <v>2834</v>
      </c>
      <c r="B315" s="1314">
        <f t="shared" ca="1" si="941"/>
        <v>11</v>
      </c>
      <c r="C315" s="990">
        <v>9163994</v>
      </c>
      <c r="D315" s="1275" t="s">
        <v>4970</v>
      </c>
      <c r="E315" s="1135" t="s">
        <v>4622</v>
      </c>
      <c r="F315" s="1118">
        <v>22301</v>
      </c>
      <c r="G315" s="1135" t="s">
        <v>4621</v>
      </c>
      <c r="H315" s="1118">
        <v>43770</v>
      </c>
      <c r="I315" s="1140">
        <f t="shared" si="895"/>
        <v>5</v>
      </c>
      <c r="J315" s="1132">
        <v>0</v>
      </c>
      <c r="K315" s="1140">
        <f t="shared" si="896"/>
        <v>5</v>
      </c>
      <c r="L315" s="1145" t="s">
        <v>5538</v>
      </c>
      <c r="M315" s="1132"/>
      <c r="N315" s="1132"/>
      <c r="O315" s="1002" t="s">
        <v>5088</v>
      </c>
      <c r="P315" s="1132" t="s">
        <v>5112</v>
      </c>
      <c r="Q315" s="1315">
        <v>7201</v>
      </c>
      <c r="R315" s="1394" t="s">
        <v>5088</v>
      </c>
      <c r="S315" s="1393">
        <v>5</v>
      </c>
      <c r="T315" s="1107">
        <f>IFERROR(VLOOKUP(S315,'TAB OBR'!A:B,2,0),0)</f>
        <v>171</v>
      </c>
      <c r="U315" s="1108">
        <v>0</v>
      </c>
      <c r="V315" s="1107">
        <f t="shared" si="897"/>
        <v>171</v>
      </c>
      <c r="W315" s="1108">
        <f t="shared" si="898"/>
        <v>85.5</v>
      </c>
      <c r="X315" s="1135" t="s">
        <v>2884</v>
      </c>
      <c r="Y315" s="1135" t="s">
        <v>2884</v>
      </c>
      <c r="Z315" s="1135">
        <v>0</v>
      </c>
      <c r="AA315" s="1107">
        <f>ROUND(IF(H315&lt;&gt;"",VLOOKUP(SUM(I315+J315),'CONCEPTOS Y PARAMETROS'!F:G,2,0)*V315,0),2)</f>
        <v>8.5500000000000007</v>
      </c>
      <c r="AB315" s="1107">
        <f>IF(S315&lt;&gt;"",IF(M315="",'CONCEPTOS Y PARAMETROS'!$C$4,0),0)</f>
        <v>130</v>
      </c>
      <c r="AC315" s="1107">
        <f>IF(S315&lt;&gt;"",IF(M315="",'CONCEPTOS Y PARAMETROS'!$C$7*Z315,0),0)</f>
        <v>0</v>
      </c>
      <c r="AD315" s="1107">
        <f>IFERROR(ROUND(VLOOKUP($X315,'CONCEPTOS Y PARAMETROS'!H:I,2,0)*($V315+AA315+AB315+AC315),2),0)</f>
        <v>0</v>
      </c>
      <c r="AE315" s="1107">
        <f t="shared" si="899"/>
        <v>138.55000000000001</v>
      </c>
      <c r="AF315" s="1107">
        <f t="shared" si="900"/>
        <v>4.28</v>
      </c>
      <c r="AG315" s="1107">
        <f t="shared" si="901"/>
        <v>4.2699999999999996</v>
      </c>
      <c r="AH315" s="1107">
        <f t="shared" si="902"/>
        <v>65</v>
      </c>
      <c r="AI315" s="1107">
        <f t="shared" si="903"/>
        <v>65</v>
      </c>
      <c r="AJ315" s="1107">
        <f t="shared" si="904"/>
        <v>0</v>
      </c>
      <c r="AK315" s="1107">
        <f t="shared" si="905"/>
        <v>0</v>
      </c>
      <c r="AL315" s="1108">
        <f t="shared" si="906"/>
        <v>69.28</v>
      </c>
      <c r="AM315" s="1108">
        <f t="shared" si="907"/>
        <v>69.27</v>
      </c>
      <c r="AN315" s="990">
        <v>0</v>
      </c>
      <c r="AO315" s="1147">
        <f>'CONCEPTOS Y PARAMETROS'!$C$18*AN315</f>
        <v>0</v>
      </c>
      <c r="AP315" s="990">
        <v>0</v>
      </c>
      <c r="AQ315" s="1147">
        <f>'CONCEPTOS Y PARAMETROS'!$C$21*AP315</f>
        <v>0</v>
      </c>
      <c r="AR315" s="1318">
        <v>0</v>
      </c>
      <c r="AS315" s="1318">
        <v>0</v>
      </c>
      <c r="AT315" s="1318">
        <f t="shared" si="908"/>
        <v>0</v>
      </c>
      <c r="AU315" s="1108">
        <f t="shared" si="909"/>
        <v>309.55</v>
      </c>
      <c r="AV315" s="1133">
        <v>0</v>
      </c>
      <c r="AW315" s="1108">
        <f t="shared" si="910"/>
        <v>0</v>
      </c>
      <c r="AX315" s="1107">
        <f>IF(T315&lt;&gt;"0",(ROUND(IF(A315="EMPLEADO",eval_formula('CONCEPTOS Y PARAMETROS'!$C$8,NOMINA!V315,NOMINA!$AU315,NOMINA!I315+NOMINA!J315),eval_formula('CONCEPTOS Y PARAMETROS'!$D$8,NOMINA!V315,NOMINA!$AU315,NOMINA!I315+NOMINA!J315)),2))*IF(H315&lt;&gt;"",IF(MONTH(H315)=$BR$8,IF(YEAR(H315)&lt;$BT$7,1,0),0)))</f>
        <v>0</v>
      </c>
      <c r="AY315" s="1108">
        <v>180</v>
      </c>
      <c r="AZ315" s="1107">
        <f>IFERROR(VLOOKUP(AY315,'CONCEPTOS Y PARAMETROS'!Y:Z,2,0),0)</f>
        <v>150</v>
      </c>
      <c r="BA315" s="1107">
        <f t="shared" si="911"/>
        <v>2321.63</v>
      </c>
      <c r="BB315" s="1107">
        <f t="shared" si="912"/>
        <v>0</v>
      </c>
      <c r="BC315" s="990">
        <v>0</v>
      </c>
      <c r="BD315" s="1107" t="str">
        <f t="shared" si="913"/>
        <v>0</v>
      </c>
      <c r="BE315" s="990">
        <v>0</v>
      </c>
      <c r="BF315" s="1107">
        <f t="shared" si="914"/>
        <v>0</v>
      </c>
      <c r="BG315" s="1108">
        <v>310</v>
      </c>
      <c r="BH315" s="1108">
        <v>0</v>
      </c>
      <c r="BI315" s="1132">
        <v>0</v>
      </c>
      <c r="BJ315" s="1108">
        <f t="shared" si="915"/>
        <v>0</v>
      </c>
      <c r="BK315" s="1108">
        <v>0</v>
      </c>
      <c r="BL315" s="1107">
        <f t="shared" si="942"/>
        <v>14.29</v>
      </c>
      <c r="BM315" s="1107">
        <f t="shared" si="943"/>
        <v>1.79</v>
      </c>
      <c r="BN315" s="1107">
        <f t="shared" si="916"/>
        <v>3.1</v>
      </c>
      <c r="BO315" s="1107">
        <v>0</v>
      </c>
      <c r="BP315" s="1107">
        <v>0</v>
      </c>
      <c r="BQ315" s="1320">
        <f t="shared" si="917"/>
        <v>19.18</v>
      </c>
      <c r="BR315" s="1107">
        <f t="shared" si="944"/>
        <v>32.15</v>
      </c>
      <c r="BS315" s="1107">
        <f t="shared" si="945"/>
        <v>7.14</v>
      </c>
      <c r="BT315" s="1107">
        <f t="shared" si="918"/>
        <v>6.2</v>
      </c>
      <c r="BU315" s="1107">
        <v>0</v>
      </c>
      <c r="BV315" s="1108">
        <f t="shared" si="919"/>
        <v>45.49</v>
      </c>
      <c r="BW315" s="1112">
        <f t="shared" si="920"/>
        <v>64.67</v>
      </c>
      <c r="BX315" s="1112">
        <f t="shared" si="921"/>
        <v>580.41</v>
      </c>
      <c r="BY315" s="1108">
        <v>0</v>
      </c>
      <c r="BZ315" s="1108">
        <f t="shared" si="922"/>
        <v>580.41</v>
      </c>
      <c r="CA315" s="1321">
        <f>'CONCEPTOS Y PARAMETROS'!$A$102</f>
        <v>6255</v>
      </c>
      <c r="CB315" s="1112">
        <f t="shared" si="923"/>
        <v>135.6</v>
      </c>
      <c r="CC315" s="1113">
        <f t="shared" si="924"/>
        <v>464.77</v>
      </c>
      <c r="CD315" s="512"/>
      <c r="CE315" s="512"/>
      <c r="CF315" s="470">
        <f t="shared" si="925"/>
        <v>774.77</v>
      </c>
      <c r="CG315" s="495">
        <f t="shared" si="926"/>
        <v>135.6</v>
      </c>
      <c r="CH315" s="498">
        <f t="shared" si="927"/>
        <v>0</v>
      </c>
      <c r="CI315" s="1490">
        <f t="shared" si="928"/>
        <v>310</v>
      </c>
      <c r="CJ315" s="1500">
        <v>1</v>
      </c>
      <c r="CK315" s="495">
        <f t="shared" si="929"/>
        <v>464.77</v>
      </c>
      <c r="CL315" s="1689">
        <f t="shared" si="930"/>
        <v>464.77</v>
      </c>
      <c r="CM315" s="1689">
        <f t="shared" si="940"/>
        <v>0</v>
      </c>
      <c r="CN315" s="496">
        <f t="shared" si="932"/>
        <v>0</v>
      </c>
      <c r="CO315" s="497">
        <v>0</v>
      </c>
      <c r="CP315" s="496">
        <f t="shared" si="933"/>
        <v>0</v>
      </c>
      <c r="CQ315" s="496">
        <f t="shared" si="934"/>
        <v>0</v>
      </c>
      <c r="CR315" s="496">
        <f t="shared" si="935"/>
        <v>929.54</v>
      </c>
      <c r="CS315" s="496">
        <f t="shared" si="936"/>
        <v>64.67</v>
      </c>
      <c r="CT315" s="496">
        <f t="shared" si="937"/>
        <v>6255</v>
      </c>
      <c r="CU315" s="470"/>
      <c r="CV315" s="470"/>
      <c r="CW315" s="470"/>
      <c r="CX315" s="470"/>
      <c r="CY315" s="1275" t="s">
        <v>6949</v>
      </c>
      <c r="CZ315" s="1275" t="s">
        <v>7072</v>
      </c>
      <c r="DA315" s="480"/>
      <c r="DB315" s="1642" t="s">
        <v>7411</v>
      </c>
      <c r="DC315" s="1642"/>
      <c r="DD315" s="1642" t="s">
        <v>6135</v>
      </c>
      <c r="DE315" s="1642" t="s">
        <v>6247</v>
      </c>
      <c r="DF315" s="1642" t="s">
        <v>6489</v>
      </c>
      <c r="DG315" s="1642"/>
      <c r="DH315" s="512"/>
      <c r="DI315" s="512"/>
      <c r="DJ315" s="470"/>
      <c r="DK315" s="470"/>
      <c r="DL315" s="470"/>
      <c r="DN315" s="471" t="str">
        <f>VLOOKUP(X315,Hoja1!$A$4:$B$10,2,0)</f>
        <v>BACHILLER</v>
      </c>
      <c r="DO315" s="471" t="str">
        <f>VLOOKUP(S315,Hoja1!$D$4:$F$77,3,0)</f>
        <v>GRADO (5) - MÁX</v>
      </c>
      <c r="DP315" s="1156" t="str">
        <f t="shared" si="938"/>
        <v>0</v>
      </c>
      <c r="DQ315" s="1484">
        <f>IF(T315&lt;&gt;"0",(ROUND(IF(A315="EMPLEADO",eval_formula('CONCEPTOS Y PARAMETROS'!$C$8,NOMINA!V315,AU315+BF315,NOMINA!I315+NOMINA!J315),eval_formula('CONCEPTOS Y PARAMETROS'!$D$8,NOMINA!V315,AU315+BF315,NOMINA!I315+NOMINA!J315)),2))*IF(H315&lt;&gt;"",IF(MONTH(H315)=$BR$8,IF(YEAR(H315)&lt;$BT$7,1,0),0)))</f>
        <v>0</v>
      </c>
      <c r="DR315" s="1801" t="str">
        <f t="shared" si="939"/>
        <v>M</v>
      </c>
      <c r="DS315" s="1801"/>
    </row>
    <row r="316" spans="1:123" s="471" customFormat="1" ht="21.95" customHeight="1" x14ac:dyDescent="0.25">
      <c r="A316" s="508" t="s">
        <v>2834</v>
      </c>
      <c r="B316" s="1314">
        <f t="shared" ca="1" si="941"/>
        <v>12</v>
      </c>
      <c r="C316" s="990">
        <v>9167342</v>
      </c>
      <c r="D316" s="1275" t="s">
        <v>4971</v>
      </c>
      <c r="E316" s="1135" t="s">
        <v>4622</v>
      </c>
      <c r="F316" s="1118">
        <v>23630</v>
      </c>
      <c r="G316" s="1135" t="s">
        <v>4621</v>
      </c>
      <c r="H316" s="1118">
        <v>43845</v>
      </c>
      <c r="I316" s="1140">
        <f t="shared" si="895"/>
        <v>5</v>
      </c>
      <c r="J316" s="1132">
        <v>0</v>
      </c>
      <c r="K316" s="1140">
        <f t="shared" si="896"/>
        <v>5</v>
      </c>
      <c r="L316" s="1145" t="s">
        <v>7580</v>
      </c>
      <c r="M316" s="1132"/>
      <c r="N316" s="1132"/>
      <c r="O316" s="1002" t="s">
        <v>5089</v>
      </c>
      <c r="P316" s="1132" t="s">
        <v>5113</v>
      </c>
      <c r="Q316" s="1315">
        <v>1151</v>
      </c>
      <c r="R316" s="1394" t="s">
        <v>5089</v>
      </c>
      <c r="S316" s="1393">
        <v>3</v>
      </c>
      <c r="T316" s="1107">
        <f>IFERROR(VLOOKUP(S316,'TAB OBR'!A:B,2,0),0)</f>
        <v>152</v>
      </c>
      <c r="U316" s="1108">
        <v>0</v>
      </c>
      <c r="V316" s="1107">
        <f t="shared" si="897"/>
        <v>152</v>
      </c>
      <c r="W316" s="1108">
        <f t="shared" si="898"/>
        <v>76</v>
      </c>
      <c r="X316" s="1135" t="s">
        <v>2884</v>
      </c>
      <c r="Y316" s="1135" t="s">
        <v>2884</v>
      </c>
      <c r="Z316" s="1135">
        <v>0</v>
      </c>
      <c r="AA316" s="1107">
        <f>ROUND(IF(H316&lt;&gt;"",VLOOKUP(SUM(I316+J316),'CONCEPTOS Y PARAMETROS'!F:G,2,0)*V316,0),2)</f>
        <v>7.6</v>
      </c>
      <c r="AB316" s="1107">
        <f>IF(S316&lt;&gt;"",IF(M316="",'CONCEPTOS Y PARAMETROS'!$C$4,0),0)</f>
        <v>130</v>
      </c>
      <c r="AC316" s="1107">
        <f>IF(S316&lt;&gt;"",IF(M316="",'CONCEPTOS Y PARAMETROS'!$C$7*Z316,0),0)</f>
        <v>0</v>
      </c>
      <c r="AD316" s="1107">
        <f>IFERROR(ROUND(VLOOKUP($X316,'CONCEPTOS Y PARAMETROS'!H:I,2,0)*($V316+AA316+AB316+AC316),2),0)</f>
        <v>0</v>
      </c>
      <c r="AE316" s="1107">
        <f t="shared" si="899"/>
        <v>137.6</v>
      </c>
      <c r="AF316" s="1107">
        <f t="shared" si="900"/>
        <v>3.8</v>
      </c>
      <c r="AG316" s="1107">
        <f t="shared" si="901"/>
        <v>3.8</v>
      </c>
      <c r="AH316" s="1107">
        <f t="shared" si="902"/>
        <v>65</v>
      </c>
      <c r="AI316" s="1107">
        <f t="shared" si="903"/>
        <v>65</v>
      </c>
      <c r="AJ316" s="1107">
        <f t="shared" si="904"/>
        <v>0</v>
      </c>
      <c r="AK316" s="1107">
        <f t="shared" si="905"/>
        <v>0</v>
      </c>
      <c r="AL316" s="1108">
        <f t="shared" si="906"/>
        <v>68.8</v>
      </c>
      <c r="AM316" s="1108">
        <f t="shared" si="907"/>
        <v>68.8</v>
      </c>
      <c r="AN316" s="990">
        <v>0</v>
      </c>
      <c r="AO316" s="1147">
        <f>'CONCEPTOS Y PARAMETROS'!$C$18*AN316</f>
        <v>0</v>
      </c>
      <c r="AP316" s="990">
        <v>0</v>
      </c>
      <c r="AQ316" s="1147">
        <f>'CONCEPTOS Y PARAMETROS'!$C$21*AP316</f>
        <v>0</v>
      </c>
      <c r="AR316" s="1318">
        <v>0</v>
      </c>
      <c r="AS316" s="1318">
        <v>0</v>
      </c>
      <c r="AT316" s="1318">
        <f t="shared" si="908"/>
        <v>0</v>
      </c>
      <c r="AU316" s="1108">
        <f t="shared" si="909"/>
        <v>289.60000000000002</v>
      </c>
      <c r="AV316" s="1133">
        <v>0</v>
      </c>
      <c r="AW316" s="1108">
        <f t="shared" si="910"/>
        <v>0</v>
      </c>
      <c r="AX316" s="1107">
        <f>IF(T316&lt;&gt;"0",(ROUND(IF(A316="EMPLEADO",eval_formula('CONCEPTOS Y PARAMETROS'!$C$8,NOMINA!V316,NOMINA!$AU316,NOMINA!I316+NOMINA!J316),eval_formula('CONCEPTOS Y PARAMETROS'!$D$8,NOMINA!V316,NOMINA!$AU316,NOMINA!I316+NOMINA!J316)),2))*IF(H316&lt;&gt;"",IF(MONTH(H316)=$BR$8,IF(YEAR(H316)&lt;$BT$7,1,0),0)))</f>
        <v>0</v>
      </c>
      <c r="AY316" s="1108">
        <v>180</v>
      </c>
      <c r="AZ316" s="1107">
        <f>IFERROR(VLOOKUP(AY316,'CONCEPTOS Y PARAMETROS'!Y:Z,2,0),0)</f>
        <v>150</v>
      </c>
      <c r="BA316" s="1107">
        <f t="shared" si="911"/>
        <v>2172</v>
      </c>
      <c r="BB316" s="1107">
        <f t="shared" si="912"/>
        <v>0</v>
      </c>
      <c r="BC316" s="990">
        <v>0</v>
      </c>
      <c r="BD316" s="1107" t="str">
        <f t="shared" si="913"/>
        <v>0</v>
      </c>
      <c r="BE316" s="990">
        <v>0</v>
      </c>
      <c r="BF316" s="1107">
        <f t="shared" si="914"/>
        <v>0</v>
      </c>
      <c r="BG316" s="1108">
        <v>310</v>
      </c>
      <c r="BH316" s="1108">
        <v>0</v>
      </c>
      <c r="BI316" s="1132">
        <v>0</v>
      </c>
      <c r="BJ316" s="1108">
        <f t="shared" si="915"/>
        <v>0</v>
      </c>
      <c r="BK316" s="1108">
        <v>0</v>
      </c>
      <c r="BL316" s="1107">
        <f t="shared" si="942"/>
        <v>13.37</v>
      </c>
      <c r="BM316" s="1107">
        <f t="shared" si="943"/>
        <v>1.67</v>
      </c>
      <c r="BN316" s="1107">
        <f t="shared" si="916"/>
        <v>2.9</v>
      </c>
      <c r="BO316" s="1107">
        <v>0</v>
      </c>
      <c r="BP316" s="1107">
        <v>0</v>
      </c>
      <c r="BQ316" s="1320">
        <f t="shared" si="917"/>
        <v>17.940000000000001</v>
      </c>
      <c r="BR316" s="1107">
        <f t="shared" si="944"/>
        <v>30.07</v>
      </c>
      <c r="BS316" s="1107">
        <f t="shared" si="945"/>
        <v>6.68</v>
      </c>
      <c r="BT316" s="1107">
        <f t="shared" si="918"/>
        <v>5.8</v>
      </c>
      <c r="BU316" s="1107">
        <v>0</v>
      </c>
      <c r="BV316" s="1108">
        <f t="shared" si="919"/>
        <v>42.55</v>
      </c>
      <c r="BW316" s="1112">
        <f t="shared" si="920"/>
        <v>60.489999999999995</v>
      </c>
      <c r="BX316" s="1112">
        <f t="shared" si="921"/>
        <v>543</v>
      </c>
      <c r="BY316" s="1108">
        <v>0</v>
      </c>
      <c r="BZ316" s="1108">
        <f t="shared" si="922"/>
        <v>543</v>
      </c>
      <c r="CA316" s="1321">
        <f>'CONCEPTOS Y PARAMETROS'!$A$102</f>
        <v>6255</v>
      </c>
      <c r="CB316" s="1112">
        <f t="shared" si="923"/>
        <v>126.86000000000001</v>
      </c>
      <c r="CC316" s="1113">
        <f t="shared" si="924"/>
        <v>454.8</v>
      </c>
      <c r="CD316" s="512"/>
      <c r="CE316" s="512"/>
      <c r="CF316" s="470">
        <f t="shared" si="925"/>
        <v>764.8</v>
      </c>
      <c r="CG316" s="495">
        <f t="shared" si="926"/>
        <v>126.86000000000001</v>
      </c>
      <c r="CH316" s="498">
        <f t="shared" si="927"/>
        <v>0</v>
      </c>
      <c r="CI316" s="1490">
        <f t="shared" si="928"/>
        <v>310</v>
      </c>
      <c r="CJ316" s="1500">
        <v>1</v>
      </c>
      <c r="CK316" s="495">
        <f t="shared" si="929"/>
        <v>454.8</v>
      </c>
      <c r="CL316" s="1689">
        <f t="shared" si="930"/>
        <v>454.8</v>
      </c>
      <c r="CM316" s="1689">
        <f t="shared" si="940"/>
        <v>0</v>
      </c>
      <c r="CN316" s="496">
        <f t="shared" si="932"/>
        <v>0</v>
      </c>
      <c r="CO316" s="497">
        <v>0</v>
      </c>
      <c r="CP316" s="496">
        <f t="shared" si="933"/>
        <v>0</v>
      </c>
      <c r="CQ316" s="496">
        <f t="shared" si="934"/>
        <v>0</v>
      </c>
      <c r="CR316" s="496">
        <f t="shared" si="935"/>
        <v>909.6</v>
      </c>
      <c r="CS316" s="496">
        <f t="shared" si="936"/>
        <v>60.489999999999995</v>
      </c>
      <c r="CT316" s="496">
        <f t="shared" si="937"/>
        <v>6255</v>
      </c>
      <c r="CU316" s="470"/>
      <c r="CV316" s="470"/>
      <c r="CW316" s="470"/>
      <c r="CX316" s="470"/>
      <c r="CY316" s="1275" t="s">
        <v>7146</v>
      </c>
      <c r="CZ316" s="1275" t="s">
        <v>6813</v>
      </c>
      <c r="DA316" s="480"/>
      <c r="DB316" s="1642" t="s">
        <v>6431</v>
      </c>
      <c r="DC316" s="1642"/>
      <c r="DD316" s="1642" t="s">
        <v>6135</v>
      </c>
      <c r="DE316" s="1642" t="s">
        <v>6162</v>
      </c>
      <c r="DF316" s="1642" t="s">
        <v>7530</v>
      </c>
      <c r="DG316" s="1152"/>
      <c r="DH316" s="512"/>
      <c r="DI316" s="512"/>
      <c r="DJ316" s="470"/>
      <c r="DK316" s="470"/>
      <c r="DL316" s="470"/>
      <c r="DN316" s="471" t="str">
        <f>VLOOKUP(X316,Hoja1!$A$4:$B$10,2,0)</f>
        <v>BACHILLER</v>
      </c>
      <c r="DO316" s="471" t="str">
        <f>VLOOKUP(S316,Hoja1!$D$4:$F$77,3,0)</f>
        <v>GRADO (3) - MÁX</v>
      </c>
      <c r="DP316" s="1156" t="str">
        <f t="shared" si="938"/>
        <v>0</v>
      </c>
      <c r="DQ316" s="1484">
        <f>IF(T316&lt;&gt;"0",(ROUND(IF(A316="EMPLEADO",eval_formula('CONCEPTOS Y PARAMETROS'!$C$8,NOMINA!V316,AU316+BF316,NOMINA!I316+NOMINA!J316),eval_formula('CONCEPTOS Y PARAMETROS'!$D$8,NOMINA!V316,AU316+BF316,NOMINA!I316+NOMINA!J316)),2))*IF(H316&lt;&gt;"",IF(MONTH(H316)=$BR$8,IF(YEAR(H316)&lt;$BT$7,1,0),0)))</f>
        <v>0</v>
      </c>
      <c r="DR316" s="1801" t="str">
        <f t="shared" si="939"/>
        <v>M</v>
      </c>
      <c r="DS316" s="1801"/>
    </row>
    <row r="317" spans="1:123" s="471" customFormat="1" ht="21.95" customHeight="1" x14ac:dyDescent="0.25">
      <c r="A317" s="508" t="s">
        <v>2834</v>
      </c>
      <c r="B317" s="1314">
        <f t="shared" ca="1" si="941"/>
        <v>13</v>
      </c>
      <c r="C317" s="990">
        <v>9310477</v>
      </c>
      <c r="D317" s="1275" t="s">
        <v>4973</v>
      </c>
      <c r="E317" s="1135" t="s">
        <v>4622</v>
      </c>
      <c r="F317" s="1118">
        <v>23350</v>
      </c>
      <c r="G317" s="1135" t="s">
        <v>4621</v>
      </c>
      <c r="H317" s="1118">
        <v>44075</v>
      </c>
      <c r="I317" s="1140">
        <f t="shared" si="895"/>
        <v>5</v>
      </c>
      <c r="J317" s="1132">
        <v>0</v>
      </c>
      <c r="K317" s="1140">
        <f t="shared" si="896"/>
        <v>5</v>
      </c>
      <c r="L317" s="1145" t="s">
        <v>5549</v>
      </c>
      <c r="M317" s="1132"/>
      <c r="N317" s="1132"/>
      <c r="O317" s="1002" t="s">
        <v>5089</v>
      </c>
      <c r="P317" s="1132" t="s">
        <v>5114</v>
      </c>
      <c r="Q317" s="1315">
        <v>1151</v>
      </c>
      <c r="R317" s="1394" t="s">
        <v>5089</v>
      </c>
      <c r="S317" s="1393">
        <v>3</v>
      </c>
      <c r="T317" s="1107">
        <f>IFERROR(VLOOKUP(S317,'TAB OBR'!A:B,2,0),0)</f>
        <v>152</v>
      </c>
      <c r="U317" s="1108">
        <v>0</v>
      </c>
      <c r="V317" s="1107">
        <f t="shared" si="897"/>
        <v>152</v>
      </c>
      <c r="W317" s="1108">
        <f t="shared" si="898"/>
        <v>76</v>
      </c>
      <c r="X317" s="1135" t="s">
        <v>2884</v>
      </c>
      <c r="Y317" s="1135" t="s">
        <v>2884</v>
      </c>
      <c r="Z317" s="1135">
        <v>0</v>
      </c>
      <c r="AA317" s="1107">
        <f>ROUND(IF(H317&lt;&gt;"",VLOOKUP(SUM(I317+J317),'CONCEPTOS Y PARAMETROS'!F:G,2,0)*V317,0),2)</f>
        <v>7.6</v>
      </c>
      <c r="AB317" s="1107">
        <f>IF(S317&lt;&gt;"",IF(M317="",'CONCEPTOS Y PARAMETROS'!$C$4,0),0)</f>
        <v>130</v>
      </c>
      <c r="AC317" s="1107">
        <f>IF(S317&lt;&gt;"",IF(M317="",'CONCEPTOS Y PARAMETROS'!$C$7*Z317,0),0)</f>
        <v>0</v>
      </c>
      <c r="AD317" s="1107">
        <f>IFERROR(ROUND(VLOOKUP($X317,'CONCEPTOS Y PARAMETROS'!H:I,2,0)*($V317+AA317+AB317+AC317),2),0)</f>
        <v>0</v>
      </c>
      <c r="AE317" s="1107">
        <f t="shared" si="899"/>
        <v>137.6</v>
      </c>
      <c r="AF317" s="1107">
        <f t="shared" si="900"/>
        <v>3.8</v>
      </c>
      <c r="AG317" s="1107">
        <f t="shared" si="901"/>
        <v>3.8</v>
      </c>
      <c r="AH317" s="1107">
        <f t="shared" si="902"/>
        <v>65</v>
      </c>
      <c r="AI317" s="1107">
        <f t="shared" si="903"/>
        <v>65</v>
      </c>
      <c r="AJ317" s="1107">
        <f t="shared" si="904"/>
        <v>0</v>
      </c>
      <c r="AK317" s="1107">
        <f t="shared" si="905"/>
        <v>0</v>
      </c>
      <c r="AL317" s="1108">
        <f t="shared" si="906"/>
        <v>68.8</v>
      </c>
      <c r="AM317" s="1108">
        <f t="shared" si="907"/>
        <v>68.8</v>
      </c>
      <c r="AN317" s="990">
        <v>0</v>
      </c>
      <c r="AO317" s="1147">
        <f>'CONCEPTOS Y PARAMETROS'!$C$18*AN317</f>
        <v>0</v>
      </c>
      <c r="AP317" s="990">
        <v>0</v>
      </c>
      <c r="AQ317" s="1147">
        <f>'CONCEPTOS Y PARAMETROS'!$C$21*AP317</f>
        <v>0</v>
      </c>
      <c r="AR317" s="1318">
        <v>0</v>
      </c>
      <c r="AS317" s="1318">
        <v>0</v>
      </c>
      <c r="AT317" s="1318">
        <f t="shared" si="908"/>
        <v>0</v>
      </c>
      <c r="AU317" s="1108">
        <f t="shared" si="909"/>
        <v>289.60000000000002</v>
      </c>
      <c r="AV317" s="1133">
        <v>0</v>
      </c>
      <c r="AW317" s="1108">
        <f t="shared" si="910"/>
        <v>0</v>
      </c>
      <c r="AX317" s="1107">
        <f>IF(T317&lt;&gt;"0",(ROUND(IF(A317="EMPLEADO",eval_formula('CONCEPTOS Y PARAMETROS'!$C$8,NOMINA!V317,NOMINA!$AU317,NOMINA!I317+NOMINA!J317),eval_formula('CONCEPTOS Y PARAMETROS'!$D$8,NOMINA!V317,NOMINA!$AU317,NOMINA!I317+NOMINA!J317)),2))*IF(H317&lt;&gt;"",IF(MONTH(H317)=$BR$8,IF(YEAR(H317)&lt;$BT$7,1,0),0)))</f>
        <v>2316.8000000000002</v>
      </c>
      <c r="AY317" s="1108">
        <v>180</v>
      </c>
      <c r="AZ317" s="1107">
        <f>IFERROR(VLOOKUP(AY317,'CONCEPTOS Y PARAMETROS'!Y:Z,2,0),0)</f>
        <v>150</v>
      </c>
      <c r="BA317" s="1107">
        <f t="shared" si="911"/>
        <v>2172</v>
      </c>
      <c r="BB317" s="1107">
        <f t="shared" si="912"/>
        <v>0</v>
      </c>
      <c r="BC317" s="990">
        <v>0</v>
      </c>
      <c r="BD317" s="1107" t="str">
        <f t="shared" si="913"/>
        <v>0</v>
      </c>
      <c r="BE317" s="990">
        <v>1</v>
      </c>
      <c r="BF317" s="1107">
        <f t="shared" si="914"/>
        <v>14.48</v>
      </c>
      <c r="BG317" s="1108">
        <v>310</v>
      </c>
      <c r="BH317" s="1108">
        <v>0</v>
      </c>
      <c r="BI317" s="1132">
        <v>0</v>
      </c>
      <c r="BJ317" s="1108">
        <f t="shared" si="915"/>
        <v>0</v>
      </c>
      <c r="BK317" s="1108">
        <v>0</v>
      </c>
      <c r="BL317" s="1107">
        <f t="shared" si="942"/>
        <v>13.37</v>
      </c>
      <c r="BM317" s="1107">
        <f t="shared" si="943"/>
        <v>1.67</v>
      </c>
      <c r="BN317" s="1107">
        <f t="shared" si="916"/>
        <v>2.9</v>
      </c>
      <c r="BO317" s="1107">
        <v>0</v>
      </c>
      <c r="BP317" s="1107">
        <v>0</v>
      </c>
      <c r="BQ317" s="1320">
        <f t="shared" si="917"/>
        <v>17.940000000000001</v>
      </c>
      <c r="BR317" s="1107">
        <f t="shared" si="944"/>
        <v>30.07</v>
      </c>
      <c r="BS317" s="1107">
        <f t="shared" si="945"/>
        <v>6.68</v>
      </c>
      <c r="BT317" s="1107">
        <f t="shared" si="918"/>
        <v>5.8</v>
      </c>
      <c r="BU317" s="1107">
        <v>0</v>
      </c>
      <c r="BV317" s="1108">
        <f t="shared" si="919"/>
        <v>42.55</v>
      </c>
      <c r="BW317" s="1112">
        <f t="shared" si="920"/>
        <v>60.489999999999995</v>
      </c>
      <c r="BX317" s="1112">
        <f t="shared" si="921"/>
        <v>543</v>
      </c>
      <c r="BY317" s="1108">
        <v>0</v>
      </c>
      <c r="BZ317" s="1108">
        <f t="shared" si="922"/>
        <v>543</v>
      </c>
      <c r="CA317" s="1321">
        <f>'CONCEPTOS Y PARAMETROS'!$A$102</f>
        <v>6255</v>
      </c>
      <c r="CB317" s="1112">
        <f t="shared" si="923"/>
        <v>126.86000000000001</v>
      </c>
      <c r="CC317" s="1113">
        <f t="shared" si="924"/>
        <v>2786.08</v>
      </c>
      <c r="CD317" s="512"/>
      <c r="CE317" s="512"/>
      <c r="CF317" s="470">
        <f t="shared" si="925"/>
        <v>764.8</v>
      </c>
      <c r="CG317" s="495">
        <f t="shared" si="926"/>
        <v>126.86000000000001</v>
      </c>
      <c r="CH317" s="498">
        <f t="shared" si="927"/>
        <v>0</v>
      </c>
      <c r="CI317" s="1490">
        <f t="shared" si="928"/>
        <v>310</v>
      </c>
      <c r="CJ317" s="1500">
        <v>1</v>
      </c>
      <c r="CK317" s="495">
        <f t="shared" si="929"/>
        <v>454.8</v>
      </c>
      <c r="CL317" s="1689">
        <f t="shared" si="930"/>
        <v>454.8</v>
      </c>
      <c r="CM317" s="1689">
        <f t="shared" si="940"/>
        <v>0</v>
      </c>
      <c r="CN317" s="496">
        <f t="shared" si="932"/>
        <v>14.48</v>
      </c>
      <c r="CO317" s="497">
        <v>0</v>
      </c>
      <c r="CP317" s="496">
        <f t="shared" si="933"/>
        <v>0</v>
      </c>
      <c r="CQ317" s="496">
        <f t="shared" si="934"/>
        <v>2316.8000000000002</v>
      </c>
      <c r="CR317" s="496">
        <f t="shared" si="935"/>
        <v>3240.88</v>
      </c>
      <c r="CS317" s="496">
        <f t="shared" si="936"/>
        <v>60.489999999999995</v>
      </c>
      <c r="CT317" s="496">
        <f t="shared" si="937"/>
        <v>6255</v>
      </c>
      <c r="CU317" s="470"/>
      <c r="CV317" s="470"/>
      <c r="CW317" s="470"/>
      <c r="CX317" s="470"/>
      <c r="CY317" s="1275" t="s">
        <v>7040</v>
      </c>
      <c r="CZ317" s="1275" t="s">
        <v>7002</v>
      </c>
      <c r="DA317" s="480"/>
      <c r="DB317" s="1642" t="s">
        <v>6433</v>
      </c>
      <c r="DC317" s="1642"/>
      <c r="DD317" s="1642" t="s">
        <v>6135</v>
      </c>
      <c r="DE317" s="1642" t="s">
        <v>6147</v>
      </c>
      <c r="DF317" s="1642" t="s">
        <v>6464</v>
      </c>
      <c r="DG317" s="1152"/>
      <c r="DH317" s="512"/>
      <c r="DI317" s="512"/>
      <c r="DJ317" s="470"/>
      <c r="DK317" s="470"/>
      <c r="DL317" s="470"/>
      <c r="DN317" s="471" t="str">
        <f>VLOOKUP(X317,Hoja1!$A$4:$B$10,2,0)</f>
        <v>BACHILLER</v>
      </c>
      <c r="DO317" s="471" t="str">
        <f>VLOOKUP(S317,Hoja1!$D$4:$F$77,3,0)</f>
        <v>GRADO (3) - MÁX</v>
      </c>
      <c r="DP317" s="1156" t="str">
        <f t="shared" si="938"/>
        <v>0</v>
      </c>
      <c r="DQ317" s="1484">
        <f>IF(T317&lt;&gt;"0",(ROUND(IF(A317="EMPLEADO",eval_formula('CONCEPTOS Y PARAMETROS'!$C$8,NOMINA!V317,AU317+BF317,NOMINA!I317+NOMINA!J317),eval_formula('CONCEPTOS Y PARAMETROS'!$D$8,NOMINA!V317,AU317+BF317,NOMINA!I317+NOMINA!J317)),2))*IF(H317&lt;&gt;"",IF(MONTH(H317)=$BR$8,IF(YEAR(H317)&lt;$BT$7,1,0),0)))</f>
        <v>2432.64</v>
      </c>
      <c r="DR317" s="1801" t="str">
        <f t="shared" si="939"/>
        <v>M</v>
      </c>
      <c r="DS317" s="1801"/>
    </row>
    <row r="318" spans="1:123" s="471" customFormat="1" ht="21.95" customHeight="1" x14ac:dyDescent="0.25">
      <c r="A318" s="508" t="s">
        <v>2834</v>
      </c>
      <c r="B318" s="1314">
        <f t="shared" ca="1" si="941"/>
        <v>14</v>
      </c>
      <c r="C318" s="990">
        <v>9323739</v>
      </c>
      <c r="D318" s="1275" t="s">
        <v>4974</v>
      </c>
      <c r="E318" s="1135" t="s">
        <v>4622</v>
      </c>
      <c r="F318" s="1118">
        <v>22421</v>
      </c>
      <c r="G318" s="1135" t="s">
        <v>4621</v>
      </c>
      <c r="H318" s="1118">
        <v>39300</v>
      </c>
      <c r="I318" s="1140">
        <f t="shared" si="895"/>
        <v>18</v>
      </c>
      <c r="J318" s="1132">
        <v>0</v>
      </c>
      <c r="K318" s="1140">
        <f t="shared" si="896"/>
        <v>18</v>
      </c>
      <c r="L318" s="1145" t="s">
        <v>5549</v>
      </c>
      <c r="M318" s="1132"/>
      <c r="N318" s="1132"/>
      <c r="O318" s="1002" t="s">
        <v>5084</v>
      </c>
      <c r="P318" s="1132" t="s">
        <v>5115</v>
      </c>
      <c r="Q318" s="1315">
        <v>7152</v>
      </c>
      <c r="R318" s="1394" t="s">
        <v>5084</v>
      </c>
      <c r="S318" s="1393">
        <v>3</v>
      </c>
      <c r="T318" s="1107">
        <f>IFERROR(VLOOKUP(S318,'TAB OBR'!A:B,2,0),0)</f>
        <v>152</v>
      </c>
      <c r="U318" s="1108">
        <v>0</v>
      </c>
      <c r="V318" s="1107">
        <f t="shared" si="897"/>
        <v>152</v>
      </c>
      <c r="W318" s="1108">
        <f t="shared" si="898"/>
        <v>76</v>
      </c>
      <c r="X318" s="1135" t="s">
        <v>2884</v>
      </c>
      <c r="Y318" s="1135" t="s">
        <v>2884</v>
      </c>
      <c r="Z318" s="1135">
        <v>0</v>
      </c>
      <c r="AA318" s="1107">
        <f>ROUND(IF(H318&lt;&gt;"",VLOOKUP(SUM(I318+J318),'CONCEPTOS Y PARAMETROS'!F:G,2,0)*V318,0),2)</f>
        <v>34.659999999999997</v>
      </c>
      <c r="AB318" s="1107">
        <f>IF(S318&lt;&gt;"",IF(M318="",'CONCEPTOS Y PARAMETROS'!$C$4,0),0)</f>
        <v>130</v>
      </c>
      <c r="AC318" s="1107">
        <f>IF(S318&lt;&gt;"",IF(M318="",'CONCEPTOS Y PARAMETROS'!$C$7*Z318,0),0)</f>
        <v>0</v>
      </c>
      <c r="AD318" s="1107">
        <f>IFERROR(ROUND(VLOOKUP($X318,'CONCEPTOS Y PARAMETROS'!H:I,2,0)*($V318+AA318+AB318+AC318),2),0)</f>
        <v>0</v>
      </c>
      <c r="AE318" s="1107">
        <f t="shared" si="899"/>
        <v>164.66</v>
      </c>
      <c r="AF318" s="1107">
        <f t="shared" si="900"/>
        <v>17.329999999999998</v>
      </c>
      <c r="AG318" s="1107">
        <f t="shared" si="901"/>
        <v>17.329999999999998</v>
      </c>
      <c r="AH318" s="1107">
        <f t="shared" si="902"/>
        <v>65</v>
      </c>
      <c r="AI318" s="1107">
        <f t="shared" si="903"/>
        <v>65</v>
      </c>
      <c r="AJ318" s="1107">
        <f t="shared" si="904"/>
        <v>0</v>
      </c>
      <c r="AK318" s="1107">
        <f t="shared" si="905"/>
        <v>0</v>
      </c>
      <c r="AL318" s="1108">
        <f t="shared" si="906"/>
        <v>82.33</v>
      </c>
      <c r="AM318" s="1108">
        <f t="shared" si="907"/>
        <v>82.33</v>
      </c>
      <c r="AN318" s="990">
        <v>0</v>
      </c>
      <c r="AO318" s="1147">
        <f>'CONCEPTOS Y PARAMETROS'!$C$18*AN318</f>
        <v>0</v>
      </c>
      <c r="AP318" s="990">
        <v>0</v>
      </c>
      <c r="AQ318" s="1147">
        <f>'CONCEPTOS Y PARAMETROS'!$C$21*AP318</f>
        <v>0</v>
      </c>
      <c r="AR318" s="1318">
        <v>0</v>
      </c>
      <c r="AS318" s="1318">
        <v>0</v>
      </c>
      <c r="AT318" s="1318">
        <f t="shared" si="908"/>
        <v>0</v>
      </c>
      <c r="AU318" s="1108">
        <f t="shared" si="909"/>
        <v>316.65999999999997</v>
      </c>
      <c r="AV318" s="1133">
        <v>0</v>
      </c>
      <c r="AW318" s="1108">
        <f t="shared" si="910"/>
        <v>0</v>
      </c>
      <c r="AX318" s="1107">
        <f>IF(T318&lt;&gt;"0",(ROUND(IF(A318="EMPLEADO",eval_formula('CONCEPTOS Y PARAMETROS'!$C$8,NOMINA!V318,NOMINA!$AU318,NOMINA!I318+NOMINA!J318),eval_formula('CONCEPTOS Y PARAMETROS'!$D$8,NOMINA!V318,NOMINA!$AU318,NOMINA!I318+NOMINA!J318)),2))*IF(H318&lt;&gt;"",IF(MONTH(H318)=$BR$8,IF(YEAR(H318)&lt;$BT$7,1,0),0)))</f>
        <v>0</v>
      </c>
      <c r="AY318" s="1108">
        <v>180</v>
      </c>
      <c r="AZ318" s="1107">
        <f>IFERROR(VLOOKUP(AY318,'CONCEPTOS Y PARAMETROS'!Y:Z,2,0),0)</f>
        <v>150</v>
      </c>
      <c r="BA318" s="1107">
        <f t="shared" si="911"/>
        <v>2374.9499999999998</v>
      </c>
      <c r="BB318" s="1107">
        <f t="shared" si="912"/>
        <v>0</v>
      </c>
      <c r="BC318" s="990">
        <v>0</v>
      </c>
      <c r="BD318" s="1107" t="str">
        <f t="shared" si="913"/>
        <v>0</v>
      </c>
      <c r="BE318" s="990">
        <v>1</v>
      </c>
      <c r="BF318" s="1107">
        <f t="shared" si="914"/>
        <v>15.83</v>
      </c>
      <c r="BG318" s="1108">
        <v>310</v>
      </c>
      <c r="BH318" s="1108">
        <v>0</v>
      </c>
      <c r="BI318" s="1132">
        <v>0</v>
      </c>
      <c r="BJ318" s="1108">
        <f t="shared" si="915"/>
        <v>0</v>
      </c>
      <c r="BK318" s="1108">
        <v>0</v>
      </c>
      <c r="BL318" s="1107">
        <f t="shared" si="942"/>
        <v>14.62</v>
      </c>
      <c r="BM318" s="1107">
        <f t="shared" si="943"/>
        <v>1.83</v>
      </c>
      <c r="BN318" s="1107">
        <f t="shared" si="916"/>
        <v>3.17</v>
      </c>
      <c r="BO318" s="1107">
        <v>0</v>
      </c>
      <c r="BP318" s="1107">
        <v>0</v>
      </c>
      <c r="BQ318" s="1320">
        <f t="shared" si="917"/>
        <v>19.62</v>
      </c>
      <c r="BR318" s="1107">
        <f t="shared" si="944"/>
        <v>32.880000000000003</v>
      </c>
      <c r="BS318" s="1107">
        <f t="shared" si="945"/>
        <v>7.31</v>
      </c>
      <c r="BT318" s="1107">
        <f t="shared" si="918"/>
        <v>6.34</v>
      </c>
      <c r="BU318" s="1107">
        <v>0</v>
      </c>
      <c r="BV318" s="1108">
        <f t="shared" si="919"/>
        <v>46.53</v>
      </c>
      <c r="BW318" s="1112">
        <f t="shared" si="920"/>
        <v>66.150000000000006</v>
      </c>
      <c r="BX318" s="1112">
        <f t="shared" si="921"/>
        <v>593.74</v>
      </c>
      <c r="BY318" s="1108">
        <v>0</v>
      </c>
      <c r="BZ318" s="1108">
        <f t="shared" si="922"/>
        <v>593.74</v>
      </c>
      <c r="CA318" s="1321">
        <f>'CONCEPTOS Y PARAMETROS'!$A$102</f>
        <v>6255</v>
      </c>
      <c r="CB318" s="1112">
        <f t="shared" si="923"/>
        <v>138.70999999999998</v>
      </c>
      <c r="CC318" s="1113">
        <f t="shared" si="924"/>
        <v>484.16</v>
      </c>
      <c r="CD318" s="512"/>
      <c r="CE318" s="512"/>
      <c r="CF318" s="470">
        <f t="shared" si="925"/>
        <v>778.32999999999993</v>
      </c>
      <c r="CG318" s="495">
        <f t="shared" si="926"/>
        <v>138.70999999999998</v>
      </c>
      <c r="CH318" s="498">
        <f t="shared" si="927"/>
        <v>0</v>
      </c>
      <c r="CI318" s="1490">
        <f t="shared" si="928"/>
        <v>310</v>
      </c>
      <c r="CJ318" s="1500">
        <v>1</v>
      </c>
      <c r="CK318" s="495">
        <f t="shared" si="929"/>
        <v>468.33</v>
      </c>
      <c r="CL318" s="1689">
        <f t="shared" si="930"/>
        <v>468.33</v>
      </c>
      <c r="CM318" s="1689">
        <f t="shared" si="940"/>
        <v>0</v>
      </c>
      <c r="CN318" s="496">
        <f t="shared" si="932"/>
        <v>15.83</v>
      </c>
      <c r="CO318" s="497">
        <v>0</v>
      </c>
      <c r="CP318" s="496">
        <f t="shared" si="933"/>
        <v>0</v>
      </c>
      <c r="CQ318" s="496">
        <f t="shared" si="934"/>
        <v>0</v>
      </c>
      <c r="CR318" s="496">
        <f t="shared" si="935"/>
        <v>952.49</v>
      </c>
      <c r="CS318" s="496">
        <f t="shared" si="936"/>
        <v>66.150000000000006</v>
      </c>
      <c r="CT318" s="496">
        <f t="shared" si="937"/>
        <v>6255</v>
      </c>
      <c r="CU318" s="470"/>
      <c r="CV318" s="470"/>
      <c r="CW318" s="470"/>
      <c r="CX318" s="470"/>
      <c r="CY318" s="1275" t="s">
        <v>7147</v>
      </c>
      <c r="CZ318" s="1275" t="s">
        <v>6813</v>
      </c>
      <c r="DA318" s="480"/>
      <c r="DB318" s="1642" t="s">
        <v>6586</v>
      </c>
      <c r="DC318" s="1642"/>
      <c r="DD318" s="1642" t="s">
        <v>6135</v>
      </c>
      <c r="DE318" s="1642" t="s">
        <v>6162</v>
      </c>
      <c r="DF318" s="1642" t="s">
        <v>6258</v>
      </c>
      <c r="DG318" s="1152"/>
      <c r="DH318" s="512"/>
      <c r="DI318" s="512"/>
      <c r="DJ318" s="470"/>
      <c r="DK318" s="470"/>
      <c r="DL318" s="470"/>
      <c r="DN318" s="471" t="str">
        <f>VLOOKUP(X318,Hoja1!$A$4:$B$10,2,0)</f>
        <v>BACHILLER</v>
      </c>
      <c r="DO318" s="471" t="str">
        <f>VLOOKUP(S318,Hoja1!$D$4:$F$77,3,0)</f>
        <v>GRADO (3) - MÁX</v>
      </c>
      <c r="DP318" s="1156" t="str">
        <f t="shared" si="938"/>
        <v>0</v>
      </c>
      <c r="DQ318" s="1484">
        <f>IF(T318&lt;&gt;"0",(ROUND(IF(A318="EMPLEADO",eval_formula('CONCEPTOS Y PARAMETROS'!$C$8,NOMINA!V318,AU318+BF318,NOMINA!I318+NOMINA!J318),eval_formula('CONCEPTOS Y PARAMETROS'!$D$8,NOMINA!V318,AU318+BF318,NOMINA!I318+NOMINA!J318)),2))*IF(H318&lt;&gt;"",IF(MONTH(H318)=$BR$8,IF(YEAR(H318)&lt;$BT$7,1,0),0)))</f>
        <v>0</v>
      </c>
      <c r="DR318" s="1801" t="str">
        <f t="shared" si="939"/>
        <v>M</v>
      </c>
      <c r="DS318" s="1801"/>
    </row>
    <row r="319" spans="1:123" s="471" customFormat="1" ht="21.95" customHeight="1" x14ac:dyDescent="0.25">
      <c r="A319" s="508" t="s">
        <v>2834</v>
      </c>
      <c r="B319" s="1314">
        <f t="shared" ca="1" si="941"/>
        <v>15</v>
      </c>
      <c r="C319" s="990">
        <v>9325664</v>
      </c>
      <c r="D319" s="1275" t="s">
        <v>4975</v>
      </c>
      <c r="E319" s="1135" t="s">
        <v>4622</v>
      </c>
      <c r="F319" s="1118">
        <v>24797</v>
      </c>
      <c r="G319" s="1135" t="s">
        <v>4620</v>
      </c>
      <c r="H319" s="1118">
        <v>42948</v>
      </c>
      <c r="I319" s="1140">
        <f t="shared" si="895"/>
        <v>8</v>
      </c>
      <c r="J319" s="1132">
        <v>0</v>
      </c>
      <c r="K319" s="1140">
        <f t="shared" si="896"/>
        <v>8</v>
      </c>
      <c r="L319" s="1145" t="s">
        <v>5530</v>
      </c>
      <c r="M319" s="1132"/>
      <c r="N319" s="1132"/>
      <c r="O319" s="1002" t="s">
        <v>5084</v>
      </c>
      <c r="P319" s="1132" t="s">
        <v>5116</v>
      </c>
      <c r="Q319" s="1315">
        <v>7102</v>
      </c>
      <c r="R319" s="1394" t="s">
        <v>5084</v>
      </c>
      <c r="S319" s="1393">
        <v>3</v>
      </c>
      <c r="T319" s="1107">
        <f>IFERROR(VLOOKUP(S319,'TAB OBR'!A:B,2,0),0)</f>
        <v>152</v>
      </c>
      <c r="U319" s="1108">
        <v>0</v>
      </c>
      <c r="V319" s="1107">
        <f t="shared" si="897"/>
        <v>152</v>
      </c>
      <c r="W319" s="1108">
        <f t="shared" si="898"/>
        <v>76</v>
      </c>
      <c r="X319" s="1135" t="s">
        <v>2884</v>
      </c>
      <c r="Y319" s="1135" t="s">
        <v>2884</v>
      </c>
      <c r="Z319" s="1135">
        <v>0</v>
      </c>
      <c r="AA319" s="1107">
        <f>ROUND(IF(H319&lt;&gt;"",VLOOKUP(SUM(I319+J319),'CONCEPTOS Y PARAMETROS'!F:G,2,0)*V319,0),2)</f>
        <v>13.07</v>
      </c>
      <c r="AB319" s="1107">
        <f>IF(S319&lt;&gt;"",IF(M319="",'CONCEPTOS Y PARAMETROS'!$C$4,0),0)</f>
        <v>130</v>
      </c>
      <c r="AC319" s="1107">
        <f>IF(S319&lt;&gt;"",IF(M319="",'CONCEPTOS Y PARAMETROS'!$C$7*Z319,0),0)</f>
        <v>0</v>
      </c>
      <c r="AD319" s="1107">
        <f>IFERROR(ROUND(VLOOKUP($X319,'CONCEPTOS Y PARAMETROS'!H:I,2,0)*($V319+AA319+AB319+AC319),2),0)</f>
        <v>0</v>
      </c>
      <c r="AE319" s="1107">
        <f t="shared" si="899"/>
        <v>143.07</v>
      </c>
      <c r="AF319" s="1107">
        <f t="shared" si="900"/>
        <v>6.54</v>
      </c>
      <c r="AG319" s="1107">
        <f t="shared" si="901"/>
        <v>6.53</v>
      </c>
      <c r="AH319" s="1107">
        <f t="shared" si="902"/>
        <v>65</v>
      </c>
      <c r="AI319" s="1107">
        <f t="shared" si="903"/>
        <v>65</v>
      </c>
      <c r="AJ319" s="1107">
        <f t="shared" si="904"/>
        <v>0</v>
      </c>
      <c r="AK319" s="1107">
        <f t="shared" si="905"/>
        <v>0</v>
      </c>
      <c r="AL319" s="1108">
        <f t="shared" si="906"/>
        <v>71.540000000000006</v>
      </c>
      <c r="AM319" s="1108">
        <f t="shared" si="907"/>
        <v>71.53</v>
      </c>
      <c r="AN319" s="990">
        <v>0</v>
      </c>
      <c r="AO319" s="1147">
        <f>'CONCEPTOS Y PARAMETROS'!$C$18*AN319</f>
        <v>0</v>
      </c>
      <c r="AP319" s="990">
        <v>0</v>
      </c>
      <c r="AQ319" s="1147">
        <f>'CONCEPTOS Y PARAMETROS'!$C$21*AP319</f>
        <v>0</v>
      </c>
      <c r="AR319" s="1318">
        <v>0</v>
      </c>
      <c r="AS319" s="1318">
        <v>0</v>
      </c>
      <c r="AT319" s="1318">
        <f t="shared" si="908"/>
        <v>0</v>
      </c>
      <c r="AU319" s="1108">
        <f t="shared" si="909"/>
        <v>295.07</v>
      </c>
      <c r="AV319" s="1133">
        <v>0</v>
      </c>
      <c r="AW319" s="1108">
        <f t="shared" si="910"/>
        <v>0</v>
      </c>
      <c r="AX319" s="1107">
        <f>IF(T319&lt;&gt;"0",(ROUND(IF(A319="EMPLEADO",eval_formula('CONCEPTOS Y PARAMETROS'!$C$8,NOMINA!V319,NOMINA!$AU319,NOMINA!I319+NOMINA!J319),eval_formula('CONCEPTOS Y PARAMETROS'!$D$8,NOMINA!V319,NOMINA!$AU319,NOMINA!I319+NOMINA!J319)),2))*IF(H319&lt;&gt;"",IF(MONTH(H319)=$BR$8,IF(YEAR(H319)&lt;$BT$7,1,0),0)))</f>
        <v>0</v>
      </c>
      <c r="AY319" s="1108">
        <v>180</v>
      </c>
      <c r="AZ319" s="1107">
        <f>IFERROR(VLOOKUP(AY319,'CONCEPTOS Y PARAMETROS'!Y:Z,2,0),0)</f>
        <v>150</v>
      </c>
      <c r="BA319" s="1107">
        <f t="shared" si="911"/>
        <v>2213.0300000000002</v>
      </c>
      <c r="BB319" s="1107">
        <f t="shared" si="912"/>
        <v>0</v>
      </c>
      <c r="BC319" s="990">
        <v>0</v>
      </c>
      <c r="BD319" s="1107" t="str">
        <f t="shared" si="913"/>
        <v>0</v>
      </c>
      <c r="BE319" s="990">
        <v>0</v>
      </c>
      <c r="BF319" s="1107">
        <f t="shared" si="914"/>
        <v>0</v>
      </c>
      <c r="BG319" s="1108">
        <v>310</v>
      </c>
      <c r="BH319" s="1108">
        <v>0</v>
      </c>
      <c r="BI319" s="1132">
        <v>0</v>
      </c>
      <c r="BJ319" s="1108">
        <f t="shared" si="915"/>
        <v>0</v>
      </c>
      <c r="BK319" s="1108">
        <v>0</v>
      </c>
      <c r="BL319" s="1107">
        <f t="shared" si="942"/>
        <v>13.62</v>
      </c>
      <c r="BM319" s="1107">
        <f t="shared" si="943"/>
        <v>1.7</v>
      </c>
      <c r="BN319" s="1107">
        <f t="shared" si="916"/>
        <v>2.95</v>
      </c>
      <c r="BO319" s="1107">
        <v>0</v>
      </c>
      <c r="BP319" s="1107">
        <v>0</v>
      </c>
      <c r="BQ319" s="1320">
        <f t="shared" si="917"/>
        <v>18.27</v>
      </c>
      <c r="BR319" s="1107">
        <f t="shared" si="944"/>
        <v>30.64</v>
      </c>
      <c r="BS319" s="1107">
        <f t="shared" si="945"/>
        <v>6.81</v>
      </c>
      <c r="BT319" s="1107">
        <f t="shared" si="918"/>
        <v>5.9</v>
      </c>
      <c r="BU319" s="1107">
        <v>0</v>
      </c>
      <c r="BV319" s="1108">
        <f t="shared" si="919"/>
        <v>43.35</v>
      </c>
      <c r="BW319" s="1112">
        <f t="shared" si="920"/>
        <v>61.620000000000005</v>
      </c>
      <c r="BX319" s="1112">
        <f t="shared" si="921"/>
        <v>553.26</v>
      </c>
      <c r="BY319" s="1108">
        <v>0</v>
      </c>
      <c r="BZ319" s="1108">
        <f t="shared" si="922"/>
        <v>553.26</v>
      </c>
      <c r="CA319" s="1321">
        <f>'CONCEPTOS Y PARAMETROS'!$A$102</f>
        <v>6255</v>
      </c>
      <c r="CB319" s="1112">
        <f t="shared" si="923"/>
        <v>129.27000000000001</v>
      </c>
      <c r="CC319" s="1113">
        <f t="shared" si="924"/>
        <v>457.53</v>
      </c>
      <c r="CD319" s="512"/>
      <c r="CE319" s="512"/>
      <c r="CF319" s="470">
        <f t="shared" si="925"/>
        <v>767.53</v>
      </c>
      <c r="CG319" s="495">
        <f t="shared" si="926"/>
        <v>129.27000000000001</v>
      </c>
      <c r="CH319" s="498">
        <f t="shared" si="927"/>
        <v>0</v>
      </c>
      <c r="CI319" s="1490">
        <f t="shared" si="928"/>
        <v>310</v>
      </c>
      <c r="CJ319" s="1500">
        <v>1</v>
      </c>
      <c r="CK319" s="495">
        <f t="shared" si="929"/>
        <v>457.53</v>
      </c>
      <c r="CL319" s="1689">
        <f t="shared" si="930"/>
        <v>457.53</v>
      </c>
      <c r="CM319" s="1689">
        <f t="shared" si="940"/>
        <v>0</v>
      </c>
      <c r="CN319" s="496">
        <f t="shared" si="932"/>
        <v>0</v>
      </c>
      <c r="CO319" s="497">
        <v>0</v>
      </c>
      <c r="CP319" s="496">
        <f t="shared" si="933"/>
        <v>0</v>
      </c>
      <c r="CQ319" s="496">
        <f t="shared" si="934"/>
        <v>0</v>
      </c>
      <c r="CR319" s="496">
        <f t="shared" si="935"/>
        <v>915.06</v>
      </c>
      <c r="CS319" s="496">
        <f t="shared" si="936"/>
        <v>61.620000000000005</v>
      </c>
      <c r="CT319" s="496">
        <f t="shared" si="937"/>
        <v>6255</v>
      </c>
      <c r="CU319" s="470"/>
      <c r="CV319" s="470"/>
      <c r="CW319" s="470"/>
      <c r="CX319" s="470"/>
      <c r="CY319" s="1275" t="s">
        <v>7148</v>
      </c>
      <c r="CZ319" s="1275" t="s">
        <v>7149</v>
      </c>
      <c r="DA319" s="480"/>
      <c r="DB319" s="1642" t="s">
        <v>6569</v>
      </c>
      <c r="DC319" s="1642"/>
      <c r="DD319" s="1642" t="s">
        <v>6135</v>
      </c>
      <c r="DE319" s="1642" t="s">
        <v>6177</v>
      </c>
      <c r="DF319" s="1642" t="s">
        <v>7526</v>
      </c>
      <c r="DG319" s="1152"/>
      <c r="DH319" s="512"/>
      <c r="DI319" s="512"/>
      <c r="DJ319" s="470"/>
      <c r="DK319" s="470"/>
      <c r="DL319" s="470"/>
      <c r="DN319" s="471" t="str">
        <f>VLOOKUP(X319,Hoja1!$A$4:$B$10,2,0)</f>
        <v>BACHILLER</v>
      </c>
      <c r="DO319" s="471" t="str">
        <f>VLOOKUP(S319,Hoja1!$D$4:$F$77,3,0)</f>
        <v>GRADO (3) - MÁX</v>
      </c>
      <c r="DP319" s="1156" t="str">
        <f t="shared" si="938"/>
        <v>0</v>
      </c>
      <c r="DQ319" s="1484">
        <f>IF(T319&lt;&gt;"0",(ROUND(IF(A319="EMPLEADO",eval_formula('CONCEPTOS Y PARAMETROS'!$C$8,NOMINA!V319,AU319+BF319,NOMINA!I319+NOMINA!J319),eval_formula('CONCEPTOS Y PARAMETROS'!$D$8,NOMINA!V319,AU319+BF319,NOMINA!I319+NOMINA!J319)),2))*IF(H319&lt;&gt;"",IF(MONTH(H319)=$BR$8,IF(YEAR(H319)&lt;$BT$7,1,0),0)))</f>
        <v>0</v>
      </c>
      <c r="DR319" s="1801" t="str">
        <f t="shared" si="939"/>
        <v>F</v>
      </c>
      <c r="DS319" s="1801"/>
    </row>
    <row r="320" spans="1:123" s="471" customFormat="1" ht="21.95" customHeight="1" x14ac:dyDescent="0.25">
      <c r="A320" s="508" t="s">
        <v>2834</v>
      </c>
      <c r="B320" s="1314">
        <f t="shared" ca="1" si="941"/>
        <v>16</v>
      </c>
      <c r="C320" s="990">
        <v>9328045</v>
      </c>
      <c r="D320" s="1275" t="s">
        <v>4976</v>
      </c>
      <c r="E320" s="1135" t="s">
        <v>4622</v>
      </c>
      <c r="F320" s="1118">
        <v>23056</v>
      </c>
      <c r="G320" s="1135" t="s">
        <v>4621</v>
      </c>
      <c r="H320" s="1118">
        <v>44212</v>
      </c>
      <c r="I320" s="1140">
        <f t="shared" si="895"/>
        <v>4</v>
      </c>
      <c r="J320" s="1132">
        <v>0</v>
      </c>
      <c r="K320" s="1140">
        <f t="shared" si="896"/>
        <v>4</v>
      </c>
      <c r="L320" s="1145" t="s">
        <v>7580</v>
      </c>
      <c r="M320" s="1132"/>
      <c r="N320" s="1132"/>
      <c r="O320" s="1002" t="s">
        <v>5084</v>
      </c>
      <c r="P320" s="1132" t="s">
        <v>5117</v>
      </c>
      <c r="Q320" s="1315">
        <v>7102</v>
      </c>
      <c r="R320" s="1394" t="s">
        <v>5084</v>
      </c>
      <c r="S320" s="1393">
        <v>3</v>
      </c>
      <c r="T320" s="1107">
        <f>IFERROR(VLOOKUP(S320,'TAB OBR'!A:B,2,0),0)</f>
        <v>152</v>
      </c>
      <c r="U320" s="1108">
        <v>0</v>
      </c>
      <c r="V320" s="1107">
        <f t="shared" si="897"/>
        <v>152</v>
      </c>
      <c r="W320" s="1108">
        <f t="shared" si="898"/>
        <v>76</v>
      </c>
      <c r="X320" s="1135" t="s">
        <v>2884</v>
      </c>
      <c r="Y320" s="1135" t="s">
        <v>2884</v>
      </c>
      <c r="Z320" s="1135">
        <v>0</v>
      </c>
      <c r="AA320" s="1107">
        <f>ROUND(IF(H320&lt;&gt;"",VLOOKUP(SUM(I320+J320),'CONCEPTOS Y PARAMETROS'!F:G,2,0)*V320,0),2)</f>
        <v>6.08</v>
      </c>
      <c r="AB320" s="1107">
        <f>IF(S320&lt;&gt;"",IF(M320="",'CONCEPTOS Y PARAMETROS'!$C$4,0),0)</f>
        <v>130</v>
      </c>
      <c r="AC320" s="1107">
        <f>IF(S320&lt;&gt;"",IF(M320="",'CONCEPTOS Y PARAMETROS'!$C$7*Z320,0),0)</f>
        <v>0</v>
      </c>
      <c r="AD320" s="1107">
        <f>IFERROR(ROUND(VLOOKUP($X320,'CONCEPTOS Y PARAMETROS'!H:I,2,0)*($V320+AA320+AB320+AC320),2),0)</f>
        <v>0</v>
      </c>
      <c r="AE320" s="1107">
        <f t="shared" si="899"/>
        <v>136.08000000000001</v>
      </c>
      <c r="AF320" s="1107">
        <f t="shared" si="900"/>
        <v>3.04</v>
      </c>
      <c r="AG320" s="1107">
        <f t="shared" si="901"/>
        <v>3.04</v>
      </c>
      <c r="AH320" s="1107">
        <f t="shared" si="902"/>
        <v>65</v>
      </c>
      <c r="AI320" s="1107">
        <f t="shared" si="903"/>
        <v>65</v>
      </c>
      <c r="AJ320" s="1107">
        <f t="shared" si="904"/>
        <v>0</v>
      </c>
      <c r="AK320" s="1107">
        <f t="shared" si="905"/>
        <v>0</v>
      </c>
      <c r="AL320" s="1108">
        <f t="shared" si="906"/>
        <v>68.040000000000006</v>
      </c>
      <c r="AM320" s="1108">
        <f t="shared" si="907"/>
        <v>68.040000000000006</v>
      </c>
      <c r="AN320" s="990">
        <v>0</v>
      </c>
      <c r="AO320" s="1147">
        <f>'CONCEPTOS Y PARAMETROS'!$C$18*AN320</f>
        <v>0</v>
      </c>
      <c r="AP320" s="990">
        <v>0</v>
      </c>
      <c r="AQ320" s="1147">
        <f>'CONCEPTOS Y PARAMETROS'!$C$21*AP320</f>
        <v>0</v>
      </c>
      <c r="AR320" s="1318">
        <v>0</v>
      </c>
      <c r="AS320" s="1318">
        <v>0</v>
      </c>
      <c r="AT320" s="1318">
        <f t="shared" si="908"/>
        <v>0</v>
      </c>
      <c r="AU320" s="1108">
        <f t="shared" si="909"/>
        <v>288.08000000000004</v>
      </c>
      <c r="AV320" s="1133">
        <v>0</v>
      </c>
      <c r="AW320" s="1108">
        <f t="shared" si="910"/>
        <v>0</v>
      </c>
      <c r="AX320" s="1107">
        <f>IF(T320&lt;&gt;"0",(ROUND(IF(A320="EMPLEADO",eval_formula('CONCEPTOS Y PARAMETROS'!$C$8,NOMINA!V320,NOMINA!$AU320,NOMINA!I320+NOMINA!J320),eval_formula('CONCEPTOS Y PARAMETROS'!$D$8,NOMINA!V320,NOMINA!$AU320,NOMINA!I320+NOMINA!J320)),2))*IF(H320&lt;&gt;"",IF(MONTH(H320)=$BR$8,IF(YEAR(H320)&lt;$BT$7,1,0),0)))</f>
        <v>0</v>
      </c>
      <c r="AY320" s="1108">
        <v>180</v>
      </c>
      <c r="AZ320" s="1107">
        <f>IFERROR(VLOOKUP(AY320,'CONCEPTOS Y PARAMETROS'!Y:Z,2,0),0)</f>
        <v>150</v>
      </c>
      <c r="BA320" s="1107">
        <f t="shared" si="911"/>
        <v>2160.6</v>
      </c>
      <c r="BB320" s="1107">
        <f t="shared" si="912"/>
        <v>0</v>
      </c>
      <c r="BC320" s="990">
        <v>0</v>
      </c>
      <c r="BD320" s="1107" t="str">
        <f t="shared" si="913"/>
        <v>0</v>
      </c>
      <c r="BE320" s="990">
        <v>0</v>
      </c>
      <c r="BF320" s="1107">
        <f t="shared" si="914"/>
        <v>0</v>
      </c>
      <c r="BG320" s="1108">
        <v>310</v>
      </c>
      <c r="BH320" s="1108">
        <v>0</v>
      </c>
      <c r="BI320" s="1132">
        <v>0</v>
      </c>
      <c r="BJ320" s="1108">
        <f t="shared" si="915"/>
        <v>0</v>
      </c>
      <c r="BK320" s="1108">
        <v>0</v>
      </c>
      <c r="BL320" s="1107">
        <f t="shared" si="942"/>
        <v>13.3</v>
      </c>
      <c r="BM320" s="1107">
        <f t="shared" si="943"/>
        <v>1.66</v>
      </c>
      <c r="BN320" s="1107">
        <f t="shared" si="916"/>
        <v>2.88</v>
      </c>
      <c r="BO320" s="1107">
        <v>0</v>
      </c>
      <c r="BP320" s="1107">
        <v>0</v>
      </c>
      <c r="BQ320" s="1320">
        <f t="shared" si="917"/>
        <v>17.84</v>
      </c>
      <c r="BR320" s="1107">
        <f t="shared" si="944"/>
        <v>29.92</v>
      </c>
      <c r="BS320" s="1107">
        <f t="shared" si="945"/>
        <v>6.65</v>
      </c>
      <c r="BT320" s="1107">
        <f t="shared" si="918"/>
        <v>5.76</v>
      </c>
      <c r="BU320" s="1107">
        <v>0</v>
      </c>
      <c r="BV320" s="1108">
        <f t="shared" si="919"/>
        <v>42.33</v>
      </c>
      <c r="BW320" s="1112">
        <f t="shared" si="920"/>
        <v>60.17</v>
      </c>
      <c r="BX320" s="1112">
        <f t="shared" si="921"/>
        <v>540.15</v>
      </c>
      <c r="BY320" s="1108">
        <v>0</v>
      </c>
      <c r="BZ320" s="1108">
        <f t="shared" si="922"/>
        <v>540.15</v>
      </c>
      <c r="CA320" s="1321">
        <f>'CONCEPTOS Y PARAMETROS'!$A$102</f>
        <v>6255</v>
      </c>
      <c r="CB320" s="1112">
        <f t="shared" si="923"/>
        <v>126.20000000000002</v>
      </c>
      <c r="CC320" s="1113">
        <f t="shared" si="924"/>
        <v>454.04</v>
      </c>
      <c r="CD320" s="512"/>
      <c r="CE320" s="512"/>
      <c r="CF320" s="470">
        <f t="shared" si="925"/>
        <v>764.04</v>
      </c>
      <c r="CG320" s="495">
        <f t="shared" si="926"/>
        <v>126.20000000000002</v>
      </c>
      <c r="CH320" s="498">
        <f t="shared" si="927"/>
        <v>0</v>
      </c>
      <c r="CI320" s="1490">
        <f t="shared" si="928"/>
        <v>310</v>
      </c>
      <c r="CJ320" s="1500">
        <v>1</v>
      </c>
      <c r="CK320" s="495">
        <f t="shared" si="929"/>
        <v>454.04</v>
      </c>
      <c r="CL320" s="1689">
        <f t="shared" si="930"/>
        <v>454.04</v>
      </c>
      <c r="CM320" s="1689">
        <f t="shared" si="940"/>
        <v>0</v>
      </c>
      <c r="CN320" s="496">
        <f t="shared" si="932"/>
        <v>0</v>
      </c>
      <c r="CO320" s="497">
        <v>0</v>
      </c>
      <c r="CP320" s="496">
        <f t="shared" si="933"/>
        <v>0</v>
      </c>
      <c r="CQ320" s="496">
        <f t="shared" si="934"/>
        <v>0</v>
      </c>
      <c r="CR320" s="496">
        <f t="shared" si="935"/>
        <v>908.08</v>
      </c>
      <c r="CS320" s="496">
        <f t="shared" si="936"/>
        <v>60.17</v>
      </c>
      <c r="CT320" s="496">
        <f t="shared" si="937"/>
        <v>6255</v>
      </c>
      <c r="CU320" s="470"/>
      <c r="CV320" s="470"/>
      <c r="CW320" s="470"/>
      <c r="CX320" s="470"/>
      <c r="CY320" s="1275" t="s">
        <v>7069</v>
      </c>
      <c r="CZ320" s="1275" t="s">
        <v>6813</v>
      </c>
      <c r="DA320" s="480"/>
      <c r="DB320" s="1642" t="s">
        <v>6587</v>
      </c>
      <c r="DC320" s="1642"/>
      <c r="DD320" s="1642" t="s">
        <v>6135</v>
      </c>
      <c r="DE320" s="1642" t="s">
        <v>6177</v>
      </c>
      <c r="DF320" s="1642" t="s">
        <v>7530</v>
      </c>
      <c r="DG320" s="1152"/>
      <c r="DH320" s="512"/>
      <c r="DI320" s="512"/>
      <c r="DJ320" s="470"/>
      <c r="DK320" s="470"/>
      <c r="DL320" s="470"/>
      <c r="DN320" s="471" t="str">
        <f>VLOOKUP(X320,Hoja1!$A$4:$B$10,2,0)</f>
        <v>BACHILLER</v>
      </c>
      <c r="DO320" s="471" t="str">
        <f>VLOOKUP(S320,Hoja1!$D$4:$F$77,3,0)</f>
        <v>GRADO (3) - MÁX</v>
      </c>
      <c r="DP320" s="1156" t="str">
        <f t="shared" si="938"/>
        <v>0</v>
      </c>
      <c r="DQ320" s="1484">
        <f>IF(T320&lt;&gt;"0",(ROUND(IF(A320="EMPLEADO",eval_formula('CONCEPTOS Y PARAMETROS'!$C$8,NOMINA!V320,AU320+BF320,NOMINA!I320+NOMINA!J320),eval_formula('CONCEPTOS Y PARAMETROS'!$D$8,NOMINA!V320,AU320+BF320,NOMINA!I320+NOMINA!J320)),2))*IF(H320&lt;&gt;"",IF(MONTH(H320)=$BR$8,IF(YEAR(H320)&lt;$BT$7,1,0),0)))</f>
        <v>0</v>
      </c>
      <c r="DR320" s="1801" t="str">
        <f t="shared" si="939"/>
        <v>M</v>
      </c>
      <c r="DS320" s="1801"/>
    </row>
    <row r="321" spans="1:123" s="471" customFormat="1" ht="21.95" customHeight="1" x14ac:dyDescent="0.25">
      <c r="A321" s="508" t="s">
        <v>2834</v>
      </c>
      <c r="B321" s="1314">
        <f t="shared" ca="1" si="941"/>
        <v>17</v>
      </c>
      <c r="C321" s="990">
        <v>10178456</v>
      </c>
      <c r="D321" s="1275" t="s">
        <v>4972</v>
      </c>
      <c r="E321" s="1135" t="s">
        <v>4622</v>
      </c>
      <c r="F321" s="1118">
        <v>24850</v>
      </c>
      <c r="G321" s="1135" t="s">
        <v>4620</v>
      </c>
      <c r="H321" s="1118">
        <v>44287</v>
      </c>
      <c r="I321" s="1140">
        <f t="shared" si="895"/>
        <v>4</v>
      </c>
      <c r="J321" s="1132">
        <v>0</v>
      </c>
      <c r="K321" s="1140">
        <f t="shared" si="896"/>
        <v>4</v>
      </c>
      <c r="L321" s="1145" t="s">
        <v>5527</v>
      </c>
      <c r="M321" s="1132"/>
      <c r="N321" s="1132"/>
      <c r="O321" s="1002" t="s">
        <v>5087</v>
      </c>
      <c r="P321" s="1132" t="s">
        <v>5118</v>
      </c>
      <c r="Q321" s="1315">
        <v>7102</v>
      </c>
      <c r="R321" s="1394" t="s">
        <v>5087</v>
      </c>
      <c r="S321" s="1393">
        <v>1</v>
      </c>
      <c r="T321" s="1107">
        <f>IFERROR(VLOOKUP(S321,'TAB OBR'!A:B,2,0),0)</f>
        <v>130</v>
      </c>
      <c r="U321" s="1108">
        <v>0</v>
      </c>
      <c r="V321" s="1107">
        <f t="shared" si="897"/>
        <v>130</v>
      </c>
      <c r="W321" s="1108">
        <f t="shared" si="898"/>
        <v>65</v>
      </c>
      <c r="X321" s="1135" t="s">
        <v>2884</v>
      </c>
      <c r="Y321" s="1135" t="s">
        <v>2884</v>
      </c>
      <c r="Z321" s="1135">
        <v>0</v>
      </c>
      <c r="AA321" s="1107">
        <f>ROUND(IF(H321&lt;&gt;"",VLOOKUP(SUM(I321+J321),'CONCEPTOS Y PARAMETROS'!F:G,2,0)*V321,0),2)</f>
        <v>5.2</v>
      </c>
      <c r="AB321" s="1107">
        <f>IF(S321&lt;&gt;"",IF(M321="",'CONCEPTOS Y PARAMETROS'!$C$4,0),0)</f>
        <v>130</v>
      </c>
      <c r="AC321" s="1107">
        <f>IF(S321&lt;&gt;"",IF(M321="",'CONCEPTOS Y PARAMETROS'!$C$7*Z321,0),0)</f>
        <v>0</v>
      </c>
      <c r="AD321" s="1107">
        <f>IFERROR(ROUND(VLOOKUP($X321,'CONCEPTOS Y PARAMETROS'!H:I,2,0)*($V321+AA321+AB321+AC321),2),0)</f>
        <v>0</v>
      </c>
      <c r="AE321" s="1107">
        <f t="shared" si="899"/>
        <v>135.19999999999999</v>
      </c>
      <c r="AF321" s="1107">
        <f t="shared" si="900"/>
        <v>2.6</v>
      </c>
      <c r="AG321" s="1107">
        <f t="shared" si="901"/>
        <v>2.6</v>
      </c>
      <c r="AH321" s="1107">
        <f t="shared" si="902"/>
        <v>65</v>
      </c>
      <c r="AI321" s="1107">
        <f t="shared" si="903"/>
        <v>65</v>
      </c>
      <c r="AJ321" s="1107">
        <f t="shared" si="904"/>
        <v>0</v>
      </c>
      <c r="AK321" s="1107">
        <f t="shared" si="905"/>
        <v>0</v>
      </c>
      <c r="AL321" s="1108">
        <f t="shared" si="906"/>
        <v>67.599999999999994</v>
      </c>
      <c r="AM321" s="1108">
        <f t="shared" si="907"/>
        <v>67.599999999999994</v>
      </c>
      <c r="AN321" s="990">
        <v>0</v>
      </c>
      <c r="AO321" s="1147">
        <f>'CONCEPTOS Y PARAMETROS'!$C$18*AN321</f>
        <v>0</v>
      </c>
      <c r="AP321" s="990">
        <v>0</v>
      </c>
      <c r="AQ321" s="1147">
        <f>'CONCEPTOS Y PARAMETROS'!$C$21*AP321</f>
        <v>0</v>
      </c>
      <c r="AR321" s="1318">
        <v>0</v>
      </c>
      <c r="AS321" s="1318">
        <v>0</v>
      </c>
      <c r="AT321" s="1318">
        <f t="shared" si="908"/>
        <v>0</v>
      </c>
      <c r="AU321" s="1108">
        <f t="shared" si="909"/>
        <v>265.2</v>
      </c>
      <c r="AV321" s="1133">
        <v>0</v>
      </c>
      <c r="AW321" s="1108">
        <f t="shared" si="910"/>
        <v>0</v>
      </c>
      <c r="AX321" s="1107">
        <f>IF(T321&lt;&gt;"0",(ROUND(IF(A321="EMPLEADO",eval_formula('CONCEPTOS Y PARAMETROS'!$C$8,NOMINA!V321,NOMINA!$AU321,NOMINA!I321+NOMINA!J321),eval_formula('CONCEPTOS Y PARAMETROS'!$D$8,NOMINA!V321,NOMINA!$AU321,NOMINA!I321+NOMINA!J321)),2))*IF(H321&lt;&gt;"",IF(MONTH(H321)=$BR$8,IF(YEAR(H321)&lt;$BT$7,1,0),0)))</f>
        <v>0</v>
      </c>
      <c r="AY321" s="1108">
        <v>180</v>
      </c>
      <c r="AZ321" s="1107">
        <f>IFERROR(VLOOKUP(AY321,'CONCEPTOS Y PARAMETROS'!Y:Z,2,0),0)</f>
        <v>150</v>
      </c>
      <c r="BA321" s="1107">
        <f t="shared" si="911"/>
        <v>1989</v>
      </c>
      <c r="BB321" s="1107">
        <f t="shared" si="912"/>
        <v>0</v>
      </c>
      <c r="BC321" s="990">
        <v>0</v>
      </c>
      <c r="BD321" s="1107" t="str">
        <f t="shared" si="913"/>
        <v>0</v>
      </c>
      <c r="BE321" s="990">
        <v>0</v>
      </c>
      <c r="BF321" s="1107">
        <f t="shared" si="914"/>
        <v>0</v>
      </c>
      <c r="BG321" s="1108">
        <v>310</v>
      </c>
      <c r="BH321" s="1108">
        <v>0</v>
      </c>
      <c r="BI321" s="1132">
        <v>0</v>
      </c>
      <c r="BJ321" s="1108">
        <f t="shared" si="915"/>
        <v>0</v>
      </c>
      <c r="BK321" s="1108">
        <v>0</v>
      </c>
      <c r="BL321" s="1107">
        <f t="shared" si="942"/>
        <v>12.24</v>
      </c>
      <c r="BM321" s="1107">
        <f t="shared" si="943"/>
        <v>1.53</v>
      </c>
      <c r="BN321" s="1107">
        <f t="shared" si="916"/>
        <v>2.65</v>
      </c>
      <c r="BO321" s="1107">
        <v>0</v>
      </c>
      <c r="BP321" s="1107">
        <v>0</v>
      </c>
      <c r="BQ321" s="1320">
        <f t="shared" si="917"/>
        <v>16.420000000000002</v>
      </c>
      <c r="BR321" s="1107">
        <f t="shared" si="944"/>
        <v>27.54</v>
      </c>
      <c r="BS321" s="1107">
        <f t="shared" si="945"/>
        <v>6.12</v>
      </c>
      <c r="BT321" s="1107">
        <f t="shared" si="918"/>
        <v>5.3</v>
      </c>
      <c r="BU321" s="1107">
        <v>0</v>
      </c>
      <c r="BV321" s="1108">
        <f t="shared" si="919"/>
        <v>38.96</v>
      </c>
      <c r="BW321" s="1112">
        <f t="shared" si="920"/>
        <v>55.38</v>
      </c>
      <c r="BX321" s="1112">
        <f t="shared" si="921"/>
        <v>497.25</v>
      </c>
      <c r="BY321" s="1108">
        <v>0</v>
      </c>
      <c r="BZ321" s="1108">
        <f t="shared" si="922"/>
        <v>497.25</v>
      </c>
      <c r="CA321" s="1321">
        <f>'CONCEPTOS Y PARAMETROS'!$A$102</f>
        <v>6255</v>
      </c>
      <c r="CB321" s="1112">
        <f t="shared" si="923"/>
        <v>116.17999999999999</v>
      </c>
      <c r="CC321" s="1113">
        <f t="shared" si="924"/>
        <v>442.6</v>
      </c>
      <c r="CD321" s="512"/>
      <c r="CE321" s="512"/>
      <c r="CF321" s="470">
        <f t="shared" si="925"/>
        <v>752.6</v>
      </c>
      <c r="CG321" s="495">
        <f t="shared" si="926"/>
        <v>116.17999999999999</v>
      </c>
      <c r="CH321" s="498">
        <f t="shared" si="927"/>
        <v>0</v>
      </c>
      <c r="CI321" s="1490">
        <f t="shared" si="928"/>
        <v>310</v>
      </c>
      <c r="CJ321" s="1500">
        <v>1</v>
      </c>
      <c r="CK321" s="495">
        <f t="shared" si="929"/>
        <v>442.6</v>
      </c>
      <c r="CL321" s="1689">
        <f t="shared" si="930"/>
        <v>442.6</v>
      </c>
      <c r="CM321" s="1689">
        <f t="shared" si="940"/>
        <v>0</v>
      </c>
      <c r="CN321" s="496">
        <f t="shared" si="932"/>
        <v>0</v>
      </c>
      <c r="CO321" s="497">
        <v>0</v>
      </c>
      <c r="CP321" s="496">
        <f t="shared" si="933"/>
        <v>0</v>
      </c>
      <c r="CQ321" s="496">
        <f t="shared" si="934"/>
        <v>0</v>
      </c>
      <c r="CR321" s="496">
        <f t="shared" si="935"/>
        <v>885.2</v>
      </c>
      <c r="CS321" s="496">
        <f t="shared" si="936"/>
        <v>55.38</v>
      </c>
      <c r="CT321" s="496">
        <f t="shared" si="937"/>
        <v>6255</v>
      </c>
      <c r="CU321" s="470"/>
      <c r="CV321" s="470"/>
      <c r="CW321" s="470"/>
      <c r="CX321" s="470"/>
      <c r="CY321" s="1275" t="s">
        <v>7150</v>
      </c>
      <c r="CZ321" s="1275" t="s">
        <v>7151</v>
      </c>
      <c r="DA321" s="480"/>
      <c r="DB321" s="1642" t="s">
        <v>6432</v>
      </c>
      <c r="DC321" s="1642"/>
      <c r="DD321" s="1642" t="s">
        <v>6199</v>
      </c>
      <c r="DE321" s="1642" t="s">
        <v>6196</v>
      </c>
      <c r="DF321" s="1642" t="s">
        <v>7428</v>
      </c>
      <c r="DG321" s="1642"/>
      <c r="DH321" s="512"/>
      <c r="DI321" s="512"/>
      <c r="DJ321" s="470"/>
      <c r="DK321" s="470"/>
      <c r="DL321" s="470"/>
      <c r="DN321" s="471" t="str">
        <f>VLOOKUP(X321,Hoja1!$A$4:$B$10,2,0)</f>
        <v>BACHILLER</v>
      </c>
      <c r="DO321" s="471" t="str">
        <f>VLOOKUP(S321,Hoja1!$D$4:$F$77,3,0)</f>
        <v>GRADO (1) - MIN</v>
      </c>
      <c r="DP321" s="1156" t="str">
        <f t="shared" si="938"/>
        <v>0</v>
      </c>
      <c r="DQ321" s="1484">
        <f>IF(T321&lt;&gt;"0",(ROUND(IF(A321="EMPLEADO",eval_formula('CONCEPTOS Y PARAMETROS'!$C$8,NOMINA!V321,AU321+BF321,NOMINA!I321+NOMINA!J321),eval_formula('CONCEPTOS Y PARAMETROS'!$D$8,NOMINA!V321,AU321+BF321,NOMINA!I321+NOMINA!J321)),2))*IF(H321&lt;&gt;"",IF(MONTH(H321)=$BR$8,IF(YEAR(H321)&lt;$BT$7,1,0),0)))</f>
        <v>0</v>
      </c>
      <c r="DR321" s="1801" t="str">
        <f t="shared" si="939"/>
        <v>F</v>
      </c>
      <c r="DS321" s="1801"/>
    </row>
    <row r="322" spans="1:123" s="471" customFormat="1" ht="21.95" customHeight="1" x14ac:dyDescent="0.25">
      <c r="A322" s="508" t="s">
        <v>2834</v>
      </c>
      <c r="B322" s="1314">
        <f t="shared" ca="1" si="941"/>
        <v>18</v>
      </c>
      <c r="C322" s="990">
        <v>10317435</v>
      </c>
      <c r="D322" s="1275" t="s">
        <v>4977</v>
      </c>
      <c r="E322" s="1135" t="s">
        <v>4622</v>
      </c>
      <c r="F322" s="1118">
        <v>24767</v>
      </c>
      <c r="G322" s="1135" t="s">
        <v>4620</v>
      </c>
      <c r="H322" s="1118">
        <v>39559</v>
      </c>
      <c r="I322" s="1140">
        <f t="shared" si="895"/>
        <v>17</v>
      </c>
      <c r="J322" s="1132">
        <v>0</v>
      </c>
      <c r="K322" s="1140">
        <f t="shared" si="896"/>
        <v>17</v>
      </c>
      <c r="L322" s="1145" t="s">
        <v>5529</v>
      </c>
      <c r="M322" s="1132"/>
      <c r="N322" s="1132"/>
      <c r="O322" s="1002" t="s">
        <v>5087</v>
      </c>
      <c r="P322" s="1132" t="s">
        <v>5119</v>
      </c>
      <c r="Q322" s="1315">
        <v>7102</v>
      </c>
      <c r="R322" s="1394" t="s">
        <v>5087</v>
      </c>
      <c r="S322" s="1393">
        <v>1</v>
      </c>
      <c r="T322" s="1107">
        <f>IFERROR(VLOOKUP(S322,'TAB OBR'!A:B,2,0),0)</f>
        <v>130</v>
      </c>
      <c r="U322" s="1108">
        <v>0</v>
      </c>
      <c r="V322" s="1107">
        <f t="shared" si="897"/>
        <v>130</v>
      </c>
      <c r="W322" s="1108">
        <f t="shared" si="898"/>
        <v>65</v>
      </c>
      <c r="X322" s="1135" t="s">
        <v>2884</v>
      </c>
      <c r="Y322" s="1135" t="s">
        <v>2884</v>
      </c>
      <c r="Z322" s="1135">
        <v>0</v>
      </c>
      <c r="AA322" s="1107">
        <f>ROUND(IF(H322&lt;&gt;"",VLOOKUP(SUM(I322+J322),'CONCEPTOS Y PARAMETROS'!F:G,2,0)*V322,0),2)</f>
        <v>27.56</v>
      </c>
      <c r="AB322" s="1107">
        <f>IF(S322&lt;&gt;"",IF(M322="",'CONCEPTOS Y PARAMETROS'!$C$4,0),0)</f>
        <v>130</v>
      </c>
      <c r="AC322" s="1107">
        <f>IF(S322&lt;&gt;"",IF(M322="",'CONCEPTOS Y PARAMETROS'!$C$7*Z322,0),0)</f>
        <v>0</v>
      </c>
      <c r="AD322" s="1107">
        <f>IFERROR(ROUND(VLOOKUP($X322,'CONCEPTOS Y PARAMETROS'!H:I,2,0)*($V322+AA322+AB322+AC322),2),0)</f>
        <v>0</v>
      </c>
      <c r="AE322" s="1107">
        <f t="shared" si="899"/>
        <v>157.56</v>
      </c>
      <c r="AF322" s="1107">
        <f t="shared" si="900"/>
        <v>13.78</v>
      </c>
      <c r="AG322" s="1107">
        <f t="shared" si="901"/>
        <v>13.78</v>
      </c>
      <c r="AH322" s="1107">
        <f t="shared" si="902"/>
        <v>65</v>
      </c>
      <c r="AI322" s="1107">
        <f t="shared" si="903"/>
        <v>65</v>
      </c>
      <c r="AJ322" s="1107">
        <f t="shared" si="904"/>
        <v>0</v>
      </c>
      <c r="AK322" s="1107">
        <f t="shared" si="905"/>
        <v>0</v>
      </c>
      <c r="AL322" s="1108">
        <f t="shared" si="906"/>
        <v>78.78</v>
      </c>
      <c r="AM322" s="1108">
        <f t="shared" si="907"/>
        <v>78.78</v>
      </c>
      <c r="AN322" s="990">
        <v>0</v>
      </c>
      <c r="AO322" s="1147">
        <f>'CONCEPTOS Y PARAMETROS'!$C$18*AN322</f>
        <v>0</v>
      </c>
      <c r="AP322" s="990">
        <v>0</v>
      </c>
      <c r="AQ322" s="1147">
        <f>'CONCEPTOS Y PARAMETROS'!$C$21*AP322</f>
        <v>0</v>
      </c>
      <c r="AR322" s="1318">
        <v>0</v>
      </c>
      <c r="AS322" s="1318">
        <v>0</v>
      </c>
      <c r="AT322" s="1318">
        <f t="shared" si="908"/>
        <v>0</v>
      </c>
      <c r="AU322" s="1108">
        <f t="shared" si="909"/>
        <v>287.56</v>
      </c>
      <c r="AV322" s="1133">
        <v>0</v>
      </c>
      <c r="AW322" s="1108">
        <f t="shared" si="910"/>
        <v>0</v>
      </c>
      <c r="AX322" s="1107">
        <f>IF(T322&lt;&gt;"0",(ROUND(IF(A322="EMPLEADO",eval_formula('CONCEPTOS Y PARAMETROS'!$C$8,NOMINA!V322,NOMINA!$AU322,NOMINA!I322+NOMINA!J322),eval_formula('CONCEPTOS Y PARAMETROS'!$D$8,NOMINA!V322,NOMINA!$AU322,NOMINA!I322+NOMINA!J322)),2))*IF(H322&lt;&gt;"",IF(MONTH(H322)=$BR$8,IF(YEAR(H322)&lt;$BT$7,1,0),0)))</f>
        <v>0</v>
      </c>
      <c r="AY322" s="1108">
        <v>180</v>
      </c>
      <c r="AZ322" s="1107">
        <f>IFERROR(VLOOKUP(AY322,'CONCEPTOS Y PARAMETROS'!Y:Z,2,0),0)</f>
        <v>150</v>
      </c>
      <c r="BA322" s="1107">
        <f t="shared" si="911"/>
        <v>2156.6999999999998</v>
      </c>
      <c r="BB322" s="1107">
        <f t="shared" si="912"/>
        <v>0</v>
      </c>
      <c r="BC322" s="990">
        <v>0</v>
      </c>
      <c r="BD322" s="1107" t="str">
        <f t="shared" si="913"/>
        <v>0</v>
      </c>
      <c r="BE322" s="990">
        <v>0</v>
      </c>
      <c r="BF322" s="1107">
        <f t="shared" si="914"/>
        <v>0</v>
      </c>
      <c r="BG322" s="1108">
        <v>310</v>
      </c>
      <c r="BH322" s="1108">
        <v>0</v>
      </c>
      <c r="BI322" s="1132">
        <v>0</v>
      </c>
      <c r="BJ322" s="1108">
        <f t="shared" si="915"/>
        <v>0</v>
      </c>
      <c r="BK322" s="1108">
        <v>0</v>
      </c>
      <c r="BL322" s="1107">
        <f t="shared" si="942"/>
        <v>13.27</v>
      </c>
      <c r="BM322" s="1107">
        <f t="shared" si="943"/>
        <v>1.66</v>
      </c>
      <c r="BN322" s="1107">
        <f t="shared" si="916"/>
        <v>2.88</v>
      </c>
      <c r="BO322" s="1107">
        <v>0</v>
      </c>
      <c r="BP322" s="1107">
        <v>0</v>
      </c>
      <c r="BQ322" s="1320">
        <f t="shared" si="917"/>
        <v>17.809999999999999</v>
      </c>
      <c r="BR322" s="1107">
        <f t="shared" si="944"/>
        <v>29.86</v>
      </c>
      <c r="BS322" s="1107">
        <f t="shared" si="945"/>
        <v>6.64</v>
      </c>
      <c r="BT322" s="1107">
        <f t="shared" si="918"/>
        <v>5.76</v>
      </c>
      <c r="BU322" s="1107">
        <v>0</v>
      </c>
      <c r="BV322" s="1108">
        <f t="shared" si="919"/>
        <v>42.26</v>
      </c>
      <c r="BW322" s="1112">
        <f t="shared" si="920"/>
        <v>60.069999999999993</v>
      </c>
      <c r="BX322" s="1112">
        <f t="shared" si="921"/>
        <v>539.17999999999995</v>
      </c>
      <c r="BY322" s="1108">
        <v>0</v>
      </c>
      <c r="BZ322" s="1108">
        <f t="shared" si="922"/>
        <v>539.17999999999995</v>
      </c>
      <c r="CA322" s="1321">
        <f>'CONCEPTOS Y PARAMETROS'!$A$102</f>
        <v>6255</v>
      </c>
      <c r="CB322" s="1112">
        <f t="shared" si="923"/>
        <v>125.97</v>
      </c>
      <c r="CC322" s="1113">
        <f t="shared" si="924"/>
        <v>453.78</v>
      </c>
      <c r="CD322" s="512"/>
      <c r="CE322" s="512"/>
      <c r="CF322" s="470">
        <f t="shared" si="925"/>
        <v>763.78</v>
      </c>
      <c r="CG322" s="495">
        <f t="shared" si="926"/>
        <v>125.97</v>
      </c>
      <c r="CH322" s="498">
        <f t="shared" si="927"/>
        <v>0</v>
      </c>
      <c r="CI322" s="1490">
        <f t="shared" si="928"/>
        <v>310</v>
      </c>
      <c r="CJ322" s="1500">
        <v>1</v>
      </c>
      <c r="CK322" s="495">
        <f t="shared" si="929"/>
        <v>453.78</v>
      </c>
      <c r="CL322" s="1689">
        <f t="shared" si="930"/>
        <v>453.78</v>
      </c>
      <c r="CM322" s="1689">
        <f t="shared" si="940"/>
        <v>0</v>
      </c>
      <c r="CN322" s="496">
        <f t="shared" si="932"/>
        <v>0</v>
      </c>
      <c r="CO322" s="497">
        <v>0</v>
      </c>
      <c r="CP322" s="496">
        <f t="shared" si="933"/>
        <v>0</v>
      </c>
      <c r="CQ322" s="496">
        <f t="shared" si="934"/>
        <v>0</v>
      </c>
      <c r="CR322" s="496">
        <f t="shared" si="935"/>
        <v>907.56</v>
      </c>
      <c r="CS322" s="496">
        <f t="shared" si="936"/>
        <v>60.069999999999993</v>
      </c>
      <c r="CT322" s="496">
        <f t="shared" si="937"/>
        <v>6255</v>
      </c>
      <c r="CU322" s="470"/>
      <c r="CV322" s="470"/>
      <c r="CW322" s="470"/>
      <c r="CX322" s="470"/>
      <c r="CY322" s="1275" t="s">
        <v>7152</v>
      </c>
      <c r="CZ322" s="1275" t="s">
        <v>6857</v>
      </c>
      <c r="DA322" s="480"/>
      <c r="DB322" s="1642" t="s">
        <v>6588</v>
      </c>
      <c r="DC322" s="1642"/>
      <c r="DD322" s="1642" t="s">
        <v>6123</v>
      </c>
      <c r="DE322" s="1642" t="s">
        <v>6364</v>
      </c>
      <c r="DF322" s="1642" t="s">
        <v>6365</v>
      </c>
      <c r="DG322" s="1152"/>
      <c r="DH322" s="512"/>
      <c r="DI322" s="512"/>
      <c r="DJ322" s="470"/>
      <c r="DK322" s="470"/>
      <c r="DL322" s="470"/>
      <c r="DN322" s="471" t="str">
        <f>VLOOKUP(X322,Hoja1!$A$4:$B$10,2,0)</f>
        <v>BACHILLER</v>
      </c>
      <c r="DO322" s="471" t="str">
        <f>VLOOKUP(S322,Hoja1!$D$4:$F$77,3,0)</f>
        <v>GRADO (1) - MIN</v>
      </c>
      <c r="DP322" s="1156" t="str">
        <f t="shared" si="938"/>
        <v>0</v>
      </c>
      <c r="DQ322" s="1484">
        <f>IF(T322&lt;&gt;"0",(ROUND(IF(A322="EMPLEADO",eval_formula('CONCEPTOS Y PARAMETROS'!$C$8,NOMINA!V322,AU322+BF322,NOMINA!I322+NOMINA!J322),eval_formula('CONCEPTOS Y PARAMETROS'!$D$8,NOMINA!V322,AU322+BF322,NOMINA!I322+NOMINA!J322)),2))*IF(H322&lt;&gt;"",IF(MONTH(H322)=$BR$8,IF(YEAR(H322)&lt;$BT$7,1,0),0)))</f>
        <v>0</v>
      </c>
      <c r="DR322" s="1801" t="str">
        <f t="shared" si="939"/>
        <v>F</v>
      </c>
      <c r="DS322" s="1801"/>
    </row>
    <row r="323" spans="1:123" s="471" customFormat="1" ht="21.95" customHeight="1" x14ac:dyDescent="0.25">
      <c r="A323" s="508" t="s">
        <v>2834</v>
      </c>
      <c r="B323" s="1314">
        <f t="shared" ca="1" si="941"/>
        <v>19</v>
      </c>
      <c r="C323" s="990">
        <v>10396367</v>
      </c>
      <c r="D323" s="1275" t="s">
        <v>4978</v>
      </c>
      <c r="E323" s="1135" t="s">
        <v>4622</v>
      </c>
      <c r="F323" s="1118">
        <v>24359</v>
      </c>
      <c r="G323" s="1135" t="s">
        <v>4620</v>
      </c>
      <c r="H323" s="1118">
        <v>39722</v>
      </c>
      <c r="I323" s="1140">
        <f t="shared" si="895"/>
        <v>16</v>
      </c>
      <c r="J323" s="1132">
        <v>0</v>
      </c>
      <c r="K323" s="1140">
        <f t="shared" si="896"/>
        <v>16</v>
      </c>
      <c r="L323" s="1145" t="s">
        <v>5550</v>
      </c>
      <c r="M323" s="1132"/>
      <c r="N323" s="1132"/>
      <c r="O323" s="1002" t="s">
        <v>5085</v>
      </c>
      <c r="P323" s="1132" t="s">
        <v>5120</v>
      </c>
      <c r="Q323" s="1315">
        <v>2202</v>
      </c>
      <c r="R323" s="1394" t="s">
        <v>5085</v>
      </c>
      <c r="S323" s="1393">
        <v>5</v>
      </c>
      <c r="T323" s="1107">
        <f>IFERROR(VLOOKUP(S323,'TAB OBR'!A:B,2,0),0)</f>
        <v>171</v>
      </c>
      <c r="U323" s="1108">
        <v>0</v>
      </c>
      <c r="V323" s="1107">
        <f t="shared" si="897"/>
        <v>171</v>
      </c>
      <c r="W323" s="1108">
        <f t="shared" si="898"/>
        <v>85.5</v>
      </c>
      <c r="X323" s="1135" t="s">
        <v>2884</v>
      </c>
      <c r="Y323" s="1135" t="s">
        <v>2884</v>
      </c>
      <c r="Z323" s="1135">
        <v>0</v>
      </c>
      <c r="AA323" s="1107">
        <f>ROUND(IF(H323&lt;&gt;"",VLOOKUP(SUM(I323+J323),'CONCEPTOS Y PARAMETROS'!F:G,2,0)*V323,0),2)</f>
        <v>33.520000000000003</v>
      </c>
      <c r="AB323" s="1107">
        <f>IF(S323&lt;&gt;"",IF(M323="",'CONCEPTOS Y PARAMETROS'!$C$4,0),0)</f>
        <v>130</v>
      </c>
      <c r="AC323" s="1107">
        <f>IF(S323&lt;&gt;"",IF(M323="",'CONCEPTOS Y PARAMETROS'!$C$7*Z323,0),0)</f>
        <v>0</v>
      </c>
      <c r="AD323" s="1107">
        <f>IFERROR(ROUND(VLOOKUP($X323,'CONCEPTOS Y PARAMETROS'!H:I,2,0)*($V323+AA323+AB323+AC323),2),0)</f>
        <v>0</v>
      </c>
      <c r="AE323" s="1107">
        <f t="shared" si="899"/>
        <v>163.52000000000001</v>
      </c>
      <c r="AF323" s="1107">
        <f t="shared" si="900"/>
        <v>16.760000000000002</v>
      </c>
      <c r="AG323" s="1107">
        <f t="shared" si="901"/>
        <v>16.760000000000002</v>
      </c>
      <c r="AH323" s="1107">
        <f t="shared" si="902"/>
        <v>65</v>
      </c>
      <c r="AI323" s="1107">
        <f t="shared" si="903"/>
        <v>65</v>
      </c>
      <c r="AJ323" s="1107">
        <f t="shared" si="904"/>
        <v>0</v>
      </c>
      <c r="AK323" s="1107">
        <f t="shared" si="905"/>
        <v>0</v>
      </c>
      <c r="AL323" s="1108">
        <f t="shared" si="906"/>
        <v>81.760000000000005</v>
      </c>
      <c r="AM323" s="1108">
        <f t="shared" si="907"/>
        <v>81.760000000000005</v>
      </c>
      <c r="AN323" s="990">
        <v>0</v>
      </c>
      <c r="AO323" s="1147">
        <f>'CONCEPTOS Y PARAMETROS'!$C$18*AN323</f>
        <v>0</v>
      </c>
      <c r="AP323" s="990">
        <v>0</v>
      </c>
      <c r="AQ323" s="1147">
        <f>'CONCEPTOS Y PARAMETROS'!$C$21*AP323</f>
        <v>0</v>
      </c>
      <c r="AR323" s="1318">
        <v>0</v>
      </c>
      <c r="AS323" s="1318">
        <v>0</v>
      </c>
      <c r="AT323" s="1318">
        <f t="shared" si="908"/>
        <v>0</v>
      </c>
      <c r="AU323" s="1108">
        <f t="shared" si="909"/>
        <v>334.52</v>
      </c>
      <c r="AV323" s="1133">
        <v>0</v>
      </c>
      <c r="AW323" s="1108">
        <f t="shared" si="910"/>
        <v>0</v>
      </c>
      <c r="AX323" s="1107">
        <f>IF(T323&lt;&gt;"0",(ROUND(IF(A323="EMPLEADO",eval_formula('CONCEPTOS Y PARAMETROS'!$C$8,NOMINA!V323,NOMINA!$AU323,NOMINA!I323+NOMINA!J323),eval_formula('CONCEPTOS Y PARAMETROS'!$D$8,NOMINA!V323,NOMINA!$AU323,NOMINA!I323+NOMINA!J323)),2))*IF(H323&lt;&gt;"",IF(MONTH(H323)=$BR$8,IF(YEAR(H323)&lt;$BT$7,1,0),0)))</f>
        <v>0</v>
      </c>
      <c r="AY323" s="1108">
        <v>180</v>
      </c>
      <c r="AZ323" s="1107">
        <f>IFERROR(VLOOKUP(AY323,'CONCEPTOS Y PARAMETROS'!Y:Z,2,0),0)</f>
        <v>150</v>
      </c>
      <c r="BA323" s="1107">
        <f t="shared" si="911"/>
        <v>2508.9</v>
      </c>
      <c r="BB323" s="1107">
        <f t="shared" si="912"/>
        <v>0</v>
      </c>
      <c r="BC323" s="990">
        <v>0</v>
      </c>
      <c r="BD323" s="1107" t="str">
        <f t="shared" si="913"/>
        <v>0</v>
      </c>
      <c r="BE323" s="990">
        <v>0</v>
      </c>
      <c r="BF323" s="1107">
        <f t="shared" si="914"/>
        <v>0</v>
      </c>
      <c r="BG323" s="1108">
        <v>310</v>
      </c>
      <c r="BH323" s="1108">
        <v>0</v>
      </c>
      <c r="BI323" s="1132">
        <v>0</v>
      </c>
      <c r="BJ323" s="1108">
        <f t="shared" si="915"/>
        <v>0</v>
      </c>
      <c r="BK323" s="1108">
        <v>0</v>
      </c>
      <c r="BL323" s="1107">
        <f t="shared" si="942"/>
        <v>15.44</v>
      </c>
      <c r="BM323" s="1107">
        <f t="shared" si="943"/>
        <v>1.93</v>
      </c>
      <c r="BN323" s="1107">
        <f t="shared" si="916"/>
        <v>3.35</v>
      </c>
      <c r="BO323" s="1107">
        <v>0</v>
      </c>
      <c r="BP323" s="1107">
        <v>0</v>
      </c>
      <c r="BQ323" s="1320">
        <f t="shared" si="917"/>
        <v>20.72</v>
      </c>
      <c r="BR323" s="1107">
        <f t="shared" si="944"/>
        <v>34.74</v>
      </c>
      <c r="BS323" s="1107">
        <f t="shared" si="945"/>
        <v>7.72</v>
      </c>
      <c r="BT323" s="1107">
        <f t="shared" si="918"/>
        <v>6.7</v>
      </c>
      <c r="BU323" s="1107">
        <v>0</v>
      </c>
      <c r="BV323" s="1108">
        <f t="shared" si="919"/>
        <v>49.16</v>
      </c>
      <c r="BW323" s="1112">
        <f t="shared" si="920"/>
        <v>69.88</v>
      </c>
      <c r="BX323" s="1112">
        <f t="shared" si="921"/>
        <v>627.23</v>
      </c>
      <c r="BY323" s="1108">
        <v>0</v>
      </c>
      <c r="BZ323" s="1108">
        <f t="shared" si="922"/>
        <v>627.23</v>
      </c>
      <c r="CA323" s="1321">
        <f>'CONCEPTOS Y PARAMETROS'!$A$102</f>
        <v>6255</v>
      </c>
      <c r="CB323" s="1112">
        <f t="shared" si="923"/>
        <v>146.54</v>
      </c>
      <c r="CC323" s="1113">
        <f t="shared" si="924"/>
        <v>477.26</v>
      </c>
      <c r="CD323" s="512"/>
      <c r="CE323" s="512"/>
      <c r="CF323" s="470">
        <f t="shared" si="925"/>
        <v>787.26</v>
      </c>
      <c r="CG323" s="495">
        <f t="shared" si="926"/>
        <v>146.54</v>
      </c>
      <c r="CH323" s="498">
        <f t="shared" si="927"/>
        <v>0</v>
      </c>
      <c r="CI323" s="1490">
        <f t="shared" si="928"/>
        <v>310</v>
      </c>
      <c r="CJ323" s="1500">
        <v>1</v>
      </c>
      <c r="CK323" s="495">
        <f t="shared" si="929"/>
        <v>477.26</v>
      </c>
      <c r="CL323" s="1689">
        <f t="shared" si="930"/>
        <v>477.26</v>
      </c>
      <c r="CM323" s="1689">
        <f t="shared" si="940"/>
        <v>0</v>
      </c>
      <c r="CN323" s="496">
        <f t="shared" si="932"/>
        <v>0</v>
      </c>
      <c r="CO323" s="497">
        <v>0</v>
      </c>
      <c r="CP323" s="496">
        <f t="shared" si="933"/>
        <v>0</v>
      </c>
      <c r="CQ323" s="496">
        <f t="shared" si="934"/>
        <v>0</v>
      </c>
      <c r="CR323" s="496">
        <f t="shared" si="935"/>
        <v>954.52</v>
      </c>
      <c r="CS323" s="496">
        <f t="shared" si="936"/>
        <v>69.88</v>
      </c>
      <c r="CT323" s="496">
        <f t="shared" si="937"/>
        <v>6255</v>
      </c>
      <c r="CU323" s="470"/>
      <c r="CV323" s="470"/>
      <c r="CW323" s="470"/>
      <c r="CX323" s="470"/>
      <c r="CY323" s="1275" t="s">
        <v>7153</v>
      </c>
      <c r="CZ323" s="1275" t="s">
        <v>7154</v>
      </c>
      <c r="DA323" s="480"/>
      <c r="DB323" s="1642" t="s">
        <v>7500</v>
      </c>
      <c r="DC323" s="1642"/>
      <c r="DD323" s="1642" t="s">
        <v>6563</v>
      </c>
      <c r="DE323" s="1642" t="s">
        <v>6166</v>
      </c>
      <c r="DF323" s="1642" t="s">
        <v>6201</v>
      </c>
      <c r="DG323" s="1642"/>
      <c r="DH323" s="512"/>
      <c r="DI323" s="512"/>
      <c r="DJ323" s="470"/>
      <c r="DK323" s="470"/>
      <c r="DL323" s="470"/>
      <c r="DN323" s="471" t="str">
        <f>VLOOKUP(X323,Hoja1!$A$4:$B$10,2,0)</f>
        <v>BACHILLER</v>
      </c>
      <c r="DO323" s="471" t="str">
        <f>VLOOKUP(S323,Hoja1!$D$4:$F$77,3,0)</f>
        <v>GRADO (5) - MÁX</v>
      </c>
      <c r="DP323" s="1156" t="str">
        <f t="shared" si="938"/>
        <v>0</v>
      </c>
      <c r="DQ323" s="1484">
        <f>IF(T323&lt;&gt;"0",(ROUND(IF(A323="EMPLEADO",eval_formula('CONCEPTOS Y PARAMETROS'!$C$8,NOMINA!V323,AU323+BF323,NOMINA!I323+NOMINA!J323),eval_formula('CONCEPTOS Y PARAMETROS'!$D$8,NOMINA!V323,AU323+BF323,NOMINA!I323+NOMINA!J323)),2))*IF(H323&lt;&gt;"",IF(MONTH(H323)=$BR$8,IF(YEAR(H323)&lt;$BT$7,1,0),0)))</f>
        <v>0</v>
      </c>
      <c r="DR323" s="1801" t="str">
        <f t="shared" si="939"/>
        <v>F</v>
      </c>
      <c r="DS323" s="1801"/>
    </row>
    <row r="324" spans="1:123" s="476" customFormat="1" ht="21.95" customHeight="1" x14ac:dyDescent="0.25">
      <c r="A324" s="508" t="s">
        <v>2834</v>
      </c>
      <c r="B324" s="1314">
        <f t="shared" ca="1" si="941"/>
        <v>20</v>
      </c>
      <c r="C324" s="990">
        <v>10399474</v>
      </c>
      <c r="D324" s="1275" t="s">
        <v>6786</v>
      </c>
      <c r="E324" s="1135" t="s">
        <v>4622</v>
      </c>
      <c r="F324" s="1118">
        <v>24905</v>
      </c>
      <c r="G324" s="1135" t="s">
        <v>4620</v>
      </c>
      <c r="H324" s="1118">
        <v>45597</v>
      </c>
      <c r="I324" s="1140">
        <f t="shared" si="895"/>
        <v>0</v>
      </c>
      <c r="J324" s="1132">
        <v>0</v>
      </c>
      <c r="K324" s="1140">
        <f t="shared" si="896"/>
        <v>0</v>
      </c>
      <c r="L324" s="1145" t="s">
        <v>5550</v>
      </c>
      <c r="M324" s="1132"/>
      <c r="N324" s="1132"/>
      <c r="O324" s="1002" t="s">
        <v>5084</v>
      </c>
      <c r="P324" s="1151" t="s">
        <v>6787</v>
      </c>
      <c r="Q324" s="1315">
        <v>7129</v>
      </c>
      <c r="R324" s="1394" t="s">
        <v>5084</v>
      </c>
      <c r="S324" s="1393">
        <v>2</v>
      </c>
      <c r="T324" s="1107">
        <f>IFERROR(VLOOKUP(S324,'TAB OBR'!A:B,2,0),0)</f>
        <v>142</v>
      </c>
      <c r="U324" s="1108">
        <v>0</v>
      </c>
      <c r="V324" s="1107">
        <f t="shared" si="897"/>
        <v>142</v>
      </c>
      <c r="W324" s="1108">
        <f t="shared" si="898"/>
        <v>71</v>
      </c>
      <c r="X324" s="1135" t="s">
        <v>2884</v>
      </c>
      <c r="Y324" s="1135" t="s">
        <v>2884</v>
      </c>
      <c r="Z324" s="1135">
        <v>0</v>
      </c>
      <c r="AA324" s="1107">
        <f>ROUND(IF(H324&lt;&gt;"",VLOOKUP(SUM(I324+J324),'CONCEPTOS Y PARAMETROS'!F:G,2,0)*V324,0),2)</f>
        <v>0</v>
      </c>
      <c r="AB324" s="1107">
        <f>IF(S324&lt;&gt;"",IF(M324="",'CONCEPTOS Y PARAMETROS'!$C$4,0),0)</f>
        <v>130</v>
      </c>
      <c r="AC324" s="1107">
        <f>IF(S324&lt;&gt;"",IF(M324="",'CONCEPTOS Y PARAMETROS'!$C$7*Z324,0),0)</f>
        <v>0</v>
      </c>
      <c r="AD324" s="1107">
        <f>IFERROR(ROUND(VLOOKUP($X324,'CONCEPTOS Y PARAMETROS'!H:I,2,0)*($V324+AA324+AB324+AC324),2),0)</f>
        <v>0</v>
      </c>
      <c r="AE324" s="1107">
        <f t="shared" si="899"/>
        <v>130</v>
      </c>
      <c r="AF324" s="1107">
        <f t="shared" si="900"/>
        <v>0</v>
      </c>
      <c r="AG324" s="1107">
        <f t="shared" si="901"/>
        <v>0</v>
      </c>
      <c r="AH324" s="1107">
        <f t="shared" si="902"/>
        <v>65</v>
      </c>
      <c r="AI324" s="1107">
        <f t="shared" si="903"/>
        <v>65</v>
      </c>
      <c r="AJ324" s="1107">
        <f t="shared" si="904"/>
        <v>0</v>
      </c>
      <c r="AK324" s="1107">
        <f t="shared" si="905"/>
        <v>0</v>
      </c>
      <c r="AL324" s="1108">
        <f t="shared" si="906"/>
        <v>65</v>
      </c>
      <c r="AM324" s="1108">
        <f t="shared" si="907"/>
        <v>65</v>
      </c>
      <c r="AN324" s="990">
        <v>0</v>
      </c>
      <c r="AO324" s="1147">
        <f>'CONCEPTOS Y PARAMETROS'!$C$18*AN324</f>
        <v>0</v>
      </c>
      <c r="AP324" s="990">
        <v>0</v>
      </c>
      <c r="AQ324" s="1147">
        <f>'CONCEPTOS Y PARAMETROS'!$C$21*AP324</f>
        <v>0</v>
      </c>
      <c r="AR324" s="1318">
        <v>0</v>
      </c>
      <c r="AS324" s="1318">
        <v>0</v>
      </c>
      <c r="AT324" s="1318">
        <f t="shared" si="908"/>
        <v>0</v>
      </c>
      <c r="AU324" s="1108">
        <f t="shared" si="909"/>
        <v>272</v>
      </c>
      <c r="AV324" s="1133">
        <v>0</v>
      </c>
      <c r="AW324" s="1108">
        <f t="shared" si="910"/>
        <v>0</v>
      </c>
      <c r="AX324" s="1107">
        <f>IF(T324&lt;&gt;"0",(ROUND(IF(A324="EMPLEADO",eval_formula('CONCEPTOS Y PARAMETROS'!$C$8,NOMINA!V324,NOMINA!$AU324,NOMINA!I324+NOMINA!J324),eval_formula('CONCEPTOS Y PARAMETROS'!$D$8,NOMINA!V324,NOMINA!$AU324,NOMINA!I324+NOMINA!J324)),2))*IF(H324&lt;&gt;"",IF(MONTH(H324)=$BR$8,IF(YEAR(H324)&lt;$BT$7,1,0),0)))</f>
        <v>0</v>
      </c>
      <c r="AY324" s="1108">
        <v>30</v>
      </c>
      <c r="AZ324" s="1107">
        <f>IFERROR(VLOOKUP(AY324,'CONCEPTOS Y PARAMETROS'!Y:Z,2,0),0)</f>
        <v>25</v>
      </c>
      <c r="BA324" s="1107">
        <f t="shared" si="911"/>
        <v>245.56</v>
      </c>
      <c r="BB324" s="1107">
        <f t="shared" si="912"/>
        <v>0</v>
      </c>
      <c r="BC324" s="990">
        <v>0</v>
      </c>
      <c r="BD324" s="1107" t="str">
        <f t="shared" si="913"/>
        <v>0</v>
      </c>
      <c r="BE324" s="990">
        <v>2</v>
      </c>
      <c r="BF324" s="1107">
        <f t="shared" si="914"/>
        <v>27.2</v>
      </c>
      <c r="BG324" s="1108">
        <v>310</v>
      </c>
      <c r="BH324" s="1108">
        <v>0</v>
      </c>
      <c r="BI324" s="1132">
        <v>0</v>
      </c>
      <c r="BJ324" s="1108">
        <f t="shared" si="915"/>
        <v>0</v>
      </c>
      <c r="BK324" s="1108">
        <v>0</v>
      </c>
      <c r="BL324" s="1107">
        <f t="shared" si="942"/>
        <v>12.55</v>
      </c>
      <c r="BM324" s="1107">
        <f t="shared" si="943"/>
        <v>1.57</v>
      </c>
      <c r="BN324" s="1107">
        <f t="shared" si="916"/>
        <v>2.72</v>
      </c>
      <c r="BO324" s="1107">
        <v>0</v>
      </c>
      <c r="BP324" s="1107">
        <v>0</v>
      </c>
      <c r="BQ324" s="1320">
        <f t="shared" ref="BQ324" si="946">ROUND(SUM(BL324:BP324),2)</f>
        <v>16.84</v>
      </c>
      <c r="BR324" s="1107">
        <f t="shared" si="944"/>
        <v>28.25</v>
      </c>
      <c r="BS324" s="1107">
        <f t="shared" si="945"/>
        <v>6.28</v>
      </c>
      <c r="BT324" s="1107">
        <f t="shared" si="918"/>
        <v>5.44</v>
      </c>
      <c r="BU324" s="1107">
        <v>0</v>
      </c>
      <c r="BV324" s="1108">
        <f t="shared" ref="BV324" si="947">ROUND(SUM(BR324:BT324),2)</f>
        <v>39.97</v>
      </c>
      <c r="BW324" s="1112">
        <f t="shared" si="920"/>
        <v>56.81</v>
      </c>
      <c r="BX324" s="1112">
        <f>ROUND(BA324/3,2)</f>
        <v>81.849999999999994</v>
      </c>
      <c r="BY324" s="1108">
        <v>0</v>
      </c>
      <c r="BZ324" s="1108">
        <f t="shared" si="922"/>
        <v>81.849999999999994</v>
      </c>
      <c r="CA324" s="1321">
        <f>'CONCEPTOS Y PARAMETROS'!$A$102</f>
        <v>6255</v>
      </c>
      <c r="CB324" s="1112">
        <f t="shared" si="923"/>
        <v>119.16</v>
      </c>
      <c r="CC324" s="1113">
        <f t="shared" si="924"/>
        <v>473.2</v>
      </c>
      <c r="CD324" s="1452"/>
      <c r="CE324" s="512"/>
      <c r="CF324" s="470">
        <f t="shared" si="925"/>
        <v>756</v>
      </c>
      <c r="CG324" s="509">
        <f t="shared" si="926"/>
        <v>119.16</v>
      </c>
      <c r="CH324" s="498">
        <f t="shared" si="927"/>
        <v>0</v>
      </c>
      <c r="CI324" s="1491">
        <f t="shared" si="928"/>
        <v>310</v>
      </c>
      <c r="CJ324" s="1500">
        <v>1</v>
      </c>
      <c r="CK324" s="509">
        <f t="shared" si="929"/>
        <v>446</v>
      </c>
      <c r="CL324" s="1689">
        <f t="shared" si="930"/>
        <v>446</v>
      </c>
      <c r="CM324" s="1689">
        <f t="shared" si="940"/>
        <v>0</v>
      </c>
      <c r="CN324" s="510">
        <f t="shared" si="932"/>
        <v>27.2</v>
      </c>
      <c r="CO324" s="511">
        <v>0</v>
      </c>
      <c r="CP324" s="510">
        <f t="shared" si="933"/>
        <v>0</v>
      </c>
      <c r="CQ324" s="510">
        <f t="shared" si="934"/>
        <v>0</v>
      </c>
      <c r="CR324" s="496">
        <f t="shared" si="935"/>
        <v>919.2</v>
      </c>
      <c r="CS324" s="510">
        <f t="shared" si="936"/>
        <v>56.81</v>
      </c>
      <c r="CT324" s="510">
        <f t="shared" si="937"/>
        <v>6255</v>
      </c>
      <c r="CU324" s="470"/>
      <c r="CV324" s="470"/>
      <c r="CW324" s="470"/>
      <c r="CX324" s="470"/>
      <c r="CY324" s="1275" t="s">
        <v>6950</v>
      </c>
      <c r="CZ324" s="1275" t="s">
        <v>7155</v>
      </c>
      <c r="DA324" s="1152"/>
      <c r="DB324" s="1642" t="s">
        <v>7499</v>
      </c>
      <c r="DC324" s="1642" t="s">
        <v>7497</v>
      </c>
      <c r="DD324" s="1642" t="s">
        <v>6135</v>
      </c>
      <c r="DE324" s="1642"/>
      <c r="DF324" s="1642" t="s">
        <v>7498</v>
      </c>
      <c r="DG324" s="1642"/>
      <c r="DH324" s="512"/>
      <c r="DI324" s="512"/>
      <c r="DJ324" s="512"/>
      <c r="DK324" s="512"/>
      <c r="DL324" s="512"/>
      <c r="DN324" s="476" t="str">
        <f>VLOOKUP(X324,Hoja1!$A$4:$B$10,2,0)</f>
        <v>BACHILLER</v>
      </c>
      <c r="DO324" s="476" t="str">
        <f>VLOOKUP(S324,Hoja1!$D$4:$F$77,3,0)</f>
        <v>GRADO (2) - MÁX</v>
      </c>
      <c r="DP324" s="1451" t="str">
        <f t="shared" si="938"/>
        <v>0</v>
      </c>
      <c r="DQ324" s="1484">
        <f>IF(T324&lt;&gt;"0",(ROUND(IF(A324="EMPLEADO",eval_formula('CONCEPTOS Y PARAMETROS'!$C$8,NOMINA!V324,AU324+BF324,NOMINA!I324+NOMINA!J324),eval_formula('CONCEPTOS Y PARAMETROS'!$D$8,NOMINA!V324,AU324+BF324,NOMINA!I324+NOMINA!J324)),2))*IF(H324&lt;&gt;"",IF(MONTH(H324)=$BR$8,IF(YEAR(H324)&lt;$BT$7,1,0),0)))</f>
        <v>0</v>
      </c>
      <c r="DR324" s="1799" t="str">
        <f t="shared" si="939"/>
        <v>F</v>
      </c>
      <c r="DS324" s="1799"/>
    </row>
    <row r="325" spans="1:123" s="471" customFormat="1" ht="21.95" customHeight="1" x14ac:dyDescent="0.25">
      <c r="A325" s="508" t="s">
        <v>2834</v>
      </c>
      <c r="B325" s="1314">
        <f t="shared" ca="1" si="941"/>
        <v>21</v>
      </c>
      <c r="C325" s="990">
        <v>10401329</v>
      </c>
      <c r="D325" s="1275" t="s">
        <v>4979</v>
      </c>
      <c r="E325" s="1135" t="s">
        <v>4622</v>
      </c>
      <c r="F325" s="1118">
        <v>23870</v>
      </c>
      <c r="G325" s="1135" t="s">
        <v>4621</v>
      </c>
      <c r="H325" s="1118">
        <v>39539</v>
      </c>
      <c r="I325" s="1140">
        <f t="shared" si="895"/>
        <v>17</v>
      </c>
      <c r="J325" s="1132">
        <v>0</v>
      </c>
      <c r="K325" s="1140">
        <f t="shared" si="896"/>
        <v>17</v>
      </c>
      <c r="L325" s="1145" t="s">
        <v>5549</v>
      </c>
      <c r="M325" s="1132"/>
      <c r="N325" s="1132"/>
      <c r="O325" s="1002" t="s">
        <v>5090</v>
      </c>
      <c r="P325" s="1132" t="s">
        <v>5121</v>
      </c>
      <c r="Q325" s="1315">
        <v>7206</v>
      </c>
      <c r="R325" s="1394" t="s">
        <v>5090</v>
      </c>
      <c r="S325" s="1393">
        <v>5</v>
      </c>
      <c r="T325" s="1107">
        <f>IFERROR(VLOOKUP(S325,'TAB OBR'!A:B,2,0),0)</f>
        <v>171</v>
      </c>
      <c r="U325" s="1108">
        <v>0</v>
      </c>
      <c r="V325" s="1107">
        <f t="shared" si="897"/>
        <v>171</v>
      </c>
      <c r="W325" s="1108">
        <f t="shared" si="898"/>
        <v>85.5</v>
      </c>
      <c r="X325" s="1135" t="s">
        <v>2884</v>
      </c>
      <c r="Y325" s="1135" t="s">
        <v>2884</v>
      </c>
      <c r="Z325" s="1135">
        <v>0</v>
      </c>
      <c r="AA325" s="1107">
        <f>ROUND(IF(H325&lt;&gt;"",VLOOKUP(SUM(I325+J325),'CONCEPTOS Y PARAMETROS'!F:G,2,0)*V325,0),2)</f>
        <v>36.25</v>
      </c>
      <c r="AB325" s="1107">
        <f>IF(S325&lt;&gt;"",IF(M325="",'CONCEPTOS Y PARAMETROS'!$C$4,0),0)</f>
        <v>130</v>
      </c>
      <c r="AC325" s="1107">
        <f>IF(S325&lt;&gt;"",IF(M325="",'CONCEPTOS Y PARAMETROS'!$C$7*Z325,0),0)</f>
        <v>0</v>
      </c>
      <c r="AD325" s="1107">
        <f>IFERROR(ROUND(VLOOKUP($X325,'CONCEPTOS Y PARAMETROS'!H:I,2,0)*($V325+AA325+AB325+AC325),2),0)</f>
        <v>0</v>
      </c>
      <c r="AE325" s="1107">
        <f t="shared" si="899"/>
        <v>166.25</v>
      </c>
      <c r="AF325" s="1107">
        <f t="shared" si="900"/>
        <v>18.13</v>
      </c>
      <c r="AG325" s="1107">
        <f t="shared" si="901"/>
        <v>18.12</v>
      </c>
      <c r="AH325" s="1107">
        <f t="shared" si="902"/>
        <v>65</v>
      </c>
      <c r="AI325" s="1107">
        <f t="shared" si="903"/>
        <v>65</v>
      </c>
      <c r="AJ325" s="1107">
        <f t="shared" si="904"/>
        <v>0</v>
      </c>
      <c r="AK325" s="1107">
        <f t="shared" si="905"/>
        <v>0</v>
      </c>
      <c r="AL325" s="1108">
        <f t="shared" si="906"/>
        <v>83.13</v>
      </c>
      <c r="AM325" s="1108">
        <f t="shared" si="907"/>
        <v>83.12</v>
      </c>
      <c r="AN325" s="990">
        <v>0</v>
      </c>
      <c r="AO325" s="1147">
        <f>'CONCEPTOS Y PARAMETROS'!$C$18*AN325</f>
        <v>0</v>
      </c>
      <c r="AP325" s="990">
        <v>0</v>
      </c>
      <c r="AQ325" s="1147">
        <f>'CONCEPTOS Y PARAMETROS'!$C$21*AP325</f>
        <v>0</v>
      </c>
      <c r="AR325" s="1318">
        <v>0</v>
      </c>
      <c r="AS325" s="1318">
        <v>0</v>
      </c>
      <c r="AT325" s="1318">
        <f t="shared" si="908"/>
        <v>0</v>
      </c>
      <c r="AU325" s="1108">
        <f t="shared" si="909"/>
        <v>438.43</v>
      </c>
      <c r="AV325" s="1133" t="s">
        <v>5080</v>
      </c>
      <c r="AW325" s="1108">
        <f t="shared" si="910"/>
        <v>101.18</v>
      </c>
      <c r="AX325" s="1107">
        <f>IF(T325&lt;&gt;"0",(ROUND(IF(A325="EMPLEADO",eval_formula('CONCEPTOS Y PARAMETROS'!$C$8,NOMINA!V325,NOMINA!$AU325,NOMINA!I325+NOMINA!J325),eval_formula('CONCEPTOS Y PARAMETROS'!$D$8,NOMINA!V325,NOMINA!$AU325,NOMINA!I325+NOMINA!J325)),2))*IF(H325&lt;&gt;"",IF(MONTH(H325)=$BR$8,IF(YEAR(H325)&lt;$BT$7,1,0),0)))</f>
        <v>0</v>
      </c>
      <c r="AY325" s="1108">
        <v>180</v>
      </c>
      <c r="AZ325" s="1107">
        <f>IFERROR(VLOOKUP(AY325,'CONCEPTOS Y PARAMETROS'!Y:Z,2,0),0)</f>
        <v>150</v>
      </c>
      <c r="BA325" s="1107">
        <f t="shared" si="911"/>
        <v>3288.23</v>
      </c>
      <c r="BB325" s="1107">
        <f t="shared" si="912"/>
        <v>0</v>
      </c>
      <c r="BC325" s="990">
        <v>0</v>
      </c>
      <c r="BD325" s="1107" t="str">
        <f t="shared" si="913"/>
        <v>0</v>
      </c>
      <c r="BE325" s="990">
        <v>2</v>
      </c>
      <c r="BF325" s="1107">
        <f t="shared" si="914"/>
        <v>43.84</v>
      </c>
      <c r="BG325" s="1108">
        <v>310</v>
      </c>
      <c r="BH325" s="1108">
        <v>0</v>
      </c>
      <c r="BI325" s="1132">
        <v>0</v>
      </c>
      <c r="BJ325" s="1108">
        <f t="shared" si="915"/>
        <v>0</v>
      </c>
      <c r="BK325" s="1108">
        <v>0</v>
      </c>
      <c r="BL325" s="1107">
        <f t="shared" si="942"/>
        <v>20.239999999999998</v>
      </c>
      <c r="BM325" s="1107">
        <f t="shared" si="943"/>
        <v>2.5299999999999998</v>
      </c>
      <c r="BN325" s="1107">
        <f t="shared" si="916"/>
        <v>4.38</v>
      </c>
      <c r="BO325" s="1107">
        <v>0</v>
      </c>
      <c r="BP325" s="1107">
        <v>0</v>
      </c>
      <c r="BQ325" s="1320">
        <f t="shared" si="917"/>
        <v>27.15</v>
      </c>
      <c r="BR325" s="1107">
        <f t="shared" si="944"/>
        <v>45.53</v>
      </c>
      <c r="BS325" s="1107">
        <f t="shared" si="945"/>
        <v>10.119999999999999</v>
      </c>
      <c r="BT325" s="1107">
        <f t="shared" si="918"/>
        <v>8.76</v>
      </c>
      <c r="BU325" s="1107">
        <v>0</v>
      </c>
      <c r="BV325" s="1108">
        <f t="shared" si="919"/>
        <v>64.41</v>
      </c>
      <c r="BW325" s="1112">
        <f t="shared" si="920"/>
        <v>91.56</v>
      </c>
      <c r="BX325" s="1112">
        <f t="shared" ref="BX325:BX356" si="948">ROUND(BA325/4,2)</f>
        <v>822.06</v>
      </c>
      <c r="BY325" s="1108">
        <v>0</v>
      </c>
      <c r="BZ325" s="1108">
        <f t="shared" si="922"/>
        <v>822.06</v>
      </c>
      <c r="CA325" s="1321">
        <f>'CONCEPTOS Y PARAMETROS'!$A$102</f>
        <v>6255</v>
      </c>
      <c r="CB325" s="1112">
        <f t="shared" si="923"/>
        <v>141.47999999999999</v>
      </c>
      <c r="CC325" s="1113">
        <f t="shared" si="924"/>
        <v>623.64</v>
      </c>
      <c r="CD325" s="512"/>
      <c r="CE325" s="512"/>
      <c r="CF325" s="470">
        <f t="shared" si="925"/>
        <v>788.62</v>
      </c>
      <c r="CG325" s="495">
        <f t="shared" si="926"/>
        <v>141.47999999999999</v>
      </c>
      <c r="CH325" s="498">
        <f t="shared" si="927"/>
        <v>0</v>
      </c>
      <c r="CI325" s="1490">
        <f t="shared" si="928"/>
        <v>310</v>
      </c>
      <c r="CJ325" s="1500">
        <v>1</v>
      </c>
      <c r="CK325" s="495">
        <f t="shared" si="929"/>
        <v>478.62</v>
      </c>
      <c r="CL325" s="1689">
        <f t="shared" si="930"/>
        <v>478.62</v>
      </c>
      <c r="CM325" s="1689">
        <f t="shared" si="940"/>
        <v>0</v>
      </c>
      <c r="CN325" s="496">
        <f t="shared" si="932"/>
        <v>43.84</v>
      </c>
      <c r="CO325" s="497">
        <v>0</v>
      </c>
      <c r="CP325" s="496">
        <f t="shared" si="933"/>
        <v>101.18</v>
      </c>
      <c r="CQ325" s="496">
        <f t="shared" si="934"/>
        <v>0</v>
      </c>
      <c r="CR325" s="496">
        <f t="shared" si="935"/>
        <v>1102.26</v>
      </c>
      <c r="CS325" s="496">
        <f t="shared" si="936"/>
        <v>91.56</v>
      </c>
      <c r="CT325" s="496">
        <f t="shared" si="937"/>
        <v>6255</v>
      </c>
      <c r="CU325" s="470"/>
      <c r="CV325" s="470"/>
      <c r="CW325" s="470"/>
      <c r="CX325" s="470"/>
      <c r="CY325" s="1275" t="s">
        <v>6865</v>
      </c>
      <c r="CZ325" s="1275" t="s">
        <v>7156</v>
      </c>
      <c r="DA325" s="480"/>
      <c r="DB325" s="1642" t="s">
        <v>6434</v>
      </c>
      <c r="DC325" s="1642"/>
      <c r="DD325" s="1642" t="s">
        <v>6255</v>
      </c>
      <c r="DE325" s="1642" t="s">
        <v>6255</v>
      </c>
      <c r="DF325" s="1642" t="s">
        <v>6617</v>
      </c>
      <c r="DG325" s="1152"/>
      <c r="DH325" s="512"/>
      <c r="DI325" s="512"/>
      <c r="DJ325" s="470"/>
      <c r="DK325" s="470"/>
      <c r="DL325" s="470"/>
      <c r="DN325" s="471" t="str">
        <f>VLOOKUP(X325,Hoja1!$A$4:$B$10,2,0)</f>
        <v>BACHILLER</v>
      </c>
      <c r="DO325" s="471" t="str">
        <f>VLOOKUP(S325,Hoja1!$D$4:$F$77,3,0)</f>
        <v>GRADO (5) - MÁX</v>
      </c>
      <c r="DP325" s="1156" t="str">
        <f t="shared" si="938"/>
        <v>SI</v>
      </c>
      <c r="DQ325" s="1484">
        <f>IF(T325&lt;&gt;"0",(ROUND(IF(A325="EMPLEADO",eval_formula('CONCEPTOS Y PARAMETROS'!$C$8,NOMINA!V325,AU325+BF325,NOMINA!I325+NOMINA!J325),eval_formula('CONCEPTOS Y PARAMETROS'!$D$8,NOMINA!V325,AU325+BF325,NOMINA!I325+NOMINA!J325)),2))*IF(H325&lt;&gt;"",IF(MONTH(H325)=$BR$8,IF(YEAR(H325)&lt;$BT$7,1,0),0)))</f>
        <v>0</v>
      </c>
      <c r="DR325" s="1801" t="str">
        <f t="shared" si="939"/>
        <v>M</v>
      </c>
      <c r="DS325" s="1801"/>
    </row>
    <row r="326" spans="1:123" s="471" customFormat="1" ht="21.95" customHeight="1" x14ac:dyDescent="0.25">
      <c r="A326" s="508" t="s">
        <v>2834</v>
      </c>
      <c r="B326" s="1314">
        <f t="shared" ca="1" si="941"/>
        <v>22</v>
      </c>
      <c r="C326" s="990">
        <v>10907687</v>
      </c>
      <c r="D326" s="1275" t="s">
        <v>4982</v>
      </c>
      <c r="E326" s="1135" t="s">
        <v>4622</v>
      </c>
      <c r="F326" s="1118">
        <v>25984</v>
      </c>
      <c r="G326" s="1135" t="s">
        <v>4620</v>
      </c>
      <c r="H326" s="1118">
        <v>38749</v>
      </c>
      <c r="I326" s="1140">
        <f t="shared" si="895"/>
        <v>19</v>
      </c>
      <c r="J326" s="1132">
        <v>0</v>
      </c>
      <c r="K326" s="1140">
        <f t="shared" si="896"/>
        <v>19</v>
      </c>
      <c r="L326" s="1145" t="s">
        <v>5550</v>
      </c>
      <c r="M326" s="1132"/>
      <c r="N326" s="1132"/>
      <c r="O326" s="1002" t="s">
        <v>5085</v>
      </c>
      <c r="P326" s="1132" t="s">
        <v>5122</v>
      </c>
      <c r="Q326" s="1315">
        <v>2202</v>
      </c>
      <c r="R326" s="1394" t="s">
        <v>5085</v>
      </c>
      <c r="S326" s="1393">
        <v>5</v>
      </c>
      <c r="T326" s="1107">
        <f>IFERROR(VLOOKUP(S326,'TAB OBR'!A:B,2,0),0)</f>
        <v>171</v>
      </c>
      <c r="U326" s="1108">
        <v>0</v>
      </c>
      <c r="V326" s="1107">
        <f t="shared" si="897"/>
        <v>171</v>
      </c>
      <c r="W326" s="1108">
        <f t="shared" si="898"/>
        <v>85.5</v>
      </c>
      <c r="X326" s="1135" t="s">
        <v>2884</v>
      </c>
      <c r="Y326" s="1135" t="s">
        <v>2884</v>
      </c>
      <c r="Z326" s="1135">
        <v>0</v>
      </c>
      <c r="AA326" s="1107">
        <f>ROUND(IF(H326&lt;&gt;"",VLOOKUP(SUM(I326+J326),'CONCEPTOS Y PARAMETROS'!F:G,2,0)*V326,0),2)</f>
        <v>41.72</v>
      </c>
      <c r="AB326" s="1107">
        <f>IF(S326&lt;&gt;"",IF(M326="",'CONCEPTOS Y PARAMETROS'!$C$4,0),0)</f>
        <v>130</v>
      </c>
      <c r="AC326" s="1107">
        <f>IF(S326&lt;&gt;"",IF(M326="",'CONCEPTOS Y PARAMETROS'!$C$7*Z326,0),0)</f>
        <v>0</v>
      </c>
      <c r="AD326" s="1107">
        <f>IFERROR(ROUND(VLOOKUP($X326,'CONCEPTOS Y PARAMETROS'!H:I,2,0)*($V326+AA326+AB326+AC326),2),0)</f>
        <v>0</v>
      </c>
      <c r="AE326" s="1107">
        <f t="shared" si="899"/>
        <v>171.72</v>
      </c>
      <c r="AF326" s="1107">
        <f t="shared" si="900"/>
        <v>20.86</v>
      </c>
      <c r="AG326" s="1107">
        <f t="shared" si="901"/>
        <v>20.86</v>
      </c>
      <c r="AH326" s="1107">
        <f t="shared" si="902"/>
        <v>65</v>
      </c>
      <c r="AI326" s="1107">
        <f t="shared" si="903"/>
        <v>65</v>
      </c>
      <c r="AJ326" s="1107">
        <f t="shared" si="904"/>
        <v>0</v>
      </c>
      <c r="AK326" s="1107">
        <f t="shared" si="905"/>
        <v>0</v>
      </c>
      <c r="AL326" s="1108">
        <f t="shared" si="906"/>
        <v>85.86</v>
      </c>
      <c r="AM326" s="1108">
        <f t="shared" si="907"/>
        <v>85.86</v>
      </c>
      <c r="AN326" s="990">
        <v>0</v>
      </c>
      <c r="AO326" s="1147">
        <f>'CONCEPTOS Y PARAMETROS'!$C$18*AN326</f>
        <v>0</v>
      </c>
      <c r="AP326" s="990">
        <v>0</v>
      </c>
      <c r="AQ326" s="1147">
        <f>'CONCEPTOS Y PARAMETROS'!$C$21*AP326</f>
        <v>0</v>
      </c>
      <c r="AR326" s="1318">
        <v>0</v>
      </c>
      <c r="AS326" s="1318">
        <v>0</v>
      </c>
      <c r="AT326" s="1318">
        <f t="shared" si="908"/>
        <v>0</v>
      </c>
      <c r="AU326" s="1108">
        <f t="shared" si="909"/>
        <v>342.72</v>
      </c>
      <c r="AV326" s="1133">
        <v>0</v>
      </c>
      <c r="AW326" s="1108">
        <f t="shared" si="910"/>
        <v>0</v>
      </c>
      <c r="AX326" s="1107">
        <f>IF(T326&lt;&gt;"0",(ROUND(IF(A326="EMPLEADO",eval_formula('CONCEPTOS Y PARAMETROS'!$C$8,NOMINA!V326,NOMINA!$AU326,NOMINA!I326+NOMINA!J326),eval_formula('CONCEPTOS Y PARAMETROS'!$D$8,NOMINA!V326,NOMINA!$AU326,NOMINA!I326+NOMINA!J326)),2))*IF(H326&lt;&gt;"",IF(MONTH(H326)=$BR$8,IF(YEAR(H326)&lt;$BT$7,1,0),0)))</f>
        <v>0</v>
      </c>
      <c r="AY326" s="1108">
        <v>180</v>
      </c>
      <c r="AZ326" s="1107">
        <f>IFERROR(VLOOKUP(AY326,'CONCEPTOS Y PARAMETROS'!Y:Z,2,0),0)</f>
        <v>150</v>
      </c>
      <c r="BA326" s="1107">
        <f t="shared" si="911"/>
        <v>2570.4</v>
      </c>
      <c r="BB326" s="1107">
        <f t="shared" si="912"/>
        <v>0</v>
      </c>
      <c r="BC326" s="990">
        <v>0</v>
      </c>
      <c r="BD326" s="1107" t="str">
        <f t="shared" si="913"/>
        <v>0</v>
      </c>
      <c r="BE326" s="990">
        <v>2</v>
      </c>
      <c r="BF326" s="1107">
        <f t="shared" si="914"/>
        <v>34.270000000000003</v>
      </c>
      <c r="BG326" s="1108">
        <v>310</v>
      </c>
      <c r="BH326" s="1108">
        <v>0</v>
      </c>
      <c r="BI326" s="1132">
        <v>0</v>
      </c>
      <c r="BJ326" s="1108">
        <f t="shared" si="915"/>
        <v>0</v>
      </c>
      <c r="BK326" s="1108">
        <v>0</v>
      </c>
      <c r="BL326" s="1107">
        <f t="shared" si="942"/>
        <v>15.82</v>
      </c>
      <c r="BM326" s="1107">
        <f t="shared" si="943"/>
        <v>1.98</v>
      </c>
      <c r="BN326" s="1107">
        <f t="shared" si="916"/>
        <v>3.43</v>
      </c>
      <c r="BO326" s="1107">
        <v>0</v>
      </c>
      <c r="BP326" s="1107">
        <v>0</v>
      </c>
      <c r="BQ326" s="1320">
        <f t="shared" si="917"/>
        <v>21.23</v>
      </c>
      <c r="BR326" s="1107">
        <f t="shared" si="944"/>
        <v>35.590000000000003</v>
      </c>
      <c r="BS326" s="1107">
        <f t="shared" si="945"/>
        <v>7.91</v>
      </c>
      <c r="BT326" s="1107">
        <f t="shared" si="918"/>
        <v>6.86</v>
      </c>
      <c r="BU326" s="1107">
        <v>0</v>
      </c>
      <c r="BV326" s="1108">
        <f t="shared" si="919"/>
        <v>50.36</v>
      </c>
      <c r="BW326" s="1112">
        <f t="shared" si="920"/>
        <v>71.59</v>
      </c>
      <c r="BX326" s="1112">
        <f t="shared" si="948"/>
        <v>642.6</v>
      </c>
      <c r="BY326" s="1108">
        <v>0</v>
      </c>
      <c r="BZ326" s="1108">
        <f t="shared" si="922"/>
        <v>642.6</v>
      </c>
      <c r="CA326" s="1321">
        <f>'CONCEPTOS Y PARAMETROS'!$A$102</f>
        <v>6255</v>
      </c>
      <c r="CB326" s="1112">
        <f t="shared" si="923"/>
        <v>150.13000000000002</v>
      </c>
      <c r="CC326" s="1113">
        <f t="shared" si="924"/>
        <v>515.63</v>
      </c>
      <c r="CD326" s="512"/>
      <c r="CE326" s="512"/>
      <c r="CF326" s="470">
        <f t="shared" si="925"/>
        <v>791.36</v>
      </c>
      <c r="CG326" s="495">
        <f t="shared" si="926"/>
        <v>150.13000000000002</v>
      </c>
      <c r="CH326" s="498">
        <f t="shared" si="927"/>
        <v>0</v>
      </c>
      <c r="CI326" s="1490">
        <f t="shared" si="928"/>
        <v>310</v>
      </c>
      <c r="CJ326" s="1500">
        <v>1</v>
      </c>
      <c r="CK326" s="495">
        <f t="shared" si="929"/>
        <v>481.36</v>
      </c>
      <c r="CL326" s="1689">
        <f t="shared" si="930"/>
        <v>481.36</v>
      </c>
      <c r="CM326" s="1689">
        <f t="shared" si="940"/>
        <v>0</v>
      </c>
      <c r="CN326" s="496">
        <f t="shared" si="932"/>
        <v>34.270000000000003</v>
      </c>
      <c r="CO326" s="497">
        <v>0</v>
      </c>
      <c r="CP326" s="496">
        <f t="shared" si="933"/>
        <v>0</v>
      </c>
      <c r="CQ326" s="496">
        <f t="shared" si="934"/>
        <v>0</v>
      </c>
      <c r="CR326" s="496">
        <f t="shared" si="935"/>
        <v>996.99</v>
      </c>
      <c r="CS326" s="496">
        <f t="shared" si="936"/>
        <v>71.59</v>
      </c>
      <c r="CT326" s="496">
        <f t="shared" si="937"/>
        <v>6255</v>
      </c>
      <c r="CU326" s="470"/>
      <c r="CV326" s="470"/>
      <c r="CW326" s="470"/>
      <c r="CX326" s="470"/>
      <c r="CY326" s="1275" t="s">
        <v>6886</v>
      </c>
      <c r="CZ326" s="1275" t="s">
        <v>7157</v>
      </c>
      <c r="DA326" s="480"/>
      <c r="DB326" s="1642" t="s">
        <v>7504</v>
      </c>
      <c r="DC326" s="1642"/>
      <c r="DD326" s="1642" t="s">
        <v>6135</v>
      </c>
      <c r="DE326" s="1642" t="s">
        <v>6192</v>
      </c>
      <c r="DF326" s="1642" t="s">
        <v>6521</v>
      </c>
      <c r="DG326" s="1642"/>
      <c r="DH326" s="512"/>
      <c r="DI326" s="512"/>
      <c r="DJ326" s="470"/>
      <c r="DK326" s="470"/>
      <c r="DL326" s="470"/>
      <c r="DN326" s="471" t="str">
        <f>VLOOKUP(X326,Hoja1!$A$4:$B$10,2,0)</f>
        <v>BACHILLER</v>
      </c>
      <c r="DO326" s="471" t="str">
        <f>VLOOKUP(S326,Hoja1!$D$4:$F$77,3,0)</f>
        <v>GRADO (5) - MÁX</v>
      </c>
      <c r="DP326" s="1156" t="str">
        <f t="shared" si="938"/>
        <v>0</v>
      </c>
      <c r="DQ326" s="1484">
        <f>IF(T326&lt;&gt;"0",(ROUND(IF(A326="EMPLEADO",eval_formula('CONCEPTOS Y PARAMETROS'!$C$8,NOMINA!V326,AU326+BF326,NOMINA!I326+NOMINA!J326),eval_formula('CONCEPTOS Y PARAMETROS'!$D$8,NOMINA!V326,AU326+BF326,NOMINA!I326+NOMINA!J326)),2))*IF(H326&lt;&gt;"",IF(MONTH(H326)=$BR$8,IF(YEAR(H326)&lt;$BT$7,1,0),0)))</f>
        <v>0</v>
      </c>
      <c r="DR326" s="1801" t="str">
        <f t="shared" si="939"/>
        <v>F</v>
      </c>
      <c r="DS326" s="1801"/>
    </row>
    <row r="327" spans="1:123" s="471" customFormat="1" ht="21.95" customHeight="1" x14ac:dyDescent="0.25">
      <c r="A327" s="508" t="s">
        <v>2834</v>
      </c>
      <c r="B327" s="1314">
        <f t="shared" ca="1" si="941"/>
        <v>23</v>
      </c>
      <c r="C327" s="990">
        <v>10908543</v>
      </c>
      <c r="D327" s="1275" t="s">
        <v>4983</v>
      </c>
      <c r="E327" s="1135" t="s">
        <v>4622</v>
      </c>
      <c r="F327" s="1118">
        <v>25954</v>
      </c>
      <c r="G327" s="1135" t="s">
        <v>4621</v>
      </c>
      <c r="H327" s="1118">
        <v>42751</v>
      </c>
      <c r="I327" s="1140">
        <f t="shared" si="895"/>
        <v>8</v>
      </c>
      <c r="J327" s="1132">
        <v>0</v>
      </c>
      <c r="K327" s="1140">
        <f t="shared" si="896"/>
        <v>8</v>
      </c>
      <c r="L327" s="1145" t="s">
        <v>5549</v>
      </c>
      <c r="M327" s="1132"/>
      <c r="N327" s="1132"/>
      <c r="O327" s="1002" t="s">
        <v>5091</v>
      </c>
      <c r="P327" s="1132" t="s">
        <v>5123</v>
      </c>
      <c r="Q327" s="1315">
        <v>2202</v>
      </c>
      <c r="R327" s="1394" t="s">
        <v>5091</v>
      </c>
      <c r="S327" s="1393">
        <v>5</v>
      </c>
      <c r="T327" s="1107">
        <f>IFERROR(VLOOKUP(S327,'TAB OBR'!A:B,2,0),0)</f>
        <v>171</v>
      </c>
      <c r="U327" s="1108">
        <v>0</v>
      </c>
      <c r="V327" s="1107">
        <f t="shared" si="897"/>
        <v>171</v>
      </c>
      <c r="W327" s="1108">
        <f t="shared" si="898"/>
        <v>85.5</v>
      </c>
      <c r="X327" s="1135" t="s">
        <v>2884</v>
      </c>
      <c r="Y327" s="1135" t="s">
        <v>2884</v>
      </c>
      <c r="Z327" s="1135">
        <v>0</v>
      </c>
      <c r="AA327" s="1107">
        <f>ROUND(IF(H327&lt;&gt;"",VLOOKUP(SUM(I327+J327),'CONCEPTOS Y PARAMETROS'!F:G,2,0)*V327,0),2)</f>
        <v>14.71</v>
      </c>
      <c r="AB327" s="1107">
        <f>IF(S327&lt;&gt;"",IF(M327="",'CONCEPTOS Y PARAMETROS'!$C$4,0),0)</f>
        <v>130</v>
      </c>
      <c r="AC327" s="1107">
        <f>IF(S327&lt;&gt;"",IF(M327="",'CONCEPTOS Y PARAMETROS'!$C$7*Z327,0),0)</f>
        <v>0</v>
      </c>
      <c r="AD327" s="1107">
        <f>IFERROR(ROUND(VLOOKUP($X327,'CONCEPTOS Y PARAMETROS'!H:I,2,0)*($V327+AA327+AB327+AC327),2),0)</f>
        <v>0</v>
      </c>
      <c r="AE327" s="1107">
        <f t="shared" si="899"/>
        <v>144.71</v>
      </c>
      <c r="AF327" s="1107">
        <f t="shared" si="900"/>
        <v>7.36</v>
      </c>
      <c r="AG327" s="1107">
        <f t="shared" si="901"/>
        <v>7.35</v>
      </c>
      <c r="AH327" s="1107">
        <f t="shared" si="902"/>
        <v>65</v>
      </c>
      <c r="AI327" s="1107">
        <f t="shared" si="903"/>
        <v>65</v>
      </c>
      <c r="AJ327" s="1107">
        <f t="shared" si="904"/>
        <v>0</v>
      </c>
      <c r="AK327" s="1107">
        <f t="shared" si="905"/>
        <v>0</v>
      </c>
      <c r="AL327" s="1108">
        <f t="shared" si="906"/>
        <v>72.36</v>
      </c>
      <c r="AM327" s="1108">
        <f t="shared" si="907"/>
        <v>72.349999999999994</v>
      </c>
      <c r="AN327" s="990">
        <v>0</v>
      </c>
      <c r="AO327" s="1147">
        <f>'CONCEPTOS Y PARAMETROS'!$C$18*AN327</f>
        <v>0</v>
      </c>
      <c r="AP327" s="990">
        <v>0</v>
      </c>
      <c r="AQ327" s="1147">
        <f>'CONCEPTOS Y PARAMETROS'!$C$21*AP327</f>
        <v>0</v>
      </c>
      <c r="AR327" s="1318">
        <v>0</v>
      </c>
      <c r="AS327" s="1318">
        <v>0</v>
      </c>
      <c r="AT327" s="1318">
        <f t="shared" si="908"/>
        <v>0</v>
      </c>
      <c r="AU327" s="1108">
        <f t="shared" si="909"/>
        <v>315.71000000000004</v>
      </c>
      <c r="AV327" s="1133">
        <v>0</v>
      </c>
      <c r="AW327" s="1108">
        <f t="shared" si="910"/>
        <v>0</v>
      </c>
      <c r="AX327" s="1107">
        <f>IF(T327&lt;&gt;"0",(ROUND(IF(A327="EMPLEADO",eval_formula('CONCEPTOS Y PARAMETROS'!$C$8,NOMINA!V327,NOMINA!$AU327,NOMINA!I327+NOMINA!J327),eval_formula('CONCEPTOS Y PARAMETROS'!$D$8,NOMINA!V327,NOMINA!$AU327,NOMINA!I327+NOMINA!J327)),2))*IF(H327&lt;&gt;"",IF(MONTH(H327)=$BR$8,IF(YEAR(H327)&lt;$BT$7,1,0),0)))</f>
        <v>0</v>
      </c>
      <c r="AY327" s="1108">
        <v>180</v>
      </c>
      <c r="AZ327" s="1107">
        <f>IFERROR(VLOOKUP(AY327,'CONCEPTOS Y PARAMETROS'!Y:Z,2,0),0)</f>
        <v>150</v>
      </c>
      <c r="BA327" s="1107">
        <f t="shared" si="911"/>
        <v>2367.83</v>
      </c>
      <c r="BB327" s="1107">
        <f t="shared" si="912"/>
        <v>0</v>
      </c>
      <c r="BC327" s="990">
        <v>0</v>
      </c>
      <c r="BD327" s="1107" t="str">
        <f t="shared" si="913"/>
        <v>0</v>
      </c>
      <c r="BE327" s="990">
        <v>0</v>
      </c>
      <c r="BF327" s="1107">
        <f t="shared" si="914"/>
        <v>0</v>
      </c>
      <c r="BG327" s="1108">
        <v>310</v>
      </c>
      <c r="BH327" s="1108">
        <v>0</v>
      </c>
      <c r="BI327" s="1132">
        <v>0</v>
      </c>
      <c r="BJ327" s="1108">
        <f t="shared" si="915"/>
        <v>0</v>
      </c>
      <c r="BK327" s="1108">
        <v>0</v>
      </c>
      <c r="BL327" s="1107">
        <f t="shared" si="942"/>
        <v>14.57</v>
      </c>
      <c r="BM327" s="1107">
        <f t="shared" si="943"/>
        <v>1.82</v>
      </c>
      <c r="BN327" s="1107">
        <f t="shared" si="916"/>
        <v>3.16</v>
      </c>
      <c r="BO327" s="1107">
        <v>0</v>
      </c>
      <c r="BP327" s="1107">
        <v>0</v>
      </c>
      <c r="BQ327" s="1320">
        <f t="shared" si="917"/>
        <v>19.55</v>
      </c>
      <c r="BR327" s="1107">
        <f t="shared" si="944"/>
        <v>32.79</v>
      </c>
      <c r="BS327" s="1107">
        <f t="shared" si="945"/>
        <v>7.29</v>
      </c>
      <c r="BT327" s="1107">
        <f t="shared" si="918"/>
        <v>6.32</v>
      </c>
      <c r="BU327" s="1107">
        <v>0</v>
      </c>
      <c r="BV327" s="1108">
        <f t="shared" si="919"/>
        <v>46.4</v>
      </c>
      <c r="BW327" s="1112">
        <f t="shared" si="920"/>
        <v>65.95</v>
      </c>
      <c r="BX327" s="1112">
        <f t="shared" si="948"/>
        <v>591.96</v>
      </c>
      <c r="BY327" s="1108">
        <v>0</v>
      </c>
      <c r="BZ327" s="1108">
        <f t="shared" si="922"/>
        <v>591.96</v>
      </c>
      <c r="CA327" s="1321">
        <f>'CONCEPTOS Y PARAMETROS'!$A$102</f>
        <v>6255</v>
      </c>
      <c r="CB327" s="1112">
        <f t="shared" si="923"/>
        <v>138.31</v>
      </c>
      <c r="CC327" s="1113">
        <f t="shared" si="924"/>
        <v>467.85</v>
      </c>
      <c r="CD327" s="512"/>
      <c r="CE327" s="512"/>
      <c r="CF327" s="470">
        <f t="shared" si="925"/>
        <v>777.85</v>
      </c>
      <c r="CG327" s="495">
        <f t="shared" si="926"/>
        <v>138.31</v>
      </c>
      <c r="CH327" s="498">
        <f t="shared" si="927"/>
        <v>0</v>
      </c>
      <c r="CI327" s="1490">
        <f t="shared" si="928"/>
        <v>310</v>
      </c>
      <c r="CJ327" s="1500">
        <v>1</v>
      </c>
      <c r="CK327" s="495">
        <f t="shared" si="929"/>
        <v>467.85</v>
      </c>
      <c r="CL327" s="1689">
        <f t="shared" si="930"/>
        <v>467.85</v>
      </c>
      <c r="CM327" s="1689">
        <f t="shared" si="940"/>
        <v>0</v>
      </c>
      <c r="CN327" s="496">
        <f t="shared" si="932"/>
        <v>0</v>
      </c>
      <c r="CO327" s="497">
        <v>0</v>
      </c>
      <c r="CP327" s="496">
        <f t="shared" si="933"/>
        <v>0</v>
      </c>
      <c r="CQ327" s="496">
        <f t="shared" si="934"/>
        <v>0</v>
      </c>
      <c r="CR327" s="496">
        <f t="shared" si="935"/>
        <v>935.7</v>
      </c>
      <c r="CS327" s="496">
        <f t="shared" si="936"/>
        <v>65.95</v>
      </c>
      <c r="CT327" s="496">
        <f t="shared" si="937"/>
        <v>6255</v>
      </c>
      <c r="CU327" s="470"/>
      <c r="CV327" s="470"/>
      <c r="CW327" s="470"/>
      <c r="CX327" s="470"/>
      <c r="CY327" s="1275" t="s">
        <v>6942</v>
      </c>
      <c r="CZ327" s="1275" t="s">
        <v>7158</v>
      </c>
      <c r="DA327" s="480"/>
      <c r="DB327" s="1642" t="s">
        <v>6435</v>
      </c>
      <c r="DC327" s="1642"/>
      <c r="DD327" s="1642" t="s">
        <v>6135</v>
      </c>
      <c r="DE327" s="1642" t="s">
        <v>6147</v>
      </c>
      <c r="DF327" s="1642" t="s">
        <v>6618</v>
      </c>
      <c r="DG327" s="1152"/>
      <c r="DH327" s="512"/>
      <c r="DI327" s="512"/>
      <c r="DJ327" s="470"/>
      <c r="DK327" s="470"/>
      <c r="DL327" s="470"/>
      <c r="DN327" s="471" t="str">
        <f>VLOOKUP(X327,Hoja1!$A$4:$B$10,2,0)</f>
        <v>BACHILLER</v>
      </c>
      <c r="DO327" s="471" t="str">
        <f>VLOOKUP(S327,Hoja1!$D$4:$F$77,3,0)</f>
        <v>GRADO (5) - MÁX</v>
      </c>
      <c r="DP327" s="1156" t="str">
        <f t="shared" si="938"/>
        <v>0</v>
      </c>
      <c r="DQ327" s="1484">
        <f>IF(T327&lt;&gt;"0",(ROUND(IF(A327="EMPLEADO",eval_formula('CONCEPTOS Y PARAMETROS'!$C$8,NOMINA!V327,AU327+BF327,NOMINA!I327+NOMINA!J327),eval_formula('CONCEPTOS Y PARAMETROS'!$D$8,NOMINA!V327,AU327+BF327,NOMINA!I327+NOMINA!J327)),2))*IF(H327&lt;&gt;"",IF(MONTH(H327)=$BR$8,IF(YEAR(H327)&lt;$BT$7,1,0),0)))</f>
        <v>0</v>
      </c>
      <c r="DR327" s="1801" t="str">
        <f t="shared" si="939"/>
        <v>M</v>
      </c>
      <c r="DS327" s="1801"/>
    </row>
    <row r="328" spans="1:123" s="471" customFormat="1" ht="21.95" customHeight="1" x14ac:dyDescent="0.25">
      <c r="A328" s="508" t="s">
        <v>2834</v>
      </c>
      <c r="B328" s="1314">
        <f t="shared" ca="1" si="941"/>
        <v>24</v>
      </c>
      <c r="C328" s="990">
        <v>10909678</v>
      </c>
      <c r="D328" s="1275" t="s">
        <v>4984</v>
      </c>
      <c r="E328" s="1135" t="s">
        <v>4622</v>
      </c>
      <c r="F328" s="1118">
        <v>24596</v>
      </c>
      <c r="G328" s="1135" t="s">
        <v>4621</v>
      </c>
      <c r="H328" s="1118">
        <v>43952</v>
      </c>
      <c r="I328" s="1140">
        <f t="shared" si="895"/>
        <v>5</v>
      </c>
      <c r="J328" s="1132">
        <v>0</v>
      </c>
      <c r="K328" s="1140">
        <f t="shared" si="896"/>
        <v>5</v>
      </c>
      <c r="L328" s="1145" t="s">
        <v>7580</v>
      </c>
      <c r="M328" s="1132"/>
      <c r="N328" s="1132"/>
      <c r="O328" s="1002" t="s">
        <v>5092</v>
      </c>
      <c r="P328" s="1132" t="s">
        <v>5124</v>
      </c>
      <c r="Q328" s="1315">
        <v>7102</v>
      </c>
      <c r="R328" s="1394" t="s">
        <v>5092</v>
      </c>
      <c r="S328" s="1393">
        <v>1</v>
      </c>
      <c r="T328" s="1107">
        <f>IFERROR(VLOOKUP(S328,'TAB OBR'!A:B,2,0),0)</f>
        <v>130</v>
      </c>
      <c r="U328" s="1108">
        <v>0</v>
      </c>
      <c r="V328" s="1107">
        <f t="shared" si="897"/>
        <v>130</v>
      </c>
      <c r="W328" s="1108">
        <f t="shared" si="898"/>
        <v>65</v>
      </c>
      <c r="X328" s="1135" t="s">
        <v>2884</v>
      </c>
      <c r="Y328" s="1135" t="s">
        <v>2884</v>
      </c>
      <c r="Z328" s="1135">
        <v>0</v>
      </c>
      <c r="AA328" s="1107">
        <f>ROUND(IF(H328&lt;&gt;"",VLOOKUP(SUM(I328+J328),'CONCEPTOS Y PARAMETROS'!F:G,2,0)*V328,0),2)</f>
        <v>6.5</v>
      </c>
      <c r="AB328" s="1107">
        <f>IF(S328&lt;&gt;"",IF(M328="",'CONCEPTOS Y PARAMETROS'!$C$4,0),0)</f>
        <v>130</v>
      </c>
      <c r="AC328" s="1107">
        <f>IF(S328&lt;&gt;"",IF(M328="",'CONCEPTOS Y PARAMETROS'!$C$7*Z328,0),0)</f>
        <v>0</v>
      </c>
      <c r="AD328" s="1107">
        <f>IFERROR(ROUND(VLOOKUP($X328,'CONCEPTOS Y PARAMETROS'!H:I,2,0)*($V328+AA328+AB328+AC328),2),0)</f>
        <v>0</v>
      </c>
      <c r="AE328" s="1107">
        <f t="shared" si="899"/>
        <v>136.5</v>
      </c>
      <c r="AF328" s="1107">
        <f t="shared" si="900"/>
        <v>3.25</v>
      </c>
      <c r="AG328" s="1107">
        <f t="shared" si="901"/>
        <v>3.25</v>
      </c>
      <c r="AH328" s="1107">
        <f t="shared" si="902"/>
        <v>65</v>
      </c>
      <c r="AI328" s="1107">
        <f t="shared" si="903"/>
        <v>65</v>
      </c>
      <c r="AJ328" s="1107">
        <f t="shared" si="904"/>
        <v>0</v>
      </c>
      <c r="AK328" s="1107">
        <f t="shared" si="905"/>
        <v>0</v>
      </c>
      <c r="AL328" s="1108">
        <f t="shared" si="906"/>
        <v>68.25</v>
      </c>
      <c r="AM328" s="1108">
        <f t="shared" si="907"/>
        <v>68.25</v>
      </c>
      <c r="AN328" s="990">
        <v>0</v>
      </c>
      <c r="AO328" s="1147">
        <f>'CONCEPTOS Y PARAMETROS'!$C$18*AN328</f>
        <v>0</v>
      </c>
      <c r="AP328" s="990">
        <v>0</v>
      </c>
      <c r="AQ328" s="1147">
        <f>'CONCEPTOS Y PARAMETROS'!$C$21*AP328</f>
        <v>0</v>
      </c>
      <c r="AR328" s="1318">
        <v>0</v>
      </c>
      <c r="AS328" s="1318">
        <v>0</v>
      </c>
      <c r="AT328" s="1318">
        <f t="shared" si="908"/>
        <v>0</v>
      </c>
      <c r="AU328" s="1108">
        <f t="shared" si="909"/>
        <v>266.5</v>
      </c>
      <c r="AV328" s="1133">
        <v>0</v>
      </c>
      <c r="AW328" s="1108">
        <f t="shared" si="910"/>
        <v>0</v>
      </c>
      <c r="AX328" s="1107">
        <f>IF(T328&lt;&gt;"0",(ROUND(IF(A328="EMPLEADO",eval_formula('CONCEPTOS Y PARAMETROS'!$C$8,NOMINA!V328,NOMINA!$AU328,NOMINA!I328+NOMINA!J328),eval_formula('CONCEPTOS Y PARAMETROS'!$D$8,NOMINA!V328,NOMINA!$AU328,NOMINA!I328+NOMINA!J328)),2))*IF(H328&lt;&gt;"",IF(MONTH(H328)=$BR$8,IF(YEAR(H328)&lt;$BT$7,1,0),0)))</f>
        <v>0</v>
      </c>
      <c r="AY328" s="1108">
        <v>180</v>
      </c>
      <c r="AZ328" s="1107">
        <f>IFERROR(VLOOKUP(AY328,'CONCEPTOS Y PARAMETROS'!Y:Z,2,0),0)</f>
        <v>150</v>
      </c>
      <c r="BA328" s="1107">
        <f t="shared" si="911"/>
        <v>1998.75</v>
      </c>
      <c r="BB328" s="1107">
        <f t="shared" si="912"/>
        <v>0</v>
      </c>
      <c r="BC328" s="990">
        <v>0</v>
      </c>
      <c r="BD328" s="1107" t="str">
        <f t="shared" si="913"/>
        <v>0</v>
      </c>
      <c r="BE328" s="990">
        <v>0</v>
      </c>
      <c r="BF328" s="1107">
        <f t="shared" si="914"/>
        <v>0</v>
      </c>
      <c r="BG328" s="1108">
        <v>310</v>
      </c>
      <c r="BH328" s="1108">
        <v>0</v>
      </c>
      <c r="BI328" s="1132">
        <v>0</v>
      </c>
      <c r="BJ328" s="1108">
        <f t="shared" si="915"/>
        <v>0</v>
      </c>
      <c r="BK328" s="1108">
        <v>0</v>
      </c>
      <c r="BL328" s="1107">
        <f t="shared" si="942"/>
        <v>12.3</v>
      </c>
      <c r="BM328" s="1107">
        <f t="shared" si="943"/>
        <v>1.54</v>
      </c>
      <c r="BN328" s="1107">
        <f t="shared" si="916"/>
        <v>2.67</v>
      </c>
      <c r="BO328" s="1107">
        <v>0</v>
      </c>
      <c r="BP328" s="1107">
        <v>0</v>
      </c>
      <c r="BQ328" s="1320">
        <f t="shared" si="917"/>
        <v>16.510000000000002</v>
      </c>
      <c r="BR328" s="1107">
        <f t="shared" si="944"/>
        <v>27.68</v>
      </c>
      <c r="BS328" s="1107">
        <f t="shared" si="945"/>
        <v>6.15</v>
      </c>
      <c r="BT328" s="1107">
        <f t="shared" si="918"/>
        <v>5.34</v>
      </c>
      <c r="BU328" s="1107">
        <v>0</v>
      </c>
      <c r="BV328" s="1108">
        <f t="shared" si="919"/>
        <v>39.17</v>
      </c>
      <c r="BW328" s="1112">
        <f t="shared" si="920"/>
        <v>55.680000000000007</v>
      </c>
      <c r="BX328" s="1112">
        <f t="shared" si="948"/>
        <v>499.69</v>
      </c>
      <c r="BY328" s="1108">
        <v>0</v>
      </c>
      <c r="BZ328" s="1108">
        <f t="shared" si="922"/>
        <v>499.69</v>
      </c>
      <c r="CA328" s="1321">
        <f>'CONCEPTOS Y PARAMETROS'!$A$102</f>
        <v>6255</v>
      </c>
      <c r="CB328" s="1112">
        <f t="shared" si="923"/>
        <v>116.74</v>
      </c>
      <c r="CC328" s="1113">
        <f t="shared" si="924"/>
        <v>443.25</v>
      </c>
      <c r="CD328" s="512"/>
      <c r="CE328" s="512"/>
      <c r="CF328" s="470">
        <f t="shared" si="925"/>
        <v>753.25</v>
      </c>
      <c r="CG328" s="495">
        <f t="shared" si="926"/>
        <v>116.74</v>
      </c>
      <c r="CH328" s="498">
        <f t="shared" si="927"/>
        <v>0</v>
      </c>
      <c r="CI328" s="1490">
        <f t="shared" si="928"/>
        <v>310</v>
      </c>
      <c r="CJ328" s="1500">
        <v>1</v>
      </c>
      <c r="CK328" s="495">
        <f t="shared" si="929"/>
        <v>443.25</v>
      </c>
      <c r="CL328" s="1689">
        <f t="shared" si="930"/>
        <v>443.25</v>
      </c>
      <c r="CM328" s="1689">
        <f t="shared" si="940"/>
        <v>0</v>
      </c>
      <c r="CN328" s="496">
        <f t="shared" si="932"/>
        <v>0</v>
      </c>
      <c r="CO328" s="497">
        <v>0</v>
      </c>
      <c r="CP328" s="496">
        <f t="shared" si="933"/>
        <v>0</v>
      </c>
      <c r="CQ328" s="496">
        <f t="shared" si="934"/>
        <v>0</v>
      </c>
      <c r="CR328" s="496">
        <f t="shared" si="935"/>
        <v>886.5</v>
      </c>
      <c r="CS328" s="496">
        <f t="shared" si="936"/>
        <v>55.680000000000007</v>
      </c>
      <c r="CT328" s="496">
        <f t="shared" si="937"/>
        <v>6255</v>
      </c>
      <c r="CU328" s="470"/>
      <c r="CV328" s="470"/>
      <c r="CW328" s="470"/>
      <c r="CX328" s="470"/>
      <c r="CY328" s="1275" t="s">
        <v>7021</v>
      </c>
      <c r="CZ328" s="1275" t="s">
        <v>6813</v>
      </c>
      <c r="DA328" s="480"/>
      <c r="DB328" s="1642" t="s">
        <v>6436</v>
      </c>
      <c r="DC328" s="1642"/>
      <c r="DD328" s="1642" t="s">
        <v>6135</v>
      </c>
      <c r="DE328" s="1642" t="s">
        <v>6162</v>
      </c>
      <c r="DF328" s="1642" t="s">
        <v>7530</v>
      </c>
      <c r="DG328" s="1152"/>
      <c r="DH328" s="512"/>
      <c r="DI328" s="512"/>
      <c r="DJ328" s="470"/>
      <c r="DK328" s="470"/>
      <c r="DL328" s="470"/>
      <c r="DN328" s="471" t="str">
        <f>VLOOKUP(X328,Hoja1!$A$4:$B$10,2,0)</f>
        <v>BACHILLER</v>
      </c>
      <c r="DO328" s="471" t="str">
        <f>VLOOKUP(S328,Hoja1!$D$4:$F$77,3,0)</f>
        <v>GRADO (1) - MIN</v>
      </c>
      <c r="DP328" s="1156" t="str">
        <f t="shared" si="938"/>
        <v>0</v>
      </c>
      <c r="DQ328" s="1484">
        <f>IF(T328&lt;&gt;"0",(ROUND(IF(A328="EMPLEADO",eval_formula('CONCEPTOS Y PARAMETROS'!$C$8,NOMINA!V328,AU328+BF328,NOMINA!I328+NOMINA!J328),eval_formula('CONCEPTOS Y PARAMETROS'!$D$8,NOMINA!V328,AU328+BF328,NOMINA!I328+NOMINA!J328)),2))*IF(H328&lt;&gt;"",IF(MONTH(H328)=$BR$8,IF(YEAR(H328)&lt;$BT$7,1,0),0)))</f>
        <v>0</v>
      </c>
      <c r="DR328" s="1801" t="str">
        <f t="shared" si="939"/>
        <v>M</v>
      </c>
      <c r="DS328" s="1801"/>
    </row>
    <row r="329" spans="1:123" s="471" customFormat="1" ht="21.95" customHeight="1" x14ac:dyDescent="0.25">
      <c r="A329" s="508" t="s">
        <v>2834</v>
      </c>
      <c r="B329" s="1314">
        <f t="shared" ca="1" si="941"/>
        <v>25</v>
      </c>
      <c r="C329" s="990">
        <v>10909819</v>
      </c>
      <c r="D329" s="1275" t="s">
        <v>4985</v>
      </c>
      <c r="E329" s="1135" t="s">
        <v>4622</v>
      </c>
      <c r="F329" s="1118">
        <v>24732</v>
      </c>
      <c r="G329" s="1135" t="s">
        <v>4621</v>
      </c>
      <c r="H329" s="1118">
        <v>43359</v>
      </c>
      <c r="I329" s="1140">
        <f t="shared" si="895"/>
        <v>7</v>
      </c>
      <c r="J329" s="1132">
        <v>0</v>
      </c>
      <c r="K329" s="1140">
        <f t="shared" si="896"/>
        <v>7</v>
      </c>
      <c r="L329" s="1145" t="s">
        <v>7580</v>
      </c>
      <c r="M329" s="1132"/>
      <c r="N329" s="1132"/>
      <c r="O329" s="1002" t="s">
        <v>5091</v>
      </c>
      <c r="P329" s="1132" t="s">
        <v>5125</v>
      </c>
      <c r="Q329" s="1315">
        <v>2202</v>
      </c>
      <c r="R329" s="1394" t="s">
        <v>5091</v>
      </c>
      <c r="S329" s="1393">
        <v>5</v>
      </c>
      <c r="T329" s="1107">
        <f>IFERROR(VLOOKUP(S329,'TAB OBR'!A:B,2,0),0)</f>
        <v>171</v>
      </c>
      <c r="U329" s="1108">
        <v>0</v>
      </c>
      <c r="V329" s="1107">
        <f t="shared" si="897"/>
        <v>171</v>
      </c>
      <c r="W329" s="1108">
        <f t="shared" si="898"/>
        <v>85.5</v>
      </c>
      <c r="X329" s="1135" t="s">
        <v>2884</v>
      </c>
      <c r="Y329" s="1135" t="s">
        <v>2884</v>
      </c>
      <c r="Z329" s="1135">
        <v>0</v>
      </c>
      <c r="AA329" s="1107">
        <f>ROUND(IF(H329&lt;&gt;"",VLOOKUP(SUM(I329+J329),'CONCEPTOS Y PARAMETROS'!F:G,2,0)*V329,0),2)</f>
        <v>12.65</v>
      </c>
      <c r="AB329" s="1107">
        <f>IF(S329&lt;&gt;"",IF(M329="",'CONCEPTOS Y PARAMETROS'!$C$4,0),0)</f>
        <v>130</v>
      </c>
      <c r="AC329" s="1107">
        <f>IF(S329&lt;&gt;"",IF(M329="",'CONCEPTOS Y PARAMETROS'!$C$7*Z329,0),0)</f>
        <v>0</v>
      </c>
      <c r="AD329" s="1107">
        <f>IFERROR(ROUND(VLOOKUP($X329,'CONCEPTOS Y PARAMETROS'!H:I,2,0)*($V329+AA329+AB329+AC329),2),0)</f>
        <v>0</v>
      </c>
      <c r="AE329" s="1107">
        <f t="shared" si="899"/>
        <v>142.65</v>
      </c>
      <c r="AF329" s="1107">
        <f t="shared" si="900"/>
        <v>6.33</v>
      </c>
      <c r="AG329" s="1107">
        <f t="shared" si="901"/>
        <v>6.32</v>
      </c>
      <c r="AH329" s="1107">
        <f t="shared" si="902"/>
        <v>65</v>
      </c>
      <c r="AI329" s="1107">
        <f t="shared" si="903"/>
        <v>65</v>
      </c>
      <c r="AJ329" s="1107">
        <f t="shared" si="904"/>
        <v>0</v>
      </c>
      <c r="AK329" s="1107">
        <f t="shared" si="905"/>
        <v>0</v>
      </c>
      <c r="AL329" s="1108">
        <f t="shared" si="906"/>
        <v>71.33</v>
      </c>
      <c r="AM329" s="1108">
        <f t="shared" si="907"/>
        <v>71.319999999999993</v>
      </c>
      <c r="AN329" s="990">
        <v>0</v>
      </c>
      <c r="AO329" s="1147">
        <f>'CONCEPTOS Y PARAMETROS'!$C$18*AN329</f>
        <v>0</v>
      </c>
      <c r="AP329" s="990">
        <v>0</v>
      </c>
      <c r="AQ329" s="1147">
        <f>'CONCEPTOS Y PARAMETROS'!$C$21*AP329</f>
        <v>0</v>
      </c>
      <c r="AR329" s="1318">
        <v>0</v>
      </c>
      <c r="AS329" s="1318">
        <v>0</v>
      </c>
      <c r="AT329" s="1318">
        <f t="shared" si="908"/>
        <v>0</v>
      </c>
      <c r="AU329" s="1108">
        <f t="shared" si="909"/>
        <v>313.64999999999998</v>
      </c>
      <c r="AV329" s="1133">
        <v>0</v>
      </c>
      <c r="AW329" s="1108">
        <f t="shared" si="910"/>
        <v>0</v>
      </c>
      <c r="AX329" s="1107">
        <f>IF(T329&lt;&gt;"0",(ROUND(IF(A329="EMPLEADO",eval_formula('CONCEPTOS Y PARAMETROS'!$C$8,NOMINA!V329,NOMINA!$AU329,NOMINA!I329+NOMINA!J329),eval_formula('CONCEPTOS Y PARAMETROS'!$D$8,NOMINA!V329,NOMINA!$AU329,NOMINA!I329+NOMINA!J329)),2))*IF(H329&lt;&gt;"",IF(MONTH(H329)=$BR$8,IF(YEAR(H329)&lt;$BT$7,1,0),0)))</f>
        <v>2509.1999999999998</v>
      </c>
      <c r="AY329" s="1108">
        <v>180</v>
      </c>
      <c r="AZ329" s="1107">
        <f>IFERROR(VLOOKUP(AY329,'CONCEPTOS Y PARAMETROS'!Y:Z,2,0),0)</f>
        <v>150</v>
      </c>
      <c r="BA329" s="1107">
        <f t="shared" si="911"/>
        <v>2352.38</v>
      </c>
      <c r="BB329" s="1107">
        <f t="shared" si="912"/>
        <v>0</v>
      </c>
      <c r="BC329" s="990">
        <v>0</v>
      </c>
      <c r="BD329" s="1107" t="str">
        <f t="shared" si="913"/>
        <v>0</v>
      </c>
      <c r="BE329" s="990">
        <v>0</v>
      </c>
      <c r="BF329" s="1107">
        <f t="shared" si="914"/>
        <v>0</v>
      </c>
      <c r="BG329" s="1108">
        <v>310</v>
      </c>
      <c r="BH329" s="1108">
        <v>0</v>
      </c>
      <c r="BI329" s="1132">
        <v>0</v>
      </c>
      <c r="BJ329" s="1108">
        <f t="shared" si="915"/>
        <v>0</v>
      </c>
      <c r="BK329" s="1108">
        <v>0</v>
      </c>
      <c r="BL329" s="1107">
        <f t="shared" si="942"/>
        <v>14.48</v>
      </c>
      <c r="BM329" s="1107">
        <f t="shared" si="943"/>
        <v>1.81</v>
      </c>
      <c r="BN329" s="1107">
        <f t="shared" si="916"/>
        <v>3.14</v>
      </c>
      <c r="BO329" s="1107">
        <v>0</v>
      </c>
      <c r="BP329" s="1107">
        <v>0</v>
      </c>
      <c r="BQ329" s="1320">
        <f t="shared" si="917"/>
        <v>19.43</v>
      </c>
      <c r="BR329" s="1107">
        <f t="shared" si="944"/>
        <v>32.57</v>
      </c>
      <c r="BS329" s="1107">
        <f t="shared" si="945"/>
        <v>7.24</v>
      </c>
      <c r="BT329" s="1107">
        <f t="shared" si="918"/>
        <v>6.28</v>
      </c>
      <c r="BU329" s="1107">
        <v>0</v>
      </c>
      <c r="BV329" s="1108">
        <f t="shared" si="919"/>
        <v>46.09</v>
      </c>
      <c r="BW329" s="1112">
        <f t="shared" si="920"/>
        <v>65.52000000000001</v>
      </c>
      <c r="BX329" s="1112">
        <f t="shared" si="948"/>
        <v>588.1</v>
      </c>
      <c r="BY329" s="1108">
        <v>0</v>
      </c>
      <c r="BZ329" s="1108">
        <f t="shared" si="922"/>
        <v>588.1</v>
      </c>
      <c r="CA329" s="1321">
        <f>'CONCEPTOS Y PARAMETROS'!$A$102</f>
        <v>6255</v>
      </c>
      <c r="CB329" s="1112">
        <f t="shared" si="923"/>
        <v>137.39999999999998</v>
      </c>
      <c r="CC329" s="1113">
        <f t="shared" si="924"/>
        <v>2976.02</v>
      </c>
      <c r="CD329" s="512"/>
      <c r="CE329" s="512"/>
      <c r="CF329" s="470">
        <f t="shared" si="925"/>
        <v>776.81999999999994</v>
      </c>
      <c r="CG329" s="495">
        <f t="shared" si="926"/>
        <v>137.39999999999998</v>
      </c>
      <c r="CH329" s="498">
        <f t="shared" si="927"/>
        <v>0</v>
      </c>
      <c r="CI329" s="1490">
        <f t="shared" si="928"/>
        <v>310</v>
      </c>
      <c r="CJ329" s="1500">
        <v>1</v>
      </c>
      <c r="CK329" s="495">
        <f t="shared" si="929"/>
        <v>466.82</v>
      </c>
      <c r="CL329" s="1689">
        <f t="shared" si="930"/>
        <v>466.82</v>
      </c>
      <c r="CM329" s="1689">
        <f t="shared" si="940"/>
        <v>0</v>
      </c>
      <c r="CN329" s="496">
        <f t="shared" si="932"/>
        <v>0</v>
      </c>
      <c r="CO329" s="497">
        <v>0</v>
      </c>
      <c r="CP329" s="496">
        <f t="shared" si="933"/>
        <v>0</v>
      </c>
      <c r="CQ329" s="496">
        <f t="shared" si="934"/>
        <v>2509.1999999999998</v>
      </c>
      <c r="CR329" s="496">
        <f t="shared" si="935"/>
        <v>3442.8399999999997</v>
      </c>
      <c r="CS329" s="496">
        <f t="shared" si="936"/>
        <v>65.52000000000001</v>
      </c>
      <c r="CT329" s="496">
        <f t="shared" si="937"/>
        <v>6255</v>
      </c>
      <c r="CU329" s="470"/>
      <c r="CV329" s="470"/>
      <c r="CW329" s="470"/>
      <c r="CX329" s="470"/>
      <c r="CY329" s="1275" t="s">
        <v>6848</v>
      </c>
      <c r="CZ329" s="1275" t="s">
        <v>6813</v>
      </c>
      <c r="DA329" s="480"/>
      <c r="DB329" s="1642" t="s">
        <v>6437</v>
      </c>
      <c r="DC329" s="1642"/>
      <c r="DD329" s="1642" t="s">
        <v>6273</v>
      </c>
      <c r="DE329" s="1642" t="s">
        <v>6198</v>
      </c>
      <c r="DF329" s="1642" t="s">
        <v>7530</v>
      </c>
      <c r="DG329" s="1642"/>
      <c r="DH329" s="512"/>
      <c r="DI329" s="512"/>
      <c r="DJ329" s="470"/>
      <c r="DK329" s="470"/>
      <c r="DL329" s="470"/>
      <c r="DN329" s="471" t="str">
        <f>VLOOKUP(X329,Hoja1!$A$4:$B$10,2,0)</f>
        <v>BACHILLER</v>
      </c>
      <c r="DO329" s="471" t="str">
        <f>VLOOKUP(S329,Hoja1!$D$4:$F$77,3,0)</f>
        <v>GRADO (5) - MÁX</v>
      </c>
      <c r="DP329" s="1156" t="str">
        <f t="shared" si="938"/>
        <v>0</v>
      </c>
      <c r="DQ329" s="1484">
        <f>IF(T329&lt;&gt;"0",(ROUND(IF(A329="EMPLEADO",eval_formula('CONCEPTOS Y PARAMETROS'!$C$8,NOMINA!V329,AU329+BF329,NOMINA!I329+NOMINA!J329),eval_formula('CONCEPTOS Y PARAMETROS'!$D$8,NOMINA!V329,AU329+BF329,NOMINA!I329+NOMINA!J329)),2))*IF(H329&lt;&gt;"",IF(MONTH(H329)=$BR$8,IF(YEAR(H329)&lt;$BT$7,1,0),0)))</f>
        <v>2509.1999999999998</v>
      </c>
      <c r="DR329" s="1801" t="str">
        <f t="shared" si="939"/>
        <v>M</v>
      </c>
      <c r="DS329" s="1801"/>
    </row>
    <row r="330" spans="1:123" s="471" customFormat="1" ht="21.95" customHeight="1" x14ac:dyDescent="0.25">
      <c r="A330" s="508" t="s">
        <v>2834</v>
      </c>
      <c r="B330" s="1314">
        <f t="shared" ca="1" si="941"/>
        <v>26</v>
      </c>
      <c r="C330" s="990">
        <v>10912635</v>
      </c>
      <c r="D330" s="1275" t="s">
        <v>4986</v>
      </c>
      <c r="E330" s="1135" t="s">
        <v>4622</v>
      </c>
      <c r="F330" s="1118">
        <v>25104</v>
      </c>
      <c r="G330" s="1135" t="s">
        <v>4621</v>
      </c>
      <c r="H330" s="1118">
        <v>44348</v>
      </c>
      <c r="I330" s="1140">
        <f t="shared" si="895"/>
        <v>4</v>
      </c>
      <c r="J330" s="1132">
        <v>0</v>
      </c>
      <c r="K330" s="1140">
        <f t="shared" si="896"/>
        <v>4</v>
      </c>
      <c r="L330" s="1145" t="s">
        <v>5543</v>
      </c>
      <c r="M330" s="1132"/>
      <c r="N330" s="1132"/>
      <c r="O330" s="1002" t="s">
        <v>5089</v>
      </c>
      <c r="P330" s="1132" t="s">
        <v>5126</v>
      </c>
      <c r="Q330" s="1315">
        <v>1151</v>
      </c>
      <c r="R330" s="1394" t="s">
        <v>5089</v>
      </c>
      <c r="S330" s="1393">
        <v>3</v>
      </c>
      <c r="T330" s="1107">
        <f>IFERROR(VLOOKUP(S330,'TAB OBR'!A:B,2,0),0)</f>
        <v>152</v>
      </c>
      <c r="U330" s="1108">
        <v>0</v>
      </c>
      <c r="V330" s="1107">
        <f t="shared" si="897"/>
        <v>152</v>
      </c>
      <c r="W330" s="1108">
        <f t="shared" si="898"/>
        <v>76</v>
      </c>
      <c r="X330" s="1135" t="s">
        <v>2884</v>
      </c>
      <c r="Y330" s="1135" t="s">
        <v>2884</v>
      </c>
      <c r="Z330" s="1135">
        <v>0</v>
      </c>
      <c r="AA330" s="1107">
        <f>ROUND(IF(H330&lt;&gt;"",VLOOKUP(SUM(I330+J330),'CONCEPTOS Y PARAMETROS'!F:G,2,0)*V330,0),2)</f>
        <v>6.08</v>
      </c>
      <c r="AB330" s="1107">
        <f>IF(S330&lt;&gt;"",IF(M330="",'CONCEPTOS Y PARAMETROS'!$C$4,0),0)</f>
        <v>130</v>
      </c>
      <c r="AC330" s="1107">
        <f>IF(S330&lt;&gt;"",IF(M330="",'CONCEPTOS Y PARAMETROS'!$C$7*Z330,0),0)</f>
        <v>0</v>
      </c>
      <c r="AD330" s="1107">
        <f>IFERROR(ROUND(VLOOKUP($X330,'CONCEPTOS Y PARAMETROS'!H:I,2,0)*($V330+AA330+AB330+AC330),2),0)</f>
        <v>0</v>
      </c>
      <c r="AE330" s="1107">
        <f t="shared" si="899"/>
        <v>136.08000000000001</v>
      </c>
      <c r="AF330" s="1107">
        <f t="shared" si="900"/>
        <v>3.04</v>
      </c>
      <c r="AG330" s="1107">
        <f t="shared" si="901"/>
        <v>3.04</v>
      </c>
      <c r="AH330" s="1107">
        <f t="shared" si="902"/>
        <v>65</v>
      </c>
      <c r="AI330" s="1107">
        <f t="shared" si="903"/>
        <v>65</v>
      </c>
      <c r="AJ330" s="1107">
        <f t="shared" si="904"/>
        <v>0</v>
      </c>
      <c r="AK330" s="1107">
        <f t="shared" si="905"/>
        <v>0</v>
      </c>
      <c r="AL330" s="1108">
        <f t="shared" si="906"/>
        <v>68.040000000000006</v>
      </c>
      <c r="AM330" s="1108">
        <f t="shared" si="907"/>
        <v>68.040000000000006</v>
      </c>
      <c r="AN330" s="990">
        <v>0</v>
      </c>
      <c r="AO330" s="1147">
        <f>'CONCEPTOS Y PARAMETROS'!$C$18*AN330</f>
        <v>0</v>
      </c>
      <c r="AP330" s="990">
        <v>0</v>
      </c>
      <c r="AQ330" s="1147">
        <f>'CONCEPTOS Y PARAMETROS'!$C$21*AP330</f>
        <v>0</v>
      </c>
      <c r="AR330" s="1318">
        <v>0</v>
      </c>
      <c r="AS330" s="1318">
        <v>0</v>
      </c>
      <c r="AT330" s="1318">
        <f t="shared" si="908"/>
        <v>0</v>
      </c>
      <c r="AU330" s="1108">
        <f t="shared" si="909"/>
        <v>288.08000000000004</v>
      </c>
      <c r="AV330" s="1133">
        <v>0</v>
      </c>
      <c r="AW330" s="1108">
        <f t="shared" si="910"/>
        <v>0</v>
      </c>
      <c r="AX330" s="1107">
        <f>IF(T330&lt;&gt;"0",(ROUND(IF(A330="EMPLEADO",eval_formula('CONCEPTOS Y PARAMETROS'!$C$8,NOMINA!V330,NOMINA!$AU330,NOMINA!I330+NOMINA!J330),eval_formula('CONCEPTOS Y PARAMETROS'!$D$8,NOMINA!V330,NOMINA!$AU330,NOMINA!I330+NOMINA!J330)),2))*IF(H330&lt;&gt;"",IF(MONTH(H330)=$BR$8,IF(YEAR(H330)&lt;$BT$7,1,0),0)))</f>
        <v>0</v>
      </c>
      <c r="AY330" s="1108">
        <v>180</v>
      </c>
      <c r="AZ330" s="1107">
        <f>IFERROR(VLOOKUP(AY330,'CONCEPTOS Y PARAMETROS'!Y:Z,2,0),0)</f>
        <v>150</v>
      </c>
      <c r="BA330" s="1107">
        <f t="shared" si="911"/>
        <v>2160.6</v>
      </c>
      <c r="BB330" s="1107">
        <f t="shared" si="912"/>
        <v>0</v>
      </c>
      <c r="BC330" s="990">
        <v>0</v>
      </c>
      <c r="BD330" s="1107" t="str">
        <f t="shared" si="913"/>
        <v>0</v>
      </c>
      <c r="BE330" s="990">
        <v>2</v>
      </c>
      <c r="BF330" s="1107">
        <f t="shared" si="914"/>
        <v>28.81</v>
      </c>
      <c r="BG330" s="1108">
        <v>310</v>
      </c>
      <c r="BH330" s="1108">
        <v>0</v>
      </c>
      <c r="BI330" s="1132">
        <v>0</v>
      </c>
      <c r="BJ330" s="1108">
        <f t="shared" si="915"/>
        <v>0</v>
      </c>
      <c r="BK330" s="1108">
        <v>0</v>
      </c>
      <c r="BL330" s="1107">
        <f t="shared" si="942"/>
        <v>13.3</v>
      </c>
      <c r="BM330" s="1107">
        <f t="shared" si="943"/>
        <v>1.66</v>
      </c>
      <c r="BN330" s="1107">
        <f t="shared" si="916"/>
        <v>2.88</v>
      </c>
      <c r="BO330" s="1107">
        <v>0</v>
      </c>
      <c r="BP330" s="1107">
        <v>0</v>
      </c>
      <c r="BQ330" s="1320">
        <f t="shared" si="917"/>
        <v>17.84</v>
      </c>
      <c r="BR330" s="1107">
        <f t="shared" si="944"/>
        <v>29.92</v>
      </c>
      <c r="BS330" s="1107">
        <f t="shared" si="945"/>
        <v>6.65</v>
      </c>
      <c r="BT330" s="1107">
        <f t="shared" si="918"/>
        <v>5.76</v>
      </c>
      <c r="BU330" s="1107">
        <v>0</v>
      </c>
      <c r="BV330" s="1108">
        <f t="shared" si="919"/>
        <v>42.33</v>
      </c>
      <c r="BW330" s="1112">
        <f t="shared" si="920"/>
        <v>60.17</v>
      </c>
      <c r="BX330" s="1112">
        <f t="shared" si="948"/>
        <v>540.15</v>
      </c>
      <c r="BY330" s="1108">
        <v>0</v>
      </c>
      <c r="BZ330" s="1108">
        <f t="shared" si="922"/>
        <v>540.15</v>
      </c>
      <c r="CA330" s="1321">
        <f>'CONCEPTOS Y PARAMETROS'!$A$102</f>
        <v>6255</v>
      </c>
      <c r="CB330" s="1112">
        <f t="shared" si="923"/>
        <v>126.20000000000002</v>
      </c>
      <c r="CC330" s="1113">
        <f t="shared" si="924"/>
        <v>482.85</v>
      </c>
      <c r="CD330" s="512"/>
      <c r="CE330" s="512"/>
      <c r="CF330" s="470">
        <f t="shared" si="925"/>
        <v>764.04</v>
      </c>
      <c r="CG330" s="495">
        <f t="shared" si="926"/>
        <v>126.20000000000002</v>
      </c>
      <c r="CH330" s="498">
        <f t="shared" si="927"/>
        <v>0</v>
      </c>
      <c r="CI330" s="1490">
        <f t="shared" si="928"/>
        <v>310</v>
      </c>
      <c r="CJ330" s="1500">
        <v>1</v>
      </c>
      <c r="CK330" s="495">
        <f t="shared" si="929"/>
        <v>454.04</v>
      </c>
      <c r="CL330" s="1689">
        <f t="shared" si="930"/>
        <v>454.04</v>
      </c>
      <c r="CM330" s="1689">
        <f t="shared" si="940"/>
        <v>0</v>
      </c>
      <c r="CN330" s="496">
        <f t="shared" si="932"/>
        <v>28.81</v>
      </c>
      <c r="CO330" s="497">
        <v>0</v>
      </c>
      <c r="CP330" s="496">
        <f t="shared" si="933"/>
        <v>0</v>
      </c>
      <c r="CQ330" s="496">
        <f t="shared" si="934"/>
        <v>0</v>
      </c>
      <c r="CR330" s="496">
        <f t="shared" si="935"/>
        <v>936.89</v>
      </c>
      <c r="CS330" s="496">
        <f t="shared" si="936"/>
        <v>60.17</v>
      </c>
      <c r="CT330" s="496">
        <f t="shared" si="937"/>
        <v>6255</v>
      </c>
      <c r="CU330" s="470"/>
      <c r="CV330" s="470"/>
      <c r="CW330" s="470"/>
      <c r="CX330" s="470"/>
      <c r="CY330" s="1275" t="s">
        <v>7146</v>
      </c>
      <c r="CZ330" s="1275" t="s">
        <v>6813</v>
      </c>
      <c r="DA330" s="480"/>
      <c r="DB330" s="1642" t="s">
        <v>6431</v>
      </c>
      <c r="DC330" s="1642"/>
      <c r="DD330" s="1642" t="s">
        <v>6135</v>
      </c>
      <c r="DE330" s="1642" t="s">
        <v>6162</v>
      </c>
      <c r="DF330" s="1642" t="s">
        <v>6228</v>
      </c>
      <c r="DG330" s="1642"/>
      <c r="DH330" s="512"/>
      <c r="DI330" s="512"/>
      <c r="DJ330" s="470"/>
      <c r="DK330" s="470"/>
      <c r="DL330" s="470"/>
      <c r="DN330" s="471" t="str">
        <f>VLOOKUP(X330,Hoja1!$A$4:$B$10,2,0)</f>
        <v>BACHILLER</v>
      </c>
      <c r="DO330" s="471" t="str">
        <f>VLOOKUP(S330,Hoja1!$D$4:$F$77,3,0)</f>
        <v>GRADO (3) - MÁX</v>
      </c>
      <c r="DP330" s="1156" t="str">
        <f t="shared" si="938"/>
        <v>0</v>
      </c>
      <c r="DQ330" s="1484">
        <f>IF(T330&lt;&gt;"0",(ROUND(IF(A330="EMPLEADO",eval_formula('CONCEPTOS Y PARAMETROS'!$C$8,NOMINA!V330,AU330+BF330,NOMINA!I330+NOMINA!J330),eval_formula('CONCEPTOS Y PARAMETROS'!$D$8,NOMINA!V330,AU330+BF330,NOMINA!I330+NOMINA!J330)),2))*IF(H330&lt;&gt;"",IF(MONTH(H330)=$BR$8,IF(YEAR(H330)&lt;$BT$7,1,0),0)))</f>
        <v>0</v>
      </c>
      <c r="DR330" s="1801" t="str">
        <f t="shared" si="939"/>
        <v>M</v>
      </c>
      <c r="DS330" s="1801"/>
    </row>
    <row r="331" spans="1:123" s="471" customFormat="1" ht="21.95" customHeight="1" x14ac:dyDescent="0.25">
      <c r="A331" s="508" t="s">
        <v>2834</v>
      </c>
      <c r="B331" s="1314">
        <f t="shared" ca="1" si="941"/>
        <v>27</v>
      </c>
      <c r="C331" s="990">
        <v>10915274</v>
      </c>
      <c r="D331" s="1275" t="s">
        <v>4987</v>
      </c>
      <c r="E331" s="1135" t="s">
        <v>4622</v>
      </c>
      <c r="F331" s="1118">
        <v>24551</v>
      </c>
      <c r="G331" s="1135" t="s">
        <v>4620</v>
      </c>
      <c r="H331" s="1118">
        <v>44635</v>
      </c>
      <c r="I331" s="1140">
        <f t="shared" si="895"/>
        <v>3</v>
      </c>
      <c r="J331" s="1132">
        <v>0</v>
      </c>
      <c r="K331" s="1140">
        <f t="shared" si="896"/>
        <v>3</v>
      </c>
      <c r="L331" s="1145" t="s">
        <v>5543</v>
      </c>
      <c r="M331" s="1132"/>
      <c r="N331" s="1132"/>
      <c r="O331" s="1002" t="s">
        <v>5084</v>
      </c>
      <c r="P331" s="1132" t="s">
        <v>5127</v>
      </c>
      <c r="Q331" s="1315">
        <v>7152</v>
      </c>
      <c r="R331" s="1394" t="s">
        <v>5084</v>
      </c>
      <c r="S331" s="1393">
        <v>3</v>
      </c>
      <c r="T331" s="1107">
        <f>IFERROR(VLOOKUP(S331,'TAB OBR'!A:B,2,0),0)</f>
        <v>152</v>
      </c>
      <c r="U331" s="1108">
        <v>0</v>
      </c>
      <c r="V331" s="1107">
        <f t="shared" si="897"/>
        <v>152</v>
      </c>
      <c r="W331" s="1108">
        <f t="shared" si="898"/>
        <v>76</v>
      </c>
      <c r="X331" s="1135" t="s">
        <v>2884</v>
      </c>
      <c r="Y331" s="1135" t="s">
        <v>2884</v>
      </c>
      <c r="Z331" s="1135">
        <v>0</v>
      </c>
      <c r="AA331" s="1107">
        <f>ROUND(IF(H331&lt;&gt;"",VLOOKUP(SUM(I331+J331),'CONCEPTOS Y PARAMETROS'!F:G,2,0)*V331,0),2)</f>
        <v>4.5599999999999996</v>
      </c>
      <c r="AB331" s="1107">
        <f>IF(S331&lt;&gt;"",IF(M331="",'CONCEPTOS Y PARAMETROS'!$C$4,0),0)</f>
        <v>130</v>
      </c>
      <c r="AC331" s="1107">
        <f>IF(S331&lt;&gt;"",IF(M331="",'CONCEPTOS Y PARAMETROS'!$C$7*Z331,0),0)</f>
        <v>0</v>
      </c>
      <c r="AD331" s="1107">
        <f>IFERROR(ROUND(VLOOKUP($X331,'CONCEPTOS Y PARAMETROS'!H:I,2,0)*($V331+AA331+AB331+AC331),2),0)</f>
        <v>0</v>
      </c>
      <c r="AE331" s="1107">
        <f t="shared" si="899"/>
        <v>134.56</v>
      </c>
      <c r="AF331" s="1107">
        <f t="shared" si="900"/>
        <v>2.2799999999999998</v>
      </c>
      <c r="AG331" s="1107">
        <f t="shared" si="901"/>
        <v>2.2799999999999998</v>
      </c>
      <c r="AH331" s="1107">
        <f t="shared" si="902"/>
        <v>65</v>
      </c>
      <c r="AI331" s="1107">
        <f t="shared" si="903"/>
        <v>65</v>
      </c>
      <c r="AJ331" s="1107">
        <f t="shared" si="904"/>
        <v>0</v>
      </c>
      <c r="AK331" s="1107">
        <f t="shared" si="905"/>
        <v>0</v>
      </c>
      <c r="AL331" s="1108">
        <f t="shared" si="906"/>
        <v>67.28</v>
      </c>
      <c r="AM331" s="1108">
        <f t="shared" si="907"/>
        <v>67.28</v>
      </c>
      <c r="AN331" s="990">
        <v>0</v>
      </c>
      <c r="AO331" s="1147">
        <f>'CONCEPTOS Y PARAMETROS'!$C$18*AN331</f>
        <v>0</v>
      </c>
      <c r="AP331" s="990">
        <v>0</v>
      </c>
      <c r="AQ331" s="1147">
        <f>'CONCEPTOS Y PARAMETROS'!$C$21*AP331</f>
        <v>0</v>
      </c>
      <c r="AR331" s="1318">
        <v>0</v>
      </c>
      <c r="AS331" s="1318">
        <v>0</v>
      </c>
      <c r="AT331" s="1318">
        <f t="shared" si="908"/>
        <v>0</v>
      </c>
      <c r="AU331" s="1108">
        <f t="shared" si="909"/>
        <v>286.56</v>
      </c>
      <c r="AV331" s="1133">
        <v>0</v>
      </c>
      <c r="AW331" s="1108">
        <f t="shared" si="910"/>
        <v>0</v>
      </c>
      <c r="AX331" s="1107">
        <f>IF(T331&lt;&gt;"0",(ROUND(IF(A331="EMPLEADO",eval_formula('CONCEPTOS Y PARAMETROS'!$C$8,NOMINA!V331,NOMINA!$AU331,NOMINA!I331+NOMINA!J331),eval_formula('CONCEPTOS Y PARAMETROS'!$D$8,NOMINA!V331,NOMINA!$AU331,NOMINA!I331+NOMINA!J331)),2))*IF(H331&lt;&gt;"",IF(MONTH(H331)=$BR$8,IF(YEAR(H331)&lt;$BT$7,1,0),0)))</f>
        <v>0</v>
      </c>
      <c r="AY331" s="1108">
        <v>180</v>
      </c>
      <c r="AZ331" s="1107">
        <f>IFERROR(VLOOKUP(AY331,'CONCEPTOS Y PARAMETROS'!Y:Z,2,0),0)</f>
        <v>150</v>
      </c>
      <c r="BA331" s="1107">
        <f t="shared" si="911"/>
        <v>2149.1999999999998</v>
      </c>
      <c r="BB331" s="1107">
        <f t="shared" si="912"/>
        <v>0</v>
      </c>
      <c r="BC331" s="990">
        <v>0</v>
      </c>
      <c r="BD331" s="1107" t="str">
        <f t="shared" si="913"/>
        <v>0</v>
      </c>
      <c r="BE331" s="990">
        <v>2</v>
      </c>
      <c r="BF331" s="1107">
        <f t="shared" si="914"/>
        <v>28.66</v>
      </c>
      <c r="BG331" s="1108">
        <v>310</v>
      </c>
      <c r="BH331" s="1108">
        <v>0</v>
      </c>
      <c r="BI331" s="1132">
        <v>0</v>
      </c>
      <c r="BJ331" s="1108">
        <f t="shared" si="915"/>
        <v>0</v>
      </c>
      <c r="BK331" s="1108">
        <v>0</v>
      </c>
      <c r="BL331" s="1107">
        <f t="shared" si="942"/>
        <v>13.23</v>
      </c>
      <c r="BM331" s="1107">
        <f t="shared" si="943"/>
        <v>1.65</v>
      </c>
      <c r="BN331" s="1107">
        <f t="shared" si="916"/>
        <v>2.87</v>
      </c>
      <c r="BO331" s="1107">
        <v>0</v>
      </c>
      <c r="BP331" s="1107">
        <v>0</v>
      </c>
      <c r="BQ331" s="1320">
        <f t="shared" si="917"/>
        <v>17.75</v>
      </c>
      <c r="BR331" s="1107">
        <f t="shared" si="944"/>
        <v>29.76</v>
      </c>
      <c r="BS331" s="1107">
        <f t="shared" si="945"/>
        <v>6.61</v>
      </c>
      <c r="BT331" s="1107">
        <f t="shared" si="918"/>
        <v>5.74</v>
      </c>
      <c r="BU331" s="1107">
        <v>0</v>
      </c>
      <c r="BV331" s="1108">
        <f t="shared" si="919"/>
        <v>42.11</v>
      </c>
      <c r="BW331" s="1112">
        <f t="shared" si="920"/>
        <v>59.86</v>
      </c>
      <c r="BX331" s="1112">
        <f t="shared" si="948"/>
        <v>537.29999999999995</v>
      </c>
      <c r="BY331" s="1108">
        <v>0</v>
      </c>
      <c r="BZ331" s="1108">
        <f t="shared" si="922"/>
        <v>537.29999999999995</v>
      </c>
      <c r="CA331" s="1321">
        <f>'CONCEPTOS Y PARAMETROS'!$A$102</f>
        <v>6255</v>
      </c>
      <c r="CB331" s="1112">
        <f t="shared" si="923"/>
        <v>125.53</v>
      </c>
      <c r="CC331" s="1113">
        <f t="shared" si="924"/>
        <v>481.94</v>
      </c>
      <c r="CD331" s="512"/>
      <c r="CE331" s="512"/>
      <c r="CF331" s="470">
        <f t="shared" si="925"/>
        <v>763.28</v>
      </c>
      <c r="CG331" s="495">
        <f t="shared" si="926"/>
        <v>125.53</v>
      </c>
      <c r="CH331" s="498">
        <f t="shared" si="927"/>
        <v>0</v>
      </c>
      <c r="CI331" s="1490">
        <f t="shared" si="928"/>
        <v>310</v>
      </c>
      <c r="CJ331" s="1500">
        <v>1</v>
      </c>
      <c r="CK331" s="495">
        <f t="shared" si="929"/>
        <v>453.28</v>
      </c>
      <c r="CL331" s="1689">
        <f t="shared" si="930"/>
        <v>453.28</v>
      </c>
      <c r="CM331" s="1689">
        <f t="shared" si="940"/>
        <v>0</v>
      </c>
      <c r="CN331" s="496">
        <f t="shared" si="932"/>
        <v>28.66</v>
      </c>
      <c r="CO331" s="497">
        <v>0</v>
      </c>
      <c r="CP331" s="496">
        <f t="shared" si="933"/>
        <v>0</v>
      </c>
      <c r="CQ331" s="496">
        <f t="shared" si="934"/>
        <v>0</v>
      </c>
      <c r="CR331" s="496">
        <f t="shared" si="935"/>
        <v>935.21999999999991</v>
      </c>
      <c r="CS331" s="496">
        <f t="shared" si="936"/>
        <v>59.86</v>
      </c>
      <c r="CT331" s="496">
        <f t="shared" si="937"/>
        <v>6255</v>
      </c>
      <c r="CU331" s="470"/>
      <c r="CV331" s="470"/>
      <c r="CW331" s="470"/>
      <c r="CX331" s="470"/>
      <c r="CY331" s="1275" t="s">
        <v>6840</v>
      </c>
      <c r="CZ331" s="1275" t="s">
        <v>7159</v>
      </c>
      <c r="DA331" s="480"/>
      <c r="DB331" s="1642" t="s">
        <v>6438</v>
      </c>
      <c r="DC331" s="1642"/>
      <c r="DD331" s="1642" t="s">
        <v>6135</v>
      </c>
      <c r="DE331" s="1642" t="s">
        <v>6162</v>
      </c>
      <c r="DF331" s="1642" t="s">
        <v>6228</v>
      </c>
      <c r="DG331" s="1642"/>
      <c r="DH331" s="512"/>
      <c r="DI331" s="512"/>
      <c r="DJ331" s="470"/>
      <c r="DK331" s="470"/>
      <c r="DL331" s="470"/>
      <c r="DN331" s="471" t="str">
        <f>VLOOKUP(X331,Hoja1!$A$4:$B$10,2,0)</f>
        <v>BACHILLER</v>
      </c>
      <c r="DO331" s="471" t="str">
        <f>VLOOKUP(S331,Hoja1!$D$4:$F$77,3,0)</f>
        <v>GRADO (3) - MÁX</v>
      </c>
      <c r="DP331" s="1156" t="str">
        <f t="shared" si="938"/>
        <v>0</v>
      </c>
      <c r="DQ331" s="1484">
        <f>IF(T331&lt;&gt;"0",(ROUND(IF(A331="EMPLEADO",eval_formula('CONCEPTOS Y PARAMETROS'!$C$8,NOMINA!V331,AU331+BF331,NOMINA!I331+NOMINA!J331),eval_formula('CONCEPTOS Y PARAMETROS'!$D$8,NOMINA!V331,AU331+BF331,NOMINA!I331+NOMINA!J331)),2))*IF(H331&lt;&gt;"",IF(MONTH(H331)=$BR$8,IF(YEAR(H331)&lt;$BT$7,1,0),0)))</f>
        <v>0</v>
      </c>
      <c r="DR331" s="1801" t="str">
        <f t="shared" si="939"/>
        <v>F</v>
      </c>
      <c r="DS331" s="1801"/>
    </row>
    <row r="332" spans="1:123" s="471" customFormat="1" ht="21.95" customHeight="1" x14ac:dyDescent="0.25">
      <c r="A332" s="508" t="s">
        <v>2834</v>
      </c>
      <c r="B332" s="1314">
        <f t="shared" ca="1" si="941"/>
        <v>28</v>
      </c>
      <c r="C332" s="990">
        <v>11129355</v>
      </c>
      <c r="D332" s="1275" t="s">
        <v>7352</v>
      </c>
      <c r="E332" s="1135" t="s">
        <v>4622</v>
      </c>
      <c r="F332" s="1118">
        <v>26326</v>
      </c>
      <c r="G332" s="1135" t="s">
        <v>4621</v>
      </c>
      <c r="H332" s="1118">
        <v>39539</v>
      </c>
      <c r="I332" s="1140">
        <f t="shared" si="895"/>
        <v>17</v>
      </c>
      <c r="J332" s="1132">
        <v>0</v>
      </c>
      <c r="K332" s="1140">
        <f t="shared" si="896"/>
        <v>17</v>
      </c>
      <c r="L332" s="1145" t="s">
        <v>5529</v>
      </c>
      <c r="M332" s="1132"/>
      <c r="N332" s="1132"/>
      <c r="O332" s="1002" t="s">
        <v>5084</v>
      </c>
      <c r="P332" s="1132" t="s">
        <v>5128</v>
      </c>
      <c r="Q332" s="1315">
        <v>7152</v>
      </c>
      <c r="R332" s="1394" t="s">
        <v>5084</v>
      </c>
      <c r="S332" s="1393">
        <v>3</v>
      </c>
      <c r="T332" s="1107">
        <f>IFERROR(VLOOKUP(S332,'TAB OBR'!A:B,2,0),0)</f>
        <v>152</v>
      </c>
      <c r="U332" s="1108">
        <v>0</v>
      </c>
      <c r="V332" s="1107">
        <f t="shared" si="897"/>
        <v>152</v>
      </c>
      <c r="W332" s="1108">
        <f t="shared" si="898"/>
        <v>76</v>
      </c>
      <c r="X332" s="1135" t="s">
        <v>2884</v>
      </c>
      <c r="Y332" s="1135" t="s">
        <v>2884</v>
      </c>
      <c r="Z332" s="1135">
        <v>0</v>
      </c>
      <c r="AA332" s="1107">
        <f>ROUND(IF(H332&lt;&gt;"",VLOOKUP(SUM(I332+J332),'CONCEPTOS Y PARAMETROS'!F:G,2,0)*V332,0),2)</f>
        <v>32.22</v>
      </c>
      <c r="AB332" s="1107">
        <f>IF(S332&lt;&gt;"",IF(M332="",'CONCEPTOS Y PARAMETROS'!$C$4,0),0)</f>
        <v>130</v>
      </c>
      <c r="AC332" s="1107">
        <f>IF(S332&lt;&gt;"",IF(M332="",'CONCEPTOS Y PARAMETROS'!$C$7*Z332,0),0)</f>
        <v>0</v>
      </c>
      <c r="AD332" s="1107">
        <f>IFERROR(ROUND(VLOOKUP($X332,'CONCEPTOS Y PARAMETROS'!H:I,2,0)*($V332+AA332+AB332+AC332),2),0)</f>
        <v>0</v>
      </c>
      <c r="AE332" s="1107">
        <f t="shared" si="899"/>
        <v>162.22</v>
      </c>
      <c r="AF332" s="1107">
        <f t="shared" si="900"/>
        <v>16.11</v>
      </c>
      <c r="AG332" s="1107">
        <f t="shared" si="901"/>
        <v>16.11</v>
      </c>
      <c r="AH332" s="1107">
        <f t="shared" si="902"/>
        <v>65</v>
      </c>
      <c r="AI332" s="1107">
        <f t="shared" si="903"/>
        <v>65</v>
      </c>
      <c r="AJ332" s="1107">
        <f t="shared" si="904"/>
        <v>0</v>
      </c>
      <c r="AK332" s="1107">
        <f t="shared" si="905"/>
        <v>0</v>
      </c>
      <c r="AL332" s="1108">
        <f t="shared" si="906"/>
        <v>81.11</v>
      </c>
      <c r="AM332" s="1108">
        <f t="shared" si="907"/>
        <v>81.11</v>
      </c>
      <c r="AN332" s="990">
        <v>0</v>
      </c>
      <c r="AO332" s="1147">
        <f>'CONCEPTOS Y PARAMETROS'!$C$18*AN332</f>
        <v>0</v>
      </c>
      <c r="AP332" s="990">
        <v>0</v>
      </c>
      <c r="AQ332" s="1147">
        <f>'CONCEPTOS Y PARAMETROS'!$C$21*AP332</f>
        <v>0</v>
      </c>
      <c r="AR332" s="1318">
        <v>0</v>
      </c>
      <c r="AS332" s="1318">
        <v>0</v>
      </c>
      <c r="AT332" s="1318">
        <f t="shared" si="908"/>
        <v>0</v>
      </c>
      <c r="AU332" s="1108">
        <f t="shared" si="909"/>
        <v>408.49</v>
      </c>
      <c r="AV332" s="1133" t="s">
        <v>5080</v>
      </c>
      <c r="AW332" s="1108">
        <f t="shared" si="910"/>
        <v>94.27</v>
      </c>
      <c r="AX332" s="1107">
        <f>IF(T332&lt;&gt;"0",(ROUND(IF(A332="EMPLEADO",eval_formula('CONCEPTOS Y PARAMETROS'!$C$8,NOMINA!V332,NOMINA!$AU332,NOMINA!I332+NOMINA!J332),eval_formula('CONCEPTOS Y PARAMETROS'!$D$8,NOMINA!V332,NOMINA!$AU332,NOMINA!I332+NOMINA!J332)),2))*IF(H332&lt;&gt;"",IF(MONTH(H332)=$BR$8,IF(YEAR(H332)&lt;$BT$7,1,0),0)))</f>
        <v>0</v>
      </c>
      <c r="AY332" s="1108">
        <v>180</v>
      </c>
      <c r="AZ332" s="1107">
        <f>IFERROR(VLOOKUP(AY332,'CONCEPTOS Y PARAMETROS'!Y:Z,2,0),0)</f>
        <v>150</v>
      </c>
      <c r="BA332" s="1107">
        <f t="shared" si="911"/>
        <v>3063.68</v>
      </c>
      <c r="BB332" s="1107">
        <f t="shared" si="912"/>
        <v>0</v>
      </c>
      <c r="BC332" s="990">
        <v>0</v>
      </c>
      <c r="BD332" s="1107" t="str">
        <f t="shared" si="913"/>
        <v>0</v>
      </c>
      <c r="BE332" s="990">
        <v>0</v>
      </c>
      <c r="BF332" s="1107">
        <f t="shared" si="914"/>
        <v>0</v>
      </c>
      <c r="BG332" s="1108">
        <v>310</v>
      </c>
      <c r="BH332" s="1108">
        <v>0</v>
      </c>
      <c r="BI332" s="1132">
        <v>0</v>
      </c>
      <c r="BJ332" s="1108">
        <f t="shared" si="915"/>
        <v>0</v>
      </c>
      <c r="BK332" s="1108">
        <v>0</v>
      </c>
      <c r="BL332" s="1107">
        <f t="shared" si="942"/>
        <v>18.850000000000001</v>
      </c>
      <c r="BM332" s="1107">
        <f t="shared" si="943"/>
        <v>2.36</v>
      </c>
      <c r="BN332" s="1107">
        <f t="shared" si="916"/>
        <v>4.08</v>
      </c>
      <c r="BO332" s="1107">
        <v>0</v>
      </c>
      <c r="BP332" s="1107">
        <v>0</v>
      </c>
      <c r="BQ332" s="1320">
        <f t="shared" si="917"/>
        <v>25.29</v>
      </c>
      <c r="BR332" s="1107">
        <f t="shared" si="944"/>
        <v>42.42</v>
      </c>
      <c r="BS332" s="1107">
        <f t="shared" si="945"/>
        <v>9.43</v>
      </c>
      <c r="BT332" s="1107">
        <f t="shared" si="918"/>
        <v>8.16</v>
      </c>
      <c r="BU332" s="1107">
        <v>0</v>
      </c>
      <c r="BV332" s="1108">
        <f t="shared" si="919"/>
        <v>60.01</v>
      </c>
      <c r="BW332" s="1112">
        <f t="shared" si="920"/>
        <v>85.3</v>
      </c>
      <c r="BX332" s="1112">
        <f t="shared" si="948"/>
        <v>765.92</v>
      </c>
      <c r="BY332" s="1108">
        <v>0</v>
      </c>
      <c r="BZ332" s="1108">
        <f t="shared" si="922"/>
        <v>765.92</v>
      </c>
      <c r="CA332" s="1321">
        <f>'CONCEPTOS Y PARAMETROS'!$A$102</f>
        <v>6255</v>
      </c>
      <c r="CB332" s="1112">
        <f t="shared" si="923"/>
        <v>131.82000000000002</v>
      </c>
      <c r="CC332" s="1113">
        <f t="shared" si="924"/>
        <v>561.38</v>
      </c>
      <c r="CD332" s="512"/>
      <c r="CE332" s="512"/>
      <c r="CF332" s="470">
        <f t="shared" si="925"/>
        <v>777.11</v>
      </c>
      <c r="CG332" s="495">
        <f t="shared" si="926"/>
        <v>131.82000000000002</v>
      </c>
      <c r="CH332" s="498">
        <f t="shared" si="927"/>
        <v>0</v>
      </c>
      <c r="CI332" s="1490">
        <f t="shared" si="928"/>
        <v>310</v>
      </c>
      <c r="CJ332" s="1500">
        <v>1</v>
      </c>
      <c r="CK332" s="495">
        <f t="shared" si="929"/>
        <v>467.11</v>
      </c>
      <c r="CL332" s="1689">
        <f t="shared" si="930"/>
        <v>467.11</v>
      </c>
      <c r="CM332" s="1689">
        <f t="shared" si="940"/>
        <v>0</v>
      </c>
      <c r="CN332" s="496">
        <f t="shared" si="932"/>
        <v>0</v>
      </c>
      <c r="CO332" s="497">
        <v>0</v>
      </c>
      <c r="CP332" s="496">
        <f t="shared" si="933"/>
        <v>94.27</v>
      </c>
      <c r="CQ332" s="496">
        <f t="shared" si="934"/>
        <v>0</v>
      </c>
      <c r="CR332" s="496">
        <f t="shared" si="935"/>
        <v>1028.49</v>
      </c>
      <c r="CS332" s="496">
        <f t="shared" si="936"/>
        <v>85.3</v>
      </c>
      <c r="CT332" s="496">
        <f t="shared" si="937"/>
        <v>6255</v>
      </c>
      <c r="CU332" s="470"/>
      <c r="CV332" s="470"/>
      <c r="CW332" s="470"/>
      <c r="CX332" s="470"/>
      <c r="CY332" s="1275" t="s">
        <v>7160</v>
      </c>
      <c r="CZ332" s="1275" t="s">
        <v>7161</v>
      </c>
      <c r="DA332" s="480"/>
      <c r="DB332" s="1642" t="s">
        <v>6439</v>
      </c>
      <c r="DC332" s="1642"/>
      <c r="DD332" s="1642" t="s">
        <v>6367</v>
      </c>
      <c r="DE332" s="1642" t="s">
        <v>6367</v>
      </c>
      <c r="DF332" s="1642" t="s">
        <v>6609</v>
      </c>
      <c r="DG332" s="1152"/>
      <c r="DH332" s="512"/>
      <c r="DI332" s="512"/>
      <c r="DJ332" s="470"/>
      <c r="DK332" s="470"/>
      <c r="DL332" s="470"/>
      <c r="DN332" s="471" t="str">
        <f>VLOOKUP(X332,Hoja1!$A$4:$B$10,2,0)</f>
        <v>BACHILLER</v>
      </c>
      <c r="DO332" s="471" t="str">
        <f>VLOOKUP(S332,Hoja1!$D$4:$F$77,3,0)</f>
        <v>GRADO (3) - MÁX</v>
      </c>
      <c r="DP332" s="1156" t="str">
        <f t="shared" si="938"/>
        <v>SI</v>
      </c>
      <c r="DQ332" s="1484">
        <f>IF(T332&lt;&gt;"0",(ROUND(IF(A332="EMPLEADO",eval_formula('CONCEPTOS Y PARAMETROS'!$C$8,NOMINA!V332,AU332+BF332,NOMINA!I332+NOMINA!J332),eval_formula('CONCEPTOS Y PARAMETROS'!$D$8,NOMINA!V332,AU332+BF332,NOMINA!I332+NOMINA!J332)),2))*IF(H332&lt;&gt;"",IF(MONTH(H332)=$BR$8,IF(YEAR(H332)&lt;$BT$7,1,0),0)))</f>
        <v>0</v>
      </c>
      <c r="DR332" s="1801" t="str">
        <f t="shared" si="939"/>
        <v>M</v>
      </c>
      <c r="DS332" s="1801"/>
    </row>
    <row r="333" spans="1:123" s="471" customFormat="1" ht="21.95" customHeight="1" x14ac:dyDescent="0.25">
      <c r="A333" s="508" t="s">
        <v>2834</v>
      </c>
      <c r="B333" s="1314">
        <f t="shared" ca="1" si="941"/>
        <v>29</v>
      </c>
      <c r="C333" s="990">
        <v>11315202</v>
      </c>
      <c r="D333" s="1275" t="s">
        <v>4989</v>
      </c>
      <c r="E333" s="1135" t="s">
        <v>4622</v>
      </c>
      <c r="F333" s="1118">
        <v>22912</v>
      </c>
      <c r="G333" s="1135" t="s">
        <v>4620</v>
      </c>
      <c r="H333" s="1118">
        <v>39539</v>
      </c>
      <c r="I333" s="1140">
        <f t="shared" si="895"/>
        <v>17</v>
      </c>
      <c r="J333" s="1132">
        <v>0</v>
      </c>
      <c r="K333" s="1140">
        <f t="shared" si="896"/>
        <v>17</v>
      </c>
      <c r="L333" s="1145" t="s">
        <v>5543</v>
      </c>
      <c r="M333" s="1132"/>
      <c r="N333" s="1132"/>
      <c r="O333" s="1002" t="s">
        <v>5085</v>
      </c>
      <c r="P333" s="1132" t="s">
        <v>5129</v>
      </c>
      <c r="Q333" s="1315">
        <v>2202</v>
      </c>
      <c r="R333" s="1394" t="s">
        <v>5085</v>
      </c>
      <c r="S333" s="1393">
        <v>5</v>
      </c>
      <c r="T333" s="1107">
        <f>IFERROR(VLOOKUP(S333,'TAB OBR'!A:B,2,0),0)</f>
        <v>171</v>
      </c>
      <c r="U333" s="1108">
        <v>0</v>
      </c>
      <c r="V333" s="1107">
        <f t="shared" si="897"/>
        <v>171</v>
      </c>
      <c r="W333" s="1108">
        <f t="shared" si="898"/>
        <v>85.5</v>
      </c>
      <c r="X333" s="1135" t="s">
        <v>2884</v>
      </c>
      <c r="Y333" s="1135" t="s">
        <v>2884</v>
      </c>
      <c r="Z333" s="1135">
        <v>0</v>
      </c>
      <c r="AA333" s="1107">
        <f>ROUND(IF(H333&lt;&gt;"",VLOOKUP(SUM(I333+J333),'CONCEPTOS Y PARAMETROS'!F:G,2,0)*V333,0),2)</f>
        <v>36.25</v>
      </c>
      <c r="AB333" s="1107">
        <f>IF(S333&lt;&gt;"",IF(M333="",'CONCEPTOS Y PARAMETROS'!$C$4,0),0)</f>
        <v>130</v>
      </c>
      <c r="AC333" s="1107">
        <f>IF(S333&lt;&gt;"",IF(M333="",'CONCEPTOS Y PARAMETROS'!$C$7*Z333,0),0)</f>
        <v>0</v>
      </c>
      <c r="AD333" s="1107">
        <f>IFERROR(ROUND(VLOOKUP($X333,'CONCEPTOS Y PARAMETROS'!H:I,2,0)*($V333+AA333+AB333+AC333),2),0)</f>
        <v>0</v>
      </c>
      <c r="AE333" s="1107">
        <f t="shared" si="899"/>
        <v>166.25</v>
      </c>
      <c r="AF333" s="1107">
        <f t="shared" si="900"/>
        <v>18.13</v>
      </c>
      <c r="AG333" s="1107">
        <f t="shared" si="901"/>
        <v>18.12</v>
      </c>
      <c r="AH333" s="1107">
        <f t="shared" si="902"/>
        <v>65</v>
      </c>
      <c r="AI333" s="1107">
        <f t="shared" si="903"/>
        <v>65</v>
      </c>
      <c r="AJ333" s="1107">
        <f t="shared" si="904"/>
        <v>0</v>
      </c>
      <c r="AK333" s="1107">
        <f t="shared" si="905"/>
        <v>0</v>
      </c>
      <c r="AL333" s="1108">
        <f t="shared" si="906"/>
        <v>83.13</v>
      </c>
      <c r="AM333" s="1108">
        <f t="shared" si="907"/>
        <v>83.12</v>
      </c>
      <c r="AN333" s="990">
        <v>0</v>
      </c>
      <c r="AO333" s="1147">
        <f>'CONCEPTOS Y PARAMETROS'!$C$18*AN333</f>
        <v>0</v>
      </c>
      <c r="AP333" s="990">
        <v>0</v>
      </c>
      <c r="AQ333" s="1147">
        <f>'CONCEPTOS Y PARAMETROS'!$C$21*AP333</f>
        <v>0</v>
      </c>
      <c r="AR333" s="1318">
        <v>0</v>
      </c>
      <c r="AS333" s="1318">
        <v>0</v>
      </c>
      <c r="AT333" s="1318">
        <f t="shared" si="908"/>
        <v>0</v>
      </c>
      <c r="AU333" s="1108">
        <f t="shared" si="909"/>
        <v>337.25</v>
      </c>
      <c r="AV333" s="1133">
        <v>0</v>
      </c>
      <c r="AW333" s="1108">
        <f t="shared" si="910"/>
        <v>0</v>
      </c>
      <c r="AX333" s="1107">
        <f>IF(T333&lt;&gt;"0",(ROUND(IF(A333="EMPLEADO",eval_formula('CONCEPTOS Y PARAMETROS'!$C$8,NOMINA!V333,NOMINA!$AU333,NOMINA!I333+NOMINA!J333),eval_formula('CONCEPTOS Y PARAMETROS'!$D$8,NOMINA!V333,NOMINA!$AU333,NOMINA!I333+NOMINA!J333)),2))*IF(H333&lt;&gt;"",IF(MONTH(H333)=$BR$8,IF(YEAR(H333)&lt;$BT$7,1,0),0)))</f>
        <v>0</v>
      </c>
      <c r="AY333" s="1108">
        <v>180</v>
      </c>
      <c r="AZ333" s="1107">
        <f>IFERROR(VLOOKUP(AY333,'CONCEPTOS Y PARAMETROS'!Y:Z,2,0),0)</f>
        <v>150</v>
      </c>
      <c r="BA333" s="1107">
        <f t="shared" si="911"/>
        <v>2529.38</v>
      </c>
      <c r="BB333" s="1107">
        <f t="shared" si="912"/>
        <v>0</v>
      </c>
      <c r="BC333" s="990">
        <v>0</v>
      </c>
      <c r="BD333" s="1107" t="str">
        <f t="shared" si="913"/>
        <v>0</v>
      </c>
      <c r="BE333" s="990">
        <v>2</v>
      </c>
      <c r="BF333" s="1107">
        <f t="shared" si="914"/>
        <v>33.729999999999997</v>
      </c>
      <c r="BG333" s="1108">
        <v>310</v>
      </c>
      <c r="BH333" s="1108">
        <v>0</v>
      </c>
      <c r="BI333" s="1132">
        <v>0</v>
      </c>
      <c r="BJ333" s="1108">
        <f t="shared" si="915"/>
        <v>0</v>
      </c>
      <c r="BK333" s="1108">
        <v>0</v>
      </c>
      <c r="BL333" s="1107">
        <f t="shared" si="942"/>
        <v>15.57</v>
      </c>
      <c r="BM333" s="1107">
        <f t="shared" si="943"/>
        <v>1.95</v>
      </c>
      <c r="BN333" s="1107">
        <f t="shared" si="916"/>
        <v>3.37</v>
      </c>
      <c r="BO333" s="1107">
        <v>0</v>
      </c>
      <c r="BP333" s="1107">
        <v>0</v>
      </c>
      <c r="BQ333" s="1320">
        <f t="shared" si="917"/>
        <v>20.89</v>
      </c>
      <c r="BR333" s="1107">
        <f t="shared" si="944"/>
        <v>35.020000000000003</v>
      </c>
      <c r="BS333" s="1107">
        <f t="shared" si="945"/>
        <v>7.78</v>
      </c>
      <c r="BT333" s="1107">
        <f t="shared" si="918"/>
        <v>6.74</v>
      </c>
      <c r="BU333" s="1107">
        <v>0</v>
      </c>
      <c r="BV333" s="1108">
        <f t="shared" si="919"/>
        <v>49.54</v>
      </c>
      <c r="BW333" s="1112">
        <f t="shared" si="920"/>
        <v>70.430000000000007</v>
      </c>
      <c r="BX333" s="1112">
        <f t="shared" si="948"/>
        <v>632.35</v>
      </c>
      <c r="BY333" s="1108">
        <v>0</v>
      </c>
      <c r="BZ333" s="1108">
        <f t="shared" si="922"/>
        <v>632.35</v>
      </c>
      <c r="CA333" s="1321">
        <f>'CONCEPTOS Y PARAMETROS'!$A$102</f>
        <v>6255</v>
      </c>
      <c r="CB333" s="1112">
        <f t="shared" si="923"/>
        <v>147.74</v>
      </c>
      <c r="CC333" s="1113">
        <f t="shared" si="924"/>
        <v>512.35</v>
      </c>
      <c r="CD333" s="512"/>
      <c r="CE333" s="512"/>
      <c r="CF333" s="470">
        <f t="shared" si="925"/>
        <v>788.62</v>
      </c>
      <c r="CG333" s="495">
        <f t="shared" si="926"/>
        <v>147.74</v>
      </c>
      <c r="CH333" s="498">
        <f t="shared" si="927"/>
        <v>0</v>
      </c>
      <c r="CI333" s="1490">
        <f t="shared" si="928"/>
        <v>310</v>
      </c>
      <c r="CJ333" s="1500">
        <v>1</v>
      </c>
      <c r="CK333" s="495">
        <f t="shared" si="929"/>
        <v>478.62</v>
      </c>
      <c r="CL333" s="1689">
        <f t="shared" si="930"/>
        <v>478.62</v>
      </c>
      <c r="CM333" s="1689">
        <f t="shared" si="940"/>
        <v>0</v>
      </c>
      <c r="CN333" s="496">
        <f t="shared" si="932"/>
        <v>33.729999999999997</v>
      </c>
      <c r="CO333" s="497">
        <v>0</v>
      </c>
      <c r="CP333" s="496">
        <f t="shared" si="933"/>
        <v>0</v>
      </c>
      <c r="CQ333" s="496">
        <f t="shared" si="934"/>
        <v>0</v>
      </c>
      <c r="CR333" s="496">
        <f t="shared" si="935"/>
        <v>990.97</v>
      </c>
      <c r="CS333" s="496">
        <f t="shared" si="936"/>
        <v>70.430000000000007</v>
      </c>
      <c r="CT333" s="496">
        <f t="shared" si="937"/>
        <v>6255</v>
      </c>
      <c r="CU333" s="470"/>
      <c r="CV333" s="470"/>
      <c r="CW333" s="470"/>
      <c r="CX333" s="470"/>
      <c r="CY333" s="1275" t="s">
        <v>6887</v>
      </c>
      <c r="CZ333" s="1275" t="s">
        <v>6805</v>
      </c>
      <c r="DA333" s="480"/>
      <c r="DB333" s="1642" t="s">
        <v>6440</v>
      </c>
      <c r="DC333" s="1642"/>
      <c r="DD333" s="1642" t="s">
        <v>6135</v>
      </c>
      <c r="DE333" s="1642" t="s">
        <v>6192</v>
      </c>
      <c r="DF333" s="1642" t="s">
        <v>6619</v>
      </c>
      <c r="DG333" s="1642"/>
      <c r="DH333" s="512"/>
      <c r="DI333" s="512"/>
      <c r="DJ333" s="470"/>
      <c r="DK333" s="470"/>
      <c r="DL333" s="470"/>
      <c r="DN333" s="471" t="str">
        <f>VLOOKUP(X333,Hoja1!$A$4:$B$10,2,0)</f>
        <v>BACHILLER</v>
      </c>
      <c r="DO333" s="471" t="str">
        <f>VLOOKUP(S333,Hoja1!$D$4:$F$77,3,0)</f>
        <v>GRADO (5) - MÁX</v>
      </c>
      <c r="DP333" s="1156" t="str">
        <f t="shared" si="938"/>
        <v>0</v>
      </c>
      <c r="DQ333" s="1484">
        <f>IF(T333&lt;&gt;"0",(ROUND(IF(A333="EMPLEADO",eval_formula('CONCEPTOS Y PARAMETROS'!$C$8,NOMINA!V333,AU333+BF333,NOMINA!I333+NOMINA!J333),eval_formula('CONCEPTOS Y PARAMETROS'!$D$8,NOMINA!V333,AU333+BF333,NOMINA!I333+NOMINA!J333)),2))*IF(H333&lt;&gt;"",IF(MONTH(H333)=$BR$8,IF(YEAR(H333)&lt;$BT$7,1,0),0)))</f>
        <v>0</v>
      </c>
      <c r="DR333" s="1801" t="str">
        <f t="shared" si="939"/>
        <v>F</v>
      </c>
      <c r="DS333" s="1801"/>
    </row>
    <row r="334" spans="1:123" s="471" customFormat="1" ht="21.95" customHeight="1" x14ac:dyDescent="0.25">
      <c r="A334" s="508" t="s">
        <v>2834</v>
      </c>
      <c r="B334" s="1314">
        <f t="shared" ca="1" si="941"/>
        <v>30</v>
      </c>
      <c r="C334" s="990">
        <v>11321681</v>
      </c>
      <c r="D334" s="1275" t="s">
        <v>4990</v>
      </c>
      <c r="E334" s="1135" t="s">
        <v>4622</v>
      </c>
      <c r="F334" s="1118">
        <v>24220</v>
      </c>
      <c r="G334" s="1135" t="s">
        <v>4621</v>
      </c>
      <c r="H334" s="1118">
        <v>44805</v>
      </c>
      <c r="I334" s="1140">
        <f t="shared" si="895"/>
        <v>3</v>
      </c>
      <c r="J334" s="1132">
        <v>0</v>
      </c>
      <c r="K334" s="1140">
        <f t="shared" si="896"/>
        <v>3</v>
      </c>
      <c r="L334" s="1145" t="s">
        <v>7580</v>
      </c>
      <c r="M334" s="1132"/>
      <c r="N334" s="1132"/>
      <c r="O334" s="1002" t="s">
        <v>5084</v>
      </c>
      <c r="P334" s="1132" t="s">
        <v>5130</v>
      </c>
      <c r="Q334" s="1315">
        <v>7152</v>
      </c>
      <c r="R334" s="1394" t="s">
        <v>5084</v>
      </c>
      <c r="S334" s="1393">
        <v>3</v>
      </c>
      <c r="T334" s="1107">
        <f>IFERROR(VLOOKUP(S334,'TAB OBR'!A:B,2,0),0)</f>
        <v>152</v>
      </c>
      <c r="U334" s="1108">
        <v>0</v>
      </c>
      <c r="V334" s="1107">
        <f t="shared" si="897"/>
        <v>152</v>
      </c>
      <c r="W334" s="1108">
        <f t="shared" si="898"/>
        <v>76</v>
      </c>
      <c r="X334" s="1135" t="s">
        <v>2884</v>
      </c>
      <c r="Y334" s="1135" t="s">
        <v>2884</v>
      </c>
      <c r="Z334" s="1135">
        <v>0</v>
      </c>
      <c r="AA334" s="1107">
        <f>ROUND(IF(H334&lt;&gt;"",VLOOKUP(SUM(I334+J334),'CONCEPTOS Y PARAMETROS'!F:G,2,0)*V334,0),2)</f>
        <v>4.5599999999999996</v>
      </c>
      <c r="AB334" s="1107">
        <f>IF(S334&lt;&gt;"",IF(M334="",'CONCEPTOS Y PARAMETROS'!$C$4,0),0)</f>
        <v>130</v>
      </c>
      <c r="AC334" s="1107">
        <f>IF(S334&lt;&gt;"",IF(M334="",'CONCEPTOS Y PARAMETROS'!$C$7*Z334,0),0)</f>
        <v>0</v>
      </c>
      <c r="AD334" s="1107">
        <f>IFERROR(ROUND(VLOOKUP($X334,'CONCEPTOS Y PARAMETROS'!H:I,2,0)*($V334+AA334+AB334+AC334),2),0)</f>
        <v>0</v>
      </c>
      <c r="AE334" s="1107">
        <f t="shared" si="899"/>
        <v>134.56</v>
      </c>
      <c r="AF334" s="1107">
        <f t="shared" si="900"/>
        <v>2.2799999999999998</v>
      </c>
      <c r="AG334" s="1107">
        <f t="shared" si="901"/>
        <v>2.2799999999999998</v>
      </c>
      <c r="AH334" s="1107">
        <f t="shared" si="902"/>
        <v>65</v>
      </c>
      <c r="AI334" s="1107">
        <f t="shared" si="903"/>
        <v>65</v>
      </c>
      <c r="AJ334" s="1107">
        <f t="shared" si="904"/>
        <v>0</v>
      </c>
      <c r="AK334" s="1107">
        <f t="shared" si="905"/>
        <v>0</v>
      </c>
      <c r="AL334" s="1108">
        <f t="shared" si="906"/>
        <v>67.28</v>
      </c>
      <c r="AM334" s="1108">
        <f t="shared" si="907"/>
        <v>67.28</v>
      </c>
      <c r="AN334" s="990">
        <v>0</v>
      </c>
      <c r="AO334" s="1147">
        <f>'CONCEPTOS Y PARAMETROS'!$C$18*AN334</f>
        <v>0</v>
      </c>
      <c r="AP334" s="990">
        <v>0</v>
      </c>
      <c r="AQ334" s="1147">
        <f>'CONCEPTOS Y PARAMETROS'!$C$21*AP334</f>
        <v>0</v>
      </c>
      <c r="AR334" s="1318">
        <v>0</v>
      </c>
      <c r="AS334" s="1318">
        <v>0</v>
      </c>
      <c r="AT334" s="1318">
        <f t="shared" si="908"/>
        <v>0</v>
      </c>
      <c r="AU334" s="1108">
        <f t="shared" si="909"/>
        <v>286.56</v>
      </c>
      <c r="AV334" s="1133">
        <v>0</v>
      </c>
      <c r="AW334" s="1108">
        <f t="shared" si="910"/>
        <v>0</v>
      </c>
      <c r="AX334" s="1107">
        <f>IF(T334&lt;&gt;"0",(ROUND(IF(A334="EMPLEADO",eval_formula('CONCEPTOS Y PARAMETROS'!$C$8,NOMINA!V334,NOMINA!$AU334,NOMINA!I334+NOMINA!J334),eval_formula('CONCEPTOS Y PARAMETROS'!$D$8,NOMINA!V334,NOMINA!$AU334,NOMINA!I334+NOMINA!J334)),2))*IF(H334&lt;&gt;"",IF(MONTH(H334)=$BR$8,IF(YEAR(H334)&lt;$BT$7,1,0),0)))</f>
        <v>2292.48</v>
      </c>
      <c r="AY334" s="1108">
        <v>180</v>
      </c>
      <c r="AZ334" s="1107">
        <f>IFERROR(VLOOKUP(AY334,'CONCEPTOS Y PARAMETROS'!Y:Z,2,0),0)</f>
        <v>150</v>
      </c>
      <c r="BA334" s="1107">
        <f t="shared" si="911"/>
        <v>2149.1999999999998</v>
      </c>
      <c r="BB334" s="1107">
        <f t="shared" si="912"/>
        <v>0</v>
      </c>
      <c r="BC334" s="990">
        <v>0</v>
      </c>
      <c r="BD334" s="1107" t="str">
        <f t="shared" si="913"/>
        <v>0</v>
      </c>
      <c r="BE334" s="990">
        <v>0</v>
      </c>
      <c r="BF334" s="1107">
        <f t="shared" si="914"/>
        <v>0</v>
      </c>
      <c r="BG334" s="1108">
        <v>310</v>
      </c>
      <c r="BH334" s="1108">
        <v>0</v>
      </c>
      <c r="BI334" s="1132">
        <v>0</v>
      </c>
      <c r="BJ334" s="1108">
        <f t="shared" si="915"/>
        <v>0</v>
      </c>
      <c r="BK334" s="1108">
        <v>0</v>
      </c>
      <c r="BL334" s="1107">
        <f t="shared" si="942"/>
        <v>13.23</v>
      </c>
      <c r="BM334" s="1107">
        <f t="shared" si="943"/>
        <v>1.65</v>
      </c>
      <c r="BN334" s="1107">
        <f t="shared" si="916"/>
        <v>2.87</v>
      </c>
      <c r="BO334" s="1107">
        <v>0</v>
      </c>
      <c r="BP334" s="1107">
        <v>0</v>
      </c>
      <c r="BQ334" s="1320">
        <f t="shared" si="917"/>
        <v>17.75</v>
      </c>
      <c r="BR334" s="1107">
        <f t="shared" si="944"/>
        <v>29.76</v>
      </c>
      <c r="BS334" s="1107">
        <f t="shared" si="945"/>
        <v>6.61</v>
      </c>
      <c r="BT334" s="1107">
        <f t="shared" si="918"/>
        <v>5.74</v>
      </c>
      <c r="BU334" s="1107">
        <v>0</v>
      </c>
      <c r="BV334" s="1108">
        <f t="shared" si="919"/>
        <v>42.11</v>
      </c>
      <c r="BW334" s="1112">
        <f t="shared" si="920"/>
        <v>59.86</v>
      </c>
      <c r="BX334" s="1112">
        <f t="shared" si="948"/>
        <v>537.29999999999995</v>
      </c>
      <c r="BY334" s="1108">
        <v>0</v>
      </c>
      <c r="BZ334" s="1108">
        <f t="shared" si="922"/>
        <v>537.29999999999995</v>
      </c>
      <c r="CA334" s="1321">
        <f>'CONCEPTOS Y PARAMETROS'!$A$102</f>
        <v>6255</v>
      </c>
      <c r="CB334" s="1112">
        <f t="shared" si="923"/>
        <v>125.53</v>
      </c>
      <c r="CC334" s="1113">
        <f t="shared" si="924"/>
        <v>2745.76</v>
      </c>
      <c r="CD334" s="512"/>
      <c r="CE334" s="512"/>
      <c r="CF334" s="470">
        <f t="shared" si="925"/>
        <v>763.28</v>
      </c>
      <c r="CG334" s="495">
        <f t="shared" si="926"/>
        <v>125.53</v>
      </c>
      <c r="CH334" s="498">
        <f t="shared" si="927"/>
        <v>0</v>
      </c>
      <c r="CI334" s="1490">
        <f t="shared" si="928"/>
        <v>310</v>
      </c>
      <c r="CJ334" s="1500">
        <v>1</v>
      </c>
      <c r="CK334" s="495">
        <f t="shared" si="929"/>
        <v>453.28</v>
      </c>
      <c r="CL334" s="1689">
        <f t="shared" si="930"/>
        <v>453.28</v>
      </c>
      <c r="CM334" s="1689">
        <f t="shared" si="940"/>
        <v>0</v>
      </c>
      <c r="CN334" s="496">
        <f t="shared" si="932"/>
        <v>0</v>
      </c>
      <c r="CO334" s="497">
        <v>0</v>
      </c>
      <c r="CP334" s="496">
        <f t="shared" si="933"/>
        <v>0</v>
      </c>
      <c r="CQ334" s="496">
        <f t="shared" si="934"/>
        <v>2292.48</v>
      </c>
      <c r="CR334" s="496">
        <f t="shared" si="935"/>
        <v>3199.04</v>
      </c>
      <c r="CS334" s="496">
        <f t="shared" si="936"/>
        <v>59.86</v>
      </c>
      <c r="CT334" s="496">
        <f t="shared" si="937"/>
        <v>6255</v>
      </c>
      <c r="CU334" s="470"/>
      <c r="CV334" s="470"/>
      <c r="CW334" s="470"/>
      <c r="CX334" s="470"/>
      <c r="CY334" s="1275" t="s">
        <v>7162</v>
      </c>
      <c r="CZ334" s="1275" t="s">
        <v>6996</v>
      </c>
      <c r="DA334" s="480"/>
      <c r="DB334" s="1642" t="s">
        <v>6569</v>
      </c>
      <c r="DC334" s="1642"/>
      <c r="DD334" s="1642" t="s">
        <v>6135</v>
      </c>
      <c r="DE334" s="1642" t="s">
        <v>6162</v>
      </c>
      <c r="DF334" s="1642" t="s">
        <v>7530</v>
      </c>
      <c r="DG334" s="1152"/>
      <c r="DH334" s="512"/>
      <c r="DI334" s="512"/>
      <c r="DJ334" s="470"/>
      <c r="DK334" s="470"/>
      <c r="DL334" s="470"/>
      <c r="DN334" s="471" t="str">
        <f>VLOOKUP(X334,Hoja1!$A$4:$B$10,2,0)</f>
        <v>BACHILLER</v>
      </c>
      <c r="DO334" s="471" t="str">
        <f>VLOOKUP(S334,Hoja1!$D$4:$F$77,3,0)</f>
        <v>GRADO (3) - MÁX</v>
      </c>
      <c r="DP334" s="1156" t="str">
        <f t="shared" si="938"/>
        <v>0</v>
      </c>
      <c r="DQ334" s="1484">
        <f>IF(T334&lt;&gt;"0",(ROUND(IF(A334="EMPLEADO",eval_formula('CONCEPTOS Y PARAMETROS'!$C$8,NOMINA!V334,AU334+BF334,NOMINA!I334+NOMINA!J334),eval_formula('CONCEPTOS Y PARAMETROS'!$D$8,NOMINA!V334,AU334+BF334,NOMINA!I334+NOMINA!J334)),2))*IF(H334&lt;&gt;"",IF(MONTH(H334)=$BR$8,IF(YEAR(H334)&lt;$BT$7,1,0),0)))</f>
        <v>2292.48</v>
      </c>
      <c r="DR334" s="1801" t="str">
        <f t="shared" si="939"/>
        <v>M</v>
      </c>
      <c r="DS334" s="1801"/>
    </row>
    <row r="335" spans="1:123" s="471" customFormat="1" ht="21.95" customHeight="1" x14ac:dyDescent="0.25">
      <c r="A335" s="508" t="s">
        <v>2834</v>
      </c>
      <c r="B335" s="1314">
        <f t="shared" ca="1" si="941"/>
        <v>31</v>
      </c>
      <c r="C335" s="990">
        <v>11321782</v>
      </c>
      <c r="D335" s="1275" t="s">
        <v>4991</v>
      </c>
      <c r="E335" s="1135" t="s">
        <v>4622</v>
      </c>
      <c r="F335" s="1118">
        <v>25498</v>
      </c>
      <c r="G335" s="1135" t="s">
        <v>4620</v>
      </c>
      <c r="H335" s="1118">
        <v>43815</v>
      </c>
      <c r="I335" s="1140">
        <f t="shared" si="895"/>
        <v>5</v>
      </c>
      <c r="J335" s="1132">
        <v>0</v>
      </c>
      <c r="K335" s="1140">
        <f t="shared" si="896"/>
        <v>5</v>
      </c>
      <c r="L335" s="1145" t="s">
        <v>5543</v>
      </c>
      <c r="M335" s="1132"/>
      <c r="N335" s="1132"/>
      <c r="O335" s="1002" t="s">
        <v>5085</v>
      </c>
      <c r="P335" s="1132" t="s">
        <v>5131</v>
      </c>
      <c r="Q335" s="1315">
        <v>2202</v>
      </c>
      <c r="R335" s="1394" t="s">
        <v>5085</v>
      </c>
      <c r="S335" s="1393">
        <v>5</v>
      </c>
      <c r="T335" s="1107">
        <f>IFERROR(VLOOKUP(S335,'TAB OBR'!A:B,2,0),0)</f>
        <v>171</v>
      </c>
      <c r="U335" s="1108">
        <v>0</v>
      </c>
      <c r="V335" s="1107">
        <f t="shared" si="897"/>
        <v>171</v>
      </c>
      <c r="W335" s="1108">
        <f t="shared" si="898"/>
        <v>85.5</v>
      </c>
      <c r="X335" s="1135" t="s">
        <v>2884</v>
      </c>
      <c r="Y335" s="1135" t="s">
        <v>2884</v>
      </c>
      <c r="Z335" s="1135">
        <v>0</v>
      </c>
      <c r="AA335" s="1107">
        <f>ROUND(IF(H335&lt;&gt;"",VLOOKUP(SUM(I335+J335),'CONCEPTOS Y PARAMETROS'!F:G,2,0)*V335,0),2)</f>
        <v>8.5500000000000007</v>
      </c>
      <c r="AB335" s="1107">
        <f>IF(S335&lt;&gt;"",IF(M335="",'CONCEPTOS Y PARAMETROS'!$C$4,0),0)</f>
        <v>130</v>
      </c>
      <c r="AC335" s="1107">
        <f>IF(S335&lt;&gt;"",IF(M335="",'CONCEPTOS Y PARAMETROS'!$C$7*Z335,0),0)</f>
        <v>0</v>
      </c>
      <c r="AD335" s="1107">
        <f>IFERROR(ROUND(VLOOKUP($X335,'CONCEPTOS Y PARAMETROS'!H:I,2,0)*($V335+AA335+AB335+AC335),2),0)</f>
        <v>0</v>
      </c>
      <c r="AE335" s="1107">
        <f t="shared" si="899"/>
        <v>138.55000000000001</v>
      </c>
      <c r="AF335" s="1107">
        <f t="shared" si="900"/>
        <v>4.28</v>
      </c>
      <c r="AG335" s="1107">
        <f t="shared" si="901"/>
        <v>4.2699999999999996</v>
      </c>
      <c r="AH335" s="1107">
        <f t="shared" si="902"/>
        <v>65</v>
      </c>
      <c r="AI335" s="1107">
        <f t="shared" si="903"/>
        <v>65</v>
      </c>
      <c r="AJ335" s="1107">
        <f t="shared" si="904"/>
        <v>0</v>
      </c>
      <c r="AK335" s="1107">
        <f t="shared" si="905"/>
        <v>0</v>
      </c>
      <c r="AL335" s="1108">
        <f t="shared" si="906"/>
        <v>69.28</v>
      </c>
      <c r="AM335" s="1108">
        <f t="shared" si="907"/>
        <v>69.27</v>
      </c>
      <c r="AN335" s="990">
        <v>0</v>
      </c>
      <c r="AO335" s="1147">
        <f>'CONCEPTOS Y PARAMETROS'!$C$18*AN335</f>
        <v>0</v>
      </c>
      <c r="AP335" s="990">
        <v>0</v>
      </c>
      <c r="AQ335" s="1147">
        <f>'CONCEPTOS Y PARAMETROS'!$C$21*AP335</f>
        <v>0</v>
      </c>
      <c r="AR335" s="1318">
        <v>0</v>
      </c>
      <c r="AS335" s="1318">
        <v>0</v>
      </c>
      <c r="AT335" s="1318">
        <f t="shared" si="908"/>
        <v>0</v>
      </c>
      <c r="AU335" s="1108">
        <f t="shared" si="909"/>
        <v>309.55</v>
      </c>
      <c r="AV335" s="1133">
        <v>0</v>
      </c>
      <c r="AW335" s="1108">
        <f t="shared" si="910"/>
        <v>0</v>
      </c>
      <c r="AX335" s="1107">
        <f>IF(T335&lt;&gt;"0",(ROUND(IF(A335="EMPLEADO",eval_formula('CONCEPTOS Y PARAMETROS'!$C$8,NOMINA!V335,NOMINA!$AU335,NOMINA!I335+NOMINA!J335),eval_formula('CONCEPTOS Y PARAMETROS'!$D$8,NOMINA!V335,NOMINA!$AU335,NOMINA!I335+NOMINA!J335)),2))*IF(H335&lt;&gt;"",IF(MONTH(H335)=$BR$8,IF(YEAR(H335)&lt;$BT$7,1,0),0)))</f>
        <v>0</v>
      </c>
      <c r="AY335" s="1108">
        <v>180</v>
      </c>
      <c r="AZ335" s="1107">
        <f>IFERROR(VLOOKUP(AY335,'CONCEPTOS Y PARAMETROS'!Y:Z,2,0),0)</f>
        <v>150</v>
      </c>
      <c r="BA335" s="1107">
        <f t="shared" si="911"/>
        <v>2321.63</v>
      </c>
      <c r="BB335" s="1107">
        <f t="shared" si="912"/>
        <v>0</v>
      </c>
      <c r="BC335" s="990">
        <v>0</v>
      </c>
      <c r="BD335" s="1107" t="str">
        <f t="shared" si="913"/>
        <v>0</v>
      </c>
      <c r="BE335" s="990">
        <v>2</v>
      </c>
      <c r="BF335" s="1107">
        <f t="shared" si="914"/>
        <v>30.96</v>
      </c>
      <c r="BG335" s="1108">
        <v>310</v>
      </c>
      <c r="BH335" s="1108">
        <v>0</v>
      </c>
      <c r="BI335" s="1132">
        <v>0</v>
      </c>
      <c r="BJ335" s="1108">
        <f t="shared" si="915"/>
        <v>0</v>
      </c>
      <c r="BK335" s="1108">
        <v>0</v>
      </c>
      <c r="BL335" s="1107">
        <f t="shared" si="942"/>
        <v>14.29</v>
      </c>
      <c r="BM335" s="1107">
        <f t="shared" si="943"/>
        <v>1.79</v>
      </c>
      <c r="BN335" s="1107">
        <f t="shared" si="916"/>
        <v>3.1</v>
      </c>
      <c r="BO335" s="1107">
        <v>0</v>
      </c>
      <c r="BP335" s="1107">
        <v>0</v>
      </c>
      <c r="BQ335" s="1320">
        <f t="shared" si="917"/>
        <v>19.18</v>
      </c>
      <c r="BR335" s="1107">
        <f t="shared" si="944"/>
        <v>32.15</v>
      </c>
      <c r="BS335" s="1107">
        <f t="shared" si="945"/>
        <v>7.14</v>
      </c>
      <c r="BT335" s="1107">
        <f t="shared" si="918"/>
        <v>6.2</v>
      </c>
      <c r="BU335" s="1107">
        <v>0</v>
      </c>
      <c r="BV335" s="1108">
        <f t="shared" si="919"/>
        <v>45.49</v>
      </c>
      <c r="BW335" s="1112">
        <f t="shared" si="920"/>
        <v>64.67</v>
      </c>
      <c r="BX335" s="1112">
        <f t="shared" si="948"/>
        <v>580.41</v>
      </c>
      <c r="BY335" s="1108">
        <v>0</v>
      </c>
      <c r="BZ335" s="1108">
        <f t="shared" si="922"/>
        <v>580.41</v>
      </c>
      <c r="CA335" s="1321">
        <f>'CONCEPTOS Y PARAMETROS'!$A$102</f>
        <v>6255</v>
      </c>
      <c r="CB335" s="1112">
        <f t="shared" si="923"/>
        <v>135.6</v>
      </c>
      <c r="CC335" s="1113">
        <f t="shared" si="924"/>
        <v>495.73</v>
      </c>
      <c r="CD335" s="512"/>
      <c r="CE335" s="512"/>
      <c r="CF335" s="470">
        <f t="shared" si="925"/>
        <v>774.77</v>
      </c>
      <c r="CG335" s="495">
        <f t="shared" si="926"/>
        <v>135.6</v>
      </c>
      <c r="CH335" s="498">
        <f t="shared" si="927"/>
        <v>0</v>
      </c>
      <c r="CI335" s="1490">
        <f t="shared" si="928"/>
        <v>310</v>
      </c>
      <c r="CJ335" s="1500">
        <v>1</v>
      </c>
      <c r="CK335" s="495">
        <f t="shared" si="929"/>
        <v>464.77</v>
      </c>
      <c r="CL335" s="1689">
        <f t="shared" si="930"/>
        <v>464.77</v>
      </c>
      <c r="CM335" s="1689">
        <f t="shared" si="940"/>
        <v>0</v>
      </c>
      <c r="CN335" s="496">
        <f t="shared" si="932"/>
        <v>30.96</v>
      </c>
      <c r="CO335" s="497">
        <v>0</v>
      </c>
      <c r="CP335" s="496">
        <f t="shared" si="933"/>
        <v>0</v>
      </c>
      <c r="CQ335" s="496">
        <f t="shared" si="934"/>
        <v>0</v>
      </c>
      <c r="CR335" s="496">
        <f t="shared" si="935"/>
        <v>960.5</v>
      </c>
      <c r="CS335" s="496">
        <f t="shared" si="936"/>
        <v>64.67</v>
      </c>
      <c r="CT335" s="496">
        <f t="shared" si="937"/>
        <v>6255</v>
      </c>
      <c r="CU335" s="470"/>
      <c r="CV335" s="470"/>
      <c r="CW335" s="470"/>
      <c r="CX335" s="470"/>
      <c r="CY335" s="1275" t="s">
        <v>7138</v>
      </c>
      <c r="CZ335" s="1275" t="s">
        <v>6805</v>
      </c>
      <c r="DA335" s="480"/>
      <c r="DB335" s="1642" t="s">
        <v>6441</v>
      </c>
      <c r="DC335" s="1642"/>
      <c r="DD335" s="1642" t="s">
        <v>6150</v>
      </c>
      <c r="DE335" s="1642" t="s">
        <v>6132</v>
      </c>
      <c r="DF335" s="1642" t="s">
        <v>6531</v>
      </c>
      <c r="DG335" s="1642"/>
      <c r="DH335" s="512"/>
      <c r="DI335" s="512"/>
      <c r="DJ335" s="470"/>
      <c r="DK335" s="470"/>
      <c r="DL335" s="470"/>
      <c r="DN335" s="471" t="str">
        <f>VLOOKUP(X335,Hoja1!$A$4:$B$10,2,0)</f>
        <v>BACHILLER</v>
      </c>
      <c r="DO335" s="471" t="str">
        <f>VLOOKUP(S335,Hoja1!$D$4:$F$77,3,0)</f>
        <v>GRADO (5) - MÁX</v>
      </c>
      <c r="DP335" s="1156" t="str">
        <f t="shared" si="938"/>
        <v>0</v>
      </c>
      <c r="DQ335" s="1484">
        <f>IF(T335&lt;&gt;"0",(ROUND(IF(A335="EMPLEADO",eval_formula('CONCEPTOS Y PARAMETROS'!$C$8,NOMINA!V335,AU335+BF335,NOMINA!I335+NOMINA!J335),eval_formula('CONCEPTOS Y PARAMETROS'!$D$8,NOMINA!V335,AU335+BF335,NOMINA!I335+NOMINA!J335)),2))*IF(H335&lt;&gt;"",IF(MONTH(H335)=$BR$8,IF(YEAR(H335)&lt;$BT$7,1,0),0)))</f>
        <v>0</v>
      </c>
      <c r="DR335" s="1801" t="str">
        <f t="shared" si="939"/>
        <v>F</v>
      </c>
      <c r="DS335" s="1801"/>
    </row>
    <row r="336" spans="1:123" s="471" customFormat="1" ht="21.95" customHeight="1" x14ac:dyDescent="0.25">
      <c r="A336" s="508" t="s">
        <v>2834</v>
      </c>
      <c r="B336" s="1314">
        <f t="shared" ca="1" si="941"/>
        <v>32</v>
      </c>
      <c r="C336" s="990">
        <v>11324931</v>
      </c>
      <c r="D336" s="1275" t="s">
        <v>7595</v>
      </c>
      <c r="E336" s="1135" t="s">
        <v>4622</v>
      </c>
      <c r="F336" s="1118">
        <v>25537</v>
      </c>
      <c r="G336" s="1135" t="s">
        <v>4620</v>
      </c>
      <c r="H336" s="1118">
        <v>38784</v>
      </c>
      <c r="I336" s="1140">
        <f t="shared" si="895"/>
        <v>19</v>
      </c>
      <c r="J336" s="1132">
        <v>0</v>
      </c>
      <c r="K336" s="1140">
        <f t="shared" si="896"/>
        <v>19</v>
      </c>
      <c r="L336" s="1145" t="s">
        <v>5549</v>
      </c>
      <c r="M336" s="1132"/>
      <c r="N336" s="1132"/>
      <c r="O336" s="1002" t="s">
        <v>5085</v>
      </c>
      <c r="P336" s="1132" t="s">
        <v>5132</v>
      </c>
      <c r="Q336" s="1315">
        <v>2202</v>
      </c>
      <c r="R336" s="1394" t="s">
        <v>5085</v>
      </c>
      <c r="S336" s="1393">
        <v>5</v>
      </c>
      <c r="T336" s="1107">
        <f>IFERROR(VLOOKUP(S336,'TAB OBR'!A:B,2,0),0)</f>
        <v>171</v>
      </c>
      <c r="U336" s="1108">
        <v>0</v>
      </c>
      <c r="V336" s="1107">
        <f t="shared" si="897"/>
        <v>171</v>
      </c>
      <c r="W336" s="1108">
        <f t="shared" si="898"/>
        <v>85.5</v>
      </c>
      <c r="X336" s="1135" t="s">
        <v>2884</v>
      </c>
      <c r="Y336" s="1135" t="s">
        <v>2884</v>
      </c>
      <c r="Z336" s="1135">
        <v>0</v>
      </c>
      <c r="AA336" s="1107">
        <f>ROUND(IF(H336&lt;&gt;"",VLOOKUP(SUM(I336+J336),'CONCEPTOS Y PARAMETROS'!F:G,2,0)*V336,0),2)</f>
        <v>41.72</v>
      </c>
      <c r="AB336" s="1107">
        <f>IF(S336&lt;&gt;"",IF(M336="",'CONCEPTOS Y PARAMETROS'!$C$4,0),0)</f>
        <v>130</v>
      </c>
      <c r="AC336" s="1107">
        <f>IF(S336&lt;&gt;"",IF(M336="",'CONCEPTOS Y PARAMETROS'!$C$7*Z336,0),0)</f>
        <v>0</v>
      </c>
      <c r="AD336" s="1107">
        <f>IFERROR(ROUND(VLOOKUP($X336,'CONCEPTOS Y PARAMETROS'!H:I,2,0)*($V336+AA336+AB336+AC336),2),0)</f>
        <v>0</v>
      </c>
      <c r="AE336" s="1107">
        <f t="shared" si="899"/>
        <v>171.72</v>
      </c>
      <c r="AF336" s="1107">
        <f t="shared" si="900"/>
        <v>20.86</v>
      </c>
      <c r="AG336" s="1107">
        <f t="shared" si="901"/>
        <v>20.86</v>
      </c>
      <c r="AH336" s="1107">
        <f t="shared" si="902"/>
        <v>65</v>
      </c>
      <c r="AI336" s="1107">
        <f t="shared" si="903"/>
        <v>65</v>
      </c>
      <c r="AJ336" s="1107">
        <f t="shared" si="904"/>
        <v>0</v>
      </c>
      <c r="AK336" s="1107">
        <f t="shared" si="905"/>
        <v>0</v>
      </c>
      <c r="AL336" s="1108">
        <f t="shared" si="906"/>
        <v>85.86</v>
      </c>
      <c r="AM336" s="1108">
        <f t="shared" si="907"/>
        <v>85.86</v>
      </c>
      <c r="AN336" s="990">
        <v>0</v>
      </c>
      <c r="AO336" s="1147">
        <f>'CONCEPTOS Y PARAMETROS'!$C$18*AN336</f>
        <v>0</v>
      </c>
      <c r="AP336" s="990">
        <v>0</v>
      </c>
      <c r="AQ336" s="1147">
        <f>'CONCEPTOS Y PARAMETROS'!$C$21*AP336</f>
        <v>0</v>
      </c>
      <c r="AR336" s="1318">
        <v>0</v>
      </c>
      <c r="AS336" s="1318">
        <v>0</v>
      </c>
      <c r="AT336" s="1318">
        <f t="shared" ref="AT336:AT367" si="949">+AO336+AQ336+AR336+AS336</f>
        <v>0</v>
      </c>
      <c r="AU336" s="1108">
        <f t="shared" si="909"/>
        <v>342.72</v>
      </c>
      <c r="AV336" s="1133">
        <v>0</v>
      </c>
      <c r="AW336" s="1108">
        <f t="shared" si="910"/>
        <v>0</v>
      </c>
      <c r="AX336" s="1107">
        <f>IF(T336&lt;&gt;"0",(ROUND(IF(A336="EMPLEADO",eval_formula('CONCEPTOS Y PARAMETROS'!$C$8,NOMINA!V336,NOMINA!$AU336,NOMINA!I336+NOMINA!J336),eval_formula('CONCEPTOS Y PARAMETROS'!$D$8,NOMINA!V336,NOMINA!$AU336,NOMINA!I336+NOMINA!J336)),2))*IF(H336&lt;&gt;"",IF(MONTH(H336)=$BR$8,IF(YEAR(H336)&lt;$BT$7,1,0),0)))</f>
        <v>0</v>
      </c>
      <c r="AY336" s="1108">
        <v>180</v>
      </c>
      <c r="AZ336" s="1107">
        <f>IFERROR(VLOOKUP(AY336,'CONCEPTOS Y PARAMETROS'!Y:Z,2,0),0)</f>
        <v>150</v>
      </c>
      <c r="BA336" s="1107">
        <f t="shared" si="911"/>
        <v>2570.4</v>
      </c>
      <c r="BB336" s="1107">
        <f t="shared" si="912"/>
        <v>0</v>
      </c>
      <c r="BC336" s="990">
        <v>0</v>
      </c>
      <c r="BD336" s="1107" t="str">
        <f t="shared" si="913"/>
        <v>0</v>
      </c>
      <c r="BE336" s="990">
        <v>0</v>
      </c>
      <c r="BF336" s="1107">
        <f t="shared" si="914"/>
        <v>0</v>
      </c>
      <c r="BG336" s="1108">
        <v>310</v>
      </c>
      <c r="BH336" s="1108">
        <v>0</v>
      </c>
      <c r="BI336" s="1132">
        <v>0</v>
      </c>
      <c r="BJ336" s="1108">
        <f t="shared" si="915"/>
        <v>0</v>
      </c>
      <c r="BK336" s="1108">
        <v>0</v>
      </c>
      <c r="BL336" s="1107">
        <f t="shared" si="942"/>
        <v>15.82</v>
      </c>
      <c r="BM336" s="1107">
        <f t="shared" si="943"/>
        <v>1.98</v>
      </c>
      <c r="BN336" s="1107">
        <f t="shared" si="916"/>
        <v>3.43</v>
      </c>
      <c r="BO336" s="1107">
        <v>0</v>
      </c>
      <c r="BP336" s="1107">
        <v>0</v>
      </c>
      <c r="BQ336" s="1320">
        <f t="shared" si="917"/>
        <v>21.23</v>
      </c>
      <c r="BR336" s="1107">
        <f t="shared" si="944"/>
        <v>35.590000000000003</v>
      </c>
      <c r="BS336" s="1107">
        <f t="shared" si="945"/>
        <v>7.91</v>
      </c>
      <c r="BT336" s="1107">
        <f t="shared" si="918"/>
        <v>6.86</v>
      </c>
      <c r="BU336" s="1107">
        <v>0</v>
      </c>
      <c r="BV336" s="1108">
        <f t="shared" ref="BV336:BV368" si="950">ROUND(SUM(BR336:BT336),2)</f>
        <v>50.36</v>
      </c>
      <c r="BW336" s="1112">
        <f t="shared" ref="BW336:BW368" si="951">BQ336+BV336</f>
        <v>71.59</v>
      </c>
      <c r="BX336" s="1112">
        <f t="shared" si="948"/>
        <v>642.6</v>
      </c>
      <c r="BY336" s="1108">
        <v>0</v>
      </c>
      <c r="BZ336" s="1108">
        <f t="shared" si="922"/>
        <v>642.6</v>
      </c>
      <c r="CA336" s="1321">
        <f>'CONCEPTOS Y PARAMETROS'!$A$102</f>
        <v>6255</v>
      </c>
      <c r="CB336" s="1112">
        <f t="shared" si="923"/>
        <v>150.13000000000002</v>
      </c>
      <c r="CC336" s="1113">
        <f t="shared" si="924"/>
        <v>481.36</v>
      </c>
      <c r="CD336" s="512"/>
      <c r="CE336" s="512"/>
      <c r="CF336" s="470">
        <f t="shared" si="925"/>
        <v>791.36</v>
      </c>
      <c r="CG336" s="495">
        <f t="shared" si="926"/>
        <v>150.13000000000002</v>
      </c>
      <c r="CH336" s="498">
        <f t="shared" si="927"/>
        <v>0</v>
      </c>
      <c r="CI336" s="1490">
        <f t="shared" si="928"/>
        <v>310</v>
      </c>
      <c r="CJ336" s="1500">
        <v>1</v>
      </c>
      <c r="CK336" s="495">
        <f t="shared" si="929"/>
        <v>481.36</v>
      </c>
      <c r="CL336" s="1689">
        <f t="shared" si="930"/>
        <v>481.36</v>
      </c>
      <c r="CM336" s="1689">
        <f t="shared" si="940"/>
        <v>0</v>
      </c>
      <c r="CN336" s="496">
        <f t="shared" si="932"/>
        <v>0</v>
      </c>
      <c r="CO336" s="497">
        <v>0</v>
      </c>
      <c r="CP336" s="496">
        <f t="shared" si="933"/>
        <v>0</v>
      </c>
      <c r="CQ336" s="496">
        <f t="shared" si="934"/>
        <v>0</v>
      </c>
      <c r="CR336" s="496">
        <f t="shared" si="935"/>
        <v>962.72</v>
      </c>
      <c r="CS336" s="496">
        <f t="shared" si="936"/>
        <v>71.59</v>
      </c>
      <c r="CT336" s="496">
        <f t="shared" si="937"/>
        <v>6255</v>
      </c>
      <c r="CU336" s="470"/>
      <c r="CV336" s="470"/>
      <c r="CW336" s="470"/>
      <c r="CX336" s="470"/>
      <c r="CY336" s="1275" t="s">
        <v>7042</v>
      </c>
      <c r="CZ336" s="1275" t="s">
        <v>7163</v>
      </c>
      <c r="DA336" s="480"/>
      <c r="DB336" s="1645" t="s">
        <v>6442</v>
      </c>
      <c r="DC336" s="1645"/>
      <c r="DD336" s="1645" t="s">
        <v>6135</v>
      </c>
      <c r="DE336" s="1645" t="s">
        <v>6192</v>
      </c>
      <c r="DF336" s="1645" t="s">
        <v>6606</v>
      </c>
      <c r="DG336" s="1143"/>
      <c r="DH336" s="476"/>
      <c r="DI336" s="512"/>
      <c r="DJ336" s="470"/>
      <c r="DK336" s="470"/>
      <c r="DL336" s="470"/>
      <c r="DN336" s="471" t="str">
        <f>VLOOKUP(X336,Hoja1!$A$4:$B$10,2,0)</f>
        <v>BACHILLER</v>
      </c>
      <c r="DO336" s="471" t="str">
        <f>VLOOKUP(S336,Hoja1!$D$4:$F$77,3,0)</f>
        <v>GRADO (5) - MÁX</v>
      </c>
      <c r="DP336" s="1156" t="str">
        <f t="shared" si="938"/>
        <v>0</v>
      </c>
      <c r="DQ336" s="1484">
        <f>IF(T336&lt;&gt;"0",(ROUND(IF(A336="EMPLEADO",eval_formula('CONCEPTOS Y PARAMETROS'!$C$8,NOMINA!V336,AU336+BF336,NOMINA!I336+NOMINA!J336),eval_formula('CONCEPTOS Y PARAMETROS'!$D$8,NOMINA!V336,AU336+BF336,NOMINA!I336+NOMINA!J336)),2))*IF(H336&lt;&gt;"",IF(MONTH(H336)=$BR$8,IF(YEAR(H336)&lt;$BT$7,1,0),0)))</f>
        <v>0</v>
      </c>
      <c r="DR336" s="1801" t="str">
        <f t="shared" si="939"/>
        <v>F</v>
      </c>
      <c r="DS336" s="1801"/>
    </row>
    <row r="337" spans="1:123" s="471" customFormat="1" ht="21.95" customHeight="1" x14ac:dyDescent="0.25">
      <c r="A337" s="508" t="s">
        <v>2834</v>
      </c>
      <c r="B337" s="1314">
        <f t="shared" ca="1" si="941"/>
        <v>33</v>
      </c>
      <c r="C337" s="990">
        <v>11894400</v>
      </c>
      <c r="D337" s="1275" t="s">
        <v>4993</v>
      </c>
      <c r="E337" s="1135" t="s">
        <v>4622</v>
      </c>
      <c r="F337" s="1118">
        <v>26057</v>
      </c>
      <c r="G337" s="1135" t="s">
        <v>4620</v>
      </c>
      <c r="H337" s="1118">
        <v>44287</v>
      </c>
      <c r="I337" s="1140">
        <f t="shared" ref="I337:I368" si="952">IF(AND(YEAR(H337)&lt;YEAR($H$10),MONTH(H337)&gt;$BR$8),YEAR($H$10)-YEAR(H337)-1,IF(OR(H337="",YEAR(H337)&gt;YEAR($H$10)),0,YEAR($H$10)-YEAR(H337)))</f>
        <v>4</v>
      </c>
      <c r="J337" s="1132">
        <v>0</v>
      </c>
      <c r="K337" s="1140">
        <f t="shared" ref="K337:K367" si="953">I337+J337</f>
        <v>4</v>
      </c>
      <c r="L337" s="1145" t="s">
        <v>5527</v>
      </c>
      <c r="M337" s="1132"/>
      <c r="N337" s="1132"/>
      <c r="O337" s="1002" t="s">
        <v>5085</v>
      </c>
      <c r="P337" s="1132" t="s">
        <v>5133</v>
      </c>
      <c r="Q337" s="1315">
        <v>2202</v>
      </c>
      <c r="R337" s="1394" t="s">
        <v>5085</v>
      </c>
      <c r="S337" s="1393">
        <v>5</v>
      </c>
      <c r="T337" s="1107">
        <f>IFERROR(VLOOKUP(S337,'TAB OBR'!A:B,2,0),0)</f>
        <v>171</v>
      </c>
      <c r="U337" s="1108">
        <v>0</v>
      </c>
      <c r="V337" s="1107">
        <f t="shared" ref="V337:V368" si="954">T337-U337</f>
        <v>171</v>
      </c>
      <c r="W337" s="1108">
        <f t="shared" si="898"/>
        <v>85.5</v>
      </c>
      <c r="X337" s="1135" t="s">
        <v>2884</v>
      </c>
      <c r="Y337" s="1135" t="s">
        <v>2884</v>
      </c>
      <c r="Z337" s="1135">
        <v>0</v>
      </c>
      <c r="AA337" s="1107">
        <f>ROUND(IF(H337&lt;&gt;"",VLOOKUP(SUM(I337+J337),'CONCEPTOS Y PARAMETROS'!F:G,2,0)*V337,0),2)</f>
        <v>6.84</v>
      </c>
      <c r="AB337" s="1107">
        <f>IF(S337&lt;&gt;"",IF(M337="",'CONCEPTOS Y PARAMETROS'!$C$4,0),0)</f>
        <v>130</v>
      </c>
      <c r="AC337" s="1107">
        <f>IF(S337&lt;&gt;"",IF(M337="",'CONCEPTOS Y PARAMETROS'!$C$7*Z337,0),0)</f>
        <v>0</v>
      </c>
      <c r="AD337" s="1107">
        <f>IFERROR(ROUND(VLOOKUP($X337,'CONCEPTOS Y PARAMETROS'!H:I,2,0)*($V337+AA337+AB337+AC337),2),0)</f>
        <v>0</v>
      </c>
      <c r="AE337" s="1107">
        <f t="shared" ref="AE337:AE368" si="955">SUM(AA337:AD337)</f>
        <v>136.84</v>
      </c>
      <c r="AF337" s="1107">
        <f t="shared" si="900"/>
        <v>3.42</v>
      </c>
      <c r="AG337" s="1107">
        <f t="shared" si="901"/>
        <v>3.42</v>
      </c>
      <c r="AH337" s="1107">
        <f t="shared" si="902"/>
        <v>65</v>
      </c>
      <c r="AI337" s="1107">
        <f t="shared" si="903"/>
        <v>65</v>
      </c>
      <c r="AJ337" s="1107">
        <f t="shared" si="904"/>
        <v>0</v>
      </c>
      <c r="AK337" s="1107">
        <f t="shared" si="905"/>
        <v>0</v>
      </c>
      <c r="AL337" s="1108">
        <f t="shared" si="906"/>
        <v>68.42</v>
      </c>
      <c r="AM337" s="1108">
        <f t="shared" si="907"/>
        <v>68.42</v>
      </c>
      <c r="AN337" s="990">
        <v>0</v>
      </c>
      <c r="AO337" s="1147">
        <f>'CONCEPTOS Y PARAMETROS'!$C$18*AN337</f>
        <v>0</v>
      </c>
      <c r="AP337" s="990">
        <v>0</v>
      </c>
      <c r="AQ337" s="1147">
        <f>'CONCEPTOS Y PARAMETROS'!$C$21*AP337</f>
        <v>0</v>
      </c>
      <c r="AR337" s="1318">
        <v>0</v>
      </c>
      <c r="AS337" s="1318">
        <v>0</v>
      </c>
      <c r="AT337" s="1318">
        <f t="shared" si="949"/>
        <v>0</v>
      </c>
      <c r="AU337" s="1108">
        <f t="shared" ref="AU337:AU367" si="956">V337+AE337+AW337</f>
        <v>307.84000000000003</v>
      </c>
      <c r="AV337" s="1133">
        <v>0</v>
      </c>
      <c r="AW337" s="1108">
        <f t="shared" ref="AW337:AW367" si="957">ROUND(IF(AV337="NOCTURN",(V337+AE337)*30%,0),2)</f>
        <v>0</v>
      </c>
      <c r="AX337" s="1107">
        <f>IF(T337&lt;&gt;"0",(ROUND(IF(A337="EMPLEADO",eval_formula('CONCEPTOS Y PARAMETROS'!$C$8,NOMINA!V337,NOMINA!$AU337,NOMINA!I337+NOMINA!J337),eval_formula('CONCEPTOS Y PARAMETROS'!$D$8,NOMINA!V337,NOMINA!$AU337,NOMINA!I337+NOMINA!J337)),2))*IF(H337&lt;&gt;"",IF(MONTH(H337)=$BR$8,IF(YEAR(H337)&lt;$BT$7,1,0),0)))</f>
        <v>0</v>
      </c>
      <c r="AY337" s="1108">
        <v>180</v>
      </c>
      <c r="AZ337" s="1107">
        <f>IFERROR(VLOOKUP(AY337,'CONCEPTOS Y PARAMETROS'!Y:Z,2,0),0)</f>
        <v>150</v>
      </c>
      <c r="BA337" s="1107">
        <f t="shared" si="911"/>
        <v>2308.8000000000002</v>
      </c>
      <c r="BB337" s="1107">
        <f t="shared" si="912"/>
        <v>0</v>
      </c>
      <c r="BC337" s="990">
        <v>0</v>
      </c>
      <c r="BD337" s="1107" t="str">
        <f t="shared" ref="BD337:BD367" si="958">IF(BC337&gt;0,((((((V337+AA337+AB337+AC337+AD337)/30)/8)*50%)+((((V337+AA337+AB337+AC337+AD337)/30)/8)))*30%+(((((V337+AA337+AB337+AC337+AD337)/30)/8)*50%)+((((V337+AA337+AB337+AC337+AD337)/30)/8))))*BC337,"0")</f>
        <v>0</v>
      </c>
      <c r="BE337" s="990">
        <v>0</v>
      </c>
      <c r="BF337" s="1107">
        <f t="shared" ref="BF337:BF368" si="959">ROUND(IF(BE337&gt;0,(((V337+AA337+AB337+AC337+AD337+AW337)/30)*50%+((V337+AA337+AB337+AC337+AD337+AW337)/30))*BE337,"0"),2)</f>
        <v>0</v>
      </c>
      <c r="BG337" s="1108">
        <v>310</v>
      </c>
      <c r="BH337" s="1108">
        <v>0</v>
      </c>
      <c r="BI337" s="1132">
        <v>0</v>
      </c>
      <c r="BJ337" s="1108">
        <f t="shared" si="915"/>
        <v>0</v>
      </c>
      <c r="BK337" s="1108">
        <v>0</v>
      </c>
      <c r="BL337" s="1107">
        <f t="shared" si="942"/>
        <v>14.21</v>
      </c>
      <c r="BM337" s="1107">
        <f t="shared" si="943"/>
        <v>1.78</v>
      </c>
      <c r="BN337" s="1107">
        <f t="shared" ref="BN337:BN368" si="960">ROUND(IF(M337="",(AU337*1%),0),2)</f>
        <v>3.08</v>
      </c>
      <c r="BO337" s="1107">
        <v>0</v>
      </c>
      <c r="BP337" s="1107">
        <v>0</v>
      </c>
      <c r="BQ337" s="1320">
        <f t="shared" si="917"/>
        <v>19.07</v>
      </c>
      <c r="BR337" s="1107">
        <f t="shared" si="944"/>
        <v>31.97</v>
      </c>
      <c r="BS337" s="1107">
        <f t="shared" si="945"/>
        <v>7.1</v>
      </c>
      <c r="BT337" s="1107">
        <f t="shared" ref="BT337:BT368" si="961">ROUND(IF(M337="",(BN337*2),0),2)</f>
        <v>6.16</v>
      </c>
      <c r="BU337" s="1107">
        <v>0</v>
      </c>
      <c r="BV337" s="1108">
        <f t="shared" si="950"/>
        <v>45.23</v>
      </c>
      <c r="BW337" s="1112">
        <f t="shared" si="951"/>
        <v>64.3</v>
      </c>
      <c r="BX337" s="1112">
        <f t="shared" si="948"/>
        <v>577.20000000000005</v>
      </c>
      <c r="BY337" s="1108">
        <v>0</v>
      </c>
      <c r="BZ337" s="1108">
        <f t="shared" si="922"/>
        <v>577.20000000000005</v>
      </c>
      <c r="CA337" s="1321">
        <f>'CONCEPTOS Y PARAMETROS'!$A$102</f>
        <v>6255</v>
      </c>
      <c r="CB337" s="1112">
        <f t="shared" si="923"/>
        <v>134.85000000000002</v>
      </c>
      <c r="CC337" s="1113">
        <f t="shared" si="924"/>
        <v>463.92</v>
      </c>
      <c r="CD337" s="512"/>
      <c r="CE337" s="512"/>
      <c r="CF337" s="470">
        <f t="shared" ref="CF337:CF368" si="962">+CI337+CK337</f>
        <v>773.92000000000007</v>
      </c>
      <c r="CG337" s="495">
        <f t="shared" ref="CG337:CG368" si="963">W337+AL337-BQ337</f>
        <v>134.85000000000002</v>
      </c>
      <c r="CH337" s="498">
        <f t="shared" si="927"/>
        <v>0</v>
      </c>
      <c r="CI337" s="1490">
        <f t="shared" ref="CI337:CI367" si="964">BG337</f>
        <v>310</v>
      </c>
      <c r="CJ337" s="1500">
        <v>1</v>
      </c>
      <c r="CK337" s="495">
        <f t="shared" ref="CK337:CK368" si="965">W337+AM337+BG337</f>
        <v>463.92</v>
      </c>
      <c r="CL337" s="1689">
        <f t="shared" si="930"/>
        <v>463.92</v>
      </c>
      <c r="CM337" s="1689">
        <f t="shared" si="940"/>
        <v>0</v>
      </c>
      <c r="CN337" s="496">
        <f t="shared" ref="CN337:CN368" si="966">BF337+BB337</f>
        <v>0</v>
      </c>
      <c r="CO337" s="497">
        <v>0</v>
      </c>
      <c r="CP337" s="496">
        <f t="shared" ref="CP337:CP368" si="967">AW337</f>
        <v>0</v>
      </c>
      <c r="CQ337" s="496">
        <f t="shared" ref="CQ337:CQ368" si="968">AX337</f>
        <v>0</v>
      </c>
      <c r="CR337" s="496">
        <f t="shared" ref="CR337:CR368" si="969">SUM(CK337:CQ337)</f>
        <v>927.84</v>
      </c>
      <c r="CS337" s="496">
        <f t="shared" ref="CS337:CS368" si="970">BQ337+BV337</f>
        <v>64.3</v>
      </c>
      <c r="CT337" s="496">
        <f t="shared" ref="CT337:CT368" si="971">CA337</f>
        <v>6255</v>
      </c>
      <c r="CU337" s="470"/>
      <c r="CV337" s="470"/>
      <c r="CW337" s="470"/>
      <c r="CX337" s="470"/>
      <c r="CY337" s="1275" t="s">
        <v>6820</v>
      </c>
      <c r="CZ337" s="1275" t="s">
        <v>6805</v>
      </c>
      <c r="DA337" s="480"/>
      <c r="DB337" s="1642" t="s">
        <v>6443</v>
      </c>
      <c r="DC337" s="1642"/>
      <c r="DD337" s="1642" t="s">
        <v>6135</v>
      </c>
      <c r="DE337" s="1642" t="s">
        <v>6192</v>
      </c>
      <c r="DF337" s="1645" t="s">
        <v>6606</v>
      </c>
      <c r="DG337" s="1645"/>
      <c r="DH337" s="512"/>
      <c r="DI337" s="512"/>
      <c r="DJ337" s="470"/>
      <c r="DK337" s="470"/>
      <c r="DL337" s="470"/>
      <c r="DN337" s="471" t="str">
        <f>VLOOKUP(X337,Hoja1!$A$4:$B$10,2,0)</f>
        <v>BACHILLER</v>
      </c>
      <c r="DO337" s="471" t="str">
        <f>VLOOKUP(S337,Hoja1!$D$4:$F$77,3,0)</f>
        <v>GRADO (5) - MÁX</v>
      </c>
      <c r="DP337" s="1156" t="str">
        <f t="shared" ref="DP337:DP368" si="972">IF(AV337="NOCTURN","SI","0")</f>
        <v>0</v>
      </c>
      <c r="DQ337" s="1484">
        <f>IF(T337&lt;&gt;"0",(ROUND(IF(A337="EMPLEADO",eval_formula('CONCEPTOS Y PARAMETROS'!$C$8,NOMINA!V337,AU337+BF337,NOMINA!I337+NOMINA!J337),eval_formula('CONCEPTOS Y PARAMETROS'!$D$8,NOMINA!V337,AU337+BF337,NOMINA!I337+NOMINA!J337)),2))*IF(H337&lt;&gt;"",IF(MONTH(H337)=$BR$8,IF(YEAR(H337)&lt;$BT$7,1,0),0)))</f>
        <v>0</v>
      </c>
      <c r="DR337" s="1801" t="str">
        <f t="shared" ref="DR337:DR368" si="973">+G337</f>
        <v>F</v>
      </c>
      <c r="DS337" s="1801"/>
    </row>
    <row r="338" spans="1:123" s="471" customFormat="1" ht="21.95" customHeight="1" x14ac:dyDescent="0.25">
      <c r="A338" s="508" t="s">
        <v>2834</v>
      </c>
      <c r="B338" s="1314">
        <f t="shared" ca="1" si="941"/>
        <v>34</v>
      </c>
      <c r="C338" s="990">
        <v>11897863</v>
      </c>
      <c r="D338" s="1275" t="s">
        <v>4994</v>
      </c>
      <c r="E338" s="1135" t="s">
        <v>4622</v>
      </c>
      <c r="F338" s="1118">
        <v>26192</v>
      </c>
      <c r="G338" s="1135" t="s">
        <v>4620</v>
      </c>
      <c r="H338" s="1118">
        <v>41548</v>
      </c>
      <c r="I338" s="1140">
        <f t="shared" si="952"/>
        <v>11</v>
      </c>
      <c r="J338" s="1132">
        <v>0</v>
      </c>
      <c r="K338" s="1140">
        <f t="shared" si="953"/>
        <v>11</v>
      </c>
      <c r="L338" s="1145" t="s">
        <v>5549</v>
      </c>
      <c r="M338" s="1132"/>
      <c r="N338" s="1132"/>
      <c r="O338" s="1002" t="s">
        <v>5087</v>
      </c>
      <c r="P338" s="1132" t="s">
        <v>5134</v>
      </c>
      <c r="Q338" s="1315">
        <v>7102</v>
      </c>
      <c r="R338" s="1394" t="s">
        <v>5087</v>
      </c>
      <c r="S338" s="1393">
        <v>1</v>
      </c>
      <c r="T338" s="1107">
        <f>IFERROR(VLOOKUP(S338,'TAB OBR'!A:B,2,0),0)</f>
        <v>130</v>
      </c>
      <c r="U338" s="1108">
        <v>0</v>
      </c>
      <c r="V338" s="1107">
        <f t="shared" si="954"/>
        <v>130</v>
      </c>
      <c r="W338" s="1108">
        <f t="shared" si="898"/>
        <v>65</v>
      </c>
      <c r="X338" s="1135" t="s">
        <v>2884</v>
      </c>
      <c r="Y338" s="1135" t="s">
        <v>2884</v>
      </c>
      <c r="Z338" s="1135">
        <v>0</v>
      </c>
      <c r="AA338" s="1107">
        <f>ROUND(IF(H338&lt;&gt;"",VLOOKUP(SUM(I338+J338),'CONCEPTOS Y PARAMETROS'!F:G,2,0)*V338,0),2)</f>
        <v>16.12</v>
      </c>
      <c r="AB338" s="1107">
        <f>IF(S338&lt;&gt;"",IF(M338="",'CONCEPTOS Y PARAMETROS'!$C$4,0),0)</f>
        <v>130</v>
      </c>
      <c r="AC338" s="1107">
        <f>IF(S338&lt;&gt;"",IF(M338="",'CONCEPTOS Y PARAMETROS'!$C$7*Z338,0),0)</f>
        <v>0</v>
      </c>
      <c r="AD338" s="1107">
        <f>IFERROR(ROUND(VLOOKUP($X338,'CONCEPTOS Y PARAMETROS'!H:I,2,0)*($V338+AA338+AB338+AC338),2),0)</f>
        <v>0</v>
      </c>
      <c r="AE338" s="1107">
        <f t="shared" si="955"/>
        <v>146.12</v>
      </c>
      <c r="AF338" s="1107">
        <f t="shared" si="900"/>
        <v>8.06</v>
      </c>
      <c r="AG338" s="1107">
        <f t="shared" si="901"/>
        <v>8.06</v>
      </c>
      <c r="AH338" s="1107">
        <f t="shared" si="902"/>
        <v>65</v>
      </c>
      <c r="AI338" s="1107">
        <f t="shared" si="903"/>
        <v>65</v>
      </c>
      <c r="AJ338" s="1107">
        <f t="shared" si="904"/>
        <v>0</v>
      </c>
      <c r="AK338" s="1107">
        <f t="shared" si="905"/>
        <v>0</v>
      </c>
      <c r="AL338" s="1108">
        <f t="shared" si="906"/>
        <v>73.06</v>
      </c>
      <c r="AM338" s="1108">
        <f t="shared" si="907"/>
        <v>73.06</v>
      </c>
      <c r="AN338" s="990">
        <v>0</v>
      </c>
      <c r="AO338" s="1147">
        <f>'CONCEPTOS Y PARAMETROS'!$C$18*AN338</f>
        <v>0</v>
      </c>
      <c r="AP338" s="990">
        <v>0</v>
      </c>
      <c r="AQ338" s="1147">
        <f>'CONCEPTOS Y PARAMETROS'!$C$21*AP338</f>
        <v>0</v>
      </c>
      <c r="AR338" s="1318">
        <v>0</v>
      </c>
      <c r="AS338" s="1318">
        <v>0</v>
      </c>
      <c r="AT338" s="1318">
        <f t="shared" si="949"/>
        <v>0</v>
      </c>
      <c r="AU338" s="1108">
        <f t="shared" si="956"/>
        <v>276.12</v>
      </c>
      <c r="AV338" s="1133">
        <v>0</v>
      </c>
      <c r="AW338" s="1108">
        <f t="shared" si="957"/>
        <v>0</v>
      </c>
      <c r="AX338" s="1107">
        <f>IF(T338&lt;&gt;"0",(ROUND(IF(A338="EMPLEADO",eval_formula('CONCEPTOS Y PARAMETROS'!$C$8,NOMINA!V338,NOMINA!$AU338,NOMINA!I338+NOMINA!J338),eval_formula('CONCEPTOS Y PARAMETROS'!$D$8,NOMINA!V338,NOMINA!$AU338,NOMINA!I338+NOMINA!J338)),2))*IF(H338&lt;&gt;"",IF(MONTH(H338)=$BR$8,IF(YEAR(H338)&lt;$BT$7,1,0),0)))</f>
        <v>0</v>
      </c>
      <c r="AY338" s="1108">
        <v>180</v>
      </c>
      <c r="AZ338" s="1107">
        <f>IFERROR(VLOOKUP(AY338,'CONCEPTOS Y PARAMETROS'!Y:Z,2,0),0)</f>
        <v>150</v>
      </c>
      <c r="BA338" s="1107">
        <f t="shared" si="911"/>
        <v>2070.9</v>
      </c>
      <c r="BB338" s="1107">
        <f t="shared" si="912"/>
        <v>0</v>
      </c>
      <c r="BC338" s="990">
        <v>0</v>
      </c>
      <c r="BD338" s="1107" t="str">
        <f t="shared" si="958"/>
        <v>0</v>
      </c>
      <c r="BE338" s="990">
        <v>0</v>
      </c>
      <c r="BF338" s="1107">
        <f t="shared" si="959"/>
        <v>0</v>
      </c>
      <c r="BG338" s="1108">
        <v>310</v>
      </c>
      <c r="BH338" s="1108">
        <v>0</v>
      </c>
      <c r="BI338" s="1132">
        <v>0</v>
      </c>
      <c r="BJ338" s="1108">
        <f t="shared" si="915"/>
        <v>0</v>
      </c>
      <c r="BK338" s="1108">
        <v>0</v>
      </c>
      <c r="BL338" s="1107">
        <f t="shared" si="942"/>
        <v>12.74</v>
      </c>
      <c r="BM338" s="1107">
        <f t="shared" si="943"/>
        <v>1.59</v>
      </c>
      <c r="BN338" s="1107">
        <f t="shared" si="960"/>
        <v>2.76</v>
      </c>
      <c r="BO338" s="1107">
        <v>0</v>
      </c>
      <c r="BP338" s="1107">
        <v>0</v>
      </c>
      <c r="BQ338" s="1320">
        <f t="shared" si="917"/>
        <v>17.09</v>
      </c>
      <c r="BR338" s="1107">
        <f t="shared" si="944"/>
        <v>28.67</v>
      </c>
      <c r="BS338" s="1107">
        <f t="shared" si="945"/>
        <v>6.37</v>
      </c>
      <c r="BT338" s="1107">
        <f t="shared" si="961"/>
        <v>5.52</v>
      </c>
      <c r="BU338" s="1107">
        <v>0</v>
      </c>
      <c r="BV338" s="1108">
        <f t="shared" si="950"/>
        <v>40.56</v>
      </c>
      <c r="BW338" s="1112">
        <f t="shared" si="951"/>
        <v>57.650000000000006</v>
      </c>
      <c r="BX338" s="1112">
        <f t="shared" si="948"/>
        <v>517.73</v>
      </c>
      <c r="BY338" s="1108">
        <v>0</v>
      </c>
      <c r="BZ338" s="1108">
        <f t="shared" si="922"/>
        <v>517.73</v>
      </c>
      <c r="CA338" s="1321">
        <f>'CONCEPTOS Y PARAMETROS'!$A$102</f>
        <v>6255</v>
      </c>
      <c r="CB338" s="1112">
        <f t="shared" si="923"/>
        <v>120.97</v>
      </c>
      <c r="CC338" s="1113">
        <f t="shared" si="924"/>
        <v>448.06</v>
      </c>
      <c r="CD338" s="512"/>
      <c r="CE338" s="512"/>
      <c r="CF338" s="470">
        <f t="shared" si="962"/>
        <v>758.06</v>
      </c>
      <c r="CG338" s="495">
        <f t="shared" si="963"/>
        <v>120.97</v>
      </c>
      <c r="CH338" s="498">
        <f t="shared" si="927"/>
        <v>0</v>
      </c>
      <c r="CI338" s="1490">
        <f t="shared" si="964"/>
        <v>310</v>
      </c>
      <c r="CJ338" s="1500">
        <v>1</v>
      </c>
      <c r="CK338" s="495">
        <f t="shared" si="965"/>
        <v>448.06</v>
      </c>
      <c r="CL338" s="1689">
        <f t="shared" si="930"/>
        <v>448.06</v>
      </c>
      <c r="CM338" s="1689">
        <f t="shared" si="940"/>
        <v>0</v>
      </c>
      <c r="CN338" s="496">
        <f t="shared" si="966"/>
        <v>0</v>
      </c>
      <c r="CO338" s="497">
        <v>0</v>
      </c>
      <c r="CP338" s="496">
        <f t="shared" si="967"/>
        <v>0</v>
      </c>
      <c r="CQ338" s="496">
        <f t="shared" si="968"/>
        <v>0</v>
      </c>
      <c r="CR338" s="496">
        <f t="shared" si="969"/>
        <v>896.12</v>
      </c>
      <c r="CS338" s="496">
        <f t="shared" si="970"/>
        <v>57.650000000000006</v>
      </c>
      <c r="CT338" s="496">
        <f t="shared" si="971"/>
        <v>6255</v>
      </c>
      <c r="CU338" s="470"/>
      <c r="CV338" s="470"/>
      <c r="CW338" s="470"/>
      <c r="CX338" s="470"/>
      <c r="CY338" s="1275" t="s">
        <v>6949</v>
      </c>
      <c r="CZ338" s="1275" t="s">
        <v>6805</v>
      </c>
      <c r="DA338" s="480"/>
      <c r="DB338" s="1642" t="s">
        <v>6589</v>
      </c>
      <c r="DC338" s="1642"/>
      <c r="DD338" s="1642" t="s">
        <v>6135</v>
      </c>
      <c r="DE338" s="1642" t="s">
        <v>6147</v>
      </c>
      <c r="DF338" s="1642" t="s">
        <v>6606</v>
      </c>
      <c r="DG338" s="1152"/>
      <c r="DH338" s="512"/>
      <c r="DI338" s="512"/>
      <c r="DJ338" s="470"/>
      <c r="DK338" s="470"/>
      <c r="DL338" s="470"/>
      <c r="DN338" s="471" t="str">
        <f>VLOOKUP(X338,Hoja1!$A$4:$B$10,2,0)</f>
        <v>BACHILLER</v>
      </c>
      <c r="DO338" s="471" t="str">
        <f>VLOOKUP(S338,Hoja1!$D$4:$F$77,3,0)</f>
        <v>GRADO (1) - MIN</v>
      </c>
      <c r="DP338" s="1156" t="str">
        <f t="shared" si="972"/>
        <v>0</v>
      </c>
      <c r="DQ338" s="1484">
        <f>IF(T338&lt;&gt;"0",(ROUND(IF(A338="EMPLEADO",eval_formula('CONCEPTOS Y PARAMETROS'!$C$8,NOMINA!V338,AU338+BF338,NOMINA!I338+NOMINA!J338),eval_formula('CONCEPTOS Y PARAMETROS'!$D$8,NOMINA!V338,AU338+BF338,NOMINA!I338+NOMINA!J338)),2))*IF(H338&lt;&gt;"",IF(MONTH(H338)=$BR$8,IF(YEAR(H338)&lt;$BT$7,1,0),0)))</f>
        <v>0</v>
      </c>
      <c r="DR338" s="1801" t="str">
        <f t="shared" si="973"/>
        <v>F</v>
      </c>
      <c r="DS338" s="1801"/>
    </row>
    <row r="339" spans="1:123" s="471" customFormat="1" ht="21.95" customHeight="1" x14ac:dyDescent="0.25">
      <c r="A339" s="508" t="s">
        <v>2834</v>
      </c>
      <c r="B339" s="1314">
        <f t="shared" ca="1" si="941"/>
        <v>35</v>
      </c>
      <c r="C339" s="990">
        <v>12038359</v>
      </c>
      <c r="D339" s="1275" t="s">
        <v>4995</v>
      </c>
      <c r="E339" s="1135" t="s">
        <v>4622</v>
      </c>
      <c r="F339" s="1118">
        <v>26083</v>
      </c>
      <c r="G339" s="1135" t="s">
        <v>4620</v>
      </c>
      <c r="H339" s="1118">
        <v>38103</v>
      </c>
      <c r="I339" s="1140">
        <f t="shared" si="952"/>
        <v>21</v>
      </c>
      <c r="J339" s="1132">
        <v>0</v>
      </c>
      <c r="K339" s="1140">
        <f t="shared" si="953"/>
        <v>21</v>
      </c>
      <c r="L339" s="1145" t="s">
        <v>5539</v>
      </c>
      <c r="M339" s="1132"/>
      <c r="N339" s="1132"/>
      <c r="O339" s="1002" t="s">
        <v>5085</v>
      </c>
      <c r="P339" s="1132" t="s">
        <v>5135</v>
      </c>
      <c r="Q339" s="1315">
        <v>2202</v>
      </c>
      <c r="R339" s="1394" t="s">
        <v>5085</v>
      </c>
      <c r="S339" s="1393">
        <v>5</v>
      </c>
      <c r="T339" s="1107">
        <f>IFERROR(VLOOKUP(S339,'TAB OBR'!A:B,2,0),0)</f>
        <v>171</v>
      </c>
      <c r="U339" s="1108">
        <v>0</v>
      </c>
      <c r="V339" s="1107">
        <f t="shared" si="954"/>
        <v>171</v>
      </c>
      <c r="W339" s="1108">
        <f t="shared" si="898"/>
        <v>85.5</v>
      </c>
      <c r="X339" s="1135" t="s">
        <v>2884</v>
      </c>
      <c r="Y339" s="1135" t="s">
        <v>2884</v>
      </c>
      <c r="Z339" s="1135">
        <v>0</v>
      </c>
      <c r="AA339" s="1107">
        <f>ROUND(IF(H339&lt;&gt;"",VLOOKUP(SUM(I339+J339),'CONCEPTOS Y PARAMETROS'!F:G,2,0)*V339,0),2)</f>
        <v>47.54</v>
      </c>
      <c r="AB339" s="1107">
        <f>IF(S339&lt;&gt;"",IF(M339="",'CONCEPTOS Y PARAMETROS'!$C$4,0),0)</f>
        <v>130</v>
      </c>
      <c r="AC339" s="1107">
        <f>IF(S339&lt;&gt;"",IF(M339="",'CONCEPTOS Y PARAMETROS'!$C$7*Z339,0),0)</f>
        <v>0</v>
      </c>
      <c r="AD339" s="1107">
        <f>IFERROR(ROUND(VLOOKUP($X339,'CONCEPTOS Y PARAMETROS'!H:I,2,0)*($V339+AA339+AB339+AC339),2),0)</f>
        <v>0</v>
      </c>
      <c r="AE339" s="1107">
        <f t="shared" si="955"/>
        <v>177.54</v>
      </c>
      <c r="AF339" s="1107">
        <f t="shared" si="900"/>
        <v>23.77</v>
      </c>
      <c r="AG339" s="1107">
        <f t="shared" si="901"/>
        <v>23.77</v>
      </c>
      <c r="AH339" s="1107">
        <f t="shared" si="902"/>
        <v>65</v>
      </c>
      <c r="AI339" s="1107">
        <f t="shared" si="903"/>
        <v>65</v>
      </c>
      <c r="AJ339" s="1107">
        <f t="shared" si="904"/>
        <v>0</v>
      </c>
      <c r="AK339" s="1107">
        <f t="shared" si="905"/>
        <v>0</v>
      </c>
      <c r="AL339" s="1108">
        <f t="shared" si="906"/>
        <v>88.77</v>
      </c>
      <c r="AM339" s="1108">
        <f t="shared" si="907"/>
        <v>88.77</v>
      </c>
      <c r="AN339" s="990">
        <v>0</v>
      </c>
      <c r="AO339" s="1147">
        <f>'CONCEPTOS Y PARAMETROS'!$C$18*AN339</f>
        <v>0</v>
      </c>
      <c r="AP339" s="990">
        <v>0</v>
      </c>
      <c r="AQ339" s="1147">
        <f>'CONCEPTOS Y PARAMETROS'!$C$21*AP339</f>
        <v>0</v>
      </c>
      <c r="AR339" s="1318">
        <v>0</v>
      </c>
      <c r="AS339" s="1318">
        <v>0</v>
      </c>
      <c r="AT339" s="1318">
        <f t="shared" si="949"/>
        <v>0</v>
      </c>
      <c r="AU339" s="1108">
        <f t="shared" si="956"/>
        <v>348.53999999999996</v>
      </c>
      <c r="AV339" s="1133">
        <v>0</v>
      </c>
      <c r="AW339" s="1108">
        <f t="shared" si="957"/>
        <v>0</v>
      </c>
      <c r="AX339" s="1107">
        <f>IF(T339&lt;&gt;"0",(ROUND(IF(A339="EMPLEADO",eval_formula('CONCEPTOS Y PARAMETROS'!$C$8,NOMINA!V339,NOMINA!$AU339,NOMINA!I339+NOMINA!J339),eval_formula('CONCEPTOS Y PARAMETROS'!$D$8,NOMINA!V339,NOMINA!$AU339,NOMINA!I339+NOMINA!J339)),2))*IF(H339&lt;&gt;"",IF(MONTH(H339)=$BR$8,IF(YEAR(H339)&lt;$BT$7,1,0),0)))</f>
        <v>0</v>
      </c>
      <c r="AY339" s="1108">
        <v>180</v>
      </c>
      <c r="AZ339" s="1107">
        <f>IFERROR(VLOOKUP(AY339,'CONCEPTOS Y PARAMETROS'!Y:Z,2,0),0)</f>
        <v>150</v>
      </c>
      <c r="BA339" s="1107">
        <f t="shared" si="911"/>
        <v>2614.0500000000002</v>
      </c>
      <c r="BB339" s="1107">
        <f t="shared" si="912"/>
        <v>0</v>
      </c>
      <c r="BC339" s="990">
        <v>0</v>
      </c>
      <c r="BD339" s="1107" t="str">
        <f t="shared" si="958"/>
        <v>0</v>
      </c>
      <c r="BE339" s="990">
        <v>0</v>
      </c>
      <c r="BF339" s="1107">
        <f t="shared" si="959"/>
        <v>0</v>
      </c>
      <c r="BG339" s="1108">
        <v>310</v>
      </c>
      <c r="BH339" s="1108">
        <v>0</v>
      </c>
      <c r="BI339" s="1132">
        <v>0</v>
      </c>
      <c r="BJ339" s="1108">
        <f t="shared" si="915"/>
        <v>0</v>
      </c>
      <c r="BK339" s="1108">
        <v>0</v>
      </c>
      <c r="BL339" s="1107">
        <f t="shared" si="942"/>
        <v>16.09</v>
      </c>
      <c r="BM339" s="1107">
        <f t="shared" si="943"/>
        <v>2.0099999999999998</v>
      </c>
      <c r="BN339" s="1107">
        <f t="shared" si="960"/>
        <v>3.49</v>
      </c>
      <c r="BO339" s="1107">
        <v>0</v>
      </c>
      <c r="BP339" s="1107">
        <v>0</v>
      </c>
      <c r="BQ339" s="1320">
        <f t="shared" si="917"/>
        <v>21.59</v>
      </c>
      <c r="BR339" s="1107">
        <f t="shared" si="944"/>
        <v>36.19</v>
      </c>
      <c r="BS339" s="1107">
        <f t="shared" si="945"/>
        <v>8.0399999999999991</v>
      </c>
      <c r="BT339" s="1107">
        <f t="shared" si="961"/>
        <v>6.98</v>
      </c>
      <c r="BU339" s="1107">
        <v>0</v>
      </c>
      <c r="BV339" s="1108">
        <f t="shared" si="950"/>
        <v>51.21</v>
      </c>
      <c r="BW339" s="1112">
        <f t="shared" si="951"/>
        <v>72.8</v>
      </c>
      <c r="BX339" s="1112">
        <f t="shared" si="948"/>
        <v>653.51</v>
      </c>
      <c r="BY339" s="1108">
        <v>0</v>
      </c>
      <c r="BZ339" s="1108">
        <f t="shared" si="922"/>
        <v>653.51</v>
      </c>
      <c r="CA339" s="1321">
        <f>'CONCEPTOS Y PARAMETROS'!$A$102</f>
        <v>6255</v>
      </c>
      <c r="CB339" s="1112">
        <f t="shared" si="923"/>
        <v>152.67999999999998</v>
      </c>
      <c r="CC339" s="1113">
        <f t="shared" si="924"/>
        <v>484.27</v>
      </c>
      <c r="CD339" s="512"/>
      <c r="CE339" s="512"/>
      <c r="CF339" s="470">
        <f t="shared" si="962"/>
        <v>794.27</v>
      </c>
      <c r="CG339" s="495">
        <f t="shared" si="963"/>
        <v>152.67999999999998</v>
      </c>
      <c r="CH339" s="498">
        <f t="shared" si="927"/>
        <v>0</v>
      </c>
      <c r="CI339" s="1490">
        <f t="shared" si="964"/>
        <v>310</v>
      </c>
      <c r="CJ339" s="1500">
        <v>1</v>
      </c>
      <c r="CK339" s="495">
        <f t="shared" si="965"/>
        <v>484.27</v>
      </c>
      <c r="CL339" s="1689">
        <f t="shared" si="930"/>
        <v>484.27</v>
      </c>
      <c r="CM339" s="1689">
        <f t="shared" si="940"/>
        <v>0</v>
      </c>
      <c r="CN339" s="496">
        <f t="shared" si="966"/>
        <v>0</v>
      </c>
      <c r="CO339" s="497">
        <v>0</v>
      </c>
      <c r="CP339" s="496">
        <f t="shared" si="967"/>
        <v>0</v>
      </c>
      <c r="CQ339" s="496">
        <f t="shared" si="968"/>
        <v>0</v>
      </c>
      <c r="CR339" s="496">
        <f t="shared" si="969"/>
        <v>968.54</v>
      </c>
      <c r="CS339" s="496">
        <f t="shared" si="970"/>
        <v>72.8</v>
      </c>
      <c r="CT339" s="496">
        <f t="shared" si="971"/>
        <v>6255</v>
      </c>
      <c r="CU339" s="470"/>
      <c r="CV339" s="470"/>
      <c r="CW339" s="470"/>
      <c r="CX339" s="470"/>
      <c r="CY339" s="1275" t="s">
        <v>7164</v>
      </c>
      <c r="CZ339" s="1275" t="s">
        <v>7000</v>
      </c>
      <c r="DA339" s="480"/>
      <c r="DB339" s="1642" t="s">
        <v>6444</v>
      </c>
      <c r="DC339" s="1642"/>
      <c r="DD339" s="1642" t="s">
        <v>6156</v>
      </c>
      <c r="DE339" s="1642" t="s">
        <v>6358</v>
      </c>
      <c r="DF339" s="1642" t="s">
        <v>7541</v>
      </c>
      <c r="DG339" s="1152"/>
      <c r="DH339" s="470"/>
      <c r="DI339" s="512"/>
      <c r="DJ339" s="470"/>
      <c r="DK339" s="470"/>
      <c r="DL339" s="470"/>
      <c r="DN339" s="471" t="str">
        <f>VLOOKUP(X339,Hoja1!$A$4:$B$10,2,0)</f>
        <v>BACHILLER</v>
      </c>
      <c r="DO339" s="471" t="str">
        <f>VLOOKUP(S339,Hoja1!$D$4:$F$77,3,0)</f>
        <v>GRADO (5) - MÁX</v>
      </c>
      <c r="DP339" s="1156" t="str">
        <f t="shared" si="972"/>
        <v>0</v>
      </c>
      <c r="DQ339" s="1484">
        <f>IF(T339&lt;&gt;"0",(ROUND(IF(A339="EMPLEADO",eval_formula('CONCEPTOS Y PARAMETROS'!$C$8,NOMINA!V339,AU339+BF339,NOMINA!I339+NOMINA!J339),eval_formula('CONCEPTOS Y PARAMETROS'!$D$8,NOMINA!V339,AU339+BF339,NOMINA!I339+NOMINA!J339)),2))*IF(H339&lt;&gt;"",IF(MONTH(H339)=$BR$8,IF(YEAR(H339)&lt;$BT$7,1,0),0)))</f>
        <v>0</v>
      </c>
      <c r="DR339" s="1801" t="str">
        <f t="shared" si="973"/>
        <v>F</v>
      </c>
      <c r="DS339" s="1801"/>
    </row>
    <row r="340" spans="1:123" s="476" customFormat="1" ht="21.95" customHeight="1" x14ac:dyDescent="0.25">
      <c r="A340" s="508" t="s">
        <v>2834</v>
      </c>
      <c r="B340" s="1314">
        <f t="shared" ca="1" si="941"/>
        <v>36</v>
      </c>
      <c r="C340" s="990">
        <v>12042930</v>
      </c>
      <c r="D340" s="1275" t="s">
        <v>5098</v>
      </c>
      <c r="E340" s="1135" t="s">
        <v>4622</v>
      </c>
      <c r="F340" s="1118">
        <v>27548</v>
      </c>
      <c r="G340" s="1135" t="s">
        <v>4621</v>
      </c>
      <c r="H340" s="1118">
        <v>44986</v>
      </c>
      <c r="I340" s="1140">
        <f t="shared" si="952"/>
        <v>2</v>
      </c>
      <c r="J340" s="1132">
        <v>0</v>
      </c>
      <c r="K340" s="1140">
        <f t="shared" si="953"/>
        <v>2</v>
      </c>
      <c r="L340" s="1145" t="s">
        <v>5549</v>
      </c>
      <c r="M340" s="1132"/>
      <c r="N340" s="1132"/>
      <c r="O340" s="1002" t="s">
        <v>5084</v>
      </c>
      <c r="P340" s="1132" t="s">
        <v>5136</v>
      </c>
      <c r="Q340" s="1315">
        <v>7152</v>
      </c>
      <c r="R340" s="1394" t="s">
        <v>5084</v>
      </c>
      <c r="S340" s="1393">
        <v>3</v>
      </c>
      <c r="T340" s="1107">
        <f>IFERROR(VLOOKUP(S340,'TAB OBR'!A:B,2,0),0)</f>
        <v>152</v>
      </c>
      <c r="U340" s="1108">
        <v>0</v>
      </c>
      <c r="V340" s="1107">
        <f t="shared" si="954"/>
        <v>152</v>
      </c>
      <c r="W340" s="1108">
        <f t="shared" si="898"/>
        <v>76</v>
      </c>
      <c r="X340" s="1135" t="s">
        <v>2884</v>
      </c>
      <c r="Y340" s="1135" t="s">
        <v>2884</v>
      </c>
      <c r="Z340" s="1135">
        <v>0</v>
      </c>
      <c r="AA340" s="1107">
        <f>ROUND(IF(H340&lt;&gt;"",VLOOKUP(SUM(I340+J340),'CONCEPTOS Y PARAMETROS'!F:G,2,0)*V340,0),2)</f>
        <v>3.04</v>
      </c>
      <c r="AB340" s="1107">
        <f>IF(S340&lt;&gt;"",IF(M340="",'CONCEPTOS Y PARAMETROS'!$C$4,0),0)</f>
        <v>130</v>
      </c>
      <c r="AC340" s="1107">
        <f>IF(S340&lt;&gt;"",IF(M340="",'CONCEPTOS Y PARAMETROS'!$C$7*Z340,0),0)</f>
        <v>0</v>
      </c>
      <c r="AD340" s="1107">
        <f>IFERROR(ROUND(VLOOKUP($X340,'CONCEPTOS Y PARAMETROS'!H:I,2,0)*($V340+AA340+AB340+AC340),2),0)</f>
        <v>0</v>
      </c>
      <c r="AE340" s="1107">
        <f t="shared" si="955"/>
        <v>133.04</v>
      </c>
      <c r="AF340" s="1107">
        <f t="shared" si="900"/>
        <v>1.52</v>
      </c>
      <c r="AG340" s="1107">
        <f t="shared" si="901"/>
        <v>1.52</v>
      </c>
      <c r="AH340" s="1107">
        <f t="shared" si="902"/>
        <v>65</v>
      </c>
      <c r="AI340" s="1107">
        <f t="shared" si="903"/>
        <v>65</v>
      </c>
      <c r="AJ340" s="1107">
        <f t="shared" si="904"/>
        <v>0</v>
      </c>
      <c r="AK340" s="1107">
        <f t="shared" si="905"/>
        <v>0</v>
      </c>
      <c r="AL340" s="1108">
        <f t="shared" si="906"/>
        <v>66.52</v>
      </c>
      <c r="AM340" s="1108">
        <f t="shared" si="907"/>
        <v>66.52</v>
      </c>
      <c r="AN340" s="990">
        <v>0</v>
      </c>
      <c r="AO340" s="1147">
        <f>'CONCEPTOS Y PARAMETROS'!$C$18*AN340</f>
        <v>0</v>
      </c>
      <c r="AP340" s="990">
        <v>0</v>
      </c>
      <c r="AQ340" s="1147">
        <f>'CONCEPTOS Y PARAMETROS'!$C$21*AP340</f>
        <v>0</v>
      </c>
      <c r="AR340" s="1318">
        <v>0</v>
      </c>
      <c r="AS340" s="1318">
        <v>0</v>
      </c>
      <c r="AT340" s="1318">
        <f t="shared" si="949"/>
        <v>0</v>
      </c>
      <c r="AU340" s="1108">
        <f t="shared" si="956"/>
        <v>285.03999999999996</v>
      </c>
      <c r="AV340" s="1133">
        <v>0</v>
      </c>
      <c r="AW340" s="1108">
        <f t="shared" si="957"/>
        <v>0</v>
      </c>
      <c r="AX340" s="1107">
        <f>IF(T340&lt;&gt;"0",(ROUND(IF(A340="EMPLEADO",eval_formula('CONCEPTOS Y PARAMETROS'!$C$8,NOMINA!V340,NOMINA!$AU340,NOMINA!I340+NOMINA!J340),eval_formula('CONCEPTOS Y PARAMETROS'!$D$8,NOMINA!V340,NOMINA!$AU340,NOMINA!I340+NOMINA!J340)),2))*IF(H340&lt;&gt;"",IF(MONTH(H340)=$BR$8,IF(YEAR(H340)&lt;$BT$7,1,0),0)))</f>
        <v>0</v>
      </c>
      <c r="AY340" s="1108">
        <v>180</v>
      </c>
      <c r="AZ340" s="1107">
        <f>IFERROR(VLOOKUP(AY340,'CONCEPTOS Y PARAMETROS'!Y:Z,2,0),0)</f>
        <v>150</v>
      </c>
      <c r="BA340" s="1107">
        <f t="shared" si="911"/>
        <v>2137.8000000000002</v>
      </c>
      <c r="BB340" s="1107">
        <f t="shared" si="912"/>
        <v>0</v>
      </c>
      <c r="BC340" s="990">
        <v>0</v>
      </c>
      <c r="BD340" s="1107" t="str">
        <f t="shared" si="958"/>
        <v>0</v>
      </c>
      <c r="BE340" s="990">
        <v>1</v>
      </c>
      <c r="BF340" s="1107">
        <f t="shared" si="959"/>
        <v>14.25</v>
      </c>
      <c r="BG340" s="1108">
        <v>310</v>
      </c>
      <c r="BH340" s="1108">
        <v>0</v>
      </c>
      <c r="BI340" s="1132">
        <v>0</v>
      </c>
      <c r="BJ340" s="1108">
        <f t="shared" si="915"/>
        <v>0</v>
      </c>
      <c r="BK340" s="1108">
        <v>0</v>
      </c>
      <c r="BL340" s="1107">
        <f t="shared" si="942"/>
        <v>13.16</v>
      </c>
      <c r="BM340" s="1107">
        <f t="shared" si="943"/>
        <v>1.64</v>
      </c>
      <c r="BN340" s="1107">
        <f t="shared" si="960"/>
        <v>2.85</v>
      </c>
      <c r="BO340" s="1107">
        <v>0</v>
      </c>
      <c r="BP340" s="1107">
        <v>0</v>
      </c>
      <c r="BQ340" s="1320">
        <f t="shared" si="917"/>
        <v>17.649999999999999</v>
      </c>
      <c r="BR340" s="1107">
        <f t="shared" si="944"/>
        <v>29.6</v>
      </c>
      <c r="BS340" s="1107">
        <f t="shared" si="945"/>
        <v>6.58</v>
      </c>
      <c r="BT340" s="1107">
        <f t="shared" si="961"/>
        <v>5.7</v>
      </c>
      <c r="BU340" s="1107">
        <v>0</v>
      </c>
      <c r="BV340" s="1108">
        <f t="shared" si="950"/>
        <v>41.88</v>
      </c>
      <c r="BW340" s="1112">
        <f t="shared" si="951"/>
        <v>59.53</v>
      </c>
      <c r="BX340" s="1112">
        <f t="shared" si="948"/>
        <v>534.45000000000005</v>
      </c>
      <c r="BY340" s="1108">
        <v>0</v>
      </c>
      <c r="BZ340" s="1108">
        <f t="shared" si="922"/>
        <v>534.45000000000005</v>
      </c>
      <c r="CA340" s="1321">
        <f>'CONCEPTOS Y PARAMETROS'!$A$102</f>
        <v>6255</v>
      </c>
      <c r="CB340" s="1112">
        <f t="shared" si="923"/>
        <v>124.86999999999998</v>
      </c>
      <c r="CC340" s="1113">
        <f t="shared" si="924"/>
        <v>466.77</v>
      </c>
      <c r="CD340" s="512"/>
      <c r="CE340" s="512"/>
      <c r="CF340" s="470">
        <f t="shared" si="962"/>
        <v>762.52</v>
      </c>
      <c r="CG340" s="509">
        <f t="shared" si="963"/>
        <v>124.86999999999998</v>
      </c>
      <c r="CH340" s="498">
        <f t="shared" si="927"/>
        <v>0</v>
      </c>
      <c r="CI340" s="1490">
        <f t="shared" si="964"/>
        <v>310</v>
      </c>
      <c r="CJ340" s="1500">
        <v>1</v>
      </c>
      <c r="CK340" s="495">
        <f t="shared" si="965"/>
        <v>452.52</v>
      </c>
      <c r="CL340" s="1689">
        <f t="shared" si="930"/>
        <v>452.52</v>
      </c>
      <c r="CM340" s="1689">
        <f t="shared" si="940"/>
        <v>0</v>
      </c>
      <c r="CN340" s="510">
        <f t="shared" si="966"/>
        <v>14.25</v>
      </c>
      <c r="CO340" s="511">
        <v>0</v>
      </c>
      <c r="CP340" s="510">
        <f t="shared" si="967"/>
        <v>0</v>
      </c>
      <c r="CQ340" s="510">
        <f t="shared" si="968"/>
        <v>0</v>
      </c>
      <c r="CR340" s="496">
        <f t="shared" si="969"/>
        <v>919.29</v>
      </c>
      <c r="CS340" s="496">
        <f t="shared" si="970"/>
        <v>59.53</v>
      </c>
      <c r="CT340" s="510">
        <f t="shared" si="971"/>
        <v>6255</v>
      </c>
      <c r="CU340" s="470"/>
      <c r="CV340" s="470"/>
      <c r="CW340" s="470"/>
      <c r="CX340" s="470"/>
      <c r="CY340" s="1275" t="s">
        <v>7165</v>
      </c>
      <c r="CZ340" s="1275" t="s">
        <v>7166</v>
      </c>
      <c r="DA340" s="1152"/>
      <c r="DB340" s="1642" t="s">
        <v>6512</v>
      </c>
      <c r="DC340" s="1642"/>
      <c r="DD340" s="1642" t="s">
        <v>6135</v>
      </c>
      <c r="DE340" s="1642" t="s">
        <v>6162</v>
      </c>
      <c r="DF340" s="1642" t="s">
        <v>6228</v>
      </c>
      <c r="DG340" s="1152"/>
      <c r="DH340" s="470"/>
      <c r="DI340" s="470"/>
      <c r="DJ340" s="512"/>
      <c r="DK340" s="512"/>
      <c r="DL340" s="512"/>
      <c r="DN340" s="471" t="str">
        <f>VLOOKUP(X340,Hoja1!$A$4:$B$10,2,0)</f>
        <v>BACHILLER</v>
      </c>
      <c r="DO340" s="471" t="str">
        <f>VLOOKUP(S340,Hoja1!$D$4:$F$77,3,0)</f>
        <v>GRADO (3) - MÁX</v>
      </c>
      <c r="DP340" s="1156" t="str">
        <f t="shared" si="972"/>
        <v>0</v>
      </c>
      <c r="DQ340" s="1484">
        <f>IF(T340&lt;&gt;"0",(ROUND(IF(A340="EMPLEADO",eval_formula('CONCEPTOS Y PARAMETROS'!$C$8,NOMINA!V340,AU340+BF340,NOMINA!I340+NOMINA!J340),eval_formula('CONCEPTOS Y PARAMETROS'!$D$8,NOMINA!V340,AU340+BF340,NOMINA!I340+NOMINA!J340)),2))*IF(H340&lt;&gt;"",IF(MONTH(H340)=$BR$8,IF(YEAR(H340)&lt;$BT$7,1,0),0)))</f>
        <v>0</v>
      </c>
      <c r="DR340" s="1801" t="str">
        <f t="shared" si="973"/>
        <v>M</v>
      </c>
      <c r="DS340" s="1801"/>
    </row>
    <row r="341" spans="1:123" s="471" customFormat="1" ht="21.95" customHeight="1" x14ac:dyDescent="0.25">
      <c r="A341" s="508" t="s">
        <v>2834</v>
      </c>
      <c r="B341" s="1314">
        <f t="shared" ca="1" si="941"/>
        <v>37</v>
      </c>
      <c r="C341" s="990">
        <v>12043135</v>
      </c>
      <c r="D341" s="1275" t="s">
        <v>4996</v>
      </c>
      <c r="E341" s="1135" t="s">
        <v>4622</v>
      </c>
      <c r="F341" s="1118">
        <v>26293</v>
      </c>
      <c r="G341" s="1135" t="s">
        <v>4621</v>
      </c>
      <c r="H341" s="1118">
        <v>43724</v>
      </c>
      <c r="I341" s="1140">
        <f t="shared" si="952"/>
        <v>6</v>
      </c>
      <c r="J341" s="1132">
        <v>0</v>
      </c>
      <c r="K341" s="1140">
        <f t="shared" si="953"/>
        <v>6</v>
      </c>
      <c r="L341" s="1145" t="s">
        <v>5544</v>
      </c>
      <c r="M341" s="1132"/>
      <c r="N341" s="1132"/>
      <c r="O341" s="1002" t="s">
        <v>5091</v>
      </c>
      <c r="P341" s="1132" t="s">
        <v>5137</v>
      </c>
      <c r="Q341" s="1315">
        <v>2202</v>
      </c>
      <c r="R341" s="1394" t="s">
        <v>5091</v>
      </c>
      <c r="S341" s="1393">
        <v>5</v>
      </c>
      <c r="T341" s="1107">
        <f>IFERROR(VLOOKUP(S341,'TAB OBR'!A:B,2,0),0)</f>
        <v>171</v>
      </c>
      <c r="U341" s="1108">
        <v>0</v>
      </c>
      <c r="V341" s="1107">
        <f t="shared" si="954"/>
        <v>171</v>
      </c>
      <c r="W341" s="1108">
        <f t="shared" si="898"/>
        <v>85.5</v>
      </c>
      <c r="X341" s="1135" t="s">
        <v>2884</v>
      </c>
      <c r="Y341" s="1135" t="s">
        <v>2884</v>
      </c>
      <c r="Z341" s="1135">
        <v>0</v>
      </c>
      <c r="AA341" s="1107">
        <f>ROUND(IF(H341&lt;&gt;"",VLOOKUP(SUM(I341+J341),'CONCEPTOS Y PARAMETROS'!F:G,2,0)*V341,0),2)</f>
        <v>10.6</v>
      </c>
      <c r="AB341" s="1107">
        <f>IF(S341&lt;&gt;"",IF(M341="",'CONCEPTOS Y PARAMETROS'!$C$4,0),0)</f>
        <v>130</v>
      </c>
      <c r="AC341" s="1107">
        <f>IF(S341&lt;&gt;"",IF(M341="",'CONCEPTOS Y PARAMETROS'!$C$7*Z341,0),0)</f>
        <v>0</v>
      </c>
      <c r="AD341" s="1107">
        <f>IFERROR(ROUND(VLOOKUP($X341,'CONCEPTOS Y PARAMETROS'!H:I,2,0)*($V341+AA341+AB341+AC341),2),0)</f>
        <v>0</v>
      </c>
      <c r="AE341" s="1107">
        <f t="shared" si="955"/>
        <v>140.6</v>
      </c>
      <c r="AF341" s="1107">
        <f t="shared" si="900"/>
        <v>5.3</v>
      </c>
      <c r="AG341" s="1107">
        <f t="shared" si="901"/>
        <v>5.3</v>
      </c>
      <c r="AH341" s="1107">
        <f t="shared" si="902"/>
        <v>65</v>
      </c>
      <c r="AI341" s="1107">
        <f t="shared" si="903"/>
        <v>65</v>
      </c>
      <c r="AJ341" s="1107">
        <f t="shared" si="904"/>
        <v>0</v>
      </c>
      <c r="AK341" s="1107">
        <f t="shared" si="905"/>
        <v>0</v>
      </c>
      <c r="AL341" s="1108">
        <f t="shared" si="906"/>
        <v>70.3</v>
      </c>
      <c r="AM341" s="1108">
        <f t="shared" si="907"/>
        <v>70.3</v>
      </c>
      <c r="AN341" s="990">
        <v>0</v>
      </c>
      <c r="AO341" s="1147">
        <f>'CONCEPTOS Y PARAMETROS'!$C$18*AN341</f>
        <v>0</v>
      </c>
      <c r="AP341" s="990">
        <v>0</v>
      </c>
      <c r="AQ341" s="1147">
        <f>'CONCEPTOS Y PARAMETROS'!$C$21*AP341</f>
        <v>0</v>
      </c>
      <c r="AR341" s="1318">
        <v>0</v>
      </c>
      <c r="AS341" s="1318">
        <v>0</v>
      </c>
      <c r="AT341" s="1318">
        <f t="shared" si="949"/>
        <v>0</v>
      </c>
      <c r="AU341" s="1108">
        <f t="shared" si="956"/>
        <v>311.60000000000002</v>
      </c>
      <c r="AV341" s="1133">
        <v>0</v>
      </c>
      <c r="AW341" s="1108">
        <f t="shared" si="957"/>
        <v>0</v>
      </c>
      <c r="AX341" s="1107">
        <f>IF(T341&lt;&gt;"0",(ROUND(IF(A341="EMPLEADO",eval_formula('CONCEPTOS Y PARAMETROS'!$C$8,NOMINA!V341,NOMINA!$AU341,NOMINA!I341+NOMINA!J341),eval_formula('CONCEPTOS Y PARAMETROS'!$D$8,NOMINA!V341,NOMINA!$AU341,NOMINA!I341+NOMINA!J341)),2))*IF(H341&lt;&gt;"",IF(MONTH(H341)=$BR$8,IF(YEAR(H341)&lt;$BT$7,1,0),0)))</f>
        <v>2492.8000000000002</v>
      </c>
      <c r="AY341" s="1108">
        <v>180</v>
      </c>
      <c r="AZ341" s="1107">
        <f>IFERROR(VLOOKUP(AY341,'CONCEPTOS Y PARAMETROS'!Y:Z,2,0),0)</f>
        <v>150</v>
      </c>
      <c r="BA341" s="1107">
        <f t="shared" si="911"/>
        <v>2337</v>
      </c>
      <c r="BB341" s="1107">
        <f t="shared" si="912"/>
        <v>0</v>
      </c>
      <c r="BC341" s="990">
        <v>0</v>
      </c>
      <c r="BD341" s="1107" t="str">
        <f t="shared" si="958"/>
        <v>0</v>
      </c>
      <c r="BE341" s="990">
        <v>2</v>
      </c>
      <c r="BF341" s="1107">
        <f t="shared" si="959"/>
        <v>31.16</v>
      </c>
      <c r="BG341" s="1108">
        <v>310</v>
      </c>
      <c r="BH341" s="1108">
        <v>0</v>
      </c>
      <c r="BI341" s="1132">
        <v>0</v>
      </c>
      <c r="BJ341" s="1108">
        <f t="shared" si="915"/>
        <v>0</v>
      </c>
      <c r="BK341" s="1108">
        <v>0</v>
      </c>
      <c r="BL341" s="1107">
        <f t="shared" si="942"/>
        <v>14.38</v>
      </c>
      <c r="BM341" s="1107">
        <f t="shared" si="943"/>
        <v>1.8</v>
      </c>
      <c r="BN341" s="1107">
        <f t="shared" si="960"/>
        <v>3.12</v>
      </c>
      <c r="BO341" s="1107">
        <v>0</v>
      </c>
      <c r="BP341" s="1107">
        <v>0</v>
      </c>
      <c r="BQ341" s="1320">
        <f t="shared" si="917"/>
        <v>19.3</v>
      </c>
      <c r="BR341" s="1107">
        <f t="shared" si="944"/>
        <v>32.36</v>
      </c>
      <c r="BS341" s="1107">
        <f t="shared" si="945"/>
        <v>7.19</v>
      </c>
      <c r="BT341" s="1107">
        <f t="shared" si="961"/>
        <v>6.24</v>
      </c>
      <c r="BU341" s="1107">
        <v>0</v>
      </c>
      <c r="BV341" s="1108">
        <f t="shared" si="950"/>
        <v>45.79</v>
      </c>
      <c r="BW341" s="1112">
        <f t="shared" si="951"/>
        <v>65.09</v>
      </c>
      <c r="BX341" s="1112">
        <f t="shared" si="948"/>
        <v>584.25</v>
      </c>
      <c r="BY341" s="1108">
        <v>0</v>
      </c>
      <c r="BZ341" s="1108">
        <f t="shared" si="922"/>
        <v>584.25</v>
      </c>
      <c r="CA341" s="1321">
        <f>'CONCEPTOS Y PARAMETROS'!$A$102</f>
        <v>6255</v>
      </c>
      <c r="CB341" s="1112">
        <f t="shared" si="923"/>
        <v>136.5</v>
      </c>
      <c r="CC341" s="1113">
        <f t="shared" si="924"/>
        <v>2989.76</v>
      </c>
      <c r="CD341" s="512"/>
      <c r="CE341" s="512"/>
      <c r="CF341" s="470">
        <f t="shared" si="962"/>
        <v>775.8</v>
      </c>
      <c r="CG341" s="495">
        <f t="shared" si="963"/>
        <v>136.5</v>
      </c>
      <c r="CH341" s="498">
        <f t="shared" si="927"/>
        <v>0</v>
      </c>
      <c r="CI341" s="1490">
        <f t="shared" si="964"/>
        <v>310</v>
      </c>
      <c r="CJ341" s="1500">
        <v>1</v>
      </c>
      <c r="CK341" s="495">
        <f t="shared" si="965"/>
        <v>465.8</v>
      </c>
      <c r="CL341" s="1689">
        <f t="shared" si="930"/>
        <v>465.8</v>
      </c>
      <c r="CM341" s="1689">
        <f t="shared" si="940"/>
        <v>0</v>
      </c>
      <c r="CN341" s="496">
        <f t="shared" si="966"/>
        <v>31.16</v>
      </c>
      <c r="CO341" s="497">
        <v>0</v>
      </c>
      <c r="CP341" s="496">
        <f t="shared" si="967"/>
        <v>0</v>
      </c>
      <c r="CQ341" s="496">
        <f t="shared" si="968"/>
        <v>2492.8000000000002</v>
      </c>
      <c r="CR341" s="496">
        <f t="shared" si="969"/>
        <v>3455.5600000000004</v>
      </c>
      <c r="CS341" s="496">
        <f t="shared" si="970"/>
        <v>65.09</v>
      </c>
      <c r="CT341" s="496">
        <f t="shared" si="971"/>
        <v>6255</v>
      </c>
      <c r="CU341" s="470"/>
      <c r="CV341" s="470"/>
      <c r="CW341" s="470"/>
      <c r="CX341" s="470"/>
      <c r="CY341" s="1275" t="s">
        <v>7167</v>
      </c>
      <c r="CZ341" s="1275" t="s">
        <v>7168</v>
      </c>
      <c r="DA341" s="480"/>
      <c r="DB341" s="1642" t="s">
        <v>6569</v>
      </c>
      <c r="DC341" s="1642" t="s">
        <v>7497</v>
      </c>
      <c r="DD341" s="1642" t="s">
        <v>6135</v>
      </c>
      <c r="DE341" s="1642" t="s">
        <v>6132</v>
      </c>
      <c r="DF341" s="1642" t="s">
        <v>6531</v>
      </c>
      <c r="DG341" s="1642"/>
      <c r="DH341" s="470"/>
      <c r="DI341" s="470"/>
      <c r="DJ341" s="470"/>
      <c r="DK341" s="470"/>
      <c r="DL341" s="470"/>
      <c r="DN341" s="471" t="str">
        <f>VLOOKUP(X341,Hoja1!$A$4:$B$10,2,0)</f>
        <v>BACHILLER</v>
      </c>
      <c r="DO341" s="471" t="str">
        <f>VLOOKUP(S341,Hoja1!$D$4:$F$77,3,0)</f>
        <v>GRADO (5) - MÁX</v>
      </c>
      <c r="DP341" s="1156" t="str">
        <f t="shared" si="972"/>
        <v>0</v>
      </c>
      <c r="DQ341" s="1484">
        <f>IF(T341&lt;&gt;"0",(ROUND(IF(A341="EMPLEADO",eval_formula('CONCEPTOS Y PARAMETROS'!$C$8,NOMINA!V341,AU341+BF341,NOMINA!I341+NOMINA!J341),eval_formula('CONCEPTOS Y PARAMETROS'!$D$8,NOMINA!V341,AU341+BF341,NOMINA!I341+NOMINA!J341)),2))*IF(H341&lt;&gt;"",IF(MONTH(H341)=$BR$8,IF(YEAR(H341)&lt;$BT$7,1,0),0)))</f>
        <v>2742.08</v>
      </c>
      <c r="DR341" s="1801" t="str">
        <f t="shared" si="973"/>
        <v>M</v>
      </c>
      <c r="DS341" s="1801"/>
    </row>
    <row r="342" spans="1:123" s="471" customFormat="1" ht="21.95" customHeight="1" x14ac:dyDescent="0.25">
      <c r="A342" s="508" t="s">
        <v>2834</v>
      </c>
      <c r="B342" s="1314">
        <f t="shared" ca="1" si="941"/>
        <v>38</v>
      </c>
      <c r="C342" s="990">
        <v>12044124</v>
      </c>
      <c r="D342" s="1275" t="s">
        <v>4997</v>
      </c>
      <c r="E342" s="1135" t="s">
        <v>4622</v>
      </c>
      <c r="F342" s="1118">
        <v>27006</v>
      </c>
      <c r="G342" s="1135" t="s">
        <v>4621</v>
      </c>
      <c r="H342" s="1118">
        <v>39539</v>
      </c>
      <c r="I342" s="1140">
        <f t="shared" si="952"/>
        <v>17</v>
      </c>
      <c r="J342" s="1132">
        <v>0</v>
      </c>
      <c r="K342" s="1140">
        <f t="shared" si="953"/>
        <v>17</v>
      </c>
      <c r="L342" s="1145" t="s">
        <v>5539</v>
      </c>
      <c r="M342" s="1132"/>
      <c r="N342" s="1132"/>
      <c r="O342" s="1002" t="s">
        <v>5084</v>
      </c>
      <c r="P342" s="1132" t="s">
        <v>5138</v>
      </c>
      <c r="Q342" s="1315">
        <v>7152</v>
      </c>
      <c r="R342" s="1394" t="s">
        <v>5084</v>
      </c>
      <c r="S342" s="1393">
        <v>3</v>
      </c>
      <c r="T342" s="1107">
        <f>IFERROR(VLOOKUP(S342,'TAB OBR'!A:B,2,0),0)</f>
        <v>152</v>
      </c>
      <c r="U342" s="1108">
        <v>0</v>
      </c>
      <c r="V342" s="1107">
        <f t="shared" si="954"/>
        <v>152</v>
      </c>
      <c r="W342" s="1108">
        <f t="shared" si="898"/>
        <v>76</v>
      </c>
      <c r="X342" s="1135" t="s">
        <v>2884</v>
      </c>
      <c r="Y342" s="1135" t="s">
        <v>2884</v>
      </c>
      <c r="Z342" s="1135">
        <v>0</v>
      </c>
      <c r="AA342" s="1107">
        <f>ROUND(IF(H342&lt;&gt;"",VLOOKUP(SUM(I342+J342),'CONCEPTOS Y PARAMETROS'!F:G,2,0)*V342,0),2)</f>
        <v>32.22</v>
      </c>
      <c r="AB342" s="1107">
        <f>IF(S342&lt;&gt;"",IF(M342="",'CONCEPTOS Y PARAMETROS'!$C$4,0),0)</f>
        <v>130</v>
      </c>
      <c r="AC342" s="1107">
        <f>IF(S342&lt;&gt;"",IF(M342="",'CONCEPTOS Y PARAMETROS'!$C$7*Z342,0),0)</f>
        <v>0</v>
      </c>
      <c r="AD342" s="1107">
        <f>IFERROR(ROUND(VLOOKUP($X342,'CONCEPTOS Y PARAMETROS'!H:I,2,0)*($V342+AA342+AB342+AC342),2),0)</f>
        <v>0</v>
      </c>
      <c r="AE342" s="1107">
        <f t="shared" si="955"/>
        <v>162.22</v>
      </c>
      <c r="AF342" s="1107">
        <f t="shared" si="900"/>
        <v>16.11</v>
      </c>
      <c r="AG342" s="1107">
        <f t="shared" si="901"/>
        <v>16.11</v>
      </c>
      <c r="AH342" s="1107">
        <f t="shared" si="902"/>
        <v>65</v>
      </c>
      <c r="AI342" s="1107">
        <f t="shared" si="903"/>
        <v>65</v>
      </c>
      <c r="AJ342" s="1107">
        <f t="shared" si="904"/>
        <v>0</v>
      </c>
      <c r="AK342" s="1107">
        <f t="shared" si="905"/>
        <v>0</v>
      </c>
      <c r="AL342" s="1108">
        <f t="shared" si="906"/>
        <v>81.11</v>
      </c>
      <c r="AM342" s="1108">
        <f t="shared" si="907"/>
        <v>81.11</v>
      </c>
      <c r="AN342" s="990">
        <v>0</v>
      </c>
      <c r="AO342" s="1147">
        <f>'CONCEPTOS Y PARAMETROS'!$C$18*AN342</f>
        <v>0</v>
      </c>
      <c r="AP342" s="990">
        <v>0</v>
      </c>
      <c r="AQ342" s="1147">
        <f>'CONCEPTOS Y PARAMETROS'!$C$21*AP342</f>
        <v>0</v>
      </c>
      <c r="AR342" s="1318">
        <v>0</v>
      </c>
      <c r="AS342" s="1318">
        <v>0</v>
      </c>
      <c r="AT342" s="1318">
        <f t="shared" si="949"/>
        <v>0</v>
      </c>
      <c r="AU342" s="1108">
        <f t="shared" si="956"/>
        <v>408.49</v>
      </c>
      <c r="AV342" s="1133" t="s">
        <v>5080</v>
      </c>
      <c r="AW342" s="1108">
        <f t="shared" si="957"/>
        <v>94.27</v>
      </c>
      <c r="AX342" s="1107">
        <f>IF(T342&lt;&gt;"0",(ROUND(IF(A342="EMPLEADO",eval_formula('CONCEPTOS Y PARAMETROS'!$C$8,NOMINA!V342,NOMINA!$AU342,NOMINA!I342+NOMINA!J342),eval_formula('CONCEPTOS Y PARAMETROS'!$D$8,NOMINA!V342,NOMINA!$AU342,NOMINA!I342+NOMINA!J342)),2))*IF(H342&lt;&gt;"",IF(MONTH(H342)=$BR$8,IF(YEAR(H342)&lt;$BT$7,1,0),0)))</f>
        <v>0</v>
      </c>
      <c r="AY342" s="1108">
        <v>180</v>
      </c>
      <c r="AZ342" s="1107">
        <f>IFERROR(VLOOKUP(AY342,'CONCEPTOS Y PARAMETROS'!Y:Z,2,0),0)</f>
        <v>150</v>
      </c>
      <c r="BA342" s="1107">
        <f t="shared" si="911"/>
        <v>3063.68</v>
      </c>
      <c r="BB342" s="1107">
        <f t="shared" si="912"/>
        <v>0</v>
      </c>
      <c r="BC342" s="990">
        <v>0</v>
      </c>
      <c r="BD342" s="1107" t="str">
        <f t="shared" si="958"/>
        <v>0</v>
      </c>
      <c r="BE342" s="990">
        <v>0</v>
      </c>
      <c r="BF342" s="1107">
        <f t="shared" si="959"/>
        <v>0</v>
      </c>
      <c r="BG342" s="1108">
        <v>310</v>
      </c>
      <c r="BH342" s="1108">
        <v>0</v>
      </c>
      <c r="BI342" s="1132">
        <v>0</v>
      </c>
      <c r="BJ342" s="1108">
        <f t="shared" si="915"/>
        <v>0</v>
      </c>
      <c r="BK342" s="1108">
        <v>0</v>
      </c>
      <c r="BL342" s="1107">
        <f t="shared" si="942"/>
        <v>18.850000000000001</v>
      </c>
      <c r="BM342" s="1107">
        <f t="shared" si="943"/>
        <v>2.36</v>
      </c>
      <c r="BN342" s="1107">
        <f t="shared" si="960"/>
        <v>4.08</v>
      </c>
      <c r="BO342" s="1107">
        <v>0</v>
      </c>
      <c r="BP342" s="1107">
        <v>0</v>
      </c>
      <c r="BQ342" s="1320">
        <f t="shared" si="917"/>
        <v>25.29</v>
      </c>
      <c r="BR342" s="1107">
        <f t="shared" si="944"/>
        <v>42.42</v>
      </c>
      <c r="BS342" s="1107">
        <f t="shared" si="945"/>
        <v>9.43</v>
      </c>
      <c r="BT342" s="1107">
        <f t="shared" si="961"/>
        <v>8.16</v>
      </c>
      <c r="BU342" s="1107">
        <v>0</v>
      </c>
      <c r="BV342" s="1108">
        <f t="shared" si="950"/>
        <v>60.01</v>
      </c>
      <c r="BW342" s="1112">
        <f t="shared" si="951"/>
        <v>85.3</v>
      </c>
      <c r="BX342" s="1112">
        <f t="shared" si="948"/>
        <v>765.92</v>
      </c>
      <c r="BY342" s="1108">
        <v>0</v>
      </c>
      <c r="BZ342" s="1108">
        <f t="shared" si="922"/>
        <v>765.92</v>
      </c>
      <c r="CA342" s="1321">
        <f>'CONCEPTOS Y PARAMETROS'!$A$102</f>
        <v>6255</v>
      </c>
      <c r="CB342" s="1112">
        <f t="shared" si="923"/>
        <v>131.82000000000002</v>
      </c>
      <c r="CC342" s="1113">
        <f t="shared" si="924"/>
        <v>561.38</v>
      </c>
      <c r="CD342" s="512"/>
      <c r="CE342" s="512"/>
      <c r="CF342" s="470">
        <f t="shared" si="962"/>
        <v>777.11</v>
      </c>
      <c r="CG342" s="495">
        <f t="shared" si="963"/>
        <v>131.82000000000002</v>
      </c>
      <c r="CH342" s="498">
        <f t="shared" si="927"/>
        <v>0</v>
      </c>
      <c r="CI342" s="1490">
        <f t="shared" si="964"/>
        <v>310</v>
      </c>
      <c r="CJ342" s="1500">
        <v>1</v>
      </c>
      <c r="CK342" s="495">
        <f t="shared" si="965"/>
        <v>467.11</v>
      </c>
      <c r="CL342" s="1689">
        <f t="shared" si="930"/>
        <v>467.11</v>
      </c>
      <c r="CM342" s="1689">
        <f t="shared" si="940"/>
        <v>0</v>
      </c>
      <c r="CN342" s="496">
        <f t="shared" si="966"/>
        <v>0</v>
      </c>
      <c r="CO342" s="497">
        <v>0</v>
      </c>
      <c r="CP342" s="496">
        <f t="shared" si="967"/>
        <v>94.27</v>
      </c>
      <c r="CQ342" s="496">
        <f t="shared" si="968"/>
        <v>0</v>
      </c>
      <c r="CR342" s="496">
        <f t="shared" si="969"/>
        <v>1028.49</v>
      </c>
      <c r="CS342" s="496">
        <f t="shared" si="970"/>
        <v>85.3</v>
      </c>
      <c r="CT342" s="496">
        <f t="shared" si="971"/>
        <v>6255</v>
      </c>
      <c r="CU342" s="470"/>
      <c r="CV342" s="470"/>
      <c r="CW342" s="470"/>
      <c r="CX342" s="470"/>
      <c r="CY342" s="1275" t="s">
        <v>6880</v>
      </c>
      <c r="CZ342" s="1275" t="s">
        <v>7072</v>
      </c>
      <c r="DA342" s="480"/>
      <c r="DB342" s="1642" t="s">
        <v>6445</v>
      </c>
      <c r="DC342" s="1642"/>
      <c r="DD342" s="1642" t="s">
        <v>6156</v>
      </c>
      <c r="DE342" s="1642" t="s">
        <v>6351</v>
      </c>
      <c r="DF342" s="1642" t="s">
        <v>6551</v>
      </c>
      <c r="DG342" s="1152"/>
      <c r="DH342" s="470"/>
      <c r="DI342" s="470"/>
      <c r="DJ342" s="470"/>
      <c r="DK342" s="470"/>
      <c r="DL342" s="470"/>
      <c r="DN342" s="471" t="str">
        <f>VLOOKUP(X342,Hoja1!$A$4:$B$10,2,0)</f>
        <v>BACHILLER</v>
      </c>
      <c r="DO342" s="471" t="str">
        <f>VLOOKUP(S342,Hoja1!$D$4:$F$77,3,0)</f>
        <v>GRADO (3) - MÁX</v>
      </c>
      <c r="DP342" s="1156" t="str">
        <f t="shared" si="972"/>
        <v>SI</v>
      </c>
      <c r="DQ342" s="1484">
        <f>IF(T342&lt;&gt;"0",(ROUND(IF(A342="EMPLEADO",eval_formula('CONCEPTOS Y PARAMETROS'!$C$8,NOMINA!V342,AU342+BF342,NOMINA!I342+NOMINA!J342),eval_formula('CONCEPTOS Y PARAMETROS'!$D$8,NOMINA!V342,AU342+BF342,NOMINA!I342+NOMINA!J342)),2))*IF(H342&lt;&gt;"",IF(MONTH(H342)=$BR$8,IF(YEAR(H342)&lt;$BT$7,1,0),0)))</f>
        <v>0</v>
      </c>
      <c r="DR342" s="1801" t="str">
        <f t="shared" si="973"/>
        <v>M</v>
      </c>
      <c r="DS342" s="1801"/>
    </row>
    <row r="343" spans="1:123" s="471" customFormat="1" ht="21.95" customHeight="1" x14ac:dyDescent="0.25">
      <c r="A343" s="508" t="s">
        <v>2834</v>
      </c>
      <c r="B343" s="1314">
        <f t="shared" ca="1" si="941"/>
        <v>39</v>
      </c>
      <c r="C343" s="990">
        <v>12044754</v>
      </c>
      <c r="D343" s="1275" t="s">
        <v>4998</v>
      </c>
      <c r="E343" s="1135" t="s">
        <v>4622</v>
      </c>
      <c r="F343" s="1118">
        <v>27498</v>
      </c>
      <c r="G343" s="1135" t="s">
        <v>4621</v>
      </c>
      <c r="H343" s="1118">
        <v>43481</v>
      </c>
      <c r="I343" s="1140">
        <f t="shared" si="952"/>
        <v>6</v>
      </c>
      <c r="J343" s="1132">
        <v>0</v>
      </c>
      <c r="K343" s="1140">
        <f t="shared" si="953"/>
        <v>6</v>
      </c>
      <c r="L343" s="1145" t="s">
        <v>5544</v>
      </c>
      <c r="M343" s="1132"/>
      <c r="N343" s="1132"/>
      <c r="O343" s="1002" t="s">
        <v>5084</v>
      </c>
      <c r="P343" s="1132" t="s">
        <v>5139</v>
      </c>
      <c r="Q343" s="1315">
        <v>7152</v>
      </c>
      <c r="R343" s="1394" t="s">
        <v>5084</v>
      </c>
      <c r="S343" s="1393">
        <v>3</v>
      </c>
      <c r="T343" s="1107">
        <f>IFERROR(VLOOKUP(S343,'TAB OBR'!A:B,2,0),0)</f>
        <v>152</v>
      </c>
      <c r="U343" s="1108">
        <v>0</v>
      </c>
      <c r="V343" s="1107">
        <f t="shared" si="954"/>
        <v>152</v>
      </c>
      <c r="W343" s="1108">
        <f t="shared" si="898"/>
        <v>76</v>
      </c>
      <c r="X343" s="1135" t="s">
        <v>2884</v>
      </c>
      <c r="Y343" s="1135" t="s">
        <v>2884</v>
      </c>
      <c r="Z343" s="1135">
        <v>0</v>
      </c>
      <c r="AA343" s="1107">
        <f>ROUND(IF(H343&lt;&gt;"",VLOOKUP(SUM(I343+J343),'CONCEPTOS Y PARAMETROS'!F:G,2,0)*V343,0),2)</f>
        <v>9.42</v>
      </c>
      <c r="AB343" s="1107">
        <f>IF(S343&lt;&gt;"",IF(M343="",'CONCEPTOS Y PARAMETROS'!$C$4,0),0)</f>
        <v>130</v>
      </c>
      <c r="AC343" s="1107">
        <f>IF(S343&lt;&gt;"",IF(M343="",'CONCEPTOS Y PARAMETROS'!$C$7*Z343,0),0)</f>
        <v>0</v>
      </c>
      <c r="AD343" s="1107">
        <f>IFERROR(ROUND(VLOOKUP($X343,'CONCEPTOS Y PARAMETROS'!H:I,2,0)*($V343+AA343+AB343+AC343),2),0)</f>
        <v>0</v>
      </c>
      <c r="AE343" s="1107">
        <f t="shared" si="955"/>
        <v>139.41999999999999</v>
      </c>
      <c r="AF343" s="1107">
        <f t="shared" si="900"/>
        <v>4.71</v>
      </c>
      <c r="AG343" s="1107">
        <f t="shared" si="901"/>
        <v>4.71</v>
      </c>
      <c r="AH343" s="1107">
        <f t="shared" si="902"/>
        <v>65</v>
      </c>
      <c r="AI343" s="1107">
        <f t="shared" si="903"/>
        <v>65</v>
      </c>
      <c r="AJ343" s="1107">
        <f t="shared" si="904"/>
        <v>0</v>
      </c>
      <c r="AK343" s="1107">
        <f t="shared" si="905"/>
        <v>0</v>
      </c>
      <c r="AL343" s="1108">
        <f t="shared" si="906"/>
        <v>69.709999999999994</v>
      </c>
      <c r="AM343" s="1108">
        <f t="shared" si="907"/>
        <v>69.709999999999994</v>
      </c>
      <c r="AN343" s="990">
        <v>0</v>
      </c>
      <c r="AO343" s="1147">
        <f>'CONCEPTOS Y PARAMETROS'!$C$18*AN343</f>
        <v>0</v>
      </c>
      <c r="AP343" s="990">
        <v>0</v>
      </c>
      <c r="AQ343" s="1147">
        <f>'CONCEPTOS Y PARAMETROS'!$C$21*AP343</f>
        <v>0</v>
      </c>
      <c r="AR343" s="1318">
        <v>0</v>
      </c>
      <c r="AS343" s="1318">
        <v>0</v>
      </c>
      <c r="AT343" s="1318">
        <f t="shared" si="949"/>
        <v>0</v>
      </c>
      <c r="AU343" s="1108">
        <f t="shared" si="956"/>
        <v>291.41999999999996</v>
      </c>
      <c r="AV343" s="1133">
        <v>0</v>
      </c>
      <c r="AW343" s="1108">
        <f t="shared" si="957"/>
        <v>0</v>
      </c>
      <c r="AX343" s="1107">
        <f>IF(T343&lt;&gt;"0",(ROUND(IF(A343="EMPLEADO",eval_formula('CONCEPTOS Y PARAMETROS'!$C$8,NOMINA!V343,NOMINA!$AU343,NOMINA!I343+NOMINA!J343),eval_formula('CONCEPTOS Y PARAMETROS'!$D$8,NOMINA!V343,NOMINA!$AU343,NOMINA!I343+NOMINA!J343)),2))*IF(H343&lt;&gt;"",IF(MONTH(H343)=$BR$8,IF(YEAR(H343)&lt;$BT$7,1,0),0)))</f>
        <v>0</v>
      </c>
      <c r="AY343" s="1108">
        <v>180</v>
      </c>
      <c r="AZ343" s="1107">
        <f>IFERROR(VLOOKUP(AY343,'CONCEPTOS Y PARAMETROS'!Y:Z,2,0),0)</f>
        <v>150</v>
      </c>
      <c r="BA343" s="1107">
        <f t="shared" si="911"/>
        <v>2185.65</v>
      </c>
      <c r="BB343" s="1107">
        <f t="shared" si="912"/>
        <v>0</v>
      </c>
      <c r="BC343" s="990">
        <v>0</v>
      </c>
      <c r="BD343" s="1107" t="str">
        <f t="shared" si="958"/>
        <v>0</v>
      </c>
      <c r="BE343" s="990">
        <v>1</v>
      </c>
      <c r="BF343" s="1107">
        <f t="shared" si="959"/>
        <v>14.57</v>
      </c>
      <c r="BG343" s="1108">
        <v>310</v>
      </c>
      <c r="BH343" s="1108">
        <v>0</v>
      </c>
      <c r="BI343" s="1132">
        <v>0</v>
      </c>
      <c r="BJ343" s="1108">
        <f t="shared" si="915"/>
        <v>0</v>
      </c>
      <c r="BK343" s="1108">
        <v>0</v>
      </c>
      <c r="BL343" s="1107">
        <f t="shared" si="942"/>
        <v>13.45</v>
      </c>
      <c r="BM343" s="1107">
        <f t="shared" si="943"/>
        <v>1.68</v>
      </c>
      <c r="BN343" s="1107">
        <f t="shared" si="960"/>
        <v>2.91</v>
      </c>
      <c r="BO343" s="1107">
        <v>0</v>
      </c>
      <c r="BP343" s="1107">
        <v>0</v>
      </c>
      <c r="BQ343" s="1320">
        <f t="shared" si="917"/>
        <v>18.04</v>
      </c>
      <c r="BR343" s="1107">
        <f t="shared" si="944"/>
        <v>30.26</v>
      </c>
      <c r="BS343" s="1107">
        <f t="shared" si="945"/>
        <v>6.73</v>
      </c>
      <c r="BT343" s="1107">
        <f t="shared" si="961"/>
        <v>5.82</v>
      </c>
      <c r="BU343" s="1107">
        <v>0</v>
      </c>
      <c r="BV343" s="1108">
        <f t="shared" si="950"/>
        <v>42.81</v>
      </c>
      <c r="BW343" s="1112">
        <f t="shared" si="951"/>
        <v>60.85</v>
      </c>
      <c r="BX343" s="1112">
        <f t="shared" si="948"/>
        <v>546.41</v>
      </c>
      <c r="BY343" s="1108">
        <v>0</v>
      </c>
      <c r="BZ343" s="1108">
        <f t="shared" si="922"/>
        <v>546.41</v>
      </c>
      <c r="CA343" s="1321">
        <f>'CONCEPTOS Y PARAMETROS'!$A$102</f>
        <v>6255</v>
      </c>
      <c r="CB343" s="1112">
        <f t="shared" si="923"/>
        <v>127.66999999999999</v>
      </c>
      <c r="CC343" s="1113">
        <f t="shared" si="924"/>
        <v>470.28</v>
      </c>
      <c r="CD343" s="512"/>
      <c r="CE343" s="512"/>
      <c r="CF343" s="470">
        <f t="shared" si="962"/>
        <v>765.71</v>
      </c>
      <c r="CG343" s="495">
        <f t="shared" si="963"/>
        <v>127.66999999999999</v>
      </c>
      <c r="CH343" s="498">
        <f t="shared" si="927"/>
        <v>0</v>
      </c>
      <c r="CI343" s="1490">
        <f t="shared" si="964"/>
        <v>310</v>
      </c>
      <c r="CJ343" s="1500">
        <v>1</v>
      </c>
      <c r="CK343" s="495">
        <f t="shared" si="965"/>
        <v>455.71</v>
      </c>
      <c r="CL343" s="1689">
        <f t="shared" si="930"/>
        <v>455.71</v>
      </c>
      <c r="CM343" s="1689">
        <f t="shared" si="940"/>
        <v>0</v>
      </c>
      <c r="CN343" s="496">
        <f t="shared" si="966"/>
        <v>14.57</v>
      </c>
      <c r="CO343" s="497">
        <v>0</v>
      </c>
      <c r="CP343" s="496">
        <f t="shared" si="967"/>
        <v>0</v>
      </c>
      <c r="CQ343" s="496">
        <f t="shared" si="968"/>
        <v>0</v>
      </c>
      <c r="CR343" s="496">
        <f t="shared" si="969"/>
        <v>925.99</v>
      </c>
      <c r="CS343" s="496">
        <f t="shared" si="970"/>
        <v>60.85</v>
      </c>
      <c r="CT343" s="496">
        <f t="shared" si="971"/>
        <v>6255</v>
      </c>
      <c r="CU343" s="470"/>
      <c r="CV343" s="470"/>
      <c r="CW343" s="470"/>
      <c r="CX343" s="470"/>
      <c r="CY343" s="1275" t="s">
        <v>6829</v>
      </c>
      <c r="CZ343" s="1275" t="s">
        <v>7169</v>
      </c>
      <c r="DA343" s="480"/>
      <c r="DB343" s="1645" t="s">
        <v>6590</v>
      </c>
      <c r="DC343" s="1645"/>
      <c r="DD343" s="1645" t="s">
        <v>6135</v>
      </c>
      <c r="DE343" s="1645" t="s">
        <v>6162</v>
      </c>
      <c r="DF343" s="1642" t="s">
        <v>6228</v>
      </c>
      <c r="DG343" s="1152"/>
      <c r="DI343" s="470"/>
      <c r="DJ343" s="470"/>
      <c r="DK343" s="470"/>
      <c r="DL343" s="470"/>
      <c r="DN343" s="471" t="str">
        <f>VLOOKUP(X343,Hoja1!$A$4:$B$10,2,0)</f>
        <v>BACHILLER</v>
      </c>
      <c r="DO343" s="471" t="str">
        <f>VLOOKUP(S343,Hoja1!$D$4:$F$77,3,0)</f>
        <v>GRADO (3) - MÁX</v>
      </c>
      <c r="DP343" s="1156" t="str">
        <f t="shared" si="972"/>
        <v>0</v>
      </c>
      <c r="DQ343" s="1484">
        <f>IF(T343&lt;&gt;"0",(ROUND(IF(A343="EMPLEADO",eval_formula('CONCEPTOS Y PARAMETROS'!$C$8,NOMINA!V343,AU343+BF343,NOMINA!I343+NOMINA!J343),eval_formula('CONCEPTOS Y PARAMETROS'!$D$8,NOMINA!V343,AU343+BF343,NOMINA!I343+NOMINA!J343)),2))*IF(H343&lt;&gt;"",IF(MONTH(H343)=$BR$8,IF(YEAR(H343)&lt;$BT$7,1,0),0)))</f>
        <v>0</v>
      </c>
      <c r="DR343" s="1801" t="str">
        <f t="shared" si="973"/>
        <v>M</v>
      </c>
      <c r="DS343" s="1801"/>
    </row>
    <row r="344" spans="1:123" s="471" customFormat="1" ht="21.95" customHeight="1" x14ac:dyDescent="0.25">
      <c r="A344" s="508" t="s">
        <v>2834</v>
      </c>
      <c r="B344" s="1314">
        <f t="shared" ca="1" si="941"/>
        <v>40</v>
      </c>
      <c r="C344" s="990">
        <v>12046834</v>
      </c>
      <c r="D344" s="1275" t="s">
        <v>4999</v>
      </c>
      <c r="E344" s="1135" t="s">
        <v>4622</v>
      </c>
      <c r="F344" s="1118">
        <v>27316</v>
      </c>
      <c r="G344" s="1135" t="s">
        <v>4621</v>
      </c>
      <c r="H344" s="1118">
        <v>43313</v>
      </c>
      <c r="I344" s="1140">
        <f t="shared" si="952"/>
        <v>7</v>
      </c>
      <c r="J344" s="1132">
        <v>0</v>
      </c>
      <c r="K344" s="1140">
        <f t="shared" si="953"/>
        <v>7</v>
      </c>
      <c r="L344" s="1145" t="s">
        <v>5543</v>
      </c>
      <c r="M344" s="1132"/>
      <c r="N344" s="1132"/>
      <c r="O344" s="1002" t="s">
        <v>5091</v>
      </c>
      <c r="P344" s="1132" t="s">
        <v>5140</v>
      </c>
      <c r="Q344" s="1315">
        <v>2202</v>
      </c>
      <c r="R344" s="1394" t="s">
        <v>5091</v>
      </c>
      <c r="S344" s="1393">
        <v>5</v>
      </c>
      <c r="T344" s="1107">
        <f>IFERROR(VLOOKUP(S344,'TAB OBR'!A:B,2,0),0)</f>
        <v>171</v>
      </c>
      <c r="U344" s="1108">
        <v>0</v>
      </c>
      <c r="V344" s="1107">
        <f t="shared" si="954"/>
        <v>171</v>
      </c>
      <c r="W344" s="1108">
        <f t="shared" si="898"/>
        <v>85.5</v>
      </c>
      <c r="X344" s="1135" t="s">
        <v>2884</v>
      </c>
      <c r="Y344" s="1135" t="s">
        <v>2884</v>
      </c>
      <c r="Z344" s="1135">
        <v>1</v>
      </c>
      <c r="AA344" s="1107">
        <f>ROUND(IF(H344&lt;&gt;"",VLOOKUP(SUM(I344+J344),'CONCEPTOS Y PARAMETROS'!F:G,2,0)*V344,0),2)</f>
        <v>12.65</v>
      </c>
      <c r="AB344" s="1107">
        <f>IF(S344&lt;&gt;"",IF(M344="",'CONCEPTOS Y PARAMETROS'!$C$4,0),0)</f>
        <v>130</v>
      </c>
      <c r="AC344" s="1107">
        <f>IF(S344&lt;&gt;"",IF(M344="",'CONCEPTOS Y PARAMETROS'!$C$7*Z344,0),0)</f>
        <v>12.5</v>
      </c>
      <c r="AD344" s="1107">
        <f>IFERROR(ROUND(VLOOKUP($X344,'CONCEPTOS Y PARAMETROS'!H:I,2,0)*($V344+AA344+AB344+AC344),2),0)</f>
        <v>0</v>
      </c>
      <c r="AE344" s="1107">
        <f t="shared" si="955"/>
        <v>155.15</v>
      </c>
      <c r="AF344" s="1107">
        <f t="shared" si="900"/>
        <v>6.33</v>
      </c>
      <c r="AG344" s="1107">
        <f t="shared" si="901"/>
        <v>6.32</v>
      </c>
      <c r="AH344" s="1107">
        <f t="shared" si="902"/>
        <v>65</v>
      </c>
      <c r="AI344" s="1107">
        <f t="shared" si="903"/>
        <v>65</v>
      </c>
      <c r="AJ344" s="1107">
        <f t="shared" si="904"/>
        <v>0</v>
      </c>
      <c r="AK344" s="1107">
        <f t="shared" si="905"/>
        <v>0</v>
      </c>
      <c r="AL344" s="1108">
        <f t="shared" si="906"/>
        <v>83.83</v>
      </c>
      <c r="AM344" s="1108">
        <f t="shared" si="907"/>
        <v>71.319999999999993</v>
      </c>
      <c r="AN344" s="1453">
        <v>1</v>
      </c>
      <c r="AO344" s="1147">
        <f>'CONCEPTOS Y PARAMETROS'!$C$18*AN344</f>
        <v>12.5</v>
      </c>
      <c r="AP344" s="990">
        <v>0</v>
      </c>
      <c r="AQ344" s="1147">
        <f>'CONCEPTOS Y PARAMETROS'!$C$21*AP344</f>
        <v>0</v>
      </c>
      <c r="AR344" s="1318">
        <v>0</v>
      </c>
      <c r="AS344" s="1318">
        <v>0</v>
      </c>
      <c r="AT344" s="1318">
        <f t="shared" si="949"/>
        <v>12.5</v>
      </c>
      <c r="AU344" s="1108">
        <f t="shared" si="956"/>
        <v>326.14999999999998</v>
      </c>
      <c r="AV344" s="1133">
        <v>0</v>
      </c>
      <c r="AW344" s="1108">
        <f t="shared" si="957"/>
        <v>0</v>
      </c>
      <c r="AX344" s="1107">
        <f>IF(T344&lt;&gt;"0",(ROUND(IF(A344="EMPLEADO",eval_formula('CONCEPTOS Y PARAMETROS'!$C$8,NOMINA!V344,NOMINA!$AU344,NOMINA!I344+NOMINA!J344),eval_formula('CONCEPTOS Y PARAMETROS'!$D$8,NOMINA!V344,NOMINA!$AU344,NOMINA!I344+NOMINA!J344)),2))*IF(H344&lt;&gt;"",IF(MONTH(H344)=$BR$8,IF(YEAR(H344)&lt;$BT$7,1,0),0)))</f>
        <v>0</v>
      </c>
      <c r="AY344" s="1108">
        <v>180</v>
      </c>
      <c r="AZ344" s="1107">
        <f>IFERROR(VLOOKUP(AY344,'CONCEPTOS Y PARAMETROS'!Y:Z,2,0),0)</f>
        <v>150</v>
      </c>
      <c r="BA344" s="1107">
        <f t="shared" si="911"/>
        <v>2446.13</v>
      </c>
      <c r="BB344" s="1107">
        <f t="shared" si="912"/>
        <v>0</v>
      </c>
      <c r="BC344" s="990">
        <v>0</v>
      </c>
      <c r="BD344" s="1107" t="str">
        <f t="shared" si="958"/>
        <v>0</v>
      </c>
      <c r="BE344" s="990">
        <v>2</v>
      </c>
      <c r="BF344" s="1107">
        <f t="shared" si="959"/>
        <v>32.619999999999997</v>
      </c>
      <c r="BG344" s="1108">
        <v>310</v>
      </c>
      <c r="BH344" s="1108">
        <v>0</v>
      </c>
      <c r="BI344" s="1132">
        <v>0</v>
      </c>
      <c r="BJ344" s="1108">
        <f t="shared" si="915"/>
        <v>0</v>
      </c>
      <c r="BK344" s="1108">
        <v>0</v>
      </c>
      <c r="BL344" s="1107">
        <f t="shared" si="942"/>
        <v>15.05</v>
      </c>
      <c r="BM344" s="1107">
        <f t="shared" si="943"/>
        <v>1.88</v>
      </c>
      <c r="BN344" s="1107">
        <f t="shared" si="960"/>
        <v>3.26</v>
      </c>
      <c r="BO344" s="1107">
        <v>0</v>
      </c>
      <c r="BP344" s="1107">
        <v>0</v>
      </c>
      <c r="BQ344" s="1320">
        <f t="shared" si="917"/>
        <v>20.190000000000001</v>
      </c>
      <c r="BR344" s="1107">
        <f t="shared" si="944"/>
        <v>33.869999999999997</v>
      </c>
      <c r="BS344" s="1107">
        <f t="shared" si="945"/>
        <v>7.53</v>
      </c>
      <c r="BT344" s="1107">
        <f t="shared" si="961"/>
        <v>6.52</v>
      </c>
      <c r="BU344" s="1107">
        <v>0</v>
      </c>
      <c r="BV344" s="1108">
        <f t="shared" si="950"/>
        <v>47.92</v>
      </c>
      <c r="BW344" s="1112">
        <f t="shared" si="951"/>
        <v>68.11</v>
      </c>
      <c r="BX344" s="1112">
        <f t="shared" si="948"/>
        <v>611.53</v>
      </c>
      <c r="BY344" s="1108">
        <v>0</v>
      </c>
      <c r="BZ344" s="1108">
        <f t="shared" si="922"/>
        <v>611.53</v>
      </c>
      <c r="CA344" s="1321">
        <f>'CONCEPTOS Y PARAMETROS'!$A$102</f>
        <v>6255</v>
      </c>
      <c r="CB344" s="1112">
        <f t="shared" si="923"/>
        <v>149.13999999999999</v>
      </c>
      <c r="CC344" s="1113">
        <f t="shared" si="924"/>
        <v>511.94</v>
      </c>
      <c r="CD344" s="512"/>
      <c r="CE344" s="512"/>
      <c r="CF344" s="470">
        <f t="shared" si="962"/>
        <v>776.81999999999994</v>
      </c>
      <c r="CG344" s="495">
        <f t="shared" si="963"/>
        <v>149.13999999999999</v>
      </c>
      <c r="CH344" s="498">
        <f t="shared" si="927"/>
        <v>12.5</v>
      </c>
      <c r="CI344" s="1490">
        <f t="shared" si="964"/>
        <v>310</v>
      </c>
      <c r="CJ344" s="1500">
        <v>1</v>
      </c>
      <c r="CK344" s="495">
        <f t="shared" si="965"/>
        <v>466.82</v>
      </c>
      <c r="CL344" s="1689">
        <f t="shared" si="930"/>
        <v>466.82</v>
      </c>
      <c r="CM344" s="1689">
        <f t="shared" si="940"/>
        <v>0</v>
      </c>
      <c r="CN344" s="496">
        <f t="shared" si="966"/>
        <v>32.619999999999997</v>
      </c>
      <c r="CO344" s="497">
        <v>0</v>
      </c>
      <c r="CP344" s="496">
        <f t="shared" si="967"/>
        <v>0</v>
      </c>
      <c r="CQ344" s="496">
        <f t="shared" si="968"/>
        <v>0</v>
      </c>
      <c r="CR344" s="496">
        <f t="shared" si="969"/>
        <v>966.26</v>
      </c>
      <c r="CS344" s="496">
        <f t="shared" si="970"/>
        <v>68.11</v>
      </c>
      <c r="CT344" s="496">
        <f t="shared" si="971"/>
        <v>6255</v>
      </c>
      <c r="CU344" s="470"/>
      <c r="CV344" s="470"/>
      <c r="CW344" s="470"/>
      <c r="CX344" s="470"/>
      <c r="CY344" s="1275" t="s">
        <v>6801</v>
      </c>
      <c r="CZ344" s="1275" t="s">
        <v>7170</v>
      </c>
      <c r="DA344" s="480"/>
      <c r="DB344" s="1642" t="s">
        <v>6446</v>
      </c>
      <c r="DC344" s="1642"/>
      <c r="DD344" s="1642" t="s">
        <v>6150</v>
      </c>
      <c r="DE344" s="1642" t="s">
        <v>6132</v>
      </c>
      <c r="DF344" s="1642" t="s">
        <v>6307</v>
      </c>
      <c r="DG344" s="1642"/>
      <c r="DH344" s="470"/>
      <c r="DI344" s="470"/>
      <c r="DJ344" s="470"/>
      <c r="DK344" s="470"/>
      <c r="DL344" s="470"/>
      <c r="DN344" s="471" t="str">
        <f>VLOOKUP(X344,Hoja1!$A$4:$B$10,2,0)</f>
        <v>BACHILLER</v>
      </c>
      <c r="DO344" s="471" t="str">
        <f>VLOOKUP(S344,Hoja1!$D$4:$F$77,3,0)</f>
        <v>GRADO (5) - MÁX</v>
      </c>
      <c r="DP344" s="1156" t="str">
        <f t="shared" si="972"/>
        <v>0</v>
      </c>
      <c r="DQ344" s="1484">
        <f>IF(T344&lt;&gt;"0",(ROUND(IF(A344="EMPLEADO",eval_formula('CONCEPTOS Y PARAMETROS'!$C$8,NOMINA!V344,AU344+BF344,NOMINA!I344+NOMINA!J344),eval_formula('CONCEPTOS Y PARAMETROS'!$D$8,NOMINA!V344,AU344+BF344,NOMINA!I344+NOMINA!J344)),2))*IF(H344&lt;&gt;"",IF(MONTH(H344)=$BR$8,IF(YEAR(H344)&lt;$BT$7,1,0),0)))</f>
        <v>0</v>
      </c>
      <c r="DR344" s="1801" t="str">
        <f t="shared" si="973"/>
        <v>M</v>
      </c>
      <c r="DS344" s="1801"/>
    </row>
    <row r="345" spans="1:123" s="471" customFormat="1" ht="18.75" customHeight="1" x14ac:dyDescent="0.25">
      <c r="A345" s="508" t="s">
        <v>2834</v>
      </c>
      <c r="B345" s="1314">
        <f t="shared" ca="1" si="941"/>
        <v>41</v>
      </c>
      <c r="C345" s="990">
        <v>12047016</v>
      </c>
      <c r="D345" s="1275" t="s">
        <v>5000</v>
      </c>
      <c r="E345" s="1135" t="s">
        <v>4622</v>
      </c>
      <c r="F345" s="1118">
        <v>26935</v>
      </c>
      <c r="G345" s="1135" t="s">
        <v>4620</v>
      </c>
      <c r="H345" s="1118">
        <v>42948</v>
      </c>
      <c r="I345" s="1140">
        <f t="shared" si="952"/>
        <v>8</v>
      </c>
      <c r="J345" s="1132">
        <v>0</v>
      </c>
      <c r="K345" s="1140">
        <f t="shared" si="953"/>
        <v>8</v>
      </c>
      <c r="L345" s="1145" t="s">
        <v>5543</v>
      </c>
      <c r="M345" s="1132"/>
      <c r="N345" s="1653" t="s">
        <v>7562</v>
      </c>
      <c r="O345" s="1002" t="s">
        <v>5085</v>
      </c>
      <c r="P345" s="1132" t="s">
        <v>5141</v>
      </c>
      <c r="Q345" s="1315">
        <v>2202</v>
      </c>
      <c r="R345" s="1394" t="s">
        <v>5085</v>
      </c>
      <c r="S345" s="1393">
        <v>5</v>
      </c>
      <c r="T345" s="1107">
        <f>IFERROR(VLOOKUP(S345,'TAB OBR'!A:B,2,0),0)</f>
        <v>171</v>
      </c>
      <c r="U345" s="1108">
        <v>0</v>
      </c>
      <c r="V345" s="1107">
        <f t="shared" si="954"/>
        <v>171</v>
      </c>
      <c r="W345" s="1108">
        <f t="shared" si="898"/>
        <v>85.5</v>
      </c>
      <c r="X345" s="1135" t="s">
        <v>2884</v>
      </c>
      <c r="Y345" s="1135" t="s">
        <v>2884</v>
      </c>
      <c r="Z345" s="1135">
        <v>1</v>
      </c>
      <c r="AA345" s="1107">
        <f>ROUND(IF(H345&lt;&gt;"",VLOOKUP(SUM(I345+J345),'CONCEPTOS Y PARAMETROS'!F:G,2,0)*V345,0),2)</f>
        <v>14.71</v>
      </c>
      <c r="AB345" s="1107">
        <f>IF(S345&lt;&gt;"",IF(M345="",'CONCEPTOS Y PARAMETROS'!$C$4,0),0)</f>
        <v>130</v>
      </c>
      <c r="AC345" s="1107">
        <f>IF(S345&lt;&gt;"",IF(M345="",'CONCEPTOS Y PARAMETROS'!$C$7*Z345,0),0)</f>
        <v>12.5</v>
      </c>
      <c r="AD345" s="1107">
        <f>IFERROR(ROUND(VLOOKUP($X345,'CONCEPTOS Y PARAMETROS'!H:I,2,0)*($V345+AA345+AB345+AC345),2),0)</f>
        <v>0</v>
      </c>
      <c r="AE345" s="1107">
        <f t="shared" si="955"/>
        <v>157.21</v>
      </c>
      <c r="AF345" s="1107">
        <f t="shared" si="900"/>
        <v>7.36</v>
      </c>
      <c r="AG345" s="1107">
        <f t="shared" si="901"/>
        <v>7.35</v>
      </c>
      <c r="AH345" s="1107">
        <f t="shared" si="902"/>
        <v>65</v>
      </c>
      <c r="AI345" s="1107">
        <f t="shared" si="903"/>
        <v>65</v>
      </c>
      <c r="AJ345" s="1107">
        <f t="shared" si="904"/>
        <v>0</v>
      </c>
      <c r="AK345" s="1107">
        <f t="shared" si="905"/>
        <v>0</v>
      </c>
      <c r="AL345" s="1108">
        <f t="shared" si="906"/>
        <v>84.86</v>
      </c>
      <c r="AM345" s="1108">
        <f t="shared" si="907"/>
        <v>72.349999999999994</v>
      </c>
      <c r="AN345" s="990">
        <v>0</v>
      </c>
      <c r="AO345" s="1147">
        <f>'CONCEPTOS Y PARAMETROS'!$C$18*AN345</f>
        <v>0</v>
      </c>
      <c r="AP345" s="990">
        <v>0</v>
      </c>
      <c r="AQ345" s="1147">
        <f>'CONCEPTOS Y PARAMETROS'!$C$21*AP345</f>
        <v>0</v>
      </c>
      <c r="AR345" s="1318">
        <v>0</v>
      </c>
      <c r="AS345" s="1318">
        <v>0</v>
      </c>
      <c r="AT345" s="1318">
        <f t="shared" si="949"/>
        <v>0</v>
      </c>
      <c r="AU345" s="1108">
        <f t="shared" si="956"/>
        <v>328.21000000000004</v>
      </c>
      <c r="AV345" s="1133">
        <v>0</v>
      </c>
      <c r="AW345" s="1108">
        <f t="shared" si="957"/>
        <v>0</v>
      </c>
      <c r="AX345" s="1107">
        <f>IF(T345&lt;&gt;"0",(ROUND(IF(A345="EMPLEADO",eval_formula('CONCEPTOS Y PARAMETROS'!$C$8,NOMINA!V345,NOMINA!$AU345,NOMINA!I345+NOMINA!J345),eval_formula('CONCEPTOS Y PARAMETROS'!$D$8,NOMINA!V345,NOMINA!$AU345,NOMINA!I345+NOMINA!J345)),2))*IF(H345&lt;&gt;"",IF(MONTH(H345)=$BR$8,IF(YEAR(H345)&lt;$BT$7,1,0),0)))</f>
        <v>0</v>
      </c>
      <c r="AY345" s="1108">
        <v>180</v>
      </c>
      <c r="AZ345" s="1107">
        <f>IFERROR(VLOOKUP(AY345,'CONCEPTOS Y PARAMETROS'!Y:Z,2,0),0)</f>
        <v>150</v>
      </c>
      <c r="BA345" s="1107">
        <f t="shared" si="911"/>
        <v>2461.58</v>
      </c>
      <c r="BB345" s="1107">
        <f t="shared" si="912"/>
        <v>0</v>
      </c>
      <c r="BC345" s="990">
        <v>0</v>
      </c>
      <c r="BD345" s="1107" t="str">
        <f t="shared" si="958"/>
        <v>0</v>
      </c>
      <c r="BE345" s="990">
        <v>0</v>
      </c>
      <c r="BF345" s="1107">
        <f t="shared" si="959"/>
        <v>0</v>
      </c>
      <c r="BG345" s="1108">
        <v>310</v>
      </c>
      <c r="BH345" s="1108">
        <v>0</v>
      </c>
      <c r="BI345" s="1132">
        <v>0</v>
      </c>
      <c r="BJ345" s="1108">
        <f t="shared" si="915"/>
        <v>0</v>
      </c>
      <c r="BK345" s="1108">
        <v>0</v>
      </c>
      <c r="BL345" s="1107">
        <f t="shared" ref="BL345:BL376" si="974">ROUND(IF(M345="", (((AU345*12)/52)*4%)*$BS$8,0),2)</f>
        <v>15.15</v>
      </c>
      <c r="BM345" s="1107">
        <f t="shared" ref="BM345:BM376" si="975">ROUND(IF(M345="",(((AU345*12)/52)*0.5%)*$BS$8,0),2)</f>
        <v>1.89</v>
      </c>
      <c r="BN345" s="1107">
        <f t="shared" si="960"/>
        <v>3.28</v>
      </c>
      <c r="BO345" s="1107">
        <v>0</v>
      </c>
      <c r="BP345" s="1107">
        <v>0</v>
      </c>
      <c r="BQ345" s="1320">
        <f t="shared" si="917"/>
        <v>20.32</v>
      </c>
      <c r="BR345" s="1107">
        <f t="shared" ref="BR345:BR376" si="976">ROUND(IF(M345="", (((AU345*12)/52)*9%)*$BS$8,0),2)</f>
        <v>34.08</v>
      </c>
      <c r="BS345" s="1107">
        <f t="shared" ref="BS345:BS376" si="977">ROUND(IF(M345="",(((AU345*12)/52)*2%)*$BS$8,0),2)</f>
        <v>7.57</v>
      </c>
      <c r="BT345" s="1107">
        <f t="shared" si="961"/>
        <v>6.56</v>
      </c>
      <c r="BU345" s="1107">
        <v>0</v>
      </c>
      <c r="BV345" s="1108">
        <f t="shared" si="950"/>
        <v>48.21</v>
      </c>
      <c r="BW345" s="1112">
        <f t="shared" si="951"/>
        <v>68.53</v>
      </c>
      <c r="BX345" s="1112">
        <f t="shared" si="948"/>
        <v>615.4</v>
      </c>
      <c r="BY345" s="1108">
        <v>0</v>
      </c>
      <c r="BZ345" s="1108">
        <f t="shared" si="922"/>
        <v>615.4</v>
      </c>
      <c r="CA345" s="1321">
        <f>'CONCEPTOS Y PARAMETROS'!$A$102</f>
        <v>6255</v>
      </c>
      <c r="CB345" s="1112">
        <f t="shared" si="923"/>
        <v>150.04000000000002</v>
      </c>
      <c r="CC345" s="1113">
        <f t="shared" si="924"/>
        <v>467.85</v>
      </c>
      <c r="CD345" s="512"/>
      <c r="CE345" s="512"/>
      <c r="CF345" s="470">
        <f t="shared" si="962"/>
        <v>777.85</v>
      </c>
      <c r="CG345" s="495">
        <f t="shared" si="963"/>
        <v>150.04000000000002</v>
      </c>
      <c r="CH345" s="498">
        <f t="shared" si="927"/>
        <v>0</v>
      </c>
      <c r="CI345" s="1490">
        <f t="shared" si="964"/>
        <v>310</v>
      </c>
      <c r="CJ345" s="1500">
        <v>1</v>
      </c>
      <c r="CK345" s="495">
        <f t="shared" si="965"/>
        <v>467.85</v>
      </c>
      <c r="CL345" s="1689">
        <f t="shared" si="930"/>
        <v>467.85</v>
      </c>
      <c r="CM345" s="1689">
        <f t="shared" si="940"/>
        <v>0</v>
      </c>
      <c r="CN345" s="496">
        <f t="shared" si="966"/>
        <v>0</v>
      </c>
      <c r="CO345" s="497">
        <v>0</v>
      </c>
      <c r="CP345" s="496">
        <f t="shared" si="967"/>
        <v>0</v>
      </c>
      <c r="CQ345" s="496">
        <f t="shared" si="968"/>
        <v>0</v>
      </c>
      <c r="CR345" s="496">
        <f t="shared" si="969"/>
        <v>935.7</v>
      </c>
      <c r="CS345" s="496">
        <f t="shared" si="970"/>
        <v>68.53</v>
      </c>
      <c r="CT345" s="496">
        <f t="shared" si="971"/>
        <v>6255</v>
      </c>
      <c r="CU345" s="470"/>
      <c r="CV345" s="470"/>
      <c r="CW345" s="470"/>
      <c r="CX345" s="470"/>
      <c r="CY345" s="1275" t="s">
        <v>6928</v>
      </c>
      <c r="CZ345" s="1275" t="s">
        <v>6805</v>
      </c>
      <c r="DA345" s="480"/>
      <c r="DB345" s="1152" t="s">
        <v>6447</v>
      </c>
      <c r="DC345" s="1152" t="s">
        <v>7549</v>
      </c>
      <c r="DD345" s="1152" t="s">
        <v>6297</v>
      </c>
      <c r="DE345" s="1152" t="s">
        <v>6325</v>
      </c>
      <c r="DF345" s="1152" t="s">
        <v>6597</v>
      </c>
      <c r="DG345" s="1152"/>
      <c r="DH345" s="470"/>
      <c r="DI345" s="470"/>
      <c r="DJ345" s="470"/>
      <c r="DK345" s="470"/>
      <c r="DL345" s="470"/>
      <c r="DN345" s="471" t="str">
        <f>VLOOKUP(X345,Hoja1!$A$4:$B$10,2,0)</f>
        <v>BACHILLER</v>
      </c>
      <c r="DO345" s="471" t="str">
        <f>VLOOKUP(S345,Hoja1!$D$4:$F$77,3,0)</f>
        <v>GRADO (5) - MÁX</v>
      </c>
      <c r="DP345" s="1156" t="str">
        <f t="shared" si="972"/>
        <v>0</v>
      </c>
      <c r="DQ345" s="1484">
        <f>IF(T345&lt;&gt;"0",(ROUND(IF(A345="EMPLEADO",eval_formula('CONCEPTOS Y PARAMETROS'!$C$8,NOMINA!V345,AU345+BF345,NOMINA!I345+NOMINA!J345),eval_formula('CONCEPTOS Y PARAMETROS'!$D$8,NOMINA!V345,AU345+BF345,NOMINA!I345+NOMINA!J345)),2))*IF(H345&lt;&gt;"",IF(MONTH(H345)=$BR$8,IF(YEAR(H345)&lt;$BT$7,1,0),0)))</f>
        <v>0</v>
      </c>
      <c r="DR345" s="1801" t="str">
        <f t="shared" si="973"/>
        <v>F</v>
      </c>
      <c r="DS345" s="1801"/>
    </row>
    <row r="346" spans="1:123" s="476" customFormat="1" ht="17.25" customHeight="1" x14ac:dyDescent="0.25">
      <c r="A346" s="508" t="s">
        <v>2834</v>
      </c>
      <c r="B346" s="1314">
        <f t="shared" ca="1" si="941"/>
        <v>42</v>
      </c>
      <c r="C346" s="990">
        <v>12797215</v>
      </c>
      <c r="D346" s="1275" t="s">
        <v>7370</v>
      </c>
      <c r="E346" s="1135" t="s">
        <v>4622</v>
      </c>
      <c r="F346" s="1118">
        <v>27817</v>
      </c>
      <c r="G346" s="1135" t="s">
        <v>4621</v>
      </c>
      <c r="H346" s="1118">
        <v>45778</v>
      </c>
      <c r="I346" s="1140">
        <f t="shared" si="952"/>
        <v>0</v>
      </c>
      <c r="J346" s="1132">
        <v>0</v>
      </c>
      <c r="K346" s="1140">
        <f t="shared" ref="K346" si="978">I346+J346</f>
        <v>0</v>
      </c>
      <c r="L346" s="1145" t="s">
        <v>5549</v>
      </c>
      <c r="M346" s="1132"/>
      <c r="N346" s="1132"/>
      <c r="O346" s="1002" t="s">
        <v>5092</v>
      </c>
      <c r="P346" s="1151" t="s">
        <v>7552</v>
      </c>
      <c r="Q346" s="1315">
        <v>7102</v>
      </c>
      <c r="R346" s="1394" t="s">
        <v>5092</v>
      </c>
      <c r="S346" s="1393">
        <v>1</v>
      </c>
      <c r="T346" s="1107">
        <f>IFERROR(VLOOKUP(S346,'TAB OBR'!A:B,2,0),0)</f>
        <v>130</v>
      </c>
      <c r="U346" s="1108">
        <v>0</v>
      </c>
      <c r="V346" s="1107">
        <f t="shared" ref="V346" si="979">T346-U346</f>
        <v>130</v>
      </c>
      <c r="W346" s="1108">
        <f t="shared" ref="W346" si="980">ROUND(V346/2,2)</f>
        <v>65</v>
      </c>
      <c r="X346" s="1135" t="s">
        <v>2884</v>
      </c>
      <c r="Y346" s="1135" t="s">
        <v>2884</v>
      </c>
      <c r="Z346" s="1135">
        <v>0</v>
      </c>
      <c r="AA346" s="1107">
        <f>ROUND(IF(H346&lt;&gt;"",VLOOKUP(SUM(I346+J346),'CONCEPTOS Y PARAMETROS'!F:G,2,0)*V346,0),2)</f>
        <v>0</v>
      </c>
      <c r="AB346" s="1107">
        <f>IF(S346&lt;&gt;"",IF(M346="",'CONCEPTOS Y PARAMETROS'!$C$4,0),0)</f>
        <v>130</v>
      </c>
      <c r="AC346" s="1107">
        <f>IF(S346&lt;&gt;"",IF(M346="",'CONCEPTOS Y PARAMETROS'!$C$7*Z346,0),0)</f>
        <v>0</v>
      </c>
      <c r="AD346" s="1107">
        <f>IFERROR(ROUND(VLOOKUP($X346,'CONCEPTOS Y PARAMETROS'!H:I,2,0)*($V346+AA346+AB346+AC346),2),0)</f>
        <v>0</v>
      </c>
      <c r="AE346" s="1107">
        <f t="shared" ref="AE346" si="981">SUM(AA346:AD346)</f>
        <v>130</v>
      </c>
      <c r="AF346" s="1107">
        <f t="shared" ref="AF346" si="982">ROUND(AA346/2,2)</f>
        <v>0</v>
      </c>
      <c r="AG346" s="1107">
        <f t="shared" ref="AG346" si="983">ROUND(AA346-AF346,2)</f>
        <v>0</v>
      </c>
      <c r="AH346" s="1107">
        <f t="shared" ref="AH346" si="984">ROUND(AB346/2,2)</f>
        <v>65</v>
      </c>
      <c r="AI346" s="1107">
        <f t="shared" ref="AI346" si="985">ROUND(AB346-AH346,2)</f>
        <v>65</v>
      </c>
      <c r="AJ346" s="1107">
        <f t="shared" ref="AJ346" si="986">ROUND(AD346/2,2)</f>
        <v>0</v>
      </c>
      <c r="AK346" s="1107">
        <f t="shared" ref="AK346" si="987">ROUND(AD346-AJ346,2)</f>
        <v>0</v>
      </c>
      <c r="AL346" s="1108">
        <f t="shared" ref="AL346" si="988">ROUND(AF346+AH346+AJ346+AC346,2)</f>
        <v>65</v>
      </c>
      <c r="AM346" s="1108">
        <f t="shared" ref="AM346" si="989">ROUND(AG346+AI346+AK346,2)</f>
        <v>65</v>
      </c>
      <c r="AN346" s="990">
        <v>0</v>
      </c>
      <c r="AO346" s="1147">
        <f>'CONCEPTOS Y PARAMETROS'!$C$18*AN346</f>
        <v>0</v>
      </c>
      <c r="AP346" s="990">
        <v>0</v>
      </c>
      <c r="AQ346" s="1147">
        <f>'CONCEPTOS Y PARAMETROS'!$C$21*AP346</f>
        <v>0</v>
      </c>
      <c r="AR346" s="1318">
        <v>0</v>
      </c>
      <c r="AS346" s="1318">
        <v>0</v>
      </c>
      <c r="AT346" s="1318">
        <f t="shared" ref="AT346" si="990">+AO346+AQ346+AR346+AS346</f>
        <v>0</v>
      </c>
      <c r="AU346" s="1108">
        <f t="shared" ref="AU346" si="991">V346+AE346+AW346</f>
        <v>260</v>
      </c>
      <c r="AV346" s="1133">
        <v>0</v>
      </c>
      <c r="AW346" s="1108">
        <f t="shared" ref="AW346" si="992">ROUND(IF(AV346="NOCTURN",(V346+AE346)*30%,0),2)</f>
        <v>0</v>
      </c>
      <c r="AX346" s="1107">
        <f>IF(T346&lt;&gt;"0",(ROUND(IF(A346="EMPLEADO",eval_formula('CONCEPTOS Y PARAMETROS'!$C$8,NOMINA!V346,NOMINA!$AU346,NOMINA!I346+NOMINA!J346),eval_formula('CONCEPTOS Y PARAMETROS'!$D$8,NOMINA!V346,NOMINA!$AU346,NOMINA!I346+NOMINA!J346)),2))*IF(H346&lt;&gt;"",IF(MONTH(H346)=$BR$8,IF(YEAR(H346)&lt;$BT$7,1,0),0)))</f>
        <v>0</v>
      </c>
      <c r="AY346" s="1108">
        <v>180</v>
      </c>
      <c r="AZ346" s="1107">
        <f>IFERROR(VLOOKUP(AY346,'CONCEPTOS Y PARAMETROS'!Y:Z,2,0),0)</f>
        <v>150</v>
      </c>
      <c r="BA346" s="1107">
        <f t="shared" ref="BA346" si="993">ROUND((((AU346))/30*AY346/12+(AU346))/30*AZ346,2)</f>
        <v>1950</v>
      </c>
      <c r="BB346" s="1107">
        <f t="shared" ref="BB346" si="994">ROUND(AU346/30*$BB$10,2)</f>
        <v>0</v>
      </c>
      <c r="BC346" s="990">
        <v>0</v>
      </c>
      <c r="BD346" s="1107" t="str">
        <f t="shared" ref="BD346" si="995">IF(BC346&gt;0,((((((V346+AA346+AB346+AC346+AD346)/30)/8)*50%)+((((V346+AA346+AB346+AC346+AD346)/30)/8)))*30%+(((((V346+AA346+AB346+AC346+AD346)/30)/8)*50%)+((((V346+AA346+AB346+AC346+AD346)/30)/8))))*BC346,"0")</f>
        <v>0</v>
      </c>
      <c r="BE346" s="990">
        <v>2</v>
      </c>
      <c r="BF346" s="1107">
        <f t="shared" si="959"/>
        <v>26</v>
      </c>
      <c r="BG346" s="1108">
        <v>310</v>
      </c>
      <c r="BH346" s="1108">
        <v>0</v>
      </c>
      <c r="BI346" s="1132">
        <v>0</v>
      </c>
      <c r="BJ346" s="1108">
        <f t="shared" ref="BJ346" si="996">+IF(BI346&lt;&gt;0,(BI346*12.5),0)</f>
        <v>0</v>
      </c>
      <c r="BK346" s="1108">
        <v>0</v>
      </c>
      <c r="BL346" s="1107">
        <f t="shared" si="974"/>
        <v>12</v>
      </c>
      <c r="BM346" s="1107">
        <f t="shared" si="975"/>
        <v>1.5</v>
      </c>
      <c r="BN346" s="1107">
        <f t="shared" si="960"/>
        <v>2.6</v>
      </c>
      <c r="BO346" s="1107">
        <v>0</v>
      </c>
      <c r="BP346" s="1107">
        <v>0</v>
      </c>
      <c r="BQ346" s="1320">
        <f t="shared" ref="BQ346" si="997">ROUND(SUM(BL346:BP346),2)</f>
        <v>16.100000000000001</v>
      </c>
      <c r="BR346" s="1107">
        <f t="shared" si="976"/>
        <v>27</v>
      </c>
      <c r="BS346" s="1107">
        <f t="shared" si="977"/>
        <v>6</v>
      </c>
      <c r="BT346" s="1107">
        <f t="shared" si="961"/>
        <v>5.2</v>
      </c>
      <c r="BU346" s="1107">
        <v>0</v>
      </c>
      <c r="BV346" s="1108">
        <f t="shared" ref="BV346" si="998">ROUND(SUM(BR346:BT346),2)</f>
        <v>38.200000000000003</v>
      </c>
      <c r="BW346" s="1112">
        <f t="shared" ref="BW346" si="999">BQ346+BV346</f>
        <v>54.300000000000004</v>
      </c>
      <c r="BX346" s="1112">
        <f t="shared" si="948"/>
        <v>487.5</v>
      </c>
      <c r="BY346" s="1108">
        <v>0</v>
      </c>
      <c r="BZ346" s="1108">
        <f t="shared" ref="BZ346" si="1000">+BX346+BY346</f>
        <v>487.5</v>
      </c>
      <c r="CA346" s="1321">
        <f>'CONCEPTOS Y PARAMETROS'!$A$102</f>
        <v>6255</v>
      </c>
      <c r="CB346" s="1112">
        <f t="shared" si="923"/>
        <v>113.9</v>
      </c>
      <c r="CC346" s="1113">
        <f t="shared" si="924"/>
        <v>466</v>
      </c>
      <c r="CD346" s="512"/>
      <c r="CE346" s="512"/>
      <c r="CF346" s="512">
        <f t="shared" si="962"/>
        <v>750</v>
      </c>
      <c r="CG346" s="509">
        <f t="shared" si="963"/>
        <v>113.9</v>
      </c>
      <c r="CH346" s="1603">
        <f t="shared" si="927"/>
        <v>0</v>
      </c>
      <c r="CI346" s="1491">
        <f t="shared" ref="CI346" si="1001">BG346</f>
        <v>310</v>
      </c>
      <c r="CJ346" s="1502">
        <v>1</v>
      </c>
      <c r="CK346" s="509">
        <f t="shared" si="965"/>
        <v>440</v>
      </c>
      <c r="CL346" s="1689">
        <f t="shared" si="930"/>
        <v>440</v>
      </c>
      <c r="CM346" s="1689">
        <f t="shared" si="940"/>
        <v>0</v>
      </c>
      <c r="CN346" s="510">
        <f t="shared" si="966"/>
        <v>26</v>
      </c>
      <c r="CO346" s="511">
        <v>0</v>
      </c>
      <c r="CP346" s="510">
        <f t="shared" si="967"/>
        <v>0</v>
      </c>
      <c r="CQ346" s="510">
        <f t="shared" si="968"/>
        <v>0</v>
      </c>
      <c r="CR346" s="510">
        <f t="shared" si="969"/>
        <v>906</v>
      </c>
      <c r="CS346" s="510">
        <f t="shared" si="970"/>
        <v>54.300000000000004</v>
      </c>
      <c r="CT346" s="510">
        <f t="shared" si="971"/>
        <v>6255</v>
      </c>
      <c r="CU346" s="512"/>
      <c r="CV346" s="512"/>
      <c r="CW346" s="512"/>
      <c r="CX346" s="512"/>
      <c r="CY346" s="1275" t="s">
        <v>6829</v>
      </c>
      <c r="CZ346" s="1275" t="s">
        <v>7183</v>
      </c>
      <c r="DA346" s="1152"/>
      <c r="DB346" s="1659" t="s">
        <v>7371</v>
      </c>
      <c r="DC346" s="1659"/>
      <c r="DD346" s="1152" t="s">
        <v>6297</v>
      </c>
      <c r="DE346" s="1152"/>
      <c r="DF346" s="1152"/>
      <c r="DG346" s="1152"/>
      <c r="DH346" s="512"/>
      <c r="DI346" s="512"/>
      <c r="DJ346" s="512"/>
      <c r="DK346" s="512"/>
      <c r="DL346" s="512"/>
      <c r="DN346" s="476" t="str">
        <f>VLOOKUP(X346,Hoja1!$A$4:$B$10,2,0)</f>
        <v>BACHILLER</v>
      </c>
      <c r="DO346" s="476" t="str">
        <f>VLOOKUP(S346,Hoja1!$D$4:$F$77,3,0)</f>
        <v>GRADO (1) - MIN</v>
      </c>
      <c r="DP346" s="1655" t="str">
        <f t="shared" si="972"/>
        <v>0</v>
      </c>
      <c r="DQ346" s="1484">
        <f>IF(T346&lt;&gt;"0",(ROUND(IF(A346="EMPLEADO",eval_formula('CONCEPTOS Y PARAMETROS'!$C$8,NOMINA!V346,AU346+BF346,NOMINA!I346+NOMINA!J346),eval_formula('CONCEPTOS Y PARAMETROS'!$D$8,NOMINA!V346,AU346+BF346,NOMINA!I346+NOMINA!J346)),2))*IF(H346&lt;&gt;"",IF(MONTH(H346)=$BR$8,IF(YEAR(H346)&lt;$BT$7,1,0),0)))</f>
        <v>0</v>
      </c>
      <c r="DR346" s="1799" t="str">
        <f t="shared" si="973"/>
        <v>M</v>
      </c>
      <c r="DS346" s="1799"/>
    </row>
    <row r="347" spans="1:123" s="476" customFormat="1" ht="21.95" customHeight="1" x14ac:dyDescent="0.25">
      <c r="A347" s="508" t="s">
        <v>2834</v>
      </c>
      <c r="B347" s="1314">
        <f t="shared" ca="1" si="941"/>
        <v>43</v>
      </c>
      <c r="C347" s="990">
        <v>12797543</v>
      </c>
      <c r="D347" s="1275" t="s">
        <v>5002</v>
      </c>
      <c r="E347" s="1135" t="s">
        <v>4622</v>
      </c>
      <c r="F347" s="1118">
        <v>27613</v>
      </c>
      <c r="G347" s="1135" t="s">
        <v>4620</v>
      </c>
      <c r="H347" s="1118">
        <v>42948</v>
      </c>
      <c r="I347" s="1140">
        <f t="shared" si="952"/>
        <v>8</v>
      </c>
      <c r="J347" s="1132">
        <v>0</v>
      </c>
      <c r="K347" s="1140">
        <f t="shared" si="953"/>
        <v>8</v>
      </c>
      <c r="L347" s="1145" t="s">
        <v>5544</v>
      </c>
      <c r="M347" s="1132"/>
      <c r="N347" s="1132"/>
      <c r="O347" s="1002" t="s">
        <v>5084</v>
      </c>
      <c r="P347" s="1132" t="s">
        <v>5142</v>
      </c>
      <c r="Q347" s="1315">
        <v>7152</v>
      </c>
      <c r="R347" s="1394" t="s">
        <v>5084</v>
      </c>
      <c r="S347" s="1393">
        <v>3</v>
      </c>
      <c r="T347" s="1107">
        <f>IFERROR(VLOOKUP(S347,'TAB OBR'!A:B,2,0),0)</f>
        <v>152</v>
      </c>
      <c r="U347" s="1108">
        <v>0</v>
      </c>
      <c r="V347" s="1107">
        <f t="shared" si="954"/>
        <v>152</v>
      </c>
      <c r="W347" s="1108">
        <f t="shared" si="898"/>
        <v>76</v>
      </c>
      <c r="X347" s="1135" t="s">
        <v>2884</v>
      </c>
      <c r="Y347" s="1135" t="s">
        <v>2884</v>
      </c>
      <c r="Z347" s="1135">
        <v>0</v>
      </c>
      <c r="AA347" s="1107">
        <f>ROUND(IF(H347&lt;&gt;"",VLOOKUP(SUM(I347+J347),'CONCEPTOS Y PARAMETROS'!F:G,2,0)*V347,0),2)</f>
        <v>13.07</v>
      </c>
      <c r="AB347" s="1107">
        <f>IF(S347&lt;&gt;"",IF(M347="",'CONCEPTOS Y PARAMETROS'!$C$4,0),0)</f>
        <v>130</v>
      </c>
      <c r="AC347" s="1107">
        <f>IF(S347&lt;&gt;"",IF(M347="",'CONCEPTOS Y PARAMETROS'!$C$7*Z347,0),0)</f>
        <v>0</v>
      </c>
      <c r="AD347" s="1107">
        <f>IFERROR(ROUND(VLOOKUP($X347,'CONCEPTOS Y PARAMETROS'!H:I,2,0)*($V347+AA347+AB347+AC347),2),0)</f>
        <v>0</v>
      </c>
      <c r="AE347" s="1107">
        <f t="shared" si="955"/>
        <v>143.07</v>
      </c>
      <c r="AF347" s="1107">
        <f t="shared" si="900"/>
        <v>6.54</v>
      </c>
      <c r="AG347" s="1107">
        <f t="shared" si="901"/>
        <v>6.53</v>
      </c>
      <c r="AH347" s="1107">
        <f t="shared" si="902"/>
        <v>65</v>
      </c>
      <c r="AI347" s="1107">
        <f t="shared" si="903"/>
        <v>65</v>
      </c>
      <c r="AJ347" s="1107">
        <f t="shared" si="904"/>
        <v>0</v>
      </c>
      <c r="AK347" s="1107">
        <f t="shared" si="905"/>
        <v>0</v>
      </c>
      <c r="AL347" s="1108">
        <f t="shared" si="906"/>
        <v>71.540000000000006</v>
      </c>
      <c r="AM347" s="1108">
        <f t="shared" si="907"/>
        <v>71.53</v>
      </c>
      <c r="AN347" s="990">
        <v>0</v>
      </c>
      <c r="AO347" s="1147">
        <f>'CONCEPTOS Y PARAMETROS'!$C$18*AN347</f>
        <v>0</v>
      </c>
      <c r="AP347" s="990">
        <v>0</v>
      </c>
      <c r="AQ347" s="1147">
        <f>'CONCEPTOS Y PARAMETROS'!$C$21*AP347</f>
        <v>0</v>
      </c>
      <c r="AR347" s="1318">
        <v>0</v>
      </c>
      <c r="AS347" s="1318">
        <v>12.5</v>
      </c>
      <c r="AT347" s="1318">
        <f t="shared" si="949"/>
        <v>12.5</v>
      </c>
      <c r="AU347" s="1108">
        <f t="shared" si="956"/>
        <v>295.07</v>
      </c>
      <c r="AV347" s="1133">
        <v>0</v>
      </c>
      <c r="AW347" s="1108">
        <f t="shared" si="957"/>
        <v>0</v>
      </c>
      <c r="AX347" s="1107">
        <f>IF(T347&lt;&gt;"0",(ROUND(IF(A347="EMPLEADO",eval_formula('CONCEPTOS Y PARAMETROS'!$C$8,NOMINA!V347,NOMINA!$AU347,NOMINA!I347+NOMINA!J347),eval_formula('CONCEPTOS Y PARAMETROS'!$D$8,NOMINA!V347,NOMINA!$AU347,NOMINA!I347+NOMINA!J347)),2))*IF(H347&lt;&gt;"",IF(MONTH(H347)=$BR$8,IF(YEAR(H347)&lt;$BT$7,1,0),0)))</f>
        <v>0</v>
      </c>
      <c r="AY347" s="1108">
        <v>180</v>
      </c>
      <c r="AZ347" s="1107">
        <f>IFERROR(VLOOKUP(AY347,'CONCEPTOS Y PARAMETROS'!Y:Z,2,0),0)</f>
        <v>150</v>
      </c>
      <c r="BA347" s="1107">
        <f t="shared" si="911"/>
        <v>2213.0300000000002</v>
      </c>
      <c r="BB347" s="1107">
        <f t="shared" si="912"/>
        <v>0</v>
      </c>
      <c r="BC347" s="990">
        <v>0</v>
      </c>
      <c r="BD347" s="1107" t="str">
        <f t="shared" si="958"/>
        <v>0</v>
      </c>
      <c r="BE347" s="990">
        <v>0</v>
      </c>
      <c r="BF347" s="1107">
        <f t="shared" si="959"/>
        <v>0</v>
      </c>
      <c r="BG347" s="1108">
        <v>310</v>
      </c>
      <c r="BH347" s="1108">
        <v>0</v>
      </c>
      <c r="BI347" s="1132">
        <v>0</v>
      </c>
      <c r="BJ347" s="1108">
        <f t="shared" si="915"/>
        <v>0</v>
      </c>
      <c r="BK347" s="1108">
        <v>0</v>
      </c>
      <c r="BL347" s="1107">
        <f t="shared" si="974"/>
        <v>13.62</v>
      </c>
      <c r="BM347" s="1107">
        <f t="shared" si="975"/>
        <v>1.7</v>
      </c>
      <c r="BN347" s="1107">
        <f t="shared" si="960"/>
        <v>2.95</v>
      </c>
      <c r="BO347" s="1107">
        <v>0</v>
      </c>
      <c r="BP347" s="1107">
        <v>0</v>
      </c>
      <c r="BQ347" s="1320">
        <f t="shared" si="917"/>
        <v>18.27</v>
      </c>
      <c r="BR347" s="1107">
        <f t="shared" si="976"/>
        <v>30.64</v>
      </c>
      <c r="BS347" s="1107">
        <f t="shared" si="977"/>
        <v>6.81</v>
      </c>
      <c r="BT347" s="1107">
        <f t="shared" si="961"/>
        <v>5.9</v>
      </c>
      <c r="BU347" s="1107">
        <v>0</v>
      </c>
      <c r="BV347" s="1108">
        <f t="shared" si="950"/>
        <v>43.35</v>
      </c>
      <c r="BW347" s="1112">
        <f t="shared" si="951"/>
        <v>61.620000000000005</v>
      </c>
      <c r="BX347" s="1112">
        <f t="shared" si="948"/>
        <v>553.26</v>
      </c>
      <c r="BY347" s="1108">
        <v>0</v>
      </c>
      <c r="BZ347" s="1108">
        <f t="shared" si="922"/>
        <v>553.26</v>
      </c>
      <c r="CA347" s="1321">
        <f>'CONCEPTOS Y PARAMETROS'!$A$102</f>
        <v>6255</v>
      </c>
      <c r="CB347" s="1112">
        <f t="shared" si="923"/>
        <v>129.27000000000001</v>
      </c>
      <c r="CC347" s="1113">
        <f t="shared" si="924"/>
        <v>470.03</v>
      </c>
      <c r="CD347" s="512"/>
      <c r="CE347" s="512"/>
      <c r="CF347" s="470">
        <f t="shared" si="962"/>
        <v>767.53</v>
      </c>
      <c r="CG347" s="495">
        <f t="shared" si="963"/>
        <v>129.27000000000001</v>
      </c>
      <c r="CH347" s="498">
        <f t="shared" si="927"/>
        <v>12.5</v>
      </c>
      <c r="CI347" s="1490">
        <f t="shared" si="964"/>
        <v>310</v>
      </c>
      <c r="CJ347" s="1500">
        <v>1</v>
      </c>
      <c r="CK347" s="495">
        <f t="shared" si="965"/>
        <v>457.53</v>
      </c>
      <c r="CL347" s="1689">
        <f t="shared" si="930"/>
        <v>457.53</v>
      </c>
      <c r="CM347" s="1689">
        <f t="shared" si="940"/>
        <v>0</v>
      </c>
      <c r="CN347" s="496">
        <f t="shared" si="966"/>
        <v>0</v>
      </c>
      <c r="CO347" s="497">
        <v>0</v>
      </c>
      <c r="CP347" s="496">
        <f t="shared" si="967"/>
        <v>0</v>
      </c>
      <c r="CQ347" s="496">
        <f t="shared" si="968"/>
        <v>0</v>
      </c>
      <c r="CR347" s="496">
        <f t="shared" si="969"/>
        <v>915.06</v>
      </c>
      <c r="CS347" s="496">
        <f t="shared" si="970"/>
        <v>61.620000000000005</v>
      </c>
      <c r="CT347" s="496">
        <f t="shared" si="971"/>
        <v>6255</v>
      </c>
      <c r="CU347" s="470"/>
      <c r="CV347" s="470"/>
      <c r="CW347" s="470"/>
      <c r="CX347" s="470"/>
      <c r="CY347" s="1275" t="s">
        <v>6848</v>
      </c>
      <c r="CZ347" s="1275" t="s">
        <v>6867</v>
      </c>
      <c r="DA347" s="480"/>
      <c r="DB347" s="1642" t="s">
        <v>6448</v>
      </c>
      <c r="DC347" s="1642"/>
      <c r="DD347" s="1642" t="s">
        <v>6133</v>
      </c>
      <c r="DE347" s="1642" t="s">
        <v>6393</v>
      </c>
      <c r="DF347" s="1642" t="s">
        <v>6449</v>
      </c>
      <c r="DG347" s="1152"/>
      <c r="DH347" s="470"/>
      <c r="DI347" s="470"/>
      <c r="DJ347" s="470"/>
      <c r="DK347" s="470"/>
      <c r="DL347" s="470"/>
      <c r="DM347" s="471"/>
      <c r="DN347" s="471" t="str">
        <f>VLOOKUP(X347,Hoja1!$A$4:$B$10,2,0)</f>
        <v>BACHILLER</v>
      </c>
      <c r="DO347" s="471" t="str">
        <f>VLOOKUP(S347,Hoja1!$D$4:$F$77,3,0)</f>
        <v>GRADO (3) - MÁX</v>
      </c>
      <c r="DP347" s="1156" t="str">
        <f t="shared" si="972"/>
        <v>0</v>
      </c>
      <c r="DQ347" s="1484">
        <f>IF(T347&lt;&gt;"0",(ROUND(IF(A347="EMPLEADO",eval_formula('CONCEPTOS Y PARAMETROS'!$C$8,NOMINA!V347,AU347+BF347,NOMINA!I347+NOMINA!J347),eval_formula('CONCEPTOS Y PARAMETROS'!$D$8,NOMINA!V347,AU347+BF347,NOMINA!I347+NOMINA!J347)),2))*IF(H347&lt;&gt;"",IF(MONTH(H347)=$BR$8,IF(YEAR(H347)&lt;$BT$7,1,0),0)))</f>
        <v>0</v>
      </c>
      <c r="DR347" s="1801" t="str">
        <f t="shared" si="973"/>
        <v>F</v>
      </c>
      <c r="DS347" s="1801"/>
    </row>
    <row r="348" spans="1:123" s="471" customFormat="1" ht="21.95" customHeight="1" x14ac:dyDescent="0.25">
      <c r="A348" s="508" t="s">
        <v>2834</v>
      </c>
      <c r="B348" s="1314">
        <f t="shared" ca="1" si="941"/>
        <v>44</v>
      </c>
      <c r="C348" s="990">
        <v>12797598</v>
      </c>
      <c r="D348" s="1275" t="s">
        <v>5003</v>
      </c>
      <c r="E348" s="1135" t="s">
        <v>4622</v>
      </c>
      <c r="F348" s="1118">
        <v>26229</v>
      </c>
      <c r="G348" s="1135" t="s">
        <v>4621</v>
      </c>
      <c r="H348" s="1118">
        <v>44635</v>
      </c>
      <c r="I348" s="1140">
        <f t="shared" si="952"/>
        <v>3</v>
      </c>
      <c r="J348" s="1132">
        <v>0</v>
      </c>
      <c r="K348" s="1140">
        <f t="shared" si="953"/>
        <v>3</v>
      </c>
      <c r="L348" s="1145" t="s">
        <v>5543</v>
      </c>
      <c r="M348" s="1132"/>
      <c r="N348" s="1132"/>
      <c r="O348" s="1002" t="s">
        <v>5091</v>
      </c>
      <c r="P348" s="1132" t="s">
        <v>5143</v>
      </c>
      <c r="Q348" s="1315">
        <v>2202</v>
      </c>
      <c r="R348" s="1394" t="s">
        <v>5091</v>
      </c>
      <c r="S348" s="1393">
        <v>5</v>
      </c>
      <c r="T348" s="1107">
        <f>IFERROR(VLOOKUP(S348,'TAB OBR'!A:B,2,0),0)</f>
        <v>171</v>
      </c>
      <c r="U348" s="1108">
        <v>0</v>
      </c>
      <c r="V348" s="1107">
        <f t="shared" si="954"/>
        <v>171</v>
      </c>
      <c r="W348" s="1108">
        <f t="shared" si="898"/>
        <v>85.5</v>
      </c>
      <c r="X348" s="1135" t="s">
        <v>2884</v>
      </c>
      <c r="Y348" s="1135" t="s">
        <v>2884</v>
      </c>
      <c r="Z348" s="1135">
        <v>1</v>
      </c>
      <c r="AA348" s="1107">
        <f>ROUND(IF(H348&lt;&gt;"",VLOOKUP(SUM(I348+J348),'CONCEPTOS Y PARAMETROS'!F:G,2,0)*V348,0),2)</f>
        <v>5.13</v>
      </c>
      <c r="AB348" s="1107">
        <f>IF(S348&lt;&gt;"",IF(M348="",'CONCEPTOS Y PARAMETROS'!$C$4,0),0)</f>
        <v>130</v>
      </c>
      <c r="AC348" s="1107">
        <f>IF(S348&lt;&gt;"",IF(M348="",'CONCEPTOS Y PARAMETROS'!$C$7*Z348,0),0)</f>
        <v>12.5</v>
      </c>
      <c r="AD348" s="1107">
        <f>IFERROR(ROUND(VLOOKUP($X348,'CONCEPTOS Y PARAMETROS'!H:I,2,0)*($V348+AA348+AB348+AC348),2),0)</f>
        <v>0</v>
      </c>
      <c r="AE348" s="1107">
        <f t="shared" si="955"/>
        <v>147.63</v>
      </c>
      <c r="AF348" s="1107">
        <f t="shared" si="900"/>
        <v>2.57</v>
      </c>
      <c r="AG348" s="1107">
        <f t="shared" si="901"/>
        <v>2.56</v>
      </c>
      <c r="AH348" s="1107">
        <f t="shared" si="902"/>
        <v>65</v>
      </c>
      <c r="AI348" s="1107">
        <f t="shared" si="903"/>
        <v>65</v>
      </c>
      <c r="AJ348" s="1107">
        <f t="shared" si="904"/>
        <v>0</v>
      </c>
      <c r="AK348" s="1107">
        <f t="shared" si="905"/>
        <v>0</v>
      </c>
      <c r="AL348" s="1108">
        <f t="shared" si="906"/>
        <v>80.069999999999993</v>
      </c>
      <c r="AM348" s="1108">
        <f t="shared" si="907"/>
        <v>67.56</v>
      </c>
      <c r="AN348" s="1453">
        <v>1</v>
      </c>
      <c r="AO348" s="1147">
        <f>'CONCEPTOS Y PARAMETROS'!$C$18*AN348</f>
        <v>12.5</v>
      </c>
      <c r="AP348" s="990">
        <v>0</v>
      </c>
      <c r="AQ348" s="1147">
        <f>'CONCEPTOS Y PARAMETROS'!$C$21*AP348</f>
        <v>0</v>
      </c>
      <c r="AR348" s="1318">
        <v>0</v>
      </c>
      <c r="AS348" s="1318">
        <v>0</v>
      </c>
      <c r="AT348" s="1318">
        <f t="shared" si="949"/>
        <v>12.5</v>
      </c>
      <c r="AU348" s="1108">
        <f t="shared" si="956"/>
        <v>318.63</v>
      </c>
      <c r="AV348" s="1133">
        <v>0</v>
      </c>
      <c r="AW348" s="1108">
        <f t="shared" si="957"/>
        <v>0</v>
      </c>
      <c r="AX348" s="1107">
        <f>IF(T348&lt;&gt;"0",(ROUND(IF(A348="EMPLEADO",eval_formula('CONCEPTOS Y PARAMETROS'!$C$8,NOMINA!V348,NOMINA!$AU348,NOMINA!I348+NOMINA!J348),eval_formula('CONCEPTOS Y PARAMETROS'!$D$8,NOMINA!V348,NOMINA!$AU348,NOMINA!I348+NOMINA!J348)),2))*IF(H348&lt;&gt;"",IF(MONTH(H348)=$BR$8,IF(YEAR(H348)&lt;$BT$7,1,0),0)))</f>
        <v>0</v>
      </c>
      <c r="AY348" s="1108">
        <v>180</v>
      </c>
      <c r="AZ348" s="1107">
        <f>IFERROR(VLOOKUP(AY348,'CONCEPTOS Y PARAMETROS'!Y:Z,2,0),0)</f>
        <v>150</v>
      </c>
      <c r="BA348" s="1107">
        <f t="shared" si="911"/>
        <v>2389.73</v>
      </c>
      <c r="BB348" s="1107">
        <f t="shared" si="912"/>
        <v>0</v>
      </c>
      <c r="BC348" s="990">
        <v>0</v>
      </c>
      <c r="BD348" s="1107" t="str">
        <f t="shared" si="958"/>
        <v>0</v>
      </c>
      <c r="BE348" s="990">
        <v>2</v>
      </c>
      <c r="BF348" s="1107">
        <f t="shared" si="959"/>
        <v>31.86</v>
      </c>
      <c r="BG348" s="1108">
        <v>310</v>
      </c>
      <c r="BH348" s="1108">
        <v>0</v>
      </c>
      <c r="BI348" s="1132">
        <v>0</v>
      </c>
      <c r="BJ348" s="1108">
        <f t="shared" si="915"/>
        <v>0</v>
      </c>
      <c r="BK348" s="1108">
        <v>0</v>
      </c>
      <c r="BL348" s="1107">
        <f t="shared" si="974"/>
        <v>14.71</v>
      </c>
      <c r="BM348" s="1107">
        <f t="shared" si="975"/>
        <v>1.84</v>
      </c>
      <c r="BN348" s="1107">
        <f t="shared" si="960"/>
        <v>3.19</v>
      </c>
      <c r="BO348" s="1107">
        <v>0</v>
      </c>
      <c r="BP348" s="1107">
        <v>0</v>
      </c>
      <c r="BQ348" s="1320">
        <f t="shared" si="917"/>
        <v>19.739999999999998</v>
      </c>
      <c r="BR348" s="1107">
        <f t="shared" si="976"/>
        <v>33.090000000000003</v>
      </c>
      <c r="BS348" s="1107">
        <f t="shared" si="977"/>
        <v>7.35</v>
      </c>
      <c r="BT348" s="1107">
        <f t="shared" si="961"/>
        <v>6.38</v>
      </c>
      <c r="BU348" s="1107">
        <v>0</v>
      </c>
      <c r="BV348" s="1108">
        <f t="shared" si="950"/>
        <v>46.82</v>
      </c>
      <c r="BW348" s="1112">
        <f t="shared" si="951"/>
        <v>66.56</v>
      </c>
      <c r="BX348" s="1112">
        <f t="shared" si="948"/>
        <v>597.42999999999995</v>
      </c>
      <c r="BY348" s="1108">
        <v>0</v>
      </c>
      <c r="BZ348" s="1108">
        <f t="shared" si="922"/>
        <v>597.42999999999995</v>
      </c>
      <c r="CA348" s="1321">
        <f>'CONCEPTOS Y PARAMETROS'!$A$102</f>
        <v>6255</v>
      </c>
      <c r="CB348" s="1112">
        <f t="shared" si="923"/>
        <v>145.82999999999998</v>
      </c>
      <c r="CC348" s="1113">
        <f t="shared" si="924"/>
        <v>507.42</v>
      </c>
      <c r="CD348" s="512"/>
      <c r="CE348" s="512"/>
      <c r="CF348" s="470">
        <f t="shared" si="962"/>
        <v>773.06</v>
      </c>
      <c r="CG348" s="495">
        <f t="shared" si="963"/>
        <v>145.82999999999998</v>
      </c>
      <c r="CH348" s="498">
        <f t="shared" si="927"/>
        <v>12.5</v>
      </c>
      <c r="CI348" s="1490">
        <f t="shared" si="964"/>
        <v>310</v>
      </c>
      <c r="CJ348" s="1500">
        <v>1</v>
      </c>
      <c r="CK348" s="495">
        <f t="shared" si="965"/>
        <v>463.06</v>
      </c>
      <c r="CL348" s="1689">
        <f t="shared" si="930"/>
        <v>463.06</v>
      </c>
      <c r="CM348" s="1689">
        <f t="shared" si="940"/>
        <v>0</v>
      </c>
      <c r="CN348" s="496">
        <f t="shared" si="966"/>
        <v>31.86</v>
      </c>
      <c r="CO348" s="497">
        <v>0</v>
      </c>
      <c r="CP348" s="496">
        <f t="shared" si="967"/>
        <v>0</v>
      </c>
      <c r="CQ348" s="496">
        <f t="shared" si="968"/>
        <v>0</v>
      </c>
      <c r="CR348" s="496">
        <f t="shared" si="969"/>
        <v>957.98</v>
      </c>
      <c r="CS348" s="496">
        <f t="shared" si="970"/>
        <v>66.56</v>
      </c>
      <c r="CT348" s="496">
        <f t="shared" si="971"/>
        <v>6255</v>
      </c>
      <c r="CU348" s="470"/>
      <c r="CV348" s="470"/>
      <c r="CW348" s="470"/>
      <c r="CX348" s="470"/>
      <c r="CY348" s="1275" t="s">
        <v>7146</v>
      </c>
      <c r="CZ348" s="1275" t="s">
        <v>6813</v>
      </c>
      <c r="DA348" s="480"/>
      <c r="DB348" s="1642" t="s">
        <v>6450</v>
      </c>
      <c r="DC348" s="1642"/>
      <c r="DD348" s="1642" t="s">
        <v>6150</v>
      </c>
      <c r="DE348" s="1642" t="s">
        <v>6343</v>
      </c>
      <c r="DF348" s="1642" t="s">
        <v>6228</v>
      </c>
      <c r="DG348" s="1642"/>
      <c r="DH348" s="470"/>
      <c r="DI348" s="470"/>
      <c r="DJ348" s="470"/>
      <c r="DK348" s="470"/>
      <c r="DL348" s="470"/>
      <c r="DN348" s="471" t="str">
        <f>VLOOKUP(X348,Hoja1!$A$4:$B$10,2,0)</f>
        <v>BACHILLER</v>
      </c>
      <c r="DO348" s="471" t="str">
        <f>VLOOKUP(S348,Hoja1!$D$4:$F$77,3,0)</f>
        <v>GRADO (5) - MÁX</v>
      </c>
      <c r="DP348" s="1156" t="str">
        <f t="shared" si="972"/>
        <v>0</v>
      </c>
      <c r="DQ348" s="1484">
        <f>IF(T348&lt;&gt;"0",(ROUND(IF(A348="EMPLEADO",eval_formula('CONCEPTOS Y PARAMETROS'!$C$8,NOMINA!V348,AU348+BF348,NOMINA!I348+NOMINA!J348),eval_formula('CONCEPTOS Y PARAMETROS'!$D$8,NOMINA!V348,AU348+BF348,NOMINA!I348+NOMINA!J348)),2))*IF(H348&lt;&gt;"",IF(MONTH(H348)=$BR$8,IF(YEAR(H348)&lt;$BT$7,1,0),0)))</f>
        <v>0</v>
      </c>
      <c r="DR348" s="1801" t="str">
        <f t="shared" si="973"/>
        <v>M</v>
      </c>
      <c r="DS348" s="1801"/>
    </row>
    <row r="349" spans="1:123" s="471" customFormat="1" ht="21.95" customHeight="1" x14ac:dyDescent="0.25">
      <c r="A349" s="508" t="s">
        <v>2834</v>
      </c>
      <c r="B349" s="1314">
        <f t="shared" ca="1" si="941"/>
        <v>45</v>
      </c>
      <c r="C349" s="990">
        <v>13049800</v>
      </c>
      <c r="D349" s="1275" t="s">
        <v>5004</v>
      </c>
      <c r="E349" s="1135" t="s">
        <v>4622</v>
      </c>
      <c r="F349" s="1118">
        <v>27256</v>
      </c>
      <c r="G349" s="1135" t="s">
        <v>4620</v>
      </c>
      <c r="H349" s="1118">
        <v>42171</v>
      </c>
      <c r="I349" s="1140">
        <f t="shared" si="952"/>
        <v>10</v>
      </c>
      <c r="J349" s="1132">
        <v>0</v>
      </c>
      <c r="K349" s="1140">
        <f t="shared" si="953"/>
        <v>10</v>
      </c>
      <c r="L349" s="1145" t="s">
        <v>5531</v>
      </c>
      <c r="M349" s="1132"/>
      <c r="N349" s="1132"/>
      <c r="O349" s="1002" t="s">
        <v>5087</v>
      </c>
      <c r="P349" s="1132" t="s">
        <v>5144</v>
      </c>
      <c r="Q349" s="1315">
        <v>7102</v>
      </c>
      <c r="R349" s="1394" t="s">
        <v>5087</v>
      </c>
      <c r="S349" s="1393">
        <v>1</v>
      </c>
      <c r="T349" s="1107">
        <f>IFERROR(VLOOKUP(S349,'TAB OBR'!A:B,2,0),0)</f>
        <v>130</v>
      </c>
      <c r="U349" s="1108">
        <v>0</v>
      </c>
      <c r="V349" s="1107">
        <f t="shared" si="954"/>
        <v>130</v>
      </c>
      <c r="W349" s="1108">
        <f t="shared" si="898"/>
        <v>65</v>
      </c>
      <c r="X349" s="1135" t="s">
        <v>2884</v>
      </c>
      <c r="Y349" s="1135" t="s">
        <v>2884</v>
      </c>
      <c r="Z349" s="1135">
        <v>0</v>
      </c>
      <c r="AA349" s="1107">
        <f>ROUND(IF(H349&lt;&gt;"",VLOOKUP(SUM(I349+J349),'CONCEPTOS Y PARAMETROS'!F:G,2,0)*V349,0),2)</f>
        <v>14.3</v>
      </c>
      <c r="AB349" s="1107">
        <f>IF(S349&lt;&gt;"",IF(M349="",'CONCEPTOS Y PARAMETROS'!$C$4,0),0)</f>
        <v>130</v>
      </c>
      <c r="AC349" s="1107">
        <f>IF(S349&lt;&gt;"",IF(M349="",'CONCEPTOS Y PARAMETROS'!$C$7*Z349,0),0)</f>
        <v>0</v>
      </c>
      <c r="AD349" s="1107">
        <f>IFERROR(ROUND(VLOOKUP($X349,'CONCEPTOS Y PARAMETROS'!H:I,2,0)*($V349+AA349+AB349+AC349),2),0)</f>
        <v>0</v>
      </c>
      <c r="AE349" s="1107">
        <f t="shared" si="955"/>
        <v>144.30000000000001</v>
      </c>
      <c r="AF349" s="1107">
        <f t="shared" si="900"/>
        <v>7.15</v>
      </c>
      <c r="AG349" s="1107">
        <f t="shared" si="901"/>
        <v>7.15</v>
      </c>
      <c r="AH349" s="1107">
        <f t="shared" si="902"/>
        <v>65</v>
      </c>
      <c r="AI349" s="1107">
        <f t="shared" si="903"/>
        <v>65</v>
      </c>
      <c r="AJ349" s="1107">
        <f t="shared" si="904"/>
        <v>0</v>
      </c>
      <c r="AK349" s="1107">
        <f t="shared" si="905"/>
        <v>0</v>
      </c>
      <c r="AL349" s="1108">
        <f t="shared" si="906"/>
        <v>72.150000000000006</v>
      </c>
      <c r="AM349" s="1108">
        <f t="shared" si="907"/>
        <v>72.150000000000006</v>
      </c>
      <c r="AN349" s="990">
        <v>0</v>
      </c>
      <c r="AO349" s="1147">
        <f>'CONCEPTOS Y PARAMETROS'!$C$18*AN349</f>
        <v>0</v>
      </c>
      <c r="AP349" s="990">
        <v>0</v>
      </c>
      <c r="AQ349" s="1147">
        <f>'CONCEPTOS Y PARAMETROS'!$C$21*AP349</f>
        <v>0</v>
      </c>
      <c r="AR349" s="1318">
        <v>0</v>
      </c>
      <c r="AS349" s="1318">
        <v>0</v>
      </c>
      <c r="AT349" s="1318">
        <f t="shared" si="949"/>
        <v>0</v>
      </c>
      <c r="AU349" s="1108">
        <f t="shared" si="956"/>
        <v>274.3</v>
      </c>
      <c r="AV349" s="1133">
        <v>0</v>
      </c>
      <c r="AW349" s="1108">
        <f t="shared" si="957"/>
        <v>0</v>
      </c>
      <c r="AX349" s="1107">
        <f>IF(T349&lt;&gt;"0",(ROUND(IF(A349="EMPLEADO",eval_formula('CONCEPTOS Y PARAMETROS'!$C$8,NOMINA!V349,NOMINA!$AU349,NOMINA!I349+NOMINA!J349),eval_formula('CONCEPTOS Y PARAMETROS'!$D$8,NOMINA!V349,NOMINA!$AU349,NOMINA!I349+NOMINA!J349)),2))*IF(H349&lt;&gt;"",IF(MONTH(H349)=$BR$8,IF(YEAR(H349)&lt;$BT$7,1,0),0)))</f>
        <v>0</v>
      </c>
      <c r="AY349" s="1108">
        <v>180</v>
      </c>
      <c r="AZ349" s="1107">
        <f>IFERROR(VLOOKUP(AY349,'CONCEPTOS Y PARAMETROS'!Y:Z,2,0),0)</f>
        <v>150</v>
      </c>
      <c r="BA349" s="1107">
        <f t="shared" si="911"/>
        <v>2057.25</v>
      </c>
      <c r="BB349" s="1107">
        <f t="shared" si="912"/>
        <v>0</v>
      </c>
      <c r="BC349" s="990">
        <v>0</v>
      </c>
      <c r="BD349" s="1107" t="str">
        <f t="shared" si="958"/>
        <v>0</v>
      </c>
      <c r="BE349" s="990">
        <v>0</v>
      </c>
      <c r="BF349" s="1107">
        <f t="shared" si="959"/>
        <v>0</v>
      </c>
      <c r="BG349" s="1108">
        <v>310</v>
      </c>
      <c r="BH349" s="1108">
        <v>0</v>
      </c>
      <c r="BI349" s="1132">
        <v>0</v>
      </c>
      <c r="BJ349" s="1108">
        <f t="shared" si="915"/>
        <v>0</v>
      </c>
      <c r="BK349" s="1108">
        <v>0</v>
      </c>
      <c r="BL349" s="1107">
        <f t="shared" si="974"/>
        <v>12.66</v>
      </c>
      <c r="BM349" s="1107">
        <f t="shared" si="975"/>
        <v>1.58</v>
      </c>
      <c r="BN349" s="1107">
        <f t="shared" si="960"/>
        <v>2.74</v>
      </c>
      <c r="BO349" s="1107">
        <v>0</v>
      </c>
      <c r="BP349" s="1107">
        <v>0</v>
      </c>
      <c r="BQ349" s="1320">
        <f t="shared" si="917"/>
        <v>16.98</v>
      </c>
      <c r="BR349" s="1107">
        <f t="shared" si="976"/>
        <v>28.49</v>
      </c>
      <c r="BS349" s="1107">
        <f t="shared" si="977"/>
        <v>6.33</v>
      </c>
      <c r="BT349" s="1107">
        <f t="shared" si="961"/>
        <v>5.48</v>
      </c>
      <c r="BU349" s="1107">
        <v>0</v>
      </c>
      <c r="BV349" s="1108">
        <f t="shared" si="950"/>
        <v>40.299999999999997</v>
      </c>
      <c r="BW349" s="1112">
        <f t="shared" si="951"/>
        <v>57.28</v>
      </c>
      <c r="BX349" s="1112">
        <f t="shared" si="948"/>
        <v>514.30999999999995</v>
      </c>
      <c r="BY349" s="1108">
        <v>0</v>
      </c>
      <c r="BZ349" s="1108">
        <f t="shared" si="922"/>
        <v>514.30999999999995</v>
      </c>
      <c r="CA349" s="1321">
        <f>'CONCEPTOS Y PARAMETROS'!$A$102</f>
        <v>6255</v>
      </c>
      <c r="CB349" s="1112">
        <f t="shared" si="923"/>
        <v>120.17</v>
      </c>
      <c r="CC349" s="1113">
        <f t="shared" si="924"/>
        <v>447.15</v>
      </c>
      <c r="CD349" s="512"/>
      <c r="CE349" s="512"/>
      <c r="CF349" s="470">
        <f t="shared" si="962"/>
        <v>757.15</v>
      </c>
      <c r="CG349" s="495">
        <f t="shared" si="963"/>
        <v>120.17</v>
      </c>
      <c r="CH349" s="498">
        <f t="shared" si="927"/>
        <v>0</v>
      </c>
      <c r="CI349" s="1490">
        <f t="shared" si="964"/>
        <v>310</v>
      </c>
      <c r="CJ349" s="1500">
        <v>1</v>
      </c>
      <c r="CK349" s="495">
        <f t="shared" si="965"/>
        <v>447.15</v>
      </c>
      <c r="CL349" s="1689">
        <f t="shared" si="930"/>
        <v>447.15</v>
      </c>
      <c r="CM349" s="1689">
        <f t="shared" si="940"/>
        <v>0</v>
      </c>
      <c r="CN349" s="496">
        <f t="shared" si="966"/>
        <v>0</v>
      </c>
      <c r="CO349" s="497">
        <v>0</v>
      </c>
      <c r="CP349" s="496">
        <f t="shared" si="967"/>
        <v>0</v>
      </c>
      <c r="CQ349" s="496">
        <f t="shared" si="968"/>
        <v>0</v>
      </c>
      <c r="CR349" s="496">
        <f t="shared" si="969"/>
        <v>894.3</v>
      </c>
      <c r="CS349" s="496">
        <f t="shared" si="970"/>
        <v>57.28</v>
      </c>
      <c r="CT349" s="496">
        <f t="shared" si="971"/>
        <v>6255</v>
      </c>
      <c r="CU349" s="470"/>
      <c r="CV349" s="470"/>
      <c r="CW349" s="470"/>
      <c r="CX349" s="470"/>
      <c r="CY349" s="1275" t="s">
        <v>7050</v>
      </c>
      <c r="CZ349" s="1275" t="s">
        <v>7171</v>
      </c>
      <c r="DA349" s="480"/>
      <c r="DB349" s="1642" t="s">
        <v>7506</v>
      </c>
      <c r="DC349" s="1642"/>
      <c r="DD349" s="1642" t="s">
        <v>6135</v>
      </c>
      <c r="DE349" s="1642" t="s">
        <v>6233</v>
      </c>
      <c r="DF349" s="1642" t="s">
        <v>6203</v>
      </c>
      <c r="DG349" s="1642"/>
      <c r="DH349" s="470"/>
      <c r="DI349" s="470"/>
      <c r="DJ349" s="470"/>
      <c r="DK349" s="470"/>
      <c r="DL349" s="470"/>
      <c r="DN349" s="471" t="str">
        <f>VLOOKUP(X349,Hoja1!$A$4:$B$10,2,0)</f>
        <v>BACHILLER</v>
      </c>
      <c r="DO349" s="471" t="str">
        <f>VLOOKUP(S349,Hoja1!$D$4:$F$77,3,0)</f>
        <v>GRADO (1) - MIN</v>
      </c>
      <c r="DP349" s="1156" t="str">
        <f t="shared" si="972"/>
        <v>0</v>
      </c>
      <c r="DQ349" s="1484">
        <f>IF(T349&lt;&gt;"0",(ROUND(IF(A349="EMPLEADO",eval_formula('CONCEPTOS Y PARAMETROS'!$C$8,NOMINA!V349,AU349+BF349,NOMINA!I349+NOMINA!J349),eval_formula('CONCEPTOS Y PARAMETROS'!$D$8,NOMINA!V349,AU349+BF349,NOMINA!I349+NOMINA!J349)),2))*IF(H349&lt;&gt;"",IF(MONTH(H349)=$BR$8,IF(YEAR(H349)&lt;$BT$7,1,0),0)))</f>
        <v>0</v>
      </c>
      <c r="DR349" s="1801" t="str">
        <f t="shared" si="973"/>
        <v>F</v>
      </c>
      <c r="DS349" s="1801"/>
    </row>
    <row r="350" spans="1:123" s="471" customFormat="1" ht="21.95" customHeight="1" x14ac:dyDescent="0.25">
      <c r="A350" s="508" t="s">
        <v>2834</v>
      </c>
      <c r="B350" s="1314">
        <f t="shared" ca="1" si="941"/>
        <v>46</v>
      </c>
      <c r="C350" s="990">
        <v>13376729</v>
      </c>
      <c r="D350" s="1275" t="s">
        <v>5006</v>
      </c>
      <c r="E350" s="1135" t="s">
        <v>4622</v>
      </c>
      <c r="F350" s="1118">
        <v>28664</v>
      </c>
      <c r="G350" s="1135" t="s">
        <v>4621</v>
      </c>
      <c r="H350" s="1118">
        <v>42948</v>
      </c>
      <c r="I350" s="1140">
        <f t="shared" si="952"/>
        <v>8</v>
      </c>
      <c r="J350" s="1132">
        <v>0</v>
      </c>
      <c r="K350" s="1140">
        <f t="shared" si="953"/>
        <v>8</v>
      </c>
      <c r="L350" s="1145" t="s">
        <v>5529</v>
      </c>
      <c r="M350" s="1132"/>
      <c r="N350" s="1132"/>
      <c r="O350" s="1002" t="s">
        <v>5093</v>
      </c>
      <c r="P350" s="1132" t="s">
        <v>5145</v>
      </c>
      <c r="Q350" s="1315">
        <v>8201</v>
      </c>
      <c r="R350" s="1394" t="s">
        <v>5093</v>
      </c>
      <c r="S350" s="1393">
        <v>5</v>
      </c>
      <c r="T350" s="1107">
        <f>IFERROR(VLOOKUP(S350,'TAB OBR'!A:B,2,0),0)</f>
        <v>171</v>
      </c>
      <c r="U350" s="1108">
        <v>0</v>
      </c>
      <c r="V350" s="1107">
        <f t="shared" si="954"/>
        <v>171</v>
      </c>
      <c r="W350" s="1108">
        <f t="shared" si="898"/>
        <v>85.5</v>
      </c>
      <c r="X350" s="1135" t="s">
        <v>2884</v>
      </c>
      <c r="Y350" s="1135" t="s">
        <v>2884</v>
      </c>
      <c r="Z350" s="1135">
        <v>1</v>
      </c>
      <c r="AA350" s="1107">
        <f>ROUND(IF(H350&lt;&gt;"",VLOOKUP(SUM(I350+J350),'CONCEPTOS Y PARAMETROS'!F:G,2,0)*V350,0),2)</f>
        <v>14.71</v>
      </c>
      <c r="AB350" s="1107">
        <f>IF(S350&lt;&gt;"",IF(M350="",'CONCEPTOS Y PARAMETROS'!$C$4,0),0)</f>
        <v>130</v>
      </c>
      <c r="AC350" s="1107">
        <f>IF(S350&lt;&gt;"",IF(M350="",'CONCEPTOS Y PARAMETROS'!$C$7*Z350,0),0)</f>
        <v>12.5</v>
      </c>
      <c r="AD350" s="1107">
        <f>IFERROR(ROUND(VLOOKUP($X350,'CONCEPTOS Y PARAMETROS'!H:I,2,0)*($V350+AA350+AB350+AC350),2),0)</f>
        <v>0</v>
      </c>
      <c r="AE350" s="1107">
        <f t="shared" si="955"/>
        <v>157.21</v>
      </c>
      <c r="AF350" s="1107">
        <f t="shared" si="900"/>
        <v>7.36</v>
      </c>
      <c r="AG350" s="1107">
        <f t="shared" si="901"/>
        <v>7.35</v>
      </c>
      <c r="AH350" s="1107">
        <f t="shared" si="902"/>
        <v>65</v>
      </c>
      <c r="AI350" s="1107">
        <f t="shared" si="903"/>
        <v>65</v>
      </c>
      <c r="AJ350" s="1107">
        <f t="shared" si="904"/>
        <v>0</v>
      </c>
      <c r="AK350" s="1107">
        <f t="shared" si="905"/>
        <v>0</v>
      </c>
      <c r="AL350" s="1108">
        <f t="shared" si="906"/>
        <v>84.86</v>
      </c>
      <c r="AM350" s="1108">
        <f t="shared" si="907"/>
        <v>72.349999999999994</v>
      </c>
      <c r="AN350" s="990">
        <v>0</v>
      </c>
      <c r="AO350" s="1147">
        <f>'CONCEPTOS Y PARAMETROS'!$C$18*AN350</f>
        <v>0</v>
      </c>
      <c r="AP350" s="990">
        <v>0</v>
      </c>
      <c r="AQ350" s="1147">
        <f>'CONCEPTOS Y PARAMETROS'!$C$21*AP350</f>
        <v>0</v>
      </c>
      <c r="AR350" s="1318">
        <v>0</v>
      </c>
      <c r="AS350" s="1318">
        <v>0</v>
      </c>
      <c r="AT350" s="1318">
        <f t="shared" si="949"/>
        <v>0</v>
      </c>
      <c r="AU350" s="1108">
        <f t="shared" si="956"/>
        <v>426.67</v>
      </c>
      <c r="AV350" s="1133" t="s">
        <v>5080</v>
      </c>
      <c r="AW350" s="1108">
        <f t="shared" si="957"/>
        <v>98.46</v>
      </c>
      <c r="AX350" s="1107">
        <f>IF(T350&lt;&gt;"0",(ROUND(IF(A350="EMPLEADO",eval_formula('CONCEPTOS Y PARAMETROS'!$C$8,NOMINA!V350,NOMINA!$AU350,NOMINA!I350+NOMINA!J350),eval_formula('CONCEPTOS Y PARAMETROS'!$D$8,NOMINA!V350,NOMINA!$AU350,NOMINA!I350+NOMINA!J350)),2))*IF(H350&lt;&gt;"",IF(MONTH(H350)=$BR$8,IF(YEAR(H350)&lt;$BT$7,1,0),0)))</f>
        <v>0</v>
      </c>
      <c r="AY350" s="1108">
        <v>180</v>
      </c>
      <c r="AZ350" s="1107">
        <f>IFERROR(VLOOKUP(AY350,'CONCEPTOS Y PARAMETROS'!Y:Z,2,0),0)</f>
        <v>150</v>
      </c>
      <c r="BA350" s="1107">
        <f t="shared" si="911"/>
        <v>3200.03</v>
      </c>
      <c r="BB350" s="1107">
        <f t="shared" si="912"/>
        <v>0</v>
      </c>
      <c r="BC350" s="990">
        <v>0</v>
      </c>
      <c r="BD350" s="1107" t="str">
        <f t="shared" si="958"/>
        <v>0</v>
      </c>
      <c r="BE350" s="990">
        <v>0</v>
      </c>
      <c r="BF350" s="1107">
        <f t="shared" si="959"/>
        <v>0</v>
      </c>
      <c r="BG350" s="1108">
        <v>310</v>
      </c>
      <c r="BH350" s="1108">
        <v>0</v>
      </c>
      <c r="BI350" s="1132">
        <v>0</v>
      </c>
      <c r="BJ350" s="1108">
        <f t="shared" si="915"/>
        <v>0</v>
      </c>
      <c r="BK350" s="1108">
        <v>0</v>
      </c>
      <c r="BL350" s="1107">
        <f t="shared" si="974"/>
        <v>19.690000000000001</v>
      </c>
      <c r="BM350" s="1107">
        <f t="shared" si="975"/>
        <v>2.46</v>
      </c>
      <c r="BN350" s="1107">
        <f t="shared" si="960"/>
        <v>4.2699999999999996</v>
      </c>
      <c r="BO350" s="1107">
        <v>0</v>
      </c>
      <c r="BP350" s="1107">
        <v>0</v>
      </c>
      <c r="BQ350" s="1320">
        <f t="shared" si="917"/>
        <v>26.42</v>
      </c>
      <c r="BR350" s="1107">
        <f t="shared" si="976"/>
        <v>44.31</v>
      </c>
      <c r="BS350" s="1107">
        <f t="shared" si="977"/>
        <v>9.85</v>
      </c>
      <c r="BT350" s="1107">
        <f t="shared" si="961"/>
        <v>8.5399999999999991</v>
      </c>
      <c r="BU350" s="1107">
        <v>0</v>
      </c>
      <c r="BV350" s="1108">
        <f t="shared" si="950"/>
        <v>62.7</v>
      </c>
      <c r="BW350" s="1112">
        <f t="shared" si="951"/>
        <v>89.12</v>
      </c>
      <c r="BX350" s="1112">
        <f t="shared" si="948"/>
        <v>800.01</v>
      </c>
      <c r="BY350" s="1108">
        <v>0</v>
      </c>
      <c r="BZ350" s="1108">
        <f t="shared" si="922"/>
        <v>800.01</v>
      </c>
      <c r="CA350" s="1321">
        <f>'CONCEPTOS Y PARAMETROS'!$A$102</f>
        <v>6255</v>
      </c>
      <c r="CB350" s="1112">
        <f t="shared" si="923"/>
        <v>143.94</v>
      </c>
      <c r="CC350" s="1113">
        <f t="shared" si="924"/>
        <v>566.30999999999995</v>
      </c>
      <c r="CD350" s="512"/>
      <c r="CE350" s="512"/>
      <c r="CF350" s="470">
        <f t="shared" si="962"/>
        <v>777.85</v>
      </c>
      <c r="CG350" s="495">
        <f t="shared" si="963"/>
        <v>143.94</v>
      </c>
      <c r="CH350" s="498">
        <f t="shared" si="927"/>
        <v>0</v>
      </c>
      <c r="CI350" s="1490">
        <f t="shared" si="964"/>
        <v>310</v>
      </c>
      <c r="CJ350" s="1500">
        <v>1</v>
      </c>
      <c r="CK350" s="495">
        <f t="shared" si="965"/>
        <v>467.85</v>
      </c>
      <c r="CL350" s="1689">
        <f t="shared" si="930"/>
        <v>467.85</v>
      </c>
      <c r="CM350" s="1689">
        <f t="shared" si="940"/>
        <v>0</v>
      </c>
      <c r="CN350" s="496">
        <f t="shared" si="966"/>
        <v>0</v>
      </c>
      <c r="CO350" s="497">
        <v>0</v>
      </c>
      <c r="CP350" s="496">
        <f t="shared" si="967"/>
        <v>98.46</v>
      </c>
      <c r="CQ350" s="496">
        <f t="shared" si="968"/>
        <v>0</v>
      </c>
      <c r="CR350" s="496">
        <f t="shared" si="969"/>
        <v>1034.1600000000001</v>
      </c>
      <c r="CS350" s="496">
        <f t="shared" si="970"/>
        <v>89.12</v>
      </c>
      <c r="CT350" s="496">
        <f t="shared" si="971"/>
        <v>6255</v>
      </c>
      <c r="CU350" s="470"/>
      <c r="CV350" s="470"/>
      <c r="CW350" s="470"/>
      <c r="CX350" s="470"/>
      <c r="CY350" s="1275" t="s">
        <v>6829</v>
      </c>
      <c r="CZ350" s="1275" t="s">
        <v>7172</v>
      </c>
      <c r="DA350" s="480"/>
      <c r="DB350" s="1642" t="s">
        <v>6451</v>
      </c>
      <c r="DC350" s="1642"/>
      <c r="DD350" s="1642" t="s">
        <v>6452</v>
      </c>
      <c r="DE350" s="1642" t="s">
        <v>6453</v>
      </c>
      <c r="DF350" s="1642" t="s">
        <v>6429</v>
      </c>
      <c r="DG350" s="1152"/>
      <c r="DH350" s="470"/>
      <c r="DI350" s="470"/>
      <c r="DJ350" s="470"/>
      <c r="DK350" s="470"/>
      <c r="DL350" s="470"/>
      <c r="DN350" s="471" t="str">
        <f>VLOOKUP(X350,Hoja1!$A$4:$B$10,2,0)</f>
        <v>BACHILLER</v>
      </c>
      <c r="DO350" s="471" t="str">
        <f>VLOOKUP(S350,Hoja1!$D$4:$F$77,3,0)</f>
        <v>GRADO (5) - MÁX</v>
      </c>
      <c r="DP350" s="1156" t="str">
        <f t="shared" si="972"/>
        <v>SI</v>
      </c>
      <c r="DQ350" s="1484">
        <f>IF(T350&lt;&gt;"0",(ROUND(IF(A350="EMPLEADO",eval_formula('CONCEPTOS Y PARAMETROS'!$C$8,NOMINA!V350,AU350+BF350,NOMINA!I350+NOMINA!J350),eval_formula('CONCEPTOS Y PARAMETROS'!$D$8,NOMINA!V350,AU350+BF350,NOMINA!I350+NOMINA!J350)),2))*IF(H350&lt;&gt;"",IF(MONTH(H350)=$BR$8,IF(YEAR(H350)&lt;$BT$7,1,0),0)))</f>
        <v>0</v>
      </c>
      <c r="DR350" s="1801" t="str">
        <f t="shared" si="973"/>
        <v>M</v>
      </c>
      <c r="DS350" s="1801"/>
    </row>
    <row r="351" spans="1:123" s="476" customFormat="1" ht="21.95" customHeight="1" x14ac:dyDescent="0.25">
      <c r="A351" s="508" t="s">
        <v>2834</v>
      </c>
      <c r="B351" s="1314">
        <f t="shared" ca="1" si="941"/>
        <v>47</v>
      </c>
      <c r="C351" s="990">
        <v>13404824</v>
      </c>
      <c r="D351" s="1275" t="s">
        <v>6659</v>
      </c>
      <c r="E351" s="1135" t="s">
        <v>4622</v>
      </c>
      <c r="F351" s="1118">
        <v>27093</v>
      </c>
      <c r="G351" s="1135" t="s">
        <v>4621</v>
      </c>
      <c r="H351" s="1118">
        <v>45474</v>
      </c>
      <c r="I351" s="1140">
        <f t="shared" si="952"/>
        <v>1</v>
      </c>
      <c r="J351" s="1132">
        <v>0</v>
      </c>
      <c r="K351" s="1140">
        <f t="shared" si="953"/>
        <v>1</v>
      </c>
      <c r="L351" s="1132" t="s">
        <v>5549</v>
      </c>
      <c r="M351" s="1132"/>
      <c r="N351" s="1132"/>
      <c r="O351" s="1002" t="s">
        <v>5084</v>
      </c>
      <c r="P351" s="1151" t="s">
        <v>6660</v>
      </c>
      <c r="Q351" s="1315">
        <v>7152</v>
      </c>
      <c r="R351" s="1394" t="s">
        <v>5084</v>
      </c>
      <c r="S351" s="1393">
        <v>3</v>
      </c>
      <c r="T351" s="1107">
        <f>IFERROR(VLOOKUP(S351,'TAB OBR'!A:B,2,0),0)</f>
        <v>152</v>
      </c>
      <c r="U351" s="1108">
        <v>0</v>
      </c>
      <c r="V351" s="1107">
        <f t="shared" si="954"/>
        <v>152</v>
      </c>
      <c r="W351" s="1108">
        <f t="shared" si="898"/>
        <v>76</v>
      </c>
      <c r="X351" s="1135" t="s">
        <v>2884</v>
      </c>
      <c r="Y351" s="1135" t="s">
        <v>2884</v>
      </c>
      <c r="Z351" s="1135">
        <v>0</v>
      </c>
      <c r="AA351" s="1107">
        <f>ROUND(IF(H351&lt;&gt;"",VLOOKUP(SUM(I351+J351),'CONCEPTOS Y PARAMETROS'!F:G,2,0)*V351,0),2)</f>
        <v>1.52</v>
      </c>
      <c r="AB351" s="1107">
        <f>IF(S351&lt;&gt;"",IF(M351="",'CONCEPTOS Y PARAMETROS'!$C$4,0),0)</f>
        <v>130</v>
      </c>
      <c r="AC351" s="1107">
        <f>IF(S351&lt;&gt;"",IF(M351="",'CONCEPTOS Y PARAMETROS'!$C$7*Z351,0),0)</f>
        <v>0</v>
      </c>
      <c r="AD351" s="1107">
        <f>IFERROR(ROUND(VLOOKUP($X351,'CONCEPTOS Y PARAMETROS'!H:I,2,0)*($V351+AA351+AB351+AC351),2),0)</f>
        <v>0</v>
      </c>
      <c r="AE351" s="1107">
        <f t="shared" si="955"/>
        <v>131.52000000000001</v>
      </c>
      <c r="AF351" s="1107">
        <f t="shared" si="900"/>
        <v>0.76</v>
      </c>
      <c r="AG351" s="1107">
        <f t="shared" si="901"/>
        <v>0.76</v>
      </c>
      <c r="AH351" s="1107">
        <f t="shared" si="902"/>
        <v>65</v>
      </c>
      <c r="AI351" s="1107">
        <f t="shared" si="903"/>
        <v>65</v>
      </c>
      <c r="AJ351" s="1107">
        <f t="shared" si="904"/>
        <v>0</v>
      </c>
      <c r="AK351" s="1107">
        <f t="shared" si="905"/>
        <v>0</v>
      </c>
      <c r="AL351" s="1108">
        <f t="shared" si="906"/>
        <v>65.760000000000005</v>
      </c>
      <c r="AM351" s="1108">
        <f t="shared" si="907"/>
        <v>65.760000000000005</v>
      </c>
      <c r="AN351" s="990">
        <v>0</v>
      </c>
      <c r="AO351" s="1147">
        <f>'CONCEPTOS Y PARAMETROS'!$C$18*AN351</f>
        <v>0</v>
      </c>
      <c r="AP351" s="990">
        <v>0</v>
      </c>
      <c r="AQ351" s="1147">
        <f>'CONCEPTOS Y PARAMETROS'!$C$21*AP351</f>
        <v>0</v>
      </c>
      <c r="AR351" s="1318">
        <v>0</v>
      </c>
      <c r="AS351" s="1318">
        <v>0</v>
      </c>
      <c r="AT351" s="1318">
        <f t="shared" si="949"/>
        <v>0</v>
      </c>
      <c r="AU351" s="1108">
        <f t="shared" si="956"/>
        <v>283.52</v>
      </c>
      <c r="AV351" s="1133">
        <v>0</v>
      </c>
      <c r="AW351" s="1108">
        <f t="shared" si="957"/>
        <v>0</v>
      </c>
      <c r="AX351" s="1107">
        <f>IF(T351&lt;&gt;"0",(ROUND(IF(A351="EMPLEADO",eval_formula('CONCEPTOS Y PARAMETROS'!$C$8,NOMINA!V351,NOMINA!$AU351,NOMINA!I351+NOMINA!J351),eval_formula('CONCEPTOS Y PARAMETROS'!$D$8,NOMINA!V351,NOMINA!$AU351,NOMINA!I351+NOMINA!J351)),2))*IF(H351&lt;&gt;"",IF(MONTH(H351)=$BR$8,IF(YEAR(H351)&lt;$BT$7,1,0),0)))</f>
        <v>0</v>
      </c>
      <c r="AY351" s="1108">
        <v>90</v>
      </c>
      <c r="AZ351" s="1107">
        <f>IFERROR(VLOOKUP(AY351,'CONCEPTOS Y PARAMETROS'!Y:Z,2,0),0)</f>
        <v>75</v>
      </c>
      <c r="BA351" s="1107">
        <f t="shared" si="911"/>
        <v>886</v>
      </c>
      <c r="BB351" s="1107">
        <f t="shared" si="912"/>
        <v>0</v>
      </c>
      <c r="BC351" s="990">
        <v>0</v>
      </c>
      <c r="BD351" s="1107" t="str">
        <f t="shared" si="958"/>
        <v>0</v>
      </c>
      <c r="BE351" s="990">
        <v>1</v>
      </c>
      <c r="BF351" s="1107">
        <f t="shared" si="959"/>
        <v>14.18</v>
      </c>
      <c r="BG351" s="1108">
        <v>310</v>
      </c>
      <c r="BH351" s="1108">
        <v>0</v>
      </c>
      <c r="BI351" s="1132">
        <v>0</v>
      </c>
      <c r="BJ351" s="1108">
        <f t="shared" si="915"/>
        <v>0</v>
      </c>
      <c r="BK351" s="1108">
        <v>0</v>
      </c>
      <c r="BL351" s="1107">
        <f t="shared" si="974"/>
        <v>13.09</v>
      </c>
      <c r="BM351" s="1107">
        <f t="shared" si="975"/>
        <v>1.64</v>
      </c>
      <c r="BN351" s="1107">
        <f t="shared" si="960"/>
        <v>2.84</v>
      </c>
      <c r="BO351" s="1107">
        <v>0</v>
      </c>
      <c r="BP351" s="1107">
        <v>0</v>
      </c>
      <c r="BQ351" s="1320">
        <f t="shared" si="917"/>
        <v>17.57</v>
      </c>
      <c r="BR351" s="1107">
        <f t="shared" si="976"/>
        <v>29.44</v>
      </c>
      <c r="BS351" s="1107">
        <f t="shared" si="977"/>
        <v>6.54</v>
      </c>
      <c r="BT351" s="1107">
        <f t="shared" si="961"/>
        <v>5.68</v>
      </c>
      <c r="BU351" s="1107">
        <v>0</v>
      </c>
      <c r="BV351" s="1108">
        <f t="shared" ref="BV351" si="1002">ROUND(SUM(BR351:BT351),2)</f>
        <v>41.66</v>
      </c>
      <c r="BW351" s="1112">
        <f t="shared" si="951"/>
        <v>59.23</v>
      </c>
      <c r="BX351" s="1112">
        <f t="shared" si="948"/>
        <v>221.5</v>
      </c>
      <c r="BY351" s="1108">
        <v>0</v>
      </c>
      <c r="BZ351" s="1108">
        <f t="shared" si="922"/>
        <v>221.5</v>
      </c>
      <c r="CA351" s="1321">
        <f>'CONCEPTOS Y PARAMETROS'!$A$102</f>
        <v>6255</v>
      </c>
      <c r="CB351" s="1112">
        <f t="shared" si="923"/>
        <v>124.19</v>
      </c>
      <c r="CC351" s="1113">
        <f t="shared" si="924"/>
        <v>465.94</v>
      </c>
      <c r="CD351" s="512"/>
      <c r="CE351" s="512"/>
      <c r="CF351" s="470">
        <f t="shared" si="962"/>
        <v>761.76</v>
      </c>
      <c r="CG351" s="509">
        <f t="shared" si="963"/>
        <v>124.19</v>
      </c>
      <c r="CH351" s="498">
        <f t="shared" si="927"/>
        <v>0</v>
      </c>
      <c r="CI351" s="1491">
        <f t="shared" si="964"/>
        <v>310</v>
      </c>
      <c r="CJ351" s="1500">
        <v>1</v>
      </c>
      <c r="CK351" s="509">
        <f t="shared" si="965"/>
        <v>451.76</v>
      </c>
      <c r="CL351" s="1689">
        <f t="shared" si="930"/>
        <v>451.76</v>
      </c>
      <c r="CM351" s="1689">
        <f t="shared" si="940"/>
        <v>0</v>
      </c>
      <c r="CN351" s="510">
        <f t="shared" si="966"/>
        <v>14.18</v>
      </c>
      <c r="CO351" s="511">
        <v>0</v>
      </c>
      <c r="CP351" s="510">
        <f t="shared" si="967"/>
        <v>0</v>
      </c>
      <c r="CQ351" s="510">
        <f t="shared" si="968"/>
        <v>0</v>
      </c>
      <c r="CR351" s="496">
        <f t="shared" si="969"/>
        <v>917.69999999999993</v>
      </c>
      <c r="CS351" s="510">
        <f t="shared" si="970"/>
        <v>59.23</v>
      </c>
      <c r="CT351" s="510">
        <f t="shared" si="971"/>
        <v>6255</v>
      </c>
      <c r="CU351" s="470"/>
      <c r="CV351" s="470"/>
      <c r="CW351" s="470"/>
      <c r="CX351" s="470"/>
      <c r="CY351" s="1275" t="s">
        <v>7173</v>
      </c>
      <c r="CZ351" s="1275" t="s">
        <v>7174</v>
      </c>
      <c r="DA351" s="1152"/>
      <c r="DB351" s="1642" t="s">
        <v>6661</v>
      </c>
      <c r="DC351" s="1642"/>
      <c r="DD351" s="1642" t="s">
        <v>6135</v>
      </c>
      <c r="DE351" s="1642" t="s">
        <v>6162</v>
      </c>
      <c r="DF351" s="1642" t="s">
        <v>6664</v>
      </c>
      <c r="DG351" s="1152"/>
      <c r="DH351" s="512"/>
      <c r="DI351" s="512"/>
      <c r="DJ351" s="512"/>
      <c r="DK351" s="512"/>
      <c r="DL351" s="512"/>
      <c r="DN351" s="476" t="str">
        <f>VLOOKUP(X351,Hoja1!$A$4:$B$10,2,0)</f>
        <v>BACHILLER</v>
      </c>
      <c r="DO351" s="476" t="str">
        <f>VLOOKUP(S351,Hoja1!$D$4:$F$77,3,0)</f>
        <v>GRADO (3) - MÁX</v>
      </c>
      <c r="DP351" s="1158" t="str">
        <f t="shared" si="972"/>
        <v>0</v>
      </c>
      <c r="DQ351" s="1484">
        <f>IF(T351&lt;&gt;"0",(ROUND(IF(A351="EMPLEADO",eval_formula('CONCEPTOS Y PARAMETROS'!$C$8,NOMINA!V351,AU351+BF351,NOMINA!I351+NOMINA!J351),eval_formula('CONCEPTOS Y PARAMETROS'!$D$8,NOMINA!V351,AU351+BF351,NOMINA!I351+NOMINA!J351)),2))*IF(H351&lt;&gt;"",IF(MONTH(H351)=$BR$8,IF(YEAR(H351)&lt;$BT$7,1,0),0)))</f>
        <v>0</v>
      </c>
      <c r="DR351" s="1799" t="str">
        <f t="shared" si="973"/>
        <v>M</v>
      </c>
      <c r="DS351" s="1799"/>
    </row>
    <row r="352" spans="1:123" s="471" customFormat="1" ht="21.95" customHeight="1" x14ac:dyDescent="0.25">
      <c r="A352" s="508" t="s">
        <v>2834</v>
      </c>
      <c r="B352" s="1314">
        <f t="shared" ca="1" si="941"/>
        <v>48</v>
      </c>
      <c r="C352" s="990">
        <v>13745328</v>
      </c>
      <c r="D352" s="1275" t="s">
        <v>5008</v>
      </c>
      <c r="E352" s="1135" t="s">
        <v>4622</v>
      </c>
      <c r="F352" s="1118">
        <v>27712</v>
      </c>
      <c r="G352" s="1135" t="s">
        <v>4621</v>
      </c>
      <c r="H352" s="1118">
        <v>44805</v>
      </c>
      <c r="I352" s="1140">
        <f t="shared" si="952"/>
        <v>3</v>
      </c>
      <c r="J352" s="1132">
        <v>0</v>
      </c>
      <c r="K352" s="1140">
        <f t="shared" si="953"/>
        <v>3</v>
      </c>
      <c r="L352" s="1145" t="s">
        <v>5539</v>
      </c>
      <c r="M352" s="1132"/>
      <c r="N352" s="1132"/>
      <c r="O352" s="1002" t="s">
        <v>5084</v>
      </c>
      <c r="P352" s="1132" t="s">
        <v>5146</v>
      </c>
      <c r="Q352" s="1315">
        <v>7152</v>
      </c>
      <c r="R352" s="1394" t="s">
        <v>5084</v>
      </c>
      <c r="S352" s="1393">
        <v>3</v>
      </c>
      <c r="T352" s="1107">
        <f>IFERROR(VLOOKUP(S352,'TAB OBR'!A:B,2,0),0)</f>
        <v>152</v>
      </c>
      <c r="U352" s="1108">
        <v>0</v>
      </c>
      <c r="V352" s="1107">
        <f t="shared" si="954"/>
        <v>152</v>
      </c>
      <c r="W352" s="1108">
        <f t="shared" si="898"/>
        <v>76</v>
      </c>
      <c r="X352" s="1135" t="s">
        <v>2884</v>
      </c>
      <c r="Y352" s="1135" t="s">
        <v>2884</v>
      </c>
      <c r="Z352" s="1135">
        <v>1</v>
      </c>
      <c r="AA352" s="1107">
        <f>ROUND(IF(H352&lt;&gt;"",VLOOKUP(SUM(I352+J352),'CONCEPTOS Y PARAMETROS'!F:G,2,0)*V352,0),2)</f>
        <v>4.5599999999999996</v>
      </c>
      <c r="AB352" s="1107">
        <f>IF(S352&lt;&gt;"",IF(M352="",'CONCEPTOS Y PARAMETROS'!$C$4,0),0)</f>
        <v>130</v>
      </c>
      <c r="AC352" s="1107">
        <f>IF(S352&lt;&gt;"",IF(M352="",'CONCEPTOS Y PARAMETROS'!$C$7*Z352,0),0)</f>
        <v>12.5</v>
      </c>
      <c r="AD352" s="1107">
        <f>IFERROR(ROUND(VLOOKUP($X352,'CONCEPTOS Y PARAMETROS'!H:I,2,0)*($V352+AA352+AB352+AC352),2),0)</f>
        <v>0</v>
      </c>
      <c r="AE352" s="1107">
        <f t="shared" si="955"/>
        <v>147.06</v>
      </c>
      <c r="AF352" s="1107">
        <f t="shared" si="900"/>
        <v>2.2799999999999998</v>
      </c>
      <c r="AG352" s="1107">
        <f t="shared" si="901"/>
        <v>2.2799999999999998</v>
      </c>
      <c r="AH352" s="1107">
        <f t="shared" si="902"/>
        <v>65</v>
      </c>
      <c r="AI352" s="1107">
        <f t="shared" si="903"/>
        <v>65</v>
      </c>
      <c r="AJ352" s="1107">
        <f t="shared" si="904"/>
        <v>0</v>
      </c>
      <c r="AK352" s="1107">
        <f t="shared" si="905"/>
        <v>0</v>
      </c>
      <c r="AL352" s="1108">
        <f t="shared" si="906"/>
        <v>79.78</v>
      </c>
      <c r="AM352" s="1108">
        <f t="shared" si="907"/>
        <v>67.28</v>
      </c>
      <c r="AN352" s="990">
        <v>0</v>
      </c>
      <c r="AO352" s="1147">
        <f>'CONCEPTOS Y PARAMETROS'!$C$18*AN352</f>
        <v>0</v>
      </c>
      <c r="AP352" s="990">
        <v>0</v>
      </c>
      <c r="AQ352" s="1147">
        <f>'CONCEPTOS Y PARAMETROS'!$C$21*AP352</f>
        <v>0</v>
      </c>
      <c r="AR352" s="1318">
        <v>0</v>
      </c>
      <c r="AS352" s="1318">
        <v>0</v>
      </c>
      <c r="AT352" s="1318">
        <f t="shared" si="949"/>
        <v>0</v>
      </c>
      <c r="AU352" s="1108">
        <f t="shared" si="956"/>
        <v>388.78</v>
      </c>
      <c r="AV352" s="1133" t="s">
        <v>5080</v>
      </c>
      <c r="AW352" s="1108">
        <f t="shared" si="957"/>
        <v>89.72</v>
      </c>
      <c r="AX352" s="1107">
        <f>IF(T352&lt;&gt;"0",(ROUND(IF(A352="EMPLEADO",eval_formula('CONCEPTOS Y PARAMETROS'!$C$8,NOMINA!V352,NOMINA!$AU352,NOMINA!I352+NOMINA!J352),eval_formula('CONCEPTOS Y PARAMETROS'!$D$8,NOMINA!V352,NOMINA!$AU352,NOMINA!I352+NOMINA!J352)),2))*IF(H352&lt;&gt;"",IF(MONTH(H352)=$BR$8,IF(YEAR(H352)&lt;$BT$7,1,0),0)))</f>
        <v>3110.24</v>
      </c>
      <c r="AY352" s="1108">
        <v>180</v>
      </c>
      <c r="AZ352" s="1107">
        <f>IFERROR(VLOOKUP(AY352,'CONCEPTOS Y PARAMETROS'!Y:Z,2,0),0)</f>
        <v>150</v>
      </c>
      <c r="BA352" s="1107">
        <f t="shared" si="911"/>
        <v>2915.85</v>
      </c>
      <c r="BB352" s="1107">
        <f t="shared" si="912"/>
        <v>0</v>
      </c>
      <c r="BC352" s="990">
        <v>0</v>
      </c>
      <c r="BD352" s="1107" t="str">
        <f t="shared" si="958"/>
        <v>0</v>
      </c>
      <c r="BE352" s="990">
        <v>0</v>
      </c>
      <c r="BF352" s="1107">
        <f t="shared" si="959"/>
        <v>0</v>
      </c>
      <c r="BG352" s="1108">
        <v>310</v>
      </c>
      <c r="BH352" s="1108">
        <v>0</v>
      </c>
      <c r="BI352" s="1132">
        <v>0</v>
      </c>
      <c r="BJ352" s="1108">
        <f t="shared" si="915"/>
        <v>0</v>
      </c>
      <c r="BK352" s="1108">
        <v>0</v>
      </c>
      <c r="BL352" s="1107">
        <f t="shared" si="974"/>
        <v>17.940000000000001</v>
      </c>
      <c r="BM352" s="1107">
        <f t="shared" si="975"/>
        <v>2.2400000000000002</v>
      </c>
      <c r="BN352" s="1107">
        <f t="shared" si="960"/>
        <v>3.89</v>
      </c>
      <c r="BO352" s="1107">
        <v>0</v>
      </c>
      <c r="BP352" s="1107">
        <v>0</v>
      </c>
      <c r="BQ352" s="1320">
        <f t="shared" si="917"/>
        <v>24.07</v>
      </c>
      <c r="BR352" s="1107">
        <f t="shared" si="976"/>
        <v>40.369999999999997</v>
      </c>
      <c r="BS352" s="1107">
        <f t="shared" si="977"/>
        <v>8.9700000000000006</v>
      </c>
      <c r="BT352" s="1107">
        <f t="shared" si="961"/>
        <v>7.78</v>
      </c>
      <c r="BU352" s="1107">
        <v>0</v>
      </c>
      <c r="BV352" s="1108">
        <f t="shared" si="950"/>
        <v>57.12</v>
      </c>
      <c r="BW352" s="1112">
        <f t="shared" si="951"/>
        <v>81.19</v>
      </c>
      <c r="BX352" s="1112">
        <f t="shared" si="948"/>
        <v>728.96</v>
      </c>
      <c r="BY352" s="1108">
        <v>0</v>
      </c>
      <c r="BZ352" s="1108">
        <f t="shared" si="922"/>
        <v>728.96</v>
      </c>
      <c r="CA352" s="1321">
        <f>'CONCEPTOS Y PARAMETROS'!$A$102</f>
        <v>6255</v>
      </c>
      <c r="CB352" s="1112">
        <f t="shared" si="923"/>
        <v>131.71</v>
      </c>
      <c r="CC352" s="1113">
        <f t="shared" si="924"/>
        <v>3653.24</v>
      </c>
      <c r="CD352" s="512"/>
      <c r="CE352" s="512"/>
      <c r="CF352" s="470">
        <f t="shared" si="962"/>
        <v>763.28</v>
      </c>
      <c r="CG352" s="495">
        <f t="shared" si="963"/>
        <v>131.71</v>
      </c>
      <c r="CH352" s="498">
        <f t="shared" si="927"/>
        <v>0</v>
      </c>
      <c r="CI352" s="1490">
        <f t="shared" si="964"/>
        <v>310</v>
      </c>
      <c r="CJ352" s="1500">
        <v>1</v>
      </c>
      <c r="CK352" s="495">
        <f t="shared" si="965"/>
        <v>453.28</v>
      </c>
      <c r="CL352" s="1689">
        <f t="shared" si="930"/>
        <v>453.28</v>
      </c>
      <c r="CM352" s="1689">
        <f t="shared" si="940"/>
        <v>0</v>
      </c>
      <c r="CN352" s="496">
        <f t="shared" si="966"/>
        <v>0</v>
      </c>
      <c r="CO352" s="497">
        <v>0</v>
      </c>
      <c r="CP352" s="496">
        <f t="shared" si="967"/>
        <v>89.72</v>
      </c>
      <c r="CQ352" s="496">
        <f t="shared" si="968"/>
        <v>3110.24</v>
      </c>
      <c r="CR352" s="496">
        <f t="shared" si="969"/>
        <v>4106.5199999999995</v>
      </c>
      <c r="CS352" s="496">
        <f t="shared" si="970"/>
        <v>81.19</v>
      </c>
      <c r="CT352" s="496">
        <f t="shared" si="971"/>
        <v>6255</v>
      </c>
      <c r="CU352" s="470"/>
      <c r="CV352" s="470"/>
      <c r="CW352" s="470"/>
      <c r="CX352" s="470"/>
      <c r="CY352" s="1275" t="s">
        <v>7175</v>
      </c>
      <c r="CZ352" s="1275" t="s">
        <v>7176</v>
      </c>
      <c r="DA352" s="480"/>
      <c r="DB352" s="1642" t="s">
        <v>6591</v>
      </c>
      <c r="DC352" s="1642"/>
      <c r="DD352" s="1642" t="s">
        <v>6156</v>
      </c>
      <c r="DE352" s="1642" t="s">
        <v>6217</v>
      </c>
      <c r="DF352" s="1642" t="s">
        <v>6352</v>
      </c>
      <c r="DG352" s="1152"/>
      <c r="DH352" s="470"/>
      <c r="DI352" s="470"/>
      <c r="DJ352" s="470"/>
      <c r="DK352" s="470"/>
      <c r="DL352" s="470"/>
      <c r="DN352" s="471" t="str">
        <f>VLOOKUP(X352,Hoja1!$A$4:$B$10,2,0)</f>
        <v>BACHILLER</v>
      </c>
      <c r="DO352" s="471" t="str">
        <f>VLOOKUP(S352,Hoja1!$D$4:$F$77,3,0)</f>
        <v>GRADO (3) - MÁX</v>
      </c>
      <c r="DP352" s="1156" t="str">
        <f t="shared" si="972"/>
        <v>SI</v>
      </c>
      <c r="DQ352" s="1484">
        <f>IF(T352&lt;&gt;"0",(ROUND(IF(A352="EMPLEADO",eval_formula('CONCEPTOS Y PARAMETROS'!$C$8,NOMINA!V352,AU352+BF352,NOMINA!I352+NOMINA!J352),eval_formula('CONCEPTOS Y PARAMETROS'!$D$8,NOMINA!V352,AU352+BF352,NOMINA!I352+NOMINA!J352)),2))*IF(H352&lt;&gt;"",IF(MONTH(H352)=$BR$8,IF(YEAR(H352)&lt;$BT$7,1,0),0)))</f>
        <v>3110.24</v>
      </c>
      <c r="DR352" s="1801" t="str">
        <f t="shared" si="973"/>
        <v>M</v>
      </c>
      <c r="DS352" s="1801"/>
    </row>
    <row r="353" spans="1:123" s="471" customFormat="1" ht="21.95" customHeight="1" x14ac:dyDescent="0.25">
      <c r="A353" s="508" t="s">
        <v>2834</v>
      </c>
      <c r="B353" s="1314">
        <f t="shared" ca="1" si="941"/>
        <v>49</v>
      </c>
      <c r="C353" s="990">
        <v>13996661</v>
      </c>
      <c r="D353" s="1275" t="s">
        <v>5009</v>
      </c>
      <c r="E353" s="1135" t="s">
        <v>4622</v>
      </c>
      <c r="F353" s="1118">
        <v>28800</v>
      </c>
      <c r="G353" s="1135" t="s">
        <v>4621</v>
      </c>
      <c r="H353" s="1118">
        <v>44743</v>
      </c>
      <c r="I353" s="1140">
        <f t="shared" si="952"/>
        <v>3</v>
      </c>
      <c r="J353" s="1132">
        <v>14</v>
      </c>
      <c r="K353" s="1140">
        <f t="shared" si="953"/>
        <v>17</v>
      </c>
      <c r="L353" s="1145" t="s">
        <v>5549</v>
      </c>
      <c r="M353" s="1132"/>
      <c r="N353" s="1132"/>
      <c r="O353" s="1002" t="s">
        <v>5094</v>
      </c>
      <c r="P353" s="1132" t="s">
        <v>5147</v>
      </c>
      <c r="Q353" s="1315">
        <v>7174</v>
      </c>
      <c r="R353" s="1394" t="s">
        <v>5094</v>
      </c>
      <c r="S353" s="1393">
        <v>4</v>
      </c>
      <c r="T353" s="1107">
        <f>IFERROR(VLOOKUP(S353,'TAB OBR'!A:B,2,0),0)</f>
        <v>161</v>
      </c>
      <c r="U353" s="1108">
        <v>0</v>
      </c>
      <c r="V353" s="1107">
        <f t="shared" si="954"/>
        <v>161</v>
      </c>
      <c r="W353" s="1108">
        <f t="shared" si="898"/>
        <v>80.5</v>
      </c>
      <c r="X353" s="1135" t="s">
        <v>2884</v>
      </c>
      <c r="Y353" s="1135" t="s">
        <v>2884</v>
      </c>
      <c r="Z353" s="1135">
        <v>1</v>
      </c>
      <c r="AA353" s="1107">
        <f>ROUND(IF(H353&lt;&gt;"",VLOOKUP(SUM(I353+J353),'CONCEPTOS Y PARAMETROS'!F:G,2,0)*V353,0),2)</f>
        <v>34.130000000000003</v>
      </c>
      <c r="AB353" s="1107">
        <f>IF(S353&lt;&gt;"",IF(M353="",'CONCEPTOS Y PARAMETROS'!$C$4,0),0)</f>
        <v>130</v>
      </c>
      <c r="AC353" s="1107">
        <f>IF(S353&lt;&gt;"",IF(M353="",'CONCEPTOS Y PARAMETROS'!$C$7*Z353,0),0)</f>
        <v>12.5</v>
      </c>
      <c r="AD353" s="1107">
        <f>IFERROR(ROUND(VLOOKUP($X353,'CONCEPTOS Y PARAMETROS'!H:I,2,0)*($V353+AA353+AB353+AC353),2),0)</f>
        <v>0</v>
      </c>
      <c r="AE353" s="1107">
        <f t="shared" si="955"/>
        <v>176.63</v>
      </c>
      <c r="AF353" s="1107">
        <f t="shared" si="900"/>
        <v>17.07</v>
      </c>
      <c r="AG353" s="1107">
        <f t="shared" si="901"/>
        <v>17.059999999999999</v>
      </c>
      <c r="AH353" s="1107">
        <f t="shared" si="902"/>
        <v>65</v>
      </c>
      <c r="AI353" s="1107">
        <f t="shared" si="903"/>
        <v>65</v>
      </c>
      <c r="AJ353" s="1107">
        <f t="shared" si="904"/>
        <v>0</v>
      </c>
      <c r="AK353" s="1107">
        <f t="shared" si="905"/>
        <v>0</v>
      </c>
      <c r="AL353" s="1108">
        <f t="shared" si="906"/>
        <v>94.57</v>
      </c>
      <c r="AM353" s="1108">
        <f t="shared" si="907"/>
        <v>82.06</v>
      </c>
      <c r="AN353" s="1453">
        <v>1</v>
      </c>
      <c r="AO353" s="1147">
        <f>'CONCEPTOS Y PARAMETROS'!$C$18*AN353</f>
        <v>12.5</v>
      </c>
      <c r="AP353" s="990">
        <v>0</v>
      </c>
      <c r="AQ353" s="1147">
        <f>'CONCEPTOS Y PARAMETROS'!$C$21*AP353</f>
        <v>0</v>
      </c>
      <c r="AR353" s="1318">
        <v>0</v>
      </c>
      <c r="AS353" s="1318">
        <v>0</v>
      </c>
      <c r="AT353" s="1318">
        <f t="shared" si="949"/>
        <v>12.5</v>
      </c>
      <c r="AU353" s="1108">
        <f t="shared" si="956"/>
        <v>438.92</v>
      </c>
      <c r="AV353" s="1133" t="s">
        <v>5080</v>
      </c>
      <c r="AW353" s="1108">
        <f t="shared" si="957"/>
        <v>101.29</v>
      </c>
      <c r="AX353" s="1107">
        <f>IF(T353&lt;&gt;"0",(ROUND(IF(A353="EMPLEADO",eval_formula('CONCEPTOS Y PARAMETROS'!$C$8,NOMINA!V353,NOMINA!$AU353,NOMINA!I353+NOMINA!J353),eval_formula('CONCEPTOS Y PARAMETROS'!$D$8,NOMINA!V353,NOMINA!$AU353,NOMINA!I353+NOMINA!J353)),2))*IF(H353&lt;&gt;"",IF(MONTH(H353)=$BR$8,IF(YEAR(H353)&lt;$BT$7,1,0),0)))</f>
        <v>0</v>
      </c>
      <c r="AY353" s="1108">
        <v>180</v>
      </c>
      <c r="AZ353" s="1107">
        <f>IFERROR(VLOOKUP(AY353,'CONCEPTOS Y PARAMETROS'!Y:Z,2,0),0)</f>
        <v>150</v>
      </c>
      <c r="BA353" s="1107">
        <f t="shared" si="911"/>
        <v>3291.9</v>
      </c>
      <c r="BB353" s="1107">
        <f t="shared" si="912"/>
        <v>0</v>
      </c>
      <c r="BC353" s="990">
        <v>0</v>
      </c>
      <c r="BD353" s="1107" t="str">
        <f t="shared" si="958"/>
        <v>0</v>
      </c>
      <c r="BE353" s="990">
        <v>2</v>
      </c>
      <c r="BF353" s="1107">
        <f t="shared" si="959"/>
        <v>43.89</v>
      </c>
      <c r="BG353" s="1108">
        <v>310</v>
      </c>
      <c r="BH353" s="1108">
        <v>0</v>
      </c>
      <c r="BI353" s="1132">
        <v>0</v>
      </c>
      <c r="BJ353" s="1108">
        <f t="shared" si="915"/>
        <v>0</v>
      </c>
      <c r="BK353" s="1108">
        <v>0</v>
      </c>
      <c r="BL353" s="1107">
        <f t="shared" si="974"/>
        <v>20.260000000000002</v>
      </c>
      <c r="BM353" s="1107">
        <f t="shared" si="975"/>
        <v>2.5299999999999998</v>
      </c>
      <c r="BN353" s="1107">
        <f t="shared" si="960"/>
        <v>4.3899999999999997</v>
      </c>
      <c r="BO353" s="1107">
        <v>0</v>
      </c>
      <c r="BP353" s="1107">
        <v>0</v>
      </c>
      <c r="BQ353" s="1320">
        <f t="shared" si="917"/>
        <v>27.18</v>
      </c>
      <c r="BR353" s="1107">
        <f t="shared" si="976"/>
        <v>45.58</v>
      </c>
      <c r="BS353" s="1107">
        <f t="shared" si="977"/>
        <v>10.130000000000001</v>
      </c>
      <c r="BT353" s="1107">
        <f t="shared" si="961"/>
        <v>8.7799999999999994</v>
      </c>
      <c r="BU353" s="1107">
        <v>0</v>
      </c>
      <c r="BV353" s="1108">
        <f t="shared" si="950"/>
        <v>64.489999999999995</v>
      </c>
      <c r="BW353" s="1112">
        <f t="shared" si="951"/>
        <v>91.669999999999987</v>
      </c>
      <c r="BX353" s="1112">
        <f t="shared" si="948"/>
        <v>822.98</v>
      </c>
      <c r="BY353" s="1108">
        <v>0</v>
      </c>
      <c r="BZ353" s="1108">
        <f t="shared" si="922"/>
        <v>822.98</v>
      </c>
      <c r="CA353" s="1321">
        <f>'CONCEPTOS Y PARAMETROS'!$A$102</f>
        <v>6255</v>
      </c>
      <c r="CB353" s="1112">
        <f t="shared" si="923"/>
        <v>147.88999999999999</v>
      </c>
      <c r="CC353" s="1113">
        <f t="shared" si="924"/>
        <v>630.24</v>
      </c>
      <c r="CD353" s="512"/>
      <c r="CE353" s="512"/>
      <c r="CF353" s="470">
        <f t="shared" si="962"/>
        <v>782.56</v>
      </c>
      <c r="CG353" s="495">
        <f t="shared" si="963"/>
        <v>147.88999999999999</v>
      </c>
      <c r="CH353" s="498">
        <f t="shared" si="927"/>
        <v>12.5</v>
      </c>
      <c r="CI353" s="1490">
        <f t="shared" si="964"/>
        <v>310</v>
      </c>
      <c r="CJ353" s="1500">
        <v>1</v>
      </c>
      <c r="CK353" s="495">
        <f t="shared" si="965"/>
        <v>472.56</v>
      </c>
      <c r="CL353" s="1689">
        <f t="shared" si="930"/>
        <v>472.56</v>
      </c>
      <c r="CM353" s="1689">
        <f t="shared" si="940"/>
        <v>0</v>
      </c>
      <c r="CN353" s="496">
        <f t="shared" si="966"/>
        <v>43.89</v>
      </c>
      <c r="CO353" s="497">
        <v>0</v>
      </c>
      <c r="CP353" s="496">
        <f t="shared" si="967"/>
        <v>101.29</v>
      </c>
      <c r="CQ353" s="496">
        <f t="shared" si="968"/>
        <v>0</v>
      </c>
      <c r="CR353" s="496">
        <f t="shared" si="969"/>
        <v>1090.3</v>
      </c>
      <c r="CS353" s="496">
        <f t="shared" si="970"/>
        <v>91.669999999999987</v>
      </c>
      <c r="CT353" s="496">
        <f t="shared" si="971"/>
        <v>6255</v>
      </c>
      <c r="CU353" s="470"/>
      <c r="CV353" s="470"/>
      <c r="CW353" s="470"/>
      <c r="CX353" s="470"/>
      <c r="CY353" s="1275" t="s">
        <v>6801</v>
      </c>
      <c r="CZ353" s="1275" t="s">
        <v>7177</v>
      </c>
      <c r="DA353" s="480"/>
      <c r="DB353" s="1642" t="s">
        <v>6454</v>
      </c>
      <c r="DC353" s="1642"/>
      <c r="DD353" s="1642" t="s">
        <v>6135</v>
      </c>
      <c r="DE353" s="1642" t="s">
        <v>6171</v>
      </c>
      <c r="DF353" s="1642" t="s">
        <v>6531</v>
      </c>
      <c r="DG353" s="1152"/>
      <c r="DH353" s="470"/>
      <c r="DI353" s="470"/>
      <c r="DJ353" s="470"/>
      <c r="DK353" s="470"/>
      <c r="DL353" s="470"/>
      <c r="DN353" s="471" t="str">
        <f>VLOOKUP(X353,Hoja1!$A$4:$B$10,2,0)</f>
        <v>BACHILLER</v>
      </c>
      <c r="DO353" s="471" t="str">
        <f>VLOOKUP(S353,Hoja1!$D$4:$F$77,3,0)</f>
        <v>GRADO (4) - MÁX</v>
      </c>
      <c r="DP353" s="1156" t="str">
        <f t="shared" si="972"/>
        <v>SI</v>
      </c>
      <c r="DQ353" s="1484">
        <f>IF(T353&lt;&gt;"0",(ROUND(IF(A353="EMPLEADO",eval_formula('CONCEPTOS Y PARAMETROS'!$C$8,NOMINA!V353,AU353+BF353,NOMINA!I353+NOMINA!J353),eval_formula('CONCEPTOS Y PARAMETROS'!$D$8,NOMINA!V353,AU353+BF353,NOMINA!I353+NOMINA!J353)),2))*IF(H353&lt;&gt;"",IF(MONTH(H353)=$BR$8,IF(YEAR(H353)&lt;$BT$7,1,0),0)))</f>
        <v>0</v>
      </c>
      <c r="DR353" s="1801" t="str">
        <f t="shared" si="973"/>
        <v>M</v>
      </c>
      <c r="DS353" s="1801"/>
    </row>
    <row r="354" spans="1:123" s="471" customFormat="1" ht="21.95" customHeight="1" x14ac:dyDescent="0.25">
      <c r="A354" s="508" t="s">
        <v>2834</v>
      </c>
      <c r="B354" s="1314">
        <f t="shared" ca="1" si="941"/>
        <v>50</v>
      </c>
      <c r="C354" s="990">
        <v>13996885</v>
      </c>
      <c r="D354" s="1275" t="s">
        <v>5010</v>
      </c>
      <c r="E354" s="1135" t="s">
        <v>4622</v>
      </c>
      <c r="F354" s="1118">
        <v>26869</v>
      </c>
      <c r="G354" s="1135" t="s">
        <v>4621</v>
      </c>
      <c r="H354" s="1118">
        <v>44363</v>
      </c>
      <c r="I354" s="1140">
        <f t="shared" si="952"/>
        <v>4</v>
      </c>
      <c r="J354" s="1132">
        <v>0</v>
      </c>
      <c r="K354" s="1140">
        <f t="shared" si="953"/>
        <v>4</v>
      </c>
      <c r="L354" s="1145" t="s">
        <v>5549</v>
      </c>
      <c r="M354" s="1132"/>
      <c r="N354" s="1132"/>
      <c r="O354" s="1002" t="s">
        <v>5094</v>
      </c>
      <c r="P354" s="1132" t="s">
        <v>5148</v>
      </c>
      <c r="Q354" s="1315">
        <v>7174</v>
      </c>
      <c r="R354" s="1394" t="s">
        <v>5094</v>
      </c>
      <c r="S354" s="1393">
        <v>4</v>
      </c>
      <c r="T354" s="1107">
        <f>IFERROR(VLOOKUP(S354,'TAB OBR'!A:B,2,0),0)</f>
        <v>161</v>
      </c>
      <c r="U354" s="1108">
        <v>0</v>
      </c>
      <c r="V354" s="1107">
        <f t="shared" si="954"/>
        <v>161</v>
      </c>
      <c r="W354" s="1108">
        <f t="shared" si="898"/>
        <v>80.5</v>
      </c>
      <c r="X354" s="1135" t="s">
        <v>2884</v>
      </c>
      <c r="Y354" s="1135" t="s">
        <v>2884</v>
      </c>
      <c r="Z354" s="1135">
        <v>0</v>
      </c>
      <c r="AA354" s="1107">
        <f>ROUND(IF(H354&lt;&gt;"",VLOOKUP(SUM(I354+J354),'CONCEPTOS Y PARAMETROS'!F:G,2,0)*V354,0),2)</f>
        <v>6.44</v>
      </c>
      <c r="AB354" s="1107">
        <f>IF(S354&lt;&gt;"",IF(M354="",'CONCEPTOS Y PARAMETROS'!$C$4,0),0)</f>
        <v>130</v>
      </c>
      <c r="AC354" s="1107">
        <f>IF(S354&lt;&gt;"",IF(M354="",'CONCEPTOS Y PARAMETROS'!$C$7*Z354,0),0)</f>
        <v>0</v>
      </c>
      <c r="AD354" s="1107">
        <f>IFERROR(ROUND(VLOOKUP($X354,'CONCEPTOS Y PARAMETROS'!H:I,2,0)*($V354+AA354+AB354+AC354),2),0)</f>
        <v>0</v>
      </c>
      <c r="AE354" s="1107">
        <f t="shared" si="955"/>
        <v>136.44</v>
      </c>
      <c r="AF354" s="1107">
        <f t="shared" si="900"/>
        <v>3.22</v>
      </c>
      <c r="AG354" s="1107">
        <f t="shared" si="901"/>
        <v>3.22</v>
      </c>
      <c r="AH354" s="1107">
        <f t="shared" si="902"/>
        <v>65</v>
      </c>
      <c r="AI354" s="1107">
        <f t="shared" si="903"/>
        <v>65</v>
      </c>
      <c r="AJ354" s="1107">
        <f t="shared" si="904"/>
        <v>0</v>
      </c>
      <c r="AK354" s="1107">
        <f t="shared" si="905"/>
        <v>0</v>
      </c>
      <c r="AL354" s="1108">
        <f t="shared" si="906"/>
        <v>68.22</v>
      </c>
      <c r="AM354" s="1108">
        <f t="shared" si="907"/>
        <v>68.22</v>
      </c>
      <c r="AN354" s="990">
        <v>0</v>
      </c>
      <c r="AO354" s="1147">
        <f>'CONCEPTOS Y PARAMETROS'!$C$18*AN354</f>
        <v>0</v>
      </c>
      <c r="AP354" s="990">
        <v>0</v>
      </c>
      <c r="AQ354" s="1147">
        <f>'CONCEPTOS Y PARAMETROS'!$C$21*AP354</f>
        <v>0</v>
      </c>
      <c r="AR354" s="1318">
        <v>0</v>
      </c>
      <c r="AS354" s="1318">
        <v>0</v>
      </c>
      <c r="AT354" s="1318">
        <f t="shared" si="949"/>
        <v>0</v>
      </c>
      <c r="AU354" s="1108">
        <f t="shared" si="956"/>
        <v>386.67</v>
      </c>
      <c r="AV354" s="1133" t="s">
        <v>5080</v>
      </c>
      <c r="AW354" s="1108">
        <f t="shared" si="957"/>
        <v>89.23</v>
      </c>
      <c r="AX354" s="1107">
        <f>IF(T354&lt;&gt;"0",(ROUND(IF(A354="EMPLEADO",eval_formula('CONCEPTOS Y PARAMETROS'!$C$8,NOMINA!V354,NOMINA!$AU354,NOMINA!I354+NOMINA!J354),eval_formula('CONCEPTOS Y PARAMETROS'!$D$8,NOMINA!V354,NOMINA!$AU354,NOMINA!I354+NOMINA!J354)),2))*IF(H354&lt;&gt;"",IF(MONTH(H354)=$BR$8,IF(YEAR(H354)&lt;$BT$7,1,0),0)))</f>
        <v>0</v>
      </c>
      <c r="AY354" s="1108">
        <v>180</v>
      </c>
      <c r="AZ354" s="1107">
        <f>IFERROR(VLOOKUP(AY354,'CONCEPTOS Y PARAMETROS'!Y:Z,2,0),0)</f>
        <v>150</v>
      </c>
      <c r="BA354" s="1107">
        <f t="shared" si="911"/>
        <v>2900.03</v>
      </c>
      <c r="BB354" s="1107">
        <f t="shared" si="912"/>
        <v>0</v>
      </c>
      <c r="BC354" s="990">
        <v>0</v>
      </c>
      <c r="BD354" s="1107" t="str">
        <f t="shared" si="958"/>
        <v>0</v>
      </c>
      <c r="BE354" s="990">
        <v>0</v>
      </c>
      <c r="BF354" s="1107">
        <f t="shared" si="959"/>
        <v>0</v>
      </c>
      <c r="BG354" s="1108">
        <v>310</v>
      </c>
      <c r="BH354" s="1108">
        <v>0</v>
      </c>
      <c r="BI354" s="1132">
        <v>0</v>
      </c>
      <c r="BJ354" s="1108">
        <f t="shared" si="915"/>
        <v>0</v>
      </c>
      <c r="BK354" s="1108">
        <v>0</v>
      </c>
      <c r="BL354" s="1107">
        <f t="shared" si="974"/>
        <v>17.850000000000001</v>
      </c>
      <c r="BM354" s="1107">
        <f t="shared" si="975"/>
        <v>2.23</v>
      </c>
      <c r="BN354" s="1107">
        <f t="shared" si="960"/>
        <v>3.87</v>
      </c>
      <c r="BO354" s="1107">
        <v>0</v>
      </c>
      <c r="BP354" s="1107">
        <v>0</v>
      </c>
      <c r="BQ354" s="1320">
        <f t="shared" si="917"/>
        <v>23.95</v>
      </c>
      <c r="BR354" s="1107">
        <f t="shared" si="976"/>
        <v>40.15</v>
      </c>
      <c r="BS354" s="1107">
        <f t="shared" si="977"/>
        <v>8.92</v>
      </c>
      <c r="BT354" s="1107">
        <f t="shared" si="961"/>
        <v>7.74</v>
      </c>
      <c r="BU354" s="1107">
        <v>0</v>
      </c>
      <c r="BV354" s="1108">
        <f t="shared" si="950"/>
        <v>56.81</v>
      </c>
      <c r="BW354" s="1112">
        <f t="shared" si="951"/>
        <v>80.760000000000005</v>
      </c>
      <c r="BX354" s="1112">
        <f t="shared" si="948"/>
        <v>725.01</v>
      </c>
      <c r="BY354" s="1108">
        <v>0</v>
      </c>
      <c r="BZ354" s="1108">
        <f t="shared" si="922"/>
        <v>725.01</v>
      </c>
      <c r="CA354" s="1321">
        <f>'CONCEPTOS Y PARAMETROS'!$A$102</f>
        <v>6255</v>
      </c>
      <c r="CB354" s="1112">
        <f t="shared" si="923"/>
        <v>124.77</v>
      </c>
      <c r="CC354" s="1113">
        <f t="shared" si="924"/>
        <v>547.95000000000005</v>
      </c>
      <c r="CD354" s="512"/>
      <c r="CE354" s="512"/>
      <c r="CF354" s="470">
        <f t="shared" si="962"/>
        <v>768.72</v>
      </c>
      <c r="CG354" s="495">
        <f t="shared" si="963"/>
        <v>124.77</v>
      </c>
      <c r="CH354" s="498">
        <f t="shared" si="927"/>
        <v>0</v>
      </c>
      <c r="CI354" s="1490">
        <f t="shared" si="964"/>
        <v>310</v>
      </c>
      <c r="CJ354" s="1500">
        <v>1</v>
      </c>
      <c r="CK354" s="495">
        <f t="shared" si="965"/>
        <v>458.72</v>
      </c>
      <c r="CL354" s="1689">
        <f t="shared" si="930"/>
        <v>458.72</v>
      </c>
      <c r="CM354" s="1689">
        <f t="shared" si="940"/>
        <v>0</v>
      </c>
      <c r="CN354" s="496">
        <f t="shared" si="966"/>
        <v>0</v>
      </c>
      <c r="CO354" s="497">
        <v>0</v>
      </c>
      <c r="CP354" s="496">
        <f t="shared" si="967"/>
        <v>89.23</v>
      </c>
      <c r="CQ354" s="496">
        <f t="shared" si="968"/>
        <v>0</v>
      </c>
      <c r="CR354" s="496">
        <f t="shared" si="969"/>
        <v>1006.6700000000001</v>
      </c>
      <c r="CS354" s="496">
        <f t="shared" si="970"/>
        <v>80.760000000000005</v>
      </c>
      <c r="CT354" s="496">
        <f t="shared" si="971"/>
        <v>6255</v>
      </c>
      <c r="CU354" s="470"/>
      <c r="CV354" s="470"/>
      <c r="CW354" s="470"/>
      <c r="CX354" s="470"/>
      <c r="CY354" s="1275" t="s">
        <v>6921</v>
      </c>
      <c r="CZ354" s="1275" t="s">
        <v>7178</v>
      </c>
      <c r="DA354" s="480"/>
      <c r="DB354" s="1642" t="s">
        <v>6455</v>
      </c>
      <c r="DC354" s="1642"/>
      <c r="DD354" s="1642" t="s">
        <v>6135</v>
      </c>
      <c r="DE354" s="1642" t="s">
        <v>6147</v>
      </c>
      <c r="DF354" s="1642" t="s">
        <v>6562</v>
      </c>
      <c r="DG354" s="1152"/>
      <c r="DH354" s="470"/>
      <c r="DI354" s="470"/>
      <c r="DJ354" s="470"/>
      <c r="DK354" s="470"/>
      <c r="DL354" s="470"/>
      <c r="DN354" s="471" t="str">
        <f>VLOOKUP(X354,Hoja1!$A$4:$B$10,2,0)</f>
        <v>BACHILLER</v>
      </c>
      <c r="DO354" s="471" t="str">
        <f>VLOOKUP(S354,Hoja1!$D$4:$F$77,3,0)</f>
        <v>GRADO (4) - MÁX</v>
      </c>
      <c r="DP354" s="1156" t="str">
        <f t="shared" si="972"/>
        <v>SI</v>
      </c>
      <c r="DQ354" s="1484">
        <f>IF(T354&lt;&gt;"0",(ROUND(IF(A354="EMPLEADO",eval_formula('CONCEPTOS Y PARAMETROS'!$C$8,NOMINA!V354,AU354+BF354,NOMINA!I354+NOMINA!J354),eval_formula('CONCEPTOS Y PARAMETROS'!$D$8,NOMINA!V354,AU354+BF354,NOMINA!I354+NOMINA!J354)),2))*IF(H354&lt;&gt;"",IF(MONTH(H354)=$BR$8,IF(YEAR(H354)&lt;$BT$7,1,0),0)))</f>
        <v>0</v>
      </c>
      <c r="DR354" s="1801" t="str">
        <f t="shared" si="973"/>
        <v>M</v>
      </c>
      <c r="DS354" s="1801"/>
    </row>
    <row r="355" spans="1:123" s="471" customFormat="1" ht="21.95" customHeight="1" x14ac:dyDescent="0.25">
      <c r="A355" s="508" t="s">
        <v>2834</v>
      </c>
      <c r="B355" s="1314">
        <f t="shared" ca="1" si="941"/>
        <v>51</v>
      </c>
      <c r="C355" s="990">
        <v>14149971</v>
      </c>
      <c r="D355" s="1275" t="s">
        <v>5011</v>
      </c>
      <c r="E355" s="1135" t="s">
        <v>4622</v>
      </c>
      <c r="F355" s="1118">
        <v>27378</v>
      </c>
      <c r="G355" s="1135" t="s">
        <v>4620</v>
      </c>
      <c r="H355" s="1118">
        <v>41091</v>
      </c>
      <c r="I355" s="1140">
        <f t="shared" si="952"/>
        <v>13</v>
      </c>
      <c r="J355" s="1132">
        <v>0</v>
      </c>
      <c r="K355" s="1140">
        <f t="shared" si="953"/>
        <v>13</v>
      </c>
      <c r="L355" s="1145" t="s">
        <v>5539</v>
      </c>
      <c r="M355" s="1132"/>
      <c r="N355" s="1132"/>
      <c r="O355" s="1002" t="s">
        <v>5087</v>
      </c>
      <c r="P355" s="1132" t="s">
        <v>5149</v>
      </c>
      <c r="Q355" s="1315">
        <v>7102</v>
      </c>
      <c r="R355" s="1394" t="s">
        <v>5087</v>
      </c>
      <c r="S355" s="1393">
        <v>1</v>
      </c>
      <c r="T355" s="1107">
        <f>IFERROR(VLOOKUP(S355,'TAB OBR'!A:B,2,0),0)</f>
        <v>130</v>
      </c>
      <c r="U355" s="1108">
        <v>0</v>
      </c>
      <c r="V355" s="1107">
        <f t="shared" si="954"/>
        <v>130</v>
      </c>
      <c r="W355" s="1108">
        <f t="shared" si="898"/>
        <v>65</v>
      </c>
      <c r="X355" s="1135" t="s">
        <v>2884</v>
      </c>
      <c r="Y355" s="1135" t="s">
        <v>2884</v>
      </c>
      <c r="Z355" s="1135">
        <v>0</v>
      </c>
      <c r="AA355" s="1107">
        <f>ROUND(IF(H355&lt;&gt;"",VLOOKUP(SUM(I355+J355),'CONCEPTOS Y PARAMETROS'!F:G,2,0)*V355,0),2)</f>
        <v>19.760000000000002</v>
      </c>
      <c r="AB355" s="1107">
        <f>IF(S355&lt;&gt;"",IF(M355="",'CONCEPTOS Y PARAMETROS'!$C$4,0),0)</f>
        <v>130</v>
      </c>
      <c r="AC355" s="1107">
        <f>IF(S355&lt;&gt;"",IF(M355="",'CONCEPTOS Y PARAMETROS'!$C$7*Z355,0),0)</f>
        <v>0</v>
      </c>
      <c r="AD355" s="1107">
        <f>IFERROR(ROUND(VLOOKUP($X355,'CONCEPTOS Y PARAMETROS'!H:I,2,0)*($V355+AA355+AB355+AC355),2),0)</f>
        <v>0</v>
      </c>
      <c r="AE355" s="1107">
        <f t="shared" si="955"/>
        <v>149.76</v>
      </c>
      <c r="AF355" s="1107">
        <f t="shared" si="900"/>
        <v>9.8800000000000008</v>
      </c>
      <c r="AG355" s="1107">
        <f t="shared" si="901"/>
        <v>9.8800000000000008</v>
      </c>
      <c r="AH355" s="1107">
        <f t="shared" si="902"/>
        <v>65</v>
      </c>
      <c r="AI355" s="1107">
        <f t="shared" si="903"/>
        <v>65</v>
      </c>
      <c r="AJ355" s="1107">
        <f t="shared" si="904"/>
        <v>0</v>
      </c>
      <c r="AK355" s="1107">
        <f t="shared" si="905"/>
        <v>0</v>
      </c>
      <c r="AL355" s="1108">
        <f t="shared" si="906"/>
        <v>74.88</v>
      </c>
      <c r="AM355" s="1108">
        <f t="shared" si="907"/>
        <v>74.88</v>
      </c>
      <c r="AN355" s="990">
        <v>0</v>
      </c>
      <c r="AO355" s="1147">
        <f>'CONCEPTOS Y PARAMETROS'!$C$18*AN355</f>
        <v>0</v>
      </c>
      <c r="AP355" s="990">
        <v>0</v>
      </c>
      <c r="AQ355" s="1147">
        <f>'CONCEPTOS Y PARAMETROS'!$C$21*AP355</f>
        <v>0</v>
      </c>
      <c r="AR355" s="1318">
        <v>0</v>
      </c>
      <c r="AS355" s="1318">
        <v>0</v>
      </c>
      <c r="AT355" s="1318">
        <f t="shared" si="949"/>
        <v>0</v>
      </c>
      <c r="AU355" s="1108">
        <f t="shared" si="956"/>
        <v>279.76</v>
      </c>
      <c r="AV355" s="1133">
        <v>0</v>
      </c>
      <c r="AW355" s="1108">
        <f t="shared" si="957"/>
        <v>0</v>
      </c>
      <c r="AX355" s="1107">
        <f>IF(T355&lt;&gt;"0",(ROUND(IF(A355="EMPLEADO",eval_formula('CONCEPTOS Y PARAMETROS'!$C$8,NOMINA!V355,NOMINA!$AU355,NOMINA!I355+NOMINA!J355),eval_formula('CONCEPTOS Y PARAMETROS'!$D$8,NOMINA!V355,NOMINA!$AU355,NOMINA!I355+NOMINA!J355)),2))*IF(H355&lt;&gt;"",IF(MONTH(H355)=$BR$8,IF(YEAR(H355)&lt;$BT$7,1,0),0)))</f>
        <v>0</v>
      </c>
      <c r="AY355" s="1108">
        <v>180</v>
      </c>
      <c r="AZ355" s="1107">
        <f>IFERROR(VLOOKUP(AY355,'CONCEPTOS Y PARAMETROS'!Y:Z,2,0),0)</f>
        <v>150</v>
      </c>
      <c r="BA355" s="1107">
        <f t="shared" si="911"/>
        <v>2098.1999999999998</v>
      </c>
      <c r="BB355" s="1107">
        <f t="shared" si="912"/>
        <v>0</v>
      </c>
      <c r="BC355" s="990">
        <v>0</v>
      </c>
      <c r="BD355" s="1107" t="str">
        <f t="shared" si="958"/>
        <v>0</v>
      </c>
      <c r="BE355" s="990">
        <v>0</v>
      </c>
      <c r="BF355" s="1107">
        <f t="shared" si="959"/>
        <v>0</v>
      </c>
      <c r="BG355" s="1108">
        <v>310</v>
      </c>
      <c r="BH355" s="1108">
        <v>0</v>
      </c>
      <c r="BI355" s="1132">
        <v>0</v>
      </c>
      <c r="BJ355" s="1108">
        <f t="shared" si="915"/>
        <v>0</v>
      </c>
      <c r="BK355" s="1108">
        <v>0</v>
      </c>
      <c r="BL355" s="1107">
        <f t="shared" si="974"/>
        <v>12.91</v>
      </c>
      <c r="BM355" s="1107">
        <f t="shared" si="975"/>
        <v>1.61</v>
      </c>
      <c r="BN355" s="1107">
        <f t="shared" si="960"/>
        <v>2.8</v>
      </c>
      <c r="BO355" s="1107">
        <v>0</v>
      </c>
      <c r="BP355" s="1107">
        <v>0</v>
      </c>
      <c r="BQ355" s="1320">
        <f t="shared" si="917"/>
        <v>17.32</v>
      </c>
      <c r="BR355" s="1107">
        <f t="shared" si="976"/>
        <v>29.05</v>
      </c>
      <c r="BS355" s="1107">
        <f t="shared" si="977"/>
        <v>6.46</v>
      </c>
      <c r="BT355" s="1107">
        <f t="shared" si="961"/>
        <v>5.6</v>
      </c>
      <c r="BU355" s="1107">
        <v>0</v>
      </c>
      <c r="BV355" s="1108">
        <f t="shared" si="950"/>
        <v>41.11</v>
      </c>
      <c r="BW355" s="1112">
        <f t="shared" si="951"/>
        <v>58.43</v>
      </c>
      <c r="BX355" s="1112">
        <f t="shared" si="948"/>
        <v>524.54999999999995</v>
      </c>
      <c r="BY355" s="1108">
        <v>0</v>
      </c>
      <c r="BZ355" s="1108">
        <f t="shared" si="922"/>
        <v>524.54999999999995</v>
      </c>
      <c r="CA355" s="1321">
        <f>'CONCEPTOS Y PARAMETROS'!$A$102</f>
        <v>6255</v>
      </c>
      <c r="CB355" s="1112">
        <f t="shared" si="923"/>
        <v>122.56</v>
      </c>
      <c r="CC355" s="1113">
        <f t="shared" si="924"/>
        <v>449.88</v>
      </c>
      <c r="CD355" s="512"/>
      <c r="CE355" s="512"/>
      <c r="CF355" s="470">
        <f t="shared" si="962"/>
        <v>759.88</v>
      </c>
      <c r="CG355" s="495">
        <f t="shared" si="963"/>
        <v>122.56</v>
      </c>
      <c r="CH355" s="498">
        <f t="shared" si="927"/>
        <v>0</v>
      </c>
      <c r="CI355" s="1490">
        <f t="shared" si="964"/>
        <v>310</v>
      </c>
      <c r="CJ355" s="1500">
        <v>1</v>
      </c>
      <c r="CK355" s="495">
        <f t="shared" si="965"/>
        <v>449.88</v>
      </c>
      <c r="CL355" s="1689">
        <f t="shared" si="930"/>
        <v>449.88</v>
      </c>
      <c r="CM355" s="1689">
        <f t="shared" si="940"/>
        <v>0</v>
      </c>
      <c r="CN355" s="496">
        <f t="shared" si="966"/>
        <v>0</v>
      </c>
      <c r="CO355" s="497">
        <v>0</v>
      </c>
      <c r="CP355" s="496">
        <f t="shared" si="967"/>
        <v>0</v>
      </c>
      <c r="CQ355" s="496">
        <f t="shared" si="968"/>
        <v>0</v>
      </c>
      <c r="CR355" s="496">
        <f t="shared" si="969"/>
        <v>899.76</v>
      </c>
      <c r="CS355" s="496">
        <f t="shared" si="970"/>
        <v>58.43</v>
      </c>
      <c r="CT355" s="496">
        <f t="shared" si="971"/>
        <v>6255</v>
      </c>
      <c r="CU355" s="470"/>
      <c r="CV355" s="470"/>
      <c r="CW355" s="470"/>
      <c r="CX355" s="470"/>
      <c r="CY355" s="1275" t="s">
        <v>6914</v>
      </c>
      <c r="CZ355" s="1275" t="s">
        <v>7179</v>
      </c>
      <c r="DA355" s="480"/>
      <c r="DB355" s="1642" t="s">
        <v>6356</v>
      </c>
      <c r="DC355" s="1642"/>
      <c r="DD355" s="1642" t="s">
        <v>6156</v>
      </c>
      <c r="DE355" s="1642" t="s">
        <v>6138</v>
      </c>
      <c r="DF355" s="1642" t="s">
        <v>6540</v>
      </c>
      <c r="DG355" s="1152"/>
      <c r="DH355" s="470"/>
      <c r="DI355" s="470"/>
      <c r="DJ355" s="470"/>
      <c r="DK355" s="470"/>
      <c r="DL355" s="470"/>
      <c r="DN355" s="471" t="str">
        <f>VLOOKUP(X355,Hoja1!$A$4:$B$10,2,0)</f>
        <v>BACHILLER</v>
      </c>
      <c r="DO355" s="471" t="str">
        <f>VLOOKUP(S355,Hoja1!$D$4:$F$77,3,0)</f>
        <v>GRADO (1) - MIN</v>
      </c>
      <c r="DP355" s="1156" t="str">
        <f t="shared" si="972"/>
        <v>0</v>
      </c>
      <c r="DQ355" s="1484">
        <f>IF(T355&lt;&gt;"0",(ROUND(IF(A355="EMPLEADO",eval_formula('CONCEPTOS Y PARAMETROS'!$C$8,NOMINA!V355,AU355+BF355,NOMINA!I355+NOMINA!J355),eval_formula('CONCEPTOS Y PARAMETROS'!$D$8,NOMINA!V355,AU355+BF355,NOMINA!I355+NOMINA!J355)),2))*IF(H355&lt;&gt;"",IF(MONTH(H355)=$BR$8,IF(YEAR(H355)&lt;$BT$7,1,0),0)))</f>
        <v>0</v>
      </c>
      <c r="DR355" s="1801" t="str">
        <f t="shared" si="973"/>
        <v>F</v>
      </c>
      <c r="DS355" s="1801"/>
    </row>
    <row r="356" spans="1:123" s="471" customFormat="1" ht="21.95" customHeight="1" x14ac:dyDescent="0.25">
      <c r="A356" s="508" t="s">
        <v>2834</v>
      </c>
      <c r="B356" s="1314">
        <f t="shared" ca="1" si="941"/>
        <v>52</v>
      </c>
      <c r="C356" s="990">
        <v>14150495</v>
      </c>
      <c r="D356" s="1275" t="s">
        <v>5012</v>
      </c>
      <c r="E356" s="1135" t="s">
        <v>4622</v>
      </c>
      <c r="F356" s="1118">
        <v>28679</v>
      </c>
      <c r="G356" s="1135" t="s">
        <v>4620</v>
      </c>
      <c r="H356" s="1118">
        <v>44228</v>
      </c>
      <c r="I356" s="1140">
        <f t="shared" si="952"/>
        <v>4</v>
      </c>
      <c r="J356" s="1132">
        <v>0</v>
      </c>
      <c r="K356" s="1140">
        <f t="shared" si="953"/>
        <v>4</v>
      </c>
      <c r="L356" s="1145" t="s">
        <v>5529</v>
      </c>
      <c r="M356" s="1132"/>
      <c r="N356" s="1132"/>
      <c r="O356" s="1002" t="s">
        <v>5088</v>
      </c>
      <c r="P356" s="1132" t="s">
        <v>5150</v>
      </c>
      <c r="Q356" s="1315">
        <v>7201</v>
      </c>
      <c r="R356" s="1394" t="s">
        <v>5088</v>
      </c>
      <c r="S356" s="1393">
        <v>5</v>
      </c>
      <c r="T356" s="1107">
        <f>IFERROR(VLOOKUP(S356,'TAB OBR'!A:B,2,0),0)</f>
        <v>171</v>
      </c>
      <c r="U356" s="1108">
        <v>0</v>
      </c>
      <c r="V356" s="1107">
        <f t="shared" si="954"/>
        <v>171</v>
      </c>
      <c r="W356" s="1108">
        <f t="shared" si="898"/>
        <v>85.5</v>
      </c>
      <c r="X356" s="1135" t="s">
        <v>2884</v>
      </c>
      <c r="Y356" s="1135" t="s">
        <v>2884</v>
      </c>
      <c r="Z356" s="1135">
        <v>0</v>
      </c>
      <c r="AA356" s="1107">
        <f>ROUND(IF(H356&lt;&gt;"",VLOOKUP(SUM(I356+J356),'CONCEPTOS Y PARAMETROS'!F:G,2,0)*V356,0),2)</f>
        <v>6.84</v>
      </c>
      <c r="AB356" s="1107">
        <f>IF(S356&lt;&gt;"",IF(M356="",'CONCEPTOS Y PARAMETROS'!$C$4,0),0)</f>
        <v>130</v>
      </c>
      <c r="AC356" s="1107">
        <f>IF(S356&lt;&gt;"",IF(M356="",'CONCEPTOS Y PARAMETROS'!$C$7*Z356,0),0)</f>
        <v>0</v>
      </c>
      <c r="AD356" s="1107">
        <f>IFERROR(ROUND(VLOOKUP($X356,'CONCEPTOS Y PARAMETROS'!H:I,2,0)*($V356+AA356+AB356+AC356),2),0)</f>
        <v>0</v>
      </c>
      <c r="AE356" s="1107">
        <f t="shared" si="955"/>
        <v>136.84</v>
      </c>
      <c r="AF356" s="1107">
        <f t="shared" si="900"/>
        <v>3.42</v>
      </c>
      <c r="AG356" s="1107">
        <f t="shared" si="901"/>
        <v>3.42</v>
      </c>
      <c r="AH356" s="1107">
        <f t="shared" si="902"/>
        <v>65</v>
      </c>
      <c r="AI356" s="1107">
        <f t="shared" si="903"/>
        <v>65</v>
      </c>
      <c r="AJ356" s="1107">
        <f t="shared" si="904"/>
        <v>0</v>
      </c>
      <c r="AK356" s="1107">
        <f t="shared" si="905"/>
        <v>0</v>
      </c>
      <c r="AL356" s="1108">
        <f t="shared" si="906"/>
        <v>68.42</v>
      </c>
      <c r="AM356" s="1108">
        <f t="shared" si="907"/>
        <v>68.42</v>
      </c>
      <c r="AN356" s="990">
        <v>0</v>
      </c>
      <c r="AO356" s="1147">
        <f>'CONCEPTOS Y PARAMETROS'!$C$18*AN356</f>
        <v>0</v>
      </c>
      <c r="AP356" s="990">
        <v>0</v>
      </c>
      <c r="AQ356" s="1147">
        <f>'CONCEPTOS Y PARAMETROS'!$C$21*AP356</f>
        <v>0</v>
      </c>
      <c r="AR356" s="1318">
        <v>0</v>
      </c>
      <c r="AS356" s="1318">
        <v>0</v>
      </c>
      <c r="AT356" s="1318">
        <f t="shared" si="949"/>
        <v>0</v>
      </c>
      <c r="AU356" s="1108">
        <f t="shared" si="956"/>
        <v>307.84000000000003</v>
      </c>
      <c r="AV356" s="1133">
        <v>0</v>
      </c>
      <c r="AW356" s="1108">
        <f t="shared" si="957"/>
        <v>0</v>
      </c>
      <c r="AX356" s="1107">
        <f>IF(T356&lt;&gt;"0",(ROUND(IF(A356="EMPLEADO",eval_formula('CONCEPTOS Y PARAMETROS'!$C$8,NOMINA!V356,NOMINA!$AU356,NOMINA!I356+NOMINA!J356),eval_formula('CONCEPTOS Y PARAMETROS'!$D$8,NOMINA!V356,NOMINA!$AU356,NOMINA!I356+NOMINA!J356)),2))*IF(H356&lt;&gt;"",IF(MONTH(H356)=$BR$8,IF(YEAR(H356)&lt;$BT$7,1,0),0)))</f>
        <v>0</v>
      </c>
      <c r="AY356" s="1108">
        <v>180</v>
      </c>
      <c r="AZ356" s="1107">
        <f>IFERROR(VLOOKUP(AY356,'CONCEPTOS Y PARAMETROS'!Y:Z,2,0),0)</f>
        <v>150</v>
      </c>
      <c r="BA356" s="1107">
        <f t="shared" si="911"/>
        <v>2308.8000000000002</v>
      </c>
      <c r="BB356" s="1107">
        <f t="shared" si="912"/>
        <v>0</v>
      </c>
      <c r="BC356" s="990">
        <v>0</v>
      </c>
      <c r="BD356" s="1107" t="str">
        <f t="shared" si="958"/>
        <v>0</v>
      </c>
      <c r="BE356" s="990">
        <v>0</v>
      </c>
      <c r="BF356" s="1107">
        <f t="shared" si="959"/>
        <v>0</v>
      </c>
      <c r="BG356" s="1108">
        <v>310</v>
      </c>
      <c r="BH356" s="1108">
        <v>0</v>
      </c>
      <c r="BI356" s="1132">
        <v>0</v>
      </c>
      <c r="BJ356" s="1108">
        <f t="shared" si="915"/>
        <v>0</v>
      </c>
      <c r="BK356" s="1108">
        <v>0</v>
      </c>
      <c r="BL356" s="1107">
        <f t="shared" si="974"/>
        <v>14.21</v>
      </c>
      <c r="BM356" s="1107">
        <f t="shared" si="975"/>
        <v>1.78</v>
      </c>
      <c r="BN356" s="1107">
        <f t="shared" si="960"/>
        <v>3.08</v>
      </c>
      <c r="BO356" s="1107">
        <v>0</v>
      </c>
      <c r="BP356" s="1107">
        <v>0</v>
      </c>
      <c r="BQ356" s="1320">
        <f t="shared" si="917"/>
        <v>19.07</v>
      </c>
      <c r="BR356" s="1107">
        <f t="shared" si="976"/>
        <v>31.97</v>
      </c>
      <c r="BS356" s="1107">
        <f t="shared" si="977"/>
        <v>7.1</v>
      </c>
      <c r="BT356" s="1107">
        <f t="shared" si="961"/>
        <v>6.16</v>
      </c>
      <c r="BU356" s="1107">
        <v>0</v>
      </c>
      <c r="BV356" s="1108">
        <f t="shared" si="950"/>
        <v>45.23</v>
      </c>
      <c r="BW356" s="1112">
        <f t="shared" si="951"/>
        <v>64.3</v>
      </c>
      <c r="BX356" s="1112">
        <f t="shared" si="948"/>
        <v>577.20000000000005</v>
      </c>
      <c r="BY356" s="1108">
        <v>0</v>
      </c>
      <c r="BZ356" s="1108">
        <f t="shared" si="922"/>
        <v>577.20000000000005</v>
      </c>
      <c r="CA356" s="1321">
        <f>'CONCEPTOS Y PARAMETROS'!$A$102</f>
        <v>6255</v>
      </c>
      <c r="CB356" s="1112">
        <f t="shared" si="923"/>
        <v>134.85000000000002</v>
      </c>
      <c r="CC356" s="1113">
        <f t="shared" si="924"/>
        <v>463.92</v>
      </c>
      <c r="CD356" s="512"/>
      <c r="CE356" s="512"/>
      <c r="CF356" s="470">
        <f t="shared" si="962"/>
        <v>773.92000000000007</v>
      </c>
      <c r="CG356" s="495">
        <f t="shared" si="963"/>
        <v>134.85000000000002</v>
      </c>
      <c r="CH356" s="498">
        <f t="shared" si="927"/>
        <v>0</v>
      </c>
      <c r="CI356" s="1490">
        <f t="shared" si="964"/>
        <v>310</v>
      </c>
      <c r="CJ356" s="1500">
        <v>1</v>
      </c>
      <c r="CK356" s="495">
        <f t="shared" si="965"/>
        <v>463.92</v>
      </c>
      <c r="CL356" s="1689">
        <f t="shared" si="930"/>
        <v>463.92</v>
      </c>
      <c r="CM356" s="1689">
        <f t="shared" si="940"/>
        <v>0</v>
      </c>
      <c r="CN356" s="496">
        <f t="shared" si="966"/>
        <v>0</v>
      </c>
      <c r="CO356" s="497">
        <v>0</v>
      </c>
      <c r="CP356" s="496">
        <f t="shared" si="967"/>
        <v>0</v>
      </c>
      <c r="CQ356" s="496">
        <f t="shared" si="968"/>
        <v>0</v>
      </c>
      <c r="CR356" s="496">
        <f t="shared" si="969"/>
        <v>927.84</v>
      </c>
      <c r="CS356" s="496">
        <f t="shared" si="970"/>
        <v>64.3</v>
      </c>
      <c r="CT356" s="496">
        <f t="shared" si="971"/>
        <v>6255</v>
      </c>
      <c r="CU356" s="470"/>
      <c r="CV356" s="470"/>
      <c r="CW356" s="470"/>
      <c r="CX356" s="470"/>
      <c r="CY356" s="1275" t="s">
        <v>7180</v>
      </c>
      <c r="CZ356" s="1275" t="s">
        <v>7181</v>
      </c>
      <c r="DA356" s="480"/>
      <c r="DB356" s="1642" t="s">
        <v>6456</v>
      </c>
      <c r="DC356" s="1642"/>
      <c r="DD356" s="1642" t="s">
        <v>6174</v>
      </c>
      <c r="DE356" s="1642" t="s">
        <v>6245</v>
      </c>
      <c r="DF356" s="1642" t="s">
        <v>6373</v>
      </c>
      <c r="DG356" s="1642"/>
      <c r="DH356" s="470"/>
      <c r="DI356" s="470"/>
      <c r="DJ356" s="470"/>
      <c r="DK356" s="470"/>
      <c r="DL356" s="470"/>
      <c r="DN356" s="471" t="str">
        <f>VLOOKUP(X356,Hoja1!$A$4:$B$10,2,0)</f>
        <v>BACHILLER</v>
      </c>
      <c r="DO356" s="471" t="str">
        <f>VLOOKUP(S356,Hoja1!$D$4:$F$77,3,0)</f>
        <v>GRADO (5) - MÁX</v>
      </c>
      <c r="DP356" s="1156" t="str">
        <f t="shared" si="972"/>
        <v>0</v>
      </c>
      <c r="DQ356" s="1484">
        <f>IF(T356&lt;&gt;"0",(ROUND(IF(A356="EMPLEADO",eval_formula('CONCEPTOS Y PARAMETROS'!$C$8,NOMINA!V356,AU356+BF356,NOMINA!I356+NOMINA!J356),eval_formula('CONCEPTOS Y PARAMETROS'!$D$8,NOMINA!V356,AU356+BF356,NOMINA!I356+NOMINA!J356)),2))*IF(H356&lt;&gt;"",IF(MONTH(H356)=$BR$8,IF(YEAR(H356)&lt;$BT$7,1,0),0)))</f>
        <v>0</v>
      </c>
      <c r="DR356" s="1801" t="str">
        <f t="shared" si="973"/>
        <v>F</v>
      </c>
      <c r="DS356" s="1801"/>
    </row>
    <row r="357" spans="1:123" s="471" customFormat="1" ht="21.95" customHeight="1" x14ac:dyDescent="0.25">
      <c r="A357" s="508" t="s">
        <v>2834</v>
      </c>
      <c r="B357" s="1314">
        <f t="shared" ca="1" si="941"/>
        <v>53</v>
      </c>
      <c r="C357" s="990">
        <v>14718369</v>
      </c>
      <c r="D357" s="1275" t="s">
        <v>7573</v>
      </c>
      <c r="E357" s="1135" t="s">
        <v>4622</v>
      </c>
      <c r="F357" s="1118">
        <v>28051</v>
      </c>
      <c r="G357" s="1135" t="s">
        <v>4620</v>
      </c>
      <c r="H357" s="1118">
        <v>43147</v>
      </c>
      <c r="I357" s="1140">
        <f t="shared" si="952"/>
        <v>7</v>
      </c>
      <c r="J357" s="1132">
        <v>0</v>
      </c>
      <c r="K357" s="1140">
        <f t="shared" si="953"/>
        <v>7</v>
      </c>
      <c r="L357" s="1145" t="s">
        <v>5550</v>
      </c>
      <c r="M357" s="1132"/>
      <c r="N357" s="1132"/>
      <c r="O357" s="1002" t="s">
        <v>5087</v>
      </c>
      <c r="P357" s="1132" t="s">
        <v>5151</v>
      </c>
      <c r="Q357" s="1315">
        <v>7102</v>
      </c>
      <c r="R357" s="1394" t="s">
        <v>5087</v>
      </c>
      <c r="S357" s="1393">
        <v>1</v>
      </c>
      <c r="T357" s="1107">
        <f>IFERROR(VLOOKUP(S357,'TAB OBR'!A:B,2,0),0)</f>
        <v>130</v>
      </c>
      <c r="U357" s="1108">
        <v>0</v>
      </c>
      <c r="V357" s="1107">
        <f t="shared" si="954"/>
        <v>130</v>
      </c>
      <c r="W357" s="1108">
        <f t="shared" si="898"/>
        <v>65</v>
      </c>
      <c r="X357" s="1135" t="s">
        <v>2884</v>
      </c>
      <c r="Y357" s="1135" t="s">
        <v>2884</v>
      </c>
      <c r="Z357" s="1135">
        <v>0</v>
      </c>
      <c r="AA357" s="1107">
        <f>ROUND(IF(H357&lt;&gt;"",VLOOKUP(SUM(I357+J357),'CONCEPTOS Y PARAMETROS'!F:G,2,0)*V357,0),2)</f>
        <v>9.6199999999999992</v>
      </c>
      <c r="AB357" s="1107">
        <f>IF(S357&lt;&gt;"",IF(M357="",'CONCEPTOS Y PARAMETROS'!$C$4,0),0)</f>
        <v>130</v>
      </c>
      <c r="AC357" s="1107">
        <f>IF(S357&lt;&gt;"",IF(M357="",'CONCEPTOS Y PARAMETROS'!$C$7*Z357,0),0)</f>
        <v>0</v>
      </c>
      <c r="AD357" s="1107">
        <f>IFERROR(ROUND(VLOOKUP($X357,'CONCEPTOS Y PARAMETROS'!H:I,2,0)*($V357+AA357+AB357+AC357),2),0)</f>
        <v>0</v>
      </c>
      <c r="AE357" s="1107">
        <f t="shared" si="955"/>
        <v>139.62</v>
      </c>
      <c r="AF357" s="1107">
        <f t="shared" si="900"/>
        <v>4.8099999999999996</v>
      </c>
      <c r="AG357" s="1107">
        <f t="shared" si="901"/>
        <v>4.8099999999999996</v>
      </c>
      <c r="AH357" s="1107">
        <f t="shared" si="902"/>
        <v>65</v>
      </c>
      <c r="AI357" s="1107">
        <f t="shared" si="903"/>
        <v>65</v>
      </c>
      <c r="AJ357" s="1107">
        <f t="shared" si="904"/>
        <v>0</v>
      </c>
      <c r="AK357" s="1107">
        <f t="shared" si="905"/>
        <v>0</v>
      </c>
      <c r="AL357" s="1108">
        <f t="shared" si="906"/>
        <v>69.81</v>
      </c>
      <c r="AM357" s="1108">
        <f t="shared" si="907"/>
        <v>69.81</v>
      </c>
      <c r="AN357" s="990">
        <v>0</v>
      </c>
      <c r="AO357" s="1147">
        <f>'CONCEPTOS Y PARAMETROS'!$C$18*AN357</f>
        <v>0</v>
      </c>
      <c r="AP357" s="990">
        <v>0</v>
      </c>
      <c r="AQ357" s="1147">
        <f>'CONCEPTOS Y PARAMETROS'!$C$21*AP357</f>
        <v>0</v>
      </c>
      <c r="AR357" s="1318">
        <v>0</v>
      </c>
      <c r="AS357" s="1318">
        <v>0</v>
      </c>
      <c r="AT357" s="1318">
        <f t="shared" si="949"/>
        <v>0</v>
      </c>
      <c r="AU357" s="1108">
        <f t="shared" si="956"/>
        <v>269.62</v>
      </c>
      <c r="AV357" s="1133">
        <v>0</v>
      </c>
      <c r="AW357" s="1108">
        <f t="shared" si="957"/>
        <v>0</v>
      </c>
      <c r="AX357" s="1107">
        <f>IF(T357&lt;&gt;"0",(ROUND(IF(A357="EMPLEADO",eval_formula('CONCEPTOS Y PARAMETROS'!$C$8,NOMINA!V357,NOMINA!$AU357,NOMINA!I357+NOMINA!J357),eval_formula('CONCEPTOS Y PARAMETROS'!$D$8,NOMINA!V357,NOMINA!$AU357,NOMINA!I357+NOMINA!J357)),2))*IF(H357&lt;&gt;"",IF(MONTH(H357)=$BR$8,IF(YEAR(H357)&lt;$BT$7,1,0),0)))</f>
        <v>0</v>
      </c>
      <c r="AY357" s="1108">
        <v>180</v>
      </c>
      <c r="AZ357" s="1107">
        <f>IFERROR(VLOOKUP(AY357,'CONCEPTOS Y PARAMETROS'!Y:Z,2,0),0)</f>
        <v>150</v>
      </c>
      <c r="BA357" s="1107">
        <f t="shared" si="911"/>
        <v>2022.15</v>
      </c>
      <c r="BB357" s="1107">
        <f t="shared" si="912"/>
        <v>0</v>
      </c>
      <c r="BC357" s="990">
        <v>0</v>
      </c>
      <c r="BD357" s="1107" t="str">
        <f t="shared" si="958"/>
        <v>0</v>
      </c>
      <c r="BE357" s="990">
        <v>0</v>
      </c>
      <c r="BF357" s="1107">
        <f t="shared" si="959"/>
        <v>0</v>
      </c>
      <c r="BG357" s="1108">
        <v>310</v>
      </c>
      <c r="BH357" s="1108">
        <v>0</v>
      </c>
      <c r="BI357" s="1132">
        <v>0</v>
      </c>
      <c r="BJ357" s="1108">
        <f t="shared" si="915"/>
        <v>0</v>
      </c>
      <c r="BK357" s="1108">
        <v>0</v>
      </c>
      <c r="BL357" s="1107">
        <f t="shared" si="974"/>
        <v>12.44</v>
      </c>
      <c r="BM357" s="1107">
        <f t="shared" si="975"/>
        <v>1.56</v>
      </c>
      <c r="BN357" s="1107">
        <f t="shared" si="960"/>
        <v>2.7</v>
      </c>
      <c r="BO357" s="1107">
        <v>0</v>
      </c>
      <c r="BP357" s="1107">
        <v>0</v>
      </c>
      <c r="BQ357" s="1320">
        <f t="shared" si="917"/>
        <v>16.7</v>
      </c>
      <c r="BR357" s="1107">
        <f t="shared" si="976"/>
        <v>28</v>
      </c>
      <c r="BS357" s="1107">
        <f t="shared" si="977"/>
        <v>6.22</v>
      </c>
      <c r="BT357" s="1107">
        <f t="shared" si="961"/>
        <v>5.4</v>
      </c>
      <c r="BU357" s="1107">
        <v>0</v>
      </c>
      <c r="BV357" s="1108">
        <f t="shared" si="950"/>
        <v>39.619999999999997</v>
      </c>
      <c r="BW357" s="1112">
        <f t="shared" si="951"/>
        <v>56.319999999999993</v>
      </c>
      <c r="BX357" s="1112">
        <f t="shared" ref="BX357:BX385" si="1003">ROUND(BA357/4,2)</f>
        <v>505.54</v>
      </c>
      <c r="BY357" s="1108">
        <v>0</v>
      </c>
      <c r="BZ357" s="1108">
        <f t="shared" si="922"/>
        <v>505.54</v>
      </c>
      <c r="CA357" s="1321">
        <f>'CONCEPTOS Y PARAMETROS'!$A$102</f>
        <v>6255</v>
      </c>
      <c r="CB357" s="1112">
        <f t="shared" si="923"/>
        <v>118.11</v>
      </c>
      <c r="CC357" s="1113">
        <f t="shared" si="924"/>
        <v>444.81</v>
      </c>
      <c r="CD357" s="512"/>
      <c r="CE357" s="512"/>
      <c r="CF357" s="470">
        <f t="shared" si="962"/>
        <v>754.81</v>
      </c>
      <c r="CG357" s="495">
        <f t="shared" si="963"/>
        <v>118.11</v>
      </c>
      <c r="CH357" s="498">
        <f t="shared" si="927"/>
        <v>0</v>
      </c>
      <c r="CI357" s="1490">
        <f t="shared" si="964"/>
        <v>310</v>
      </c>
      <c r="CJ357" s="1500">
        <v>1</v>
      </c>
      <c r="CK357" s="495">
        <f t="shared" si="965"/>
        <v>444.81</v>
      </c>
      <c r="CL357" s="1689">
        <f t="shared" si="930"/>
        <v>444.81</v>
      </c>
      <c r="CM357" s="1689">
        <f t="shared" si="940"/>
        <v>0</v>
      </c>
      <c r="CN357" s="496">
        <f t="shared" si="966"/>
        <v>0</v>
      </c>
      <c r="CO357" s="497">
        <v>0</v>
      </c>
      <c r="CP357" s="496">
        <f t="shared" si="967"/>
        <v>0</v>
      </c>
      <c r="CQ357" s="496">
        <f t="shared" si="968"/>
        <v>0</v>
      </c>
      <c r="CR357" s="496">
        <f t="shared" si="969"/>
        <v>889.62</v>
      </c>
      <c r="CS357" s="496">
        <f t="shared" si="970"/>
        <v>56.319999999999993</v>
      </c>
      <c r="CT357" s="496">
        <f t="shared" si="971"/>
        <v>6255</v>
      </c>
      <c r="CU357" s="470"/>
      <c r="CV357" s="470"/>
      <c r="CW357" s="470"/>
      <c r="CX357" s="470"/>
      <c r="CY357" s="1275" t="s">
        <v>7045</v>
      </c>
      <c r="CZ357" s="1275" t="s">
        <v>7151</v>
      </c>
      <c r="DA357" s="480"/>
      <c r="DB357" s="1642" t="s">
        <v>7505</v>
      </c>
      <c r="DC357" s="1642" t="s">
        <v>7497</v>
      </c>
      <c r="DD357" s="1642" t="s">
        <v>6135</v>
      </c>
      <c r="DE357" s="1642" t="s">
        <v>6162</v>
      </c>
      <c r="DF357" s="1642" t="s">
        <v>6228</v>
      </c>
      <c r="DG357" s="1642"/>
      <c r="DH357" s="470"/>
      <c r="DI357" s="470"/>
      <c r="DJ357" s="470"/>
      <c r="DK357" s="470"/>
      <c r="DL357" s="470"/>
      <c r="DN357" s="471" t="str">
        <f>VLOOKUP(X357,Hoja1!$A$4:$B$10,2,0)</f>
        <v>BACHILLER</v>
      </c>
      <c r="DO357" s="471" t="str">
        <f>VLOOKUP(S357,Hoja1!$D$4:$F$77,3,0)</f>
        <v>GRADO (1) - MIN</v>
      </c>
      <c r="DP357" s="1156" t="str">
        <f t="shared" si="972"/>
        <v>0</v>
      </c>
      <c r="DQ357" s="1484">
        <f>IF(T357&lt;&gt;"0",(ROUND(IF(A357="EMPLEADO",eval_formula('CONCEPTOS Y PARAMETROS'!$C$8,NOMINA!V357,AU357+BF357,NOMINA!I357+NOMINA!J357),eval_formula('CONCEPTOS Y PARAMETROS'!$D$8,NOMINA!V357,AU357+BF357,NOMINA!I357+NOMINA!J357)),2))*IF(H357&lt;&gt;"",IF(MONTH(H357)=$BR$8,IF(YEAR(H357)&lt;$BT$7,1,0),0)))</f>
        <v>0</v>
      </c>
      <c r="DR357" s="1801" t="str">
        <f t="shared" si="973"/>
        <v>F</v>
      </c>
      <c r="DS357" s="1801"/>
    </row>
    <row r="358" spans="1:123" s="471" customFormat="1" ht="21.95" customHeight="1" x14ac:dyDescent="0.25">
      <c r="A358" s="508" t="s">
        <v>2834</v>
      </c>
      <c r="B358" s="1314">
        <f t="shared" ca="1" si="941"/>
        <v>54</v>
      </c>
      <c r="C358" s="990">
        <v>14718468</v>
      </c>
      <c r="D358" s="1275" t="s">
        <v>5015</v>
      </c>
      <c r="E358" s="1135" t="s">
        <v>4622</v>
      </c>
      <c r="F358" s="1118">
        <v>29044</v>
      </c>
      <c r="G358" s="1135" t="s">
        <v>4621</v>
      </c>
      <c r="H358" s="1118">
        <v>42948</v>
      </c>
      <c r="I358" s="1140">
        <f t="shared" si="952"/>
        <v>8</v>
      </c>
      <c r="J358" s="1132">
        <v>0</v>
      </c>
      <c r="K358" s="1140">
        <f t="shared" si="953"/>
        <v>8</v>
      </c>
      <c r="L358" s="1145" t="s">
        <v>5538</v>
      </c>
      <c r="M358" s="1132"/>
      <c r="N358" s="1132"/>
      <c r="O358" s="1002" t="s">
        <v>5095</v>
      </c>
      <c r="P358" s="1132" t="s">
        <v>5152</v>
      </c>
      <c r="Q358" s="1315">
        <v>7201</v>
      </c>
      <c r="R358" s="1394" t="s">
        <v>5095</v>
      </c>
      <c r="S358" s="1393">
        <v>5</v>
      </c>
      <c r="T358" s="1107">
        <f>IFERROR(VLOOKUP(S358,'TAB OBR'!A:B,2,0),0)</f>
        <v>171</v>
      </c>
      <c r="U358" s="1108">
        <v>0</v>
      </c>
      <c r="V358" s="1107">
        <f t="shared" si="954"/>
        <v>171</v>
      </c>
      <c r="W358" s="1108">
        <f t="shared" si="898"/>
        <v>85.5</v>
      </c>
      <c r="X358" s="1135" t="s">
        <v>2884</v>
      </c>
      <c r="Y358" s="1135" t="s">
        <v>2884</v>
      </c>
      <c r="Z358" s="1135">
        <v>1</v>
      </c>
      <c r="AA358" s="1107">
        <f>ROUND(IF(H358&lt;&gt;"",VLOOKUP(SUM(I358+J358),'CONCEPTOS Y PARAMETROS'!F:G,2,0)*V358,0),2)</f>
        <v>14.71</v>
      </c>
      <c r="AB358" s="1107">
        <f>IF(S358&lt;&gt;"",IF(M358="",'CONCEPTOS Y PARAMETROS'!$C$4,0),0)</f>
        <v>130</v>
      </c>
      <c r="AC358" s="1107">
        <f>IF(S358&lt;&gt;"",IF(M358="",'CONCEPTOS Y PARAMETROS'!$C$7*Z358,0),0)</f>
        <v>12.5</v>
      </c>
      <c r="AD358" s="1107">
        <f>IFERROR(ROUND(VLOOKUP($X358,'CONCEPTOS Y PARAMETROS'!H:I,2,0)*($V358+AA358+AB358+AC358),2),0)</f>
        <v>0</v>
      </c>
      <c r="AE358" s="1107">
        <f t="shared" si="955"/>
        <v>157.21</v>
      </c>
      <c r="AF358" s="1107">
        <f t="shared" si="900"/>
        <v>7.36</v>
      </c>
      <c r="AG358" s="1107">
        <f t="shared" si="901"/>
        <v>7.35</v>
      </c>
      <c r="AH358" s="1107">
        <f t="shared" si="902"/>
        <v>65</v>
      </c>
      <c r="AI358" s="1107">
        <f t="shared" si="903"/>
        <v>65</v>
      </c>
      <c r="AJ358" s="1107">
        <f t="shared" si="904"/>
        <v>0</v>
      </c>
      <c r="AK358" s="1107">
        <f t="shared" si="905"/>
        <v>0</v>
      </c>
      <c r="AL358" s="1108">
        <f t="shared" si="906"/>
        <v>84.86</v>
      </c>
      <c r="AM358" s="1108">
        <f t="shared" si="907"/>
        <v>72.349999999999994</v>
      </c>
      <c r="AN358" s="1453">
        <v>1</v>
      </c>
      <c r="AO358" s="1147">
        <f>'CONCEPTOS Y PARAMETROS'!$C$18*AN358</f>
        <v>12.5</v>
      </c>
      <c r="AP358" s="990">
        <v>0</v>
      </c>
      <c r="AQ358" s="1147">
        <f>'CONCEPTOS Y PARAMETROS'!$C$21*AP358</f>
        <v>0</v>
      </c>
      <c r="AR358" s="1318">
        <v>0</v>
      </c>
      <c r="AS358" s="1318">
        <v>0</v>
      </c>
      <c r="AT358" s="1318">
        <f t="shared" si="949"/>
        <v>12.5</v>
      </c>
      <c r="AU358" s="1108">
        <f t="shared" si="956"/>
        <v>328.21000000000004</v>
      </c>
      <c r="AV358" s="1133">
        <v>0</v>
      </c>
      <c r="AW358" s="1108">
        <f t="shared" si="957"/>
        <v>0</v>
      </c>
      <c r="AX358" s="1107">
        <f>IF(T358&lt;&gt;"0",(ROUND(IF(A358="EMPLEADO",eval_formula('CONCEPTOS Y PARAMETROS'!$C$8,NOMINA!V358,NOMINA!$AU358,NOMINA!I358+NOMINA!J358),eval_formula('CONCEPTOS Y PARAMETROS'!$D$8,NOMINA!V358,NOMINA!$AU358,NOMINA!I358+NOMINA!J358)),2))*IF(H358&lt;&gt;"",IF(MONTH(H358)=$BR$8,IF(YEAR(H358)&lt;$BT$7,1,0),0)))</f>
        <v>0</v>
      </c>
      <c r="AY358" s="1108">
        <v>180</v>
      </c>
      <c r="AZ358" s="1107">
        <f>IFERROR(VLOOKUP(AY358,'CONCEPTOS Y PARAMETROS'!Y:Z,2,0),0)</f>
        <v>150</v>
      </c>
      <c r="BA358" s="1107">
        <f t="shared" si="911"/>
        <v>2461.58</v>
      </c>
      <c r="BB358" s="1107">
        <f t="shared" si="912"/>
        <v>0</v>
      </c>
      <c r="BC358" s="990">
        <v>0</v>
      </c>
      <c r="BD358" s="1107" t="str">
        <f t="shared" si="958"/>
        <v>0</v>
      </c>
      <c r="BE358" s="990">
        <v>0</v>
      </c>
      <c r="BF358" s="1107">
        <f t="shared" si="959"/>
        <v>0</v>
      </c>
      <c r="BG358" s="1108">
        <v>310</v>
      </c>
      <c r="BH358" s="1108">
        <v>0</v>
      </c>
      <c r="BI358" s="1132">
        <v>0</v>
      </c>
      <c r="BJ358" s="1108">
        <f t="shared" si="915"/>
        <v>0</v>
      </c>
      <c r="BK358" s="1108">
        <v>0</v>
      </c>
      <c r="BL358" s="1107">
        <f t="shared" si="974"/>
        <v>15.15</v>
      </c>
      <c r="BM358" s="1107">
        <f t="shared" si="975"/>
        <v>1.89</v>
      </c>
      <c r="BN358" s="1107">
        <f t="shared" si="960"/>
        <v>3.28</v>
      </c>
      <c r="BO358" s="1107">
        <v>0</v>
      </c>
      <c r="BP358" s="1107">
        <v>0</v>
      </c>
      <c r="BQ358" s="1320">
        <f t="shared" si="917"/>
        <v>20.32</v>
      </c>
      <c r="BR358" s="1107">
        <f t="shared" si="976"/>
        <v>34.08</v>
      </c>
      <c r="BS358" s="1107">
        <f t="shared" si="977"/>
        <v>7.57</v>
      </c>
      <c r="BT358" s="1107">
        <f t="shared" si="961"/>
        <v>6.56</v>
      </c>
      <c r="BU358" s="1107">
        <v>0</v>
      </c>
      <c r="BV358" s="1108">
        <f t="shared" si="950"/>
        <v>48.21</v>
      </c>
      <c r="BW358" s="1112">
        <f t="shared" si="951"/>
        <v>68.53</v>
      </c>
      <c r="BX358" s="1112">
        <f t="shared" si="1003"/>
        <v>615.4</v>
      </c>
      <c r="BY358" s="1108">
        <v>0</v>
      </c>
      <c r="BZ358" s="1108">
        <f t="shared" si="922"/>
        <v>615.4</v>
      </c>
      <c r="CA358" s="1321">
        <f>'CONCEPTOS Y PARAMETROS'!$A$102</f>
        <v>6255</v>
      </c>
      <c r="CB358" s="1112">
        <f t="shared" si="923"/>
        <v>150.04000000000002</v>
      </c>
      <c r="CC358" s="1113">
        <f t="shared" si="924"/>
        <v>480.35</v>
      </c>
      <c r="CD358" s="512"/>
      <c r="CE358" s="512"/>
      <c r="CF358" s="470">
        <f t="shared" si="962"/>
        <v>777.85</v>
      </c>
      <c r="CG358" s="495">
        <f t="shared" si="963"/>
        <v>150.04000000000002</v>
      </c>
      <c r="CH358" s="498">
        <f t="shared" si="927"/>
        <v>12.5</v>
      </c>
      <c r="CI358" s="1490">
        <f t="shared" si="964"/>
        <v>310</v>
      </c>
      <c r="CJ358" s="1500">
        <v>1</v>
      </c>
      <c r="CK358" s="495">
        <f t="shared" si="965"/>
        <v>467.85</v>
      </c>
      <c r="CL358" s="1689">
        <f t="shared" si="930"/>
        <v>467.85</v>
      </c>
      <c r="CM358" s="1689">
        <f t="shared" si="940"/>
        <v>0</v>
      </c>
      <c r="CN358" s="496">
        <f t="shared" si="966"/>
        <v>0</v>
      </c>
      <c r="CO358" s="497">
        <v>0</v>
      </c>
      <c r="CP358" s="496">
        <f t="shared" si="967"/>
        <v>0</v>
      </c>
      <c r="CQ358" s="496">
        <f t="shared" si="968"/>
        <v>0</v>
      </c>
      <c r="CR358" s="496">
        <f t="shared" si="969"/>
        <v>935.7</v>
      </c>
      <c r="CS358" s="496">
        <f t="shared" si="970"/>
        <v>68.53</v>
      </c>
      <c r="CT358" s="496">
        <f t="shared" si="971"/>
        <v>6255</v>
      </c>
      <c r="CU358" s="470"/>
      <c r="CV358" s="470"/>
      <c r="CW358" s="470"/>
      <c r="CX358" s="470"/>
      <c r="CY358" s="1275" t="s">
        <v>6804</v>
      </c>
      <c r="CZ358" s="1275" t="s">
        <v>7183</v>
      </c>
      <c r="DA358" s="480"/>
      <c r="DB358" s="1642" t="s">
        <v>6457</v>
      </c>
      <c r="DC358" s="1642"/>
      <c r="DD358" s="1642" t="s">
        <v>6135</v>
      </c>
      <c r="DE358" s="1642" t="s">
        <v>6171</v>
      </c>
      <c r="DF358" s="1642" t="s">
        <v>6531</v>
      </c>
      <c r="DG358" s="1642"/>
      <c r="DH358" s="470"/>
      <c r="DI358" s="470"/>
      <c r="DJ358" s="470"/>
      <c r="DK358" s="470"/>
      <c r="DL358" s="470"/>
      <c r="DN358" s="471" t="str">
        <f>VLOOKUP(X358,Hoja1!$A$4:$B$10,2,0)</f>
        <v>BACHILLER</v>
      </c>
      <c r="DO358" s="471" t="str">
        <f>VLOOKUP(S358,Hoja1!$D$4:$F$77,3,0)</f>
        <v>GRADO (5) - MÁX</v>
      </c>
      <c r="DP358" s="1156" t="str">
        <f t="shared" si="972"/>
        <v>0</v>
      </c>
      <c r="DQ358" s="1484">
        <f>IF(T358&lt;&gt;"0",(ROUND(IF(A358="EMPLEADO",eval_formula('CONCEPTOS Y PARAMETROS'!$C$8,NOMINA!V358,AU358+BF358,NOMINA!I358+NOMINA!J358),eval_formula('CONCEPTOS Y PARAMETROS'!$D$8,NOMINA!V358,AU358+BF358,NOMINA!I358+NOMINA!J358)),2))*IF(H358&lt;&gt;"",IF(MONTH(H358)=$BR$8,IF(YEAR(H358)&lt;$BT$7,1,0),0)))</f>
        <v>0</v>
      </c>
      <c r="DR358" s="1801" t="str">
        <f t="shared" si="973"/>
        <v>M</v>
      </c>
      <c r="DS358" s="1801"/>
    </row>
    <row r="359" spans="1:123" s="471" customFormat="1" ht="21.95" customHeight="1" x14ac:dyDescent="0.25">
      <c r="A359" s="508" t="s">
        <v>2834</v>
      </c>
      <c r="B359" s="1314">
        <f t="shared" ca="1" si="941"/>
        <v>55</v>
      </c>
      <c r="C359" s="990">
        <v>14719205</v>
      </c>
      <c r="D359" s="1275" t="s">
        <v>5016</v>
      </c>
      <c r="E359" s="1135" t="s">
        <v>4622</v>
      </c>
      <c r="F359" s="1118">
        <v>28764</v>
      </c>
      <c r="G359" s="1135" t="s">
        <v>4621</v>
      </c>
      <c r="H359" s="1118">
        <v>39861</v>
      </c>
      <c r="I359" s="1140">
        <f t="shared" si="952"/>
        <v>16</v>
      </c>
      <c r="J359" s="1132">
        <v>0</v>
      </c>
      <c r="K359" s="1140">
        <f t="shared" si="953"/>
        <v>16</v>
      </c>
      <c r="L359" s="1145" t="s">
        <v>5539</v>
      </c>
      <c r="M359" s="1132"/>
      <c r="N359" s="1132"/>
      <c r="O359" s="1002" t="s">
        <v>5084</v>
      </c>
      <c r="P359" s="1132" t="s">
        <v>5153</v>
      </c>
      <c r="Q359" s="1315">
        <v>7152</v>
      </c>
      <c r="R359" s="1394" t="s">
        <v>5084</v>
      </c>
      <c r="S359" s="1393">
        <v>3</v>
      </c>
      <c r="T359" s="1107">
        <f>IFERROR(VLOOKUP(S359,'TAB OBR'!A:B,2,0),0)</f>
        <v>152</v>
      </c>
      <c r="U359" s="1108">
        <v>0</v>
      </c>
      <c r="V359" s="1107">
        <f t="shared" si="954"/>
        <v>152</v>
      </c>
      <c r="W359" s="1108">
        <f t="shared" si="898"/>
        <v>76</v>
      </c>
      <c r="X359" s="1135" t="s">
        <v>2884</v>
      </c>
      <c r="Y359" s="1135" t="s">
        <v>2884</v>
      </c>
      <c r="Z359" s="1135">
        <v>0</v>
      </c>
      <c r="AA359" s="1107">
        <f>ROUND(IF(H359&lt;&gt;"",VLOOKUP(SUM(I359+J359),'CONCEPTOS Y PARAMETROS'!F:G,2,0)*V359,0),2)</f>
        <v>29.79</v>
      </c>
      <c r="AB359" s="1107">
        <f>IF(S359&lt;&gt;"",IF(M359="",'CONCEPTOS Y PARAMETROS'!$C$4,0),0)</f>
        <v>130</v>
      </c>
      <c r="AC359" s="1107">
        <f>IF(S359&lt;&gt;"",IF(M359="",'CONCEPTOS Y PARAMETROS'!$C$7*Z359,0),0)</f>
        <v>0</v>
      </c>
      <c r="AD359" s="1107">
        <f>IFERROR(ROUND(VLOOKUP($X359,'CONCEPTOS Y PARAMETROS'!H:I,2,0)*($V359+AA359+AB359+AC359),2),0)</f>
        <v>0</v>
      </c>
      <c r="AE359" s="1107">
        <f t="shared" si="955"/>
        <v>159.79</v>
      </c>
      <c r="AF359" s="1107">
        <f t="shared" si="900"/>
        <v>14.9</v>
      </c>
      <c r="AG359" s="1107">
        <f t="shared" si="901"/>
        <v>14.89</v>
      </c>
      <c r="AH359" s="1107">
        <f t="shared" si="902"/>
        <v>65</v>
      </c>
      <c r="AI359" s="1107">
        <f t="shared" si="903"/>
        <v>65</v>
      </c>
      <c r="AJ359" s="1107">
        <f t="shared" si="904"/>
        <v>0</v>
      </c>
      <c r="AK359" s="1107">
        <f t="shared" si="905"/>
        <v>0</v>
      </c>
      <c r="AL359" s="1108">
        <f t="shared" si="906"/>
        <v>79.900000000000006</v>
      </c>
      <c r="AM359" s="1108">
        <f t="shared" si="907"/>
        <v>79.89</v>
      </c>
      <c r="AN359" s="990">
        <v>0</v>
      </c>
      <c r="AO359" s="1147">
        <f>'CONCEPTOS Y PARAMETROS'!$C$18*AN359</f>
        <v>0</v>
      </c>
      <c r="AP359" s="990">
        <v>1</v>
      </c>
      <c r="AQ359" s="1147">
        <f>'CONCEPTOS Y PARAMETROS'!$C$21*AP359</f>
        <v>12.5</v>
      </c>
      <c r="AR359" s="1318">
        <v>0</v>
      </c>
      <c r="AS359" s="1318">
        <v>0</v>
      </c>
      <c r="AT359" s="1318">
        <f t="shared" si="949"/>
        <v>12.5</v>
      </c>
      <c r="AU359" s="1108">
        <f t="shared" si="956"/>
        <v>311.78999999999996</v>
      </c>
      <c r="AV359" s="1133">
        <v>0</v>
      </c>
      <c r="AW359" s="1108">
        <f t="shared" si="957"/>
        <v>0</v>
      </c>
      <c r="AX359" s="1107">
        <f>IF(T359&lt;&gt;"0",(ROUND(IF(A359="EMPLEADO",eval_formula('CONCEPTOS Y PARAMETROS'!$C$8,NOMINA!V359,NOMINA!$AU359,NOMINA!I359+NOMINA!J359),eval_formula('CONCEPTOS Y PARAMETROS'!$D$8,NOMINA!V359,NOMINA!$AU359,NOMINA!I359+NOMINA!J359)),2))*IF(H359&lt;&gt;"",IF(MONTH(H359)=$BR$8,IF(YEAR(H359)&lt;$BT$7,1,0),0)))</f>
        <v>0</v>
      </c>
      <c r="AY359" s="1108">
        <v>180</v>
      </c>
      <c r="AZ359" s="1107">
        <f>IFERROR(VLOOKUP(AY359,'CONCEPTOS Y PARAMETROS'!Y:Z,2,0),0)</f>
        <v>150</v>
      </c>
      <c r="BA359" s="1107">
        <f t="shared" si="911"/>
        <v>2338.4299999999998</v>
      </c>
      <c r="BB359" s="1107">
        <f t="shared" si="912"/>
        <v>0</v>
      </c>
      <c r="BC359" s="990">
        <v>0</v>
      </c>
      <c r="BD359" s="1107" t="str">
        <f t="shared" si="958"/>
        <v>0</v>
      </c>
      <c r="BE359" s="990">
        <v>0</v>
      </c>
      <c r="BF359" s="1107">
        <f t="shared" si="959"/>
        <v>0</v>
      </c>
      <c r="BG359" s="1108">
        <v>310</v>
      </c>
      <c r="BH359" s="1108">
        <v>0</v>
      </c>
      <c r="BI359" s="1132">
        <v>0</v>
      </c>
      <c r="BJ359" s="1108">
        <f t="shared" si="915"/>
        <v>0</v>
      </c>
      <c r="BK359" s="1108">
        <v>0</v>
      </c>
      <c r="BL359" s="1107">
        <f t="shared" si="974"/>
        <v>14.39</v>
      </c>
      <c r="BM359" s="1107">
        <f t="shared" si="975"/>
        <v>1.8</v>
      </c>
      <c r="BN359" s="1107">
        <f t="shared" si="960"/>
        <v>3.12</v>
      </c>
      <c r="BO359" s="1107">
        <v>0</v>
      </c>
      <c r="BP359" s="1107">
        <v>0</v>
      </c>
      <c r="BQ359" s="1320">
        <f t="shared" si="917"/>
        <v>19.309999999999999</v>
      </c>
      <c r="BR359" s="1107">
        <f t="shared" si="976"/>
        <v>32.380000000000003</v>
      </c>
      <c r="BS359" s="1107">
        <f t="shared" si="977"/>
        <v>7.2</v>
      </c>
      <c r="BT359" s="1107">
        <f t="shared" si="961"/>
        <v>6.24</v>
      </c>
      <c r="BU359" s="1107">
        <v>0</v>
      </c>
      <c r="BV359" s="1108">
        <f t="shared" si="950"/>
        <v>45.82</v>
      </c>
      <c r="BW359" s="1112">
        <f t="shared" si="951"/>
        <v>65.13</v>
      </c>
      <c r="BX359" s="1112">
        <f t="shared" si="1003"/>
        <v>584.61</v>
      </c>
      <c r="BY359" s="1108">
        <v>0</v>
      </c>
      <c r="BZ359" s="1108">
        <f t="shared" si="922"/>
        <v>584.61</v>
      </c>
      <c r="CA359" s="1321">
        <v>0</v>
      </c>
      <c r="CB359" s="1112">
        <f t="shared" si="923"/>
        <v>136.59</v>
      </c>
      <c r="CC359" s="1113">
        <f t="shared" si="924"/>
        <v>478.39</v>
      </c>
      <c r="CD359" s="512"/>
      <c r="CE359" s="512"/>
      <c r="CF359" s="470">
        <f t="shared" si="962"/>
        <v>775.89</v>
      </c>
      <c r="CG359" s="495">
        <f t="shared" si="963"/>
        <v>136.59</v>
      </c>
      <c r="CH359" s="498">
        <f t="shared" si="927"/>
        <v>12.5</v>
      </c>
      <c r="CI359" s="1490">
        <f t="shared" si="964"/>
        <v>310</v>
      </c>
      <c r="CJ359" s="1500">
        <v>1</v>
      </c>
      <c r="CK359" s="495">
        <f t="shared" si="965"/>
        <v>465.89</v>
      </c>
      <c r="CL359" s="1689">
        <f t="shared" si="930"/>
        <v>465.89</v>
      </c>
      <c r="CM359" s="1689">
        <f t="shared" si="940"/>
        <v>0</v>
      </c>
      <c r="CN359" s="496">
        <f t="shared" si="966"/>
        <v>0</v>
      </c>
      <c r="CO359" s="497">
        <v>0</v>
      </c>
      <c r="CP359" s="496">
        <f t="shared" si="967"/>
        <v>0</v>
      </c>
      <c r="CQ359" s="496">
        <f t="shared" si="968"/>
        <v>0</v>
      </c>
      <c r="CR359" s="496">
        <f t="shared" si="969"/>
        <v>931.78</v>
      </c>
      <c r="CS359" s="496">
        <f t="shared" si="970"/>
        <v>65.13</v>
      </c>
      <c r="CT359" s="496">
        <f t="shared" si="971"/>
        <v>0</v>
      </c>
      <c r="CU359" s="470"/>
      <c r="CV359" s="470"/>
      <c r="CW359" s="470"/>
      <c r="CX359" s="470"/>
      <c r="CY359" s="1275" t="s">
        <v>7184</v>
      </c>
      <c r="CZ359" s="1275" t="s">
        <v>7182</v>
      </c>
      <c r="DA359" s="480"/>
      <c r="DB359" s="1152" t="s">
        <v>6569</v>
      </c>
      <c r="DC359" s="1152" t="s">
        <v>7546</v>
      </c>
      <c r="DD359" s="1152" t="s">
        <v>6137</v>
      </c>
      <c r="DE359" s="1152" t="s">
        <v>6138</v>
      </c>
      <c r="DF359" s="1152" t="s">
        <v>6360</v>
      </c>
      <c r="DG359" s="1152"/>
      <c r="DH359" s="470"/>
      <c r="DI359" s="470"/>
      <c r="DJ359" s="470"/>
      <c r="DK359" s="470"/>
      <c r="DL359" s="470"/>
      <c r="DN359" s="471" t="str">
        <f>VLOOKUP(X359,Hoja1!$A$4:$B$10,2,0)</f>
        <v>BACHILLER</v>
      </c>
      <c r="DO359" s="471" t="str">
        <f>VLOOKUP(S359,Hoja1!$D$4:$F$77,3,0)</f>
        <v>GRADO (3) - MÁX</v>
      </c>
      <c r="DP359" s="1156" t="str">
        <f t="shared" si="972"/>
        <v>0</v>
      </c>
      <c r="DQ359" s="1484">
        <f>IF(T359&lt;&gt;"0",(ROUND(IF(A359="EMPLEADO",eval_formula('CONCEPTOS Y PARAMETROS'!$C$8,NOMINA!V359,AU359+BF359,NOMINA!I359+NOMINA!J359),eval_formula('CONCEPTOS Y PARAMETROS'!$D$8,NOMINA!V359,AU359+BF359,NOMINA!I359+NOMINA!J359)),2))*IF(H359&lt;&gt;"",IF(MONTH(H359)=$BR$8,IF(YEAR(H359)&lt;$BT$7,1,0),0)))</f>
        <v>0</v>
      </c>
      <c r="DR359" s="1801" t="str">
        <f t="shared" si="973"/>
        <v>M</v>
      </c>
      <c r="DS359" s="1801"/>
    </row>
    <row r="360" spans="1:123" s="471" customFormat="1" ht="21.95" customHeight="1" x14ac:dyDescent="0.25">
      <c r="A360" s="508" t="s">
        <v>2834</v>
      </c>
      <c r="B360" s="1314">
        <f t="shared" ca="1" si="941"/>
        <v>56</v>
      </c>
      <c r="C360" s="990">
        <v>14719356</v>
      </c>
      <c r="D360" s="1275" t="s">
        <v>5017</v>
      </c>
      <c r="E360" s="1135" t="s">
        <v>4622</v>
      </c>
      <c r="F360" s="1118">
        <v>28968</v>
      </c>
      <c r="G360" s="1135" t="s">
        <v>4621</v>
      </c>
      <c r="H360" s="1118">
        <v>44348</v>
      </c>
      <c r="I360" s="1140">
        <f t="shared" si="952"/>
        <v>4</v>
      </c>
      <c r="J360" s="1132">
        <v>0</v>
      </c>
      <c r="K360" s="1140">
        <f t="shared" si="953"/>
        <v>4</v>
      </c>
      <c r="L360" s="1145" t="s">
        <v>5528</v>
      </c>
      <c r="M360" s="1132"/>
      <c r="N360" s="1132"/>
      <c r="O360" s="1002" t="s">
        <v>5084</v>
      </c>
      <c r="P360" s="1132" t="s">
        <v>5154</v>
      </c>
      <c r="Q360" s="1315">
        <v>7152</v>
      </c>
      <c r="R360" s="1394" t="s">
        <v>5084</v>
      </c>
      <c r="S360" s="1393">
        <v>3</v>
      </c>
      <c r="T360" s="1107">
        <f>IFERROR(VLOOKUP(S360,'TAB OBR'!A:B,2,0),0)</f>
        <v>152</v>
      </c>
      <c r="U360" s="1108">
        <v>0</v>
      </c>
      <c r="V360" s="1107">
        <f t="shared" si="954"/>
        <v>152</v>
      </c>
      <c r="W360" s="1108">
        <f t="shared" si="898"/>
        <v>76</v>
      </c>
      <c r="X360" s="1135" t="s">
        <v>2884</v>
      </c>
      <c r="Y360" s="1135" t="s">
        <v>2884</v>
      </c>
      <c r="Z360" s="1135">
        <v>2</v>
      </c>
      <c r="AA360" s="1107">
        <f>ROUND(IF(H360&lt;&gt;"",VLOOKUP(SUM(I360+J360),'CONCEPTOS Y PARAMETROS'!F:G,2,0)*V360,0),2)</f>
        <v>6.08</v>
      </c>
      <c r="AB360" s="1107">
        <f>IF(S360&lt;&gt;"",IF(M360="",'CONCEPTOS Y PARAMETROS'!$C$4,0),0)</f>
        <v>130</v>
      </c>
      <c r="AC360" s="1107">
        <f>IF(S360&lt;&gt;"",IF(M360="",'CONCEPTOS Y PARAMETROS'!$C$7*Z360,0),0)</f>
        <v>25</v>
      </c>
      <c r="AD360" s="1107">
        <f>IFERROR(ROUND(VLOOKUP($X360,'CONCEPTOS Y PARAMETROS'!H:I,2,0)*($V360+AA360+AB360+AC360),2),0)</f>
        <v>0</v>
      </c>
      <c r="AE360" s="1107">
        <f t="shared" si="955"/>
        <v>161.08000000000001</v>
      </c>
      <c r="AF360" s="1107">
        <f t="shared" si="900"/>
        <v>3.04</v>
      </c>
      <c r="AG360" s="1107">
        <f t="shared" si="901"/>
        <v>3.04</v>
      </c>
      <c r="AH360" s="1107">
        <f t="shared" si="902"/>
        <v>65</v>
      </c>
      <c r="AI360" s="1107">
        <f t="shared" si="903"/>
        <v>65</v>
      </c>
      <c r="AJ360" s="1107">
        <f t="shared" si="904"/>
        <v>0</v>
      </c>
      <c r="AK360" s="1107">
        <f t="shared" si="905"/>
        <v>0</v>
      </c>
      <c r="AL360" s="1108">
        <f t="shared" si="906"/>
        <v>93.04</v>
      </c>
      <c r="AM360" s="1108">
        <f t="shared" si="907"/>
        <v>68.040000000000006</v>
      </c>
      <c r="AN360" s="990">
        <v>0</v>
      </c>
      <c r="AO360" s="1147">
        <f>'CONCEPTOS Y PARAMETROS'!$C$18*AN360</f>
        <v>0</v>
      </c>
      <c r="AP360" s="990">
        <v>0</v>
      </c>
      <c r="AQ360" s="1147">
        <f>'CONCEPTOS Y PARAMETROS'!$C$21*AP360</f>
        <v>0</v>
      </c>
      <c r="AR360" s="1318">
        <v>0</v>
      </c>
      <c r="AS360" s="1318">
        <v>0</v>
      </c>
      <c r="AT360" s="1318">
        <f t="shared" si="949"/>
        <v>0</v>
      </c>
      <c r="AU360" s="1108">
        <f t="shared" si="956"/>
        <v>313.08000000000004</v>
      </c>
      <c r="AV360" s="1133">
        <v>0</v>
      </c>
      <c r="AW360" s="1108">
        <f t="shared" si="957"/>
        <v>0</v>
      </c>
      <c r="AX360" s="1107">
        <f>IF(T360&lt;&gt;"0",(ROUND(IF(A360="EMPLEADO",eval_formula('CONCEPTOS Y PARAMETROS'!$C$8,NOMINA!V360,NOMINA!$AU360,NOMINA!I360+NOMINA!J360),eval_formula('CONCEPTOS Y PARAMETROS'!$D$8,NOMINA!V360,NOMINA!$AU360,NOMINA!I360+NOMINA!J360)),2))*IF(H360&lt;&gt;"",IF(MONTH(H360)=$BR$8,IF(YEAR(H360)&lt;$BT$7,1,0),0)))</f>
        <v>0</v>
      </c>
      <c r="AY360" s="1108">
        <v>180</v>
      </c>
      <c r="AZ360" s="1107">
        <f>IFERROR(VLOOKUP(AY360,'CONCEPTOS Y PARAMETROS'!Y:Z,2,0),0)</f>
        <v>150</v>
      </c>
      <c r="BA360" s="1107">
        <f t="shared" si="911"/>
        <v>2348.1</v>
      </c>
      <c r="BB360" s="1107">
        <f t="shared" si="912"/>
        <v>0</v>
      </c>
      <c r="BC360" s="990">
        <v>0</v>
      </c>
      <c r="BD360" s="1107" t="str">
        <f t="shared" si="958"/>
        <v>0</v>
      </c>
      <c r="BE360" s="990">
        <v>0</v>
      </c>
      <c r="BF360" s="1107">
        <f t="shared" si="959"/>
        <v>0</v>
      </c>
      <c r="BG360" s="1108">
        <v>310</v>
      </c>
      <c r="BH360" s="1108">
        <v>0</v>
      </c>
      <c r="BI360" s="1132">
        <v>0</v>
      </c>
      <c r="BJ360" s="1108">
        <f t="shared" si="915"/>
        <v>0</v>
      </c>
      <c r="BK360" s="1108">
        <v>0</v>
      </c>
      <c r="BL360" s="1107">
        <f t="shared" si="974"/>
        <v>14.45</v>
      </c>
      <c r="BM360" s="1107">
        <f t="shared" si="975"/>
        <v>1.81</v>
      </c>
      <c r="BN360" s="1107">
        <f t="shared" si="960"/>
        <v>3.13</v>
      </c>
      <c r="BO360" s="1107">
        <v>0</v>
      </c>
      <c r="BP360" s="1107">
        <v>0</v>
      </c>
      <c r="BQ360" s="1320">
        <f t="shared" si="917"/>
        <v>19.39</v>
      </c>
      <c r="BR360" s="1107">
        <f t="shared" si="976"/>
        <v>32.51</v>
      </c>
      <c r="BS360" s="1107">
        <f t="shared" si="977"/>
        <v>7.22</v>
      </c>
      <c r="BT360" s="1107">
        <f t="shared" si="961"/>
        <v>6.26</v>
      </c>
      <c r="BU360" s="1107">
        <v>0</v>
      </c>
      <c r="BV360" s="1108">
        <f t="shared" si="950"/>
        <v>45.99</v>
      </c>
      <c r="BW360" s="1112">
        <f t="shared" si="951"/>
        <v>65.38</v>
      </c>
      <c r="BX360" s="1112">
        <f t="shared" si="1003"/>
        <v>587.03</v>
      </c>
      <c r="BY360" s="1108">
        <v>0</v>
      </c>
      <c r="BZ360" s="1108">
        <f t="shared" si="922"/>
        <v>587.03</v>
      </c>
      <c r="CA360" s="1321">
        <f>'CONCEPTOS Y PARAMETROS'!$A$102</f>
        <v>6255</v>
      </c>
      <c r="CB360" s="1112">
        <f t="shared" si="923"/>
        <v>149.65000000000003</v>
      </c>
      <c r="CC360" s="1113">
        <f t="shared" si="924"/>
        <v>454.04</v>
      </c>
      <c r="CD360" s="512"/>
      <c r="CE360" s="512"/>
      <c r="CF360" s="470">
        <f t="shared" si="962"/>
        <v>764.04</v>
      </c>
      <c r="CG360" s="495">
        <f t="shared" si="963"/>
        <v>149.65000000000003</v>
      </c>
      <c r="CH360" s="498">
        <f t="shared" si="927"/>
        <v>0</v>
      </c>
      <c r="CI360" s="1490">
        <f t="shared" si="964"/>
        <v>310</v>
      </c>
      <c r="CJ360" s="1500">
        <v>1</v>
      </c>
      <c r="CK360" s="495">
        <f t="shared" si="965"/>
        <v>454.04</v>
      </c>
      <c r="CL360" s="1689">
        <f t="shared" si="930"/>
        <v>454.04</v>
      </c>
      <c r="CM360" s="1689">
        <f t="shared" si="940"/>
        <v>0</v>
      </c>
      <c r="CN360" s="496">
        <f t="shared" si="966"/>
        <v>0</v>
      </c>
      <c r="CO360" s="497">
        <v>0</v>
      </c>
      <c r="CP360" s="496">
        <f t="shared" si="967"/>
        <v>0</v>
      </c>
      <c r="CQ360" s="496">
        <f t="shared" si="968"/>
        <v>0</v>
      </c>
      <c r="CR360" s="496">
        <f t="shared" si="969"/>
        <v>908.08</v>
      </c>
      <c r="CS360" s="496">
        <f t="shared" si="970"/>
        <v>65.38</v>
      </c>
      <c r="CT360" s="496">
        <f t="shared" si="971"/>
        <v>6255</v>
      </c>
      <c r="CU360" s="470"/>
      <c r="CV360" s="470"/>
      <c r="CW360" s="470"/>
      <c r="CX360" s="470"/>
      <c r="CY360" s="1275" t="s">
        <v>6839</v>
      </c>
      <c r="CZ360" s="1275" t="s">
        <v>6810</v>
      </c>
      <c r="DA360" s="480"/>
      <c r="DB360" s="1152" t="s">
        <v>6458</v>
      </c>
      <c r="DC360" s="1152" t="s">
        <v>7546</v>
      </c>
      <c r="DD360" s="1152" t="s">
        <v>6150</v>
      </c>
      <c r="DE360" s="1152" t="s">
        <v>6132</v>
      </c>
      <c r="DF360" s="1152" t="s">
        <v>6519</v>
      </c>
      <c r="DG360" s="1152"/>
      <c r="DH360" s="470"/>
      <c r="DI360" s="470"/>
      <c r="DJ360" s="470"/>
      <c r="DK360" s="470"/>
      <c r="DL360" s="470"/>
      <c r="DN360" s="471" t="str">
        <f>VLOOKUP(X360,Hoja1!$A$4:$B$10,2,0)</f>
        <v>BACHILLER</v>
      </c>
      <c r="DO360" s="471" t="str">
        <f>VLOOKUP(S360,Hoja1!$D$4:$F$77,3,0)</f>
        <v>GRADO (3) - MÁX</v>
      </c>
      <c r="DP360" s="1156" t="str">
        <f t="shared" si="972"/>
        <v>0</v>
      </c>
      <c r="DQ360" s="1484">
        <f>IF(T360&lt;&gt;"0",(ROUND(IF(A360="EMPLEADO",eval_formula('CONCEPTOS Y PARAMETROS'!$C$8,NOMINA!V360,AU360+BF360,NOMINA!I360+NOMINA!J360),eval_formula('CONCEPTOS Y PARAMETROS'!$D$8,NOMINA!V360,AU360+BF360,NOMINA!I360+NOMINA!J360)),2))*IF(H360&lt;&gt;"",IF(MONTH(H360)=$BR$8,IF(YEAR(H360)&lt;$BT$7,1,0),0)))</f>
        <v>0</v>
      </c>
      <c r="DR360" s="1801" t="str">
        <f t="shared" si="973"/>
        <v>M</v>
      </c>
      <c r="DS360" s="1801"/>
    </row>
    <row r="361" spans="1:123" s="476" customFormat="1" ht="21.95" customHeight="1" x14ac:dyDescent="0.25">
      <c r="A361" s="508" t="s">
        <v>2834</v>
      </c>
      <c r="B361" s="1314">
        <f t="shared" ca="1" si="941"/>
        <v>57</v>
      </c>
      <c r="C361" s="990">
        <v>14780893</v>
      </c>
      <c r="D361" s="1275" t="s">
        <v>5018</v>
      </c>
      <c r="E361" s="1135" t="s">
        <v>4622</v>
      </c>
      <c r="F361" s="1118">
        <v>29790</v>
      </c>
      <c r="G361" s="1135" t="s">
        <v>4621</v>
      </c>
      <c r="H361" s="1118">
        <v>41570</v>
      </c>
      <c r="I361" s="1140">
        <f t="shared" si="952"/>
        <v>11</v>
      </c>
      <c r="J361" s="1132">
        <v>0</v>
      </c>
      <c r="K361" s="1140">
        <f t="shared" si="953"/>
        <v>11</v>
      </c>
      <c r="L361" s="1145" t="s">
        <v>5529</v>
      </c>
      <c r="M361" s="1132"/>
      <c r="N361" s="1132"/>
      <c r="O361" s="1002" t="s">
        <v>5084</v>
      </c>
      <c r="P361" s="1132" t="s">
        <v>5155</v>
      </c>
      <c r="Q361" s="1315">
        <v>7152</v>
      </c>
      <c r="R361" s="1394" t="s">
        <v>5084</v>
      </c>
      <c r="S361" s="1393">
        <v>3</v>
      </c>
      <c r="T361" s="1107">
        <f>IFERROR(VLOOKUP(S361,'TAB OBR'!A:B,2,0),0)</f>
        <v>152</v>
      </c>
      <c r="U361" s="1108">
        <v>0</v>
      </c>
      <c r="V361" s="1107">
        <f t="shared" si="954"/>
        <v>152</v>
      </c>
      <c r="W361" s="1108">
        <f t="shared" si="898"/>
        <v>76</v>
      </c>
      <c r="X361" s="1135" t="s">
        <v>2884</v>
      </c>
      <c r="Y361" s="1135" t="s">
        <v>2884</v>
      </c>
      <c r="Z361" s="1135">
        <v>0</v>
      </c>
      <c r="AA361" s="1107">
        <f>ROUND(IF(H361&lt;&gt;"",VLOOKUP(SUM(I361+J361),'CONCEPTOS Y PARAMETROS'!F:G,2,0)*V361,0),2)</f>
        <v>18.850000000000001</v>
      </c>
      <c r="AB361" s="1107">
        <f>IF(S361&lt;&gt;"",IF(M361="",'CONCEPTOS Y PARAMETROS'!$C$4,0),0)</f>
        <v>130</v>
      </c>
      <c r="AC361" s="1107">
        <f>IF(S361&lt;&gt;"",IF(M361="",'CONCEPTOS Y PARAMETROS'!$C$7*Z361,0),0)</f>
        <v>0</v>
      </c>
      <c r="AD361" s="1107">
        <f>IFERROR(ROUND(VLOOKUP($X361,'CONCEPTOS Y PARAMETROS'!H:I,2,0)*($V361+AA361+AB361+AC361),2),0)</f>
        <v>0</v>
      </c>
      <c r="AE361" s="1107">
        <f t="shared" si="955"/>
        <v>148.85</v>
      </c>
      <c r="AF361" s="1107">
        <f t="shared" si="900"/>
        <v>9.43</v>
      </c>
      <c r="AG361" s="1107">
        <f t="shared" si="901"/>
        <v>9.42</v>
      </c>
      <c r="AH361" s="1107">
        <f t="shared" si="902"/>
        <v>65</v>
      </c>
      <c r="AI361" s="1107">
        <f t="shared" si="903"/>
        <v>65</v>
      </c>
      <c r="AJ361" s="1107">
        <f t="shared" si="904"/>
        <v>0</v>
      </c>
      <c r="AK361" s="1107">
        <f t="shared" si="905"/>
        <v>0</v>
      </c>
      <c r="AL361" s="1108">
        <f t="shared" si="906"/>
        <v>74.430000000000007</v>
      </c>
      <c r="AM361" s="1108">
        <f t="shared" si="907"/>
        <v>74.42</v>
      </c>
      <c r="AN361" s="990">
        <v>0</v>
      </c>
      <c r="AO361" s="1147">
        <f>'CONCEPTOS Y PARAMETROS'!$C$18*AN361</f>
        <v>0</v>
      </c>
      <c r="AP361" s="990">
        <v>0</v>
      </c>
      <c r="AQ361" s="1147">
        <f>'CONCEPTOS Y PARAMETROS'!$C$21*AP361</f>
        <v>0</v>
      </c>
      <c r="AR361" s="1318">
        <v>0</v>
      </c>
      <c r="AS361" s="1318">
        <v>0</v>
      </c>
      <c r="AT361" s="1318">
        <f t="shared" si="949"/>
        <v>0</v>
      </c>
      <c r="AU361" s="1108">
        <f t="shared" si="956"/>
        <v>300.85000000000002</v>
      </c>
      <c r="AV361" s="1133">
        <v>0</v>
      </c>
      <c r="AW361" s="1108">
        <f t="shared" si="957"/>
        <v>0</v>
      </c>
      <c r="AX361" s="1107">
        <f>IF(T361&lt;&gt;"0",(ROUND(IF(A361="EMPLEADO",eval_formula('CONCEPTOS Y PARAMETROS'!$C$8,NOMINA!V361,NOMINA!$AU361,NOMINA!I361+NOMINA!J361),eval_formula('CONCEPTOS Y PARAMETROS'!$D$8,NOMINA!V361,NOMINA!$AU361,NOMINA!I361+NOMINA!J361)),2))*IF(H361&lt;&gt;"",IF(MONTH(H361)=$BR$8,IF(YEAR(H361)&lt;$BT$7,1,0),0)))</f>
        <v>0</v>
      </c>
      <c r="AY361" s="1108">
        <v>180</v>
      </c>
      <c r="AZ361" s="1107">
        <f>IFERROR(VLOOKUP(AY361,'CONCEPTOS Y PARAMETROS'!Y:Z,2,0),0)</f>
        <v>150</v>
      </c>
      <c r="BA361" s="1107">
        <f t="shared" si="911"/>
        <v>2256.38</v>
      </c>
      <c r="BB361" s="1107">
        <f t="shared" si="912"/>
        <v>0</v>
      </c>
      <c r="BC361" s="990">
        <v>0</v>
      </c>
      <c r="BD361" s="1107" t="str">
        <f t="shared" si="958"/>
        <v>0</v>
      </c>
      <c r="BE361" s="990">
        <v>0</v>
      </c>
      <c r="BF361" s="1107">
        <f t="shared" si="959"/>
        <v>0</v>
      </c>
      <c r="BG361" s="1108">
        <v>310</v>
      </c>
      <c r="BH361" s="1108">
        <v>0</v>
      </c>
      <c r="BI361" s="1132">
        <v>0</v>
      </c>
      <c r="BJ361" s="1108">
        <f t="shared" si="915"/>
        <v>0</v>
      </c>
      <c r="BK361" s="1108">
        <v>0</v>
      </c>
      <c r="BL361" s="1107">
        <f t="shared" si="974"/>
        <v>13.89</v>
      </c>
      <c r="BM361" s="1107">
        <f t="shared" si="975"/>
        <v>1.74</v>
      </c>
      <c r="BN361" s="1107">
        <f t="shared" si="960"/>
        <v>3.01</v>
      </c>
      <c r="BO361" s="1107">
        <v>0</v>
      </c>
      <c r="BP361" s="1107">
        <v>0</v>
      </c>
      <c r="BQ361" s="1320">
        <f t="shared" si="917"/>
        <v>18.64</v>
      </c>
      <c r="BR361" s="1107">
        <f t="shared" si="976"/>
        <v>31.24</v>
      </c>
      <c r="BS361" s="1107">
        <f t="shared" si="977"/>
        <v>6.94</v>
      </c>
      <c r="BT361" s="1107">
        <f t="shared" si="961"/>
        <v>6.02</v>
      </c>
      <c r="BU361" s="1107">
        <v>0</v>
      </c>
      <c r="BV361" s="1108">
        <f t="shared" si="950"/>
        <v>44.2</v>
      </c>
      <c r="BW361" s="1112">
        <f t="shared" si="951"/>
        <v>62.84</v>
      </c>
      <c r="BX361" s="1112">
        <f t="shared" si="1003"/>
        <v>564.1</v>
      </c>
      <c r="BY361" s="1108">
        <v>0</v>
      </c>
      <c r="BZ361" s="1108">
        <f t="shared" si="922"/>
        <v>564.1</v>
      </c>
      <c r="CA361" s="1321">
        <f>'CONCEPTOS Y PARAMETROS'!$A$102</f>
        <v>6255</v>
      </c>
      <c r="CB361" s="1112">
        <f t="shared" si="923"/>
        <v>131.79000000000002</v>
      </c>
      <c r="CC361" s="1113">
        <f t="shared" si="924"/>
        <v>460.42</v>
      </c>
      <c r="CD361" s="512"/>
      <c r="CE361" s="512"/>
      <c r="CF361" s="470">
        <f t="shared" si="962"/>
        <v>770.42000000000007</v>
      </c>
      <c r="CG361" s="495">
        <f t="shared" si="963"/>
        <v>131.79000000000002</v>
      </c>
      <c r="CH361" s="498">
        <f t="shared" si="927"/>
        <v>0</v>
      </c>
      <c r="CI361" s="1490">
        <f t="shared" si="964"/>
        <v>310</v>
      </c>
      <c r="CJ361" s="1500">
        <v>1</v>
      </c>
      <c r="CK361" s="495">
        <f t="shared" si="965"/>
        <v>460.42</v>
      </c>
      <c r="CL361" s="1689">
        <f t="shared" si="930"/>
        <v>460.42</v>
      </c>
      <c r="CM361" s="1689">
        <f t="shared" si="940"/>
        <v>0</v>
      </c>
      <c r="CN361" s="496">
        <f t="shared" si="966"/>
        <v>0</v>
      </c>
      <c r="CO361" s="497">
        <v>0</v>
      </c>
      <c r="CP361" s="496">
        <f t="shared" si="967"/>
        <v>0</v>
      </c>
      <c r="CQ361" s="496">
        <f t="shared" si="968"/>
        <v>0</v>
      </c>
      <c r="CR361" s="496">
        <f t="shared" si="969"/>
        <v>920.84</v>
      </c>
      <c r="CS361" s="496">
        <f t="shared" si="970"/>
        <v>62.84</v>
      </c>
      <c r="CT361" s="496">
        <f t="shared" si="971"/>
        <v>6255</v>
      </c>
      <c r="CU361" s="470"/>
      <c r="CV361" s="470"/>
      <c r="CW361" s="470"/>
      <c r="CX361" s="470"/>
      <c r="CY361" s="1275" t="s">
        <v>6801</v>
      </c>
      <c r="CZ361" s="1275" t="s">
        <v>7185</v>
      </c>
      <c r="DA361" s="480"/>
      <c r="DB361" s="1642" t="s">
        <v>6459</v>
      </c>
      <c r="DC361" s="1642"/>
      <c r="DD361" s="1642" t="s">
        <v>6123</v>
      </c>
      <c r="DE361" s="1642" t="s">
        <v>6380</v>
      </c>
      <c r="DF361" s="1642" t="s">
        <v>7528</v>
      </c>
      <c r="DG361" s="1152"/>
      <c r="DH361" s="470"/>
      <c r="DI361" s="470"/>
      <c r="DJ361" s="470"/>
      <c r="DK361" s="470"/>
      <c r="DL361" s="470"/>
      <c r="DM361" s="471"/>
      <c r="DN361" s="471" t="str">
        <f>VLOOKUP(X361,Hoja1!$A$4:$B$10,2,0)</f>
        <v>BACHILLER</v>
      </c>
      <c r="DO361" s="471" t="str">
        <f>VLOOKUP(S361,Hoja1!$D$4:$F$77,3,0)</f>
        <v>GRADO (3) - MÁX</v>
      </c>
      <c r="DP361" s="1156" t="str">
        <f t="shared" si="972"/>
        <v>0</v>
      </c>
      <c r="DQ361" s="1484">
        <f>IF(T361&lt;&gt;"0",(ROUND(IF(A361="EMPLEADO",eval_formula('CONCEPTOS Y PARAMETROS'!$C$8,NOMINA!V361,AU361+BF361,NOMINA!I361+NOMINA!J361),eval_formula('CONCEPTOS Y PARAMETROS'!$D$8,NOMINA!V361,AU361+BF361,NOMINA!I361+NOMINA!J361)),2))*IF(H361&lt;&gt;"",IF(MONTH(H361)=$BR$8,IF(YEAR(H361)&lt;$BT$7,1,0),0)))</f>
        <v>0</v>
      </c>
      <c r="DR361" s="1801" t="str">
        <f t="shared" si="973"/>
        <v>M</v>
      </c>
      <c r="DS361" s="1801"/>
    </row>
    <row r="362" spans="1:123" s="471" customFormat="1" ht="21.95" customHeight="1" x14ac:dyDescent="0.25">
      <c r="A362" s="508" t="s">
        <v>2834</v>
      </c>
      <c r="B362" s="1314">
        <f t="shared" ca="1" si="941"/>
        <v>58</v>
      </c>
      <c r="C362" s="990">
        <v>14928047</v>
      </c>
      <c r="D362" s="1275" t="s">
        <v>5019</v>
      </c>
      <c r="E362" s="1135" t="s">
        <v>4622</v>
      </c>
      <c r="F362" s="1118">
        <v>29491</v>
      </c>
      <c r="G362" s="1135" t="s">
        <v>4620</v>
      </c>
      <c r="H362" s="1118">
        <v>43297</v>
      </c>
      <c r="I362" s="1140">
        <f t="shared" si="952"/>
        <v>7</v>
      </c>
      <c r="J362" s="1132">
        <v>0</v>
      </c>
      <c r="K362" s="1140">
        <f t="shared" si="953"/>
        <v>7</v>
      </c>
      <c r="L362" s="1145" t="s">
        <v>5543</v>
      </c>
      <c r="M362" s="1132"/>
      <c r="N362" s="1132"/>
      <c r="O362" s="1002" t="s">
        <v>5085</v>
      </c>
      <c r="P362" s="1132" t="s">
        <v>5156</v>
      </c>
      <c r="Q362" s="1315">
        <v>2202</v>
      </c>
      <c r="R362" s="1394" t="s">
        <v>5085</v>
      </c>
      <c r="S362" s="1393">
        <v>5</v>
      </c>
      <c r="T362" s="1107">
        <f>IFERROR(VLOOKUP(S362,'TAB OBR'!A:B,2,0),0)</f>
        <v>171</v>
      </c>
      <c r="U362" s="1108">
        <v>0</v>
      </c>
      <c r="V362" s="1107">
        <f t="shared" si="954"/>
        <v>171</v>
      </c>
      <c r="W362" s="1108">
        <f t="shared" si="898"/>
        <v>85.5</v>
      </c>
      <c r="X362" s="1135" t="s">
        <v>2884</v>
      </c>
      <c r="Y362" s="1135" t="s">
        <v>2884</v>
      </c>
      <c r="Z362" s="1135">
        <v>0</v>
      </c>
      <c r="AA362" s="1107">
        <f>ROUND(IF(H362&lt;&gt;"",VLOOKUP(SUM(I362+J362),'CONCEPTOS Y PARAMETROS'!F:G,2,0)*V362,0),2)</f>
        <v>12.65</v>
      </c>
      <c r="AB362" s="1107">
        <f>IF(S362&lt;&gt;"",IF(M362="",'CONCEPTOS Y PARAMETROS'!$C$4,0),0)</f>
        <v>130</v>
      </c>
      <c r="AC362" s="1107">
        <f>IF(S362&lt;&gt;"",IF(M362="",'CONCEPTOS Y PARAMETROS'!$C$7*Z362,0),0)</f>
        <v>0</v>
      </c>
      <c r="AD362" s="1107">
        <f>IFERROR(ROUND(VLOOKUP($X362,'CONCEPTOS Y PARAMETROS'!H:I,2,0)*($V362+AA362+AB362+AC362),2),0)</f>
        <v>0</v>
      </c>
      <c r="AE362" s="1107">
        <f t="shared" si="955"/>
        <v>142.65</v>
      </c>
      <c r="AF362" s="1107">
        <f t="shared" si="900"/>
        <v>6.33</v>
      </c>
      <c r="AG362" s="1107">
        <f t="shared" si="901"/>
        <v>6.32</v>
      </c>
      <c r="AH362" s="1107">
        <f t="shared" si="902"/>
        <v>65</v>
      </c>
      <c r="AI362" s="1107">
        <f t="shared" si="903"/>
        <v>65</v>
      </c>
      <c r="AJ362" s="1107">
        <f t="shared" si="904"/>
        <v>0</v>
      </c>
      <c r="AK362" s="1107">
        <f t="shared" si="905"/>
        <v>0</v>
      </c>
      <c r="AL362" s="1108">
        <f t="shared" si="906"/>
        <v>71.33</v>
      </c>
      <c r="AM362" s="1108">
        <f t="shared" si="907"/>
        <v>71.319999999999993</v>
      </c>
      <c r="AN362" s="990">
        <v>0</v>
      </c>
      <c r="AO362" s="1147">
        <f>'CONCEPTOS Y PARAMETROS'!$C$18*AN362</f>
        <v>0</v>
      </c>
      <c r="AP362" s="990">
        <v>0</v>
      </c>
      <c r="AQ362" s="1147">
        <f>'CONCEPTOS Y PARAMETROS'!$C$21*AP362</f>
        <v>0</v>
      </c>
      <c r="AR362" s="1318">
        <v>0</v>
      </c>
      <c r="AS362" s="1318">
        <v>0</v>
      </c>
      <c r="AT362" s="1318">
        <f t="shared" si="949"/>
        <v>0</v>
      </c>
      <c r="AU362" s="1108">
        <f t="shared" si="956"/>
        <v>313.64999999999998</v>
      </c>
      <c r="AV362" s="1133">
        <v>0</v>
      </c>
      <c r="AW362" s="1108">
        <f t="shared" si="957"/>
        <v>0</v>
      </c>
      <c r="AX362" s="1107">
        <f>IF(T362&lt;&gt;"0",(ROUND(IF(A362="EMPLEADO",eval_formula('CONCEPTOS Y PARAMETROS'!$C$8,NOMINA!V362,NOMINA!$AU362,NOMINA!I362+NOMINA!J362),eval_formula('CONCEPTOS Y PARAMETROS'!$D$8,NOMINA!V362,NOMINA!$AU362,NOMINA!I362+NOMINA!J362)),2))*IF(H362&lt;&gt;"",IF(MONTH(H362)=$BR$8,IF(YEAR(H362)&lt;$BT$7,1,0),0)))</f>
        <v>0</v>
      </c>
      <c r="AY362" s="1108">
        <v>180</v>
      </c>
      <c r="AZ362" s="1107">
        <f>IFERROR(VLOOKUP(AY362,'CONCEPTOS Y PARAMETROS'!Y:Z,2,0),0)</f>
        <v>150</v>
      </c>
      <c r="BA362" s="1107">
        <f t="shared" si="911"/>
        <v>2352.38</v>
      </c>
      <c r="BB362" s="1107">
        <f t="shared" si="912"/>
        <v>0</v>
      </c>
      <c r="BC362" s="990">
        <v>0</v>
      </c>
      <c r="BD362" s="1107" t="str">
        <f t="shared" si="958"/>
        <v>0</v>
      </c>
      <c r="BE362" s="990">
        <v>1</v>
      </c>
      <c r="BF362" s="1107">
        <f t="shared" si="959"/>
        <v>15.68</v>
      </c>
      <c r="BG362" s="1108">
        <v>310</v>
      </c>
      <c r="BH362" s="1108">
        <v>0</v>
      </c>
      <c r="BI362" s="1132">
        <v>0</v>
      </c>
      <c r="BJ362" s="1108">
        <f t="shared" si="915"/>
        <v>0</v>
      </c>
      <c r="BK362" s="1108">
        <v>0</v>
      </c>
      <c r="BL362" s="1107">
        <f t="shared" si="974"/>
        <v>14.48</v>
      </c>
      <c r="BM362" s="1107">
        <f t="shared" si="975"/>
        <v>1.81</v>
      </c>
      <c r="BN362" s="1107">
        <f t="shared" si="960"/>
        <v>3.14</v>
      </c>
      <c r="BO362" s="1107">
        <v>0</v>
      </c>
      <c r="BP362" s="1107">
        <v>0</v>
      </c>
      <c r="BQ362" s="1320">
        <f t="shared" si="917"/>
        <v>19.43</v>
      </c>
      <c r="BR362" s="1107">
        <f t="shared" si="976"/>
        <v>32.57</v>
      </c>
      <c r="BS362" s="1107">
        <f t="shared" si="977"/>
        <v>7.24</v>
      </c>
      <c r="BT362" s="1107">
        <f t="shared" si="961"/>
        <v>6.28</v>
      </c>
      <c r="BU362" s="1107">
        <v>0</v>
      </c>
      <c r="BV362" s="1108">
        <f t="shared" si="950"/>
        <v>46.09</v>
      </c>
      <c r="BW362" s="1112">
        <f t="shared" si="951"/>
        <v>65.52000000000001</v>
      </c>
      <c r="BX362" s="1112">
        <f t="shared" si="1003"/>
        <v>588.1</v>
      </c>
      <c r="BY362" s="1108">
        <v>0</v>
      </c>
      <c r="BZ362" s="1108">
        <f t="shared" si="922"/>
        <v>588.1</v>
      </c>
      <c r="CA362" s="1321">
        <f>'CONCEPTOS Y PARAMETROS'!$A$102</f>
        <v>6255</v>
      </c>
      <c r="CB362" s="1112">
        <f t="shared" si="923"/>
        <v>137.39999999999998</v>
      </c>
      <c r="CC362" s="1113">
        <f t="shared" si="924"/>
        <v>482.5</v>
      </c>
      <c r="CD362" s="512"/>
      <c r="CE362" s="512"/>
      <c r="CF362" s="470">
        <f t="shared" si="962"/>
        <v>776.81999999999994</v>
      </c>
      <c r="CG362" s="495">
        <f t="shared" si="963"/>
        <v>137.39999999999998</v>
      </c>
      <c r="CH362" s="498">
        <f t="shared" si="927"/>
        <v>0</v>
      </c>
      <c r="CI362" s="1490">
        <f t="shared" si="964"/>
        <v>310</v>
      </c>
      <c r="CJ362" s="1500">
        <v>1</v>
      </c>
      <c r="CK362" s="495">
        <f t="shared" si="965"/>
        <v>466.82</v>
      </c>
      <c r="CL362" s="1689">
        <f t="shared" si="930"/>
        <v>466.82</v>
      </c>
      <c r="CM362" s="1689">
        <f t="shared" si="940"/>
        <v>0</v>
      </c>
      <c r="CN362" s="496">
        <f t="shared" si="966"/>
        <v>15.68</v>
      </c>
      <c r="CO362" s="497">
        <v>0</v>
      </c>
      <c r="CP362" s="496">
        <f t="shared" si="967"/>
        <v>0</v>
      </c>
      <c r="CQ362" s="496">
        <f t="shared" si="968"/>
        <v>0</v>
      </c>
      <c r="CR362" s="496">
        <f t="shared" si="969"/>
        <v>949.31999999999994</v>
      </c>
      <c r="CS362" s="496">
        <f t="shared" si="970"/>
        <v>65.52000000000001</v>
      </c>
      <c r="CT362" s="496">
        <f t="shared" si="971"/>
        <v>6255</v>
      </c>
      <c r="CU362" s="470"/>
      <c r="CV362" s="470"/>
      <c r="CW362" s="470"/>
      <c r="CX362" s="470"/>
      <c r="CY362" s="1275" t="s">
        <v>7186</v>
      </c>
      <c r="CZ362" s="1275" t="s">
        <v>6805</v>
      </c>
      <c r="DA362" s="480"/>
      <c r="DB362" s="1642" t="s">
        <v>7496</v>
      </c>
      <c r="DC362" s="1642"/>
      <c r="DD362" s="1642" t="s">
        <v>6150</v>
      </c>
      <c r="DE362" s="1642" t="s">
        <v>6192</v>
      </c>
      <c r="DF362" s="1642" t="s">
        <v>6606</v>
      </c>
      <c r="DG362" s="1642"/>
      <c r="DH362" s="470"/>
      <c r="DI362" s="470"/>
      <c r="DJ362" s="470"/>
      <c r="DK362" s="470"/>
      <c r="DL362" s="470"/>
      <c r="DN362" s="471" t="str">
        <f>VLOOKUP(X362,Hoja1!$A$4:$B$10,2,0)</f>
        <v>BACHILLER</v>
      </c>
      <c r="DO362" s="471" t="str">
        <f>VLOOKUP(S362,Hoja1!$D$4:$F$77,3,0)</f>
        <v>GRADO (5) - MÁX</v>
      </c>
      <c r="DP362" s="1156" t="str">
        <f t="shared" si="972"/>
        <v>0</v>
      </c>
      <c r="DQ362" s="1484">
        <f>IF(T362&lt;&gt;"0",(ROUND(IF(A362="EMPLEADO",eval_formula('CONCEPTOS Y PARAMETROS'!$C$8,NOMINA!V362,AU362+BF362,NOMINA!I362+NOMINA!J362),eval_formula('CONCEPTOS Y PARAMETROS'!$D$8,NOMINA!V362,AU362+BF362,NOMINA!I362+NOMINA!J362)),2))*IF(H362&lt;&gt;"",IF(MONTH(H362)=$BR$8,IF(YEAR(H362)&lt;$BT$7,1,0),0)))</f>
        <v>0</v>
      </c>
      <c r="DR362" s="1801" t="str">
        <f t="shared" si="973"/>
        <v>F</v>
      </c>
      <c r="DS362" s="1801"/>
    </row>
    <row r="363" spans="1:123" s="476" customFormat="1" ht="21.95" customHeight="1" x14ac:dyDescent="0.25">
      <c r="A363" s="508" t="s">
        <v>2834</v>
      </c>
      <c r="B363" s="1314">
        <f t="shared" ca="1" si="941"/>
        <v>59</v>
      </c>
      <c r="C363" s="990">
        <v>15042683</v>
      </c>
      <c r="D363" s="1275" t="s">
        <v>5959</v>
      </c>
      <c r="E363" s="1135" t="s">
        <v>4622</v>
      </c>
      <c r="F363" s="1118">
        <v>29847</v>
      </c>
      <c r="G363" s="1135" t="s">
        <v>4621</v>
      </c>
      <c r="H363" s="1118">
        <v>45292</v>
      </c>
      <c r="I363" s="1140">
        <f t="shared" si="952"/>
        <v>1</v>
      </c>
      <c r="J363" s="1132">
        <v>0</v>
      </c>
      <c r="K363" s="1140">
        <f t="shared" si="953"/>
        <v>1</v>
      </c>
      <c r="L363" s="1145" t="s">
        <v>5549</v>
      </c>
      <c r="M363" s="1132"/>
      <c r="N363" s="1132"/>
      <c r="O363" s="1002" t="s">
        <v>5092</v>
      </c>
      <c r="P363" s="1151" t="s">
        <v>5964</v>
      </c>
      <c r="Q363" s="1315">
        <v>7102</v>
      </c>
      <c r="R363" s="1394" t="s">
        <v>5092</v>
      </c>
      <c r="S363" s="1393">
        <v>1</v>
      </c>
      <c r="T363" s="1107">
        <f>IFERROR(VLOOKUP(S363,'TAB OBR'!A:B,2,0),0)</f>
        <v>130</v>
      </c>
      <c r="U363" s="1108">
        <v>0</v>
      </c>
      <c r="V363" s="1107">
        <f t="shared" ref="V363:V364" si="1004">T363-U363</f>
        <v>130</v>
      </c>
      <c r="W363" s="1108">
        <f t="shared" ref="W363:W364" si="1005">ROUND(V363/2,2)</f>
        <v>65</v>
      </c>
      <c r="X363" s="1135" t="s">
        <v>2884</v>
      </c>
      <c r="Y363" s="1135" t="s">
        <v>2884</v>
      </c>
      <c r="Z363" s="1135">
        <v>1</v>
      </c>
      <c r="AA363" s="1107">
        <f>ROUND(IF(H363&lt;&gt;"",VLOOKUP(SUM(I363+J363),'CONCEPTOS Y PARAMETROS'!F:G,2,0)*V363,0),2)</f>
        <v>1.3</v>
      </c>
      <c r="AB363" s="1107">
        <f>IF(S363&lt;&gt;"",IF(M363="",'CONCEPTOS Y PARAMETROS'!$C$4,0),0)</f>
        <v>130</v>
      </c>
      <c r="AC363" s="1107">
        <f>IF(S363&lt;&gt;"",IF(M363="",'CONCEPTOS Y PARAMETROS'!$C$7*Z363,0),0)</f>
        <v>12.5</v>
      </c>
      <c r="AD363" s="1107">
        <f>IFERROR(ROUND(VLOOKUP($X363,'CONCEPTOS Y PARAMETROS'!H:I,2,0)*($V363+AA363+AB363+AC363),2),0)</f>
        <v>0</v>
      </c>
      <c r="AE363" s="1107">
        <f t="shared" ref="AE363:AE364" si="1006">SUM(AA363:AD363)</f>
        <v>143.80000000000001</v>
      </c>
      <c r="AF363" s="1107">
        <f t="shared" ref="AF363:AF364" si="1007">ROUND(AA363/2,2)</f>
        <v>0.65</v>
      </c>
      <c r="AG363" s="1107">
        <f t="shared" ref="AG363:AG364" si="1008">ROUND(AA363-AF363,2)</f>
        <v>0.65</v>
      </c>
      <c r="AH363" s="1107">
        <f t="shared" ref="AH363:AH364" si="1009">ROUND(AB363/2,2)</f>
        <v>65</v>
      </c>
      <c r="AI363" s="1107">
        <f t="shared" ref="AI363:AI364" si="1010">ROUND(AB363-AH363,2)</f>
        <v>65</v>
      </c>
      <c r="AJ363" s="1107">
        <f t="shared" ref="AJ363:AJ364" si="1011">ROUND(AD363/2,2)</f>
        <v>0</v>
      </c>
      <c r="AK363" s="1107">
        <f t="shared" ref="AK363:AK364" si="1012">ROUND(AD363-AJ363,2)</f>
        <v>0</v>
      </c>
      <c r="AL363" s="1108">
        <f t="shared" ref="AL363:AL364" si="1013">ROUND(AF363+AH363+AJ363+AC363,2)</f>
        <v>78.150000000000006</v>
      </c>
      <c r="AM363" s="1108">
        <f t="shared" ref="AM363:AM364" si="1014">ROUND(AG363+AI363+AK363,2)</f>
        <v>65.650000000000006</v>
      </c>
      <c r="AN363" s="1453">
        <v>1</v>
      </c>
      <c r="AO363" s="1147">
        <f>'CONCEPTOS Y PARAMETROS'!$C$18*AN363</f>
        <v>12.5</v>
      </c>
      <c r="AP363" s="990">
        <v>0</v>
      </c>
      <c r="AQ363" s="1147">
        <f>'CONCEPTOS Y PARAMETROS'!$C$21*AP363</f>
        <v>0</v>
      </c>
      <c r="AR363" s="1318">
        <v>0</v>
      </c>
      <c r="AS363" s="1318">
        <v>0</v>
      </c>
      <c r="AT363" s="1318">
        <f t="shared" ref="AT363:AT364" si="1015">+AO363+AQ363+AR363+AS363</f>
        <v>12.5</v>
      </c>
      <c r="AU363" s="1108">
        <f t="shared" si="956"/>
        <v>273.8</v>
      </c>
      <c r="AV363" s="1133">
        <v>0</v>
      </c>
      <c r="AW363" s="1108">
        <f t="shared" si="957"/>
        <v>0</v>
      </c>
      <c r="AX363" s="1107">
        <f>IF(T363&lt;&gt;"0",(ROUND(IF(A363="EMPLEADO",eval_formula('CONCEPTOS Y PARAMETROS'!$C$8,NOMINA!V363,NOMINA!$AU363,NOMINA!I363+NOMINA!J363),eval_formula('CONCEPTOS Y PARAMETROS'!$D$8,NOMINA!V363,NOMINA!$AU363,NOMINA!I363+NOMINA!J363)),2))*IF(H363&lt;&gt;"",IF(MONTH(H363)=$BR$8,IF(YEAR(H363)&lt;$BT$7,1,0),0)))</f>
        <v>0</v>
      </c>
      <c r="AY363" s="1108">
        <v>180</v>
      </c>
      <c r="AZ363" s="1107">
        <f>IFERROR(VLOOKUP(AY363,'CONCEPTOS Y PARAMETROS'!Y:Z,2,0),0)</f>
        <v>150</v>
      </c>
      <c r="BA363" s="1107">
        <f t="shared" ref="BA363:BA364" si="1016">ROUND((((AU363))/30*AY363/12+(AU363))/30*AZ363,2)</f>
        <v>2053.5</v>
      </c>
      <c r="BB363" s="1107">
        <f t="shared" ref="BB363:BB364" si="1017">ROUND(AU363/30*$BB$10,2)</f>
        <v>0</v>
      </c>
      <c r="BC363" s="990">
        <v>0</v>
      </c>
      <c r="BD363" s="1107" t="str">
        <f t="shared" si="958"/>
        <v>0</v>
      </c>
      <c r="BE363" s="990">
        <v>1</v>
      </c>
      <c r="BF363" s="1107">
        <f t="shared" si="959"/>
        <v>13.69</v>
      </c>
      <c r="BG363" s="1108">
        <v>310</v>
      </c>
      <c r="BH363" s="1108">
        <v>0</v>
      </c>
      <c r="BI363" s="1132">
        <v>0</v>
      </c>
      <c r="BJ363" s="1108">
        <f t="shared" si="915"/>
        <v>0</v>
      </c>
      <c r="BK363" s="1108">
        <v>0</v>
      </c>
      <c r="BL363" s="1107">
        <f t="shared" si="974"/>
        <v>12.64</v>
      </c>
      <c r="BM363" s="1107">
        <f t="shared" si="975"/>
        <v>1.58</v>
      </c>
      <c r="BN363" s="1107">
        <f t="shared" si="960"/>
        <v>2.74</v>
      </c>
      <c r="BO363" s="1107">
        <v>0</v>
      </c>
      <c r="BP363" s="1107">
        <v>0</v>
      </c>
      <c r="BQ363" s="1320">
        <f t="shared" ref="BQ363" si="1018">ROUND(SUM(BL363:BP363),2)</f>
        <v>16.96</v>
      </c>
      <c r="BR363" s="1107">
        <f t="shared" si="976"/>
        <v>28.43</v>
      </c>
      <c r="BS363" s="1107">
        <f t="shared" si="977"/>
        <v>6.32</v>
      </c>
      <c r="BT363" s="1107">
        <f t="shared" si="961"/>
        <v>5.48</v>
      </c>
      <c r="BU363" s="1107">
        <v>0</v>
      </c>
      <c r="BV363" s="1108">
        <f t="shared" si="950"/>
        <v>40.229999999999997</v>
      </c>
      <c r="BW363" s="1112">
        <f t="shared" ref="BW363:BW364" si="1019">BQ363+BV363</f>
        <v>57.19</v>
      </c>
      <c r="BX363" s="1112">
        <f t="shared" si="1003"/>
        <v>513.38</v>
      </c>
      <c r="BY363" s="1108">
        <v>0</v>
      </c>
      <c r="BZ363" s="1108">
        <f t="shared" si="922"/>
        <v>513.38</v>
      </c>
      <c r="CA363" s="1321">
        <f>'CONCEPTOS Y PARAMETROS'!$A$102</f>
        <v>6255</v>
      </c>
      <c r="CB363" s="1112">
        <f t="shared" si="923"/>
        <v>126.19</v>
      </c>
      <c r="CC363" s="1113">
        <f t="shared" si="924"/>
        <v>466.84</v>
      </c>
      <c r="CD363" s="512"/>
      <c r="CE363" s="512"/>
      <c r="CF363" s="470">
        <f t="shared" si="962"/>
        <v>750.65</v>
      </c>
      <c r="CG363" s="509">
        <f t="shared" si="963"/>
        <v>126.19</v>
      </c>
      <c r="CH363" s="498">
        <f t="shared" si="927"/>
        <v>12.5</v>
      </c>
      <c r="CI363" s="1491">
        <f t="shared" si="964"/>
        <v>310</v>
      </c>
      <c r="CJ363" s="1500">
        <v>1</v>
      </c>
      <c r="CK363" s="509">
        <f t="shared" si="965"/>
        <v>440.65</v>
      </c>
      <c r="CL363" s="1689">
        <f t="shared" si="930"/>
        <v>440.65</v>
      </c>
      <c r="CM363" s="1689">
        <f t="shared" si="940"/>
        <v>0</v>
      </c>
      <c r="CN363" s="510">
        <f t="shared" si="966"/>
        <v>13.69</v>
      </c>
      <c r="CO363" s="511">
        <v>0</v>
      </c>
      <c r="CP363" s="510">
        <f t="shared" si="967"/>
        <v>0</v>
      </c>
      <c r="CQ363" s="510">
        <f t="shared" si="968"/>
        <v>0</v>
      </c>
      <c r="CR363" s="496">
        <f t="shared" si="969"/>
        <v>894.99</v>
      </c>
      <c r="CS363" s="510">
        <f t="shared" si="970"/>
        <v>57.19</v>
      </c>
      <c r="CT363" s="510">
        <f t="shared" si="971"/>
        <v>6255</v>
      </c>
      <c r="CU363" s="470"/>
      <c r="CV363" s="470"/>
      <c r="CW363" s="470"/>
      <c r="CX363" s="470"/>
      <c r="CY363" s="1275" t="s">
        <v>6914</v>
      </c>
      <c r="CZ363" s="1275" t="s">
        <v>7187</v>
      </c>
      <c r="DA363" s="1152"/>
      <c r="DB363" s="1645" t="s">
        <v>6514</v>
      </c>
      <c r="DC363" s="1645"/>
      <c r="DD363" s="1642" t="s">
        <v>6150</v>
      </c>
      <c r="DE363" s="1642" t="s">
        <v>6292</v>
      </c>
      <c r="DF363" s="1645" t="s">
        <v>6532</v>
      </c>
      <c r="DG363" s="1143"/>
      <c r="DH363" s="512"/>
      <c r="DI363" s="512"/>
      <c r="DJ363" s="512"/>
      <c r="DK363" s="512"/>
      <c r="DL363" s="512"/>
      <c r="DN363" s="476" t="str">
        <f>VLOOKUP(X363,Hoja1!$A$4:$B$10,2,0)</f>
        <v>BACHILLER</v>
      </c>
      <c r="DO363" s="476" t="str">
        <f>VLOOKUP(S363,Hoja1!$D$4:$F$77,3,0)</f>
        <v>GRADO (1) - MIN</v>
      </c>
      <c r="DP363" s="1310" t="str">
        <f t="shared" si="972"/>
        <v>0</v>
      </c>
      <c r="DQ363" s="1484">
        <f>IF(T363&lt;&gt;"0",(ROUND(IF(A363="EMPLEADO",eval_formula('CONCEPTOS Y PARAMETROS'!$C$8,NOMINA!V363,AU363+BF363,NOMINA!I363+NOMINA!J363),eval_formula('CONCEPTOS Y PARAMETROS'!$D$8,NOMINA!V363,AU363+BF363,NOMINA!I363+NOMINA!J363)),2))*IF(H363&lt;&gt;"",IF(MONTH(H363)=$BR$8,IF(YEAR(H363)&lt;$BT$7,1,0),0)))</f>
        <v>0</v>
      </c>
      <c r="DR363" s="1799" t="str">
        <f t="shared" si="973"/>
        <v>M</v>
      </c>
      <c r="DS363" s="1799"/>
    </row>
    <row r="364" spans="1:123" s="476" customFormat="1" ht="21.95" customHeight="1" x14ac:dyDescent="0.25">
      <c r="A364" s="508" t="s">
        <v>2834</v>
      </c>
      <c r="B364" s="1314">
        <f t="shared" ca="1" si="941"/>
        <v>60</v>
      </c>
      <c r="C364" s="990">
        <v>15293784</v>
      </c>
      <c r="D364" s="1275" t="s">
        <v>7563</v>
      </c>
      <c r="E364" s="1135" t="s">
        <v>4622</v>
      </c>
      <c r="F364" s="1118">
        <v>29689</v>
      </c>
      <c r="G364" s="1135" t="s">
        <v>4621</v>
      </c>
      <c r="H364" s="1118">
        <v>45778</v>
      </c>
      <c r="I364" s="1140">
        <f t="shared" si="952"/>
        <v>0</v>
      </c>
      <c r="J364" s="1132">
        <v>0</v>
      </c>
      <c r="K364" s="1140">
        <f t="shared" si="953"/>
        <v>0</v>
      </c>
      <c r="L364" s="1145" t="s">
        <v>5544</v>
      </c>
      <c r="M364" s="1132"/>
      <c r="N364" s="1132"/>
      <c r="O364" s="1002" t="s">
        <v>5092</v>
      </c>
      <c r="P364" s="1151" t="s">
        <v>7375</v>
      </c>
      <c r="Q364" s="1315">
        <v>7152</v>
      </c>
      <c r="R364" s="1394" t="s">
        <v>5092</v>
      </c>
      <c r="S364" s="1393">
        <v>1</v>
      </c>
      <c r="T364" s="1107">
        <f>IFERROR(VLOOKUP(S364,'TAB OBR'!A:B,2,0),0)</f>
        <v>130</v>
      </c>
      <c r="U364" s="1108">
        <v>0</v>
      </c>
      <c r="V364" s="1107">
        <f t="shared" si="1004"/>
        <v>130</v>
      </c>
      <c r="W364" s="1108">
        <f t="shared" si="1005"/>
        <v>65</v>
      </c>
      <c r="X364" s="1135" t="s">
        <v>2884</v>
      </c>
      <c r="Y364" s="1135" t="s">
        <v>2884</v>
      </c>
      <c r="Z364" s="1135">
        <v>0</v>
      </c>
      <c r="AA364" s="1107">
        <f>ROUND(IF(H364&lt;&gt;"",VLOOKUP(SUM(I364+J364),'CONCEPTOS Y PARAMETROS'!F:G,2,0)*V364,0),2)</f>
        <v>0</v>
      </c>
      <c r="AB364" s="1107">
        <f>IF(S364&lt;&gt;"",IF(M364="",'CONCEPTOS Y PARAMETROS'!$C$4,0),0)</f>
        <v>130</v>
      </c>
      <c r="AC364" s="1107">
        <f>IF(S364&lt;&gt;"",IF(M364="",'CONCEPTOS Y PARAMETROS'!$C$7*Z364,0),0)</f>
        <v>0</v>
      </c>
      <c r="AD364" s="1107">
        <f>IFERROR(ROUND(VLOOKUP($X364,'CONCEPTOS Y PARAMETROS'!H:I,2,0)*($V364+AA364+AB364+AC364),2),0)</f>
        <v>0</v>
      </c>
      <c r="AE364" s="1107">
        <f t="shared" si="1006"/>
        <v>130</v>
      </c>
      <c r="AF364" s="1107">
        <f t="shared" si="1007"/>
        <v>0</v>
      </c>
      <c r="AG364" s="1107">
        <f t="shared" si="1008"/>
        <v>0</v>
      </c>
      <c r="AH364" s="1107">
        <f t="shared" si="1009"/>
        <v>65</v>
      </c>
      <c r="AI364" s="1107">
        <f t="shared" si="1010"/>
        <v>65</v>
      </c>
      <c r="AJ364" s="1107">
        <f t="shared" si="1011"/>
        <v>0</v>
      </c>
      <c r="AK364" s="1107">
        <f t="shared" si="1012"/>
        <v>0</v>
      </c>
      <c r="AL364" s="1108">
        <f t="shared" si="1013"/>
        <v>65</v>
      </c>
      <c r="AM364" s="1108">
        <f t="shared" si="1014"/>
        <v>65</v>
      </c>
      <c r="AN364" s="990">
        <v>0</v>
      </c>
      <c r="AO364" s="1147">
        <f>'CONCEPTOS Y PARAMETROS'!$C$18*AN364</f>
        <v>0</v>
      </c>
      <c r="AP364" s="990">
        <v>0</v>
      </c>
      <c r="AQ364" s="1147">
        <f>'CONCEPTOS Y PARAMETROS'!$C$21*AP364</f>
        <v>0</v>
      </c>
      <c r="AR364" s="1318">
        <v>0</v>
      </c>
      <c r="AS364" s="1318">
        <v>0</v>
      </c>
      <c r="AT364" s="1318">
        <f t="shared" si="1015"/>
        <v>0</v>
      </c>
      <c r="AU364" s="1108">
        <f t="shared" si="956"/>
        <v>260</v>
      </c>
      <c r="AV364" s="1133">
        <v>0</v>
      </c>
      <c r="AW364" s="1108">
        <f t="shared" si="957"/>
        <v>0</v>
      </c>
      <c r="AX364" s="1107">
        <f>IF(T364&lt;&gt;"0",(ROUND(IF(A364="EMPLEADO",eval_formula('CONCEPTOS Y PARAMETROS'!$C$8,NOMINA!V364,NOMINA!$AU364,NOMINA!I364+NOMINA!J364),eval_formula('CONCEPTOS Y PARAMETROS'!$D$8,NOMINA!V364,NOMINA!$AU364,NOMINA!I364+NOMINA!J364)),2))*IF(H364&lt;&gt;"",IF(MONTH(H364)=$BR$8,IF(YEAR(H364)&lt;$BT$7,1,0),0)))</f>
        <v>0</v>
      </c>
      <c r="AY364" s="1108">
        <v>180</v>
      </c>
      <c r="AZ364" s="1107">
        <f>IFERROR(VLOOKUP(AY364,'CONCEPTOS Y PARAMETROS'!Y:Z,2,0),0)</f>
        <v>150</v>
      </c>
      <c r="BA364" s="1107">
        <f t="shared" si="1016"/>
        <v>1950</v>
      </c>
      <c r="BB364" s="1107">
        <f t="shared" si="1017"/>
        <v>0</v>
      </c>
      <c r="BC364" s="990">
        <v>0</v>
      </c>
      <c r="BD364" s="1107" t="str">
        <f t="shared" si="958"/>
        <v>0</v>
      </c>
      <c r="BE364" s="990">
        <v>2</v>
      </c>
      <c r="BF364" s="1107">
        <f t="shared" si="959"/>
        <v>26</v>
      </c>
      <c r="BG364" s="1108">
        <v>310</v>
      </c>
      <c r="BH364" s="1108">
        <v>0</v>
      </c>
      <c r="BI364" s="1132">
        <v>0</v>
      </c>
      <c r="BJ364" s="1108">
        <f t="shared" si="915"/>
        <v>0</v>
      </c>
      <c r="BK364" s="1108">
        <v>0</v>
      </c>
      <c r="BL364" s="1107">
        <f t="shared" si="974"/>
        <v>12</v>
      </c>
      <c r="BM364" s="1107">
        <f t="shared" si="975"/>
        <v>1.5</v>
      </c>
      <c r="BN364" s="1107">
        <f t="shared" si="960"/>
        <v>2.6</v>
      </c>
      <c r="BO364" s="1107">
        <v>0</v>
      </c>
      <c r="BP364" s="1107">
        <v>0</v>
      </c>
      <c r="BQ364" s="1320">
        <f t="shared" ref="BQ364" si="1020">ROUND(SUM(BL364:BP364),2)</f>
        <v>16.100000000000001</v>
      </c>
      <c r="BR364" s="1107">
        <f t="shared" si="976"/>
        <v>27</v>
      </c>
      <c r="BS364" s="1107">
        <f t="shared" si="977"/>
        <v>6</v>
      </c>
      <c r="BT364" s="1107">
        <f t="shared" si="961"/>
        <v>5.2</v>
      </c>
      <c r="BU364" s="1107">
        <v>0</v>
      </c>
      <c r="BV364" s="1108">
        <f t="shared" ref="BV364" si="1021">ROUND(SUM(BR364:BT364),2)</f>
        <v>38.200000000000003</v>
      </c>
      <c r="BW364" s="1112">
        <f t="shared" si="1019"/>
        <v>54.300000000000004</v>
      </c>
      <c r="BX364" s="1112">
        <f t="shared" si="1003"/>
        <v>487.5</v>
      </c>
      <c r="BY364" s="1108">
        <v>0</v>
      </c>
      <c r="BZ364" s="1108">
        <f t="shared" si="922"/>
        <v>487.5</v>
      </c>
      <c r="CA364" s="1321">
        <f>'CONCEPTOS Y PARAMETROS'!$A$102</f>
        <v>6255</v>
      </c>
      <c r="CB364" s="1112">
        <f t="shared" si="923"/>
        <v>113.9</v>
      </c>
      <c r="CC364" s="1113">
        <f t="shared" si="924"/>
        <v>466</v>
      </c>
      <c r="CD364" s="512"/>
      <c r="CE364" s="512"/>
      <c r="CF364" s="512">
        <f t="shared" si="962"/>
        <v>750</v>
      </c>
      <c r="CG364" s="509">
        <f t="shared" si="963"/>
        <v>113.9</v>
      </c>
      <c r="CH364" s="1603">
        <f t="shared" si="927"/>
        <v>0</v>
      </c>
      <c r="CI364" s="1491">
        <f t="shared" si="964"/>
        <v>310</v>
      </c>
      <c r="CJ364" s="1502">
        <v>1</v>
      </c>
      <c r="CK364" s="509">
        <f t="shared" si="965"/>
        <v>440</v>
      </c>
      <c r="CL364" s="1689">
        <f t="shared" si="930"/>
        <v>440</v>
      </c>
      <c r="CM364" s="1689">
        <f t="shared" si="940"/>
        <v>0</v>
      </c>
      <c r="CN364" s="510">
        <f t="shared" si="966"/>
        <v>26</v>
      </c>
      <c r="CO364" s="511">
        <v>0</v>
      </c>
      <c r="CP364" s="510">
        <f t="shared" si="967"/>
        <v>0</v>
      </c>
      <c r="CQ364" s="510">
        <f t="shared" si="968"/>
        <v>0</v>
      </c>
      <c r="CR364" s="510">
        <f t="shared" si="969"/>
        <v>906</v>
      </c>
      <c r="CS364" s="510">
        <f t="shared" si="970"/>
        <v>54.300000000000004</v>
      </c>
      <c r="CT364" s="510">
        <f t="shared" si="971"/>
        <v>6255</v>
      </c>
      <c r="CU364" s="512"/>
      <c r="CV364" s="512"/>
      <c r="CW364" s="512"/>
      <c r="CX364" s="512"/>
      <c r="CY364" s="1275" t="s">
        <v>7367</v>
      </c>
      <c r="CZ364" s="1275" t="s">
        <v>7368</v>
      </c>
      <c r="DA364" s="1152"/>
      <c r="DB364" s="1152" t="s">
        <v>7369</v>
      </c>
      <c r="DC364" s="1152"/>
      <c r="DD364" s="1152" t="s">
        <v>6150</v>
      </c>
      <c r="DE364" s="1152" t="s">
        <v>6187</v>
      </c>
      <c r="DF364" s="1143"/>
      <c r="DG364" s="1143"/>
      <c r="DH364" s="512"/>
      <c r="DI364" s="512"/>
      <c r="DJ364" s="512"/>
      <c r="DK364" s="512"/>
      <c r="DL364" s="512"/>
      <c r="DN364" s="476" t="str">
        <f>VLOOKUP(X364,Hoja1!$A$4:$B$10,2,0)</f>
        <v>BACHILLER</v>
      </c>
      <c r="DO364" s="476" t="str">
        <f>VLOOKUP(S364,Hoja1!$D$4:$F$77,3,0)</f>
        <v>GRADO (1) - MIN</v>
      </c>
      <c r="DP364" s="1655" t="str">
        <f t="shared" si="972"/>
        <v>0</v>
      </c>
      <c r="DQ364" s="1484">
        <f>IF(T364&lt;&gt;"0",(ROUND(IF(A364="EMPLEADO",eval_formula('CONCEPTOS Y PARAMETROS'!$C$8,NOMINA!V364,AU364+BF364,NOMINA!I364+NOMINA!J364),eval_formula('CONCEPTOS Y PARAMETROS'!$D$8,NOMINA!V364,AU364+BF364,NOMINA!I364+NOMINA!J364)),2))*IF(H364&lt;&gt;"",IF(MONTH(H364)=$BR$8,IF(YEAR(H364)&lt;$BT$7,1,0),0)))</f>
        <v>0</v>
      </c>
      <c r="DR364" s="1799" t="str">
        <f t="shared" si="973"/>
        <v>M</v>
      </c>
      <c r="DS364" s="1799"/>
    </row>
    <row r="365" spans="1:123" s="471" customFormat="1" ht="21.95" customHeight="1" x14ac:dyDescent="0.25">
      <c r="A365" s="508" t="s">
        <v>2834</v>
      </c>
      <c r="B365" s="1314">
        <f t="shared" ca="1" si="941"/>
        <v>61</v>
      </c>
      <c r="C365" s="990">
        <v>15583194</v>
      </c>
      <c r="D365" s="1275" t="s">
        <v>5021</v>
      </c>
      <c r="E365" s="1135" t="s">
        <v>4622</v>
      </c>
      <c r="F365" s="1118">
        <v>30427</v>
      </c>
      <c r="G365" s="1135" t="s">
        <v>4621</v>
      </c>
      <c r="H365" s="1118">
        <v>44166</v>
      </c>
      <c r="I365" s="1140">
        <f t="shared" si="952"/>
        <v>4</v>
      </c>
      <c r="J365" s="1132">
        <v>8</v>
      </c>
      <c r="K365" s="1140">
        <f t="shared" si="953"/>
        <v>12</v>
      </c>
      <c r="L365" s="1145" t="s">
        <v>5543</v>
      </c>
      <c r="M365" s="1132"/>
      <c r="N365" s="1132"/>
      <c r="O365" s="1002" t="s">
        <v>5091</v>
      </c>
      <c r="P365" s="1132" t="s">
        <v>5157</v>
      </c>
      <c r="Q365" s="1315">
        <v>2202</v>
      </c>
      <c r="R365" s="1394" t="s">
        <v>5091</v>
      </c>
      <c r="S365" s="1393">
        <v>5</v>
      </c>
      <c r="T365" s="1107">
        <f>IFERROR(VLOOKUP(S365,'TAB OBR'!A:B,2,0),0)</f>
        <v>171</v>
      </c>
      <c r="U365" s="1108">
        <v>0</v>
      </c>
      <c r="V365" s="1107">
        <f t="shared" si="954"/>
        <v>171</v>
      </c>
      <c r="W365" s="1108">
        <f t="shared" si="898"/>
        <v>85.5</v>
      </c>
      <c r="X365" s="1135" t="s">
        <v>2884</v>
      </c>
      <c r="Y365" s="1135" t="s">
        <v>2884</v>
      </c>
      <c r="Z365" s="1135">
        <v>1</v>
      </c>
      <c r="AA365" s="1107">
        <f>ROUND(IF(H365&lt;&gt;"",VLOOKUP(SUM(I365+J365),'CONCEPTOS Y PARAMETROS'!F:G,2,0)*V365,0),2)</f>
        <v>23.6</v>
      </c>
      <c r="AB365" s="1107">
        <f>IF(S365&lt;&gt;"",IF(M365="",'CONCEPTOS Y PARAMETROS'!$C$4,0),0)</f>
        <v>130</v>
      </c>
      <c r="AC365" s="1107">
        <f>IF(S365&lt;&gt;"",IF(M365="",'CONCEPTOS Y PARAMETROS'!$C$7*Z365,0),0)</f>
        <v>12.5</v>
      </c>
      <c r="AD365" s="1107">
        <f>IFERROR(ROUND(VLOOKUP($X365,'CONCEPTOS Y PARAMETROS'!H:I,2,0)*($V365+AA365+AB365+AC365),2),0)</f>
        <v>0</v>
      </c>
      <c r="AE365" s="1107">
        <f t="shared" si="955"/>
        <v>166.1</v>
      </c>
      <c r="AF365" s="1107">
        <f t="shared" si="900"/>
        <v>11.8</v>
      </c>
      <c r="AG365" s="1107">
        <f t="shared" si="901"/>
        <v>11.8</v>
      </c>
      <c r="AH365" s="1107">
        <f t="shared" si="902"/>
        <v>65</v>
      </c>
      <c r="AI365" s="1107">
        <f t="shared" si="903"/>
        <v>65</v>
      </c>
      <c r="AJ365" s="1107">
        <f t="shared" si="904"/>
        <v>0</v>
      </c>
      <c r="AK365" s="1107">
        <f t="shared" si="905"/>
        <v>0</v>
      </c>
      <c r="AL365" s="1108">
        <f t="shared" si="906"/>
        <v>89.3</v>
      </c>
      <c r="AM365" s="1108">
        <f t="shared" si="907"/>
        <v>76.8</v>
      </c>
      <c r="AN365" s="1454">
        <v>1</v>
      </c>
      <c r="AO365" s="1147">
        <f>'CONCEPTOS Y PARAMETROS'!$C$18*AN365</f>
        <v>12.5</v>
      </c>
      <c r="AP365" s="990">
        <v>0</v>
      </c>
      <c r="AQ365" s="1147">
        <f>'CONCEPTOS Y PARAMETROS'!$C$21*AP365</f>
        <v>0</v>
      </c>
      <c r="AR365" s="1318">
        <v>0</v>
      </c>
      <c r="AS365" s="1318">
        <v>0</v>
      </c>
      <c r="AT365" s="1318">
        <f t="shared" si="949"/>
        <v>12.5</v>
      </c>
      <c r="AU365" s="1108">
        <f t="shared" si="956"/>
        <v>337.1</v>
      </c>
      <c r="AV365" s="1133">
        <v>0</v>
      </c>
      <c r="AW365" s="1108">
        <f t="shared" si="957"/>
        <v>0</v>
      </c>
      <c r="AX365" s="1107">
        <f>IF(T365&lt;&gt;"0",(ROUND(IF(A365="EMPLEADO",eval_formula('CONCEPTOS Y PARAMETROS'!$C$8,NOMINA!V365,NOMINA!$AU365,NOMINA!I365+NOMINA!J365),eval_formula('CONCEPTOS Y PARAMETROS'!$D$8,NOMINA!V365,NOMINA!$AU365,NOMINA!I365+NOMINA!J365)),2))*IF(H365&lt;&gt;"",IF(MONTH(H365)=$BR$8,IF(YEAR(H365)&lt;$BT$7,1,0),0)))</f>
        <v>0</v>
      </c>
      <c r="AY365" s="1108">
        <v>180</v>
      </c>
      <c r="AZ365" s="1107">
        <f>IFERROR(VLOOKUP(AY365,'CONCEPTOS Y PARAMETROS'!Y:Z,2,0),0)</f>
        <v>150</v>
      </c>
      <c r="BA365" s="1107">
        <f t="shared" si="911"/>
        <v>2528.25</v>
      </c>
      <c r="BB365" s="1107">
        <f t="shared" si="912"/>
        <v>0</v>
      </c>
      <c r="BC365" s="990">
        <v>0</v>
      </c>
      <c r="BD365" s="1107" t="str">
        <f t="shared" si="958"/>
        <v>0</v>
      </c>
      <c r="BE365" s="990">
        <v>0</v>
      </c>
      <c r="BF365" s="1107">
        <f t="shared" si="959"/>
        <v>0</v>
      </c>
      <c r="BG365" s="1108">
        <v>310</v>
      </c>
      <c r="BH365" s="1108">
        <v>0</v>
      </c>
      <c r="BI365" s="1132">
        <v>0</v>
      </c>
      <c r="BJ365" s="1108">
        <f t="shared" si="915"/>
        <v>0</v>
      </c>
      <c r="BK365" s="1108">
        <v>0</v>
      </c>
      <c r="BL365" s="1107">
        <f t="shared" si="974"/>
        <v>15.56</v>
      </c>
      <c r="BM365" s="1107">
        <f t="shared" si="975"/>
        <v>1.94</v>
      </c>
      <c r="BN365" s="1107">
        <f t="shared" si="960"/>
        <v>3.37</v>
      </c>
      <c r="BO365" s="1107">
        <v>0</v>
      </c>
      <c r="BP365" s="1107">
        <v>0</v>
      </c>
      <c r="BQ365" s="1320">
        <f t="shared" ref="BQ365" si="1022">ROUND(SUM(BL365:BP365),2)</f>
        <v>20.87</v>
      </c>
      <c r="BR365" s="1107">
        <f t="shared" si="976"/>
        <v>35.01</v>
      </c>
      <c r="BS365" s="1107">
        <f t="shared" si="977"/>
        <v>7.78</v>
      </c>
      <c r="BT365" s="1107">
        <f t="shared" si="961"/>
        <v>6.74</v>
      </c>
      <c r="BU365" s="1107">
        <v>0</v>
      </c>
      <c r="BV365" s="1108">
        <f t="shared" ref="BV365" si="1023">ROUND(SUM(BR365:BT365),2)</f>
        <v>49.53</v>
      </c>
      <c r="BW365" s="1112">
        <f t="shared" ref="BW365" si="1024">BQ365+BV365</f>
        <v>70.400000000000006</v>
      </c>
      <c r="BX365" s="1112">
        <f t="shared" si="1003"/>
        <v>632.05999999999995</v>
      </c>
      <c r="BY365" s="1108">
        <v>0</v>
      </c>
      <c r="BZ365" s="1108">
        <f t="shared" si="922"/>
        <v>632.05999999999995</v>
      </c>
      <c r="CA365" s="1321">
        <f>'CONCEPTOS Y PARAMETROS'!$A$102</f>
        <v>6255</v>
      </c>
      <c r="CB365" s="1112">
        <f t="shared" si="923"/>
        <v>153.93</v>
      </c>
      <c r="CC365" s="1113">
        <f t="shared" si="924"/>
        <v>484.8</v>
      </c>
      <c r="CD365" s="512"/>
      <c r="CE365" s="512"/>
      <c r="CF365" s="470">
        <f t="shared" si="962"/>
        <v>782.3</v>
      </c>
      <c r="CG365" s="495">
        <f t="shared" si="963"/>
        <v>153.93</v>
      </c>
      <c r="CH365" s="498">
        <f t="shared" si="927"/>
        <v>12.5</v>
      </c>
      <c r="CI365" s="1490">
        <f t="shared" si="964"/>
        <v>310</v>
      </c>
      <c r="CJ365" s="1500">
        <v>1</v>
      </c>
      <c r="CK365" s="495">
        <f t="shared" si="965"/>
        <v>472.3</v>
      </c>
      <c r="CL365" s="1689">
        <f t="shared" si="930"/>
        <v>472.3</v>
      </c>
      <c r="CM365" s="1689">
        <f t="shared" si="940"/>
        <v>0</v>
      </c>
      <c r="CN365" s="496">
        <f t="shared" si="966"/>
        <v>0</v>
      </c>
      <c r="CO365" s="497">
        <v>0</v>
      </c>
      <c r="CP365" s="496">
        <f t="shared" si="967"/>
        <v>0</v>
      </c>
      <c r="CQ365" s="496">
        <f t="shared" si="968"/>
        <v>0</v>
      </c>
      <c r="CR365" s="496">
        <f t="shared" si="969"/>
        <v>944.6</v>
      </c>
      <c r="CS365" s="496">
        <f t="shared" si="970"/>
        <v>70.400000000000006</v>
      </c>
      <c r="CT365" s="496">
        <f t="shared" si="971"/>
        <v>6255</v>
      </c>
      <c r="CU365" s="470"/>
      <c r="CV365" s="470"/>
      <c r="CW365" s="470"/>
      <c r="CX365" s="470"/>
      <c r="CY365" s="1275" t="s">
        <v>7049</v>
      </c>
      <c r="CZ365" s="1275" t="s">
        <v>7188</v>
      </c>
      <c r="DA365" s="480"/>
      <c r="DB365" s="1645" t="s">
        <v>6460</v>
      </c>
      <c r="DC365" s="1645"/>
      <c r="DD365" s="1645" t="s">
        <v>6150</v>
      </c>
      <c r="DE365" s="1642" t="s">
        <v>6192</v>
      </c>
      <c r="DF365" s="1642" t="s">
        <v>6532</v>
      </c>
      <c r="DG365" s="1642"/>
      <c r="DJ365" s="470"/>
      <c r="DK365" s="470"/>
      <c r="DL365" s="470"/>
      <c r="DN365" s="471" t="str">
        <f>VLOOKUP(X365,Hoja1!$A$4:$B$10,2,0)</f>
        <v>BACHILLER</v>
      </c>
      <c r="DO365" s="471" t="str">
        <f>VLOOKUP(S365,Hoja1!$D$4:$F$77,3,0)</f>
        <v>GRADO (5) - MÁX</v>
      </c>
      <c r="DP365" s="1156" t="str">
        <f t="shared" si="972"/>
        <v>0</v>
      </c>
      <c r="DQ365" s="1484">
        <f>IF(T365&lt;&gt;"0",(ROUND(IF(A365="EMPLEADO",eval_formula('CONCEPTOS Y PARAMETROS'!$C$8,NOMINA!V365,AU365+BF365,NOMINA!I365+NOMINA!J365),eval_formula('CONCEPTOS Y PARAMETROS'!$D$8,NOMINA!V365,AU365+BF365,NOMINA!I365+NOMINA!J365)),2))*IF(H365&lt;&gt;"",IF(MONTH(H365)=$BR$8,IF(YEAR(H365)&lt;$BT$7,1,0),0)))</f>
        <v>0</v>
      </c>
      <c r="DR365" s="1801" t="str">
        <f t="shared" si="973"/>
        <v>M</v>
      </c>
      <c r="DS365" s="1801"/>
    </row>
    <row r="366" spans="1:123" s="476" customFormat="1" ht="21.95" customHeight="1" x14ac:dyDescent="0.25">
      <c r="A366" s="508" t="s">
        <v>2834</v>
      </c>
      <c r="B366" s="1314">
        <f t="shared" ca="1" si="941"/>
        <v>62</v>
      </c>
      <c r="C366" s="990">
        <v>14928592</v>
      </c>
      <c r="D366" s="1275" t="s">
        <v>5509</v>
      </c>
      <c r="E366" s="1135" t="s">
        <v>4622</v>
      </c>
      <c r="F366" s="1118">
        <v>29739</v>
      </c>
      <c r="G366" s="1135" t="s">
        <v>4621</v>
      </c>
      <c r="H366" s="1118">
        <v>45017</v>
      </c>
      <c r="I366" s="1140">
        <f t="shared" si="952"/>
        <v>2</v>
      </c>
      <c r="J366" s="1132">
        <v>0</v>
      </c>
      <c r="K366" s="1140">
        <f t="shared" si="953"/>
        <v>2</v>
      </c>
      <c r="L366" s="1145" t="s">
        <v>5543</v>
      </c>
      <c r="M366" s="1132"/>
      <c r="N366" s="1132"/>
      <c r="O366" s="1002" t="s">
        <v>5091</v>
      </c>
      <c r="P366" s="1151" t="s">
        <v>5510</v>
      </c>
      <c r="Q366" s="1315">
        <v>2202</v>
      </c>
      <c r="R366" s="1394" t="s">
        <v>5091</v>
      </c>
      <c r="S366" s="1393">
        <v>5</v>
      </c>
      <c r="T366" s="1107">
        <f>IFERROR(VLOOKUP(S366,'TAB OBR'!A:B,2,0),0)</f>
        <v>171</v>
      </c>
      <c r="U366" s="1108">
        <v>0</v>
      </c>
      <c r="V366" s="1107">
        <f t="shared" si="954"/>
        <v>171</v>
      </c>
      <c r="W366" s="1108">
        <f t="shared" si="898"/>
        <v>85.5</v>
      </c>
      <c r="X366" s="1135" t="s">
        <v>2884</v>
      </c>
      <c r="Y366" s="1135" t="s">
        <v>2884</v>
      </c>
      <c r="Z366" s="1135">
        <v>0</v>
      </c>
      <c r="AA366" s="1107">
        <f>ROUND(IF(H366&lt;&gt;"",VLOOKUP(SUM(I366+J366),'CONCEPTOS Y PARAMETROS'!F:G,2,0)*V366,0),2)</f>
        <v>3.42</v>
      </c>
      <c r="AB366" s="1107">
        <f>IF(S366&lt;&gt;"",IF(M366="",'CONCEPTOS Y PARAMETROS'!$C$4,0),0)</f>
        <v>130</v>
      </c>
      <c r="AC366" s="1107">
        <f>IF(S366&lt;&gt;"",IF(M366="",'CONCEPTOS Y PARAMETROS'!$C$7*Z366,0),0)</f>
        <v>0</v>
      </c>
      <c r="AD366" s="1107">
        <f>IFERROR(ROUND(VLOOKUP($X366,'CONCEPTOS Y PARAMETROS'!H:I,2,0)*($V366+AA366+AB366+AC366),2),0)</f>
        <v>0</v>
      </c>
      <c r="AE366" s="1107">
        <f t="shared" si="955"/>
        <v>133.41999999999999</v>
      </c>
      <c r="AF366" s="1107">
        <f t="shared" si="900"/>
        <v>1.71</v>
      </c>
      <c r="AG366" s="1107">
        <f t="shared" si="901"/>
        <v>1.71</v>
      </c>
      <c r="AH366" s="1107">
        <f t="shared" si="902"/>
        <v>65</v>
      </c>
      <c r="AI366" s="1107">
        <f t="shared" si="903"/>
        <v>65</v>
      </c>
      <c r="AJ366" s="1107">
        <f t="shared" si="904"/>
        <v>0</v>
      </c>
      <c r="AK366" s="1107">
        <f t="shared" si="905"/>
        <v>0</v>
      </c>
      <c r="AL366" s="1108">
        <f t="shared" si="906"/>
        <v>66.709999999999994</v>
      </c>
      <c r="AM366" s="1108">
        <f t="shared" si="907"/>
        <v>66.709999999999994</v>
      </c>
      <c r="AN366" s="990">
        <v>0</v>
      </c>
      <c r="AO366" s="1147">
        <f>'CONCEPTOS Y PARAMETROS'!$C$18*AN366</f>
        <v>0</v>
      </c>
      <c r="AP366" s="990">
        <v>0</v>
      </c>
      <c r="AQ366" s="1147">
        <f>'CONCEPTOS Y PARAMETROS'!$C$21*AP366</f>
        <v>0</v>
      </c>
      <c r="AR366" s="1318">
        <v>0</v>
      </c>
      <c r="AS366" s="1318">
        <v>0</v>
      </c>
      <c r="AT366" s="1318">
        <f t="shared" si="949"/>
        <v>0</v>
      </c>
      <c r="AU366" s="1108">
        <f t="shared" si="956"/>
        <v>304.41999999999996</v>
      </c>
      <c r="AV366" s="1133">
        <v>0</v>
      </c>
      <c r="AW366" s="1108">
        <f t="shared" si="957"/>
        <v>0</v>
      </c>
      <c r="AX366" s="1108">
        <f>IF(T366&lt;&gt;"0",(ROUND(IF(A366="EMPLEADO",eval_formula('CONCEPTOS Y PARAMETROS'!$C$8,NOMINA!V366,NOMINA!$AU366,NOMINA!I366+NOMINA!J366),eval_formula('CONCEPTOS Y PARAMETROS'!$D$8,NOMINA!V366,NOMINA!$AU366,NOMINA!I366+NOMINA!J366)),2))*IF(H366&lt;&gt;"",IF(MONTH(H366)=$BR$8,IF(YEAR(H366)&lt;$BT$7,1,0),0)))</f>
        <v>0</v>
      </c>
      <c r="AY366" s="1108">
        <v>180</v>
      </c>
      <c r="AZ366" s="1107">
        <f>IFERROR(VLOOKUP(AY366,'CONCEPTOS Y PARAMETROS'!Y:Z,2,0),0)</f>
        <v>150</v>
      </c>
      <c r="BA366" s="1107">
        <f t="shared" si="911"/>
        <v>2283.15</v>
      </c>
      <c r="BB366" s="1107">
        <f t="shared" si="912"/>
        <v>0</v>
      </c>
      <c r="BC366" s="990">
        <v>0</v>
      </c>
      <c r="BD366" s="1107" t="str">
        <f t="shared" si="958"/>
        <v>0</v>
      </c>
      <c r="BE366" s="990">
        <v>2</v>
      </c>
      <c r="BF366" s="1107">
        <f t="shared" si="959"/>
        <v>30.44</v>
      </c>
      <c r="BG366" s="1108">
        <v>310</v>
      </c>
      <c r="BH366" s="1108">
        <v>0</v>
      </c>
      <c r="BI366" s="1132">
        <v>0</v>
      </c>
      <c r="BJ366" s="1108">
        <f t="shared" si="915"/>
        <v>0</v>
      </c>
      <c r="BK366" s="1108">
        <v>0</v>
      </c>
      <c r="BL366" s="1107">
        <f t="shared" si="974"/>
        <v>14.05</v>
      </c>
      <c r="BM366" s="1107">
        <f t="shared" si="975"/>
        <v>1.76</v>
      </c>
      <c r="BN366" s="1107">
        <f t="shared" si="960"/>
        <v>3.04</v>
      </c>
      <c r="BO366" s="1107">
        <v>0</v>
      </c>
      <c r="BP366" s="1107">
        <v>0</v>
      </c>
      <c r="BQ366" s="1320">
        <f t="shared" si="917"/>
        <v>18.850000000000001</v>
      </c>
      <c r="BR366" s="1107">
        <f t="shared" si="976"/>
        <v>31.61</v>
      </c>
      <c r="BS366" s="1107">
        <f t="shared" si="977"/>
        <v>7.03</v>
      </c>
      <c r="BT366" s="1107">
        <f t="shared" si="961"/>
        <v>6.08</v>
      </c>
      <c r="BU366" s="1107">
        <v>0</v>
      </c>
      <c r="BV366" s="1108">
        <f t="shared" si="950"/>
        <v>44.72</v>
      </c>
      <c r="BW366" s="1112">
        <f t="shared" si="951"/>
        <v>63.57</v>
      </c>
      <c r="BX366" s="1112">
        <f t="shared" si="1003"/>
        <v>570.79</v>
      </c>
      <c r="BY366" s="1108">
        <v>0</v>
      </c>
      <c r="BZ366" s="1108">
        <f t="shared" si="922"/>
        <v>570.79</v>
      </c>
      <c r="CA366" s="1321">
        <f>'CONCEPTOS Y PARAMETROS'!$A$102</f>
        <v>6255</v>
      </c>
      <c r="CB366" s="1112">
        <f t="shared" si="923"/>
        <v>133.35999999999999</v>
      </c>
      <c r="CC366" s="1113">
        <f t="shared" si="924"/>
        <v>492.65</v>
      </c>
      <c r="CD366" s="512"/>
      <c r="CE366" s="512"/>
      <c r="CF366" s="470">
        <f t="shared" si="962"/>
        <v>772.21</v>
      </c>
      <c r="CG366" s="509">
        <f t="shared" si="963"/>
        <v>133.35999999999999</v>
      </c>
      <c r="CH366" s="498">
        <f t="shared" si="927"/>
        <v>0</v>
      </c>
      <c r="CI366" s="1490">
        <f t="shared" si="964"/>
        <v>310</v>
      </c>
      <c r="CJ366" s="1500">
        <v>1</v>
      </c>
      <c r="CK366" s="495">
        <f t="shared" si="965"/>
        <v>462.21</v>
      </c>
      <c r="CL366" s="1689">
        <f t="shared" si="930"/>
        <v>462.21</v>
      </c>
      <c r="CM366" s="1689">
        <f t="shared" si="940"/>
        <v>0</v>
      </c>
      <c r="CN366" s="510">
        <f t="shared" si="966"/>
        <v>30.44</v>
      </c>
      <c r="CO366" s="511">
        <v>0</v>
      </c>
      <c r="CP366" s="510">
        <f t="shared" si="967"/>
        <v>0</v>
      </c>
      <c r="CQ366" s="510">
        <f t="shared" si="968"/>
        <v>0</v>
      </c>
      <c r="CR366" s="496">
        <f t="shared" si="969"/>
        <v>954.86</v>
      </c>
      <c r="CS366" s="496">
        <f t="shared" si="970"/>
        <v>63.57</v>
      </c>
      <c r="CT366" s="510">
        <f t="shared" si="971"/>
        <v>6255</v>
      </c>
      <c r="CU366" s="470"/>
      <c r="CV366" s="470"/>
      <c r="CW366" s="470"/>
      <c r="CX366" s="470"/>
      <c r="CY366" s="1275" t="s">
        <v>7189</v>
      </c>
      <c r="CZ366" s="1275" t="s">
        <v>6920</v>
      </c>
      <c r="DA366" s="1152"/>
      <c r="DB366" s="1642" t="s">
        <v>6513</v>
      </c>
      <c r="DC366" s="1642"/>
      <c r="DD366" s="1642" t="s">
        <v>6150</v>
      </c>
      <c r="DE366" s="1642" t="s">
        <v>6132</v>
      </c>
      <c r="DF366" s="1645" t="s">
        <v>6531</v>
      </c>
      <c r="DG366" s="1645"/>
      <c r="DH366" s="512"/>
      <c r="DI366" s="512"/>
      <c r="DJ366" s="512"/>
      <c r="DK366" s="512"/>
      <c r="DL366" s="512"/>
      <c r="DN366" s="471" t="str">
        <f>VLOOKUP(X366,Hoja1!$A$4:$B$10,2,0)</f>
        <v>BACHILLER</v>
      </c>
      <c r="DO366" s="471" t="str">
        <f>VLOOKUP(S366,Hoja1!$D$4:$F$77,3,0)</f>
        <v>GRADO (5) - MÁX</v>
      </c>
      <c r="DP366" s="1156" t="str">
        <f t="shared" si="972"/>
        <v>0</v>
      </c>
      <c r="DQ366" s="1484">
        <f>IF(T366&lt;&gt;"0",(ROUND(IF(A366="EMPLEADO",eval_formula('CONCEPTOS Y PARAMETROS'!$C$8,NOMINA!V366,AU366+BF366,NOMINA!I366+NOMINA!J366),eval_formula('CONCEPTOS Y PARAMETROS'!$D$8,NOMINA!V366,AU366+BF366,NOMINA!I366+NOMINA!J366)),2))*IF(H366&lt;&gt;"",IF(MONTH(H366)=$BR$8,IF(YEAR(H366)&lt;$BT$7,1,0),0)))</f>
        <v>0</v>
      </c>
      <c r="DR366" s="1801" t="str">
        <f t="shared" si="973"/>
        <v>M</v>
      </c>
      <c r="DS366" s="1801"/>
    </row>
    <row r="367" spans="1:123" s="471" customFormat="1" ht="21.95" customHeight="1" x14ac:dyDescent="0.25">
      <c r="A367" s="508" t="s">
        <v>2834</v>
      </c>
      <c r="B367" s="1314">
        <f t="shared" ca="1" si="941"/>
        <v>63</v>
      </c>
      <c r="C367" s="990">
        <v>15952512</v>
      </c>
      <c r="D367" s="1275" t="s">
        <v>5022</v>
      </c>
      <c r="E367" s="1135" t="s">
        <v>4622</v>
      </c>
      <c r="F367" s="1118">
        <v>29777</v>
      </c>
      <c r="G367" s="1135" t="s">
        <v>4620</v>
      </c>
      <c r="H367" s="1118">
        <v>40725</v>
      </c>
      <c r="I367" s="1140">
        <f t="shared" si="952"/>
        <v>14</v>
      </c>
      <c r="J367" s="1132">
        <v>0</v>
      </c>
      <c r="K367" s="1140">
        <f t="shared" si="953"/>
        <v>14</v>
      </c>
      <c r="L367" s="1145" t="s">
        <v>5525</v>
      </c>
      <c r="M367" s="1132"/>
      <c r="N367" s="1132"/>
      <c r="O367" s="1002" t="s">
        <v>5087</v>
      </c>
      <c r="P367" s="1132" t="s">
        <v>5158</v>
      </c>
      <c r="Q367" s="1315">
        <v>7102</v>
      </c>
      <c r="R367" s="1394" t="s">
        <v>5087</v>
      </c>
      <c r="S367" s="1393">
        <v>1</v>
      </c>
      <c r="T367" s="1107">
        <f>IFERROR(VLOOKUP(S367,'TAB OBR'!A:B,2,0),0)</f>
        <v>130</v>
      </c>
      <c r="U367" s="1108">
        <v>0</v>
      </c>
      <c r="V367" s="1107">
        <f t="shared" si="954"/>
        <v>130</v>
      </c>
      <c r="W367" s="1108">
        <f t="shared" si="898"/>
        <v>65</v>
      </c>
      <c r="X367" s="1135" t="s">
        <v>2884</v>
      </c>
      <c r="Y367" s="1135" t="s">
        <v>2884</v>
      </c>
      <c r="Z367" s="1135">
        <v>0</v>
      </c>
      <c r="AA367" s="1107">
        <f>ROUND(IF(H367&lt;&gt;"",VLOOKUP(SUM(I367+J367),'CONCEPTOS Y PARAMETROS'!F:G,2,0)*V367,0),2)</f>
        <v>21.58</v>
      </c>
      <c r="AB367" s="1107">
        <f>IF(S367&lt;&gt;"",IF(M367="",'CONCEPTOS Y PARAMETROS'!$C$4,0),0)</f>
        <v>130</v>
      </c>
      <c r="AC367" s="1107">
        <f>IF(S367&lt;&gt;"",IF(M367="",'CONCEPTOS Y PARAMETROS'!$C$7*Z367,0),0)</f>
        <v>0</v>
      </c>
      <c r="AD367" s="1107">
        <f>IFERROR(ROUND(VLOOKUP($X367,'CONCEPTOS Y PARAMETROS'!H:I,2,0)*($V367+AA367+AB367+AC367),2),0)</f>
        <v>0</v>
      </c>
      <c r="AE367" s="1107">
        <f t="shared" si="955"/>
        <v>151.57999999999998</v>
      </c>
      <c r="AF367" s="1107">
        <f t="shared" si="900"/>
        <v>10.79</v>
      </c>
      <c r="AG367" s="1107">
        <f t="shared" si="901"/>
        <v>10.79</v>
      </c>
      <c r="AH367" s="1107">
        <f t="shared" si="902"/>
        <v>65</v>
      </c>
      <c r="AI367" s="1107">
        <f t="shared" si="903"/>
        <v>65</v>
      </c>
      <c r="AJ367" s="1107">
        <f t="shared" si="904"/>
        <v>0</v>
      </c>
      <c r="AK367" s="1107">
        <f t="shared" si="905"/>
        <v>0</v>
      </c>
      <c r="AL367" s="1108">
        <f t="shared" si="906"/>
        <v>75.790000000000006</v>
      </c>
      <c r="AM367" s="1108">
        <f t="shared" si="907"/>
        <v>75.790000000000006</v>
      </c>
      <c r="AN367" s="990">
        <v>0</v>
      </c>
      <c r="AO367" s="1147">
        <f>'CONCEPTOS Y PARAMETROS'!$C$18*AN367</f>
        <v>0</v>
      </c>
      <c r="AP367" s="990">
        <v>0</v>
      </c>
      <c r="AQ367" s="1147">
        <f>'CONCEPTOS Y PARAMETROS'!$C$21*AP367</f>
        <v>0</v>
      </c>
      <c r="AR367" s="1318">
        <v>0</v>
      </c>
      <c r="AS367" s="1318">
        <v>0</v>
      </c>
      <c r="AT367" s="1318">
        <f t="shared" si="949"/>
        <v>0</v>
      </c>
      <c r="AU367" s="1108">
        <f t="shared" si="956"/>
        <v>281.58</v>
      </c>
      <c r="AV367" s="1133">
        <v>0</v>
      </c>
      <c r="AW367" s="1108">
        <f t="shared" si="957"/>
        <v>0</v>
      </c>
      <c r="AX367" s="1107">
        <f>IF(T367&lt;&gt;"0",(ROUND(IF(A367="EMPLEADO",eval_formula('CONCEPTOS Y PARAMETROS'!$C$8,NOMINA!V367,NOMINA!$AU367,NOMINA!I367+NOMINA!J367),eval_formula('CONCEPTOS Y PARAMETROS'!$D$8,NOMINA!V367,NOMINA!$AU367,NOMINA!I367+NOMINA!J367)),2))*IF(H367&lt;&gt;"",IF(MONTH(H367)=$BR$8,IF(YEAR(H367)&lt;$BT$7,1,0),0)))</f>
        <v>0</v>
      </c>
      <c r="AY367" s="1108">
        <v>180</v>
      </c>
      <c r="AZ367" s="1107">
        <f>IFERROR(VLOOKUP(AY367,'CONCEPTOS Y PARAMETROS'!Y:Z,2,0),0)</f>
        <v>150</v>
      </c>
      <c r="BA367" s="1107">
        <f t="shared" si="911"/>
        <v>2111.85</v>
      </c>
      <c r="BB367" s="1107">
        <f t="shared" si="912"/>
        <v>0</v>
      </c>
      <c r="BC367" s="990">
        <v>0</v>
      </c>
      <c r="BD367" s="1107" t="str">
        <f t="shared" si="958"/>
        <v>0</v>
      </c>
      <c r="BE367" s="990">
        <v>0</v>
      </c>
      <c r="BF367" s="1107">
        <f t="shared" si="959"/>
        <v>0</v>
      </c>
      <c r="BG367" s="1108">
        <v>310</v>
      </c>
      <c r="BH367" s="1108">
        <v>0</v>
      </c>
      <c r="BI367" s="1132">
        <v>0</v>
      </c>
      <c r="BJ367" s="1108">
        <f t="shared" si="915"/>
        <v>0</v>
      </c>
      <c r="BK367" s="1108">
        <v>0</v>
      </c>
      <c r="BL367" s="1107">
        <f t="shared" si="974"/>
        <v>13</v>
      </c>
      <c r="BM367" s="1107">
        <f t="shared" si="975"/>
        <v>1.62</v>
      </c>
      <c r="BN367" s="1107">
        <f t="shared" si="960"/>
        <v>2.82</v>
      </c>
      <c r="BO367" s="1107">
        <v>0</v>
      </c>
      <c r="BP367" s="1107">
        <v>0</v>
      </c>
      <c r="BQ367" s="1320">
        <f t="shared" si="917"/>
        <v>17.440000000000001</v>
      </c>
      <c r="BR367" s="1107">
        <f t="shared" si="976"/>
        <v>29.24</v>
      </c>
      <c r="BS367" s="1107">
        <f t="shared" si="977"/>
        <v>6.5</v>
      </c>
      <c r="BT367" s="1107">
        <f t="shared" si="961"/>
        <v>5.64</v>
      </c>
      <c r="BU367" s="1107">
        <v>0</v>
      </c>
      <c r="BV367" s="1108">
        <f t="shared" si="950"/>
        <v>41.38</v>
      </c>
      <c r="BW367" s="1112">
        <f t="shared" si="951"/>
        <v>58.820000000000007</v>
      </c>
      <c r="BX367" s="1112">
        <f t="shared" si="1003"/>
        <v>527.96</v>
      </c>
      <c r="BY367" s="1108">
        <v>0</v>
      </c>
      <c r="BZ367" s="1108">
        <f t="shared" si="922"/>
        <v>527.96</v>
      </c>
      <c r="CA367" s="1321">
        <f>'CONCEPTOS Y PARAMETROS'!$A$102</f>
        <v>6255</v>
      </c>
      <c r="CB367" s="1112">
        <f t="shared" si="923"/>
        <v>123.35000000000002</v>
      </c>
      <c r="CC367" s="1113">
        <f t="shared" si="924"/>
        <v>450.79</v>
      </c>
      <c r="CD367" s="512"/>
      <c r="CE367" s="512"/>
      <c r="CF367" s="470">
        <f t="shared" si="962"/>
        <v>760.79</v>
      </c>
      <c r="CG367" s="495">
        <f t="shared" si="963"/>
        <v>123.35000000000002</v>
      </c>
      <c r="CH367" s="498">
        <f t="shared" si="927"/>
        <v>0</v>
      </c>
      <c r="CI367" s="1490">
        <f t="shared" si="964"/>
        <v>310</v>
      </c>
      <c r="CJ367" s="1500">
        <v>1</v>
      </c>
      <c r="CK367" s="495">
        <f t="shared" si="965"/>
        <v>450.79</v>
      </c>
      <c r="CL367" s="1689">
        <f t="shared" si="930"/>
        <v>450.79</v>
      </c>
      <c r="CM367" s="1689">
        <f t="shared" si="940"/>
        <v>0</v>
      </c>
      <c r="CN367" s="496">
        <f t="shared" si="966"/>
        <v>0</v>
      </c>
      <c r="CO367" s="497">
        <v>0</v>
      </c>
      <c r="CP367" s="496">
        <f t="shared" si="967"/>
        <v>0</v>
      </c>
      <c r="CQ367" s="496">
        <f t="shared" si="968"/>
        <v>0</v>
      </c>
      <c r="CR367" s="496">
        <f t="shared" si="969"/>
        <v>901.58</v>
      </c>
      <c r="CS367" s="496">
        <f t="shared" si="970"/>
        <v>58.820000000000007</v>
      </c>
      <c r="CT367" s="496">
        <f t="shared" si="971"/>
        <v>6255</v>
      </c>
      <c r="CU367" s="470"/>
      <c r="CV367" s="470"/>
      <c r="CW367" s="470"/>
      <c r="CX367" s="470"/>
      <c r="CY367" s="1275" t="s">
        <v>7007</v>
      </c>
      <c r="CZ367" s="1275" t="s">
        <v>6805</v>
      </c>
      <c r="DA367" s="480"/>
      <c r="DB367" s="1642" t="s">
        <v>6461</v>
      </c>
      <c r="DC367" s="1642"/>
      <c r="DD367" s="1642" t="s">
        <v>6199</v>
      </c>
      <c r="DE367" s="1642" t="s">
        <v>6198</v>
      </c>
      <c r="DF367" s="1645" t="s">
        <v>7494</v>
      </c>
      <c r="DG367" s="1645"/>
      <c r="DH367" s="470"/>
      <c r="DI367" s="470"/>
      <c r="DJ367" s="470"/>
      <c r="DK367" s="470"/>
      <c r="DL367" s="470"/>
      <c r="DN367" s="471" t="str">
        <f>VLOOKUP(X367,Hoja1!$A$4:$B$10,2,0)</f>
        <v>BACHILLER</v>
      </c>
      <c r="DO367" s="471" t="str">
        <f>VLOOKUP(S367,Hoja1!$D$4:$F$77,3,0)</f>
        <v>GRADO (1) - MIN</v>
      </c>
      <c r="DP367" s="1156" t="str">
        <f t="shared" si="972"/>
        <v>0</v>
      </c>
      <c r="DQ367" s="1484">
        <f>IF(T367&lt;&gt;"0",(ROUND(IF(A367="EMPLEADO",eval_formula('CONCEPTOS Y PARAMETROS'!$C$8,NOMINA!V367,AU367+BF367,NOMINA!I367+NOMINA!J367),eval_formula('CONCEPTOS Y PARAMETROS'!$D$8,NOMINA!V367,AU367+BF367,NOMINA!I367+NOMINA!J367)),2))*IF(H367&lt;&gt;"",IF(MONTH(H367)=$BR$8,IF(YEAR(H367)&lt;$BT$7,1,0),0)))</f>
        <v>0</v>
      </c>
      <c r="DR367" s="1801" t="str">
        <f t="shared" si="973"/>
        <v>F</v>
      </c>
      <c r="DS367" s="1801"/>
    </row>
    <row r="368" spans="1:123" s="471" customFormat="1" ht="21.95" customHeight="1" x14ac:dyDescent="0.25">
      <c r="A368" s="508" t="s">
        <v>2834</v>
      </c>
      <c r="B368" s="1314">
        <f t="shared" ca="1" si="941"/>
        <v>64</v>
      </c>
      <c r="C368" s="990">
        <v>15953703</v>
      </c>
      <c r="D368" s="1275" t="s">
        <v>5023</v>
      </c>
      <c r="E368" s="1135" t="s">
        <v>4622</v>
      </c>
      <c r="F368" s="1118">
        <v>29938</v>
      </c>
      <c r="G368" s="1135" t="s">
        <v>4621</v>
      </c>
      <c r="H368" s="1118">
        <v>38718</v>
      </c>
      <c r="I368" s="1140">
        <f t="shared" si="952"/>
        <v>19</v>
      </c>
      <c r="J368" s="1132">
        <v>0</v>
      </c>
      <c r="K368" s="1140">
        <f t="shared" ref="K368:K396" si="1025">I368+J368</f>
        <v>19</v>
      </c>
      <c r="L368" s="1145" t="s">
        <v>5539</v>
      </c>
      <c r="M368" s="1132"/>
      <c r="N368" s="1132"/>
      <c r="O368" s="1002" t="s">
        <v>5084</v>
      </c>
      <c r="P368" s="1132" t="s">
        <v>5159</v>
      </c>
      <c r="Q368" s="1315">
        <v>7152</v>
      </c>
      <c r="R368" s="1394" t="s">
        <v>5084</v>
      </c>
      <c r="S368" s="1393">
        <v>3</v>
      </c>
      <c r="T368" s="1107">
        <f>IFERROR(VLOOKUP(S368,'TAB OBR'!A:B,2,0),0)</f>
        <v>152</v>
      </c>
      <c r="U368" s="1108">
        <v>0</v>
      </c>
      <c r="V368" s="1107">
        <f t="shared" si="954"/>
        <v>152</v>
      </c>
      <c r="W368" s="1108">
        <f t="shared" si="898"/>
        <v>76</v>
      </c>
      <c r="X368" s="1135" t="s">
        <v>2884</v>
      </c>
      <c r="Y368" s="1135" t="s">
        <v>2884</v>
      </c>
      <c r="Z368" s="1135">
        <v>2</v>
      </c>
      <c r="AA368" s="1107">
        <f>ROUND(IF(H368&lt;&gt;"",VLOOKUP(SUM(I368+J368),'CONCEPTOS Y PARAMETROS'!F:G,2,0)*V368,0),2)</f>
        <v>37.090000000000003</v>
      </c>
      <c r="AB368" s="1107">
        <f>IF(S368&lt;&gt;"",IF(M368="",'CONCEPTOS Y PARAMETROS'!$C$4,0),0)</f>
        <v>130</v>
      </c>
      <c r="AC368" s="1107">
        <f>IF(S368&lt;&gt;"",IF(M368="",'CONCEPTOS Y PARAMETROS'!$C$7*Z368,0),0)</f>
        <v>25</v>
      </c>
      <c r="AD368" s="1107">
        <f>IFERROR(ROUND(VLOOKUP($X368,'CONCEPTOS Y PARAMETROS'!H:I,2,0)*($V368+AA368+AB368+AC368),2),0)</f>
        <v>0</v>
      </c>
      <c r="AE368" s="1107">
        <f t="shared" si="955"/>
        <v>192.09</v>
      </c>
      <c r="AF368" s="1107">
        <f t="shared" si="900"/>
        <v>18.55</v>
      </c>
      <c r="AG368" s="1107">
        <f t="shared" si="901"/>
        <v>18.54</v>
      </c>
      <c r="AH368" s="1107">
        <f t="shared" si="902"/>
        <v>65</v>
      </c>
      <c r="AI368" s="1107">
        <f t="shared" si="903"/>
        <v>65</v>
      </c>
      <c r="AJ368" s="1107">
        <f t="shared" si="904"/>
        <v>0</v>
      </c>
      <c r="AK368" s="1107">
        <f t="shared" si="905"/>
        <v>0</v>
      </c>
      <c r="AL368" s="1108">
        <f t="shared" si="906"/>
        <v>108.55</v>
      </c>
      <c r="AM368" s="1108">
        <f t="shared" si="907"/>
        <v>83.54</v>
      </c>
      <c r="AN368" s="990">
        <v>0</v>
      </c>
      <c r="AO368" s="1147">
        <f>'CONCEPTOS Y PARAMETROS'!$C$18*AN368</f>
        <v>0</v>
      </c>
      <c r="AP368" s="990">
        <v>0</v>
      </c>
      <c r="AQ368" s="1147">
        <f>'CONCEPTOS Y PARAMETROS'!$C$21*AP368</f>
        <v>0</v>
      </c>
      <c r="AR368" s="1318">
        <v>0</v>
      </c>
      <c r="AS368" s="1318">
        <v>0</v>
      </c>
      <c r="AT368" s="1318">
        <f t="shared" ref="AT368:AT396" si="1026">+AO368+AQ368+AR368+AS368</f>
        <v>0</v>
      </c>
      <c r="AU368" s="1108">
        <f t="shared" ref="AU368:AU396" si="1027">V368+AE368+AW368</f>
        <v>344.09000000000003</v>
      </c>
      <c r="AV368" s="1133">
        <v>0</v>
      </c>
      <c r="AW368" s="1108">
        <f t="shared" ref="AW368:AW396" si="1028">ROUND(IF(AV368="NOCTURN",(V368+AE368)*30%,0),2)</f>
        <v>0</v>
      </c>
      <c r="AX368" s="1107">
        <f>IF(T368&lt;&gt;"0",(ROUND(IF(A368="EMPLEADO",eval_formula('CONCEPTOS Y PARAMETROS'!$C$8,NOMINA!V368,NOMINA!$AU368,NOMINA!I368+NOMINA!J368),eval_formula('CONCEPTOS Y PARAMETROS'!$D$8,NOMINA!V368,NOMINA!$AU368,NOMINA!I368+NOMINA!J368)),2))*IF(H368&lt;&gt;"",IF(MONTH(H368)=$BR$8,IF(YEAR(H368)&lt;$BT$7,1,0),0)))</f>
        <v>0</v>
      </c>
      <c r="AY368" s="1108">
        <v>180</v>
      </c>
      <c r="AZ368" s="1107">
        <f>IFERROR(VLOOKUP(AY368,'CONCEPTOS Y PARAMETROS'!Y:Z,2,0),0)</f>
        <v>150</v>
      </c>
      <c r="BA368" s="1107">
        <f t="shared" si="911"/>
        <v>2580.6799999999998</v>
      </c>
      <c r="BB368" s="1107">
        <f t="shared" si="912"/>
        <v>0</v>
      </c>
      <c r="BC368" s="990">
        <v>0</v>
      </c>
      <c r="BD368" s="1107" t="str">
        <f t="shared" ref="BD368:BD396" si="1029">IF(BC368&gt;0,((((((V368+AA368+AB368+AC368+AD368)/30)/8)*50%)+((((V368+AA368+AB368+AC368+AD368)/30)/8)))*30%+(((((V368+AA368+AB368+AC368+AD368)/30)/8)*50%)+((((V368+AA368+AB368+AC368+AD368)/30)/8))))*BC368,"0")</f>
        <v>0</v>
      </c>
      <c r="BE368" s="990">
        <v>0</v>
      </c>
      <c r="BF368" s="1107">
        <f t="shared" si="959"/>
        <v>0</v>
      </c>
      <c r="BG368" s="1108">
        <v>310</v>
      </c>
      <c r="BH368" s="1108">
        <v>0</v>
      </c>
      <c r="BI368" s="1132">
        <v>0</v>
      </c>
      <c r="BJ368" s="1108">
        <f t="shared" ref="BJ368:BJ396" si="1030">+IF(BI368&lt;&gt;0,(BI368*12.5),0)</f>
        <v>0</v>
      </c>
      <c r="BK368" s="1108">
        <v>0</v>
      </c>
      <c r="BL368" s="1107">
        <f t="shared" si="974"/>
        <v>15.88</v>
      </c>
      <c r="BM368" s="1107">
        <f t="shared" si="975"/>
        <v>1.99</v>
      </c>
      <c r="BN368" s="1107">
        <f t="shared" si="960"/>
        <v>3.44</v>
      </c>
      <c r="BO368" s="1107">
        <v>0</v>
      </c>
      <c r="BP368" s="1107">
        <v>0</v>
      </c>
      <c r="BQ368" s="1320">
        <f t="shared" si="917"/>
        <v>21.31</v>
      </c>
      <c r="BR368" s="1107">
        <f t="shared" si="976"/>
        <v>35.729999999999997</v>
      </c>
      <c r="BS368" s="1107">
        <f t="shared" si="977"/>
        <v>7.94</v>
      </c>
      <c r="BT368" s="1107">
        <f t="shared" si="961"/>
        <v>6.88</v>
      </c>
      <c r="BU368" s="1107">
        <v>0</v>
      </c>
      <c r="BV368" s="1108">
        <f t="shared" si="950"/>
        <v>50.55</v>
      </c>
      <c r="BW368" s="1112">
        <f t="shared" si="951"/>
        <v>71.86</v>
      </c>
      <c r="BX368" s="1112">
        <f t="shared" si="1003"/>
        <v>645.16999999999996</v>
      </c>
      <c r="BY368" s="1108">
        <v>0</v>
      </c>
      <c r="BZ368" s="1108">
        <f t="shared" ref="BZ368:BZ396" si="1031">+BX368+BY368</f>
        <v>645.16999999999996</v>
      </c>
      <c r="CA368" s="1321">
        <f>'CONCEPTOS Y PARAMETROS'!$A$102</f>
        <v>6255</v>
      </c>
      <c r="CB368" s="1112">
        <f t="shared" si="923"/>
        <v>163.24</v>
      </c>
      <c r="CC368" s="1113">
        <f t="shared" si="924"/>
        <v>469.54</v>
      </c>
      <c r="CD368" s="512"/>
      <c r="CE368" s="512"/>
      <c r="CF368" s="470">
        <f t="shared" si="962"/>
        <v>779.54</v>
      </c>
      <c r="CG368" s="495">
        <f t="shared" si="963"/>
        <v>163.24</v>
      </c>
      <c r="CH368" s="498">
        <f t="shared" si="927"/>
        <v>0</v>
      </c>
      <c r="CI368" s="1490">
        <f t="shared" ref="CI368:CI396" si="1032">BG368</f>
        <v>310</v>
      </c>
      <c r="CJ368" s="1500">
        <v>1</v>
      </c>
      <c r="CK368" s="495">
        <f t="shared" si="965"/>
        <v>469.54</v>
      </c>
      <c r="CL368" s="1689">
        <f t="shared" si="930"/>
        <v>469.54</v>
      </c>
      <c r="CM368" s="1689">
        <f t="shared" si="940"/>
        <v>0</v>
      </c>
      <c r="CN368" s="496">
        <f t="shared" si="966"/>
        <v>0</v>
      </c>
      <c r="CO368" s="497">
        <v>0</v>
      </c>
      <c r="CP368" s="496">
        <f t="shared" si="967"/>
        <v>0</v>
      </c>
      <c r="CQ368" s="496">
        <f t="shared" si="968"/>
        <v>0</v>
      </c>
      <c r="CR368" s="496">
        <f t="shared" si="969"/>
        <v>939.08</v>
      </c>
      <c r="CS368" s="496">
        <f t="shared" si="970"/>
        <v>71.86</v>
      </c>
      <c r="CT368" s="496">
        <f t="shared" si="971"/>
        <v>6255</v>
      </c>
      <c r="CU368" s="470"/>
      <c r="CV368" s="470"/>
      <c r="CW368" s="470"/>
      <c r="CX368" s="470"/>
      <c r="CY368" s="1275" t="s">
        <v>6829</v>
      </c>
      <c r="CZ368" s="1275" t="s">
        <v>6813</v>
      </c>
      <c r="DA368" s="480"/>
      <c r="DB368" s="1642" t="s">
        <v>6462</v>
      </c>
      <c r="DC368" s="1642"/>
      <c r="DD368" s="1642" t="s">
        <v>6156</v>
      </c>
      <c r="DE368" s="1642" t="s">
        <v>6358</v>
      </c>
      <c r="DF368" s="1645" t="s">
        <v>6359</v>
      </c>
      <c r="DG368" s="1143"/>
      <c r="DH368" s="470"/>
      <c r="DI368" s="470"/>
      <c r="DJ368" s="470"/>
      <c r="DK368" s="470"/>
      <c r="DL368" s="470"/>
      <c r="DN368" s="471" t="str">
        <f>VLOOKUP(X368,Hoja1!$A$4:$B$10,2,0)</f>
        <v>BACHILLER</v>
      </c>
      <c r="DO368" s="471" t="str">
        <f>VLOOKUP(S368,Hoja1!$D$4:$F$77,3,0)</f>
        <v>GRADO (3) - MÁX</v>
      </c>
      <c r="DP368" s="1156" t="str">
        <f t="shared" si="972"/>
        <v>0</v>
      </c>
      <c r="DQ368" s="1484">
        <f>IF(T368&lt;&gt;"0",(ROUND(IF(A368="EMPLEADO",eval_formula('CONCEPTOS Y PARAMETROS'!$C$8,NOMINA!V368,AU368+BF368,NOMINA!I368+NOMINA!J368),eval_formula('CONCEPTOS Y PARAMETROS'!$D$8,NOMINA!V368,AU368+BF368,NOMINA!I368+NOMINA!J368)),2))*IF(H368&lt;&gt;"",IF(MONTH(H368)=$BR$8,IF(YEAR(H368)&lt;$BT$7,1,0),0)))</f>
        <v>0</v>
      </c>
      <c r="DR368" s="1801" t="str">
        <f t="shared" si="973"/>
        <v>M</v>
      </c>
      <c r="DS368" s="1801"/>
    </row>
    <row r="369" spans="1:123" s="471" customFormat="1" ht="21.95" customHeight="1" x14ac:dyDescent="0.25">
      <c r="A369" s="508" t="s">
        <v>2834</v>
      </c>
      <c r="B369" s="1314">
        <f t="shared" ca="1" si="941"/>
        <v>65</v>
      </c>
      <c r="C369" s="990">
        <v>16266801</v>
      </c>
      <c r="D369" s="1275" t="s">
        <v>5024</v>
      </c>
      <c r="E369" s="1135" t="s">
        <v>4622</v>
      </c>
      <c r="F369" s="1118">
        <v>29034</v>
      </c>
      <c r="G369" s="1135" t="s">
        <v>4620</v>
      </c>
      <c r="H369" s="1118">
        <v>39496</v>
      </c>
      <c r="I369" s="1140">
        <f t="shared" ref="I369:I396" si="1033">IF(AND(YEAR(H369)&lt;YEAR($H$10),MONTH(H369)&gt;$BR$8),YEAR($H$10)-YEAR(H369)-1,IF(OR(H369="",YEAR(H369)&gt;YEAR($H$10)),0,YEAR($H$10)-YEAR(H369)))</f>
        <v>17</v>
      </c>
      <c r="J369" s="1132">
        <v>0</v>
      </c>
      <c r="K369" s="1140">
        <f t="shared" si="1025"/>
        <v>17</v>
      </c>
      <c r="L369" s="1145" t="s">
        <v>5543</v>
      </c>
      <c r="M369" s="1132"/>
      <c r="N369" s="1132"/>
      <c r="O369" s="1002" t="s">
        <v>5085</v>
      </c>
      <c r="P369" s="1132" t="s">
        <v>5160</v>
      </c>
      <c r="Q369" s="1315">
        <v>2202</v>
      </c>
      <c r="R369" s="1394" t="s">
        <v>5085</v>
      </c>
      <c r="S369" s="1393">
        <v>5</v>
      </c>
      <c r="T369" s="1107">
        <f>IFERROR(VLOOKUP(S369,'TAB OBR'!A:B,2,0),0)</f>
        <v>171</v>
      </c>
      <c r="U369" s="1108">
        <v>0</v>
      </c>
      <c r="V369" s="1107">
        <f t="shared" ref="V369:V396" si="1034">T369-U369</f>
        <v>171</v>
      </c>
      <c r="W369" s="1108">
        <f t="shared" ref="W369:W396" si="1035">ROUND(V369/2,2)</f>
        <v>85.5</v>
      </c>
      <c r="X369" s="1135" t="s">
        <v>2884</v>
      </c>
      <c r="Y369" s="1135" t="s">
        <v>2884</v>
      </c>
      <c r="Z369" s="1135">
        <v>1</v>
      </c>
      <c r="AA369" s="1107">
        <f>ROUND(IF(H369&lt;&gt;"",VLOOKUP(SUM(I369+J369),'CONCEPTOS Y PARAMETROS'!F:G,2,0)*V369,0),2)</f>
        <v>36.25</v>
      </c>
      <c r="AB369" s="1107">
        <f>IF(S369&lt;&gt;"",IF(M369="",'CONCEPTOS Y PARAMETROS'!$C$4,0),0)</f>
        <v>130</v>
      </c>
      <c r="AC369" s="1107">
        <f>IF(S369&lt;&gt;"",IF(M369="",'CONCEPTOS Y PARAMETROS'!$C$7*Z369,0),0)</f>
        <v>12.5</v>
      </c>
      <c r="AD369" s="1107">
        <f>IFERROR(ROUND(VLOOKUP($X369,'CONCEPTOS Y PARAMETROS'!H:I,2,0)*($V369+AA369+AB369+AC369),2),0)</f>
        <v>0</v>
      </c>
      <c r="AE369" s="1107">
        <f t="shared" ref="AE369:AE396" si="1036">SUM(AA369:AD369)</f>
        <v>178.75</v>
      </c>
      <c r="AF369" s="1107">
        <f t="shared" ref="AF369:AF396" si="1037">ROUND(AA369/2,2)</f>
        <v>18.13</v>
      </c>
      <c r="AG369" s="1107">
        <f t="shared" ref="AG369:AG396" si="1038">ROUND(AA369-AF369,2)</f>
        <v>18.12</v>
      </c>
      <c r="AH369" s="1107">
        <f t="shared" ref="AH369:AH396" si="1039">ROUND(AB369/2,2)</f>
        <v>65</v>
      </c>
      <c r="AI369" s="1107">
        <f t="shared" ref="AI369:AI396" si="1040">ROUND(AB369-AH369,2)</f>
        <v>65</v>
      </c>
      <c r="AJ369" s="1107">
        <f t="shared" ref="AJ369:AJ396" si="1041">ROUND(AD369/2,2)</f>
        <v>0</v>
      </c>
      <c r="AK369" s="1107">
        <f t="shared" ref="AK369:AK396" si="1042">ROUND(AD369-AJ369,2)</f>
        <v>0</v>
      </c>
      <c r="AL369" s="1108">
        <f t="shared" ref="AL369:AL396" si="1043">ROUND(AF369+AH369+AJ369+AC369,2)</f>
        <v>95.63</v>
      </c>
      <c r="AM369" s="1108">
        <f t="shared" ref="AM369:AM396" si="1044">ROUND(AG369+AI369+AK369,2)</f>
        <v>83.12</v>
      </c>
      <c r="AN369" s="1453">
        <v>1</v>
      </c>
      <c r="AO369" s="1147">
        <f>'CONCEPTOS Y PARAMETROS'!$C$18*AN369</f>
        <v>12.5</v>
      </c>
      <c r="AP369" s="990">
        <v>0</v>
      </c>
      <c r="AQ369" s="1147">
        <f>'CONCEPTOS Y PARAMETROS'!$C$21*AP369</f>
        <v>0</v>
      </c>
      <c r="AR369" s="1318">
        <v>0</v>
      </c>
      <c r="AS369" s="1318">
        <v>0</v>
      </c>
      <c r="AT369" s="1318">
        <f t="shared" si="1026"/>
        <v>12.5</v>
      </c>
      <c r="AU369" s="1108">
        <f t="shared" si="1027"/>
        <v>349.75</v>
      </c>
      <c r="AV369" s="1133">
        <v>0</v>
      </c>
      <c r="AW369" s="1108">
        <f t="shared" si="1028"/>
        <v>0</v>
      </c>
      <c r="AX369" s="1107">
        <f>IF(T369&lt;&gt;"0",(ROUND(IF(A369="EMPLEADO",eval_formula('CONCEPTOS Y PARAMETROS'!$C$8,NOMINA!V369,NOMINA!$AU369,NOMINA!I369+NOMINA!J369),eval_formula('CONCEPTOS Y PARAMETROS'!$D$8,NOMINA!V369,NOMINA!$AU369,NOMINA!I369+NOMINA!J369)),2))*IF(H369&lt;&gt;"",IF(MONTH(H369)=$BR$8,IF(YEAR(H369)&lt;$BT$7,1,0),0)))</f>
        <v>0</v>
      </c>
      <c r="AY369" s="1108">
        <v>180</v>
      </c>
      <c r="AZ369" s="1107">
        <f>IFERROR(VLOOKUP(AY369,'CONCEPTOS Y PARAMETROS'!Y:Z,2,0),0)</f>
        <v>150</v>
      </c>
      <c r="BA369" s="1107">
        <f t="shared" ref="BA369:BA396" si="1045">ROUND((((AU369))/30*AY369/12+(AU369))/30*AZ369,2)</f>
        <v>2623.13</v>
      </c>
      <c r="BB369" s="1107">
        <f t="shared" ref="BB369:BB396" si="1046">ROUND(AU369/30*$BB$10,2)</f>
        <v>0</v>
      </c>
      <c r="BC369" s="990">
        <v>0</v>
      </c>
      <c r="BD369" s="1107" t="str">
        <f t="shared" si="1029"/>
        <v>0</v>
      </c>
      <c r="BE369" s="990">
        <v>0</v>
      </c>
      <c r="BF369" s="1107">
        <f t="shared" ref="BF369:BF396" si="1047">ROUND(IF(BE369&gt;0,(((V369+AA369+AB369+AC369+AD369+AW369)/30)*50%+((V369+AA369+AB369+AC369+AD369+AW369)/30))*BE369,"0"),2)</f>
        <v>0</v>
      </c>
      <c r="BG369" s="1108">
        <v>310</v>
      </c>
      <c r="BH369" s="1108">
        <v>0</v>
      </c>
      <c r="BI369" s="1132">
        <v>0</v>
      </c>
      <c r="BJ369" s="1108">
        <f t="shared" si="1030"/>
        <v>0</v>
      </c>
      <c r="BK369" s="1108">
        <v>0</v>
      </c>
      <c r="BL369" s="1107">
        <f t="shared" si="974"/>
        <v>16.14</v>
      </c>
      <c r="BM369" s="1107">
        <f t="shared" si="975"/>
        <v>2.02</v>
      </c>
      <c r="BN369" s="1107">
        <f t="shared" ref="BN369:BN396" si="1048">ROUND(IF(M369="",(AU369*1%),0),2)</f>
        <v>3.5</v>
      </c>
      <c r="BO369" s="1107">
        <v>0</v>
      </c>
      <c r="BP369" s="1107">
        <v>0</v>
      </c>
      <c r="BQ369" s="1320">
        <f t="shared" ref="BQ369:BQ396" si="1049">ROUND(SUM(BL369:BP369),2)</f>
        <v>21.66</v>
      </c>
      <c r="BR369" s="1107">
        <f t="shared" si="976"/>
        <v>36.32</v>
      </c>
      <c r="BS369" s="1107">
        <f t="shared" si="977"/>
        <v>8.07</v>
      </c>
      <c r="BT369" s="1107">
        <f t="shared" ref="BT369:BT396" si="1050">ROUND(IF(M369="",(BN369*2),0),2)</f>
        <v>7</v>
      </c>
      <c r="BU369" s="1107">
        <v>0</v>
      </c>
      <c r="BV369" s="1108">
        <f t="shared" ref="BV369:BV396" si="1051">ROUND(SUM(BR369:BT369),2)</f>
        <v>51.39</v>
      </c>
      <c r="BW369" s="1112">
        <f t="shared" ref="BW369:BW396" si="1052">BQ369+BV369</f>
        <v>73.05</v>
      </c>
      <c r="BX369" s="1112">
        <f t="shared" si="1003"/>
        <v>655.78</v>
      </c>
      <c r="BY369" s="1108">
        <v>0</v>
      </c>
      <c r="BZ369" s="1108">
        <f t="shared" si="1031"/>
        <v>655.78</v>
      </c>
      <c r="CA369" s="1321">
        <f>'CONCEPTOS Y PARAMETROS'!$A$102</f>
        <v>6255</v>
      </c>
      <c r="CB369" s="1112">
        <f t="shared" ref="CB369:CB396" si="1053">W369+AL369-BQ369</f>
        <v>159.47</v>
      </c>
      <c r="CC369" s="1113">
        <f t="shared" ref="CC369:CC396" si="1054">ROUND((W369+AM369+AW369+AX369+BB369+BD369+BF369+BK369+BG369+BH369+BJ369+AT369),2)</f>
        <v>491.12</v>
      </c>
      <c r="CD369" s="512"/>
      <c r="CE369" s="512"/>
      <c r="CF369" s="470">
        <f t="shared" ref="CF369:CF396" si="1055">+CI369+CK369</f>
        <v>788.62</v>
      </c>
      <c r="CG369" s="495">
        <f t="shared" ref="CG369:CG396" si="1056">W369+AL369-BQ369</f>
        <v>159.47</v>
      </c>
      <c r="CH369" s="498">
        <f t="shared" ref="CH369:CH396" si="1057">AT369+BJ369</f>
        <v>12.5</v>
      </c>
      <c r="CI369" s="1490">
        <f t="shared" si="1032"/>
        <v>310</v>
      </c>
      <c r="CJ369" s="1500">
        <v>1</v>
      </c>
      <c r="CK369" s="495">
        <f t="shared" ref="CK369:CK396" si="1058">W369+AM369+BG369</f>
        <v>478.62</v>
      </c>
      <c r="CL369" s="1689">
        <f t="shared" ref="CL369:CL396" si="1059">ROUND(IF(CK369&gt;600,CK369*48%,CK369),2)</f>
        <v>478.62</v>
      </c>
      <c r="CM369" s="1689">
        <f t="shared" si="940"/>
        <v>0</v>
      </c>
      <c r="CN369" s="496">
        <f t="shared" ref="CN369:CN396" si="1060">BF369+BB369</f>
        <v>0</v>
      </c>
      <c r="CO369" s="497">
        <v>0</v>
      </c>
      <c r="CP369" s="496">
        <f t="shared" ref="CP369:CP396" si="1061">AW369</f>
        <v>0</v>
      </c>
      <c r="CQ369" s="496">
        <f t="shared" ref="CQ369:CQ396" si="1062">AX369</f>
        <v>0</v>
      </c>
      <c r="CR369" s="496">
        <f t="shared" ref="CR369:CR396" si="1063">SUM(CK369:CQ369)</f>
        <v>957.24</v>
      </c>
      <c r="CS369" s="496">
        <f t="shared" ref="CS369:CS396" si="1064">BQ369+BV369</f>
        <v>73.05</v>
      </c>
      <c r="CT369" s="496">
        <f t="shared" ref="CT369:CT396" si="1065">CA369</f>
        <v>6255</v>
      </c>
      <c r="CU369" s="470"/>
      <c r="CV369" s="470"/>
      <c r="CW369" s="470"/>
      <c r="CX369" s="470"/>
      <c r="CY369" s="1275" t="s">
        <v>6829</v>
      </c>
      <c r="CZ369" s="1275" t="s">
        <v>7190</v>
      </c>
      <c r="DA369" s="480"/>
      <c r="DB369" s="1152" t="s">
        <v>6463</v>
      </c>
      <c r="DC369" s="1152" t="s">
        <v>7546</v>
      </c>
      <c r="DD369" s="1152" t="s">
        <v>6135</v>
      </c>
      <c r="DE369" s="1152" t="s">
        <v>6147</v>
      </c>
      <c r="DF369" s="1152" t="s">
        <v>6464</v>
      </c>
      <c r="DG369" s="1152"/>
      <c r="DH369" s="470"/>
      <c r="DI369" s="470"/>
      <c r="DJ369" s="470"/>
      <c r="DK369" s="470"/>
      <c r="DL369" s="470"/>
      <c r="DN369" s="471" t="str">
        <f>VLOOKUP(X369,Hoja1!$A$4:$B$10,2,0)</f>
        <v>BACHILLER</v>
      </c>
      <c r="DO369" s="471" t="str">
        <f>VLOOKUP(S369,Hoja1!$D$4:$F$77,3,0)</f>
        <v>GRADO (5) - MÁX</v>
      </c>
      <c r="DP369" s="1156" t="str">
        <f t="shared" ref="DP369:DP396" si="1066">IF(AV369="NOCTURN","SI","0")</f>
        <v>0</v>
      </c>
      <c r="DQ369" s="1484">
        <f>IF(T369&lt;&gt;"0",(ROUND(IF(A369="EMPLEADO",eval_formula('CONCEPTOS Y PARAMETROS'!$C$8,NOMINA!V369,AU369+BF369,NOMINA!I369+NOMINA!J369),eval_formula('CONCEPTOS Y PARAMETROS'!$D$8,NOMINA!V369,AU369+BF369,NOMINA!I369+NOMINA!J369)),2))*IF(H369&lt;&gt;"",IF(MONTH(H369)=$BR$8,IF(YEAR(H369)&lt;$BT$7,1,0),0)))</f>
        <v>0</v>
      </c>
      <c r="DR369" s="1801" t="str">
        <f t="shared" ref="DR369:DR396" si="1067">+G369</f>
        <v>F</v>
      </c>
      <c r="DS369" s="1801"/>
    </row>
    <row r="370" spans="1:123" s="471" customFormat="1" ht="21.95" customHeight="1" x14ac:dyDescent="0.25">
      <c r="A370" s="508" t="s">
        <v>2834</v>
      </c>
      <c r="B370" s="1314">
        <f t="shared" ca="1" si="941"/>
        <v>66</v>
      </c>
      <c r="C370" s="990">
        <v>16739958</v>
      </c>
      <c r="D370" s="1275" t="s">
        <v>5082</v>
      </c>
      <c r="E370" s="1135" t="s">
        <v>4622</v>
      </c>
      <c r="F370" s="1118">
        <v>30170</v>
      </c>
      <c r="G370" s="1135" t="s">
        <v>4620</v>
      </c>
      <c r="H370" s="1118">
        <v>44866</v>
      </c>
      <c r="I370" s="1140">
        <f t="shared" si="1033"/>
        <v>2</v>
      </c>
      <c r="J370" s="1132">
        <v>0</v>
      </c>
      <c r="K370" s="1140">
        <f t="shared" si="1025"/>
        <v>2</v>
      </c>
      <c r="L370" s="1145" t="s">
        <v>5543</v>
      </c>
      <c r="M370" s="1132"/>
      <c r="N370" s="1132"/>
      <c r="O370" s="1002" t="s">
        <v>5096</v>
      </c>
      <c r="P370" s="1132" t="s">
        <v>5161</v>
      </c>
      <c r="Q370" s="1315" t="s">
        <v>2567</v>
      </c>
      <c r="R370" s="1394" t="s">
        <v>5096</v>
      </c>
      <c r="S370" s="1393">
        <v>2</v>
      </c>
      <c r="T370" s="1107">
        <f>IFERROR(VLOOKUP(S370,'TAB OBR'!A:B,2,0),0)</f>
        <v>142</v>
      </c>
      <c r="U370" s="1108">
        <v>0</v>
      </c>
      <c r="V370" s="1107">
        <f t="shared" si="1034"/>
        <v>142</v>
      </c>
      <c r="W370" s="1108">
        <f t="shared" si="1035"/>
        <v>71</v>
      </c>
      <c r="X370" s="1135" t="s">
        <v>2884</v>
      </c>
      <c r="Y370" s="1135" t="s">
        <v>2884</v>
      </c>
      <c r="Z370" s="1135">
        <v>2</v>
      </c>
      <c r="AA370" s="1107">
        <f>ROUND(IF(H370&lt;&gt;"",VLOOKUP(SUM(I370+J370),'CONCEPTOS Y PARAMETROS'!F:G,2,0)*V370,0),2)</f>
        <v>2.84</v>
      </c>
      <c r="AB370" s="1107">
        <f>IF(S370&lt;&gt;"",IF(M370="",'CONCEPTOS Y PARAMETROS'!$C$4,0),0)</f>
        <v>130</v>
      </c>
      <c r="AC370" s="1107">
        <f>IF(S370&lt;&gt;"",IF(M370="",'CONCEPTOS Y PARAMETROS'!$C$7*Z370,0),0)</f>
        <v>25</v>
      </c>
      <c r="AD370" s="1107">
        <f>IFERROR(ROUND(VLOOKUP($X370,'CONCEPTOS Y PARAMETROS'!H:I,2,0)*($V370+AA370+AB370+AC370),2),0)</f>
        <v>0</v>
      </c>
      <c r="AE370" s="1107">
        <f t="shared" si="1036"/>
        <v>157.84</v>
      </c>
      <c r="AF370" s="1107">
        <f t="shared" si="1037"/>
        <v>1.42</v>
      </c>
      <c r="AG370" s="1107">
        <f t="shared" si="1038"/>
        <v>1.42</v>
      </c>
      <c r="AH370" s="1107">
        <f t="shared" si="1039"/>
        <v>65</v>
      </c>
      <c r="AI370" s="1107">
        <f t="shared" si="1040"/>
        <v>65</v>
      </c>
      <c r="AJ370" s="1107">
        <f t="shared" si="1041"/>
        <v>0</v>
      </c>
      <c r="AK370" s="1107">
        <f t="shared" si="1042"/>
        <v>0</v>
      </c>
      <c r="AL370" s="1108">
        <f t="shared" si="1043"/>
        <v>91.42</v>
      </c>
      <c r="AM370" s="1108">
        <f t="shared" si="1044"/>
        <v>66.42</v>
      </c>
      <c r="AN370" s="1453">
        <v>2</v>
      </c>
      <c r="AO370" s="1147">
        <f>'CONCEPTOS Y PARAMETROS'!$C$18*AN370</f>
        <v>25</v>
      </c>
      <c r="AP370" s="990">
        <v>0</v>
      </c>
      <c r="AQ370" s="1147">
        <f>'CONCEPTOS Y PARAMETROS'!$C$21*AP370</f>
        <v>0</v>
      </c>
      <c r="AR370" s="1318">
        <v>0</v>
      </c>
      <c r="AS370" s="1318">
        <v>0</v>
      </c>
      <c r="AT370" s="1318">
        <f t="shared" si="1026"/>
        <v>25</v>
      </c>
      <c r="AU370" s="1108">
        <f t="shared" si="1027"/>
        <v>299.84000000000003</v>
      </c>
      <c r="AV370" s="1133">
        <v>0</v>
      </c>
      <c r="AW370" s="1108">
        <f t="shared" si="1028"/>
        <v>0</v>
      </c>
      <c r="AX370" s="1107">
        <f>IF(T370&lt;&gt;"0",(ROUND(IF(A370="EMPLEADO",eval_formula('CONCEPTOS Y PARAMETROS'!$C$8,NOMINA!V370,NOMINA!$AU370,NOMINA!I370+NOMINA!J370),eval_formula('CONCEPTOS Y PARAMETROS'!$D$8,NOMINA!V370,NOMINA!$AU370,NOMINA!I370+NOMINA!J370)),2))*IF(H370&lt;&gt;"",IF(MONTH(H370)=$BR$8,IF(YEAR(H370)&lt;$BT$7,1,0),0)))</f>
        <v>0</v>
      </c>
      <c r="AY370" s="1108">
        <v>180</v>
      </c>
      <c r="AZ370" s="1107">
        <f>IFERROR(VLOOKUP(AY370,'CONCEPTOS Y PARAMETROS'!Y:Z,2,0),0)</f>
        <v>150</v>
      </c>
      <c r="BA370" s="1107">
        <f t="shared" si="1045"/>
        <v>2248.8000000000002</v>
      </c>
      <c r="BB370" s="1107">
        <f t="shared" si="1046"/>
        <v>0</v>
      </c>
      <c r="BC370" s="990">
        <v>0</v>
      </c>
      <c r="BD370" s="1107" t="str">
        <f t="shared" si="1029"/>
        <v>0</v>
      </c>
      <c r="BE370" s="990">
        <v>2</v>
      </c>
      <c r="BF370" s="1107">
        <f t="shared" si="1047"/>
        <v>29.98</v>
      </c>
      <c r="BG370" s="1108">
        <v>310</v>
      </c>
      <c r="BH370" s="1108">
        <v>0</v>
      </c>
      <c r="BI370" s="1132">
        <v>0</v>
      </c>
      <c r="BJ370" s="1108">
        <f t="shared" si="1030"/>
        <v>0</v>
      </c>
      <c r="BK370" s="1108">
        <v>0</v>
      </c>
      <c r="BL370" s="1107">
        <f t="shared" si="974"/>
        <v>13.84</v>
      </c>
      <c r="BM370" s="1107">
        <f t="shared" si="975"/>
        <v>1.73</v>
      </c>
      <c r="BN370" s="1107">
        <f t="shared" si="1048"/>
        <v>3</v>
      </c>
      <c r="BO370" s="1107">
        <v>0</v>
      </c>
      <c r="BP370" s="1107">
        <v>0</v>
      </c>
      <c r="BQ370" s="1320">
        <f t="shared" si="1049"/>
        <v>18.57</v>
      </c>
      <c r="BR370" s="1107">
        <f t="shared" si="976"/>
        <v>31.14</v>
      </c>
      <c r="BS370" s="1107">
        <f t="shared" si="977"/>
        <v>6.92</v>
      </c>
      <c r="BT370" s="1107">
        <f t="shared" si="1050"/>
        <v>6</v>
      </c>
      <c r="BU370" s="1107">
        <v>0</v>
      </c>
      <c r="BV370" s="1108">
        <f t="shared" si="1051"/>
        <v>44.06</v>
      </c>
      <c r="BW370" s="1112">
        <f t="shared" si="1052"/>
        <v>62.63</v>
      </c>
      <c r="BX370" s="1112">
        <f t="shared" si="1003"/>
        <v>562.20000000000005</v>
      </c>
      <c r="BY370" s="1108">
        <v>0</v>
      </c>
      <c r="BZ370" s="1108">
        <f t="shared" si="1031"/>
        <v>562.20000000000005</v>
      </c>
      <c r="CA370" s="1321">
        <f>'CONCEPTOS Y PARAMETROS'!$A$102</f>
        <v>6255</v>
      </c>
      <c r="CB370" s="1112">
        <f t="shared" si="1053"/>
        <v>143.85000000000002</v>
      </c>
      <c r="CC370" s="1113">
        <f t="shared" si="1054"/>
        <v>502.4</v>
      </c>
      <c r="CD370" s="512"/>
      <c r="CE370" s="512"/>
      <c r="CF370" s="470">
        <f t="shared" si="1055"/>
        <v>757.42000000000007</v>
      </c>
      <c r="CG370" s="495">
        <f t="shared" si="1056"/>
        <v>143.85000000000002</v>
      </c>
      <c r="CH370" s="498">
        <f t="shared" si="1057"/>
        <v>25</v>
      </c>
      <c r="CI370" s="1490">
        <f t="shared" si="1032"/>
        <v>310</v>
      </c>
      <c r="CJ370" s="1500">
        <v>1</v>
      </c>
      <c r="CK370" s="495">
        <f t="shared" si="1058"/>
        <v>447.42</v>
      </c>
      <c r="CL370" s="1689">
        <f t="shared" si="1059"/>
        <v>447.42</v>
      </c>
      <c r="CM370" s="1689">
        <f t="shared" ref="CM370:CM396" si="1068">+CK370-CL370</f>
        <v>0</v>
      </c>
      <c r="CN370" s="496">
        <f t="shared" si="1060"/>
        <v>29.98</v>
      </c>
      <c r="CO370" s="497">
        <v>0</v>
      </c>
      <c r="CP370" s="496">
        <f t="shared" si="1061"/>
        <v>0</v>
      </c>
      <c r="CQ370" s="496">
        <f t="shared" si="1062"/>
        <v>0</v>
      </c>
      <c r="CR370" s="496">
        <f t="shared" si="1063"/>
        <v>924.82</v>
      </c>
      <c r="CS370" s="496">
        <f t="shared" si="1064"/>
        <v>62.63</v>
      </c>
      <c r="CT370" s="496">
        <f t="shared" si="1065"/>
        <v>6255</v>
      </c>
      <c r="CU370" s="470"/>
      <c r="CV370" s="470"/>
      <c r="CW370" s="470"/>
      <c r="CX370" s="470"/>
      <c r="CY370" s="1275" t="s">
        <v>6950</v>
      </c>
      <c r="CZ370" s="1275" t="s">
        <v>7191</v>
      </c>
      <c r="DA370" s="480"/>
      <c r="DB370" s="1642" t="s">
        <v>6515</v>
      </c>
      <c r="DC370" s="1642"/>
      <c r="DD370" s="1642" t="s">
        <v>6135</v>
      </c>
      <c r="DE370" s="1642" t="s">
        <v>6247</v>
      </c>
      <c r="DF370" s="1642" t="s">
        <v>6533</v>
      </c>
      <c r="DG370" s="1642"/>
      <c r="DH370" s="470"/>
      <c r="DI370" s="470"/>
      <c r="DJ370" s="470"/>
      <c r="DK370" s="470"/>
      <c r="DL370" s="470"/>
      <c r="DN370" s="471" t="str">
        <f>VLOOKUP(X370,Hoja1!$A$4:$B$10,2,0)</f>
        <v>BACHILLER</v>
      </c>
      <c r="DO370" s="471" t="str">
        <f>VLOOKUP(S370,Hoja1!$D$4:$F$77,3,0)</f>
        <v>GRADO (2) - MÁX</v>
      </c>
      <c r="DP370" s="1156" t="str">
        <f t="shared" si="1066"/>
        <v>0</v>
      </c>
      <c r="DQ370" s="1484">
        <f>IF(T370&lt;&gt;"0",(ROUND(IF(A370="EMPLEADO",eval_formula('CONCEPTOS Y PARAMETROS'!$C$8,NOMINA!V370,AU370+BF370,NOMINA!I370+NOMINA!J370),eval_formula('CONCEPTOS Y PARAMETROS'!$D$8,NOMINA!V370,AU370+BF370,NOMINA!I370+NOMINA!J370)),2))*IF(H370&lt;&gt;"",IF(MONTH(H370)=$BR$8,IF(YEAR(H370)&lt;$BT$7,1,0),0)))</f>
        <v>0</v>
      </c>
      <c r="DR370" s="1801" t="str">
        <f t="shared" si="1067"/>
        <v>F</v>
      </c>
      <c r="DS370" s="1801"/>
    </row>
    <row r="371" spans="1:123" s="471" customFormat="1" ht="21.95" customHeight="1" x14ac:dyDescent="0.25">
      <c r="A371" s="508" t="s">
        <v>2834</v>
      </c>
      <c r="B371" s="1314">
        <f t="shared" ref="B371:B396" ca="1" si="1069">OFFSET(B371,-1,0)+1</f>
        <v>67</v>
      </c>
      <c r="C371" s="990">
        <v>16881526</v>
      </c>
      <c r="D371" s="1275" t="s">
        <v>5026</v>
      </c>
      <c r="E371" s="1135" t="s">
        <v>4622</v>
      </c>
      <c r="F371" s="1118">
        <v>31229</v>
      </c>
      <c r="G371" s="1135" t="s">
        <v>4620</v>
      </c>
      <c r="H371" s="1118">
        <v>44470</v>
      </c>
      <c r="I371" s="1140">
        <f t="shared" si="1033"/>
        <v>3</v>
      </c>
      <c r="J371" s="1132">
        <v>0</v>
      </c>
      <c r="K371" s="1140">
        <f t="shared" si="1025"/>
        <v>3</v>
      </c>
      <c r="L371" s="1145" t="s">
        <v>5528</v>
      </c>
      <c r="M371" s="1132"/>
      <c r="N371" s="1132"/>
      <c r="O371" s="1002" t="s">
        <v>5092</v>
      </c>
      <c r="P371" s="1132" t="s">
        <v>5162</v>
      </c>
      <c r="Q371" s="1315">
        <v>7102</v>
      </c>
      <c r="R371" s="1394" t="s">
        <v>5092</v>
      </c>
      <c r="S371" s="1393">
        <v>1</v>
      </c>
      <c r="T371" s="1107">
        <f>IFERROR(VLOOKUP(S371,'TAB OBR'!A:B,2,0),0)</f>
        <v>130</v>
      </c>
      <c r="U371" s="1108">
        <v>0</v>
      </c>
      <c r="V371" s="1107">
        <f t="shared" si="1034"/>
        <v>130</v>
      </c>
      <c r="W371" s="1108">
        <f t="shared" si="1035"/>
        <v>65</v>
      </c>
      <c r="X371" s="1135" t="s">
        <v>2884</v>
      </c>
      <c r="Y371" s="1135" t="s">
        <v>2884</v>
      </c>
      <c r="Z371" s="1135">
        <v>2</v>
      </c>
      <c r="AA371" s="1107">
        <f>ROUND(IF(H371&lt;&gt;"",VLOOKUP(SUM(I371+J371),'CONCEPTOS Y PARAMETROS'!F:G,2,0)*V371,0),2)</f>
        <v>3.9</v>
      </c>
      <c r="AB371" s="1107">
        <f>IF(S371&lt;&gt;"",IF(M371="",'CONCEPTOS Y PARAMETROS'!$C$4,0),0)</f>
        <v>130</v>
      </c>
      <c r="AC371" s="1107">
        <f>IF(S371&lt;&gt;"",IF(M371="",'CONCEPTOS Y PARAMETROS'!$C$7*Z371,0),0)</f>
        <v>25</v>
      </c>
      <c r="AD371" s="1107">
        <f>IFERROR(ROUND(VLOOKUP($X371,'CONCEPTOS Y PARAMETROS'!H:I,2,0)*($V371+AA371+AB371+AC371),2),0)</f>
        <v>0</v>
      </c>
      <c r="AE371" s="1107">
        <f t="shared" si="1036"/>
        <v>158.9</v>
      </c>
      <c r="AF371" s="1107">
        <f t="shared" si="1037"/>
        <v>1.95</v>
      </c>
      <c r="AG371" s="1107">
        <f t="shared" si="1038"/>
        <v>1.95</v>
      </c>
      <c r="AH371" s="1107">
        <f t="shared" si="1039"/>
        <v>65</v>
      </c>
      <c r="AI371" s="1107">
        <f t="shared" si="1040"/>
        <v>65</v>
      </c>
      <c r="AJ371" s="1107">
        <f t="shared" si="1041"/>
        <v>0</v>
      </c>
      <c r="AK371" s="1107">
        <f t="shared" si="1042"/>
        <v>0</v>
      </c>
      <c r="AL371" s="1108">
        <f t="shared" si="1043"/>
        <v>91.95</v>
      </c>
      <c r="AM371" s="1108">
        <f t="shared" si="1044"/>
        <v>66.95</v>
      </c>
      <c r="AN371" s="1454">
        <v>1</v>
      </c>
      <c r="AO371" s="1147">
        <f>'CONCEPTOS Y PARAMETROS'!$C$18*AN371</f>
        <v>12.5</v>
      </c>
      <c r="AP371" s="990">
        <v>0</v>
      </c>
      <c r="AQ371" s="1147">
        <f>'CONCEPTOS Y PARAMETROS'!$C$21*AP371</f>
        <v>0</v>
      </c>
      <c r="AR371" s="1318">
        <v>0</v>
      </c>
      <c r="AS371" s="1318">
        <v>0</v>
      </c>
      <c r="AT371" s="1318">
        <f t="shared" si="1026"/>
        <v>12.5</v>
      </c>
      <c r="AU371" s="1108">
        <f t="shared" si="1027"/>
        <v>288.89999999999998</v>
      </c>
      <c r="AV371" s="1133">
        <v>0</v>
      </c>
      <c r="AW371" s="1108">
        <f t="shared" si="1028"/>
        <v>0</v>
      </c>
      <c r="AX371" s="1107">
        <f>IF(T371&lt;&gt;"0",(ROUND(IF(A371="EMPLEADO",eval_formula('CONCEPTOS Y PARAMETROS'!$C$8,NOMINA!V371,NOMINA!$AU371,NOMINA!I371+NOMINA!J371),eval_formula('CONCEPTOS Y PARAMETROS'!$D$8,NOMINA!V371,NOMINA!$AU371,NOMINA!I371+NOMINA!J371)),2))*IF(H371&lt;&gt;"",IF(MONTH(H371)=$BR$8,IF(YEAR(H371)&lt;$BT$7,1,0),0)))</f>
        <v>0</v>
      </c>
      <c r="AY371" s="1108">
        <v>180</v>
      </c>
      <c r="AZ371" s="1107">
        <f>IFERROR(VLOOKUP(AY371,'CONCEPTOS Y PARAMETROS'!Y:Z,2,0),0)</f>
        <v>150</v>
      </c>
      <c r="BA371" s="1107">
        <f t="shared" si="1045"/>
        <v>2166.75</v>
      </c>
      <c r="BB371" s="1107">
        <f t="shared" si="1046"/>
        <v>0</v>
      </c>
      <c r="BC371" s="990">
        <v>0</v>
      </c>
      <c r="BD371" s="1107" t="str">
        <f t="shared" si="1029"/>
        <v>0</v>
      </c>
      <c r="BE371" s="990">
        <v>0</v>
      </c>
      <c r="BF371" s="1107">
        <f t="shared" si="1047"/>
        <v>0</v>
      </c>
      <c r="BG371" s="1108">
        <v>310</v>
      </c>
      <c r="BH371" s="1108">
        <v>0</v>
      </c>
      <c r="BI371" s="1132">
        <v>0</v>
      </c>
      <c r="BJ371" s="1108">
        <f t="shared" si="1030"/>
        <v>0</v>
      </c>
      <c r="BK371" s="1108">
        <v>0</v>
      </c>
      <c r="BL371" s="1107">
        <f t="shared" si="974"/>
        <v>13.33</v>
      </c>
      <c r="BM371" s="1107">
        <f t="shared" si="975"/>
        <v>1.67</v>
      </c>
      <c r="BN371" s="1107">
        <f t="shared" si="1048"/>
        <v>2.89</v>
      </c>
      <c r="BO371" s="1107">
        <v>0</v>
      </c>
      <c r="BP371" s="1107">
        <v>0</v>
      </c>
      <c r="BQ371" s="1320">
        <f t="shared" si="1049"/>
        <v>17.89</v>
      </c>
      <c r="BR371" s="1107">
        <f t="shared" si="976"/>
        <v>30</v>
      </c>
      <c r="BS371" s="1107">
        <f t="shared" si="977"/>
        <v>6.67</v>
      </c>
      <c r="BT371" s="1107">
        <f t="shared" si="1050"/>
        <v>5.78</v>
      </c>
      <c r="BU371" s="1107">
        <v>0</v>
      </c>
      <c r="BV371" s="1108">
        <f t="shared" si="1051"/>
        <v>42.45</v>
      </c>
      <c r="BW371" s="1112">
        <f t="shared" si="1052"/>
        <v>60.34</v>
      </c>
      <c r="BX371" s="1112">
        <f t="shared" si="1003"/>
        <v>541.69000000000005</v>
      </c>
      <c r="BY371" s="1108">
        <v>0</v>
      </c>
      <c r="BZ371" s="1108">
        <f t="shared" si="1031"/>
        <v>541.69000000000005</v>
      </c>
      <c r="CA371" s="1321">
        <f>'CONCEPTOS Y PARAMETROS'!$A$102</f>
        <v>6255</v>
      </c>
      <c r="CB371" s="1112">
        <f t="shared" si="1053"/>
        <v>139.06</v>
      </c>
      <c r="CC371" s="1113">
        <f t="shared" si="1054"/>
        <v>454.45</v>
      </c>
      <c r="CD371" s="512"/>
      <c r="CE371" s="512"/>
      <c r="CF371" s="470">
        <f t="shared" si="1055"/>
        <v>751.95</v>
      </c>
      <c r="CG371" s="495">
        <f t="shared" si="1056"/>
        <v>139.06</v>
      </c>
      <c r="CH371" s="498">
        <f t="shared" si="1057"/>
        <v>12.5</v>
      </c>
      <c r="CI371" s="1490">
        <f t="shared" si="1032"/>
        <v>310</v>
      </c>
      <c r="CJ371" s="1500">
        <v>1</v>
      </c>
      <c r="CK371" s="495">
        <f t="shared" si="1058"/>
        <v>441.95</v>
      </c>
      <c r="CL371" s="1689">
        <f t="shared" si="1059"/>
        <v>441.95</v>
      </c>
      <c r="CM371" s="1689">
        <f t="shared" si="1068"/>
        <v>0</v>
      </c>
      <c r="CN371" s="496">
        <f t="shared" si="1060"/>
        <v>0</v>
      </c>
      <c r="CO371" s="497">
        <v>0</v>
      </c>
      <c r="CP371" s="496">
        <f t="shared" si="1061"/>
        <v>0</v>
      </c>
      <c r="CQ371" s="496">
        <f t="shared" si="1062"/>
        <v>0</v>
      </c>
      <c r="CR371" s="496">
        <f t="shared" si="1063"/>
        <v>883.9</v>
      </c>
      <c r="CS371" s="496">
        <f t="shared" si="1064"/>
        <v>60.34</v>
      </c>
      <c r="CT371" s="496">
        <f t="shared" si="1065"/>
        <v>6255</v>
      </c>
      <c r="CU371" s="470"/>
      <c r="CV371" s="470"/>
      <c r="CW371" s="470"/>
      <c r="CX371" s="470"/>
      <c r="CY371" s="1275" t="s">
        <v>6840</v>
      </c>
      <c r="CZ371" s="1275" t="s">
        <v>7192</v>
      </c>
      <c r="DA371" s="480"/>
      <c r="DB371" s="1642" t="s">
        <v>6592</v>
      </c>
      <c r="DC371" s="1642"/>
      <c r="DD371" s="1642" t="s">
        <v>6135</v>
      </c>
      <c r="DE371" s="1642" t="s">
        <v>6247</v>
      </c>
      <c r="DF371" s="1642" t="s">
        <v>7537</v>
      </c>
      <c r="DG371" s="1152"/>
      <c r="DH371" s="470"/>
      <c r="DI371" s="470"/>
      <c r="DJ371" s="470"/>
      <c r="DK371" s="470"/>
      <c r="DL371" s="470"/>
      <c r="DN371" s="471" t="str">
        <f>VLOOKUP(X371,Hoja1!$A$4:$B$10,2,0)</f>
        <v>BACHILLER</v>
      </c>
      <c r="DO371" s="471" t="str">
        <f>VLOOKUP(S371,Hoja1!$D$4:$F$77,3,0)</f>
        <v>GRADO (1) - MIN</v>
      </c>
      <c r="DP371" s="1156" t="str">
        <f t="shared" si="1066"/>
        <v>0</v>
      </c>
      <c r="DQ371" s="1484">
        <f>IF(T371&lt;&gt;"0",(ROUND(IF(A371="EMPLEADO",eval_formula('CONCEPTOS Y PARAMETROS'!$C$8,NOMINA!V371,AU371+BF371,NOMINA!I371+NOMINA!J371),eval_formula('CONCEPTOS Y PARAMETROS'!$D$8,NOMINA!V371,AU371+BF371,NOMINA!I371+NOMINA!J371)),2))*IF(H371&lt;&gt;"",IF(MONTH(H371)=$BR$8,IF(YEAR(H371)&lt;$BT$7,1,0),0)))</f>
        <v>0</v>
      </c>
      <c r="DR371" s="1801" t="str">
        <f t="shared" si="1067"/>
        <v>F</v>
      </c>
      <c r="DS371" s="1801"/>
    </row>
    <row r="372" spans="1:123" s="471" customFormat="1" ht="21.95" customHeight="1" x14ac:dyDescent="0.25">
      <c r="A372" s="508" t="s">
        <v>2834</v>
      </c>
      <c r="B372" s="1314">
        <f t="shared" ca="1" si="1069"/>
        <v>68</v>
      </c>
      <c r="C372" s="990">
        <v>17093567</v>
      </c>
      <c r="D372" s="1275" t="s">
        <v>5027</v>
      </c>
      <c r="E372" s="1135" t="s">
        <v>4622</v>
      </c>
      <c r="F372" s="1118">
        <v>29375</v>
      </c>
      <c r="G372" s="1135" t="s">
        <v>4620</v>
      </c>
      <c r="H372" s="1118">
        <v>39449</v>
      </c>
      <c r="I372" s="1140">
        <f t="shared" si="1033"/>
        <v>17</v>
      </c>
      <c r="J372" s="1132">
        <v>0</v>
      </c>
      <c r="K372" s="1140">
        <f t="shared" si="1025"/>
        <v>17</v>
      </c>
      <c r="L372" s="1145" t="s">
        <v>5539</v>
      </c>
      <c r="M372" s="1132"/>
      <c r="N372" s="1132"/>
      <c r="O372" s="1002" t="s">
        <v>5084</v>
      </c>
      <c r="P372" s="1132" t="s">
        <v>5163</v>
      </c>
      <c r="Q372" s="1315">
        <v>7152</v>
      </c>
      <c r="R372" s="1394" t="s">
        <v>5084</v>
      </c>
      <c r="S372" s="1393">
        <v>3</v>
      </c>
      <c r="T372" s="1107">
        <f>IFERROR(VLOOKUP(S372,'TAB OBR'!A:B,2,0),0)</f>
        <v>152</v>
      </c>
      <c r="U372" s="1108">
        <v>0</v>
      </c>
      <c r="V372" s="1107">
        <f t="shared" si="1034"/>
        <v>152</v>
      </c>
      <c r="W372" s="1108">
        <f t="shared" si="1035"/>
        <v>76</v>
      </c>
      <c r="X372" s="1135" t="s">
        <v>2884</v>
      </c>
      <c r="Y372" s="1135" t="s">
        <v>2884</v>
      </c>
      <c r="Z372" s="1135">
        <v>0</v>
      </c>
      <c r="AA372" s="1107">
        <f>ROUND(IF(H372&lt;&gt;"",VLOOKUP(SUM(I372+J372),'CONCEPTOS Y PARAMETROS'!F:G,2,0)*V372,0),2)</f>
        <v>32.22</v>
      </c>
      <c r="AB372" s="1107">
        <f>IF(S372&lt;&gt;"",IF(M372="",'CONCEPTOS Y PARAMETROS'!$C$4,0),0)</f>
        <v>130</v>
      </c>
      <c r="AC372" s="1107">
        <f>IF(S372&lt;&gt;"",IF(M372="",'CONCEPTOS Y PARAMETROS'!$C$7*Z372,0),0)</f>
        <v>0</v>
      </c>
      <c r="AD372" s="1107">
        <f>IFERROR(ROUND(VLOOKUP($X372,'CONCEPTOS Y PARAMETROS'!H:I,2,0)*($V372+AA372+AB372+AC372),2),0)</f>
        <v>0</v>
      </c>
      <c r="AE372" s="1107">
        <f t="shared" si="1036"/>
        <v>162.22</v>
      </c>
      <c r="AF372" s="1107">
        <f t="shared" si="1037"/>
        <v>16.11</v>
      </c>
      <c r="AG372" s="1107">
        <f t="shared" si="1038"/>
        <v>16.11</v>
      </c>
      <c r="AH372" s="1107">
        <f t="shared" si="1039"/>
        <v>65</v>
      </c>
      <c r="AI372" s="1107">
        <f t="shared" si="1040"/>
        <v>65</v>
      </c>
      <c r="AJ372" s="1107">
        <f t="shared" si="1041"/>
        <v>0</v>
      </c>
      <c r="AK372" s="1107">
        <f t="shared" si="1042"/>
        <v>0</v>
      </c>
      <c r="AL372" s="1108">
        <f t="shared" si="1043"/>
        <v>81.11</v>
      </c>
      <c r="AM372" s="1108">
        <f t="shared" si="1044"/>
        <v>81.11</v>
      </c>
      <c r="AN372" s="990">
        <v>0</v>
      </c>
      <c r="AO372" s="1147">
        <f>'CONCEPTOS Y PARAMETROS'!$C$18*AN372</f>
        <v>0</v>
      </c>
      <c r="AP372" s="990">
        <v>0</v>
      </c>
      <c r="AQ372" s="1147">
        <f>'CONCEPTOS Y PARAMETROS'!$C$21*AP372</f>
        <v>0</v>
      </c>
      <c r="AR372" s="1318">
        <v>0</v>
      </c>
      <c r="AS372" s="1318">
        <v>0</v>
      </c>
      <c r="AT372" s="1318">
        <f t="shared" si="1026"/>
        <v>0</v>
      </c>
      <c r="AU372" s="1108">
        <f t="shared" si="1027"/>
        <v>314.22000000000003</v>
      </c>
      <c r="AV372" s="1133">
        <v>0</v>
      </c>
      <c r="AW372" s="1108">
        <f t="shared" si="1028"/>
        <v>0</v>
      </c>
      <c r="AX372" s="1107">
        <f>IF(T372&lt;&gt;"0",(ROUND(IF(A372="EMPLEADO",eval_formula('CONCEPTOS Y PARAMETROS'!$C$8,NOMINA!V372,NOMINA!$AU372,NOMINA!I372+NOMINA!J372),eval_formula('CONCEPTOS Y PARAMETROS'!$D$8,NOMINA!V372,NOMINA!$AU372,NOMINA!I372+NOMINA!J372)),2))*IF(H372&lt;&gt;"",IF(MONTH(H372)=$BR$8,IF(YEAR(H372)&lt;$BT$7,1,0),0)))</f>
        <v>0</v>
      </c>
      <c r="AY372" s="1108">
        <v>180</v>
      </c>
      <c r="AZ372" s="1107">
        <f>IFERROR(VLOOKUP(AY372,'CONCEPTOS Y PARAMETROS'!Y:Z,2,0),0)</f>
        <v>150</v>
      </c>
      <c r="BA372" s="1107">
        <f t="shared" si="1045"/>
        <v>2356.65</v>
      </c>
      <c r="BB372" s="1107">
        <f t="shared" si="1046"/>
        <v>0</v>
      </c>
      <c r="BC372" s="990">
        <v>0</v>
      </c>
      <c r="BD372" s="1107" t="str">
        <f t="shared" si="1029"/>
        <v>0</v>
      </c>
      <c r="BE372" s="990">
        <v>0</v>
      </c>
      <c r="BF372" s="1107">
        <f t="shared" si="1047"/>
        <v>0</v>
      </c>
      <c r="BG372" s="1108">
        <v>310</v>
      </c>
      <c r="BH372" s="1108">
        <v>0</v>
      </c>
      <c r="BI372" s="1132">
        <v>0</v>
      </c>
      <c r="BJ372" s="1108">
        <f t="shared" si="1030"/>
        <v>0</v>
      </c>
      <c r="BK372" s="1108">
        <v>0</v>
      </c>
      <c r="BL372" s="1107">
        <f t="shared" si="974"/>
        <v>14.5</v>
      </c>
      <c r="BM372" s="1107">
        <f t="shared" si="975"/>
        <v>1.81</v>
      </c>
      <c r="BN372" s="1107">
        <f t="shared" si="1048"/>
        <v>3.14</v>
      </c>
      <c r="BO372" s="1107">
        <v>0</v>
      </c>
      <c r="BP372" s="1107">
        <v>0</v>
      </c>
      <c r="BQ372" s="1320">
        <f t="shared" si="1049"/>
        <v>19.45</v>
      </c>
      <c r="BR372" s="1107">
        <f t="shared" si="976"/>
        <v>32.630000000000003</v>
      </c>
      <c r="BS372" s="1107">
        <f t="shared" si="977"/>
        <v>7.25</v>
      </c>
      <c r="BT372" s="1107">
        <f t="shared" si="1050"/>
        <v>6.28</v>
      </c>
      <c r="BU372" s="1107">
        <v>0</v>
      </c>
      <c r="BV372" s="1108">
        <f t="shared" si="1051"/>
        <v>46.16</v>
      </c>
      <c r="BW372" s="1112">
        <f t="shared" si="1052"/>
        <v>65.61</v>
      </c>
      <c r="BX372" s="1112">
        <f t="shared" si="1003"/>
        <v>589.16</v>
      </c>
      <c r="BY372" s="1108">
        <v>0</v>
      </c>
      <c r="BZ372" s="1108">
        <f t="shared" si="1031"/>
        <v>589.16</v>
      </c>
      <c r="CA372" s="1321">
        <f>'CONCEPTOS Y PARAMETROS'!$A$102</f>
        <v>6255</v>
      </c>
      <c r="CB372" s="1112">
        <f t="shared" si="1053"/>
        <v>137.66000000000003</v>
      </c>
      <c r="CC372" s="1113">
        <f t="shared" si="1054"/>
        <v>467.11</v>
      </c>
      <c r="CD372" s="512"/>
      <c r="CE372" s="512"/>
      <c r="CF372" s="470">
        <f t="shared" si="1055"/>
        <v>777.11</v>
      </c>
      <c r="CG372" s="495">
        <f t="shared" si="1056"/>
        <v>137.66000000000003</v>
      </c>
      <c r="CH372" s="498">
        <f t="shared" si="1057"/>
        <v>0</v>
      </c>
      <c r="CI372" s="1490">
        <f t="shared" si="1032"/>
        <v>310</v>
      </c>
      <c r="CJ372" s="1500">
        <v>1</v>
      </c>
      <c r="CK372" s="495">
        <f t="shared" si="1058"/>
        <v>467.11</v>
      </c>
      <c r="CL372" s="1689">
        <f t="shared" si="1059"/>
        <v>467.11</v>
      </c>
      <c r="CM372" s="1689">
        <f t="shared" si="1068"/>
        <v>0</v>
      </c>
      <c r="CN372" s="496">
        <f t="shared" si="1060"/>
        <v>0</v>
      </c>
      <c r="CO372" s="497">
        <v>0</v>
      </c>
      <c r="CP372" s="496">
        <f t="shared" si="1061"/>
        <v>0</v>
      </c>
      <c r="CQ372" s="496">
        <f t="shared" si="1062"/>
        <v>0</v>
      </c>
      <c r="CR372" s="496">
        <f t="shared" si="1063"/>
        <v>934.22</v>
      </c>
      <c r="CS372" s="496">
        <f t="shared" si="1064"/>
        <v>65.61</v>
      </c>
      <c r="CT372" s="496">
        <f t="shared" si="1065"/>
        <v>6255</v>
      </c>
      <c r="CU372" s="470"/>
      <c r="CV372" s="470"/>
      <c r="CW372" s="470"/>
      <c r="CX372" s="470"/>
      <c r="CY372" s="1275" t="s">
        <v>6827</v>
      </c>
      <c r="CZ372" s="1275" t="s">
        <v>6895</v>
      </c>
      <c r="DA372" s="480"/>
      <c r="DB372" s="1642" t="s">
        <v>6354</v>
      </c>
      <c r="DC372" s="1642"/>
      <c r="DD372" s="1642" t="s">
        <v>6156</v>
      </c>
      <c r="DE372" s="1642" t="s">
        <v>6217</v>
      </c>
      <c r="DF372" s="1642" t="s">
        <v>6352</v>
      </c>
      <c r="DG372" s="1152"/>
      <c r="DH372" s="470"/>
      <c r="DI372" s="470"/>
      <c r="DJ372" s="470"/>
      <c r="DK372" s="470"/>
      <c r="DL372" s="470"/>
      <c r="DN372" s="471" t="str">
        <f>VLOOKUP(X372,Hoja1!$A$4:$B$10,2,0)</f>
        <v>BACHILLER</v>
      </c>
      <c r="DO372" s="471" t="str">
        <f>VLOOKUP(S372,Hoja1!$D$4:$F$77,3,0)</f>
        <v>GRADO (3) - MÁX</v>
      </c>
      <c r="DP372" s="1156" t="str">
        <f t="shared" si="1066"/>
        <v>0</v>
      </c>
      <c r="DQ372" s="1484">
        <f>IF(T372&lt;&gt;"0",(ROUND(IF(A372="EMPLEADO",eval_formula('CONCEPTOS Y PARAMETROS'!$C$8,NOMINA!V372,AU372+BF372,NOMINA!I372+NOMINA!J372),eval_formula('CONCEPTOS Y PARAMETROS'!$D$8,NOMINA!V372,AU372+BF372,NOMINA!I372+NOMINA!J372)),2))*IF(H372&lt;&gt;"",IF(MONTH(H372)=$BR$8,IF(YEAR(H372)&lt;$BT$7,1,0),0)))</f>
        <v>0</v>
      </c>
      <c r="DR372" s="1801" t="str">
        <f t="shared" si="1067"/>
        <v>F</v>
      </c>
      <c r="DS372" s="1801"/>
    </row>
    <row r="373" spans="1:123" s="193" customFormat="1" ht="21.95" customHeight="1" x14ac:dyDescent="0.25">
      <c r="A373" s="508" t="s">
        <v>2834</v>
      </c>
      <c r="B373" s="1314">
        <f t="shared" ca="1" si="1069"/>
        <v>69</v>
      </c>
      <c r="C373" s="990">
        <v>17093846</v>
      </c>
      <c r="D373" s="1275" t="s">
        <v>5506</v>
      </c>
      <c r="E373" s="1135" t="s">
        <v>4622</v>
      </c>
      <c r="F373" s="1118">
        <v>30325</v>
      </c>
      <c r="G373" s="1135" t="s">
        <v>4621</v>
      </c>
      <c r="H373" s="1118">
        <v>45017</v>
      </c>
      <c r="I373" s="1140">
        <f t="shared" si="1033"/>
        <v>2</v>
      </c>
      <c r="J373" s="1132">
        <v>0</v>
      </c>
      <c r="K373" s="1140">
        <f t="shared" si="1025"/>
        <v>2</v>
      </c>
      <c r="L373" s="1145" t="s">
        <v>5549</v>
      </c>
      <c r="M373" s="1132"/>
      <c r="N373" s="1132"/>
      <c r="O373" s="1002" t="s">
        <v>5084</v>
      </c>
      <c r="P373" s="1151" t="s">
        <v>5507</v>
      </c>
      <c r="Q373" s="1315">
        <v>7152</v>
      </c>
      <c r="R373" s="1395" t="s">
        <v>5084</v>
      </c>
      <c r="S373" s="1393">
        <v>3</v>
      </c>
      <c r="T373" s="1107">
        <f>IFERROR(VLOOKUP(S373,'TAB OBR'!A:B,2,0),0)</f>
        <v>152</v>
      </c>
      <c r="U373" s="1108">
        <v>0</v>
      </c>
      <c r="V373" s="1107">
        <f t="shared" si="1034"/>
        <v>152</v>
      </c>
      <c r="W373" s="1108">
        <f t="shared" si="1035"/>
        <v>76</v>
      </c>
      <c r="X373" s="1135" t="s">
        <v>2884</v>
      </c>
      <c r="Y373" s="1135" t="s">
        <v>2884</v>
      </c>
      <c r="Z373" s="1135">
        <v>0</v>
      </c>
      <c r="AA373" s="1107">
        <f>ROUND(IF(H373&lt;&gt;"",VLOOKUP(SUM(I373+J373),'CONCEPTOS Y PARAMETROS'!F:G,2,0)*V373,0),2)</f>
        <v>3.04</v>
      </c>
      <c r="AB373" s="1107">
        <f>IF(S373&lt;&gt;"",IF(M373="",'CONCEPTOS Y PARAMETROS'!$C$4,0),0)</f>
        <v>130</v>
      </c>
      <c r="AC373" s="1107">
        <f>IF(S373&lt;&gt;"",IF(M373="",'CONCEPTOS Y PARAMETROS'!$C$7*Z373,0),0)</f>
        <v>0</v>
      </c>
      <c r="AD373" s="1107">
        <f>IFERROR(ROUND(VLOOKUP($X373,'CONCEPTOS Y PARAMETROS'!H:I,2,0)*($V373+AA373+AB373+AC373),2),0)</f>
        <v>0</v>
      </c>
      <c r="AE373" s="1107">
        <f t="shared" si="1036"/>
        <v>133.04</v>
      </c>
      <c r="AF373" s="1107">
        <f t="shared" si="1037"/>
        <v>1.52</v>
      </c>
      <c r="AG373" s="1107">
        <f t="shared" si="1038"/>
        <v>1.52</v>
      </c>
      <c r="AH373" s="1107">
        <f t="shared" si="1039"/>
        <v>65</v>
      </c>
      <c r="AI373" s="1107">
        <f t="shared" si="1040"/>
        <v>65</v>
      </c>
      <c r="AJ373" s="1107">
        <f t="shared" si="1041"/>
        <v>0</v>
      </c>
      <c r="AK373" s="1107">
        <f t="shared" si="1042"/>
        <v>0</v>
      </c>
      <c r="AL373" s="1108">
        <f t="shared" si="1043"/>
        <v>66.52</v>
      </c>
      <c r="AM373" s="1108">
        <f t="shared" si="1044"/>
        <v>66.52</v>
      </c>
      <c r="AN373" s="990">
        <v>0</v>
      </c>
      <c r="AO373" s="1147">
        <f>'CONCEPTOS Y PARAMETROS'!$C$18*AN373</f>
        <v>0</v>
      </c>
      <c r="AP373" s="990">
        <v>0</v>
      </c>
      <c r="AQ373" s="1147">
        <f>'CONCEPTOS Y PARAMETROS'!$C$21*AP373</f>
        <v>0</v>
      </c>
      <c r="AR373" s="1318">
        <v>0</v>
      </c>
      <c r="AS373" s="1318">
        <v>0</v>
      </c>
      <c r="AT373" s="1318">
        <f t="shared" si="1026"/>
        <v>0</v>
      </c>
      <c r="AU373" s="1108">
        <f t="shared" si="1027"/>
        <v>285.03999999999996</v>
      </c>
      <c r="AV373" s="1108">
        <v>0</v>
      </c>
      <c r="AW373" s="1108">
        <f t="shared" si="1028"/>
        <v>0</v>
      </c>
      <c r="AX373" s="1108">
        <f>IF(T373&lt;&gt;"0",(ROUND(IF(A373="EMPLEADO",eval_formula('CONCEPTOS Y PARAMETROS'!$C$8,NOMINA!V373,NOMINA!$AU373,NOMINA!I373+NOMINA!J373),eval_formula('CONCEPTOS Y PARAMETROS'!$D$8,NOMINA!V373,NOMINA!$AU373,NOMINA!I373+NOMINA!J373)),2))*IF(H373&lt;&gt;"",IF(MONTH(H373)=$BR$8,IF(YEAR(H373)&lt;$BT$7,1,0),0)))</f>
        <v>0</v>
      </c>
      <c r="AY373" s="1108">
        <v>180</v>
      </c>
      <c r="AZ373" s="1107">
        <f>IFERROR(VLOOKUP(AY373,'CONCEPTOS Y PARAMETROS'!Y:Z,2,0),0)</f>
        <v>150</v>
      </c>
      <c r="BA373" s="1107">
        <f t="shared" si="1045"/>
        <v>2137.8000000000002</v>
      </c>
      <c r="BB373" s="1107">
        <f t="shared" si="1046"/>
        <v>0</v>
      </c>
      <c r="BC373" s="990">
        <v>0</v>
      </c>
      <c r="BD373" s="1107" t="str">
        <f t="shared" si="1029"/>
        <v>0</v>
      </c>
      <c r="BE373" s="990">
        <v>0</v>
      </c>
      <c r="BF373" s="1107">
        <f t="shared" si="1047"/>
        <v>0</v>
      </c>
      <c r="BG373" s="1108">
        <v>310</v>
      </c>
      <c r="BH373" s="1108">
        <v>0</v>
      </c>
      <c r="BI373" s="1132">
        <v>0</v>
      </c>
      <c r="BJ373" s="1108">
        <f t="shared" si="1030"/>
        <v>0</v>
      </c>
      <c r="BK373" s="1108">
        <v>0</v>
      </c>
      <c r="BL373" s="1107">
        <f t="shared" si="974"/>
        <v>13.16</v>
      </c>
      <c r="BM373" s="1107">
        <f t="shared" si="975"/>
        <v>1.64</v>
      </c>
      <c r="BN373" s="1107">
        <f t="shared" si="1048"/>
        <v>2.85</v>
      </c>
      <c r="BO373" s="1107">
        <v>0</v>
      </c>
      <c r="BP373" s="1107">
        <v>0</v>
      </c>
      <c r="BQ373" s="1320">
        <f t="shared" ref="BQ373" si="1070">ROUND(SUM(BL373:BP373),2)</f>
        <v>17.649999999999999</v>
      </c>
      <c r="BR373" s="1107">
        <f t="shared" si="976"/>
        <v>29.6</v>
      </c>
      <c r="BS373" s="1107">
        <f t="shared" si="977"/>
        <v>6.58</v>
      </c>
      <c r="BT373" s="1107">
        <f t="shared" si="1050"/>
        <v>5.7</v>
      </c>
      <c r="BU373" s="1107">
        <v>0</v>
      </c>
      <c r="BV373" s="1108">
        <f t="shared" ref="BV373" si="1071">ROUND(SUM(BR373:BT373),2)</f>
        <v>41.88</v>
      </c>
      <c r="BW373" s="1112">
        <f t="shared" ref="BW373" si="1072">BQ373+BV373</f>
        <v>59.53</v>
      </c>
      <c r="BX373" s="1112">
        <f t="shared" si="1003"/>
        <v>534.45000000000005</v>
      </c>
      <c r="BY373" s="1108">
        <v>0</v>
      </c>
      <c r="BZ373" s="1108">
        <f t="shared" si="1031"/>
        <v>534.45000000000005</v>
      </c>
      <c r="CA373" s="1321">
        <f>'CONCEPTOS Y PARAMETROS'!$A$102</f>
        <v>6255</v>
      </c>
      <c r="CB373" s="1112">
        <f t="shared" si="1053"/>
        <v>124.86999999999998</v>
      </c>
      <c r="CC373" s="1113">
        <f t="shared" si="1054"/>
        <v>452.52</v>
      </c>
      <c r="CD373" s="512"/>
      <c r="CE373" s="512"/>
      <c r="CF373" s="470">
        <f t="shared" si="1055"/>
        <v>762.52</v>
      </c>
      <c r="CG373" s="509">
        <f t="shared" si="1056"/>
        <v>124.86999999999998</v>
      </c>
      <c r="CH373" s="498">
        <f t="shared" si="1057"/>
        <v>0</v>
      </c>
      <c r="CI373" s="1490">
        <f t="shared" si="1032"/>
        <v>310</v>
      </c>
      <c r="CJ373" s="1500">
        <v>1</v>
      </c>
      <c r="CK373" s="495">
        <f t="shared" si="1058"/>
        <v>452.52</v>
      </c>
      <c r="CL373" s="1689">
        <f t="shared" si="1059"/>
        <v>452.52</v>
      </c>
      <c r="CM373" s="1689">
        <f t="shared" si="1068"/>
        <v>0</v>
      </c>
      <c r="CN373" s="510">
        <f t="shared" si="1060"/>
        <v>0</v>
      </c>
      <c r="CO373" s="511">
        <v>0</v>
      </c>
      <c r="CP373" s="510">
        <f t="shared" si="1061"/>
        <v>0</v>
      </c>
      <c r="CQ373" s="510">
        <f t="shared" si="1062"/>
        <v>0</v>
      </c>
      <c r="CR373" s="496">
        <f t="shared" si="1063"/>
        <v>905.04</v>
      </c>
      <c r="CS373" s="496">
        <f t="shared" si="1064"/>
        <v>59.53</v>
      </c>
      <c r="CT373" s="510">
        <f t="shared" si="1065"/>
        <v>6255</v>
      </c>
      <c r="CU373" s="470"/>
      <c r="CV373" s="470"/>
      <c r="CW373" s="470"/>
      <c r="CX373" s="470"/>
      <c r="CY373" s="1275" t="s">
        <v>6816</v>
      </c>
      <c r="CZ373" s="1275" t="s">
        <v>7193</v>
      </c>
      <c r="DA373" s="1152"/>
      <c r="DB373" s="1642" t="s">
        <v>6516</v>
      </c>
      <c r="DC373" s="1642"/>
      <c r="DD373" s="1642" t="s">
        <v>6135</v>
      </c>
      <c r="DE373" s="1642" t="s">
        <v>6147</v>
      </c>
      <c r="DF373" s="1642" t="s">
        <v>7535</v>
      </c>
      <c r="DG373" s="1152"/>
      <c r="DH373" s="512"/>
      <c r="DI373" s="512"/>
      <c r="DJ373" s="512"/>
      <c r="DK373" s="512"/>
      <c r="DL373" s="512"/>
      <c r="DM373" s="476"/>
      <c r="DN373" s="471" t="str">
        <f>VLOOKUP(X373,Hoja1!$A$4:$B$10,2,0)</f>
        <v>BACHILLER</v>
      </c>
      <c r="DO373" s="471" t="str">
        <f>VLOOKUP(S373,Hoja1!$D$4:$F$77,3,0)</f>
        <v>GRADO (3) - MÁX</v>
      </c>
      <c r="DP373" s="1156" t="str">
        <f t="shared" si="1066"/>
        <v>0</v>
      </c>
      <c r="DQ373" s="1484">
        <f>IF(T373&lt;&gt;"0",(ROUND(IF(A373="EMPLEADO",eval_formula('CONCEPTOS Y PARAMETROS'!$C$8,NOMINA!V373,AU373+BF373,NOMINA!I373+NOMINA!J373),eval_formula('CONCEPTOS Y PARAMETROS'!$D$8,NOMINA!V373,AU373+BF373,NOMINA!I373+NOMINA!J373)),2))*IF(H373&lt;&gt;"",IF(MONTH(H373)=$BR$8,IF(YEAR(H373)&lt;$BT$7,1,0),0)))</f>
        <v>0</v>
      </c>
      <c r="DR373" s="1801" t="str">
        <f t="shared" si="1067"/>
        <v>M</v>
      </c>
      <c r="DS373" s="1801"/>
    </row>
    <row r="374" spans="1:123" s="471" customFormat="1" ht="21.95" customHeight="1" x14ac:dyDescent="0.25">
      <c r="A374" s="508" t="s">
        <v>2834</v>
      </c>
      <c r="B374" s="1314">
        <f t="shared" ca="1" si="1069"/>
        <v>70</v>
      </c>
      <c r="C374" s="990">
        <v>17095084</v>
      </c>
      <c r="D374" s="1275" t="s">
        <v>5028</v>
      </c>
      <c r="E374" s="1135" t="s">
        <v>4622</v>
      </c>
      <c r="F374" s="1118">
        <v>30709</v>
      </c>
      <c r="G374" s="1135" t="s">
        <v>4620</v>
      </c>
      <c r="H374" s="1118">
        <v>44317</v>
      </c>
      <c r="I374" s="1140">
        <f t="shared" si="1033"/>
        <v>4</v>
      </c>
      <c r="J374" s="1132">
        <v>0</v>
      </c>
      <c r="K374" s="1140">
        <f t="shared" si="1025"/>
        <v>4</v>
      </c>
      <c r="L374" s="1145" t="s">
        <v>5543</v>
      </c>
      <c r="M374" s="1132"/>
      <c r="N374" s="1132"/>
      <c r="O374" s="1002" t="s">
        <v>5085</v>
      </c>
      <c r="P374" s="1132" t="s">
        <v>5164</v>
      </c>
      <c r="Q374" s="1315">
        <v>2202</v>
      </c>
      <c r="R374" s="1394" t="s">
        <v>5085</v>
      </c>
      <c r="S374" s="1393">
        <v>5</v>
      </c>
      <c r="T374" s="1107">
        <f>IFERROR(VLOOKUP(S374,'TAB OBR'!A:B,2,0),0)</f>
        <v>171</v>
      </c>
      <c r="U374" s="1108">
        <v>0</v>
      </c>
      <c r="V374" s="1107">
        <f t="shared" si="1034"/>
        <v>171</v>
      </c>
      <c r="W374" s="1108">
        <f t="shared" si="1035"/>
        <v>85.5</v>
      </c>
      <c r="X374" s="1135" t="s">
        <v>2884</v>
      </c>
      <c r="Y374" s="1135" t="s">
        <v>2884</v>
      </c>
      <c r="Z374" s="1135">
        <v>2</v>
      </c>
      <c r="AA374" s="1107">
        <f>ROUND(IF(H374&lt;&gt;"",VLOOKUP(SUM(I374+J374),'CONCEPTOS Y PARAMETROS'!F:G,2,0)*V374,0),2)</f>
        <v>6.84</v>
      </c>
      <c r="AB374" s="1107">
        <f>IF(S374&lt;&gt;"",IF(M374="",'CONCEPTOS Y PARAMETROS'!$C$4,0),0)</f>
        <v>130</v>
      </c>
      <c r="AC374" s="1107">
        <f>IF(S374&lt;&gt;"",IF(M374="",'CONCEPTOS Y PARAMETROS'!$C$7*Z374,0),0)</f>
        <v>25</v>
      </c>
      <c r="AD374" s="1107">
        <f>IFERROR(ROUND(VLOOKUP($X374,'CONCEPTOS Y PARAMETROS'!H:I,2,0)*($V374+AA374+AB374+AC374),2),0)</f>
        <v>0</v>
      </c>
      <c r="AE374" s="1107">
        <f t="shared" si="1036"/>
        <v>161.84</v>
      </c>
      <c r="AF374" s="1107">
        <f t="shared" si="1037"/>
        <v>3.42</v>
      </c>
      <c r="AG374" s="1107">
        <f t="shared" si="1038"/>
        <v>3.42</v>
      </c>
      <c r="AH374" s="1107">
        <f t="shared" si="1039"/>
        <v>65</v>
      </c>
      <c r="AI374" s="1107">
        <f t="shared" si="1040"/>
        <v>65</v>
      </c>
      <c r="AJ374" s="1107">
        <f t="shared" si="1041"/>
        <v>0</v>
      </c>
      <c r="AK374" s="1107">
        <f t="shared" si="1042"/>
        <v>0</v>
      </c>
      <c r="AL374" s="1108">
        <f t="shared" si="1043"/>
        <v>93.42</v>
      </c>
      <c r="AM374" s="1108">
        <f t="shared" si="1044"/>
        <v>68.42</v>
      </c>
      <c r="AN374" s="990">
        <v>0</v>
      </c>
      <c r="AO374" s="1147">
        <f>'CONCEPTOS Y PARAMETROS'!$C$18*AN374</f>
        <v>0</v>
      </c>
      <c r="AP374" s="990">
        <v>0</v>
      </c>
      <c r="AQ374" s="1147">
        <f>'CONCEPTOS Y PARAMETROS'!$C$21*AP374</f>
        <v>0</v>
      </c>
      <c r="AR374" s="1318">
        <v>0</v>
      </c>
      <c r="AS374" s="1318">
        <v>0</v>
      </c>
      <c r="AT374" s="1318">
        <f t="shared" si="1026"/>
        <v>0</v>
      </c>
      <c r="AU374" s="1108">
        <f t="shared" si="1027"/>
        <v>332.84000000000003</v>
      </c>
      <c r="AV374" s="1133">
        <v>0</v>
      </c>
      <c r="AW374" s="1108">
        <f t="shared" si="1028"/>
        <v>0</v>
      </c>
      <c r="AX374" s="1107">
        <f>IF(T374&lt;&gt;"0",(ROUND(IF(A374="EMPLEADO",eval_formula('CONCEPTOS Y PARAMETROS'!$C$8,NOMINA!V374,NOMINA!$AU374,NOMINA!I374+NOMINA!J374),eval_formula('CONCEPTOS Y PARAMETROS'!$D$8,NOMINA!V374,NOMINA!$AU374,NOMINA!I374+NOMINA!J374)),2))*IF(H374&lt;&gt;"",IF(MONTH(H374)=$BR$8,IF(YEAR(H374)&lt;$BT$7,1,0),0)))</f>
        <v>0</v>
      </c>
      <c r="AY374" s="1108">
        <v>180</v>
      </c>
      <c r="AZ374" s="1107">
        <f>IFERROR(VLOOKUP(AY374,'CONCEPTOS Y PARAMETROS'!Y:Z,2,0),0)</f>
        <v>150</v>
      </c>
      <c r="BA374" s="1107">
        <f t="shared" si="1045"/>
        <v>2496.3000000000002</v>
      </c>
      <c r="BB374" s="1107">
        <f t="shared" si="1046"/>
        <v>0</v>
      </c>
      <c r="BC374" s="990">
        <v>0</v>
      </c>
      <c r="BD374" s="1107" t="str">
        <f t="shared" si="1029"/>
        <v>0</v>
      </c>
      <c r="BE374" s="990">
        <v>2</v>
      </c>
      <c r="BF374" s="1107">
        <f t="shared" si="1047"/>
        <v>33.28</v>
      </c>
      <c r="BG374" s="1108">
        <v>310</v>
      </c>
      <c r="BH374" s="1108">
        <v>0</v>
      </c>
      <c r="BI374" s="1132">
        <v>0</v>
      </c>
      <c r="BJ374" s="1108">
        <f t="shared" si="1030"/>
        <v>0</v>
      </c>
      <c r="BK374" s="1108">
        <v>0</v>
      </c>
      <c r="BL374" s="1107">
        <f t="shared" si="974"/>
        <v>15.36</v>
      </c>
      <c r="BM374" s="1107">
        <f t="shared" si="975"/>
        <v>1.92</v>
      </c>
      <c r="BN374" s="1107">
        <f t="shared" si="1048"/>
        <v>3.33</v>
      </c>
      <c r="BO374" s="1107">
        <v>0</v>
      </c>
      <c r="BP374" s="1107">
        <v>0</v>
      </c>
      <c r="BQ374" s="1320">
        <f t="shared" si="1049"/>
        <v>20.61</v>
      </c>
      <c r="BR374" s="1107">
        <f t="shared" si="976"/>
        <v>34.56</v>
      </c>
      <c r="BS374" s="1107">
        <f t="shared" si="977"/>
        <v>7.68</v>
      </c>
      <c r="BT374" s="1107">
        <f t="shared" si="1050"/>
        <v>6.66</v>
      </c>
      <c r="BU374" s="1107">
        <v>0</v>
      </c>
      <c r="BV374" s="1108">
        <f t="shared" si="1051"/>
        <v>48.9</v>
      </c>
      <c r="BW374" s="1112">
        <f t="shared" si="1052"/>
        <v>69.509999999999991</v>
      </c>
      <c r="BX374" s="1112">
        <f t="shared" si="1003"/>
        <v>624.08000000000004</v>
      </c>
      <c r="BY374" s="1108">
        <v>0</v>
      </c>
      <c r="BZ374" s="1108">
        <f t="shared" si="1031"/>
        <v>624.08000000000004</v>
      </c>
      <c r="CA374" s="1321">
        <f>'CONCEPTOS Y PARAMETROS'!$A$102</f>
        <v>6255</v>
      </c>
      <c r="CB374" s="1112">
        <f t="shared" si="1053"/>
        <v>158.31</v>
      </c>
      <c r="CC374" s="1113">
        <f t="shared" si="1054"/>
        <v>497.2</v>
      </c>
      <c r="CD374" s="512"/>
      <c r="CE374" s="512"/>
      <c r="CF374" s="470">
        <f t="shared" si="1055"/>
        <v>773.92000000000007</v>
      </c>
      <c r="CG374" s="495">
        <f t="shared" si="1056"/>
        <v>158.31</v>
      </c>
      <c r="CH374" s="498">
        <f t="shared" si="1057"/>
        <v>0</v>
      </c>
      <c r="CI374" s="1490">
        <f t="shared" si="1032"/>
        <v>310</v>
      </c>
      <c r="CJ374" s="1500">
        <v>1</v>
      </c>
      <c r="CK374" s="495">
        <f t="shared" si="1058"/>
        <v>463.92</v>
      </c>
      <c r="CL374" s="1689">
        <f t="shared" si="1059"/>
        <v>463.92</v>
      </c>
      <c r="CM374" s="1689">
        <f t="shared" si="1068"/>
        <v>0</v>
      </c>
      <c r="CN374" s="496">
        <f t="shared" si="1060"/>
        <v>33.28</v>
      </c>
      <c r="CO374" s="497">
        <v>0</v>
      </c>
      <c r="CP374" s="496">
        <f t="shared" si="1061"/>
        <v>0</v>
      </c>
      <c r="CQ374" s="496">
        <f t="shared" si="1062"/>
        <v>0</v>
      </c>
      <c r="CR374" s="496">
        <f t="shared" si="1063"/>
        <v>961.12</v>
      </c>
      <c r="CS374" s="496">
        <f t="shared" si="1064"/>
        <v>69.509999999999991</v>
      </c>
      <c r="CT374" s="496">
        <f t="shared" si="1065"/>
        <v>6255</v>
      </c>
      <c r="CU374" s="470"/>
      <c r="CV374" s="470"/>
      <c r="CW374" s="470"/>
      <c r="CX374" s="470"/>
      <c r="CY374" s="1275" t="s">
        <v>6865</v>
      </c>
      <c r="CZ374" s="1275" t="s">
        <v>7194</v>
      </c>
      <c r="DA374" s="480"/>
      <c r="DB374" s="1642" t="s">
        <v>6465</v>
      </c>
      <c r="DC374" s="1642"/>
      <c r="DD374" s="1642" t="s">
        <v>6150</v>
      </c>
      <c r="DE374" s="1642" t="s">
        <v>6345</v>
      </c>
      <c r="DF374" s="1642" t="s">
        <v>6328</v>
      </c>
      <c r="DG374" s="1642"/>
      <c r="DH374" s="470"/>
      <c r="DI374" s="470"/>
      <c r="DJ374" s="470"/>
      <c r="DK374" s="470"/>
      <c r="DL374" s="470"/>
      <c r="DN374" s="471" t="str">
        <f>VLOOKUP(X374,Hoja1!$A$4:$B$10,2,0)</f>
        <v>BACHILLER</v>
      </c>
      <c r="DO374" s="471" t="str">
        <f>VLOOKUP(S374,Hoja1!$D$4:$F$77,3,0)</f>
        <v>GRADO (5) - MÁX</v>
      </c>
      <c r="DP374" s="1156" t="str">
        <f t="shared" si="1066"/>
        <v>0</v>
      </c>
      <c r="DQ374" s="1484">
        <f>IF(T374&lt;&gt;"0",(ROUND(IF(A374="EMPLEADO",eval_formula('CONCEPTOS Y PARAMETROS'!$C$8,NOMINA!V374,AU374+BF374,NOMINA!I374+NOMINA!J374),eval_formula('CONCEPTOS Y PARAMETROS'!$D$8,NOMINA!V374,AU374+BF374,NOMINA!I374+NOMINA!J374)),2))*IF(H374&lt;&gt;"",IF(MONTH(H374)=$BR$8,IF(YEAR(H374)&lt;$BT$7,1,0),0)))</f>
        <v>0</v>
      </c>
      <c r="DR374" s="1801" t="str">
        <f t="shared" si="1067"/>
        <v>F</v>
      </c>
      <c r="DS374" s="1801"/>
    </row>
    <row r="375" spans="1:123" s="476" customFormat="1" ht="21.95" customHeight="1" x14ac:dyDescent="0.25">
      <c r="A375" s="508" t="s">
        <v>2834</v>
      </c>
      <c r="B375" s="1314">
        <f t="shared" ca="1" si="1069"/>
        <v>71</v>
      </c>
      <c r="C375" s="990">
        <v>17267173</v>
      </c>
      <c r="D375" s="1275" t="s">
        <v>5029</v>
      </c>
      <c r="E375" s="1135" t="s">
        <v>4622</v>
      </c>
      <c r="F375" s="1118">
        <v>30443</v>
      </c>
      <c r="G375" s="1135" t="s">
        <v>4620</v>
      </c>
      <c r="H375" s="1118">
        <v>44317</v>
      </c>
      <c r="I375" s="1140">
        <f t="shared" si="1033"/>
        <v>4</v>
      </c>
      <c r="J375" s="1132">
        <v>6</v>
      </c>
      <c r="K375" s="1140">
        <f t="shared" si="1025"/>
        <v>10</v>
      </c>
      <c r="L375" s="1145" t="s">
        <v>5543</v>
      </c>
      <c r="M375" s="1132"/>
      <c r="N375" s="1132"/>
      <c r="O375" s="1002" t="s">
        <v>5088</v>
      </c>
      <c r="P375" s="1132" t="s">
        <v>5165</v>
      </c>
      <c r="Q375" s="1315">
        <v>7204</v>
      </c>
      <c r="R375" s="1394" t="s">
        <v>5088</v>
      </c>
      <c r="S375" s="1393">
        <v>5</v>
      </c>
      <c r="T375" s="1107">
        <f>IFERROR(VLOOKUP(S375,'TAB OBR'!A:B,2,0),0)</f>
        <v>171</v>
      </c>
      <c r="U375" s="1108">
        <v>0</v>
      </c>
      <c r="V375" s="1107">
        <f t="shared" si="1034"/>
        <v>171</v>
      </c>
      <c r="W375" s="1108">
        <f t="shared" si="1035"/>
        <v>85.5</v>
      </c>
      <c r="X375" s="1135" t="s">
        <v>2884</v>
      </c>
      <c r="Y375" s="1135" t="s">
        <v>2884</v>
      </c>
      <c r="Z375" s="1135">
        <v>0</v>
      </c>
      <c r="AA375" s="1107">
        <f>ROUND(IF(H375&lt;&gt;"",VLOOKUP(SUM(I375+J375),'CONCEPTOS Y PARAMETROS'!F:G,2,0)*V375,0),2)</f>
        <v>18.809999999999999</v>
      </c>
      <c r="AB375" s="1107">
        <f>IF(S375&lt;&gt;"",IF(M375="",'CONCEPTOS Y PARAMETROS'!$C$4,0),0)</f>
        <v>130</v>
      </c>
      <c r="AC375" s="1107">
        <f>IF(S375&lt;&gt;"",IF(M375="",'CONCEPTOS Y PARAMETROS'!$C$7*Z375,0),0)</f>
        <v>0</v>
      </c>
      <c r="AD375" s="1107">
        <f>IFERROR(ROUND(VLOOKUP($X375,'CONCEPTOS Y PARAMETROS'!H:I,2,0)*($V375+AA375+AB375+AC375),2),0)</f>
        <v>0</v>
      </c>
      <c r="AE375" s="1107">
        <f t="shared" si="1036"/>
        <v>148.81</v>
      </c>
      <c r="AF375" s="1107">
        <f t="shared" si="1037"/>
        <v>9.41</v>
      </c>
      <c r="AG375" s="1107">
        <f t="shared" si="1038"/>
        <v>9.4</v>
      </c>
      <c r="AH375" s="1107">
        <f t="shared" si="1039"/>
        <v>65</v>
      </c>
      <c r="AI375" s="1107">
        <f t="shared" si="1040"/>
        <v>65</v>
      </c>
      <c r="AJ375" s="1107">
        <f t="shared" si="1041"/>
        <v>0</v>
      </c>
      <c r="AK375" s="1107">
        <f t="shared" si="1042"/>
        <v>0</v>
      </c>
      <c r="AL375" s="1108">
        <f t="shared" si="1043"/>
        <v>74.41</v>
      </c>
      <c r="AM375" s="1108">
        <f t="shared" si="1044"/>
        <v>74.400000000000006</v>
      </c>
      <c r="AN375" s="990">
        <v>0</v>
      </c>
      <c r="AO375" s="1147">
        <f>'CONCEPTOS Y PARAMETROS'!$C$18*AN375</f>
        <v>0</v>
      </c>
      <c r="AP375" s="990">
        <v>0</v>
      </c>
      <c r="AQ375" s="1147">
        <f>'CONCEPTOS Y PARAMETROS'!$C$21*AP375</f>
        <v>0</v>
      </c>
      <c r="AR375" s="1318">
        <v>0</v>
      </c>
      <c r="AS375" s="1318">
        <v>0</v>
      </c>
      <c r="AT375" s="1318">
        <f t="shared" si="1026"/>
        <v>0</v>
      </c>
      <c r="AU375" s="1108">
        <f t="shared" si="1027"/>
        <v>319.81</v>
      </c>
      <c r="AV375" s="1133">
        <v>0</v>
      </c>
      <c r="AW375" s="1108">
        <f t="shared" si="1028"/>
        <v>0</v>
      </c>
      <c r="AX375" s="1107">
        <f>IF(T375&lt;&gt;"0",(ROUND(IF(A375="EMPLEADO",eval_formula('CONCEPTOS Y PARAMETROS'!$C$8,NOMINA!V375,NOMINA!$AU375,NOMINA!I375+NOMINA!J375),eval_formula('CONCEPTOS Y PARAMETROS'!$D$8,NOMINA!V375,NOMINA!$AU375,NOMINA!I375+NOMINA!J375)),2))*IF(H375&lt;&gt;"",IF(MONTH(H375)=$BR$8,IF(YEAR(H375)&lt;$BT$7,1,0),0)))</f>
        <v>0</v>
      </c>
      <c r="AY375" s="1108">
        <v>180</v>
      </c>
      <c r="AZ375" s="1107">
        <f>IFERROR(VLOOKUP(AY375,'CONCEPTOS Y PARAMETROS'!Y:Z,2,0),0)</f>
        <v>150</v>
      </c>
      <c r="BA375" s="1107">
        <f t="shared" si="1045"/>
        <v>2398.58</v>
      </c>
      <c r="BB375" s="1107">
        <f t="shared" si="1046"/>
        <v>0</v>
      </c>
      <c r="BC375" s="990">
        <v>0</v>
      </c>
      <c r="BD375" s="1107" t="str">
        <f t="shared" si="1029"/>
        <v>0</v>
      </c>
      <c r="BE375" s="990">
        <v>0</v>
      </c>
      <c r="BF375" s="1107">
        <f t="shared" si="1047"/>
        <v>0</v>
      </c>
      <c r="BG375" s="1108">
        <v>310</v>
      </c>
      <c r="BH375" s="1108">
        <v>0</v>
      </c>
      <c r="BI375" s="1132">
        <v>0</v>
      </c>
      <c r="BJ375" s="1108">
        <f t="shared" si="1030"/>
        <v>0</v>
      </c>
      <c r="BK375" s="1108">
        <v>0</v>
      </c>
      <c r="BL375" s="1107">
        <f t="shared" si="974"/>
        <v>14.76</v>
      </c>
      <c r="BM375" s="1107">
        <f t="shared" si="975"/>
        <v>1.85</v>
      </c>
      <c r="BN375" s="1107">
        <f t="shared" si="1048"/>
        <v>3.2</v>
      </c>
      <c r="BO375" s="1107">
        <v>0</v>
      </c>
      <c r="BP375" s="1107">
        <v>0</v>
      </c>
      <c r="BQ375" s="1320">
        <f t="shared" si="1049"/>
        <v>19.809999999999999</v>
      </c>
      <c r="BR375" s="1107">
        <f t="shared" si="976"/>
        <v>33.21</v>
      </c>
      <c r="BS375" s="1107">
        <f t="shared" si="977"/>
        <v>7.38</v>
      </c>
      <c r="BT375" s="1107">
        <f t="shared" si="1050"/>
        <v>6.4</v>
      </c>
      <c r="BU375" s="1107">
        <v>0</v>
      </c>
      <c r="BV375" s="1108">
        <f t="shared" si="1051"/>
        <v>46.99</v>
      </c>
      <c r="BW375" s="1112">
        <f t="shared" si="1052"/>
        <v>66.8</v>
      </c>
      <c r="BX375" s="1112">
        <f t="shared" si="1003"/>
        <v>599.65</v>
      </c>
      <c r="BY375" s="1108">
        <v>0</v>
      </c>
      <c r="BZ375" s="1108">
        <f t="shared" si="1031"/>
        <v>599.65</v>
      </c>
      <c r="CA375" s="1321">
        <f>'CONCEPTOS Y PARAMETROS'!$A$102</f>
        <v>6255</v>
      </c>
      <c r="CB375" s="1112">
        <f t="shared" si="1053"/>
        <v>140.1</v>
      </c>
      <c r="CC375" s="1113">
        <f t="shared" si="1054"/>
        <v>469.9</v>
      </c>
      <c r="CD375" s="512"/>
      <c r="CE375" s="512"/>
      <c r="CF375" s="470">
        <f t="shared" si="1055"/>
        <v>779.9</v>
      </c>
      <c r="CG375" s="509">
        <f t="shared" si="1056"/>
        <v>140.1</v>
      </c>
      <c r="CH375" s="1603">
        <f t="shared" si="1057"/>
        <v>0</v>
      </c>
      <c r="CI375" s="1491">
        <f t="shared" si="1032"/>
        <v>310</v>
      </c>
      <c r="CJ375" s="1502">
        <v>1</v>
      </c>
      <c r="CK375" s="509">
        <f t="shared" si="1058"/>
        <v>469.9</v>
      </c>
      <c r="CL375" s="1689">
        <f t="shared" si="1059"/>
        <v>469.9</v>
      </c>
      <c r="CM375" s="1689">
        <f t="shared" si="1068"/>
        <v>0</v>
      </c>
      <c r="CN375" s="510">
        <f t="shared" si="1060"/>
        <v>0</v>
      </c>
      <c r="CO375" s="511">
        <v>0</v>
      </c>
      <c r="CP375" s="510">
        <f t="shared" si="1061"/>
        <v>0</v>
      </c>
      <c r="CQ375" s="510">
        <f t="shared" si="1062"/>
        <v>0</v>
      </c>
      <c r="CR375" s="510">
        <f t="shared" si="1063"/>
        <v>939.8</v>
      </c>
      <c r="CS375" s="510">
        <f t="shared" si="1064"/>
        <v>66.8</v>
      </c>
      <c r="CT375" s="510">
        <f t="shared" si="1065"/>
        <v>6255</v>
      </c>
      <c r="CU375" s="512"/>
      <c r="CV375" s="512"/>
      <c r="CW375" s="512"/>
      <c r="CX375" s="512"/>
      <c r="CY375" s="1275" t="s">
        <v>6827</v>
      </c>
      <c r="CZ375" s="1275" t="s">
        <v>7087</v>
      </c>
      <c r="DA375" s="1152"/>
      <c r="DB375" s="1642" t="s">
        <v>6593</v>
      </c>
      <c r="DC375" s="1642"/>
      <c r="DD375" s="1642" t="s">
        <v>6135</v>
      </c>
      <c r="DE375" s="1642" t="s">
        <v>6247</v>
      </c>
      <c r="DF375" s="1642" t="s">
        <v>6328</v>
      </c>
      <c r="DG375" s="1152"/>
      <c r="DH375" s="512"/>
      <c r="DI375" s="512"/>
      <c r="DJ375" s="512"/>
      <c r="DK375" s="512"/>
      <c r="DL375" s="512"/>
      <c r="DN375" s="476" t="str">
        <f>VLOOKUP(X375,Hoja1!$A$4:$B$10,2,0)</f>
        <v>BACHILLER</v>
      </c>
      <c r="DO375" s="476" t="str">
        <f>VLOOKUP(S375,Hoja1!$D$4:$F$77,3,0)</f>
        <v>GRADO (5) - MÁX</v>
      </c>
      <c r="DP375" s="1619" t="str">
        <f t="shared" si="1066"/>
        <v>0</v>
      </c>
      <c r="DQ375" s="1484">
        <f>IF(T375&lt;&gt;"0",(ROUND(IF(A375="EMPLEADO",eval_formula('CONCEPTOS Y PARAMETROS'!$C$8,NOMINA!V375,AU375+BF375,NOMINA!I375+NOMINA!J375),eval_formula('CONCEPTOS Y PARAMETROS'!$D$8,NOMINA!V375,AU375+BF375,NOMINA!I375+NOMINA!J375)),2))*IF(H375&lt;&gt;"",IF(MONTH(H375)=$BR$8,IF(YEAR(H375)&lt;$BT$7,1,0),0)))</f>
        <v>0</v>
      </c>
      <c r="DR375" s="1799" t="str">
        <f t="shared" si="1067"/>
        <v>F</v>
      </c>
      <c r="DS375" s="1799"/>
    </row>
    <row r="376" spans="1:123" s="471" customFormat="1" ht="21.95" customHeight="1" x14ac:dyDescent="0.25">
      <c r="A376" s="508" t="s">
        <v>2834</v>
      </c>
      <c r="B376" s="1314">
        <f t="shared" ca="1" si="1069"/>
        <v>72</v>
      </c>
      <c r="C376" s="990">
        <v>17267546</v>
      </c>
      <c r="D376" s="1275" t="s">
        <v>5083</v>
      </c>
      <c r="E376" s="1135" t="s">
        <v>4622</v>
      </c>
      <c r="F376" s="1118">
        <v>31561</v>
      </c>
      <c r="G376" s="1135" t="s">
        <v>4621</v>
      </c>
      <c r="H376" s="1118">
        <v>39197</v>
      </c>
      <c r="I376" s="1140">
        <f t="shared" si="1033"/>
        <v>18</v>
      </c>
      <c r="J376" s="1132">
        <v>0</v>
      </c>
      <c r="K376" s="1140">
        <f t="shared" si="1025"/>
        <v>18</v>
      </c>
      <c r="L376" s="1145" t="s">
        <v>5544</v>
      </c>
      <c r="M376" s="1132"/>
      <c r="N376" s="1132"/>
      <c r="O376" s="1002" t="s">
        <v>5084</v>
      </c>
      <c r="P376" s="1132" t="s">
        <v>5166</v>
      </c>
      <c r="Q376" s="1315">
        <v>7152</v>
      </c>
      <c r="R376" s="1394" t="s">
        <v>5084</v>
      </c>
      <c r="S376" s="1393">
        <v>3</v>
      </c>
      <c r="T376" s="1107">
        <f>IFERROR(VLOOKUP(S376,'TAB OBR'!A:B,2,0),0)</f>
        <v>152</v>
      </c>
      <c r="U376" s="1108">
        <v>0</v>
      </c>
      <c r="V376" s="1107">
        <f t="shared" si="1034"/>
        <v>152</v>
      </c>
      <c r="W376" s="1108">
        <f t="shared" si="1035"/>
        <v>76</v>
      </c>
      <c r="X376" s="1135" t="s">
        <v>2884</v>
      </c>
      <c r="Y376" s="1135" t="s">
        <v>2884</v>
      </c>
      <c r="Z376" s="1135">
        <v>1</v>
      </c>
      <c r="AA376" s="1107">
        <f>ROUND(IF(H376&lt;&gt;"",VLOOKUP(SUM(I376+J376),'CONCEPTOS Y PARAMETROS'!F:G,2,0)*V376,0),2)</f>
        <v>34.659999999999997</v>
      </c>
      <c r="AB376" s="1107">
        <f>IF(S376&lt;&gt;"",IF(M376="",'CONCEPTOS Y PARAMETROS'!$C$4,0),0)</f>
        <v>130</v>
      </c>
      <c r="AC376" s="1107">
        <f>IF(S376&lt;&gt;"",IF(M376="",'CONCEPTOS Y PARAMETROS'!$C$7*Z376,0),0)</f>
        <v>12.5</v>
      </c>
      <c r="AD376" s="1107">
        <f>IFERROR(ROUND(VLOOKUP($X376,'CONCEPTOS Y PARAMETROS'!H:I,2,0)*($V376+AA376+AB376+AC376),2),0)</f>
        <v>0</v>
      </c>
      <c r="AE376" s="1107">
        <f t="shared" si="1036"/>
        <v>177.16</v>
      </c>
      <c r="AF376" s="1107">
        <f t="shared" si="1037"/>
        <v>17.329999999999998</v>
      </c>
      <c r="AG376" s="1107">
        <f t="shared" si="1038"/>
        <v>17.329999999999998</v>
      </c>
      <c r="AH376" s="1107">
        <f t="shared" si="1039"/>
        <v>65</v>
      </c>
      <c r="AI376" s="1107">
        <f t="shared" si="1040"/>
        <v>65</v>
      </c>
      <c r="AJ376" s="1107">
        <f t="shared" si="1041"/>
        <v>0</v>
      </c>
      <c r="AK376" s="1107">
        <f t="shared" si="1042"/>
        <v>0</v>
      </c>
      <c r="AL376" s="1108">
        <f t="shared" si="1043"/>
        <v>94.83</v>
      </c>
      <c r="AM376" s="1108">
        <f t="shared" si="1044"/>
        <v>82.33</v>
      </c>
      <c r="AN376" s="1453">
        <v>1</v>
      </c>
      <c r="AO376" s="1147">
        <f>'CONCEPTOS Y PARAMETROS'!$C$18*AN376</f>
        <v>12.5</v>
      </c>
      <c r="AP376" s="990">
        <v>0</v>
      </c>
      <c r="AQ376" s="1147">
        <f>'CONCEPTOS Y PARAMETROS'!$C$21*AP376</f>
        <v>0</v>
      </c>
      <c r="AR376" s="1318">
        <v>0</v>
      </c>
      <c r="AS376" s="1318">
        <v>0</v>
      </c>
      <c r="AT376" s="1318">
        <f t="shared" si="1026"/>
        <v>12.5</v>
      </c>
      <c r="AU376" s="1108">
        <f t="shared" si="1027"/>
        <v>329.15999999999997</v>
      </c>
      <c r="AV376" s="1133">
        <v>0</v>
      </c>
      <c r="AW376" s="1108">
        <f t="shared" si="1028"/>
        <v>0</v>
      </c>
      <c r="AX376" s="1107">
        <f>IF(T376&lt;&gt;"0",(ROUND(IF(A376="EMPLEADO",eval_formula('CONCEPTOS Y PARAMETROS'!$C$8,NOMINA!V376,NOMINA!$AU376,NOMINA!I376+NOMINA!J376),eval_formula('CONCEPTOS Y PARAMETROS'!$D$8,NOMINA!V376,NOMINA!$AU376,NOMINA!I376+NOMINA!J376)),2))*IF(H376&lt;&gt;"",IF(MONTH(H376)=$BR$8,IF(YEAR(H376)&lt;$BT$7,1,0),0)))</f>
        <v>0</v>
      </c>
      <c r="AY376" s="1108">
        <v>180</v>
      </c>
      <c r="AZ376" s="1107">
        <f>IFERROR(VLOOKUP(AY376,'CONCEPTOS Y PARAMETROS'!Y:Z,2,0),0)</f>
        <v>150</v>
      </c>
      <c r="BA376" s="1107">
        <f t="shared" si="1045"/>
        <v>2468.6999999999998</v>
      </c>
      <c r="BB376" s="1107">
        <f t="shared" si="1046"/>
        <v>0</v>
      </c>
      <c r="BC376" s="990">
        <v>0</v>
      </c>
      <c r="BD376" s="1107" t="str">
        <f t="shared" si="1029"/>
        <v>0</v>
      </c>
      <c r="BE376" s="990">
        <v>0</v>
      </c>
      <c r="BF376" s="1107">
        <f t="shared" si="1047"/>
        <v>0</v>
      </c>
      <c r="BG376" s="1108">
        <v>310</v>
      </c>
      <c r="BH376" s="1108">
        <v>0</v>
      </c>
      <c r="BI376" s="1132">
        <v>0</v>
      </c>
      <c r="BJ376" s="1108">
        <f t="shared" si="1030"/>
        <v>0</v>
      </c>
      <c r="BK376" s="1108">
        <v>0</v>
      </c>
      <c r="BL376" s="1107">
        <f t="shared" si="974"/>
        <v>15.19</v>
      </c>
      <c r="BM376" s="1107">
        <f t="shared" si="975"/>
        <v>1.9</v>
      </c>
      <c r="BN376" s="1107">
        <f t="shared" si="1048"/>
        <v>3.29</v>
      </c>
      <c r="BO376" s="1107">
        <v>0</v>
      </c>
      <c r="BP376" s="1107">
        <v>0</v>
      </c>
      <c r="BQ376" s="1320">
        <f t="shared" si="1049"/>
        <v>20.38</v>
      </c>
      <c r="BR376" s="1107">
        <f t="shared" si="976"/>
        <v>34.18</v>
      </c>
      <c r="BS376" s="1107">
        <f t="shared" si="977"/>
        <v>7.6</v>
      </c>
      <c r="BT376" s="1107">
        <f t="shared" si="1050"/>
        <v>6.58</v>
      </c>
      <c r="BU376" s="1107">
        <v>0</v>
      </c>
      <c r="BV376" s="1108">
        <f t="shared" si="1051"/>
        <v>48.36</v>
      </c>
      <c r="BW376" s="1112">
        <f t="shared" si="1052"/>
        <v>68.739999999999995</v>
      </c>
      <c r="BX376" s="1112">
        <f t="shared" si="1003"/>
        <v>617.17999999999995</v>
      </c>
      <c r="BY376" s="1108">
        <v>0</v>
      </c>
      <c r="BZ376" s="1108">
        <f t="shared" si="1031"/>
        <v>617.17999999999995</v>
      </c>
      <c r="CA376" s="1321">
        <f>'CONCEPTOS Y PARAMETROS'!$A$102</f>
        <v>6255</v>
      </c>
      <c r="CB376" s="1112">
        <f t="shared" si="1053"/>
        <v>150.44999999999999</v>
      </c>
      <c r="CC376" s="1113">
        <f t="shared" si="1054"/>
        <v>480.83</v>
      </c>
      <c r="CD376" s="512"/>
      <c r="CE376" s="512"/>
      <c r="CF376" s="470">
        <f t="shared" si="1055"/>
        <v>778.32999999999993</v>
      </c>
      <c r="CG376" s="495">
        <f t="shared" si="1056"/>
        <v>150.44999999999999</v>
      </c>
      <c r="CH376" s="498">
        <f t="shared" si="1057"/>
        <v>12.5</v>
      </c>
      <c r="CI376" s="1490">
        <f t="shared" si="1032"/>
        <v>310</v>
      </c>
      <c r="CJ376" s="1500">
        <v>1</v>
      </c>
      <c r="CK376" s="495">
        <f t="shared" si="1058"/>
        <v>468.33</v>
      </c>
      <c r="CL376" s="1689">
        <f t="shared" si="1059"/>
        <v>468.33</v>
      </c>
      <c r="CM376" s="1689">
        <f t="shared" si="1068"/>
        <v>0</v>
      </c>
      <c r="CN376" s="496">
        <f t="shared" si="1060"/>
        <v>0</v>
      </c>
      <c r="CO376" s="497">
        <v>0</v>
      </c>
      <c r="CP376" s="496">
        <f t="shared" si="1061"/>
        <v>0</v>
      </c>
      <c r="CQ376" s="496">
        <f t="shared" si="1062"/>
        <v>0</v>
      </c>
      <c r="CR376" s="496">
        <f t="shared" si="1063"/>
        <v>936.66</v>
      </c>
      <c r="CS376" s="496">
        <f t="shared" si="1064"/>
        <v>68.739999999999995</v>
      </c>
      <c r="CT376" s="496">
        <f t="shared" si="1065"/>
        <v>6255</v>
      </c>
      <c r="CU376" s="470"/>
      <c r="CV376" s="470"/>
      <c r="CW376" s="470"/>
      <c r="CX376" s="470"/>
      <c r="CY376" s="1275" t="s">
        <v>6816</v>
      </c>
      <c r="CZ376" s="1275" t="s">
        <v>7195</v>
      </c>
      <c r="DA376" s="1152"/>
      <c r="DB376" s="1642" t="s">
        <v>6517</v>
      </c>
      <c r="DC376" s="1642"/>
      <c r="DD376" s="1642" t="s">
        <v>6150</v>
      </c>
      <c r="DE376" s="1642" t="s">
        <v>6257</v>
      </c>
      <c r="DF376" s="1642" t="s">
        <v>6534</v>
      </c>
      <c r="DG376" s="1152"/>
      <c r="DH376" s="470"/>
      <c r="DI376" s="470"/>
      <c r="DJ376" s="470"/>
      <c r="DK376" s="470"/>
      <c r="DL376" s="470"/>
      <c r="DN376" s="471" t="str">
        <f>VLOOKUP(X376,Hoja1!$A$4:$B$10,2,0)</f>
        <v>BACHILLER</v>
      </c>
      <c r="DO376" s="471" t="str">
        <f>VLOOKUP(S376,Hoja1!$D$4:$F$77,3,0)</f>
        <v>GRADO (3) - MÁX</v>
      </c>
      <c r="DP376" s="1156" t="str">
        <f t="shared" si="1066"/>
        <v>0</v>
      </c>
      <c r="DQ376" s="1484">
        <f>IF(T376&lt;&gt;"0",(ROUND(IF(A376="EMPLEADO",eval_formula('CONCEPTOS Y PARAMETROS'!$C$8,NOMINA!V376,AU376+BF376,NOMINA!I376+NOMINA!J376),eval_formula('CONCEPTOS Y PARAMETROS'!$D$8,NOMINA!V376,AU376+BF376,NOMINA!I376+NOMINA!J376)),2))*IF(H376&lt;&gt;"",IF(MONTH(H376)=$BR$8,IF(YEAR(H376)&lt;$BT$7,1,0),0)))</f>
        <v>0</v>
      </c>
      <c r="DR376" s="1801" t="str">
        <f t="shared" si="1067"/>
        <v>M</v>
      </c>
      <c r="DS376" s="1801"/>
    </row>
    <row r="377" spans="1:123" s="476" customFormat="1" ht="21.95" customHeight="1" x14ac:dyDescent="0.25">
      <c r="A377" s="508" t="s">
        <v>2834</v>
      </c>
      <c r="B377" s="1314">
        <f t="shared" ca="1" si="1069"/>
        <v>73</v>
      </c>
      <c r="C377" s="990">
        <v>18096032</v>
      </c>
      <c r="D377" s="1275" t="s">
        <v>6764</v>
      </c>
      <c r="E377" s="1135" t="s">
        <v>4622</v>
      </c>
      <c r="F377" s="1118">
        <v>31852</v>
      </c>
      <c r="G377" s="1135" t="s">
        <v>4621</v>
      </c>
      <c r="H377" s="1118">
        <v>45566</v>
      </c>
      <c r="I377" s="1140">
        <f t="shared" si="1033"/>
        <v>0</v>
      </c>
      <c r="J377" s="1132">
        <f>9+7</f>
        <v>16</v>
      </c>
      <c r="K377" s="1140">
        <f t="shared" si="1025"/>
        <v>16</v>
      </c>
      <c r="L377" s="1145" t="s">
        <v>5544</v>
      </c>
      <c r="M377" s="1132"/>
      <c r="N377" s="1132"/>
      <c r="O377" s="1002" t="s">
        <v>5094</v>
      </c>
      <c r="P377" s="1151" t="s">
        <v>6765</v>
      </c>
      <c r="Q377" s="1315">
        <v>7174</v>
      </c>
      <c r="R377" s="1394" t="s">
        <v>5094</v>
      </c>
      <c r="S377" s="1393">
        <v>4</v>
      </c>
      <c r="T377" s="1107">
        <f>IFERROR(VLOOKUP(S377,'TAB OBR'!A:B,2,0),0)</f>
        <v>161</v>
      </c>
      <c r="U377" s="1108">
        <v>0</v>
      </c>
      <c r="V377" s="1107">
        <f t="shared" si="1034"/>
        <v>161</v>
      </c>
      <c r="W377" s="1108">
        <f t="shared" si="1035"/>
        <v>80.5</v>
      </c>
      <c r="X377" s="1135" t="s">
        <v>2884</v>
      </c>
      <c r="Y377" s="1135" t="s">
        <v>2884</v>
      </c>
      <c r="Z377" s="1135">
        <v>2</v>
      </c>
      <c r="AA377" s="1107">
        <f>ROUND(IF(H377&lt;&gt;"",VLOOKUP(SUM(I377+J377),'CONCEPTOS Y PARAMETROS'!F:G,2,0)*V377,0),2)</f>
        <v>31.56</v>
      </c>
      <c r="AB377" s="1107">
        <f>IF(S377&lt;&gt;"",IF(M377="",'CONCEPTOS Y PARAMETROS'!$C$4,0),0)</f>
        <v>130</v>
      </c>
      <c r="AC377" s="1107">
        <f>IF(S377&lt;&gt;"",IF(M377="",'CONCEPTOS Y PARAMETROS'!$C$7*Z377,0),0)</f>
        <v>25</v>
      </c>
      <c r="AD377" s="1107">
        <f>IFERROR(ROUND(VLOOKUP($X377,'CONCEPTOS Y PARAMETROS'!H:I,2,0)*($V377+AA377+AB377+AC377),2),0)</f>
        <v>0</v>
      </c>
      <c r="AE377" s="1107">
        <f t="shared" si="1036"/>
        <v>186.56</v>
      </c>
      <c r="AF377" s="1107">
        <f t="shared" si="1037"/>
        <v>15.78</v>
      </c>
      <c r="AG377" s="1107">
        <f t="shared" si="1038"/>
        <v>15.78</v>
      </c>
      <c r="AH377" s="1107">
        <f t="shared" si="1039"/>
        <v>65</v>
      </c>
      <c r="AI377" s="1107">
        <f t="shared" si="1040"/>
        <v>65</v>
      </c>
      <c r="AJ377" s="1107">
        <f t="shared" si="1041"/>
        <v>0</v>
      </c>
      <c r="AK377" s="1107">
        <f t="shared" si="1042"/>
        <v>0</v>
      </c>
      <c r="AL377" s="1108">
        <f t="shared" si="1043"/>
        <v>105.78</v>
      </c>
      <c r="AM377" s="1108">
        <f t="shared" si="1044"/>
        <v>80.78</v>
      </c>
      <c r="AN377" s="990">
        <v>0</v>
      </c>
      <c r="AO377" s="1147">
        <f>'CONCEPTOS Y PARAMETROS'!$C$18*AN377</f>
        <v>0</v>
      </c>
      <c r="AP377" s="990">
        <v>0</v>
      </c>
      <c r="AQ377" s="1147">
        <f>'CONCEPTOS Y PARAMETROS'!$C$21*AP377</f>
        <v>0</v>
      </c>
      <c r="AR377" s="1318">
        <v>0</v>
      </c>
      <c r="AS377" s="1318">
        <v>0</v>
      </c>
      <c r="AT377" s="1318">
        <f t="shared" si="1026"/>
        <v>0</v>
      </c>
      <c r="AU377" s="1108">
        <f t="shared" si="1027"/>
        <v>451.83</v>
      </c>
      <c r="AV377" s="1133" t="s">
        <v>5080</v>
      </c>
      <c r="AW377" s="1108">
        <f t="shared" si="1028"/>
        <v>104.27</v>
      </c>
      <c r="AX377" s="1107">
        <f>IF(T377&lt;&gt;"0",(ROUND(IF(A377="EMPLEADO",eval_formula('CONCEPTOS Y PARAMETROS'!$C$8,NOMINA!V377,NOMINA!$AU377,NOMINA!I377+NOMINA!J377),eval_formula('CONCEPTOS Y PARAMETROS'!$D$8,NOMINA!V377,NOMINA!$AU377,NOMINA!I377+NOMINA!J377)),2))*IF(H377&lt;&gt;"",IF(MONTH(H377)=$BR$8,IF(YEAR(H377)&lt;$BT$7,1,0),0)))</f>
        <v>0</v>
      </c>
      <c r="AY377" s="1108">
        <v>45</v>
      </c>
      <c r="AZ377" s="1107">
        <f>IFERROR(VLOOKUP(AY377,'CONCEPTOS Y PARAMETROS'!Y:Z,2,0),0)</f>
        <v>37.5</v>
      </c>
      <c r="BA377" s="1107">
        <f t="shared" si="1045"/>
        <v>635.39</v>
      </c>
      <c r="BB377" s="1107">
        <f t="shared" si="1046"/>
        <v>0</v>
      </c>
      <c r="BC377" s="990">
        <v>0</v>
      </c>
      <c r="BD377" s="1107" t="str">
        <f t="shared" si="1029"/>
        <v>0</v>
      </c>
      <c r="BE377" s="990">
        <v>2</v>
      </c>
      <c r="BF377" s="1107">
        <f t="shared" si="1047"/>
        <v>45.18</v>
      </c>
      <c r="BG377" s="1108">
        <v>310</v>
      </c>
      <c r="BH377" s="1108">
        <v>0</v>
      </c>
      <c r="BI377" s="1132">
        <v>0</v>
      </c>
      <c r="BJ377" s="1108">
        <f t="shared" si="1030"/>
        <v>0</v>
      </c>
      <c r="BK377" s="1108">
        <v>0</v>
      </c>
      <c r="BL377" s="1107">
        <f t="shared" ref="BL377:BL396" si="1073">ROUND(IF(M377="", (((AU377*12)/52)*4%)*$BS$8,0),2)</f>
        <v>20.85</v>
      </c>
      <c r="BM377" s="1107">
        <f t="shared" ref="BM377:BM396" si="1074">ROUND(IF(M377="",(((AU377*12)/52)*0.5%)*$BS$8,0),2)</f>
        <v>2.61</v>
      </c>
      <c r="BN377" s="1107">
        <f t="shared" si="1048"/>
        <v>4.5199999999999996</v>
      </c>
      <c r="BO377" s="1107">
        <v>0</v>
      </c>
      <c r="BP377" s="1107">
        <v>0</v>
      </c>
      <c r="BQ377" s="1320">
        <f t="shared" ref="BQ377" si="1075">ROUND(SUM(BL377:BP377),2)</f>
        <v>27.98</v>
      </c>
      <c r="BR377" s="1107">
        <f t="shared" ref="BR377:BR396" si="1076">ROUND(IF(M377="", (((AU377*12)/52)*9%)*$BS$8,0),2)</f>
        <v>46.92</v>
      </c>
      <c r="BS377" s="1107">
        <f t="shared" ref="BS377:BS396" si="1077">ROUND(IF(M377="",(((AU377*12)/52)*2%)*$BS$8,0),2)</f>
        <v>10.43</v>
      </c>
      <c r="BT377" s="1107">
        <f t="shared" si="1050"/>
        <v>9.0399999999999991</v>
      </c>
      <c r="BU377" s="1107">
        <v>0</v>
      </c>
      <c r="BV377" s="1108">
        <f t="shared" ref="BV377" si="1078">ROUND(SUM(BR377:BT377),2)</f>
        <v>66.39</v>
      </c>
      <c r="BW377" s="1112">
        <f t="shared" si="1052"/>
        <v>94.37</v>
      </c>
      <c r="BX377" s="1112">
        <f t="shared" si="1003"/>
        <v>158.85</v>
      </c>
      <c r="BY377" s="1108">
        <v>0</v>
      </c>
      <c r="BZ377" s="1108">
        <f t="shared" si="1031"/>
        <v>158.85</v>
      </c>
      <c r="CA377" s="1321">
        <f>'CONCEPTOS Y PARAMETROS'!$A$102</f>
        <v>6255</v>
      </c>
      <c r="CB377" s="1112">
        <f t="shared" si="1053"/>
        <v>158.30000000000001</v>
      </c>
      <c r="CC377" s="1113">
        <f t="shared" si="1054"/>
        <v>620.73</v>
      </c>
      <c r="CD377" s="512"/>
      <c r="CE377" s="512"/>
      <c r="CF377" s="470">
        <f t="shared" si="1055"/>
        <v>781.28</v>
      </c>
      <c r="CG377" s="509">
        <f t="shared" si="1056"/>
        <v>158.30000000000001</v>
      </c>
      <c r="CH377" s="498">
        <f t="shared" si="1057"/>
        <v>0</v>
      </c>
      <c r="CI377" s="1491">
        <f t="shared" si="1032"/>
        <v>310</v>
      </c>
      <c r="CJ377" s="1500">
        <v>1</v>
      </c>
      <c r="CK377" s="509">
        <f t="shared" si="1058"/>
        <v>471.28</v>
      </c>
      <c r="CL377" s="1689">
        <f t="shared" si="1059"/>
        <v>471.28</v>
      </c>
      <c r="CM377" s="1689">
        <f t="shared" si="1068"/>
        <v>0</v>
      </c>
      <c r="CN377" s="510">
        <f t="shared" si="1060"/>
        <v>45.18</v>
      </c>
      <c r="CO377" s="511">
        <v>0</v>
      </c>
      <c r="CP377" s="510">
        <f t="shared" si="1061"/>
        <v>104.27</v>
      </c>
      <c r="CQ377" s="510">
        <f t="shared" si="1062"/>
        <v>0</v>
      </c>
      <c r="CR377" s="496">
        <f t="shared" si="1063"/>
        <v>1092.01</v>
      </c>
      <c r="CS377" s="510">
        <f t="shared" si="1064"/>
        <v>94.37</v>
      </c>
      <c r="CT377" s="510">
        <f t="shared" si="1065"/>
        <v>6255</v>
      </c>
      <c r="CU377" s="470"/>
      <c r="CV377" s="470"/>
      <c r="CW377" s="470"/>
      <c r="CX377" s="470"/>
      <c r="CY377" s="1275" t="s">
        <v>7007</v>
      </c>
      <c r="CZ377" s="1275" t="s">
        <v>7196</v>
      </c>
      <c r="DA377" s="1152"/>
      <c r="DB377" s="1642" t="s">
        <v>6766</v>
      </c>
      <c r="DC377" s="1642"/>
      <c r="DD377" s="1642" t="s">
        <v>6158</v>
      </c>
      <c r="DE377" s="1642" t="s">
        <v>6233</v>
      </c>
      <c r="DF377" s="1642" t="s">
        <v>7534</v>
      </c>
      <c r="DG377" s="1152"/>
      <c r="DH377" s="512"/>
      <c r="DI377" s="512"/>
      <c r="DJ377" s="512"/>
      <c r="DK377" s="512"/>
      <c r="DL377" s="512"/>
      <c r="DN377" s="476" t="str">
        <f>VLOOKUP(X377,Hoja1!$A$4:$B$10,2,0)</f>
        <v>BACHILLER</v>
      </c>
      <c r="DO377" s="476" t="str">
        <f>VLOOKUP(S377,Hoja1!$D$4:$F$77,3,0)</f>
        <v>GRADO (4) - MÁX</v>
      </c>
      <c r="DP377" s="1303" t="str">
        <f t="shared" si="1066"/>
        <v>SI</v>
      </c>
      <c r="DQ377" s="1484">
        <f>IF(T377&lt;&gt;"0",(ROUND(IF(A377="EMPLEADO",eval_formula('CONCEPTOS Y PARAMETROS'!$C$8,NOMINA!V377,AU377+BF377,NOMINA!I377+NOMINA!J377),eval_formula('CONCEPTOS Y PARAMETROS'!$D$8,NOMINA!V377,AU377+BF377,NOMINA!I377+NOMINA!J377)),2))*IF(H377&lt;&gt;"",IF(MONTH(H377)=$BR$8,IF(YEAR(H377)&lt;$BT$7,1,0),0)))</f>
        <v>0</v>
      </c>
      <c r="DR377" s="1799" t="str">
        <f t="shared" si="1067"/>
        <v>M</v>
      </c>
      <c r="DS377" s="1799"/>
    </row>
    <row r="378" spans="1:123" s="471" customFormat="1" ht="21.95" customHeight="1" x14ac:dyDescent="0.25">
      <c r="A378" s="508" t="s">
        <v>2834</v>
      </c>
      <c r="B378" s="1314">
        <f t="shared" ca="1" si="1069"/>
        <v>74</v>
      </c>
      <c r="C378" s="990">
        <v>18096338</v>
      </c>
      <c r="D378" s="1275" t="s">
        <v>5031</v>
      </c>
      <c r="E378" s="1135" t="s">
        <v>4622</v>
      </c>
      <c r="F378" s="1118">
        <v>30510</v>
      </c>
      <c r="G378" s="1135" t="s">
        <v>4621</v>
      </c>
      <c r="H378" s="1118">
        <v>39463</v>
      </c>
      <c r="I378" s="1140">
        <f t="shared" si="1033"/>
        <v>17</v>
      </c>
      <c r="J378" s="1132">
        <v>3</v>
      </c>
      <c r="K378" s="1140">
        <f t="shared" si="1025"/>
        <v>20</v>
      </c>
      <c r="L378" s="1145" t="s">
        <v>5543</v>
      </c>
      <c r="M378" s="1132"/>
      <c r="N378" s="1132"/>
      <c r="O378" s="1002" t="s">
        <v>5091</v>
      </c>
      <c r="P378" s="1132" t="s">
        <v>5167</v>
      </c>
      <c r="Q378" s="1315">
        <v>2202</v>
      </c>
      <c r="R378" s="1394" t="s">
        <v>5091</v>
      </c>
      <c r="S378" s="1393">
        <v>5</v>
      </c>
      <c r="T378" s="1107">
        <f>IFERROR(VLOOKUP(S378,'TAB OBR'!A:B,2,0),0)</f>
        <v>171</v>
      </c>
      <c r="U378" s="1108">
        <v>0</v>
      </c>
      <c r="V378" s="1107">
        <f t="shared" si="1034"/>
        <v>171</v>
      </c>
      <c r="W378" s="1108">
        <f t="shared" si="1035"/>
        <v>85.5</v>
      </c>
      <c r="X378" s="1135" t="s">
        <v>2884</v>
      </c>
      <c r="Y378" s="1135" t="s">
        <v>2884</v>
      </c>
      <c r="Z378" s="1135">
        <v>1</v>
      </c>
      <c r="AA378" s="1107">
        <f>ROUND(IF(H378&lt;&gt;"",VLOOKUP(SUM(I378+J378),'CONCEPTOS Y PARAMETROS'!F:G,2,0)*V378,0),2)</f>
        <v>44.46</v>
      </c>
      <c r="AB378" s="1107">
        <f>IF(S378&lt;&gt;"",IF(M378="",'CONCEPTOS Y PARAMETROS'!$C$4,0),0)</f>
        <v>130</v>
      </c>
      <c r="AC378" s="1107">
        <f>IF(S378&lt;&gt;"",IF(M378="",'CONCEPTOS Y PARAMETROS'!$C$7*Z378,0),0)</f>
        <v>12.5</v>
      </c>
      <c r="AD378" s="1107">
        <f>IFERROR(ROUND(VLOOKUP($X378,'CONCEPTOS Y PARAMETROS'!H:I,2,0)*($V378+AA378+AB378+AC378),2),0)</f>
        <v>0</v>
      </c>
      <c r="AE378" s="1107">
        <f t="shared" si="1036"/>
        <v>186.96</v>
      </c>
      <c r="AF378" s="1107">
        <f t="shared" si="1037"/>
        <v>22.23</v>
      </c>
      <c r="AG378" s="1107">
        <f t="shared" si="1038"/>
        <v>22.23</v>
      </c>
      <c r="AH378" s="1107">
        <f t="shared" si="1039"/>
        <v>65</v>
      </c>
      <c r="AI378" s="1107">
        <f t="shared" si="1040"/>
        <v>65</v>
      </c>
      <c r="AJ378" s="1107">
        <f t="shared" si="1041"/>
        <v>0</v>
      </c>
      <c r="AK378" s="1107">
        <f t="shared" si="1042"/>
        <v>0</v>
      </c>
      <c r="AL378" s="1108">
        <f t="shared" si="1043"/>
        <v>99.73</v>
      </c>
      <c r="AM378" s="1108">
        <f t="shared" si="1044"/>
        <v>87.23</v>
      </c>
      <c r="AN378" s="990">
        <v>0</v>
      </c>
      <c r="AO378" s="1147">
        <f>'CONCEPTOS Y PARAMETROS'!$C$18*AN378</f>
        <v>0</v>
      </c>
      <c r="AP378" s="990">
        <v>0</v>
      </c>
      <c r="AQ378" s="1147">
        <f>'CONCEPTOS Y PARAMETROS'!$C$21*AP378</f>
        <v>0</v>
      </c>
      <c r="AR378" s="1318">
        <v>0</v>
      </c>
      <c r="AS378" s="1318">
        <v>0</v>
      </c>
      <c r="AT378" s="1318">
        <f t="shared" si="1026"/>
        <v>0</v>
      </c>
      <c r="AU378" s="1108">
        <f t="shared" si="1027"/>
        <v>357.96000000000004</v>
      </c>
      <c r="AV378" s="1133">
        <v>0</v>
      </c>
      <c r="AW378" s="1108">
        <f t="shared" si="1028"/>
        <v>0</v>
      </c>
      <c r="AX378" s="1107">
        <f>IF(T378&lt;&gt;"0",(ROUND(IF(A378="EMPLEADO",eval_formula('CONCEPTOS Y PARAMETROS'!$C$8,NOMINA!V378,NOMINA!$AU378,NOMINA!I378+NOMINA!J378),eval_formula('CONCEPTOS Y PARAMETROS'!$D$8,NOMINA!V378,NOMINA!$AU378,NOMINA!I378+NOMINA!J378)),2))*IF(H378&lt;&gt;"",IF(MONTH(H378)=$BR$8,IF(YEAR(H378)&lt;$BT$7,1,0),0)))</f>
        <v>0</v>
      </c>
      <c r="AY378" s="1108">
        <v>180</v>
      </c>
      <c r="AZ378" s="1107">
        <f>IFERROR(VLOOKUP(AY378,'CONCEPTOS Y PARAMETROS'!Y:Z,2,0),0)</f>
        <v>150</v>
      </c>
      <c r="BA378" s="1107">
        <f t="shared" si="1045"/>
        <v>2684.7</v>
      </c>
      <c r="BB378" s="1107">
        <f t="shared" si="1046"/>
        <v>0</v>
      </c>
      <c r="BC378" s="990">
        <v>0</v>
      </c>
      <c r="BD378" s="1107" t="str">
        <f t="shared" si="1029"/>
        <v>0</v>
      </c>
      <c r="BE378" s="990">
        <v>1</v>
      </c>
      <c r="BF378" s="1107">
        <f t="shared" si="1047"/>
        <v>17.899999999999999</v>
      </c>
      <c r="BG378" s="1108">
        <v>310</v>
      </c>
      <c r="BH378" s="1108">
        <v>0</v>
      </c>
      <c r="BI378" s="1132">
        <v>0</v>
      </c>
      <c r="BJ378" s="1108">
        <f t="shared" si="1030"/>
        <v>0</v>
      </c>
      <c r="BK378" s="1108">
        <v>0</v>
      </c>
      <c r="BL378" s="1107">
        <f t="shared" si="1073"/>
        <v>16.52</v>
      </c>
      <c r="BM378" s="1107">
        <f t="shared" si="1074"/>
        <v>2.0699999999999998</v>
      </c>
      <c r="BN378" s="1107">
        <f t="shared" si="1048"/>
        <v>3.58</v>
      </c>
      <c r="BO378" s="1107">
        <v>0</v>
      </c>
      <c r="BP378" s="1107">
        <v>0</v>
      </c>
      <c r="BQ378" s="1320">
        <f t="shared" si="1049"/>
        <v>22.17</v>
      </c>
      <c r="BR378" s="1107">
        <f t="shared" si="1076"/>
        <v>37.17</v>
      </c>
      <c r="BS378" s="1107">
        <f t="shared" si="1077"/>
        <v>8.26</v>
      </c>
      <c r="BT378" s="1107">
        <f t="shared" si="1050"/>
        <v>7.16</v>
      </c>
      <c r="BU378" s="1107">
        <v>0</v>
      </c>
      <c r="BV378" s="1108">
        <f t="shared" si="1051"/>
        <v>52.59</v>
      </c>
      <c r="BW378" s="1112">
        <f t="shared" si="1052"/>
        <v>74.760000000000005</v>
      </c>
      <c r="BX378" s="1112">
        <f t="shared" si="1003"/>
        <v>671.18</v>
      </c>
      <c r="BY378" s="1108">
        <v>0</v>
      </c>
      <c r="BZ378" s="1108">
        <f t="shared" si="1031"/>
        <v>671.18</v>
      </c>
      <c r="CA378" s="1321">
        <f>'CONCEPTOS Y PARAMETROS'!$A$102</f>
        <v>6255</v>
      </c>
      <c r="CB378" s="1112">
        <f t="shared" si="1053"/>
        <v>163.06</v>
      </c>
      <c r="CC378" s="1113">
        <f t="shared" si="1054"/>
        <v>500.63</v>
      </c>
      <c r="CD378" s="512"/>
      <c r="CE378" s="512"/>
      <c r="CF378" s="470">
        <f t="shared" si="1055"/>
        <v>792.73</v>
      </c>
      <c r="CG378" s="495">
        <f t="shared" si="1056"/>
        <v>163.06</v>
      </c>
      <c r="CH378" s="498">
        <f t="shared" si="1057"/>
        <v>0</v>
      </c>
      <c r="CI378" s="1490">
        <f t="shared" si="1032"/>
        <v>310</v>
      </c>
      <c r="CJ378" s="1500">
        <v>1</v>
      </c>
      <c r="CK378" s="495">
        <f t="shared" si="1058"/>
        <v>482.73</v>
      </c>
      <c r="CL378" s="1689">
        <f t="shared" si="1059"/>
        <v>482.73</v>
      </c>
      <c r="CM378" s="1689">
        <f t="shared" si="1068"/>
        <v>0</v>
      </c>
      <c r="CN378" s="496">
        <f t="shared" si="1060"/>
        <v>17.899999999999999</v>
      </c>
      <c r="CO378" s="497">
        <v>0</v>
      </c>
      <c r="CP378" s="496">
        <f t="shared" si="1061"/>
        <v>0</v>
      </c>
      <c r="CQ378" s="496">
        <f t="shared" si="1062"/>
        <v>0</v>
      </c>
      <c r="CR378" s="496">
        <f t="shared" si="1063"/>
        <v>983.36</v>
      </c>
      <c r="CS378" s="496">
        <f t="shared" si="1064"/>
        <v>74.760000000000005</v>
      </c>
      <c r="CT378" s="496">
        <f t="shared" si="1065"/>
        <v>6255</v>
      </c>
      <c r="CU378" s="470"/>
      <c r="CV378" s="470"/>
      <c r="CW378" s="470"/>
      <c r="CX378" s="470"/>
      <c r="CY378" s="1275" t="s">
        <v>6950</v>
      </c>
      <c r="CZ378" s="1275" t="s">
        <v>6813</v>
      </c>
      <c r="DA378" s="1152"/>
      <c r="DB378" s="1642" t="s">
        <v>6466</v>
      </c>
      <c r="DC378" s="1642"/>
      <c r="DD378" s="1642" t="s">
        <v>6150</v>
      </c>
      <c r="DE378" s="1642" t="s">
        <v>6257</v>
      </c>
      <c r="DF378" s="1642" t="s">
        <v>6616</v>
      </c>
      <c r="DG378" s="1642"/>
      <c r="DH378" s="470"/>
      <c r="DI378" s="470"/>
      <c r="DJ378" s="470"/>
      <c r="DK378" s="470"/>
      <c r="DL378" s="470"/>
      <c r="DN378" s="471" t="str">
        <f>VLOOKUP(X378,Hoja1!$A$4:$B$10,2,0)</f>
        <v>BACHILLER</v>
      </c>
      <c r="DO378" s="471" t="str">
        <f>VLOOKUP(S378,Hoja1!$D$4:$F$77,3,0)</f>
        <v>GRADO (5) - MÁX</v>
      </c>
      <c r="DP378" s="1156" t="str">
        <f t="shared" si="1066"/>
        <v>0</v>
      </c>
      <c r="DQ378" s="1484">
        <f>IF(T378&lt;&gt;"0",(ROUND(IF(A378="EMPLEADO",eval_formula('CONCEPTOS Y PARAMETROS'!$C$8,NOMINA!V378,AU378+BF378,NOMINA!I378+NOMINA!J378),eval_formula('CONCEPTOS Y PARAMETROS'!$D$8,NOMINA!V378,AU378+BF378,NOMINA!I378+NOMINA!J378)),2))*IF(H378&lt;&gt;"",IF(MONTH(H378)=$BR$8,IF(YEAR(H378)&lt;$BT$7,1,0),0)))</f>
        <v>0</v>
      </c>
      <c r="DR378" s="1801" t="str">
        <f t="shared" si="1067"/>
        <v>M</v>
      </c>
      <c r="DS378" s="1801"/>
    </row>
    <row r="379" spans="1:123" s="471" customFormat="1" ht="21.95" customHeight="1" x14ac:dyDescent="0.25">
      <c r="A379" s="508" t="s">
        <v>2834</v>
      </c>
      <c r="B379" s="1314">
        <f t="shared" ca="1" si="1069"/>
        <v>75</v>
      </c>
      <c r="C379" s="990">
        <v>18350780</v>
      </c>
      <c r="D379" s="1275" t="s">
        <v>5032</v>
      </c>
      <c r="E379" s="1135" t="s">
        <v>4622</v>
      </c>
      <c r="F379" s="1118">
        <v>32057</v>
      </c>
      <c r="G379" s="1135" t="s">
        <v>4621</v>
      </c>
      <c r="H379" s="1118">
        <v>43116</v>
      </c>
      <c r="I379" s="1140">
        <f t="shared" si="1033"/>
        <v>7</v>
      </c>
      <c r="J379" s="1132">
        <v>0</v>
      </c>
      <c r="K379" s="1140">
        <f t="shared" si="1025"/>
        <v>7</v>
      </c>
      <c r="L379" s="1145" t="s">
        <v>7580</v>
      </c>
      <c r="M379" s="1132"/>
      <c r="N379" s="1132"/>
      <c r="O379" s="1002" t="s">
        <v>5093</v>
      </c>
      <c r="P379" s="1132" t="s">
        <v>5168</v>
      </c>
      <c r="Q379" s="1315">
        <v>7152</v>
      </c>
      <c r="R379" s="1394" t="s">
        <v>5093</v>
      </c>
      <c r="S379" s="1393">
        <v>5</v>
      </c>
      <c r="T379" s="1107">
        <f>IFERROR(VLOOKUP(S379,'TAB OBR'!A:B,2,0),0)</f>
        <v>171</v>
      </c>
      <c r="U379" s="1108">
        <v>0</v>
      </c>
      <c r="V379" s="1107">
        <f t="shared" si="1034"/>
        <v>171</v>
      </c>
      <c r="W379" s="1108">
        <f t="shared" si="1035"/>
        <v>85.5</v>
      </c>
      <c r="X379" s="1135" t="s">
        <v>2884</v>
      </c>
      <c r="Y379" s="1135" t="s">
        <v>2884</v>
      </c>
      <c r="Z379" s="1135">
        <v>1</v>
      </c>
      <c r="AA379" s="1107">
        <f>ROUND(IF(H379&lt;&gt;"",VLOOKUP(SUM(I379+J379),'CONCEPTOS Y PARAMETROS'!F:G,2,0)*V379,0),2)</f>
        <v>12.65</v>
      </c>
      <c r="AB379" s="1107">
        <f>IF(S379&lt;&gt;"",IF(M379="",'CONCEPTOS Y PARAMETROS'!$C$4,0),0)</f>
        <v>130</v>
      </c>
      <c r="AC379" s="1107">
        <f>IF(S379&lt;&gt;"",IF(M379="",'CONCEPTOS Y PARAMETROS'!$C$7*Z379,0),0)</f>
        <v>12.5</v>
      </c>
      <c r="AD379" s="1107">
        <f>IFERROR(ROUND(VLOOKUP($X379,'CONCEPTOS Y PARAMETROS'!H:I,2,0)*($V379+AA379+AB379+AC379),2),0)</f>
        <v>0</v>
      </c>
      <c r="AE379" s="1107">
        <f t="shared" si="1036"/>
        <v>155.15</v>
      </c>
      <c r="AF379" s="1107">
        <f t="shared" si="1037"/>
        <v>6.33</v>
      </c>
      <c r="AG379" s="1107">
        <f t="shared" si="1038"/>
        <v>6.32</v>
      </c>
      <c r="AH379" s="1107">
        <f t="shared" si="1039"/>
        <v>65</v>
      </c>
      <c r="AI379" s="1107">
        <f t="shared" si="1040"/>
        <v>65</v>
      </c>
      <c r="AJ379" s="1107">
        <f t="shared" si="1041"/>
        <v>0</v>
      </c>
      <c r="AK379" s="1107">
        <f t="shared" si="1042"/>
        <v>0</v>
      </c>
      <c r="AL379" s="1108">
        <f t="shared" si="1043"/>
        <v>83.83</v>
      </c>
      <c r="AM379" s="1108">
        <f t="shared" si="1044"/>
        <v>71.319999999999993</v>
      </c>
      <c r="AN379" s="990">
        <v>0</v>
      </c>
      <c r="AO379" s="1147">
        <f>'CONCEPTOS Y PARAMETROS'!$C$18*AN379</f>
        <v>0</v>
      </c>
      <c r="AP379" s="990">
        <v>0</v>
      </c>
      <c r="AQ379" s="1147">
        <f>'CONCEPTOS Y PARAMETROS'!$C$21*AP379</f>
        <v>0</v>
      </c>
      <c r="AR379" s="1318">
        <v>0</v>
      </c>
      <c r="AS379" s="1318">
        <v>0</v>
      </c>
      <c r="AT379" s="1318">
        <f t="shared" si="1026"/>
        <v>0</v>
      </c>
      <c r="AU379" s="1108">
        <f t="shared" si="1027"/>
        <v>424</v>
      </c>
      <c r="AV379" s="1133" t="s">
        <v>5080</v>
      </c>
      <c r="AW379" s="1108">
        <f t="shared" si="1028"/>
        <v>97.85</v>
      </c>
      <c r="AX379" s="1107">
        <f>IF(T379&lt;&gt;"0",(ROUND(IF(A379="EMPLEADO",eval_formula('CONCEPTOS Y PARAMETROS'!$C$8,NOMINA!V379,NOMINA!$AU379,NOMINA!I379+NOMINA!J379),eval_formula('CONCEPTOS Y PARAMETROS'!$D$8,NOMINA!V379,NOMINA!$AU379,NOMINA!I379+NOMINA!J379)),2))*IF(H379&lt;&gt;"",IF(MONTH(H379)=$BR$8,IF(YEAR(H379)&lt;$BT$7,1,0),0)))</f>
        <v>0</v>
      </c>
      <c r="AY379" s="1108">
        <v>180</v>
      </c>
      <c r="AZ379" s="1107">
        <f>IFERROR(VLOOKUP(AY379,'CONCEPTOS Y PARAMETROS'!Y:Z,2,0),0)</f>
        <v>150</v>
      </c>
      <c r="BA379" s="1107">
        <f t="shared" si="1045"/>
        <v>3180</v>
      </c>
      <c r="BB379" s="1107">
        <f t="shared" si="1046"/>
        <v>0</v>
      </c>
      <c r="BC379" s="990">
        <v>0</v>
      </c>
      <c r="BD379" s="1107" t="str">
        <f t="shared" si="1029"/>
        <v>0</v>
      </c>
      <c r="BE379" s="990">
        <v>0</v>
      </c>
      <c r="BF379" s="1107">
        <f t="shared" si="1047"/>
        <v>0</v>
      </c>
      <c r="BG379" s="1108">
        <v>310</v>
      </c>
      <c r="BH379" s="1108">
        <v>0</v>
      </c>
      <c r="BI379" s="1132">
        <v>0</v>
      </c>
      <c r="BJ379" s="1108">
        <f t="shared" si="1030"/>
        <v>0</v>
      </c>
      <c r="BK379" s="1108">
        <v>0</v>
      </c>
      <c r="BL379" s="1107">
        <f t="shared" si="1073"/>
        <v>19.57</v>
      </c>
      <c r="BM379" s="1107">
        <f t="shared" si="1074"/>
        <v>2.4500000000000002</v>
      </c>
      <c r="BN379" s="1107">
        <f t="shared" si="1048"/>
        <v>4.24</v>
      </c>
      <c r="BO379" s="1107">
        <v>0</v>
      </c>
      <c r="BP379" s="1107">
        <v>0</v>
      </c>
      <c r="BQ379" s="1320">
        <f t="shared" si="1049"/>
        <v>26.26</v>
      </c>
      <c r="BR379" s="1107">
        <f t="shared" si="1076"/>
        <v>44.03</v>
      </c>
      <c r="BS379" s="1107">
        <f t="shared" si="1077"/>
        <v>9.7799999999999994</v>
      </c>
      <c r="BT379" s="1107">
        <f t="shared" si="1050"/>
        <v>8.48</v>
      </c>
      <c r="BU379" s="1107">
        <v>0</v>
      </c>
      <c r="BV379" s="1108">
        <f t="shared" si="1051"/>
        <v>62.29</v>
      </c>
      <c r="BW379" s="1112">
        <f t="shared" si="1052"/>
        <v>88.55</v>
      </c>
      <c r="BX379" s="1112">
        <f t="shared" si="1003"/>
        <v>795</v>
      </c>
      <c r="BY379" s="1108">
        <v>0</v>
      </c>
      <c r="BZ379" s="1108">
        <f t="shared" si="1031"/>
        <v>795</v>
      </c>
      <c r="CA379" s="1321">
        <f>'CONCEPTOS Y PARAMETROS'!$A$102</f>
        <v>6255</v>
      </c>
      <c r="CB379" s="1112">
        <f t="shared" si="1053"/>
        <v>143.07</v>
      </c>
      <c r="CC379" s="1113">
        <f t="shared" si="1054"/>
        <v>564.66999999999996</v>
      </c>
      <c r="CD379" s="512"/>
      <c r="CE379" s="512"/>
      <c r="CF379" s="470">
        <f t="shared" si="1055"/>
        <v>776.81999999999994</v>
      </c>
      <c r="CG379" s="495">
        <f t="shared" si="1056"/>
        <v>143.07</v>
      </c>
      <c r="CH379" s="498">
        <f t="shared" si="1057"/>
        <v>0</v>
      </c>
      <c r="CI379" s="1490">
        <f t="shared" si="1032"/>
        <v>310</v>
      </c>
      <c r="CJ379" s="1500">
        <v>1</v>
      </c>
      <c r="CK379" s="495">
        <f t="shared" si="1058"/>
        <v>466.82</v>
      </c>
      <c r="CL379" s="1689">
        <f t="shared" si="1059"/>
        <v>466.82</v>
      </c>
      <c r="CM379" s="1689">
        <f t="shared" si="1068"/>
        <v>0</v>
      </c>
      <c r="CN379" s="496">
        <f t="shared" si="1060"/>
        <v>0</v>
      </c>
      <c r="CO379" s="497">
        <v>0</v>
      </c>
      <c r="CP379" s="496">
        <f t="shared" si="1061"/>
        <v>97.85</v>
      </c>
      <c r="CQ379" s="496">
        <f t="shared" si="1062"/>
        <v>0</v>
      </c>
      <c r="CR379" s="496">
        <f t="shared" si="1063"/>
        <v>1031.49</v>
      </c>
      <c r="CS379" s="496">
        <f t="shared" si="1064"/>
        <v>88.55</v>
      </c>
      <c r="CT379" s="496">
        <f t="shared" si="1065"/>
        <v>6255</v>
      </c>
      <c r="CU379" s="470"/>
      <c r="CV379" s="470"/>
      <c r="CW379" s="470"/>
      <c r="CX379" s="470"/>
      <c r="CY379" s="1275" t="s">
        <v>6804</v>
      </c>
      <c r="CZ379" s="1275" t="s">
        <v>7197</v>
      </c>
      <c r="DA379" s="1152"/>
      <c r="DB379" s="1642" t="s">
        <v>6467</v>
      </c>
      <c r="DC379" s="1642"/>
      <c r="DD379" s="1642" t="s">
        <v>6135</v>
      </c>
      <c r="DE379" s="1642" t="s">
        <v>6468</v>
      </c>
      <c r="DF379" s="1642" t="s">
        <v>6469</v>
      </c>
      <c r="DG379" s="1152"/>
      <c r="DH379" s="470"/>
      <c r="DI379" s="470"/>
      <c r="DJ379" s="470"/>
      <c r="DK379" s="470"/>
      <c r="DL379" s="470"/>
      <c r="DN379" s="471" t="str">
        <f>VLOOKUP(X379,Hoja1!$A$4:$B$10,2,0)</f>
        <v>BACHILLER</v>
      </c>
      <c r="DO379" s="471" t="str">
        <f>VLOOKUP(S379,Hoja1!$D$4:$F$77,3,0)</f>
        <v>GRADO (5) - MÁX</v>
      </c>
      <c r="DP379" s="1156" t="str">
        <f t="shared" si="1066"/>
        <v>SI</v>
      </c>
      <c r="DQ379" s="1484">
        <f>IF(T379&lt;&gt;"0",(ROUND(IF(A379="EMPLEADO",eval_formula('CONCEPTOS Y PARAMETROS'!$C$8,NOMINA!V379,AU379+BF379,NOMINA!I379+NOMINA!J379),eval_formula('CONCEPTOS Y PARAMETROS'!$D$8,NOMINA!V379,AU379+BF379,NOMINA!I379+NOMINA!J379)),2))*IF(H379&lt;&gt;"",IF(MONTH(H379)=$BR$8,IF(YEAR(H379)&lt;$BT$7,1,0),0)))</f>
        <v>0</v>
      </c>
      <c r="DR379" s="1801" t="str">
        <f t="shared" si="1067"/>
        <v>M</v>
      </c>
      <c r="DS379" s="1801"/>
    </row>
    <row r="380" spans="1:123" s="522" customFormat="1" ht="21.95" customHeight="1" x14ac:dyDescent="0.25">
      <c r="A380" s="508" t="s">
        <v>2834</v>
      </c>
      <c r="B380" s="1314">
        <f t="shared" ca="1" si="1069"/>
        <v>76</v>
      </c>
      <c r="C380" s="990">
        <v>18456167</v>
      </c>
      <c r="D380" s="1275" t="s">
        <v>5033</v>
      </c>
      <c r="E380" s="1135" t="s">
        <v>4622</v>
      </c>
      <c r="F380" s="1118">
        <v>31431</v>
      </c>
      <c r="G380" s="1135" t="s">
        <v>4621</v>
      </c>
      <c r="H380" s="1118">
        <v>44516</v>
      </c>
      <c r="I380" s="1140">
        <f t="shared" si="1033"/>
        <v>3</v>
      </c>
      <c r="J380" s="1132">
        <v>0</v>
      </c>
      <c r="K380" s="1140">
        <f t="shared" si="1025"/>
        <v>3</v>
      </c>
      <c r="L380" s="1145" t="s">
        <v>5543</v>
      </c>
      <c r="M380" s="1132"/>
      <c r="N380" s="1132"/>
      <c r="O380" s="1002" t="s">
        <v>5091</v>
      </c>
      <c r="P380" s="1132" t="s">
        <v>5169</v>
      </c>
      <c r="Q380" s="1315">
        <v>2202</v>
      </c>
      <c r="R380" s="1394" t="s">
        <v>5091</v>
      </c>
      <c r="S380" s="1393">
        <v>5</v>
      </c>
      <c r="T380" s="1107">
        <f>IFERROR(VLOOKUP(S380,'TAB OBR'!A:B,2,0),0)</f>
        <v>171</v>
      </c>
      <c r="U380" s="1108">
        <v>0</v>
      </c>
      <c r="V380" s="1107">
        <f t="shared" si="1034"/>
        <v>171</v>
      </c>
      <c r="W380" s="1108">
        <f t="shared" si="1035"/>
        <v>85.5</v>
      </c>
      <c r="X380" s="1135" t="s">
        <v>2884</v>
      </c>
      <c r="Y380" s="1135" t="s">
        <v>2884</v>
      </c>
      <c r="Z380" s="1135">
        <v>2</v>
      </c>
      <c r="AA380" s="1107">
        <f>ROUND(IF(H380&lt;&gt;"",VLOOKUP(SUM(I380+J380),'CONCEPTOS Y PARAMETROS'!F:G,2,0)*V380,0),2)</f>
        <v>5.13</v>
      </c>
      <c r="AB380" s="1107">
        <f>IF(S380&lt;&gt;"",IF(M380="",'CONCEPTOS Y PARAMETROS'!$C$4,0),0)</f>
        <v>130</v>
      </c>
      <c r="AC380" s="1107">
        <f>IF(S380&lt;&gt;"",IF(M380="",'CONCEPTOS Y PARAMETROS'!$C$7*Z380,0),0)</f>
        <v>25</v>
      </c>
      <c r="AD380" s="1107">
        <f>IFERROR(ROUND(VLOOKUP($X380,'CONCEPTOS Y PARAMETROS'!H:I,2,0)*($V380+AA380+AB380+AC380),2),0)</f>
        <v>0</v>
      </c>
      <c r="AE380" s="1107">
        <f t="shared" si="1036"/>
        <v>160.13</v>
      </c>
      <c r="AF380" s="1107">
        <f t="shared" si="1037"/>
        <v>2.57</v>
      </c>
      <c r="AG380" s="1107">
        <f t="shared" si="1038"/>
        <v>2.56</v>
      </c>
      <c r="AH380" s="1107">
        <f t="shared" si="1039"/>
        <v>65</v>
      </c>
      <c r="AI380" s="1107">
        <f t="shared" si="1040"/>
        <v>65</v>
      </c>
      <c r="AJ380" s="1107">
        <f t="shared" si="1041"/>
        <v>0</v>
      </c>
      <c r="AK380" s="1107">
        <f t="shared" si="1042"/>
        <v>0</v>
      </c>
      <c r="AL380" s="1108">
        <f t="shared" si="1043"/>
        <v>92.57</v>
      </c>
      <c r="AM380" s="1108">
        <f t="shared" si="1044"/>
        <v>67.56</v>
      </c>
      <c r="AN380" s="1453">
        <v>2</v>
      </c>
      <c r="AO380" s="1147">
        <f>'CONCEPTOS Y PARAMETROS'!$C$18*AN380</f>
        <v>25</v>
      </c>
      <c r="AP380" s="990">
        <v>0</v>
      </c>
      <c r="AQ380" s="1147">
        <f>'CONCEPTOS Y PARAMETROS'!$C$21*AP380</f>
        <v>0</v>
      </c>
      <c r="AR380" s="1318">
        <v>0</v>
      </c>
      <c r="AS380" s="1318">
        <v>0</v>
      </c>
      <c r="AT380" s="1318">
        <f t="shared" si="1026"/>
        <v>25</v>
      </c>
      <c r="AU380" s="1108">
        <f t="shared" si="1027"/>
        <v>331.13</v>
      </c>
      <c r="AV380" s="1133">
        <v>0</v>
      </c>
      <c r="AW380" s="1108">
        <f t="shared" si="1028"/>
        <v>0</v>
      </c>
      <c r="AX380" s="1107">
        <f>IF(T380&lt;&gt;"0",(ROUND(IF(A380="EMPLEADO",eval_formula('CONCEPTOS Y PARAMETROS'!$C$8,NOMINA!V380,NOMINA!$AU380,NOMINA!I380+NOMINA!J380),eval_formula('CONCEPTOS Y PARAMETROS'!$D$8,NOMINA!V380,NOMINA!$AU380,NOMINA!I380+NOMINA!J380)),2))*IF(H380&lt;&gt;"",IF(MONTH(H380)=$BR$8,IF(YEAR(H380)&lt;$BT$7,1,0),0)))</f>
        <v>0</v>
      </c>
      <c r="AY380" s="1108">
        <v>180</v>
      </c>
      <c r="AZ380" s="1107">
        <f>IFERROR(VLOOKUP(AY380,'CONCEPTOS Y PARAMETROS'!Y:Z,2,0),0)</f>
        <v>150</v>
      </c>
      <c r="BA380" s="1107">
        <f t="shared" si="1045"/>
        <v>2483.48</v>
      </c>
      <c r="BB380" s="1107">
        <f t="shared" si="1046"/>
        <v>0</v>
      </c>
      <c r="BC380" s="990">
        <v>0</v>
      </c>
      <c r="BD380" s="1107" t="str">
        <f t="shared" si="1029"/>
        <v>0</v>
      </c>
      <c r="BE380" s="990">
        <v>2</v>
      </c>
      <c r="BF380" s="1107">
        <f t="shared" si="1047"/>
        <v>33.11</v>
      </c>
      <c r="BG380" s="1108">
        <v>310</v>
      </c>
      <c r="BH380" s="1108">
        <v>0</v>
      </c>
      <c r="BI380" s="1132">
        <v>0</v>
      </c>
      <c r="BJ380" s="1108">
        <f t="shared" si="1030"/>
        <v>0</v>
      </c>
      <c r="BK380" s="1108">
        <v>0</v>
      </c>
      <c r="BL380" s="1107">
        <f t="shared" si="1073"/>
        <v>15.28</v>
      </c>
      <c r="BM380" s="1107">
        <f t="shared" si="1074"/>
        <v>1.91</v>
      </c>
      <c r="BN380" s="1107">
        <f t="shared" si="1048"/>
        <v>3.31</v>
      </c>
      <c r="BO380" s="1107">
        <v>0</v>
      </c>
      <c r="BP380" s="1107">
        <v>0</v>
      </c>
      <c r="BQ380" s="1320">
        <f t="shared" si="1049"/>
        <v>20.5</v>
      </c>
      <c r="BR380" s="1107">
        <f t="shared" si="1076"/>
        <v>34.39</v>
      </c>
      <c r="BS380" s="1107">
        <f t="shared" si="1077"/>
        <v>7.64</v>
      </c>
      <c r="BT380" s="1107">
        <f t="shared" si="1050"/>
        <v>6.62</v>
      </c>
      <c r="BU380" s="1107">
        <v>0</v>
      </c>
      <c r="BV380" s="1108">
        <f t="shared" si="1051"/>
        <v>48.65</v>
      </c>
      <c r="BW380" s="1112">
        <f t="shared" si="1052"/>
        <v>69.150000000000006</v>
      </c>
      <c r="BX380" s="1112">
        <f t="shared" si="1003"/>
        <v>620.87</v>
      </c>
      <c r="BY380" s="1108">
        <v>0</v>
      </c>
      <c r="BZ380" s="1108">
        <f t="shared" si="1031"/>
        <v>620.87</v>
      </c>
      <c r="CA380" s="1321">
        <f>'CONCEPTOS Y PARAMETROS'!$A$102</f>
        <v>6255</v>
      </c>
      <c r="CB380" s="1112">
        <f t="shared" si="1053"/>
        <v>157.57</v>
      </c>
      <c r="CC380" s="1113">
        <f t="shared" si="1054"/>
        <v>521.16999999999996</v>
      </c>
      <c r="CD380" s="512"/>
      <c r="CE380" s="512"/>
      <c r="CF380" s="470">
        <f t="shared" si="1055"/>
        <v>773.06</v>
      </c>
      <c r="CG380" s="495">
        <f t="shared" si="1056"/>
        <v>157.57</v>
      </c>
      <c r="CH380" s="498">
        <f t="shared" si="1057"/>
        <v>25</v>
      </c>
      <c r="CI380" s="1490">
        <f t="shared" si="1032"/>
        <v>310</v>
      </c>
      <c r="CJ380" s="1500">
        <v>1</v>
      </c>
      <c r="CK380" s="495">
        <f t="shared" si="1058"/>
        <v>463.06</v>
      </c>
      <c r="CL380" s="1689">
        <f t="shared" si="1059"/>
        <v>463.06</v>
      </c>
      <c r="CM380" s="1689">
        <f t="shared" si="1068"/>
        <v>0</v>
      </c>
      <c r="CN380" s="496">
        <f t="shared" si="1060"/>
        <v>33.11</v>
      </c>
      <c r="CO380" s="497">
        <v>0</v>
      </c>
      <c r="CP380" s="496">
        <f t="shared" si="1061"/>
        <v>0</v>
      </c>
      <c r="CQ380" s="496">
        <f t="shared" si="1062"/>
        <v>0</v>
      </c>
      <c r="CR380" s="496">
        <f t="shared" si="1063"/>
        <v>959.23</v>
      </c>
      <c r="CS380" s="496">
        <f t="shared" si="1064"/>
        <v>69.150000000000006</v>
      </c>
      <c r="CT380" s="496">
        <f t="shared" si="1065"/>
        <v>6255</v>
      </c>
      <c r="CU380" s="470"/>
      <c r="CV380" s="470"/>
      <c r="CW380" s="470"/>
      <c r="CX380" s="470"/>
      <c r="CY380" s="1275" t="s">
        <v>6799</v>
      </c>
      <c r="CZ380" s="1275" t="s">
        <v>6996</v>
      </c>
      <c r="DA380" s="1152"/>
      <c r="DB380" s="1642" t="s">
        <v>6470</v>
      </c>
      <c r="DC380" s="1642"/>
      <c r="DD380" s="1642" t="s">
        <v>6150</v>
      </c>
      <c r="DE380" s="1642" t="s">
        <v>6345</v>
      </c>
      <c r="DF380" s="1642" t="s">
        <v>6328</v>
      </c>
      <c r="DG380" s="1642"/>
      <c r="DH380" s="470"/>
      <c r="DI380" s="470"/>
      <c r="DJ380" s="470"/>
      <c r="DK380" s="470"/>
      <c r="DL380" s="470"/>
      <c r="DM380" s="471"/>
      <c r="DN380" s="471" t="str">
        <f>VLOOKUP(X380,Hoja1!$A$4:$B$10,2,0)</f>
        <v>BACHILLER</v>
      </c>
      <c r="DO380" s="471" t="str">
        <f>VLOOKUP(S380,Hoja1!$D$4:$F$77,3,0)</f>
        <v>GRADO (5) - MÁX</v>
      </c>
      <c r="DP380" s="1156" t="str">
        <f t="shared" si="1066"/>
        <v>0</v>
      </c>
      <c r="DQ380" s="1484">
        <f>IF(T380&lt;&gt;"0",(ROUND(IF(A380="EMPLEADO",eval_formula('CONCEPTOS Y PARAMETROS'!$C$8,NOMINA!V380,AU380+BF380,NOMINA!I380+NOMINA!J380),eval_formula('CONCEPTOS Y PARAMETROS'!$D$8,NOMINA!V380,AU380+BF380,NOMINA!I380+NOMINA!J380)),2))*IF(H380&lt;&gt;"",IF(MONTH(H380)=$BR$8,IF(YEAR(H380)&lt;$BT$7,1,0),0)))</f>
        <v>0</v>
      </c>
      <c r="DR380" s="1801" t="str">
        <f t="shared" si="1067"/>
        <v>M</v>
      </c>
      <c r="DS380" s="1801"/>
    </row>
    <row r="381" spans="1:123" s="476" customFormat="1" ht="21.95" customHeight="1" x14ac:dyDescent="0.25">
      <c r="A381" s="508" t="s">
        <v>2834</v>
      </c>
      <c r="B381" s="1314">
        <f t="shared" ca="1" si="1069"/>
        <v>77</v>
      </c>
      <c r="C381" s="990">
        <v>18456576</v>
      </c>
      <c r="D381" s="1275" t="s">
        <v>4862</v>
      </c>
      <c r="E381" s="1135" t="s">
        <v>4622</v>
      </c>
      <c r="F381" s="1118">
        <v>31987</v>
      </c>
      <c r="G381" s="1135" t="s">
        <v>4621</v>
      </c>
      <c r="H381" s="1118">
        <v>44743</v>
      </c>
      <c r="I381" s="1140">
        <f t="shared" si="1033"/>
        <v>3</v>
      </c>
      <c r="J381" s="1132">
        <v>0</v>
      </c>
      <c r="K381" s="1140">
        <f t="shared" si="1025"/>
        <v>3</v>
      </c>
      <c r="L381" s="1145" t="s">
        <v>5524</v>
      </c>
      <c r="M381" s="1132"/>
      <c r="N381" s="1132"/>
      <c r="O381" s="1002" t="s">
        <v>5094</v>
      </c>
      <c r="P381" s="1132" t="s">
        <v>5408</v>
      </c>
      <c r="Q381" s="1315">
        <v>7174</v>
      </c>
      <c r="R381" s="1394" t="s">
        <v>5094</v>
      </c>
      <c r="S381" s="1393">
        <v>4</v>
      </c>
      <c r="T381" s="1107">
        <f>IFERROR(VLOOKUP(S381,'TAB OBR'!A:B,2,0),0)</f>
        <v>161</v>
      </c>
      <c r="U381" s="1108">
        <v>0</v>
      </c>
      <c r="V381" s="1107">
        <f t="shared" ref="V381" si="1079">T381-U381</f>
        <v>161</v>
      </c>
      <c r="W381" s="1108">
        <f t="shared" ref="W381" si="1080">ROUND(V381/2,2)</f>
        <v>80.5</v>
      </c>
      <c r="X381" s="1135" t="s">
        <v>2884</v>
      </c>
      <c r="Y381" s="1135" t="s">
        <v>2884</v>
      </c>
      <c r="Z381" s="1135">
        <v>2</v>
      </c>
      <c r="AA381" s="1107">
        <f>ROUND(IF(H381&lt;&gt;"",VLOOKUP(SUM(I381+J381),'CONCEPTOS Y PARAMETROS'!F:G,2,0)*V381,0),2)</f>
        <v>4.83</v>
      </c>
      <c r="AB381" s="1107">
        <f>IF(S381&lt;&gt;"",IF(M381="",'CONCEPTOS Y PARAMETROS'!$C$4,0),0)</f>
        <v>130</v>
      </c>
      <c r="AC381" s="1107">
        <f>IF(S381&lt;&gt;"",IF(M381="",'CONCEPTOS Y PARAMETROS'!$C$7*Z381,0),0)</f>
        <v>25</v>
      </c>
      <c r="AD381" s="1107">
        <f>IFERROR(ROUND(VLOOKUP($X381,'CONCEPTOS Y PARAMETROS'!H:I,2,0)*($V381+AA381+AB381+AC381),2),0)</f>
        <v>0</v>
      </c>
      <c r="AE381" s="1107">
        <f t="shared" ref="AE381" si="1081">SUM(AA381:AD381)</f>
        <v>159.83000000000001</v>
      </c>
      <c r="AF381" s="1107">
        <f t="shared" ref="AF381" si="1082">ROUND(AA381/2,2)</f>
        <v>2.42</v>
      </c>
      <c r="AG381" s="1107">
        <f t="shared" ref="AG381" si="1083">ROUND(AA381-AF381,2)</f>
        <v>2.41</v>
      </c>
      <c r="AH381" s="1107">
        <f t="shared" ref="AH381" si="1084">ROUND(AB381/2,2)</f>
        <v>65</v>
      </c>
      <c r="AI381" s="1107">
        <f t="shared" ref="AI381" si="1085">ROUND(AB381-AH381,2)</f>
        <v>65</v>
      </c>
      <c r="AJ381" s="1107">
        <f t="shared" ref="AJ381" si="1086">ROUND(AD381/2,2)</f>
        <v>0</v>
      </c>
      <c r="AK381" s="1107">
        <f t="shared" ref="AK381" si="1087">ROUND(AD381-AJ381,2)</f>
        <v>0</v>
      </c>
      <c r="AL381" s="1108">
        <f t="shared" ref="AL381" si="1088">ROUND(AF381+AH381+AJ381+AC381,2)</f>
        <v>92.42</v>
      </c>
      <c r="AM381" s="1108">
        <f t="shared" ref="AM381" si="1089">ROUND(AG381+AI381+AK381,2)</f>
        <v>67.41</v>
      </c>
      <c r="AN381" s="990">
        <v>0</v>
      </c>
      <c r="AO381" s="1147">
        <f>'CONCEPTOS Y PARAMETROS'!$C$18*AN381</f>
        <v>0</v>
      </c>
      <c r="AP381" s="990">
        <v>0</v>
      </c>
      <c r="AQ381" s="1147">
        <f>'CONCEPTOS Y PARAMETROS'!$C$21*AP381</f>
        <v>0</v>
      </c>
      <c r="AR381" s="1318">
        <v>0</v>
      </c>
      <c r="AS381" s="1318">
        <v>0</v>
      </c>
      <c r="AT381" s="1318">
        <f t="shared" ref="AT381" si="1090">+AO381+AQ381+AR381+AS381</f>
        <v>0</v>
      </c>
      <c r="AU381" s="1108">
        <f t="shared" si="1027"/>
        <v>417.08000000000004</v>
      </c>
      <c r="AV381" s="1133" t="s">
        <v>5080</v>
      </c>
      <c r="AW381" s="1108">
        <f t="shared" si="1028"/>
        <v>96.25</v>
      </c>
      <c r="AX381" s="1107">
        <f>IF(T381&lt;&gt;"0",(ROUND(IF(A381="EMPLEADO",eval_formula('CONCEPTOS Y PARAMETROS'!$C$8,NOMINA!V381,NOMINA!$AU381,NOMINA!I381+NOMINA!J381),eval_formula('CONCEPTOS Y PARAMETROS'!$D$8,NOMINA!V381,NOMINA!$AU381,NOMINA!I381+NOMINA!J381)),2))*IF(H381&lt;&gt;"",IF(MONTH(H381)=$BR$8,IF(YEAR(H381)&lt;$BT$7,1,0),0)))</f>
        <v>0</v>
      </c>
      <c r="AY381" s="1108">
        <v>180</v>
      </c>
      <c r="AZ381" s="1107">
        <f>IFERROR(VLOOKUP(AY381,'CONCEPTOS Y PARAMETROS'!Y:Z,2,0),0)</f>
        <v>150</v>
      </c>
      <c r="BA381" s="1107">
        <f t="shared" ref="BA381" si="1091">ROUND((((AU381))/30*AY381/12+(AU381))/30*AZ381,2)</f>
        <v>3128.1</v>
      </c>
      <c r="BB381" s="1107">
        <f t="shared" ref="BB381" si="1092">ROUND(AU381/30*$BB$10,2)</f>
        <v>0</v>
      </c>
      <c r="BC381" s="990">
        <v>0</v>
      </c>
      <c r="BD381" s="1107" t="str">
        <f t="shared" si="1029"/>
        <v>0</v>
      </c>
      <c r="BE381" s="990">
        <v>0</v>
      </c>
      <c r="BF381" s="1107">
        <f t="shared" si="1047"/>
        <v>0</v>
      </c>
      <c r="BG381" s="1108">
        <v>310</v>
      </c>
      <c r="BH381" s="1108">
        <v>0</v>
      </c>
      <c r="BI381" s="1132">
        <v>0</v>
      </c>
      <c r="BJ381" s="1108">
        <f t="shared" ref="BJ381" si="1093">+IF(BI381&lt;&gt;0,(BI381*12.5),0)</f>
        <v>0</v>
      </c>
      <c r="BK381" s="1108">
        <v>0</v>
      </c>
      <c r="BL381" s="1107">
        <f t="shared" si="1073"/>
        <v>19.25</v>
      </c>
      <c r="BM381" s="1107">
        <f t="shared" si="1074"/>
        <v>2.41</v>
      </c>
      <c r="BN381" s="1107">
        <f t="shared" si="1048"/>
        <v>4.17</v>
      </c>
      <c r="BO381" s="1107">
        <v>0</v>
      </c>
      <c r="BP381" s="1107">
        <v>0</v>
      </c>
      <c r="BQ381" s="1320">
        <f t="shared" ref="BQ381" si="1094">ROUND(SUM(BL381:BP381),2)</f>
        <v>25.83</v>
      </c>
      <c r="BR381" s="1107">
        <f t="shared" si="1076"/>
        <v>43.31</v>
      </c>
      <c r="BS381" s="1107">
        <f t="shared" si="1077"/>
        <v>9.6199999999999992</v>
      </c>
      <c r="BT381" s="1107">
        <f t="shared" si="1050"/>
        <v>8.34</v>
      </c>
      <c r="BU381" s="1107">
        <v>0</v>
      </c>
      <c r="BV381" s="1108">
        <f t="shared" ref="BV381" si="1095">ROUND(SUM(BR381:BT381),2)</f>
        <v>61.27</v>
      </c>
      <c r="BW381" s="1112">
        <f t="shared" ref="BW381" si="1096">BQ381+BV381</f>
        <v>87.1</v>
      </c>
      <c r="BX381" s="1112">
        <f t="shared" si="1003"/>
        <v>782.03</v>
      </c>
      <c r="BY381" s="1108">
        <v>0</v>
      </c>
      <c r="BZ381" s="1108">
        <f t="shared" ref="BZ381" si="1097">+BX381+BY381</f>
        <v>782.03</v>
      </c>
      <c r="CA381" s="1321">
        <f>'CONCEPTOS Y PARAMETROS'!$A$102</f>
        <v>6255</v>
      </c>
      <c r="CB381" s="1112">
        <f t="shared" si="1053"/>
        <v>147.09000000000003</v>
      </c>
      <c r="CC381" s="1113">
        <f t="shared" si="1054"/>
        <v>554.16</v>
      </c>
      <c r="CD381" s="512"/>
      <c r="CE381" s="512"/>
      <c r="CF381" s="470">
        <f t="shared" si="1055"/>
        <v>767.91</v>
      </c>
      <c r="CG381" s="509">
        <f t="shared" si="1056"/>
        <v>147.09000000000003</v>
      </c>
      <c r="CH381" s="1603">
        <f t="shared" si="1057"/>
        <v>0</v>
      </c>
      <c r="CI381" s="1491">
        <f t="shared" si="1032"/>
        <v>310</v>
      </c>
      <c r="CJ381" s="1502">
        <v>1</v>
      </c>
      <c r="CK381" s="509">
        <f t="shared" si="1058"/>
        <v>457.90999999999997</v>
      </c>
      <c r="CL381" s="1689">
        <f t="shared" si="1059"/>
        <v>457.91</v>
      </c>
      <c r="CM381" s="1689">
        <f t="shared" si="1068"/>
        <v>0</v>
      </c>
      <c r="CN381" s="510">
        <f t="shared" si="1060"/>
        <v>0</v>
      </c>
      <c r="CO381" s="511">
        <v>0</v>
      </c>
      <c r="CP381" s="510">
        <f t="shared" si="1061"/>
        <v>96.25</v>
      </c>
      <c r="CQ381" s="510">
        <f t="shared" si="1062"/>
        <v>0</v>
      </c>
      <c r="CR381" s="510">
        <f t="shared" si="1063"/>
        <v>1012.0699999999999</v>
      </c>
      <c r="CS381" s="510">
        <f t="shared" si="1064"/>
        <v>87.1</v>
      </c>
      <c r="CT381" s="510">
        <f t="shared" si="1065"/>
        <v>6255</v>
      </c>
      <c r="CU381" s="512"/>
      <c r="CV381" s="512"/>
      <c r="CW381" s="512"/>
      <c r="CX381" s="512"/>
      <c r="CY381" s="1275" t="s">
        <v>6942</v>
      </c>
      <c r="CZ381" s="1275" t="s">
        <v>6946</v>
      </c>
      <c r="DA381" s="1152"/>
      <c r="DB381" s="1642" t="s">
        <v>6580</v>
      </c>
      <c r="DC381" s="1642"/>
      <c r="DD381" s="1642" t="s">
        <v>6150</v>
      </c>
      <c r="DE381" s="1642" t="s">
        <v>6343</v>
      </c>
      <c r="DF381" s="1642" t="s">
        <v>6524</v>
      </c>
      <c r="DG381" s="1642"/>
      <c r="DH381" s="512"/>
      <c r="DI381" s="512"/>
      <c r="DJ381" s="512"/>
      <c r="DK381" s="512"/>
      <c r="DL381" s="512"/>
      <c r="DN381" s="476" t="str">
        <f>VLOOKUP(X381,Hoja1!$A$4:$B$10,2,0)</f>
        <v>BACHILLER</v>
      </c>
      <c r="DO381" s="476" t="str">
        <f>VLOOKUP(S381,Hoja1!$D$4:$F$77,3,0)</f>
        <v>GRADO (4) - MÁX</v>
      </c>
      <c r="DP381" s="1619" t="str">
        <f t="shared" si="1066"/>
        <v>SI</v>
      </c>
      <c r="DQ381" s="1484">
        <f>IF(T381&lt;&gt;"0",(ROUND(IF(A381="EMPLEADO",eval_formula('CONCEPTOS Y PARAMETROS'!$C$8,NOMINA!V381,AU381+BF381,NOMINA!I381+NOMINA!J381),eval_formula('CONCEPTOS Y PARAMETROS'!$D$8,NOMINA!V381,AU381+BF381,NOMINA!I381+NOMINA!J381)),2))*IF(H381&lt;&gt;"",IF(MONTH(H381)=$BR$8,IF(YEAR(H381)&lt;$BT$7,1,0),0)))</f>
        <v>0</v>
      </c>
      <c r="DR381" s="1799" t="str">
        <f t="shared" si="1067"/>
        <v>M</v>
      </c>
      <c r="DS381" s="1799"/>
    </row>
    <row r="382" spans="1:123" s="522" customFormat="1" ht="21.95" customHeight="1" x14ac:dyDescent="0.25">
      <c r="A382" s="508" t="s">
        <v>2834</v>
      </c>
      <c r="B382" s="1314">
        <f t="shared" ca="1" si="1069"/>
        <v>78</v>
      </c>
      <c r="C382" s="990">
        <v>20039961</v>
      </c>
      <c r="D382" s="1275" t="s">
        <v>5035</v>
      </c>
      <c r="E382" s="1135" t="s">
        <v>4622</v>
      </c>
      <c r="F382" s="1118">
        <v>31278</v>
      </c>
      <c r="G382" s="1135" t="s">
        <v>4620</v>
      </c>
      <c r="H382" s="1118">
        <v>38412</v>
      </c>
      <c r="I382" s="1140">
        <f t="shared" si="1033"/>
        <v>20</v>
      </c>
      <c r="J382" s="1132">
        <v>0</v>
      </c>
      <c r="K382" s="1140">
        <f t="shared" si="1025"/>
        <v>20</v>
      </c>
      <c r="L382" s="1145" t="s">
        <v>5539</v>
      </c>
      <c r="M382" s="1132"/>
      <c r="N382" s="1132"/>
      <c r="O382" s="1002" t="s">
        <v>5087</v>
      </c>
      <c r="P382" s="1132" t="s">
        <v>5170</v>
      </c>
      <c r="Q382" s="1315">
        <v>7102</v>
      </c>
      <c r="R382" s="1394" t="s">
        <v>5087</v>
      </c>
      <c r="S382" s="1393">
        <v>1</v>
      </c>
      <c r="T382" s="1107">
        <f>IFERROR(VLOOKUP(S382,'TAB OBR'!A:B,2,0),0)</f>
        <v>130</v>
      </c>
      <c r="U382" s="1108">
        <v>0</v>
      </c>
      <c r="V382" s="1107">
        <f t="shared" si="1034"/>
        <v>130</v>
      </c>
      <c r="W382" s="1108">
        <f t="shared" si="1035"/>
        <v>65</v>
      </c>
      <c r="X382" s="1135" t="s">
        <v>2884</v>
      </c>
      <c r="Y382" s="1135" t="s">
        <v>2884</v>
      </c>
      <c r="Z382" s="1135">
        <v>2</v>
      </c>
      <c r="AA382" s="1107">
        <f>ROUND(IF(H382&lt;&gt;"",VLOOKUP(SUM(I382+J382),'CONCEPTOS Y PARAMETROS'!F:G,2,0)*V382,0),2)</f>
        <v>33.799999999999997</v>
      </c>
      <c r="AB382" s="1107">
        <f>IF(S382&lt;&gt;"",IF(M382="",'CONCEPTOS Y PARAMETROS'!$C$4,0),0)</f>
        <v>130</v>
      </c>
      <c r="AC382" s="1107">
        <f>IF(S382&lt;&gt;"",IF(M382="",'CONCEPTOS Y PARAMETROS'!$C$7*Z382,0),0)</f>
        <v>25</v>
      </c>
      <c r="AD382" s="1107">
        <f>IFERROR(ROUND(VLOOKUP($X382,'CONCEPTOS Y PARAMETROS'!H:I,2,0)*($V382+AA382+AB382+AC382),2),0)</f>
        <v>0</v>
      </c>
      <c r="AE382" s="1107">
        <f t="shared" si="1036"/>
        <v>188.8</v>
      </c>
      <c r="AF382" s="1107">
        <f t="shared" si="1037"/>
        <v>16.899999999999999</v>
      </c>
      <c r="AG382" s="1107">
        <f t="shared" si="1038"/>
        <v>16.899999999999999</v>
      </c>
      <c r="AH382" s="1107">
        <f t="shared" si="1039"/>
        <v>65</v>
      </c>
      <c r="AI382" s="1107">
        <f t="shared" si="1040"/>
        <v>65</v>
      </c>
      <c r="AJ382" s="1107">
        <f t="shared" si="1041"/>
        <v>0</v>
      </c>
      <c r="AK382" s="1107">
        <f t="shared" si="1042"/>
        <v>0</v>
      </c>
      <c r="AL382" s="1108">
        <f t="shared" si="1043"/>
        <v>106.9</v>
      </c>
      <c r="AM382" s="1108">
        <f t="shared" si="1044"/>
        <v>81.900000000000006</v>
      </c>
      <c r="AN382" s="990">
        <v>0</v>
      </c>
      <c r="AO382" s="1147">
        <f>'CONCEPTOS Y PARAMETROS'!$C$18*AN382</f>
        <v>0</v>
      </c>
      <c r="AP382" s="990">
        <v>0</v>
      </c>
      <c r="AQ382" s="1147">
        <f>'CONCEPTOS Y PARAMETROS'!$C$21*AP382</f>
        <v>0</v>
      </c>
      <c r="AR382" s="1318">
        <v>0</v>
      </c>
      <c r="AS382" s="1318">
        <v>0</v>
      </c>
      <c r="AT382" s="1318">
        <f t="shared" si="1026"/>
        <v>0</v>
      </c>
      <c r="AU382" s="1108">
        <f t="shared" si="1027"/>
        <v>318.8</v>
      </c>
      <c r="AV382" s="1133">
        <v>0</v>
      </c>
      <c r="AW382" s="1108">
        <f t="shared" si="1028"/>
        <v>0</v>
      </c>
      <c r="AX382" s="1107">
        <f>IF(T382&lt;&gt;"0",(ROUND(IF(A382="EMPLEADO",eval_formula('CONCEPTOS Y PARAMETROS'!$C$8,NOMINA!V382,NOMINA!$AU382,NOMINA!I382+NOMINA!J382),eval_formula('CONCEPTOS Y PARAMETROS'!$D$8,NOMINA!V382,NOMINA!$AU382,NOMINA!I382+NOMINA!J382)),2))*IF(H382&lt;&gt;"",IF(MONTH(H382)=$BR$8,IF(YEAR(H382)&lt;$BT$7,1,0),0)))</f>
        <v>0</v>
      </c>
      <c r="AY382" s="1108">
        <v>180</v>
      </c>
      <c r="AZ382" s="1107">
        <f>IFERROR(VLOOKUP(AY382,'CONCEPTOS Y PARAMETROS'!Y:Z,2,0),0)</f>
        <v>150</v>
      </c>
      <c r="BA382" s="1107">
        <f t="shared" si="1045"/>
        <v>2391</v>
      </c>
      <c r="BB382" s="1107">
        <f t="shared" si="1046"/>
        <v>0</v>
      </c>
      <c r="BC382" s="990">
        <v>0</v>
      </c>
      <c r="BD382" s="1107" t="str">
        <f t="shared" si="1029"/>
        <v>0</v>
      </c>
      <c r="BE382" s="990">
        <v>0</v>
      </c>
      <c r="BF382" s="1107">
        <f t="shared" si="1047"/>
        <v>0</v>
      </c>
      <c r="BG382" s="1108">
        <v>310</v>
      </c>
      <c r="BH382" s="1108">
        <v>0</v>
      </c>
      <c r="BI382" s="1132">
        <v>0</v>
      </c>
      <c r="BJ382" s="1108">
        <f t="shared" si="1030"/>
        <v>0</v>
      </c>
      <c r="BK382" s="1108">
        <v>0</v>
      </c>
      <c r="BL382" s="1107">
        <f t="shared" si="1073"/>
        <v>14.71</v>
      </c>
      <c r="BM382" s="1107">
        <f t="shared" si="1074"/>
        <v>1.84</v>
      </c>
      <c r="BN382" s="1107">
        <f t="shared" si="1048"/>
        <v>3.19</v>
      </c>
      <c r="BO382" s="1107">
        <v>0</v>
      </c>
      <c r="BP382" s="1107">
        <v>0</v>
      </c>
      <c r="BQ382" s="1320">
        <f t="shared" si="1049"/>
        <v>19.739999999999998</v>
      </c>
      <c r="BR382" s="1107">
        <f t="shared" si="1076"/>
        <v>33.11</v>
      </c>
      <c r="BS382" s="1107">
        <f t="shared" si="1077"/>
        <v>7.36</v>
      </c>
      <c r="BT382" s="1107">
        <f t="shared" si="1050"/>
        <v>6.38</v>
      </c>
      <c r="BU382" s="1107">
        <v>0</v>
      </c>
      <c r="BV382" s="1108">
        <f t="shared" si="1051"/>
        <v>46.85</v>
      </c>
      <c r="BW382" s="1112">
        <f t="shared" si="1052"/>
        <v>66.59</v>
      </c>
      <c r="BX382" s="1112">
        <f t="shared" si="1003"/>
        <v>597.75</v>
      </c>
      <c r="BY382" s="1108">
        <v>0</v>
      </c>
      <c r="BZ382" s="1108">
        <f t="shared" si="1031"/>
        <v>597.75</v>
      </c>
      <c r="CA382" s="1321">
        <f>'CONCEPTOS Y PARAMETROS'!$A$102</f>
        <v>6255</v>
      </c>
      <c r="CB382" s="1112">
        <f t="shared" si="1053"/>
        <v>152.16</v>
      </c>
      <c r="CC382" s="1113">
        <f t="shared" si="1054"/>
        <v>456.9</v>
      </c>
      <c r="CD382" s="512"/>
      <c r="CE382" s="512"/>
      <c r="CF382" s="470">
        <f t="shared" si="1055"/>
        <v>766.9</v>
      </c>
      <c r="CG382" s="495">
        <f t="shared" si="1056"/>
        <v>152.16</v>
      </c>
      <c r="CH382" s="498">
        <f t="shared" si="1057"/>
        <v>0</v>
      </c>
      <c r="CI382" s="1490">
        <f t="shared" si="1032"/>
        <v>310</v>
      </c>
      <c r="CJ382" s="1500">
        <v>1</v>
      </c>
      <c r="CK382" s="495">
        <f t="shared" si="1058"/>
        <v>456.9</v>
      </c>
      <c r="CL382" s="1689">
        <f t="shared" si="1059"/>
        <v>456.9</v>
      </c>
      <c r="CM382" s="1689">
        <f t="shared" si="1068"/>
        <v>0</v>
      </c>
      <c r="CN382" s="496">
        <f t="shared" si="1060"/>
        <v>0</v>
      </c>
      <c r="CO382" s="497">
        <v>0</v>
      </c>
      <c r="CP382" s="496">
        <f t="shared" si="1061"/>
        <v>0</v>
      </c>
      <c r="CQ382" s="496">
        <f t="shared" si="1062"/>
        <v>0</v>
      </c>
      <c r="CR382" s="496">
        <f t="shared" si="1063"/>
        <v>913.8</v>
      </c>
      <c r="CS382" s="496">
        <f t="shared" si="1064"/>
        <v>66.59</v>
      </c>
      <c r="CT382" s="496">
        <f t="shared" si="1065"/>
        <v>6255</v>
      </c>
      <c r="CU382" s="470"/>
      <c r="CV382" s="470"/>
      <c r="CW382" s="470"/>
      <c r="CX382" s="470"/>
      <c r="CY382" s="1275" t="s">
        <v>6827</v>
      </c>
      <c r="CZ382" s="1275" t="s">
        <v>7113</v>
      </c>
      <c r="DA382" s="480"/>
      <c r="DB382" s="1642" t="s">
        <v>6471</v>
      </c>
      <c r="DC382" s="1642"/>
      <c r="DD382" s="1642" t="s">
        <v>6156</v>
      </c>
      <c r="DE382" s="1642" t="s">
        <v>6217</v>
      </c>
      <c r="DF382" s="1642" t="s">
        <v>6559</v>
      </c>
      <c r="DG382" s="1152"/>
      <c r="DH382" s="470"/>
      <c r="DI382" s="470"/>
      <c r="DJ382" s="470"/>
      <c r="DK382" s="470"/>
      <c r="DL382" s="470"/>
      <c r="DM382" s="471"/>
      <c r="DN382" s="471" t="str">
        <f>VLOOKUP(X382,Hoja1!$A$4:$B$10,2,0)</f>
        <v>BACHILLER</v>
      </c>
      <c r="DO382" s="471" t="str">
        <f>VLOOKUP(S382,Hoja1!$D$4:$F$77,3,0)</f>
        <v>GRADO (1) - MIN</v>
      </c>
      <c r="DP382" s="1156" t="str">
        <f t="shared" si="1066"/>
        <v>0</v>
      </c>
      <c r="DQ382" s="1484">
        <f>IF(T382&lt;&gt;"0",(ROUND(IF(A382="EMPLEADO",eval_formula('CONCEPTOS Y PARAMETROS'!$C$8,NOMINA!V382,AU382+BF382,NOMINA!I382+NOMINA!J382),eval_formula('CONCEPTOS Y PARAMETROS'!$D$8,NOMINA!V382,AU382+BF382,NOMINA!I382+NOMINA!J382)),2))*IF(H382&lt;&gt;"",IF(MONTH(H382)=$BR$8,IF(YEAR(H382)&lt;$BT$7,1,0),0)))</f>
        <v>0</v>
      </c>
      <c r="DR382" s="1801" t="str">
        <f t="shared" si="1067"/>
        <v>F</v>
      </c>
      <c r="DS382" s="1801"/>
    </row>
    <row r="383" spans="1:123" s="471" customFormat="1" ht="21.95" customHeight="1" x14ac:dyDescent="0.25">
      <c r="A383" s="508" t="s">
        <v>2834</v>
      </c>
      <c r="B383" s="1314">
        <f t="shared" ca="1" si="1069"/>
        <v>79</v>
      </c>
      <c r="C383" s="990">
        <v>20040649</v>
      </c>
      <c r="D383" s="1275" t="s">
        <v>5036</v>
      </c>
      <c r="E383" s="1135" t="s">
        <v>4622</v>
      </c>
      <c r="F383" s="1118">
        <v>32897</v>
      </c>
      <c r="G383" s="1135" t="s">
        <v>4621</v>
      </c>
      <c r="H383" s="1118">
        <v>44743</v>
      </c>
      <c r="I383" s="1140">
        <f t="shared" si="1033"/>
        <v>3</v>
      </c>
      <c r="J383" s="1132">
        <v>0</v>
      </c>
      <c r="K383" s="1140">
        <f t="shared" si="1025"/>
        <v>3</v>
      </c>
      <c r="L383" s="1145" t="s">
        <v>5544</v>
      </c>
      <c r="M383" s="1132"/>
      <c r="N383" s="1132"/>
      <c r="O383" s="1002" t="s">
        <v>5094</v>
      </c>
      <c r="P383" s="1132" t="s">
        <v>5171</v>
      </c>
      <c r="Q383" s="1315">
        <v>7174</v>
      </c>
      <c r="R383" s="1394" t="s">
        <v>5094</v>
      </c>
      <c r="S383" s="1393">
        <v>4</v>
      </c>
      <c r="T383" s="1107">
        <f>IFERROR(VLOOKUP(S383,'TAB OBR'!A:B,2,0),0)</f>
        <v>161</v>
      </c>
      <c r="U383" s="1108">
        <v>0</v>
      </c>
      <c r="V383" s="1107">
        <f t="shared" si="1034"/>
        <v>161</v>
      </c>
      <c r="W383" s="1108">
        <f t="shared" si="1035"/>
        <v>80.5</v>
      </c>
      <c r="X383" s="1135" t="s">
        <v>2884</v>
      </c>
      <c r="Y383" s="1135" t="s">
        <v>2884</v>
      </c>
      <c r="Z383" s="1135">
        <v>2</v>
      </c>
      <c r="AA383" s="1107">
        <f>ROUND(IF(H383&lt;&gt;"",VLOOKUP(SUM(I383+J383),'CONCEPTOS Y PARAMETROS'!F:G,2,0)*V383,0),2)</f>
        <v>4.83</v>
      </c>
      <c r="AB383" s="1107">
        <f>IF(S383&lt;&gt;"",IF(M383="",'CONCEPTOS Y PARAMETROS'!$C$4,0),0)</f>
        <v>130</v>
      </c>
      <c r="AC383" s="1107">
        <f>IF(S383&lt;&gt;"",IF(M383="",'CONCEPTOS Y PARAMETROS'!$C$7*Z383,0),0)</f>
        <v>25</v>
      </c>
      <c r="AD383" s="1107">
        <f>IFERROR(ROUND(VLOOKUP($X383,'CONCEPTOS Y PARAMETROS'!H:I,2,0)*($V383+AA383+AB383+AC383),2),0)</f>
        <v>0</v>
      </c>
      <c r="AE383" s="1107">
        <f t="shared" si="1036"/>
        <v>159.83000000000001</v>
      </c>
      <c r="AF383" s="1107">
        <f t="shared" si="1037"/>
        <v>2.42</v>
      </c>
      <c r="AG383" s="1107">
        <f t="shared" si="1038"/>
        <v>2.41</v>
      </c>
      <c r="AH383" s="1107">
        <f t="shared" si="1039"/>
        <v>65</v>
      </c>
      <c r="AI383" s="1107">
        <f t="shared" si="1040"/>
        <v>65</v>
      </c>
      <c r="AJ383" s="1107">
        <f t="shared" si="1041"/>
        <v>0</v>
      </c>
      <c r="AK383" s="1107">
        <f t="shared" si="1042"/>
        <v>0</v>
      </c>
      <c r="AL383" s="1108">
        <f t="shared" si="1043"/>
        <v>92.42</v>
      </c>
      <c r="AM383" s="1108">
        <f t="shared" si="1044"/>
        <v>67.41</v>
      </c>
      <c r="AN383" s="990">
        <v>0</v>
      </c>
      <c r="AO383" s="1147">
        <f>'CONCEPTOS Y PARAMETROS'!$C$18*AN383</f>
        <v>0</v>
      </c>
      <c r="AP383" s="990">
        <v>0</v>
      </c>
      <c r="AQ383" s="1147">
        <f>'CONCEPTOS Y PARAMETROS'!$C$21*AP383</f>
        <v>0</v>
      </c>
      <c r="AR383" s="1318">
        <v>0</v>
      </c>
      <c r="AS383" s="1318">
        <v>0</v>
      </c>
      <c r="AT383" s="1318">
        <f t="shared" si="1026"/>
        <v>0</v>
      </c>
      <c r="AU383" s="1108">
        <f t="shared" si="1027"/>
        <v>417.08000000000004</v>
      </c>
      <c r="AV383" s="1133" t="s">
        <v>5080</v>
      </c>
      <c r="AW383" s="1108">
        <f t="shared" si="1028"/>
        <v>96.25</v>
      </c>
      <c r="AX383" s="1107">
        <f>IF(T383&lt;&gt;"0",(ROUND(IF(A383="EMPLEADO",eval_formula('CONCEPTOS Y PARAMETROS'!$C$8,NOMINA!V383,NOMINA!$AU383,NOMINA!I383+NOMINA!J383),eval_formula('CONCEPTOS Y PARAMETROS'!$D$8,NOMINA!V383,NOMINA!$AU383,NOMINA!I383+NOMINA!J383)),2))*IF(H383&lt;&gt;"",IF(MONTH(H383)=$BR$8,IF(YEAR(H383)&lt;$BT$7,1,0),0)))</f>
        <v>0</v>
      </c>
      <c r="AY383" s="1108">
        <v>180</v>
      </c>
      <c r="AZ383" s="1107">
        <f>IFERROR(VLOOKUP(AY383,'CONCEPTOS Y PARAMETROS'!Y:Z,2,0),0)</f>
        <v>150</v>
      </c>
      <c r="BA383" s="1107">
        <f t="shared" si="1045"/>
        <v>3128.1</v>
      </c>
      <c r="BB383" s="1107">
        <f t="shared" si="1046"/>
        <v>0</v>
      </c>
      <c r="BC383" s="990">
        <v>0</v>
      </c>
      <c r="BD383" s="1107" t="str">
        <f t="shared" si="1029"/>
        <v>0</v>
      </c>
      <c r="BE383" s="990">
        <v>2</v>
      </c>
      <c r="BF383" s="1107">
        <f t="shared" si="1047"/>
        <v>41.71</v>
      </c>
      <c r="BG383" s="1108">
        <v>310</v>
      </c>
      <c r="BH383" s="1108">
        <v>0</v>
      </c>
      <c r="BI383" s="1132">
        <v>0</v>
      </c>
      <c r="BJ383" s="1108">
        <f t="shared" si="1030"/>
        <v>0</v>
      </c>
      <c r="BK383" s="1108">
        <v>0</v>
      </c>
      <c r="BL383" s="1107">
        <f t="shared" si="1073"/>
        <v>19.25</v>
      </c>
      <c r="BM383" s="1107">
        <f t="shared" si="1074"/>
        <v>2.41</v>
      </c>
      <c r="BN383" s="1107">
        <f t="shared" si="1048"/>
        <v>4.17</v>
      </c>
      <c r="BO383" s="1107">
        <v>0</v>
      </c>
      <c r="BP383" s="1107">
        <v>0</v>
      </c>
      <c r="BQ383" s="1320">
        <f t="shared" si="1049"/>
        <v>25.83</v>
      </c>
      <c r="BR383" s="1107">
        <f t="shared" si="1076"/>
        <v>43.31</v>
      </c>
      <c r="BS383" s="1107">
        <f t="shared" si="1077"/>
        <v>9.6199999999999992</v>
      </c>
      <c r="BT383" s="1107">
        <f t="shared" si="1050"/>
        <v>8.34</v>
      </c>
      <c r="BU383" s="1107">
        <v>0</v>
      </c>
      <c r="BV383" s="1108">
        <f t="shared" si="1051"/>
        <v>61.27</v>
      </c>
      <c r="BW383" s="1112">
        <f t="shared" si="1052"/>
        <v>87.1</v>
      </c>
      <c r="BX383" s="1112">
        <f t="shared" si="1003"/>
        <v>782.03</v>
      </c>
      <c r="BY383" s="1108">
        <v>0</v>
      </c>
      <c r="BZ383" s="1108">
        <f t="shared" si="1031"/>
        <v>782.03</v>
      </c>
      <c r="CA383" s="1321">
        <f>'CONCEPTOS Y PARAMETROS'!$A$102</f>
        <v>6255</v>
      </c>
      <c r="CB383" s="1112">
        <f t="shared" si="1053"/>
        <v>147.09000000000003</v>
      </c>
      <c r="CC383" s="1113">
        <f t="shared" si="1054"/>
        <v>595.87</v>
      </c>
      <c r="CD383" s="512"/>
      <c r="CE383" s="512"/>
      <c r="CF383" s="470">
        <f t="shared" si="1055"/>
        <v>767.91</v>
      </c>
      <c r="CG383" s="495">
        <f t="shared" si="1056"/>
        <v>147.09000000000003</v>
      </c>
      <c r="CH383" s="498">
        <f t="shared" si="1057"/>
        <v>0</v>
      </c>
      <c r="CI383" s="1490">
        <f t="shared" si="1032"/>
        <v>310</v>
      </c>
      <c r="CJ383" s="1500">
        <v>1</v>
      </c>
      <c r="CK383" s="495">
        <f t="shared" si="1058"/>
        <v>457.90999999999997</v>
      </c>
      <c r="CL383" s="1689">
        <f t="shared" si="1059"/>
        <v>457.91</v>
      </c>
      <c r="CM383" s="1689">
        <f t="shared" si="1068"/>
        <v>0</v>
      </c>
      <c r="CN383" s="496">
        <f t="shared" si="1060"/>
        <v>41.71</v>
      </c>
      <c r="CO383" s="497">
        <v>0</v>
      </c>
      <c r="CP383" s="496">
        <f t="shared" si="1061"/>
        <v>96.25</v>
      </c>
      <c r="CQ383" s="496">
        <f t="shared" si="1062"/>
        <v>0</v>
      </c>
      <c r="CR383" s="496">
        <f t="shared" si="1063"/>
        <v>1053.78</v>
      </c>
      <c r="CS383" s="496">
        <f t="shared" si="1064"/>
        <v>87.1</v>
      </c>
      <c r="CT383" s="496">
        <f t="shared" si="1065"/>
        <v>6255</v>
      </c>
      <c r="CU383" s="470"/>
      <c r="CV383" s="470"/>
      <c r="CW383" s="470"/>
      <c r="CX383" s="470"/>
      <c r="CY383" s="1275" t="s">
        <v>7198</v>
      </c>
      <c r="CZ383" s="1275" t="s">
        <v>6813</v>
      </c>
      <c r="DA383" s="480"/>
      <c r="DB383" s="1642" t="s">
        <v>6472</v>
      </c>
      <c r="DC383" s="1642"/>
      <c r="DD383" s="1642" t="s">
        <v>6133</v>
      </c>
      <c r="DE383" s="1642" t="s">
        <v>6133</v>
      </c>
      <c r="DF383" s="1642" t="s">
        <v>6496</v>
      </c>
      <c r="DG383" s="1152"/>
      <c r="DH383" s="470"/>
      <c r="DI383" s="470"/>
      <c r="DJ383" s="470"/>
      <c r="DK383" s="470"/>
      <c r="DL383" s="470"/>
      <c r="DN383" s="471" t="str">
        <f>VLOOKUP(X383,Hoja1!$A$4:$B$10,2,0)</f>
        <v>BACHILLER</v>
      </c>
      <c r="DO383" s="471" t="str">
        <f>VLOOKUP(S383,Hoja1!$D$4:$F$77,3,0)</f>
        <v>GRADO (4) - MÁX</v>
      </c>
      <c r="DP383" s="1156" t="str">
        <f t="shared" si="1066"/>
        <v>SI</v>
      </c>
      <c r="DQ383" s="1484">
        <f>IF(T383&lt;&gt;"0",(ROUND(IF(A383="EMPLEADO",eval_formula('CONCEPTOS Y PARAMETROS'!$C$8,NOMINA!V383,AU383+BF383,NOMINA!I383+NOMINA!J383),eval_formula('CONCEPTOS Y PARAMETROS'!$D$8,NOMINA!V383,AU383+BF383,NOMINA!I383+NOMINA!J383)),2))*IF(H383&lt;&gt;"",IF(MONTH(H383)=$BR$8,IF(YEAR(H383)&lt;$BT$7,1,0),0)))</f>
        <v>0</v>
      </c>
      <c r="DR383" s="1801" t="str">
        <f t="shared" si="1067"/>
        <v>M</v>
      </c>
      <c r="DS383" s="1801"/>
    </row>
    <row r="384" spans="1:123" s="476" customFormat="1" ht="19.5" customHeight="1" x14ac:dyDescent="0.25">
      <c r="A384" s="508" t="s">
        <v>2834</v>
      </c>
      <c r="B384" s="1314">
        <f t="shared" ca="1" si="1069"/>
        <v>80</v>
      </c>
      <c r="C384" s="990">
        <v>20788036</v>
      </c>
      <c r="D384" s="1275" t="s">
        <v>7361</v>
      </c>
      <c r="E384" s="1135" t="s">
        <v>4622</v>
      </c>
      <c r="F384" s="1118">
        <v>32383</v>
      </c>
      <c r="G384" s="1135" t="s">
        <v>4621</v>
      </c>
      <c r="H384" s="1118">
        <v>45778</v>
      </c>
      <c r="I384" s="1140">
        <f t="shared" si="1033"/>
        <v>0</v>
      </c>
      <c r="J384" s="1132">
        <v>0</v>
      </c>
      <c r="K384" s="1140">
        <f t="shared" ref="K384" si="1098">I384+J384</f>
        <v>0</v>
      </c>
      <c r="L384" s="1145" t="s">
        <v>5530</v>
      </c>
      <c r="M384" s="1132"/>
      <c r="N384" s="1132"/>
      <c r="O384" s="1002" t="s">
        <v>5093</v>
      </c>
      <c r="P384" s="1151" t="s">
        <v>7366</v>
      </c>
      <c r="Q384" s="1315">
        <v>7174</v>
      </c>
      <c r="R384" s="1394" t="s">
        <v>5093</v>
      </c>
      <c r="S384" s="1393">
        <v>5</v>
      </c>
      <c r="T384" s="1107">
        <f>IFERROR(VLOOKUP(S384,'TAB OBR'!A:B,2,0),0)</f>
        <v>171</v>
      </c>
      <c r="U384" s="1108">
        <v>0</v>
      </c>
      <c r="V384" s="1107">
        <f t="shared" ref="V384" si="1099">T384-U384</f>
        <v>171</v>
      </c>
      <c r="W384" s="1108">
        <f t="shared" ref="W384" si="1100">ROUND(V384/2,2)</f>
        <v>85.5</v>
      </c>
      <c r="X384" s="1135" t="s">
        <v>2884</v>
      </c>
      <c r="Y384" s="1135" t="s">
        <v>2884</v>
      </c>
      <c r="Z384" s="1135">
        <v>2</v>
      </c>
      <c r="AA384" s="1107">
        <f>ROUND(IF(H384&lt;&gt;"",VLOOKUP(SUM(I384+J384),'CONCEPTOS Y PARAMETROS'!F:G,2,0)*V384,0),2)</f>
        <v>0</v>
      </c>
      <c r="AB384" s="1107">
        <f>IF(S384&lt;&gt;"",IF(M384="",'CONCEPTOS Y PARAMETROS'!$C$4,0),0)</f>
        <v>130</v>
      </c>
      <c r="AC384" s="1107">
        <f>IF(S384&lt;&gt;"",IF(M384="",'CONCEPTOS Y PARAMETROS'!$C$7*Z384,0),0)</f>
        <v>25</v>
      </c>
      <c r="AD384" s="1107">
        <f>IFERROR(ROUND(VLOOKUP($X384,'CONCEPTOS Y PARAMETROS'!H:I,2,0)*($V384+AA384+AB384+AC384),2),0)</f>
        <v>0</v>
      </c>
      <c r="AE384" s="1107">
        <f t="shared" ref="AE384" si="1101">SUM(AA384:AD384)</f>
        <v>155</v>
      </c>
      <c r="AF384" s="1107">
        <f t="shared" ref="AF384" si="1102">ROUND(AA384/2,2)</f>
        <v>0</v>
      </c>
      <c r="AG384" s="1107">
        <f t="shared" ref="AG384" si="1103">ROUND(AA384-AF384,2)</f>
        <v>0</v>
      </c>
      <c r="AH384" s="1107">
        <f t="shared" ref="AH384" si="1104">ROUND(AB384/2,2)</f>
        <v>65</v>
      </c>
      <c r="AI384" s="1107">
        <f t="shared" ref="AI384" si="1105">ROUND(AB384-AH384,2)</f>
        <v>65</v>
      </c>
      <c r="AJ384" s="1107">
        <f t="shared" ref="AJ384" si="1106">ROUND(AD384/2,2)</f>
        <v>0</v>
      </c>
      <c r="AK384" s="1107">
        <f t="shared" ref="AK384" si="1107">ROUND(AD384-AJ384,2)</f>
        <v>0</v>
      </c>
      <c r="AL384" s="1108">
        <f t="shared" ref="AL384" si="1108">ROUND(AF384+AH384+AJ384+AC384,2)</f>
        <v>90</v>
      </c>
      <c r="AM384" s="1108">
        <f t="shared" ref="AM384" si="1109">ROUND(AG384+AI384+AK384,2)</f>
        <v>65</v>
      </c>
      <c r="AN384" s="990">
        <v>0</v>
      </c>
      <c r="AO384" s="1147">
        <f>'CONCEPTOS Y PARAMETROS'!$C$18*AN384</f>
        <v>0</v>
      </c>
      <c r="AP384" s="990">
        <v>0</v>
      </c>
      <c r="AQ384" s="1147">
        <f>'CONCEPTOS Y PARAMETROS'!$C$21*AP384</f>
        <v>0</v>
      </c>
      <c r="AR384" s="1318">
        <v>0</v>
      </c>
      <c r="AS384" s="1318">
        <v>0</v>
      </c>
      <c r="AT384" s="1318">
        <f t="shared" ref="AT384" si="1110">+AO384+AQ384+AR384+AS384</f>
        <v>0</v>
      </c>
      <c r="AU384" s="1108">
        <f t="shared" ref="AU384" si="1111">V384+AE384+AW384</f>
        <v>326</v>
      </c>
      <c r="AV384" s="1133">
        <v>0</v>
      </c>
      <c r="AW384" s="1108">
        <f t="shared" ref="AW384" si="1112">ROUND(IF(AV384="NOCTURN",(V384+AE384)*30%,0),2)</f>
        <v>0</v>
      </c>
      <c r="AX384" s="1107">
        <f>IF(T384&lt;&gt;"0",(ROUND(IF(A384="EMPLEADO",eval_formula('CONCEPTOS Y PARAMETROS'!$C$8,NOMINA!V384,NOMINA!$AU384,NOMINA!I384+NOMINA!J384),eval_formula('CONCEPTOS Y PARAMETROS'!$D$8,NOMINA!V384,NOMINA!$AU384,NOMINA!I384+NOMINA!J384)),2))*IF(H384&lt;&gt;"",IF(MONTH(H384)=$BR$8,IF(YEAR(H384)&lt;$BT$7,1,0),0)))</f>
        <v>0</v>
      </c>
      <c r="AY384" s="1108">
        <v>180</v>
      </c>
      <c r="AZ384" s="1107">
        <f>IFERROR(VLOOKUP(AY384,'CONCEPTOS Y PARAMETROS'!Y:Z,2,0),0)</f>
        <v>150</v>
      </c>
      <c r="BA384" s="1107">
        <f t="shared" ref="BA384" si="1113">ROUND((((AU384))/30*AY384/12+(AU384))/30*AZ384,2)</f>
        <v>2445</v>
      </c>
      <c r="BB384" s="1107">
        <f t="shared" ref="BB384" si="1114">ROUND(AU384/30*$BB$10,2)</f>
        <v>0</v>
      </c>
      <c r="BC384" s="990">
        <v>0</v>
      </c>
      <c r="BD384" s="1107" t="str">
        <f t="shared" ref="BD384" si="1115">IF(BC384&gt;0,((((((V384+AA384+AB384+AC384+AD384)/30)/8)*50%)+((((V384+AA384+AB384+AC384+AD384)/30)/8)))*30%+(((((V384+AA384+AB384+AC384+AD384)/30)/8)*50%)+((((V384+AA384+AB384+AC384+AD384)/30)/8))))*BC384,"0")</f>
        <v>0</v>
      </c>
      <c r="BE384" s="990">
        <v>0</v>
      </c>
      <c r="BF384" s="1107">
        <f t="shared" si="1047"/>
        <v>0</v>
      </c>
      <c r="BG384" s="1108">
        <v>310</v>
      </c>
      <c r="BH384" s="1108">
        <v>0</v>
      </c>
      <c r="BI384" s="1132">
        <v>0</v>
      </c>
      <c r="BJ384" s="1108">
        <f t="shared" ref="BJ384" si="1116">+IF(BI384&lt;&gt;0,(BI384*12.5),0)</f>
        <v>0</v>
      </c>
      <c r="BK384" s="1108">
        <v>0</v>
      </c>
      <c r="BL384" s="1107">
        <f t="shared" si="1073"/>
        <v>15.05</v>
      </c>
      <c r="BM384" s="1107">
        <f t="shared" si="1074"/>
        <v>1.88</v>
      </c>
      <c r="BN384" s="1107">
        <f t="shared" si="1048"/>
        <v>3.26</v>
      </c>
      <c r="BO384" s="1107">
        <v>0</v>
      </c>
      <c r="BP384" s="1107">
        <v>0</v>
      </c>
      <c r="BQ384" s="1320">
        <f t="shared" ref="BQ384" si="1117">ROUND(SUM(BL384:BP384),2)</f>
        <v>20.190000000000001</v>
      </c>
      <c r="BR384" s="1107">
        <f t="shared" si="1076"/>
        <v>33.85</v>
      </c>
      <c r="BS384" s="1107">
        <f t="shared" si="1077"/>
        <v>7.52</v>
      </c>
      <c r="BT384" s="1107">
        <f t="shared" si="1050"/>
        <v>6.52</v>
      </c>
      <c r="BU384" s="1107">
        <v>0</v>
      </c>
      <c r="BV384" s="1108">
        <f t="shared" ref="BV384" si="1118">ROUND(SUM(BR384:BT384),2)</f>
        <v>47.89</v>
      </c>
      <c r="BW384" s="1112">
        <f t="shared" ref="BW384" si="1119">BQ384+BV384</f>
        <v>68.08</v>
      </c>
      <c r="BX384" s="1112">
        <f t="shared" si="1003"/>
        <v>611.25</v>
      </c>
      <c r="BY384" s="1108">
        <v>0</v>
      </c>
      <c r="BZ384" s="1108">
        <f t="shared" ref="BZ384" si="1120">+BX384+BY384</f>
        <v>611.25</v>
      </c>
      <c r="CA384" s="1321">
        <f>'CONCEPTOS Y PARAMETROS'!$A$102</f>
        <v>6255</v>
      </c>
      <c r="CB384" s="1112">
        <f t="shared" si="1053"/>
        <v>155.31</v>
      </c>
      <c r="CC384" s="1113">
        <f t="shared" si="1054"/>
        <v>460.5</v>
      </c>
      <c r="CD384" s="512"/>
      <c r="CE384" s="512"/>
      <c r="CF384" s="512">
        <f t="shared" si="1055"/>
        <v>770.5</v>
      </c>
      <c r="CG384" s="509">
        <f t="shared" si="1056"/>
        <v>155.31</v>
      </c>
      <c r="CH384" s="1603">
        <f t="shared" si="1057"/>
        <v>0</v>
      </c>
      <c r="CI384" s="1491">
        <f t="shared" ref="CI384" si="1121">BG384</f>
        <v>310</v>
      </c>
      <c r="CJ384" s="1502">
        <v>1</v>
      </c>
      <c r="CK384" s="509">
        <f t="shared" si="1058"/>
        <v>460.5</v>
      </c>
      <c r="CL384" s="1689">
        <f t="shared" si="1059"/>
        <v>460.5</v>
      </c>
      <c r="CM384" s="1689">
        <f t="shared" si="1068"/>
        <v>0</v>
      </c>
      <c r="CN384" s="510">
        <f t="shared" si="1060"/>
        <v>0</v>
      </c>
      <c r="CO384" s="511">
        <v>0</v>
      </c>
      <c r="CP384" s="510">
        <f t="shared" si="1061"/>
        <v>0</v>
      </c>
      <c r="CQ384" s="510">
        <f t="shared" si="1062"/>
        <v>0</v>
      </c>
      <c r="CR384" s="510">
        <f t="shared" si="1063"/>
        <v>921</v>
      </c>
      <c r="CS384" s="510">
        <f t="shared" si="1064"/>
        <v>68.08</v>
      </c>
      <c r="CT384" s="510">
        <f t="shared" si="1065"/>
        <v>6255</v>
      </c>
      <c r="CU384" s="512"/>
      <c r="CV384" s="512"/>
      <c r="CW384" s="512"/>
      <c r="CX384" s="512"/>
      <c r="CY384" s="1275" t="s">
        <v>7362</v>
      </c>
      <c r="CZ384" s="1275" t="s">
        <v>7363</v>
      </c>
      <c r="DA384" s="1152"/>
      <c r="DB384" s="1659" t="s">
        <v>7365</v>
      </c>
      <c r="DC384" s="1659"/>
      <c r="DD384" s="1152"/>
      <c r="DE384" s="1152"/>
      <c r="DF384" s="1152" t="s">
        <v>7364</v>
      </c>
      <c r="DG384" s="1152"/>
      <c r="DH384" s="512"/>
      <c r="DI384" s="512"/>
      <c r="DJ384" s="512"/>
      <c r="DK384" s="512"/>
      <c r="DL384" s="512"/>
      <c r="DN384" s="476" t="str">
        <f>VLOOKUP(X384,Hoja1!$A$4:$B$10,2,0)</f>
        <v>BACHILLER</v>
      </c>
      <c r="DO384" s="476" t="str">
        <f>VLOOKUP(S384,Hoja1!$D$4:$F$77,3,0)</f>
        <v>GRADO (5) - MÁX</v>
      </c>
      <c r="DP384" s="1655" t="str">
        <f t="shared" si="1066"/>
        <v>0</v>
      </c>
      <c r="DQ384" s="1484">
        <f>IF(T384&lt;&gt;"0",(ROUND(IF(A384="EMPLEADO",eval_formula('CONCEPTOS Y PARAMETROS'!$C$8,NOMINA!V384,AU384+BF384,NOMINA!I384+NOMINA!J384),eval_formula('CONCEPTOS Y PARAMETROS'!$D$8,NOMINA!V384,AU384+BF384,NOMINA!I384+NOMINA!J384)),2))*IF(H384&lt;&gt;"",IF(MONTH(H384)=$BR$8,IF(YEAR(H384)&lt;$BT$7,1,0),0)))</f>
        <v>0</v>
      </c>
      <c r="DR384" s="1799" t="str">
        <f t="shared" si="1067"/>
        <v>M</v>
      </c>
      <c r="DS384" s="1799"/>
    </row>
    <row r="385" spans="1:123" s="471" customFormat="1" ht="21.95" customHeight="1" x14ac:dyDescent="0.25">
      <c r="A385" s="508" t="s">
        <v>2834</v>
      </c>
      <c r="B385" s="1314">
        <f t="shared" ca="1" si="1069"/>
        <v>81</v>
      </c>
      <c r="C385" s="990">
        <v>21366579</v>
      </c>
      <c r="D385" s="1275" t="s">
        <v>5037</v>
      </c>
      <c r="E385" s="1135" t="s">
        <v>4622</v>
      </c>
      <c r="F385" s="1118">
        <v>33948</v>
      </c>
      <c r="G385" s="1135" t="s">
        <v>4621</v>
      </c>
      <c r="H385" s="1118">
        <v>44774</v>
      </c>
      <c r="I385" s="1140">
        <f t="shared" si="1033"/>
        <v>3</v>
      </c>
      <c r="J385" s="1132">
        <v>0</v>
      </c>
      <c r="K385" s="1140">
        <f t="shared" si="1025"/>
        <v>3</v>
      </c>
      <c r="L385" s="1145" t="s">
        <v>5544</v>
      </c>
      <c r="M385" s="1132"/>
      <c r="N385" s="1132"/>
      <c r="O385" s="1002" t="s">
        <v>5086</v>
      </c>
      <c r="P385" s="1132" t="s">
        <v>5172</v>
      </c>
      <c r="Q385" s="1315">
        <v>7129</v>
      </c>
      <c r="R385" s="1394" t="s">
        <v>5086</v>
      </c>
      <c r="S385" s="1393">
        <v>2</v>
      </c>
      <c r="T385" s="1107">
        <f>IFERROR(VLOOKUP(S385,'TAB OBR'!A:B,2,0),0)</f>
        <v>142</v>
      </c>
      <c r="U385" s="1108">
        <v>0</v>
      </c>
      <c r="V385" s="1107">
        <f t="shared" si="1034"/>
        <v>142</v>
      </c>
      <c r="W385" s="1108">
        <f t="shared" si="1035"/>
        <v>71</v>
      </c>
      <c r="X385" s="1135" t="s">
        <v>2884</v>
      </c>
      <c r="Y385" s="1135" t="s">
        <v>2884</v>
      </c>
      <c r="Z385" s="1135">
        <v>1</v>
      </c>
      <c r="AA385" s="1107">
        <f>ROUND(IF(H385&lt;&gt;"",VLOOKUP(SUM(I385+J385),'CONCEPTOS Y PARAMETROS'!F:G,2,0)*V385,0),2)</f>
        <v>4.26</v>
      </c>
      <c r="AB385" s="1107">
        <f>IF(S385&lt;&gt;"",IF(M385="",'CONCEPTOS Y PARAMETROS'!$C$4,0),0)</f>
        <v>130</v>
      </c>
      <c r="AC385" s="1107">
        <f>IF(S385&lt;&gt;"",IF(M385="",'CONCEPTOS Y PARAMETROS'!$C$7*Z385,0),0)</f>
        <v>12.5</v>
      </c>
      <c r="AD385" s="1107">
        <f>IFERROR(ROUND(VLOOKUP($X385,'CONCEPTOS Y PARAMETROS'!H:I,2,0)*($V385+AA385+AB385+AC385),2),0)</f>
        <v>0</v>
      </c>
      <c r="AE385" s="1107">
        <f t="shared" si="1036"/>
        <v>146.76</v>
      </c>
      <c r="AF385" s="1107">
        <f t="shared" si="1037"/>
        <v>2.13</v>
      </c>
      <c r="AG385" s="1107">
        <f t="shared" si="1038"/>
        <v>2.13</v>
      </c>
      <c r="AH385" s="1107">
        <f t="shared" si="1039"/>
        <v>65</v>
      </c>
      <c r="AI385" s="1107">
        <f t="shared" si="1040"/>
        <v>65</v>
      </c>
      <c r="AJ385" s="1107">
        <f t="shared" si="1041"/>
        <v>0</v>
      </c>
      <c r="AK385" s="1107">
        <f t="shared" si="1042"/>
        <v>0</v>
      </c>
      <c r="AL385" s="1108">
        <f t="shared" si="1043"/>
        <v>79.63</v>
      </c>
      <c r="AM385" s="1108">
        <f t="shared" si="1044"/>
        <v>67.13</v>
      </c>
      <c r="AN385" s="1453">
        <v>1</v>
      </c>
      <c r="AO385" s="1147">
        <f>'CONCEPTOS Y PARAMETROS'!$C$18*AN385</f>
        <v>12.5</v>
      </c>
      <c r="AP385" s="990">
        <v>0</v>
      </c>
      <c r="AQ385" s="1147">
        <f>'CONCEPTOS Y PARAMETROS'!$C$21*AP385</f>
        <v>0</v>
      </c>
      <c r="AR385" s="1318">
        <v>0</v>
      </c>
      <c r="AS385" s="1318">
        <v>0</v>
      </c>
      <c r="AT385" s="1318">
        <f t="shared" si="1026"/>
        <v>12.5</v>
      </c>
      <c r="AU385" s="1108">
        <f t="shared" si="1027"/>
        <v>288.76</v>
      </c>
      <c r="AV385" s="1133">
        <v>0</v>
      </c>
      <c r="AW385" s="1108">
        <f t="shared" si="1028"/>
        <v>0</v>
      </c>
      <c r="AX385" s="1107">
        <f>IF(T385&lt;&gt;"0",(ROUND(IF(A385="EMPLEADO",eval_formula('CONCEPTOS Y PARAMETROS'!$C$8,NOMINA!V385,NOMINA!$AU385,NOMINA!I385+NOMINA!J385),eval_formula('CONCEPTOS Y PARAMETROS'!$D$8,NOMINA!V385,NOMINA!$AU385,NOMINA!I385+NOMINA!J385)),2))*IF(H385&lt;&gt;"",IF(MONTH(H385)=$BR$8,IF(YEAR(H385)&lt;$BT$7,1,0),0)))</f>
        <v>0</v>
      </c>
      <c r="AY385" s="1108">
        <v>180</v>
      </c>
      <c r="AZ385" s="1107">
        <f>IFERROR(VLOOKUP(AY385,'CONCEPTOS Y PARAMETROS'!Y:Z,2,0),0)</f>
        <v>150</v>
      </c>
      <c r="BA385" s="1107">
        <f t="shared" si="1045"/>
        <v>2165.6999999999998</v>
      </c>
      <c r="BB385" s="1107">
        <f t="shared" si="1046"/>
        <v>0</v>
      </c>
      <c r="BC385" s="990">
        <v>0</v>
      </c>
      <c r="BD385" s="1107" t="str">
        <f t="shared" si="1029"/>
        <v>0</v>
      </c>
      <c r="BE385" s="990">
        <v>1</v>
      </c>
      <c r="BF385" s="1107">
        <f t="shared" si="1047"/>
        <v>14.44</v>
      </c>
      <c r="BG385" s="1108">
        <v>310</v>
      </c>
      <c r="BH385" s="1108">
        <v>0</v>
      </c>
      <c r="BI385" s="1132">
        <v>0</v>
      </c>
      <c r="BJ385" s="1108">
        <f t="shared" si="1030"/>
        <v>0</v>
      </c>
      <c r="BK385" s="1108">
        <v>0</v>
      </c>
      <c r="BL385" s="1107">
        <f t="shared" si="1073"/>
        <v>13.33</v>
      </c>
      <c r="BM385" s="1107">
        <f t="shared" si="1074"/>
        <v>1.67</v>
      </c>
      <c r="BN385" s="1107">
        <f t="shared" si="1048"/>
        <v>2.89</v>
      </c>
      <c r="BO385" s="1107">
        <v>0</v>
      </c>
      <c r="BP385" s="1107">
        <v>0</v>
      </c>
      <c r="BQ385" s="1320">
        <f t="shared" si="1049"/>
        <v>17.89</v>
      </c>
      <c r="BR385" s="1107">
        <f t="shared" si="1076"/>
        <v>29.99</v>
      </c>
      <c r="BS385" s="1107">
        <f t="shared" si="1077"/>
        <v>6.66</v>
      </c>
      <c r="BT385" s="1107">
        <f t="shared" si="1050"/>
        <v>5.78</v>
      </c>
      <c r="BU385" s="1107">
        <v>0</v>
      </c>
      <c r="BV385" s="1108">
        <f t="shared" si="1051"/>
        <v>42.43</v>
      </c>
      <c r="BW385" s="1112">
        <f t="shared" si="1052"/>
        <v>60.32</v>
      </c>
      <c r="BX385" s="1112">
        <f t="shared" si="1003"/>
        <v>541.42999999999995</v>
      </c>
      <c r="BY385" s="1108">
        <v>0</v>
      </c>
      <c r="BZ385" s="1108">
        <f t="shared" si="1031"/>
        <v>541.42999999999995</v>
      </c>
      <c r="CA385" s="1321">
        <f>'CONCEPTOS Y PARAMETROS'!$A$102</f>
        <v>6255</v>
      </c>
      <c r="CB385" s="1112">
        <f t="shared" si="1053"/>
        <v>132.74</v>
      </c>
      <c r="CC385" s="1113">
        <f t="shared" si="1054"/>
        <v>475.07</v>
      </c>
      <c r="CD385" s="512"/>
      <c r="CE385" s="512"/>
      <c r="CF385" s="470">
        <f t="shared" si="1055"/>
        <v>758.13</v>
      </c>
      <c r="CG385" s="495">
        <f t="shared" si="1056"/>
        <v>132.74</v>
      </c>
      <c r="CH385" s="498">
        <f t="shared" si="1057"/>
        <v>12.5</v>
      </c>
      <c r="CI385" s="1490">
        <f t="shared" si="1032"/>
        <v>310</v>
      </c>
      <c r="CJ385" s="1500">
        <v>1</v>
      </c>
      <c r="CK385" s="495">
        <f t="shared" si="1058"/>
        <v>448.13</v>
      </c>
      <c r="CL385" s="1689">
        <f t="shared" si="1059"/>
        <v>448.13</v>
      </c>
      <c r="CM385" s="1689">
        <f t="shared" si="1068"/>
        <v>0</v>
      </c>
      <c r="CN385" s="496">
        <f t="shared" si="1060"/>
        <v>14.44</v>
      </c>
      <c r="CO385" s="497">
        <v>0</v>
      </c>
      <c r="CP385" s="496">
        <f t="shared" si="1061"/>
        <v>0</v>
      </c>
      <c r="CQ385" s="496">
        <f t="shared" si="1062"/>
        <v>0</v>
      </c>
      <c r="CR385" s="496">
        <f t="shared" si="1063"/>
        <v>910.7</v>
      </c>
      <c r="CS385" s="496">
        <f t="shared" si="1064"/>
        <v>60.32</v>
      </c>
      <c r="CT385" s="496">
        <f t="shared" si="1065"/>
        <v>6255</v>
      </c>
      <c r="CU385" s="470"/>
      <c r="CV385" s="470"/>
      <c r="CW385" s="470"/>
      <c r="CX385" s="470"/>
      <c r="CY385" s="1275" t="s">
        <v>7199</v>
      </c>
      <c r="CZ385" s="1275" t="s">
        <v>7200</v>
      </c>
      <c r="DA385" s="480"/>
      <c r="DB385" s="1642" t="s">
        <v>6473</v>
      </c>
      <c r="DC385" s="1642"/>
      <c r="DD385" s="1642" t="s">
        <v>6135</v>
      </c>
      <c r="DE385" s="1642" t="s">
        <v>6147</v>
      </c>
      <c r="DF385" s="1642" t="s">
        <v>6520</v>
      </c>
      <c r="DG385" s="1152"/>
      <c r="DH385" s="470"/>
      <c r="DI385" s="470"/>
      <c r="DJ385" s="470"/>
      <c r="DK385" s="470"/>
      <c r="DL385" s="470"/>
      <c r="DN385" s="471" t="str">
        <f>VLOOKUP(X385,Hoja1!$A$4:$B$10,2,0)</f>
        <v>BACHILLER</v>
      </c>
      <c r="DO385" s="471" t="str">
        <f>VLOOKUP(S385,Hoja1!$D$4:$F$77,3,0)</f>
        <v>GRADO (2) - MÁX</v>
      </c>
      <c r="DP385" s="1156" t="str">
        <f t="shared" si="1066"/>
        <v>0</v>
      </c>
      <c r="DQ385" s="1484">
        <f>IF(T385&lt;&gt;"0",(ROUND(IF(A385="EMPLEADO",eval_formula('CONCEPTOS Y PARAMETROS'!$C$8,NOMINA!V385,AU385+BF385,NOMINA!I385+NOMINA!J385),eval_formula('CONCEPTOS Y PARAMETROS'!$D$8,NOMINA!V385,AU385+BF385,NOMINA!I385+NOMINA!J385)),2))*IF(H385&lt;&gt;"",IF(MONTH(H385)=$BR$8,IF(YEAR(H385)&lt;$BT$7,1,0),0)))</f>
        <v>0</v>
      </c>
      <c r="DR385" s="1801" t="str">
        <f t="shared" si="1067"/>
        <v>M</v>
      </c>
      <c r="DS385" s="1801"/>
    </row>
    <row r="386" spans="1:123" s="476" customFormat="1" ht="21.95" customHeight="1" x14ac:dyDescent="0.25">
      <c r="A386" s="508" t="s">
        <v>2834</v>
      </c>
      <c r="B386" s="1314">
        <f t="shared" ca="1" si="1069"/>
        <v>82</v>
      </c>
      <c r="C386" s="990">
        <v>23594381</v>
      </c>
      <c r="D386" s="1275" t="s">
        <v>6779</v>
      </c>
      <c r="E386" s="1135" t="s">
        <v>4622</v>
      </c>
      <c r="F386" s="1118">
        <v>34507</v>
      </c>
      <c r="G386" s="1135" t="s">
        <v>4621</v>
      </c>
      <c r="H386" s="1118">
        <v>45597</v>
      </c>
      <c r="I386" s="1140">
        <f t="shared" si="1033"/>
        <v>0</v>
      </c>
      <c r="J386" s="1132">
        <v>0</v>
      </c>
      <c r="K386" s="1140">
        <f t="shared" si="1025"/>
        <v>0</v>
      </c>
      <c r="L386" s="1145" t="s">
        <v>5544</v>
      </c>
      <c r="M386" s="1132"/>
      <c r="N386" s="1132"/>
      <c r="O386" s="1002" t="s">
        <v>5084</v>
      </c>
      <c r="P386" s="1151" t="s">
        <v>6780</v>
      </c>
      <c r="Q386" s="1315">
        <v>7129</v>
      </c>
      <c r="R386" s="1394" t="s">
        <v>5084</v>
      </c>
      <c r="S386" s="1393">
        <v>2</v>
      </c>
      <c r="T386" s="1107">
        <f>IFERROR(VLOOKUP(S386,'TAB OBR'!A:B,2,0),0)</f>
        <v>142</v>
      </c>
      <c r="U386" s="1108">
        <v>0</v>
      </c>
      <c r="V386" s="1107">
        <f t="shared" ref="V386" si="1122">T386-U386</f>
        <v>142</v>
      </c>
      <c r="W386" s="1108">
        <f t="shared" ref="W386" si="1123">ROUND(V386/2,2)</f>
        <v>71</v>
      </c>
      <c r="X386" s="1135" t="s">
        <v>2884</v>
      </c>
      <c r="Y386" s="1135" t="s">
        <v>2884</v>
      </c>
      <c r="Z386" s="1135">
        <v>0</v>
      </c>
      <c r="AA386" s="1107">
        <f>ROUND(IF(H386&lt;&gt;"",VLOOKUP(SUM(I386+J386),'CONCEPTOS Y PARAMETROS'!F:G,2,0)*V386,0),2)</f>
        <v>0</v>
      </c>
      <c r="AB386" s="1107">
        <f>IF(S386&lt;&gt;"",IF(M386="",'CONCEPTOS Y PARAMETROS'!$C$4,0),0)</f>
        <v>130</v>
      </c>
      <c r="AC386" s="1107">
        <f>IF(S386&lt;&gt;"",IF(M386="",'CONCEPTOS Y PARAMETROS'!$C$7*Z386,0),0)</f>
        <v>0</v>
      </c>
      <c r="AD386" s="1107">
        <f>IFERROR(ROUND(VLOOKUP($X386,'CONCEPTOS Y PARAMETROS'!H:I,2,0)*($V386+AA386+AB386+AC386),2),0)</f>
        <v>0</v>
      </c>
      <c r="AE386" s="1107">
        <f t="shared" ref="AE386" si="1124">SUM(AA386:AD386)</f>
        <v>130</v>
      </c>
      <c r="AF386" s="1107">
        <f t="shared" ref="AF386" si="1125">ROUND(AA386/2,2)</f>
        <v>0</v>
      </c>
      <c r="AG386" s="1107">
        <f t="shared" ref="AG386" si="1126">ROUND(AA386-AF386,2)</f>
        <v>0</v>
      </c>
      <c r="AH386" s="1107">
        <f t="shared" ref="AH386" si="1127">ROUND(AB386/2,2)</f>
        <v>65</v>
      </c>
      <c r="AI386" s="1107">
        <f t="shared" ref="AI386" si="1128">ROUND(AB386-AH386,2)</f>
        <v>65</v>
      </c>
      <c r="AJ386" s="1107">
        <f t="shared" ref="AJ386" si="1129">ROUND(AD386/2,2)</f>
        <v>0</v>
      </c>
      <c r="AK386" s="1107">
        <f t="shared" ref="AK386" si="1130">ROUND(AD386-AJ386,2)</f>
        <v>0</v>
      </c>
      <c r="AL386" s="1108">
        <f t="shared" ref="AL386" si="1131">ROUND(AF386+AH386+AJ386+AC386,2)</f>
        <v>65</v>
      </c>
      <c r="AM386" s="1108">
        <f t="shared" ref="AM386" si="1132">ROUND(AG386+AI386+AK386,2)</f>
        <v>65</v>
      </c>
      <c r="AN386" s="990">
        <v>0</v>
      </c>
      <c r="AO386" s="1147">
        <f>'CONCEPTOS Y PARAMETROS'!$C$18*AN386</f>
        <v>0</v>
      </c>
      <c r="AP386" s="990">
        <v>0</v>
      </c>
      <c r="AQ386" s="1147">
        <f>'CONCEPTOS Y PARAMETROS'!$C$21*AP386</f>
        <v>0</v>
      </c>
      <c r="AR386" s="1318">
        <v>0</v>
      </c>
      <c r="AS386" s="1318">
        <v>0</v>
      </c>
      <c r="AT386" s="1318">
        <f t="shared" ref="AT386" si="1133">+AO386+AQ386+AR386+AS386</f>
        <v>0</v>
      </c>
      <c r="AU386" s="1108">
        <f t="shared" si="1027"/>
        <v>272</v>
      </c>
      <c r="AV386" s="1133">
        <v>0</v>
      </c>
      <c r="AW386" s="1108">
        <f t="shared" si="1028"/>
        <v>0</v>
      </c>
      <c r="AX386" s="1107">
        <f>IF(T386&lt;&gt;"0",(ROUND(IF(A386="EMPLEADO",eval_formula('CONCEPTOS Y PARAMETROS'!$C$8,NOMINA!V386,NOMINA!$AU386,NOMINA!I386+NOMINA!J386),eval_formula('CONCEPTOS Y PARAMETROS'!$D$8,NOMINA!V386,NOMINA!$AU386,NOMINA!I386+NOMINA!J386)),2))*IF(H386&lt;&gt;"",IF(MONTH(H386)=$BR$8,IF(YEAR(H386)&lt;$BT$7,1,0),0)))</f>
        <v>0</v>
      </c>
      <c r="AY386" s="1108">
        <v>30</v>
      </c>
      <c r="AZ386" s="1107">
        <f>IFERROR(VLOOKUP(AY386,'CONCEPTOS Y PARAMETROS'!Y:Z,2,0),0)</f>
        <v>25</v>
      </c>
      <c r="BA386" s="1107">
        <f t="shared" ref="BA386" si="1134">ROUND((((AU386))/30*AY386/12+(AU386))/30*AZ386,2)</f>
        <v>245.56</v>
      </c>
      <c r="BB386" s="1107">
        <f t="shared" ref="BB386" si="1135">ROUND(AU386/30*$BB$10,2)</f>
        <v>0</v>
      </c>
      <c r="BC386" s="990">
        <v>0</v>
      </c>
      <c r="BD386" s="1107" t="str">
        <f t="shared" si="1029"/>
        <v>0</v>
      </c>
      <c r="BE386" s="990">
        <v>1</v>
      </c>
      <c r="BF386" s="1107">
        <f t="shared" si="1047"/>
        <v>13.6</v>
      </c>
      <c r="BG386" s="1108">
        <v>310</v>
      </c>
      <c r="BH386" s="1108">
        <v>0</v>
      </c>
      <c r="BI386" s="1132">
        <v>0</v>
      </c>
      <c r="BJ386" s="1108">
        <f t="shared" si="1030"/>
        <v>0</v>
      </c>
      <c r="BK386" s="1108">
        <v>0</v>
      </c>
      <c r="BL386" s="1107">
        <f t="shared" si="1073"/>
        <v>12.55</v>
      </c>
      <c r="BM386" s="1107">
        <f t="shared" si="1074"/>
        <v>1.57</v>
      </c>
      <c r="BN386" s="1107">
        <f t="shared" si="1048"/>
        <v>2.72</v>
      </c>
      <c r="BO386" s="1107">
        <v>0</v>
      </c>
      <c r="BP386" s="1107">
        <v>0</v>
      </c>
      <c r="BQ386" s="1320">
        <f t="shared" ref="BQ386" si="1136">ROUND(SUM(BL386:BP386),2)</f>
        <v>16.84</v>
      </c>
      <c r="BR386" s="1107">
        <f t="shared" si="1076"/>
        <v>28.25</v>
      </c>
      <c r="BS386" s="1107">
        <f t="shared" si="1077"/>
        <v>6.28</v>
      </c>
      <c r="BT386" s="1107">
        <f t="shared" si="1050"/>
        <v>5.44</v>
      </c>
      <c r="BU386" s="1107">
        <v>0</v>
      </c>
      <c r="BV386" s="1108">
        <f t="shared" ref="BV386" si="1137">ROUND(SUM(BR386:BT386),2)</f>
        <v>39.97</v>
      </c>
      <c r="BW386" s="1112">
        <f t="shared" ref="BW386" si="1138">BQ386+BV386</f>
        <v>56.81</v>
      </c>
      <c r="BX386" s="1112">
        <f>ROUND(BA386/3,2)</f>
        <v>81.849999999999994</v>
      </c>
      <c r="BY386" s="1108">
        <v>0</v>
      </c>
      <c r="BZ386" s="1108">
        <f t="shared" si="1031"/>
        <v>81.849999999999994</v>
      </c>
      <c r="CA386" s="1321">
        <f>'CONCEPTOS Y PARAMETROS'!$A$102</f>
        <v>6255</v>
      </c>
      <c r="CB386" s="1112">
        <f t="shared" si="1053"/>
        <v>119.16</v>
      </c>
      <c r="CC386" s="1113">
        <f t="shared" si="1054"/>
        <v>459.6</v>
      </c>
      <c r="CD386" s="1452"/>
      <c r="CE386" s="512"/>
      <c r="CF386" s="470">
        <f t="shared" si="1055"/>
        <v>756</v>
      </c>
      <c r="CG386" s="509">
        <f t="shared" si="1056"/>
        <v>119.16</v>
      </c>
      <c r="CH386" s="498">
        <f t="shared" si="1057"/>
        <v>0</v>
      </c>
      <c r="CI386" s="1491">
        <f t="shared" si="1032"/>
        <v>310</v>
      </c>
      <c r="CJ386" s="1500">
        <v>1</v>
      </c>
      <c r="CK386" s="509">
        <f t="shared" si="1058"/>
        <v>446</v>
      </c>
      <c r="CL386" s="1689">
        <f t="shared" si="1059"/>
        <v>446</v>
      </c>
      <c r="CM386" s="1689">
        <f t="shared" si="1068"/>
        <v>0</v>
      </c>
      <c r="CN386" s="510">
        <f t="shared" si="1060"/>
        <v>13.6</v>
      </c>
      <c r="CO386" s="511">
        <v>0</v>
      </c>
      <c r="CP386" s="510">
        <f t="shared" si="1061"/>
        <v>0</v>
      </c>
      <c r="CQ386" s="510">
        <f t="shared" si="1062"/>
        <v>0</v>
      </c>
      <c r="CR386" s="496">
        <f t="shared" si="1063"/>
        <v>905.6</v>
      </c>
      <c r="CS386" s="510">
        <f t="shared" si="1064"/>
        <v>56.81</v>
      </c>
      <c r="CT386" s="510">
        <f t="shared" si="1065"/>
        <v>6255</v>
      </c>
      <c r="CU386" s="470"/>
      <c r="CV386" s="470"/>
      <c r="CW386" s="470"/>
      <c r="CX386" s="470"/>
      <c r="CY386" s="1275" t="s">
        <v>7201</v>
      </c>
      <c r="CZ386" s="1275" t="s">
        <v>7202</v>
      </c>
      <c r="DA386" s="1152"/>
      <c r="DB386" s="1642" t="s">
        <v>6781</v>
      </c>
      <c r="DC386" s="1642"/>
      <c r="DD386" s="1642" t="s">
        <v>6255</v>
      </c>
      <c r="DE386" s="1642" t="s">
        <v>6255</v>
      </c>
      <c r="DF386" s="1642" t="s">
        <v>7536</v>
      </c>
      <c r="DG386" s="1152"/>
      <c r="DH386" s="512"/>
      <c r="DI386" s="512"/>
      <c r="DJ386" s="512"/>
      <c r="DK386" s="512"/>
      <c r="DL386" s="512"/>
      <c r="DN386" s="476" t="str">
        <f>VLOOKUP(X386,Hoja1!$A$4:$B$10,2,0)</f>
        <v>BACHILLER</v>
      </c>
      <c r="DO386" s="476" t="str">
        <f>VLOOKUP(S386,Hoja1!$D$4:$F$77,3,0)</f>
        <v>GRADO (2) - MÁX</v>
      </c>
      <c r="DP386" s="1451" t="str">
        <f t="shared" si="1066"/>
        <v>0</v>
      </c>
      <c r="DQ386" s="1484">
        <f>IF(T386&lt;&gt;"0",(ROUND(IF(A386="EMPLEADO",eval_formula('CONCEPTOS Y PARAMETROS'!$C$8,NOMINA!V386,AU386+BF386,NOMINA!I386+NOMINA!J386),eval_formula('CONCEPTOS Y PARAMETROS'!$D$8,NOMINA!V386,AU386+BF386,NOMINA!I386+NOMINA!J386)),2))*IF(H386&lt;&gt;"",IF(MONTH(H386)=$BR$8,IF(YEAR(H386)&lt;$BT$7,1,0),0)))</f>
        <v>0</v>
      </c>
      <c r="DR386" s="1799" t="str">
        <f t="shared" si="1067"/>
        <v>M</v>
      </c>
      <c r="DS386" s="1799"/>
    </row>
    <row r="387" spans="1:123" s="471" customFormat="1" ht="21.95" customHeight="1" x14ac:dyDescent="0.25">
      <c r="A387" s="508" t="s">
        <v>2834</v>
      </c>
      <c r="B387" s="1314">
        <f t="shared" ca="1" si="1069"/>
        <v>83</v>
      </c>
      <c r="C387" s="990">
        <v>25173228</v>
      </c>
      <c r="D387" s="1275" t="s">
        <v>5039</v>
      </c>
      <c r="E387" s="1135" t="s">
        <v>4622</v>
      </c>
      <c r="F387" s="1118">
        <v>34247</v>
      </c>
      <c r="G387" s="1135" t="s">
        <v>4621</v>
      </c>
      <c r="H387" s="1118">
        <v>44531</v>
      </c>
      <c r="I387" s="1140">
        <f t="shared" si="1033"/>
        <v>3</v>
      </c>
      <c r="J387" s="1132">
        <v>0</v>
      </c>
      <c r="K387" s="1140">
        <f t="shared" si="1025"/>
        <v>3</v>
      </c>
      <c r="L387" s="1145" t="s">
        <v>5529</v>
      </c>
      <c r="M387" s="1132"/>
      <c r="N387" s="1132"/>
      <c r="O387" s="1002" t="s">
        <v>5084</v>
      </c>
      <c r="P387" s="1132" t="s">
        <v>5174</v>
      </c>
      <c r="Q387" s="1315">
        <v>7152</v>
      </c>
      <c r="R387" s="1394" t="s">
        <v>5084</v>
      </c>
      <c r="S387" s="1393">
        <v>3</v>
      </c>
      <c r="T387" s="1107">
        <f>IFERROR(VLOOKUP(S387,'TAB OBR'!A:B,2,0),0)</f>
        <v>152</v>
      </c>
      <c r="U387" s="1108">
        <v>0</v>
      </c>
      <c r="V387" s="1107">
        <f t="shared" si="1034"/>
        <v>152</v>
      </c>
      <c r="W387" s="1108">
        <f t="shared" si="1035"/>
        <v>76</v>
      </c>
      <c r="X387" s="1135" t="s">
        <v>2884</v>
      </c>
      <c r="Y387" s="1135" t="s">
        <v>2884</v>
      </c>
      <c r="Z387" s="1135">
        <v>2</v>
      </c>
      <c r="AA387" s="1107">
        <f>ROUND(IF(H387&lt;&gt;"",VLOOKUP(SUM(I387+J387),'CONCEPTOS Y PARAMETROS'!F:G,2,0)*V387,0),2)</f>
        <v>4.5599999999999996</v>
      </c>
      <c r="AB387" s="1107">
        <f>IF(S387&lt;&gt;"",IF(M387="",'CONCEPTOS Y PARAMETROS'!$C$4,0),0)</f>
        <v>130</v>
      </c>
      <c r="AC387" s="1107">
        <f>IF(S387&lt;&gt;"",IF(M387="",'CONCEPTOS Y PARAMETROS'!$C$7*Z387,0),0)</f>
        <v>25</v>
      </c>
      <c r="AD387" s="1107">
        <f>IFERROR(ROUND(VLOOKUP($X387,'CONCEPTOS Y PARAMETROS'!H:I,2,0)*($V387+AA387+AB387+AC387),2),0)</f>
        <v>0</v>
      </c>
      <c r="AE387" s="1107">
        <f t="shared" si="1036"/>
        <v>159.56</v>
      </c>
      <c r="AF387" s="1107">
        <f t="shared" si="1037"/>
        <v>2.2799999999999998</v>
      </c>
      <c r="AG387" s="1107">
        <f t="shared" si="1038"/>
        <v>2.2799999999999998</v>
      </c>
      <c r="AH387" s="1107">
        <f t="shared" si="1039"/>
        <v>65</v>
      </c>
      <c r="AI387" s="1107">
        <f t="shared" si="1040"/>
        <v>65</v>
      </c>
      <c r="AJ387" s="1107">
        <f t="shared" si="1041"/>
        <v>0</v>
      </c>
      <c r="AK387" s="1107">
        <f t="shared" si="1042"/>
        <v>0</v>
      </c>
      <c r="AL387" s="1108">
        <f t="shared" si="1043"/>
        <v>92.28</v>
      </c>
      <c r="AM387" s="1108">
        <f t="shared" si="1044"/>
        <v>67.28</v>
      </c>
      <c r="AN387" s="1453">
        <v>2</v>
      </c>
      <c r="AO387" s="1147">
        <f>'CONCEPTOS Y PARAMETROS'!$C$18*AN387</f>
        <v>25</v>
      </c>
      <c r="AP387" s="990">
        <v>0</v>
      </c>
      <c r="AQ387" s="1147">
        <f>'CONCEPTOS Y PARAMETROS'!$C$21*AP387</f>
        <v>0</v>
      </c>
      <c r="AR387" s="1318">
        <v>0</v>
      </c>
      <c r="AS387" s="1318">
        <v>0</v>
      </c>
      <c r="AT387" s="1318">
        <f t="shared" si="1026"/>
        <v>25</v>
      </c>
      <c r="AU387" s="1108">
        <f t="shared" si="1027"/>
        <v>405.03</v>
      </c>
      <c r="AV387" s="1133" t="s">
        <v>5080</v>
      </c>
      <c r="AW387" s="1108">
        <f t="shared" si="1028"/>
        <v>93.47</v>
      </c>
      <c r="AX387" s="1107">
        <f>IF(T387&lt;&gt;"0",(ROUND(IF(A387="EMPLEADO",eval_formula('CONCEPTOS Y PARAMETROS'!$C$8,NOMINA!V387,NOMINA!$AU387,NOMINA!I387+NOMINA!J387),eval_formula('CONCEPTOS Y PARAMETROS'!$D$8,NOMINA!V387,NOMINA!$AU387,NOMINA!I387+NOMINA!J387)),2))*IF(H387&lt;&gt;"",IF(MONTH(H387)=$BR$8,IF(YEAR(H387)&lt;$BT$7,1,0),0)))</f>
        <v>0</v>
      </c>
      <c r="AY387" s="1108">
        <v>180</v>
      </c>
      <c r="AZ387" s="1107">
        <f>IFERROR(VLOOKUP(AY387,'CONCEPTOS Y PARAMETROS'!Y:Z,2,0),0)</f>
        <v>150</v>
      </c>
      <c r="BA387" s="1107">
        <f t="shared" si="1045"/>
        <v>3037.73</v>
      </c>
      <c r="BB387" s="1107">
        <f t="shared" si="1046"/>
        <v>0</v>
      </c>
      <c r="BC387" s="990">
        <v>0</v>
      </c>
      <c r="BD387" s="1107" t="str">
        <f t="shared" si="1029"/>
        <v>0</v>
      </c>
      <c r="BE387" s="990">
        <v>0</v>
      </c>
      <c r="BF387" s="1107">
        <f t="shared" si="1047"/>
        <v>0</v>
      </c>
      <c r="BG387" s="1108">
        <v>310</v>
      </c>
      <c r="BH387" s="1108">
        <v>0</v>
      </c>
      <c r="BI387" s="1132">
        <v>0</v>
      </c>
      <c r="BJ387" s="1108">
        <f t="shared" si="1030"/>
        <v>0</v>
      </c>
      <c r="BK387" s="1108">
        <v>0</v>
      </c>
      <c r="BL387" s="1107">
        <f t="shared" si="1073"/>
        <v>18.690000000000001</v>
      </c>
      <c r="BM387" s="1107">
        <f t="shared" si="1074"/>
        <v>2.34</v>
      </c>
      <c r="BN387" s="1107">
        <f t="shared" si="1048"/>
        <v>4.05</v>
      </c>
      <c r="BO387" s="1107">
        <v>0</v>
      </c>
      <c r="BP387" s="1107">
        <v>0</v>
      </c>
      <c r="BQ387" s="1320">
        <f t="shared" si="1049"/>
        <v>25.08</v>
      </c>
      <c r="BR387" s="1107">
        <f t="shared" si="1076"/>
        <v>42.06</v>
      </c>
      <c r="BS387" s="1107">
        <f t="shared" si="1077"/>
        <v>9.35</v>
      </c>
      <c r="BT387" s="1107">
        <f t="shared" si="1050"/>
        <v>8.1</v>
      </c>
      <c r="BU387" s="1107">
        <v>0</v>
      </c>
      <c r="BV387" s="1108">
        <f t="shared" si="1051"/>
        <v>59.51</v>
      </c>
      <c r="BW387" s="1112">
        <f t="shared" si="1052"/>
        <v>84.59</v>
      </c>
      <c r="BX387" s="1112">
        <f>ROUND(BA387/4,2)</f>
        <v>759.43</v>
      </c>
      <c r="BY387" s="1108">
        <v>0</v>
      </c>
      <c r="BZ387" s="1108">
        <f t="shared" si="1031"/>
        <v>759.43</v>
      </c>
      <c r="CA387" s="1321">
        <f>'CONCEPTOS Y PARAMETROS'!$A$102</f>
        <v>6255</v>
      </c>
      <c r="CB387" s="1112">
        <f t="shared" si="1053"/>
        <v>143.19999999999999</v>
      </c>
      <c r="CC387" s="1113">
        <f t="shared" si="1054"/>
        <v>571.75</v>
      </c>
      <c r="CD387" s="512"/>
      <c r="CE387" s="512"/>
      <c r="CF387" s="470">
        <f t="shared" si="1055"/>
        <v>763.28</v>
      </c>
      <c r="CG387" s="495">
        <f t="shared" si="1056"/>
        <v>143.19999999999999</v>
      </c>
      <c r="CH387" s="498">
        <f t="shared" si="1057"/>
        <v>25</v>
      </c>
      <c r="CI387" s="1490">
        <f t="shared" si="1032"/>
        <v>310</v>
      </c>
      <c r="CJ387" s="1500">
        <v>1</v>
      </c>
      <c r="CK387" s="495">
        <f t="shared" si="1058"/>
        <v>453.28</v>
      </c>
      <c r="CL387" s="1689">
        <f t="shared" si="1059"/>
        <v>453.28</v>
      </c>
      <c r="CM387" s="1689">
        <f t="shared" si="1068"/>
        <v>0</v>
      </c>
      <c r="CN387" s="496">
        <f t="shared" si="1060"/>
        <v>0</v>
      </c>
      <c r="CO387" s="497">
        <v>0</v>
      </c>
      <c r="CP387" s="496">
        <f t="shared" si="1061"/>
        <v>93.47</v>
      </c>
      <c r="CQ387" s="496">
        <f t="shared" si="1062"/>
        <v>0</v>
      </c>
      <c r="CR387" s="496">
        <f t="shared" si="1063"/>
        <v>1000.03</v>
      </c>
      <c r="CS387" s="496">
        <f t="shared" si="1064"/>
        <v>84.59</v>
      </c>
      <c r="CT387" s="496">
        <f t="shared" si="1065"/>
        <v>6255</v>
      </c>
      <c r="CU387" s="470"/>
      <c r="CV387" s="470"/>
      <c r="CW387" s="470"/>
      <c r="CX387" s="470"/>
      <c r="CY387" s="1275" t="s">
        <v>7203</v>
      </c>
      <c r="CZ387" s="1275" t="s">
        <v>7204</v>
      </c>
      <c r="DA387" s="480"/>
      <c r="DB387" s="1642" t="s">
        <v>6474</v>
      </c>
      <c r="DC387" s="1642"/>
      <c r="DD387" s="1642" t="s">
        <v>6123</v>
      </c>
      <c r="DE387" s="1642" t="s">
        <v>6380</v>
      </c>
      <c r="DF387" s="1642" t="s">
        <v>6381</v>
      </c>
      <c r="DG387" s="1152"/>
      <c r="DH387" s="470"/>
      <c r="DI387" s="470"/>
      <c r="DJ387" s="470"/>
      <c r="DK387" s="470"/>
      <c r="DL387" s="470"/>
      <c r="DN387" s="471" t="str">
        <f>VLOOKUP(X387,Hoja1!$A$4:$B$10,2,0)</f>
        <v>BACHILLER</v>
      </c>
      <c r="DO387" s="471" t="str">
        <f>VLOOKUP(S387,Hoja1!$D$4:$F$77,3,0)</f>
        <v>GRADO (3) - MÁX</v>
      </c>
      <c r="DP387" s="1156" t="str">
        <f t="shared" si="1066"/>
        <v>SI</v>
      </c>
      <c r="DQ387" s="1484">
        <f>IF(T387&lt;&gt;"0",(ROUND(IF(A387="EMPLEADO",eval_formula('CONCEPTOS Y PARAMETROS'!$C$8,NOMINA!V387,AU387+BF387,NOMINA!I387+NOMINA!J387),eval_formula('CONCEPTOS Y PARAMETROS'!$D$8,NOMINA!V387,AU387+BF387,NOMINA!I387+NOMINA!J387)),2))*IF(H387&lt;&gt;"",IF(MONTH(H387)=$BR$8,IF(YEAR(H387)&lt;$BT$7,1,0),0)))</f>
        <v>0</v>
      </c>
      <c r="DR387" s="1801" t="str">
        <f t="shared" si="1067"/>
        <v>M</v>
      </c>
      <c r="DS387" s="1801"/>
    </row>
    <row r="388" spans="1:123" s="471" customFormat="1" ht="21.95" customHeight="1" x14ac:dyDescent="0.25">
      <c r="A388" s="508" t="s">
        <v>2834</v>
      </c>
      <c r="B388" s="1314">
        <f t="shared" ca="1" si="1069"/>
        <v>84</v>
      </c>
      <c r="C388" s="990">
        <v>25631811</v>
      </c>
      <c r="D388" s="1275" t="s">
        <v>5040</v>
      </c>
      <c r="E388" s="1135" t="s">
        <v>4622</v>
      </c>
      <c r="F388" s="1118">
        <v>35366</v>
      </c>
      <c r="G388" s="1135" t="s">
        <v>4621</v>
      </c>
      <c r="H388" s="1118">
        <v>44440</v>
      </c>
      <c r="I388" s="1140">
        <f t="shared" si="1033"/>
        <v>4</v>
      </c>
      <c r="J388" s="1132">
        <v>0</v>
      </c>
      <c r="K388" s="1140">
        <f t="shared" si="1025"/>
        <v>4</v>
      </c>
      <c r="L388" s="1145" t="s">
        <v>5543</v>
      </c>
      <c r="M388" s="1132"/>
      <c r="N388" s="1132"/>
      <c r="O388" s="1002" t="s">
        <v>5091</v>
      </c>
      <c r="P388" s="1132" t="s">
        <v>5175</v>
      </c>
      <c r="Q388" s="1315">
        <v>7102</v>
      </c>
      <c r="R388" s="1394" t="s">
        <v>5091</v>
      </c>
      <c r="S388" s="1393">
        <v>5</v>
      </c>
      <c r="T388" s="1107">
        <f>IFERROR(VLOOKUP(S388,'TAB OBR'!A:B,2,0),0)</f>
        <v>171</v>
      </c>
      <c r="U388" s="1108">
        <v>0</v>
      </c>
      <c r="V388" s="1107">
        <f t="shared" si="1034"/>
        <v>171</v>
      </c>
      <c r="W388" s="1108">
        <f t="shared" si="1035"/>
        <v>85.5</v>
      </c>
      <c r="X388" s="1135" t="s">
        <v>2884</v>
      </c>
      <c r="Y388" s="1135" t="s">
        <v>2884</v>
      </c>
      <c r="Z388" s="1135">
        <v>0</v>
      </c>
      <c r="AA388" s="1107">
        <f>ROUND(IF(H388&lt;&gt;"",VLOOKUP(SUM(I388+J388),'CONCEPTOS Y PARAMETROS'!F:G,2,0)*V388,0),2)</f>
        <v>6.84</v>
      </c>
      <c r="AB388" s="1107">
        <f>IF(S388&lt;&gt;"",IF(M388="",'CONCEPTOS Y PARAMETROS'!$C$4,0),0)</f>
        <v>130</v>
      </c>
      <c r="AC388" s="1107">
        <f>IF(S388&lt;&gt;"",IF(M388="",'CONCEPTOS Y PARAMETROS'!$C$7*Z388,0),0)</f>
        <v>0</v>
      </c>
      <c r="AD388" s="1107">
        <f>IFERROR(ROUND(VLOOKUP($X388,'CONCEPTOS Y PARAMETROS'!H:I,2,0)*($V388+AA388+AB388+AC388),2),0)</f>
        <v>0</v>
      </c>
      <c r="AE388" s="1107">
        <f t="shared" si="1036"/>
        <v>136.84</v>
      </c>
      <c r="AF388" s="1107">
        <f t="shared" si="1037"/>
        <v>3.42</v>
      </c>
      <c r="AG388" s="1107">
        <f t="shared" si="1038"/>
        <v>3.42</v>
      </c>
      <c r="AH388" s="1107">
        <f t="shared" si="1039"/>
        <v>65</v>
      </c>
      <c r="AI388" s="1107">
        <f t="shared" si="1040"/>
        <v>65</v>
      </c>
      <c r="AJ388" s="1107">
        <f t="shared" si="1041"/>
        <v>0</v>
      </c>
      <c r="AK388" s="1107">
        <f t="shared" si="1042"/>
        <v>0</v>
      </c>
      <c r="AL388" s="1108">
        <f t="shared" si="1043"/>
        <v>68.42</v>
      </c>
      <c r="AM388" s="1108">
        <f t="shared" si="1044"/>
        <v>68.42</v>
      </c>
      <c r="AN388" s="990">
        <v>0</v>
      </c>
      <c r="AO388" s="1147">
        <f>'CONCEPTOS Y PARAMETROS'!$C$18*AN388</f>
        <v>0</v>
      </c>
      <c r="AP388" s="990">
        <v>0</v>
      </c>
      <c r="AQ388" s="1147">
        <f>'CONCEPTOS Y PARAMETROS'!$C$21*AP388</f>
        <v>0</v>
      </c>
      <c r="AR388" s="1318">
        <v>0</v>
      </c>
      <c r="AS388" s="1318">
        <v>0</v>
      </c>
      <c r="AT388" s="1318">
        <f t="shared" si="1026"/>
        <v>0</v>
      </c>
      <c r="AU388" s="1108">
        <f t="shared" si="1027"/>
        <v>307.84000000000003</v>
      </c>
      <c r="AV388" s="1133">
        <v>0</v>
      </c>
      <c r="AW388" s="1108">
        <f t="shared" si="1028"/>
        <v>0</v>
      </c>
      <c r="AX388" s="1107">
        <f>IF(T388&lt;&gt;"0",(ROUND(IF(A388="EMPLEADO",eval_formula('CONCEPTOS Y PARAMETROS'!$C$8,NOMINA!V388,NOMINA!$AU388,NOMINA!I388+NOMINA!J388),eval_formula('CONCEPTOS Y PARAMETROS'!$D$8,NOMINA!V388,NOMINA!$AU388,NOMINA!I388+NOMINA!J388)),2))*IF(H388&lt;&gt;"",IF(MONTH(H388)=$BR$8,IF(YEAR(H388)&lt;$BT$7,1,0),0)))</f>
        <v>2462.7199999999998</v>
      </c>
      <c r="AY388" s="1108">
        <v>180</v>
      </c>
      <c r="AZ388" s="1107">
        <f>IFERROR(VLOOKUP(AY388,'CONCEPTOS Y PARAMETROS'!Y:Z,2,0),0)</f>
        <v>150</v>
      </c>
      <c r="BA388" s="1107">
        <f t="shared" si="1045"/>
        <v>2308.8000000000002</v>
      </c>
      <c r="BB388" s="1107">
        <f t="shared" si="1046"/>
        <v>0</v>
      </c>
      <c r="BC388" s="990">
        <v>0</v>
      </c>
      <c r="BD388" s="1107" t="str">
        <f t="shared" si="1029"/>
        <v>0</v>
      </c>
      <c r="BE388" s="990">
        <v>2</v>
      </c>
      <c r="BF388" s="1107">
        <f t="shared" si="1047"/>
        <v>30.78</v>
      </c>
      <c r="BG388" s="1108">
        <v>310</v>
      </c>
      <c r="BH388" s="1108">
        <v>0</v>
      </c>
      <c r="BI388" s="1132">
        <v>0</v>
      </c>
      <c r="BJ388" s="1108">
        <f t="shared" si="1030"/>
        <v>0</v>
      </c>
      <c r="BK388" s="1108">
        <v>0</v>
      </c>
      <c r="BL388" s="1107">
        <f t="shared" si="1073"/>
        <v>14.21</v>
      </c>
      <c r="BM388" s="1107">
        <f t="shared" si="1074"/>
        <v>1.78</v>
      </c>
      <c r="BN388" s="1107">
        <f t="shared" si="1048"/>
        <v>3.08</v>
      </c>
      <c r="BO388" s="1107">
        <v>0</v>
      </c>
      <c r="BP388" s="1107">
        <v>0</v>
      </c>
      <c r="BQ388" s="1320">
        <f t="shared" si="1049"/>
        <v>19.07</v>
      </c>
      <c r="BR388" s="1107">
        <f t="shared" si="1076"/>
        <v>31.97</v>
      </c>
      <c r="BS388" s="1107">
        <f t="shared" si="1077"/>
        <v>7.1</v>
      </c>
      <c r="BT388" s="1107">
        <f t="shared" si="1050"/>
        <v>6.16</v>
      </c>
      <c r="BU388" s="1107">
        <v>0</v>
      </c>
      <c r="BV388" s="1108">
        <f t="shared" si="1051"/>
        <v>45.23</v>
      </c>
      <c r="BW388" s="1112">
        <f t="shared" si="1052"/>
        <v>64.3</v>
      </c>
      <c r="BX388" s="1112">
        <f>ROUND(BA388/4,2)</f>
        <v>577.20000000000005</v>
      </c>
      <c r="BY388" s="1108">
        <v>0</v>
      </c>
      <c r="BZ388" s="1108">
        <f t="shared" si="1031"/>
        <v>577.20000000000005</v>
      </c>
      <c r="CA388" s="1321">
        <f>'CONCEPTOS Y PARAMETROS'!$A$102</f>
        <v>6255</v>
      </c>
      <c r="CB388" s="1112">
        <f t="shared" si="1053"/>
        <v>134.85000000000002</v>
      </c>
      <c r="CC388" s="1113">
        <f t="shared" si="1054"/>
        <v>2957.42</v>
      </c>
      <c r="CD388" s="512"/>
      <c r="CE388" s="512"/>
      <c r="CF388" s="470">
        <f t="shared" si="1055"/>
        <v>773.92000000000007</v>
      </c>
      <c r="CG388" s="495">
        <f t="shared" si="1056"/>
        <v>134.85000000000002</v>
      </c>
      <c r="CH388" s="498">
        <f t="shared" si="1057"/>
        <v>0</v>
      </c>
      <c r="CI388" s="1490">
        <f t="shared" si="1032"/>
        <v>310</v>
      </c>
      <c r="CJ388" s="1500">
        <v>1</v>
      </c>
      <c r="CK388" s="495">
        <f t="shared" si="1058"/>
        <v>463.92</v>
      </c>
      <c r="CL388" s="1689">
        <f t="shared" si="1059"/>
        <v>463.92</v>
      </c>
      <c r="CM388" s="1689">
        <f t="shared" si="1068"/>
        <v>0</v>
      </c>
      <c r="CN388" s="496">
        <f t="shared" si="1060"/>
        <v>30.78</v>
      </c>
      <c r="CO388" s="497">
        <v>0</v>
      </c>
      <c r="CP388" s="496">
        <f t="shared" si="1061"/>
        <v>0</v>
      </c>
      <c r="CQ388" s="496">
        <f t="shared" si="1062"/>
        <v>2462.7199999999998</v>
      </c>
      <c r="CR388" s="496">
        <f t="shared" si="1063"/>
        <v>3421.3399999999997</v>
      </c>
      <c r="CS388" s="496">
        <f t="shared" si="1064"/>
        <v>64.3</v>
      </c>
      <c r="CT388" s="496">
        <f t="shared" si="1065"/>
        <v>6255</v>
      </c>
      <c r="CU388" s="470"/>
      <c r="CV388" s="470"/>
      <c r="CW388" s="470"/>
      <c r="CX388" s="470"/>
      <c r="CY388" s="1275" t="s">
        <v>6990</v>
      </c>
      <c r="CZ388" s="1275" t="s">
        <v>6915</v>
      </c>
      <c r="DA388" s="480"/>
      <c r="DB388" s="1642" t="s">
        <v>6475</v>
      </c>
      <c r="DC388" s="1642"/>
      <c r="DD388" s="1642" t="s">
        <v>6150</v>
      </c>
      <c r="DE388" s="1642" t="s">
        <v>6345</v>
      </c>
      <c r="DF388" s="1642" t="s">
        <v>6328</v>
      </c>
      <c r="DG388" s="1642"/>
      <c r="DH388" s="470"/>
      <c r="DI388" s="470"/>
      <c r="DJ388" s="470"/>
      <c r="DK388" s="470"/>
      <c r="DL388" s="470"/>
      <c r="DN388" s="471" t="str">
        <f>VLOOKUP(X388,Hoja1!$A$4:$B$10,2,0)</f>
        <v>BACHILLER</v>
      </c>
      <c r="DO388" s="471" t="str">
        <f>VLOOKUP(S388,Hoja1!$D$4:$F$77,3,0)</f>
        <v>GRADO (5) - MÁX</v>
      </c>
      <c r="DP388" s="1156" t="str">
        <f t="shared" si="1066"/>
        <v>0</v>
      </c>
      <c r="DQ388" s="1484">
        <f>IF(T388&lt;&gt;"0",(ROUND(IF(A388="EMPLEADO",eval_formula('CONCEPTOS Y PARAMETROS'!$C$8,NOMINA!V388,AU388+BF388,NOMINA!I388+NOMINA!J388),eval_formula('CONCEPTOS Y PARAMETROS'!$D$8,NOMINA!V388,AU388+BF388,NOMINA!I388+NOMINA!J388)),2))*IF(H388&lt;&gt;"",IF(MONTH(H388)=$BR$8,IF(YEAR(H388)&lt;$BT$7,1,0),0)))</f>
        <v>2708.96</v>
      </c>
      <c r="DR388" s="1801" t="str">
        <f t="shared" si="1067"/>
        <v>M</v>
      </c>
      <c r="DS388" s="1801"/>
    </row>
    <row r="389" spans="1:123" s="471" customFormat="1" ht="21.95" customHeight="1" x14ac:dyDescent="0.25">
      <c r="A389" s="508" t="s">
        <v>2834</v>
      </c>
      <c r="B389" s="1314">
        <f t="shared" ca="1" si="1069"/>
        <v>85</v>
      </c>
      <c r="C389" s="990">
        <v>25919888</v>
      </c>
      <c r="D389" s="1275" t="s">
        <v>5041</v>
      </c>
      <c r="E389" s="1135" t="s">
        <v>4622</v>
      </c>
      <c r="F389" s="1118">
        <v>35616</v>
      </c>
      <c r="G389" s="1135" t="s">
        <v>4620</v>
      </c>
      <c r="H389" s="1118">
        <v>44805</v>
      </c>
      <c r="I389" s="1140">
        <f t="shared" si="1033"/>
        <v>3</v>
      </c>
      <c r="J389" s="1132">
        <v>0</v>
      </c>
      <c r="K389" s="1140">
        <f t="shared" si="1025"/>
        <v>3</v>
      </c>
      <c r="L389" s="1145" t="s">
        <v>5544</v>
      </c>
      <c r="M389" s="1132"/>
      <c r="N389" s="1132"/>
      <c r="O389" s="1002" t="s">
        <v>5087</v>
      </c>
      <c r="P389" s="1132" t="s">
        <v>5176</v>
      </c>
      <c r="Q389" s="1315">
        <v>7102</v>
      </c>
      <c r="R389" s="1394" t="s">
        <v>5087</v>
      </c>
      <c r="S389" s="1393">
        <v>1</v>
      </c>
      <c r="T389" s="1107">
        <f>IFERROR(VLOOKUP(S389,'TAB OBR'!A:B,2,0),0)</f>
        <v>130</v>
      </c>
      <c r="U389" s="1108">
        <v>0</v>
      </c>
      <c r="V389" s="1107">
        <f t="shared" si="1034"/>
        <v>130</v>
      </c>
      <c r="W389" s="1108">
        <f t="shared" si="1035"/>
        <v>65</v>
      </c>
      <c r="X389" s="1135" t="s">
        <v>2884</v>
      </c>
      <c r="Y389" s="1135" t="s">
        <v>2884</v>
      </c>
      <c r="Z389" s="1135">
        <v>2</v>
      </c>
      <c r="AA389" s="1107">
        <f>ROUND(IF(H389&lt;&gt;"",VLOOKUP(SUM(I389+J389),'CONCEPTOS Y PARAMETROS'!F:G,2,0)*V389,0),2)</f>
        <v>3.9</v>
      </c>
      <c r="AB389" s="1107">
        <f>IF(S389&lt;&gt;"",IF(M389="",'CONCEPTOS Y PARAMETROS'!$C$4,0),0)</f>
        <v>130</v>
      </c>
      <c r="AC389" s="1107">
        <f>IF(S389&lt;&gt;"",IF(M389="",'CONCEPTOS Y PARAMETROS'!$C$7*Z389,0),0)</f>
        <v>25</v>
      </c>
      <c r="AD389" s="1107">
        <f>IFERROR(ROUND(VLOOKUP($X389,'CONCEPTOS Y PARAMETROS'!H:I,2,0)*($V389+AA389+AB389+AC389),2),0)</f>
        <v>0</v>
      </c>
      <c r="AE389" s="1107">
        <f t="shared" si="1036"/>
        <v>158.9</v>
      </c>
      <c r="AF389" s="1107">
        <f t="shared" si="1037"/>
        <v>1.95</v>
      </c>
      <c r="AG389" s="1107">
        <f t="shared" si="1038"/>
        <v>1.95</v>
      </c>
      <c r="AH389" s="1107">
        <f t="shared" si="1039"/>
        <v>65</v>
      </c>
      <c r="AI389" s="1107">
        <f t="shared" si="1040"/>
        <v>65</v>
      </c>
      <c r="AJ389" s="1107">
        <f t="shared" si="1041"/>
        <v>0</v>
      </c>
      <c r="AK389" s="1107">
        <f t="shared" si="1042"/>
        <v>0</v>
      </c>
      <c r="AL389" s="1108">
        <f t="shared" si="1043"/>
        <v>91.95</v>
      </c>
      <c r="AM389" s="1108">
        <f t="shared" si="1044"/>
        <v>66.95</v>
      </c>
      <c r="AN389" s="990">
        <v>0</v>
      </c>
      <c r="AO389" s="1147">
        <f>'CONCEPTOS Y PARAMETROS'!$C$18*AN389</f>
        <v>0</v>
      </c>
      <c r="AP389" s="990">
        <v>0</v>
      </c>
      <c r="AQ389" s="1147">
        <f>'CONCEPTOS Y PARAMETROS'!$C$21*AP389</f>
        <v>0</v>
      </c>
      <c r="AR389" s="1318">
        <v>0</v>
      </c>
      <c r="AS389" s="1318">
        <v>0</v>
      </c>
      <c r="AT389" s="1318">
        <f t="shared" si="1026"/>
        <v>0</v>
      </c>
      <c r="AU389" s="1108">
        <f t="shared" si="1027"/>
        <v>288.89999999999998</v>
      </c>
      <c r="AV389" s="1133">
        <v>0</v>
      </c>
      <c r="AW389" s="1108">
        <f t="shared" si="1028"/>
        <v>0</v>
      </c>
      <c r="AX389" s="1107">
        <f>IF(T389&lt;&gt;"0",(ROUND(IF(A389="EMPLEADO",eval_formula('CONCEPTOS Y PARAMETROS'!$C$8,NOMINA!V389,NOMINA!$AU389,NOMINA!I389+NOMINA!J389),eval_formula('CONCEPTOS Y PARAMETROS'!$D$8,NOMINA!V389,NOMINA!$AU389,NOMINA!I389+NOMINA!J389)),2))*IF(H389&lt;&gt;"",IF(MONTH(H389)=$BR$8,IF(YEAR(H389)&lt;$BT$7,1,0),0)))</f>
        <v>2311.1999999999998</v>
      </c>
      <c r="AY389" s="1108">
        <v>180</v>
      </c>
      <c r="AZ389" s="1107">
        <f>IFERROR(VLOOKUP(AY389,'CONCEPTOS Y PARAMETROS'!Y:Z,2,0),0)</f>
        <v>150</v>
      </c>
      <c r="BA389" s="1107">
        <f t="shared" si="1045"/>
        <v>2166.75</v>
      </c>
      <c r="BB389" s="1107">
        <f t="shared" si="1046"/>
        <v>0</v>
      </c>
      <c r="BC389" s="990">
        <v>0</v>
      </c>
      <c r="BD389" s="1107" t="str">
        <f t="shared" si="1029"/>
        <v>0</v>
      </c>
      <c r="BE389" s="990">
        <v>0</v>
      </c>
      <c r="BF389" s="1107">
        <f t="shared" si="1047"/>
        <v>0</v>
      </c>
      <c r="BG389" s="1108">
        <v>310</v>
      </c>
      <c r="BH389" s="1108">
        <v>0</v>
      </c>
      <c r="BI389" s="1132">
        <v>0</v>
      </c>
      <c r="BJ389" s="1108">
        <f t="shared" si="1030"/>
        <v>0</v>
      </c>
      <c r="BK389" s="1108">
        <v>0</v>
      </c>
      <c r="BL389" s="1107">
        <f t="shared" si="1073"/>
        <v>13.33</v>
      </c>
      <c r="BM389" s="1107">
        <f t="shared" si="1074"/>
        <v>1.67</v>
      </c>
      <c r="BN389" s="1107">
        <f t="shared" si="1048"/>
        <v>2.89</v>
      </c>
      <c r="BO389" s="1107">
        <v>0</v>
      </c>
      <c r="BP389" s="1107">
        <v>0</v>
      </c>
      <c r="BQ389" s="1320">
        <f t="shared" si="1049"/>
        <v>17.89</v>
      </c>
      <c r="BR389" s="1107">
        <f t="shared" si="1076"/>
        <v>30</v>
      </c>
      <c r="BS389" s="1107">
        <f t="shared" si="1077"/>
        <v>6.67</v>
      </c>
      <c r="BT389" s="1107">
        <f t="shared" si="1050"/>
        <v>5.78</v>
      </c>
      <c r="BU389" s="1107">
        <v>0</v>
      </c>
      <c r="BV389" s="1108">
        <f t="shared" si="1051"/>
        <v>42.45</v>
      </c>
      <c r="BW389" s="1112">
        <f t="shared" si="1052"/>
        <v>60.34</v>
      </c>
      <c r="BX389" s="1112">
        <f>ROUND(BA389/4,2)</f>
        <v>541.69000000000005</v>
      </c>
      <c r="BY389" s="1108">
        <v>0</v>
      </c>
      <c r="BZ389" s="1108">
        <f t="shared" si="1031"/>
        <v>541.69000000000005</v>
      </c>
      <c r="CA389" s="1321">
        <f>'CONCEPTOS Y PARAMETROS'!$A$102</f>
        <v>6255</v>
      </c>
      <c r="CB389" s="1112">
        <f t="shared" si="1053"/>
        <v>139.06</v>
      </c>
      <c r="CC389" s="1113">
        <f t="shared" si="1054"/>
        <v>2753.15</v>
      </c>
      <c r="CD389" s="512"/>
      <c r="CE389" s="512"/>
      <c r="CF389" s="470">
        <f t="shared" si="1055"/>
        <v>751.95</v>
      </c>
      <c r="CG389" s="495">
        <f t="shared" si="1056"/>
        <v>139.06</v>
      </c>
      <c r="CH389" s="498">
        <f t="shared" si="1057"/>
        <v>0</v>
      </c>
      <c r="CI389" s="1490">
        <f t="shared" si="1032"/>
        <v>310</v>
      </c>
      <c r="CJ389" s="1500">
        <v>1</v>
      </c>
      <c r="CK389" s="495">
        <f t="shared" si="1058"/>
        <v>441.95</v>
      </c>
      <c r="CL389" s="1689">
        <f t="shared" si="1059"/>
        <v>441.95</v>
      </c>
      <c r="CM389" s="1689">
        <f t="shared" si="1068"/>
        <v>0</v>
      </c>
      <c r="CN389" s="496">
        <f t="shared" si="1060"/>
        <v>0</v>
      </c>
      <c r="CO389" s="497">
        <v>0</v>
      </c>
      <c r="CP389" s="496">
        <f t="shared" si="1061"/>
        <v>0</v>
      </c>
      <c r="CQ389" s="496">
        <f t="shared" si="1062"/>
        <v>2311.1999999999998</v>
      </c>
      <c r="CR389" s="496">
        <f t="shared" si="1063"/>
        <v>3195.1</v>
      </c>
      <c r="CS389" s="496">
        <f t="shared" si="1064"/>
        <v>60.34</v>
      </c>
      <c r="CT389" s="496">
        <f t="shared" si="1065"/>
        <v>6255</v>
      </c>
      <c r="CU389" s="470"/>
      <c r="CV389" s="470"/>
      <c r="CW389" s="470"/>
      <c r="CX389" s="470"/>
      <c r="CY389" s="1275" t="s">
        <v>6806</v>
      </c>
      <c r="CZ389" s="1275" t="s">
        <v>7205</v>
      </c>
      <c r="DA389" s="480"/>
      <c r="DB389" s="1642" t="s">
        <v>6476</v>
      </c>
      <c r="DC389" s="1642"/>
      <c r="DD389" s="1642" t="s">
        <v>6135</v>
      </c>
      <c r="DE389" s="1642" t="s">
        <v>6162</v>
      </c>
      <c r="DF389" s="1642" t="s">
        <v>6228</v>
      </c>
      <c r="DG389" s="1152"/>
      <c r="DH389" s="470"/>
      <c r="DI389" s="470"/>
      <c r="DJ389" s="470"/>
      <c r="DK389" s="470"/>
      <c r="DL389" s="470"/>
      <c r="DN389" s="471" t="str">
        <f>VLOOKUP(X389,Hoja1!$A$4:$B$10,2,0)</f>
        <v>BACHILLER</v>
      </c>
      <c r="DO389" s="471" t="str">
        <f>VLOOKUP(S389,Hoja1!$D$4:$F$77,3,0)</f>
        <v>GRADO (1) - MIN</v>
      </c>
      <c r="DP389" s="1156" t="str">
        <f t="shared" si="1066"/>
        <v>0</v>
      </c>
      <c r="DQ389" s="1484">
        <f>IF(T389&lt;&gt;"0",(ROUND(IF(A389="EMPLEADO",eval_formula('CONCEPTOS Y PARAMETROS'!$C$8,NOMINA!V389,AU389+BF389,NOMINA!I389+NOMINA!J389),eval_formula('CONCEPTOS Y PARAMETROS'!$D$8,NOMINA!V389,AU389+BF389,NOMINA!I389+NOMINA!J389)),2))*IF(H389&lt;&gt;"",IF(MONTH(H389)=$BR$8,IF(YEAR(H389)&lt;$BT$7,1,0),0)))</f>
        <v>2311.1999999999998</v>
      </c>
      <c r="DR389" s="1801" t="str">
        <f t="shared" si="1067"/>
        <v>F</v>
      </c>
      <c r="DS389" s="1801"/>
    </row>
    <row r="390" spans="1:123" s="476" customFormat="1" ht="21.95" customHeight="1" x14ac:dyDescent="0.25">
      <c r="A390" s="508" t="s">
        <v>2834</v>
      </c>
      <c r="B390" s="1314">
        <f t="shared" ca="1" si="1069"/>
        <v>86</v>
      </c>
      <c r="C390" s="990">
        <v>26235670</v>
      </c>
      <c r="D390" s="1275" t="s">
        <v>6782</v>
      </c>
      <c r="E390" s="1135" t="s">
        <v>4622</v>
      </c>
      <c r="F390" s="1118">
        <v>35999</v>
      </c>
      <c r="G390" s="1135" t="s">
        <v>4621</v>
      </c>
      <c r="H390" s="1118">
        <v>45597</v>
      </c>
      <c r="I390" s="1140">
        <f t="shared" si="1033"/>
        <v>0</v>
      </c>
      <c r="J390" s="1132">
        <v>0</v>
      </c>
      <c r="K390" s="1140">
        <f t="shared" si="1025"/>
        <v>0</v>
      </c>
      <c r="L390" s="1145" t="s">
        <v>5530</v>
      </c>
      <c r="M390" s="1132"/>
      <c r="N390" s="1132"/>
      <c r="O390" s="1002" t="s">
        <v>5084</v>
      </c>
      <c r="P390" s="1151" t="s">
        <v>6783</v>
      </c>
      <c r="Q390" s="1315">
        <v>7129</v>
      </c>
      <c r="R390" s="1394" t="s">
        <v>5084</v>
      </c>
      <c r="S390" s="1393">
        <v>2</v>
      </c>
      <c r="T390" s="1107">
        <f>IFERROR(VLOOKUP(S390,'TAB OBR'!A:B,2,0),0)</f>
        <v>142</v>
      </c>
      <c r="U390" s="1108">
        <v>0</v>
      </c>
      <c r="V390" s="1107">
        <f t="shared" si="1034"/>
        <v>142</v>
      </c>
      <c r="W390" s="1108">
        <f t="shared" si="1035"/>
        <v>71</v>
      </c>
      <c r="X390" s="1135" t="s">
        <v>2884</v>
      </c>
      <c r="Y390" s="1135" t="s">
        <v>2884</v>
      </c>
      <c r="Z390" s="1135">
        <v>1</v>
      </c>
      <c r="AA390" s="1107">
        <f>ROUND(IF(H390&lt;&gt;"",VLOOKUP(SUM(I390+J390),'CONCEPTOS Y PARAMETROS'!F:G,2,0)*V390,0),2)</f>
        <v>0</v>
      </c>
      <c r="AB390" s="1107">
        <f>IF(S390&lt;&gt;"",IF(M390="",'CONCEPTOS Y PARAMETROS'!$C$4,0),0)</f>
        <v>130</v>
      </c>
      <c r="AC390" s="1107">
        <f>IF(S390&lt;&gt;"",IF(M390="",'CONCEPTOS Y PARAMETROS'!$C$7*Z390,0),0)</f>
        <v>12.5</v>
      </c>
      <c r="AD390" s="1107">
        <f>IFERROR(ROUND(VLOOKUP($X390,'CONCEPTOS Y PARAMETROS'!H:I,2,0)*($V390+AA390+AB390+AC390),2),0)</f>
        <v>0</v>
      </c>
      <c r="AE390" s="1107">
        <f t="shared" si="1036"/>
        <v>142.5</v>
      </c>
      <c r="AF390" s="1107">
        <f t="shared" si="1037"/>
        <v>0</v>
      </c>
      <c r="AG390" s="1107">
        <f t="shared" si="1038"/>
        <v>0</v>
      </c>
      <c r="AH390" s="1107">
        <f t="shared" si="1039"/>
        <v>65</v>
      </c>
      <c r="AI390" s="1107">
        <f t="shared" si="1040"/>
        <v>65</v>
      </c>
      <c r="AJ390" s="1107">
        <f t="shared" si="1041"/>
        <v>0</v>
      </c>
      <c r="AK390" s="1107">
        <f t="shared" si="1042"/>
        <v>0</v>
      </c>
      <c r="AL390" s="1108">
        <f t="shared" si="1043"/>
        <v>77.5</v>
      </c>
      <c r="AM390" s="1108">
        <f t="shared" si="1044"/>
        <v>65</v>
      </c>
      <c r="AN390" s="990">
        <v>0</v>
      </c>
      <c r="AO390" s="1147">
        <f>'CONCEPTOS Y PARAMETROS'!$C$18*AN390</f>
        <v>0</v>
      </c>
      <c r="AP390" s="990">
        <v>0</v>
      </c>
      <c r="AQ390" s="1147">
        <f>'CONCEPTOS Y PARAMETROS'!$C$21*AP390</f>
        <v>0</v>
      </c>
      <c r="AR390" s="1318">
        <v>0</v>
      </c>
      <c r="AS390" s="1318">
        <v>0</v>
      </c>
      <c r="AT390" s="1318">
        <f t="shared" si="1026"/>
        <v>0</v>
      </c>
      <c r="AU390" s="1108">
        <f t="shared" si="1027"/>
        <v>284.5</v>
      </c>
      <c r="AV390" s="1133">
        <v>0</v>
      </c>
      <c r="AW390" s="1108">
        <f t="shared" si="1028"/>
        <v>0</v>
      </c>
      <c r="AX390" s="1107">
        <f>IF(T390&lt;&gt;"0",(ROUND(IF(A390="EMPLEADO",eval_formula('CONCEPTOS Y PARAMETROS'!$C$8,NOMINA!V390,NOMINA!$AU390,NOMINA!I390+NOMINA!J390),eval_formula('CONCEPTOS Y PARAMETROS'!$D$8,NOMINA!V390,NOMINA!$AU390,NOMINA!I390+NOMINA!J390)),2))*IF(H390&lt;&gt;"",IF(MONTH(H390)=$BR$8,IF(YEAR(H390)&lt;$BT$7,1,0),0)))</f>
        <v>0</v>
      </c>
      <c r="AY390" s="1108">
        <v>30</v>
      </c>
      <c r="AZ390" s="1107">
        <f>IFERROR(VLOOKUP(AY390,'CONCEPTOS Y PARAMETROS'!Y:Z,2,0),0)</f>
        <v>25</v>
      </c>
      <c r="BA390" s="1107">
        <f t="shared" si="1045"/>
        <v>256.83999999999997</v>
      </c>
      <c r="BB390" s="1107">
        <f t="shared" si="1046"/>
        <v>0</v>
      </c>
      <c r="BC390" s="990">
        <v>0</v>
      </c>
      <c r="BD390" s="1107" t="str">
        <f t="shared" si="1029"/>
        <v>0</v>
      </c>
      <c r="BE390" s="990">
        <v>0</v>
      </c>
      <c r="BF390" s="1107">
        <f t="shared" si="1047"/>
        <v>0</v>
      </c>
      <c r="BG390" s="1108">
        <v>310</v>
      </c>
      <c r="BH390" s="1108">
        <v>0</v>
      </c>
      <c r="BI390" s="1132">
        <v>0</v>
      </c>
      <c r="BJ390" s="1108">
        <f t="shared" si="1030"/>
        <v>0</v>
      </c>
      <c r="BK390" s="1108">
        <v>0</v>
      </c>
      <c r="BL390" s="1107">
        <f t="shared" si="1073"/>
        <v>13.13</v>
      </c>
      <c r="BM390" s="1107">
        <f t="shared" si="1074"/>
        <v>1.64</v>
      </c>
      <c r="BN390" s="1107">
        <f t="shared" si="1048"/>
        <v>2.85</v>
      </c>
      <c r="BO390" s="1107">
        <v>0</v>
      </c>
      <c r="BP390" s="1107">
        <v>0</v>
      </c>
      <c r="BQ390" s="1320">
        <f t="shared" si="1049"/>
        <v>17.62</v>
      </c>
      <c r="BR390" s="1107">
        <f t="shared" si="1076"/>
        <v>29.54</v>
      </c>
      <c r="BS390" s="1107">
        <f t="shared" si="1077"/>
        <v>6.57</v>
      </c>
      <c r="BT390" s="1107">
        <f t="shared" si="1050"/>
        <v>5.7</v>
      </c>
      <c r="BU390" s="1107">
        <v>0</v>
      </c>
      <c r="BV390" s="1108">
        <f t="shared" si="1051"/>
        <v>41.81</v>
      </c>
      <c r="BW390" s="1112">
        <f t="shared" si="1052"/>
        <v>59.430000000000007</v>
      </c>
      <c r="BX390" s="1112">
        <f>ROUND(BA390/3,2)</f>
        <v>85.61</v>
      </c>
      <c r="BY390" s="1108">
        <v>0</v>
      </c>
      <c r="BZ390" s="1108">
        <f t="shared" si="1031"/>
        <v>85.61</v>
      </c>
      <c r="CA390" s="1321">
        <f>'CONCEPTOS Y PARAMETROS'!$A$102</f>
        <v>6255</v>
      </c>
      <c r="CB390" s="1112">
        <f t="shared" si="1053"/>
        <v>130.88</v>
      </c>
      <c r="CC390" s="1113">
        <f t="shared" si="1054"/>
        <v>446</v>
      </c>
      <c r="CD390" s="1452"/>
      <c r="CE390" s="512"/>
      <c r="CF390" s="470">
        <f t="shared" si="1055"/>
        <v>756</v>
      </c>
      <c r="CG390" s="509">
        <f t="shared" si="1056"/>
        <v>130.88</v>
      </c>
      <c r="CH390" s="498">
        <f t="shared" si="1057"/>
        <v>0</v>
      </c>
      <c r="CI390" s="1491">
        <f t="shared" si="1032"/>
        <v>310</v>
      </c>
      <c r="CJ390" s="1500">
        <v>1</v>
      </c>
      <c r="CK390" s="509">
        <f t="shared" si="1058"/>
        <v>446</v>
      </c>
      <c r="CL390" s="1689">
        <f t="shared" si="1059"/>
        <v>446</v>
      </c>
      <c r="CM390" s="1689">
        <f t="shared" si="1068"/>
        <v>0</v>
      </c>
      <c r="CN390" s="510">
        <f t="shared" si="1060"/>
        <v>0</v>
      </c>
      <c r="CO390" s="511">
        <v>0</v>
      </c>
      <c r="CP390" s="510">
        <f t="shared" si="1061"/>
        <v>0</v>
      </c>
      <c r="CQ390" s="510">
        <f t="shared" si="1062"/>
        <v>0</v>
      </c>
      <c r="CR390" s="496">
        <f t="shared" si="1063"/>
        <v>892</v>
      </c>
      <c r="CS390" s="510">
        <f t="shared" si="1064"/>
        <v>59.430000000000007</v>
      </c>
      <c r="CT390" s="510">
        <f t="shared" si="1065"/>
        <v>6255</v>
      </c>
      <c r="CU390" s="470"/>
      <c r="CV390" s="470"/>
      <c r="CW390" s="470"/>
      <c r="CX390" s="470"/>
      <c r="CY390" s="1275" t="s">
        <v>6886</v>
      </c>
      <c r="CZ390" s="1275" t="s">
        <v>7206</v>
      </c>
      <c r="DA390" s="1152"/>
      <c r="DB390" s="1642" t="s">
        <v>6785</v>
      </c>
      <c r="DC390" s="1642"/>
      <c r="DD390" s="1642" t="s">
        <v>6135</v>
      </c>
      <c r="DE390" s="1642" t="s">
        <v>6192</v>
      </c>
      <c r="DF390" s="1642" t="s">
        <v>7533</v>
      </c>
      <c r="DG390" s="1152"/>
      <c r="DH390" s="512"/>
      <c r="DI390" s="512"/>
      <c r="DJ390" s="512"/>
      <c r="DK390" s="512"/>
      <c r="DL390" s="512"/>
      <c r="DN390" s="476" t="str">
        <f>VLOOKUP(X390,Hoja1!$A$4:$B$10,2,0)</f>
        <v>BACHILLER</v>
      </c>
      <c r="DO390" s="476" t="str">
        <f>VLOOKUP(S390,Hoja1!$D$4:$F$77,3,0)</f>
        <v>GRADO (2) - MÁX</v>
      </c>
      <c r="DP390" s="1451" t="str">
        <f t="shared" si="1066"/>
        <v>0</v>
      </c>
      <c r="DQ390" s="1484">
        <f>IF(T390&lt;&gt;"0",(ROUND(IF(A390="EMPLEADO",eval_formula('CONCEPTOS Y PARAMETROS'!$C$8,NOMINA!V390,AU390+BF390,NOMINA!I390+NOMINA!J390),eval_formula('CONCEPTOS Y PARAMETROS'!$D$8,NOMINA!V390,AU390+BF390,NOMINA!I390+NOMINA!J390)),2))*IF(H390&lt;&gt;"",IF(MONTH(H390)=$BR$8,IF(YEAR(H390)&lt;$BT$7,1,0),0)))</f>
        <v>0</v>
      </c>
      <c r="DR390" s="1799" t="str">
        <f t="shared" si="1067"/>
        <v>M</v>
      </c>
      <c r="DS390" s="1799"/>
    </row>
    <row r="391" spans="1:123" s="471" customFormat="1" ht="21.95" customHeight="1" x14ac:dyDescent="0.25">
      <c r="A391" s="508" t="s">
        <v>2834</v>
      </c>
      <c r="B391" s="1314">
        <f t="shared" ca="1" si="1069"/>
        <v>87</v>
      </c>
      <c r="C391" s="990">
        <v>26482867</v>
      </c>
      <c r="D391" s="1275" t="s">
        <v>5729</v>
      </c>
      <c r="E391" s="1135" t="s">
        <v>4622</v>
      </c>
      <c r="F391" s="1118">
        <v>35786</v>
      </c>
      <c r="G391" s="1135" t="s">
        <v>4621</v>
      </c>
      <c r="H391" s="1118">
        <v>45078</v>
      </c>
      <c r="I391" s="1140">
        <f t="shared" si="1033"/>
        <v>2</v>
      </c>
      <c r="J391" s="1132">
        <v>0</v>
      </c>
      <c r="K391" s="1140">
        <f t="shared" si="1025"/>
        <v>2</v>
      </c>
      <c r="L391" s="1145" t="s">
        <v>7580</v>
      </c>
      <c r="M391" s="1132"/>
      <c r="N391" s="1132"/>
      <c r="O391" s="1002" t="s">
        <v>5084</v>
      </c>
      <c r="P391" s="1151" t="s">
        <v>5763</v>
      </c>
      <c r="Q391" s="1315">
        <v>7152</v>
      </c>
      <c r="R391" s="1394" t="s">
        <v>5084</v>
      </c>
      <c r="S391" s="1393">
        <v>3</v>
      </c>
      <c r="T391" s="1107">
        <f>IFERROR(VLOOKUP(S391,'TAB OBR'!A:B,2,0),0)</f>
        <v>152</v>
      </c>
      <c r="U391" s="1108">
        <v>0</v>
      </c>
      <c r="V391" s="1107">
        <f t="shared" si="1034"/>
        <v>152</v>
      </c>
      <c r="W391" s="1108">
        <f t="shared" si="1035"/>
        <v>76</v>
      </c>
      <c r="X391" s="1135" t="s">
        <v>2884</v>
      </c>
      <c r="Y391" s="1135" t="s">
        <v>2884</v>
      </c>
      <c r="Z391" s="1135">
        <v>0</v>
      </c>
      <c r="AA391" s="1107">
        <f>ROUND(IF(H391&lt;&gt;"",VLOOKUP(SUM(I391+J391),'CONCEPTOS Y PARAMETROS'!F:G,2,0)*V391,0),2)</f>
        <v>3.04</v>
      </c>
      <c r="AB391" s="1107">
        <f>IF(S391&lt;&gt;"",IF(M391="",'CONCEPTOS Y PARAMETROS'!$C$4,0),0)</f>
        <v>130</v>
      </c>
      <c r="AC391" s="1107">
        <f>IF(S391&lt;&gt;"",IF(M391="",'CONCEPTOS Y PARAMETROS'!$C$7*Z391,0),0)</f>
        <v>0</v>
      </c>
      <c r="AD391" s="1107">
        <f>IFERROR(ROUND(VLOOKUP($X391,'CONCEPTOS Y PARAMETROS'!H:I,2,0)*($V391+AA391+AB391+AC391),2),0)</f>
        <v>0</v>
      </c>
      <c r="AE391" s="1107">
        <f t="shared" si="1036"/>
        <v>133.04</v>
      </c>
      <c r="AF391" s="1107">
        <f t="shared" si="1037"/>
        <v>1.52</v>
      </c>
      <c r="AG391" s="1107">
        <f t="shared" si="1038"/>
        <v>1.52</v>
      </c>
      <c r="AH391" s="1107">
        <f t="shared" si="1039"/>
        <v>65</v>
      </c>
      <c r="AI391" s="1107">
        <f t="shared" si="1040"/>
        <v>65</v>
      </c>
      <c r="AJ391" s="1107">
        <f t="shared" si="1041"/>
        <v>0</v>
      </c>
      <c r="AK391" s="1107">
        <f t="shared" si="1042"/>
        <v>0</v>
      </c>
      <c r="AL391" s="1108">
        <f t="shared" si="1043"/>
        <v>66.52</v>
      </c>
      <c r="AM391" s="1108">
        <f t="shared" si="1044"/>
        <v>66.52</v>
      </c>
      <c r="AN391" s="990">
        <v>0</v>
      </c>
      <c r="AO391" s="1147">
        <f>'CONCEPTOS Y PARAMETROS'!$C$18*AN391</f>
        <v>0</v>
      </c>
      <c r="AP391" s="990">
        <v>0</v>
      </c>
      <c r="AQ391" s="1147">
        <f>'CONCEPTOS Y PARAMETROS'!$C$21*AP391</f>
        <v>0</v>
      </c>
      <c r="AR391" s="1318">
        <v>0</v>
      </c>
      <c r="AS391" s="1318">
        <v>0</v>
      </c>
      <c r="AT391" s="1318">
        <f t="shared" ref="AT391" si="1139">+AO391+AQ391+AR391+AS391</f>
        <v>0</v>
      </c>
      <c r="AU391" s="1108">
        <f t="shared" si="1027"/>
        <v>285.03999999999996</v>
      </c>
      <c r="AV391" s="1133">
        <v>0</v>
      </c>
      <c r="AW391" s="1108">
        <f t="shared" si="1028"/>
        <v>0</v>
      </c>
      <c r="AX391" s="1107">
        <f>IF(T391&lt;&gt;"0",(ROUND(IF(A391="EMPLEADO",eval_formula('CONCEPTOS Y PARAMETROS'!$C$8,NOMINA!V391,NOMINA!$AU391,NOMINA!I391+NOMINA!J391),eval_formula('CONCEPTOS Y PARAMETROS'!$D$8,NOMINA!V391,NOMINA!$AU391,NOMINA!I391+NOMINA!J391)),2))*IF(H391&lt;&gt;"",IF(MONTH(H391)=$BR$8,IF(YEAR(H391)&lt;$BT$7,1,0),0)))</f>
        <v>0</v>
      </c>
      <c r="AY391" s="1108">
        <v>180</v>
      </c>
      <c r="AZ391" s="1107">
        <f>IFERROR(VLOOKUP(AY391,'CONCEPTOS Y PARAMETROS'!Y:Z,2,0),0)</f>
        <v>150</v>
      </c>
      <c r="BA391" s="1107">
        <f t="shared" si="1045"/>
        <v>2137.8000000000002</v>
      </c>
      <c r="BB391" s="1107">
        <f t="shared" si="1046"/>
        <v>0</v>
      </c>
      <c r="BC391" s="990">
        <v>0</v>
      </c>
      <c r="BD391" s="1107" t="str">
        <f t="shared" si="1029"/>
        <v>0</v>
      </c>
      <c r="BE391" s="990">
        <v>0</v>
      </c>
      <c r="BF391" s="1107">
        <f t="shared" si="1047"/>
        <v>0</v>
      </c>
      <c r="BG391" s="1108">
        <v>310</v>
      </c>
      <c r="BH391" s="1108">
        <v>0</v>
      </c>
      <c r="BI391" s="1132">
        <v>0</v>
      </c>
      <c r="BJ391" s="1108">
        <f t="shared" si="1030"/>
        <v>0</v>
      </c>
      <c r="BK391" s="1108">
        <v>0</v>
      </c>
      <c r="BL391" s="1107">
        <f t="shared" si="1073"/>
        <v>13.16</v>
      </c>
      <c r="BM391" s="1107">
        <f t="shared" si="1074"/>
        <v>1.64</v>
      </c>
      <c r="BN391" s="1107">
        <f t="shared" si="1048"/>
        <v>2.85</v>
      </c>
      <c r="BO391" s="1107">
        <v>0</v>
      </c>
      <c r="BP391" s="1107">
        <v>0</v>
      </c>
      <c r="BQ391" s="1320">
        <f t="shared" ref="BQ391" si="1140">ROUND(SUM(BL391:BP391),2)</f>
        <v>17.649999999999999</v>
      </c>
      <c r="BR391" s="1107">
        <f t="shared" si="1076"/>
        <v>29.6</v>
      </c>
      <c r="BS391" s="1107">
        <f t="shared" si="1077"/>
        <v>6.58</v>
      </c>
      <c r="BT391" s="1107">
        <f t="shared" si="1050"/>
        <v>5.7</v>
      </c>
      <c r="BU391" s="1107">
        <v>0</v>
      </c>
      <c r="BV391" s="1108">
        <f t="shared" ref="BV391" si="1141">ROUND(SUM(BR391:BT391),2)</f>
        <v>41.88</v>
      </c>
      <c r="BW391" s="1112">
        <f t="shared" ref="BW391" si="1142">BQ391+BV391</f>
        <v>59.53</v>
      </c>
      <c r="BX391" s="1112">
        <f t="shared" ref="BX391:BX396" si="1143">ROUND(BA391/4,2)</f>
        <v>534.45000000000005</v>
      </c>
      <c r="BY391" s="1108">
        <v>0</v>
      </c>
      <c r="BZ391" s="1108">
        <f t="shared" si="1031"/>
        <v>534.45000000000005</v>
      </c>
      <c r="CA391" s="1321">
        <f>'CONCEPTOS Y PARAMETROS'!$A$102</f>
        <v>6255</v>
      </c>
      <c r="CB391" s="1112">
        <f t="shared" si="1053"/>
        <v>124.86999999999998</v>
      </c>
      <c r="CC391" s="1113">
        <f t="shared" si="1054"/>
        <v>452.52</v>
      </c>
      <c r="CD391" s="512"/>
      <c r="CE391" s="512"/>
      <c r="CF391" s="470">
        <f t="shared" si="1055"/>
        <v>762.52</v>
      </c>
      <c r="CG391" s="509">
        <f t="shared" si="1056"/>
        <v>124.86999999999998</v>
      </c>
      <c r="CH391" s="498">
        <f t="shared" si="1057"/>
        <v>0</v>
      </c>
      <c r="CI391" s="1490">
        <f t="shared" si="1032"/>
        <v>310</v>
      </c>
      <c r="CJ391" s="1500">
        <v>1</v>
      </c>
      <c r="CK391" s="495">
        <f t="shared" si="1058"/>
        <v>452.52</v>
      </c>
      <c r="CL391" s="1689">
        <f t="shared" si="1059"/>
        <v>452.52</v>
      </c>
      <c r="CM391" s="1689">
        <f t="shared" si="1068"/>
        <v>0</v>
      </c>
      <c r="CN391" s="510">
        <f t="shared" si="1060"/>
        <v>0</v>
      </c>
      <c r="CO391" s="511">
        <v>0</v>
      </c>
      <c r="CP391" s="510">
        <f t="shared" si="1061"/>
        <v>0</v>
      </c>
      <c r="CQ391" s="510">
        <f t="shared" si="1062"/>
        <v>0</v>
      </c>
      <c r="CR391" s="496">
        <f t="shared" si="1063"/>
        <v>905.04</v>
      </c>
      <c r="CS391" s="496">
        <f t="shared" si="1064"/>
        <v>59.53</v>
      </c>
      <c r="CT391" s="510">
        <f t="shared" si="1065"/>
        <v>6255</v>
      </c>
      <c r="CU391" s="470"/>
      <c r="CV391" s="470"/>
      <c r="CW391" s="470"/>
      <c r="CX391" s="470"/>
      <c r="CY391" s="1275" t="s">
        <v>7207</v>
      </c>
      <c r="CZ391" s="1275" t="s">
        <v>7208</v>
      </c>
      <c r="DA391" s="1152"/>
      <c r="DB391" s="1642" t="s">
        <v>6518</v>
      </c>
      <c r="DC391" s="1642"/>
      <c r="DD391" s="1642" t="s">
        <v>6255</v>
      </c>
      <c r="DE391" s="1642" t="s">
        <v>6255</v>
      </c>
      <c r="DF391" s="1642" t="s">
        <v>7531</v>
      </c>
      <c r="DG391" s="1152"/>
      <c r="DH391" s="512"/>
      <c r="DI391" s="512"/>
      <c r="DJ391" s="512"/>
      <c r="DK391" s="512"/>
      <c r="DL391" s="512"/>
      <c r="DM391" s="476"/>
      <c r="DN391" s="471" t="str">
        <f>VLOOKUP(X391,Hoja1!$A$4:$B$10,2,0)</f>
        <v>BACHILLER</v>
      </c>
      <c r="DO391" s="471" t="str">
        <f>VLOOKUP(S391,Hoja1!$D$4:$F$77,3,0)</f>
        <v>GRADO (3) - MÁX</v>
      </c>
      <c r="DP391" s="1156" t="str">
        <f t="shared" si="1066"/>
        <v>0</v>
      </c>
      <c r="DQ391" s="1484">
        <f>IF(T391&lt;&gt;"0",(ROUND(IF(A391="EMPLEADO",eval_formula('CONCEPTOS Y PARAMETROS'!$C$8,NOMINA!V391,AU391+BF391,NOMINA!I391+NOMINA!J391),eval_formula('CONCEPTOS Y PARAMETROS'!$D$8,NOMINA!V391,AU391+BF391,NOMINA!I391+NOMINA!J391)),2))*IF(H391&lt;&gt;"",IF(MONTH(H391)=$BR$8,IF(YEAR(H391)&lt;$BT$7,1,0),0)))</f>
        <v>0</v>
      </c>
      <c r="DR391" s="1801" t="str">
        <f t="shared" si="1067"/>
        <v>M</v>
      </c>
      <c r="DS391" s="1801"/>
    </row>
    <row r="392" spans="1:123" s="471" customFormat="1" ht="21.95" customHeight="1" x14ac:dyDescent="0.25">
      <c r="A392" s="508" t="s">
        <v>2834</v>
      </c>
      <c r="B392" s="1314">
        <f t="shared" ca="1" si="1069"/>
        <v>88</v>
      </c>
      <c r="C392" s="990">
        <v>27415509</v>
      </c>
      <c r="D392" s="1275" t="s">
        <v>5042</v>
      </c>
      <c r="E392" s="1135" t="s">
        <v>4622</v>
      </c>
      <c r="F392" s="1118">
        <v>36637</v>
      </c>
      <c r="G392" s="1135" t="s">
        <v>4621</v>
      </c>
      <c r="H392" s="1118">
        <v>43678</v>
      </c>
      <c r="I392" s="1140">
        <f t="shared" si="1033"/>
        <v>6</v>
      </c>
      <c r="J392" s="1132">
        <v>0</v>
      </c>
      <c r="K392" s="1140">
        <f t="shared" si="1025"/>
        <v>6</v>
      </c>
      <c r="L392" s="1145" t="s">
        <v>5544</v>
      </c>
      <c r="M392" s="1132"/>
      <c r="N392" s="1132"/>
      <c r="O392" s="1002" t="s">
        <v>5084</v>
      </c>
      <c r="P392" s="1132" t="s">
        <v>5177</v>
      </c>
      <c r="Q392" s="1315">
        <v>7152</v>
      </c>
      <c r="R392" s="1394" t="s">
        <v>5084</v>
      </c>
      <c r="S392" s="1393">
        <v>3</v>
      </c>
      <c r="T392" s="1107">
        <f>IFERROR(VLOOKUP(S392,'TAB OBR'!A:B,2,0),0)</f>
        <v>152</v>
      </c>
      <c r="U392" s="1108">
        <v>0</v>
      </c>
      <c r="V392" s="1107">
        <f t="shared" si="1034"/>
        <v>152</v>
      </c>
      <c r="W392" s="1108">
        <f t="shared" si="1035"/>
        <v>76</v>
      </c>
      <c r="X392" s="1135" t="s">
        <v>2884</v>
      </c>
      <c r="Y392" s="1135" t="s">
        <v>2884</v>
      </c>
      <c r="Z392" s="1135">
        <v>0</v>
      </c>
      <c r="AA392" s="1107">
        <f>ROUND(IF(H392&lt;&gt;"",VLOOKUP(SUM(I392+J392),'CONCEPTOS Y PARAMETROS'!F:G,2,0)*V392,0),2)</f>
        <v>9.42</v>
      </c>
      <c r="AB392" s="1107">
        <f>IF(S392&lt;&gt;"",IF(M392="",'CONCEPTOS Y PARAMETROS'!$C$4,0),0)</f>
        <v>130</v>
      </c>
      <c r="AC392" s="1107">
        <f>IF(S392&lt;&gt;"",IF(M392="",'CONCEPTOS Y PARAMETROS'!$C$7*Z392,0),0)</f>
        <v>0</v>
      </c>
      <c r="AD392" s="1107">
        <f>IFERROR(ROUND(VLOOKUP($X392,'CONCEPTOS Y PARAMETROS'!H:I,2,0)*($V392+AA392+AB392+AC392),2),0)</f>
        <v>0</v>
      </c>
      <c r="AE392" s="1107">
        <f t="shared" si="1036"/>
        <v>139.41999999999999</v>
      </c>
      <c r="AF392" s="1107">
        <f t="shared" si="1037"/>
        <v>4.71</v>
      </c>
      <c r="AG392" s="1107">
        <f t="shared" si="1038"/>
        <v>4.71</v>
      </c>
      <c r="AH392" s="1107">
        <f t="shared" si="1039"/>
        <v>65</v>
      </c>
      <c r="AI392" s="1107">
        <f t="shared" si="1040"/>
        <v>65</v>
      </c>
      <c r="AJ392" s="1107">
        <f t="shared" si="1041"/>
        <v>0</v>
      </c>
      <c r="AK392" s="1107">
        <f t="shared" si="1042"/>
        <v>0</v>
      </c>
      <c r="AL392" s="1108">
        <f t="shared" si="1043"/>
        <v>69.709999999999994</v>
      </c>
      <c r="AM392" s="1108">
        <f t="shared" si="1044"/>
        <v>69.709999999999994</v>
      </c>
      <c r="AN392" s="990">
        <v>0</v>
      </c>
      <c r="AO392" s="1147">
        <f>'CONCEPTOS Y PARAMETROS'!$C$18*AN392</f>
        <v>0</v>
      </c>
      <c r="AP392" s="990">
        <v>0</v>
      </c>
      <c r="AQ392" s="1147">
        <f>'CONCEPTOS Y PARAMETROS'!$C$21*AP392</f>
        <v>0</v>
      </c>
      <c r="AR392" s="1318">
        <v>0</v>
      </c>
      <c r="AS392" s="1318">
        <v>0</v>
      </c>
      <c r="AT392" s="1318">
        <f t="shared" si="1026"/>
        <v>0</v>
      </c>
      <c r="AU392" s="1108">
        <f t="shared" si="1027"/>
        <v>291.41999999999996</v>
      </c>
      <c r="AV392" s="1133">
        <v>0</v>
      </c>
      <c r="AW392" s="1108">
        <f t="shared" si="1028"/>
        <v>0</v>
      </c>
      <c r="AX392" s="1107">
        <f>IF(T392&lt;&gt;"0",(ROUND(IF(A392="EMPLEADO",eval_formula('CONCEPTOS Y PARAMETROS'!$C$8,NOMINA!V392,NOMINA!$AU392,NOMINA!I392+NOMINA!J392),eval_formula('CONCEPTOS Y PARAMETROS'!$D$8,NOMINA!V392,NOMINA!$AU392,NOMINA!I392+NOMINA!J392)),2))*IF(H392&lt;&gt;"",IF(MONTH(H392)=$BR$8,IF(YEAR(H392)&lt;$BT$7,1,0),0)))</f>
        <v>0</v>
      </c>
      <c r="AY392" s="1108">
        <v>180</v>
      </c>
      <c r="AZ392" s="1107">
        <f>IFERROR(VLOOKUP(AY392,'CONCEPTOS Y PARAMETROS'!Y:Z,2,0),0)</f>
        <v>150</v>
      </c>
      <c r="BA392" s="1107">
        <f t="shared" si="1045"/>
        <v>2185.65</v>
      </c>
      <c r="BB392" s="1107">
        <f t="shared" si="1046"/>
        <v>0</v>
      </c>
      <c r="BC392" s="990">
        <v>0</v>
      </c>
      <c r="BD392" s="1107" t="str">
        <f t="shared" si="1029"/>
        <v>0</v>
      </c>
      <c r="BE392" s="990">
        <v>0</v>
      </c>
      <c r="BF392" s="1107">
        <f t="shared" si="1047"/>
        <v>0</v>
      </c>
      <c r="BG392" s="1108">
        <v>310</v>
      </c>
      <c r="BH392" s="1108">
        <v>0</v>
      </c>
      <c r="BI392" s="1132">
        <v>0</v>
      </c>
      <c r="BJ392" s="1108">
        <f t="shared" si="1030"/>
        <v>0</v>
      </c>
      <c r="BK392" s="1108">
        <v>0</v>
      </c>
      <c r="BL392" s="1107">
        <f t="shared" si="1073"/>
        <v>13.45</v>
      </c>
      <c r="BM392" s="1107">
        <f t="shared" si="1074"/>
        <v>1.68</v>
      </c>
      <c r="BN392" s="1107">
        <f t="shared" si="1048"/>
        <v>2.91</v>
      </c>
      <c r="BO392" s="1107">
        <v>0</v>
      </c>
      <c r="BP392" s="1107">
        <v>0</v>
      </c>
      <c r="BQ392" s="1320">
        <f t="shared" si="1049"/>
        <v>18.04</v>
      </c>
      <c r="BR392" s="1107">
        <f t="shared" si="1076"/>
        <v>30.26</v>
      </c>
      <c r="BS392" s="1107">
        <f t="shared" si="1077"/>
        <v>6.73</v>
      </c>
      <c r="BT392" s="1107">
        <f t="shared" si="1050"/>
        <v>5.82</v>
      </c>
      <c r="BU392" s="1107">
        <v>0</v>
      </c>
      <c r="BV392" s="1108">
        <f t="shared" si="1051"/>
        <v>42.81</v>
      </c>
      <c r="BW392" s="1112">
        <f t="shared" si="1052"/>
        <v>60.85</v>
      </c>
      <c r="BX392" s="1112">
        <f t="shared" si="1143"/>
        <v>546.41</v>
      </c>
      <c r="BY392" s="1108">
        <v>0</v>
      </c>
      <c r="BZ392" s="1108">
        <f t="shared" si="1031"/>
        <v>546.41</v>
      </c>
      <c r="CA392" s="1321">
        <f>'CONCEPTOS Y PARAMETROS'!$A$102</f>
        <v>6255</v>
      </c>
      <c r="CB392" s="1112">
        <f t="shared" si="1053"/>
        <v>127.66999999999999</v>
      </c>
      <c r="CC392" s="1113">
        <f t="shared" si="1054"/>
        <v>455.71</v>
      </c>
      <c r="CD392" s="512"/>
      <c r="CE392" s="1765"/>
      <c r="CF392" s="470">
        <f t="shared" si="1055"/>
        <v>765.71</v>
      </c>
      <c r="CG392" s="495">
        <f t="shared" si="1056"/>
        <v>127.66999999999999</v>
      </c>
      <c r="CH392" s="498">
        <f t="shared" si="1057"/>
        <v>0</v>
      </c>
      <c r="CI392" s="1490">
        <f t="shared" si="1032"/>
        <v>310</v>
      </c>
      <c r="CJ392" s="1500">
        <v>1</v>
      </c>
      <c r="CK392" s="495">
        <f t="shared" si="1058"/>
        <v>455.71</v>
      </c>
      <c r="CL392" s="1689">
        <f t="shared" si="1059"/>
        <v>455.71</v>
      </c>
      <c r="CM392" s="1689">
        <f t="shared" si="1068"/>
        <v>0</v>
      </c>
      <c r="CN392" s="496">
        <f t="shared" si="1060"/>
        <v>0</v>
      </c>
      <c r="CO392" s="497">
        <v>0</v>
      </c>
      <c r="CP392" s="496">
        <f t="shared" si="1061"/>
        <v>0</v>
      </c>
      <c r="CQ392" s="496">
        <f t="shared" si="1062"/>
        <v>0</v>
      </c>
      <c r="CR392" s="496">
        <f t="shared" si="1063"/>
        <v>911.42</v>
      </c>
      <c r="CS392" s="496">
        <f t="shared" si="1064"/>
        <v>60.85</v>
      </c>
      <c r="CT392" s="496">
        <f t="shared" si="1065"/>
        <v>6255</v>
      </c>
      <c r="CU392" s="470"/>
      <c r="CV392" s="470"/>
      <c r="CW392" s="470"/>
      <c r="CX392" s="470"/>
      <c r="CY392" s="1275" t="s">
        <v>6887</v>
      </c>
      <c r="CZ392" s="1275" t="s">
        <v>6996</v>
      </c>
      <c r="DA392" s="480"/>
      <c r="DB392" s="1642" t="s">
        <v>6436</v>
      </c>
      <c r="DC392" s="1642" t="s">
        <v>6709</v>
      </c>
      <c r="DD392" s="1642" t="s">
        <v>6158</v>
      </c>
      <c r="DE392" s="1642" t="s">
        <v>6222</v>
      </c>
      <c r="DF392" s="1642" t="s">
        <v>6228</v>
      </c>
      <c r="DG392" s="1152"/>
      <c r="DH392" s="470"/>
      <c r="DI392" s="470"/>
      <c r="DJ392" s="470"/>
      <c r="DK392" s="470"/>
      <c r="DL392" s="470"/>
      <c r="DN392" s="471" t="str">
        <f>VLOOKUP(X392,Hoja1!$A$4:$B$10,2,0)</f>
        <v>BACHILLER</v>
      </c>
      <c r="DO392" s="471" t="str">
        <f>VLOOKUP(S392,Hoja1!$D$4:$F$77,3,0)</f>
        <v>GRADO (3) - MÁX</v>
      </c>
      <c r="DP392" s="1156" t="str">
        <f t="shared" si="1066"/>
        <v>0</v>
      </c>
      <c r="DQ392" s="1484">
        <f>IF(T392&lt;&gt;"0",(ROUND(IF(A392="EMPLEADO",eval_formula('CONCEPTOS Y PARAMETROS'!$C$8,NOMINA!V392,AU392+BF392,NOMINA!I392+NOMINA!J392),eval_formula('CONCEPTOS Y PARAMETROS'!$D$8,NOMINA!V392,AU392+BF392,NOMINA!I392+NOMINA!J392)),2))*IF(H392&lt;&gt;"",IF(MONTH(H392)=$BR$8,IF(YEAR(H392)&lt;$BT$7,1,0),0)))</f>
        <v>0</v>
      </c>
      <c r="DR392" s="1801" t="str">
        <f t="shared" si="1067"/>
        <v>M</v>
      </c>
      <c r="DS392" s="1801"/>
    </row>
    <row r="393" spans="1:123" s="471" customFormat="1" ht="21.95" customHeight="1" x14ac:dyDescent="0.25">
      <c r="A393" s="508" t="s">
        <v>2834</v>
      </c>
      <c r="B393" s="1314">
        <f t="shared" ca="1" si="1069"/>
        <v>89</v>
      </c>
      <c r="C393" s="990">
        <v>27470077</v>
      </c>
      <c r="D393" s="1275" t="s">
        <v>5043</v>
      </c>
      <c r="E393" s="1135" t="s">
        <v>4622</v>
      </c>
      <c r="F393" s="1118">
        <v>35661</v>
      </c>
      <c r="G393" s="1135" t="s">
        <v>4620</v>
      </c>
      <c r="H393" s="1118">
        <v>44743</v>
      </c>
      <c r="I393" s="1140">
        <f t="shared" si="1033"/>
        <v>3</v>
      </c>
      <c r="J393" s="1132">
        <v>0</v>
      </c>
      <c r="K393" s="1140">
        <f t="shared" si="1025"/>
        <v>3</v>
      </c>
      <c r="L393" s="1145" t="s">
        <v>5528</v>
      </c>
      <c r="M393" s="1132"/>
      <c r="N393" s="1132"/>
      <c r="O393" s="1002" t="s">
        <v>5087</v>
      </c>
      <c r="P393" s="1132" t="s">
        <v>5178</v>
      </c>
      <c r="Q393" s="1315">
        <v>7102</v>
      </c>
      <c r="R393" s="1394" t="s">
        <v>5087</v>
      </c>
      <c r="S393" s="1393">
        <v>1</v>
      </c>
      <c r="T393" s="1107">
        <f>IFERROR(VLOOKUP(S393,'TAB OBR'!A:B,2,0),0)</f>
        <v>130</v>
      </c>
      <c r="U393" s="1108">
        <v>0</v>
      </c>
      <c r="V393" s="1107">
        <f t="shared" si="1034"/>
        <v>130</v>
      </c>
      <c r="W393" s="1108">
        <f t="shared" si="1035"/>
        <v>65</v>
      </c>
      <c r="X393" s="1135" t="s">
        <v>2884</v>
      </c>
      <c r="Y393" s="1135" t="s">
        <v>2884</v>
      </c>
      <c r="Z393" s="1135">
        <v>1</v>
      </c>
      <c r="AA393" s="1107">
        <f>ROUND(IF(H393&lt;&gt;"",VLOOKUP(SUM(I393+J393),'CONCEPTOS Y PARAMETROS'!F:G,2,0)*V393,0),2)</f>
        <v>3.9</v>
      </c>
      <c r="AB393" s="1107">
        <f>IF(S393&lt;&gt;"",IF(M393="",'CONCEPTOS Y PARAMETROS'!$C$4,0),0)</f>
        <v>130</v>
      </c>
      <c r="AC393" s="1107">
        <f>IF(S393&lt;&gt;"",IF(M393="",'CONCEPTOS Y PARAMETROS'!$C$7*Z393,0),0)</f>
        <v>12.5</v>
      </c>
      <c r="AD393" s="1107">
        <f>IFERROR(ROUND(VLOOKUP($X393,'CONCEPTOS Y PARAMETROS'!H:I,2,0)*($V393+AA393+AB393+AC393),2),0)</f>
        <v>0</v>
      </c>
      <c r="AE393" s="1107">
        <f t="shared" si="1036"/>
        <v>146.4</v>
      </c>
      <c r="AF393" s="1107">
        <f t="shared" si="1037"/>
        <v>1.95</v>
      </c>
      <c r="AG393" s="1107">
        <f t="shared" si="1038"/>
        <v>1.95</v>
      </c>
      <c r="AH393" s="1107">
        <f t="shared" si="1039"/>
        <v>65</v>
      </c>
      <c r="AI393" s="1107">
        <f t="shared" si="1040"/>
        <v>65</v>
      </c>
      <c r="AJ393" s="1107">
        <f t="shared" si="1041"/>
        <v>0</v>
      </c>
      <c r="AK393" s="1107">
        <f t="shared" si="1042"/>
        <v>0</v>
      </c>
      <c r="AL393" s="1108">
        <f t="shared" si="1043"/>
        <v>79.45</v>
      </c>
      <c r="AM393" s="1108">
        <f t="shared" si="1044"/>
        <v>66.95</v>
      </c>
      <c r="AN393" s="990">
        <v>0</v>
      </c>
      <c r="AO393" s="1147">
        <f>'CONCEPTOS Y PARAMETROS'!$C$18*AN393</f>
        <v>0</v>
      </c>
      <c r="AP393" s="990">
        <v>0</v>
      </c>
      <c r="AQ393" s="1147">
        <f>'CONCEPTOS Y PARAMETROS'!$C$21*AP393</f>
        <v>0</v>
      </c>
      <c r="AR393" s="1318">
        <v>0</v>
      </c>
      <c r="AS393" s="1318">
        <v>0</v>
      </c>
      <c r="AT393" s="1318">
        <f t="shared" si="1026"/>
        <v>0</v>
      </c>
      <c r="AU393" s="1108">
        <f t="shared" si="1027"/>
        <v>276.39999999999998</v>
      </c>
      <c r="AV393" s="1133">
        <v>0</v>
      </c>
      <c r="AW393" s="1108">
        <f t="shared" si="1028"/>
        <v>0</v>
      </c>
      <c r="AX393" s="1107">
        <f>IF(T393&lt;&gt;"0",(ROUND(IF(A393="EMPLEADO",eval_formula('CONCEPTOS Y PARAMETROS'!$C$8,NOMINA!V393,NOMINA!$AU393,NOMINA!I393+NOMINA!J393),eval_formula('CONCEPTOS Y PARAMETROS'!$D$8,NOMINA!V393,NOMINA!$AU393,NOMINA!I393+NOMINA!J393)),2))*IF(H393&lt;&gt;"",IF(MONTH(H393)=$BR$8,IF(YEAR(H393)&lt;$BT$7,1,0),0)))</f>
        <v>0</v>
      </c>
      <c r="AY393" s="1108">
        <v>180</v>
      </c>
      <c r="AZ393" s="1107">
        <f>IFERROR(VLOOKUP(AY393,'CONCEPTOS Y PARAMETROS'!Y:Z,2,0),0)</f>
        <v>150</v>
      </c>
      <c r="BA393" s="1107">
        <f t="shared" si="1045"/>
        <v>2073</v>
      </c>
      <c r="BB393" s="1107">
        <f t="shared" si="1046"/>
        <v>0</v>
      </c>
      <c r="BC393" s="990">
        <v>0</v>
      </c>
      <c r="BD393" s="1107" t="str">
        <f t="shared" si="1029"/>
        <v>0</v>
      </c>
      <c r="BE393" s="990">
        <v>0</v>
      </c>
      <c r="BF393" s="1107">
        <f t="shared" si="1047"/>
        <v>0</v>
      </c>
      <c r="BG393" s="1108">
        <v>310</v>
      </c>
      <c r="BH393" s="1108">
        <v>0</v>
      </c>
      <c r="BI393" s="1132">
        <v>0</v>
      </c>
      <c r="BJ393" s="1108">
        <f t="shared" si="1030"/>
        <v>0</v>
      </c>
      <c r="BK393" s="1108">
        <v>0</v>
      </c>
      <c r="BL393" s="1107">
        <f t="shared" si="1073"/>
        <v>12.76</v>
      </c>
      <c r="BM393" s="1107">
        <f t="shared" si="1074"/>
        <v>1.59</v>
      </c>
      <c r="BN393" s="1107">
        <f t="shared" si="1048"/>
        <v>2.76</v>
      </c>
      <c r="BO393" s="1107">
        <v>0</v>
      </c>
      <c r="BP393" s="1107">
        <v>0</v>
      </c>
      <c r="BQ393" s="1320">
        <f t="shared" si="1049"/>
        <v>17.11</v>
      </c>
      <c r="BR393" s="1107">
        <f t="shared" si="1076"/>
        <v>28.7</v>
      </c>
      <c r="BS393" s="1107">
        <f t="shared" si="1077"/>
        <v>6.38</v>
      </c>
      <c r="BT393" s="1107">
        <f t="shared" si="1050"/>
        <v>5.52</v>
      </c>
      <c r="BU393" s="1107">
        <v>0</v>
      </c>
      <c r="BV393" s="1108">
        <f t="shared" si="1051"/>
        <v>40.6</v>
      </c>
      <c r="BW393" s="1112">
        <f t="shared" si="1052"/>
        <v>57.71</v>
      </c>
      <c r="BX393" s="1112">
        <f t="shared" si="1143"/>
        <v>518.25</v>
      </c>
      <c r="BY393" s="1108">
        <v>0</v>
      </c>
      <c r="BZ393" s="1108">
        <f t="shared" si="1031"/>
        <v>518.25</v>
      </c>
      <c r="CA393" s="1321">
        <f>'CONCEPTOS Y PARAMETROS'!$A$102</f>
        <v>6255</v>
      </c>
      <c r="CB393" s="1112">
        <f t="shared" si="1053"/>
        <v>127.33999999999999</v>
      </c>
      <c r="CC393" s="1113">
        <f t="shared" si="1054"/>
        <v>441.95</v>
      </c>
      <c r="CD393" s="512"/>
      <c r="CE393" s="512"/>
      <c r="CF393" s="470">
        <f t="shared" si="1055"/>
        <v>751.95</v>
      </c>
      <c r="CG393" s="495">
        <f t="shared" si="1056"/>
        <v>127.33999999999999</v>
      </c>
      <c r="CH393" s="498">
        <f t="shared" si="1057"/>
        <v>0</v>
      </c>
      <c r="CI393" s="1490">
        <f t="shared" si="1032"/>
        <v>310</v>
      </c>
      <c r="CJ393" s="1500">
        <v>1</v>
      </c>
      <c r="CK393" s="495">
        <f t="shared" si="1058"/>
        <v>441.95</v>
      </c>
      <c r="CL393" s="1689">
        <f t="shared" si="1059"/>
        <v>441.95</v>
      </c>
      <c r="CM393" s="1689">
        <f t="shared" si="1068"/>
        <v>0</v>
      </c>
      <c r="CN393" s="496">
        <f t="shared" si="1060"/>
        <v>0</v>
      </c>
      <c r="CO393" s="497">
        <v>0</v>
      </c>
      <c r="CP393" s="496">
        <f t="shared" si="1061"/>
        <v>0</v>
      </c>
      <c r="CQ393" s="496">
        <f t="shared" si="1062"/>
        <v>0</v>
      </c>
      <c r="CR393" s="496">
        <f t="shared" si="1063"/>
        <v>883.9</v>
      </c>
      <c r="CS393" s="496">
        <f t="shared" si="1064"/>
        <v>57.71</v>
      </c>
      <c r="CT393" s="496">
        <f t="shared" si="1065"/>
        <v>6255</v>
      </c>
      <c r="CU393" s="470"/>
      <c r="CV393" s="470"/>
      <c r="CW393" s="470"/>
      <c r="CX393" s="470"/>
      <c r="CY393" s="1275" t="s">
        <v>6865</v>
      </c>
      <c r="CZ393" s="1275" t="s">
        <v>7209</v>
      </c>
      <c r="DA393" s="480"/>
      <c r="DB393" s="1642" t="s">
        <v>6477</v>
      </c>
      <c r="DC393" s="1642"/>
      <c r="DD393" s="1642" t="s">
        <v>6135</v>
      </c>
      <c r="DE393" s="1642" t="s">
        <v>6171</v>
      </c>
      <c r="DF393" s="1642" t="s">
        <v>7450</v>
      </c>
      <c r="DG393" s="1642"/>
      <c r="DH393" s="470"/>
      <c r="DI393" s="470"/>
      <c r="DJ393" s="470"/>
      <c r="DK393" s="470"/>
      <c r="DL393" s="470"/>
      <c r="DN393" s="471" t="str">
        <f>VLOOKUP(X393,Hoja1!$A$4:$B$10,2,0)</f>
        <v>BACHILLER</v>
      </c>
      <c r="DO393" s="471" t="str">
        <f>VLOOKUP(S393,Hoja1!$D$4:$F$77,3,0)</f>
        <v>GRADO (1) - MIN</v>
      </c>
      <c r="DP393" s="1156" t="str">
        <f t="shared" si="1066"/>
        <v>0</v>
      </c>
      <c r="DQ393" s="1484">
        <f>IF(T393&lt;&gt;"0",(ROUND(IF(A393="EMPLEADO",eval_formula('CONCEPTOS Y PARAMETROS'!$C$8,NOMINA!V393,AU393+BF393,NOMINA!I393+NOMINA!J393),eval_formula('CONCEPTOS Y PARAMETROS'!$D$8,NOMINA!V393,AU393+BF393,NOMINA!I393+NOMINA!J393)),2))*IF(H393&lt;&gt;"",IF(MONTH(H393)=$BR$8,IF(YEAR(H393)&lt;$BT$7,1,0),0)))</f>
        <v>0</v>
      </c>
      <c r="DR393" s="1801" t="str">
        <f t="shared" si="1067"/>
        <v>F</v>
      </c>
      <c r="DS393" s="1801"/>
    </row>
    <row r="394" spans="1:123" s="471" customFormat="1" ht="21.95" customHeight="1" x14ac:dyDescent="0.25">
      <c r="A394" s="508" t="s">
        <v>2834</v>
      </c>
      <c r="B394" s="1314">
        <f t="shared" ca="1" si="1069"/>
        <v>90</v>
      </c>
      <c r="C394" s="990">
        <v>29539270</v>
      </c>
      <c r="D394" s="1275" t="s">
        <v>5044</v>
      </c>
      <c r="E394" s="1135" t="s">
        <v>4622</v>
      </c>
      <c r="F394" s="1118">
        <v>36956</v>
      </c>
      <c r="G394" s="1135" t="s">
        <v>4621</v>
      </c>
      <c r="H394" s="1118">
        <v>44287</v>
      </c>
      <c r="I394" s="1140">
        <f t="shared" si="1033"/>
        <v>4</v>
      </c>
      <c r="J394" s="1132">
        <v>0</v>
      </c>
      <c r="K394" s="1140">
        <f t="shared" si="1025"/>
        <v>4</v>
      </c>
      <c r="L394" s="1145" t="s">
        <v>5529</v>
      </c>
      <c r="M394" s="1132"/>
      <c r="N394" s="1132"/>
      <c r="O394" s="1002" t="s">
        <v>5084</v>
      </c>
      <c r="P394" s="1132" t="s">
        <v>5179</v>
      </c>
      <c r="Q394" s="1315">
        <v>7152</v>
      </c>
      <c r="R394" s="1394" t="s">
        <v>5084</v>
      </c>
      <c r="S394" s="1393">
        <v>3</v>
      </c>
      <c r="T394" s="1107">
        <f>IFERROR(VLOOKUP(S394,'TAB OBR'!A:B,2,0),0)</f>
        <v>152</v>
      </c>
      <c r="U394" s="1108">
        <v>0</v>
      </c>
      <c r="V394" s="1107">
        <f t="shared" si="1034"/>
        <v>152</v>
      </c>
      <c r="W394" s="1108">
        <f t="shared" si="1035"/>
        <v>76</v>
      </c>
      <c r="X394" s="1135" t="s">
        <v>2884</v>
      </c>
      <c r="Y394" s="1135" t="s">
        <v>2884</v>
      </c>
      <c r="Z394" s="1135">
        <v>0</v>
      </c>
      <c r="AA394" s="1107">
        <f>ROUND(IF(H394&lt;&gt;"",VLOOKUP(SUM(I394+J394),'CONCEPTOS Y PARAMETROS'!F:G,2,0)*V394,0),2)</f>
        <v>6.08</v>
      </c>
      <c r="AB394" s="1107">
        <f>IF(S394&lt;&gt;"",IF(M394="",'CONCEPTOS Y PARAMETROS'!$C$4,0),0)</f>
        <v>130</v>
      </c>
      <c r="AC394" s="1107">
        <f>IF(S394&lt;&gt;"",IF(M394="",'CONCEPTOS Y PARAMETROS'!$C$7*Z394,0),0)</f>
        <v>0</v>
      </c>
      <c r="AD394" s="1107">
        <f>IFERROR(ROUND(VLOOKUP($X394,'CONCEPTOS Y PARAMETROS'!H:I,2,0)*($V394+AA394+AB394+AC394),2),0)</f>
        <v>0</v>
      </c>
      <c r="AE394" s="1107">
        <f t="shared" si="1036"/>
        <v>136.08000000000001</v>
      </c>
      <c r="AF394" s="1107">
        <f t="shared" si="1037"/>
        <v>3.04</v>
      </c>
      <c r="AG394" s="1107">
        <f t="shared" si="1038"/>
        <v>3.04</v>
      </c>
      <c r="AH394" s="1107">
        <f t="shared" si="1039"/>
        <v>65</v>
      </c>
      <c r="AI394" s="1107">
        <f t="shared" si="1040"/>
        <v>65</v>
      </c>
      <c r="AJ394" s="1107">
        <f t="shared" si="1041"/>
        <v>0</v>
      </c>
      <c r="AK394" s="1107">
        <f t="shared" si="1042"/>
        <v>0</v>
      </c>
      <c r="AL394" s="1108">
        <f t="shared" si="1043"/>
        <v>68.040000000000006</v>
      </c>
      <c r="AM394" s="1108">
        <f t="shared" si="1044"/>
        <v>68.040000000000006</v>
      </c>
      <c r="AN394" s="990">
        <v>0</v>
      </c>
      <c r="AO394" s="1147">
        <f>'CONCEPTOS Y PARAMETROS'!$C$18*AN394</f>
        <v>0</v>
      </c>
      <c r="AP394" s="990">
        <v>0</v>
      </c>
      <c r="AQ394" s="1147">
        <f>'CONCEPTOS Y PARAMETROS'!$C$21*AP394</f>
        <v>0</v>
      </c>
      <c r="AR394" s="1318">
        <v>12.5</v>
      </c>
      <c r="AS394" s="1318">
        <v>0</v>
      </c>
      <c r="AT394" s="1318">
        <f t="shared" si="1026"/>
        <v>12.5</v>
      </c>
      <c r="AU394" s="1108">
        <f t="shared" si="1027"/>
        <v>288.08000000000004</v>
      </c>
      <c r="AV394" s="1133">
        <v>0</v>
      </c>
      <c r="AW394" s="1108">
        <f t="shared" si="1028"/>
        <v>0</v>
      </c>
      <c r="AX394" s="1107">
        <f>IF(T394&lt;&gt;"0",(ROUND(IF(A394="EMPLEADO",eval_formula('CONCEPTOS Y PARAMETROS'!$C$8,NOMINA!V394,NOMINA!$AU394,NOMINA!I394+NOMINA!J394),eval_formula('CONCEPTOS Y PARAMETROS'!$D$8,NOMINA!V394,NOMINA!$AU394,NOMINA!I394+NOMINA!J394)),2))*IF(H394&lt;&gt;"",IF(MONTH(H394)=$BR$8,IF(YEAR(H394)&lt;$BT$7,1,0),0)))</f>
        <v>0</v>
      </c>
      <c r="AY394" s="1108">
        <v>180</v>
      </c>
      <c r="AZ394" s="1107">
        <f>IFERROR(VLOOKUP(AY394,'CONCEPTOS Y PARAMETROS'!Y:Z,2,0),0)</f>
        <v>150</v>
      </c>
      <c r="BA394" s="1107">
        <f t="shared" si="1045"/>
        <v>2160.6</v>
      </c>
      <c r="BB394" s="1107">
        <f t="shared" si="1046"/>
        <v>0</v>
      </c>
      <c r="BC394" s="990">
        <v>0</v>
      </c>
      <c r="BD394" s="1107" t="str">
        <f t="shared" si="1029"/>
        <v>0</v>
      </c>
      <c r="BE394" s="990">
        <v>0</v>
      </c>
      <c r="BF394" s="1107">
        <f t="shared" si="1047"/>
        <v>0</v>
      </c>
      <c r="BG394" s="1108">
        <v>310</v>
      </c>
      <c r="BH394" s="1108">
        <v>0</v>
      </c>
      <c r="BI394" s="1132">
        <v>0</v>
      </c>
      <c r="BJ394" s="1108">
        <f t="shared" si="1030"/>
        <v>0</v>
      </c>
      <c r="BK394" s="1108">
        <v>0</v>
      </c>
      <c r="BL394" s="1107">
        <f t="shared" si="1073"/>
        <v>13.3</v>
      </c>
      <c r="BM394" s="1107">
        <f t="shared" si="1074"/>
        <v>1.66</v>
      </c>
      <c r="BN394" s="1107">
        <f t="shared" si="1048"/>
        <v>2.88</v>
      </c>
      <c r="BO394" s="1107">
        <v>0</v>
      </c>
      <c r="BP394" s="1107">
        <v>0</v>
      </c>
      <c r="BQ394" s="1320">
        <f t="shared" si="1049"/>
        <v>17.84</v>
      </c>
      <c r="BR394" s="1107">
        <f t="shared" si="1076"/>
        <v>29.92</v>
      </c>
      <c r="BS394" s="1107">
        <f t="shared" si="1077"/>
        <v>6.65</v>
      </c>
      <c r="BT394" s="1107">
        <f t="shared" si="1050"/>
        <v>5.76</v>
      </c>
      <c r="BU394" s="1107">
        <v>0</v>
      </c>
      <c r="BV394" s="1108">
        <f t="shared" si="1051"/>
        <v>42.33</v>
      </c>
      <c r="BW394" s="1112">
        <f t="shared" si="1052"/>
        <v>60.17</v>
      </c>
      <c r="BX394" s="1112">
        <f t="shared" si="1143"/>
        <v>540.15</v>
      </c>
      <c r="BY394" s="1108">
        <v>0</v>
      </c>
      <c r="BZ394" s="1108">
        <f t="shared" si="1031"/>
        <v>540.15</v>
      </c>
      <c r="CA394" s="1321">
        <f>'CONCEPTOS Y PARAMETROS'!$A$102</f>
        <v>6255</v>
      </c>
      <c r="CB394" s="1112">
        <f t="shared" si="1053"/>
        <v>126.20000000000002</v>
      </c>
      <c r="CC394" s="1113">
        <f t="shared" si="1054"/>
        <v>466.54</v>
      </c>
      <c r="CD394" s="512"/>
      <c r="CE394" s="512"/>
      <c r="CF394" s="470">
        <f t="shared" si="1055"/>
        <v>764.04</v>
      </c>
      <c r="CG394" s="495">
        <f t="shared" si="1056"/>
        <v>126.20000000000002</v>
      </c>
      <c r="CH394" s="498">
        <f t="shared" si="1057"/>
        <v>12.5</v>
      </c>
      <c r="CI394" s="1490">
        <f t="shared" si="1032"/>
        <v>310</v>
      </c>
      <c r="CJ394" s="1500">
        <v>1</v>
      </c>
      <c r="CK394" s="495">
        <f t="shared" si="1058"/>
        <v>454.04</v>
      </c>
      <c r="CL394" s="1689">
        <f t="shared" si="1059"/>
        <v>454.04</v>
      </c>
      <c r="CM394" s="1689">
        <f t="shared" si="1068"/>
        <v>0</v>
      </c>
      <c r="CN394" s="496">
        <f t="shared" si="1060"/>
        <v>0</v>
      </c>
      <c r="CO394" s="497">
        <v>0</v>
      </c>
      <c r="CP394" s="496">
        <f t="shared" si="1061"/>
        <v>0</v>
      </c>
      <c r="CQ394" s="496">
        <f t="shared" si="1062"/>
        <v>0</v>
      </c>
      <c r="CR394" s="496">
        <f t="shared" si="1063"/>
        <v>908.08</v>
      </c>
      <c r="CS394" s="496">
        <f t="shared" si="1064"/>
        <v>60.17</v>
      </c>
      <c r="CT394" s="496">
        <f t="shared" si="1065"/>
        <v>6255</v>
      </c>
      <c r="CU394" s="470"/>
      <c r="CV394" s="470"/>
      <c r="CW394" s="470"/>
      <c r="CX394" s="470"/>
      <c r="CY394" s="1275" t="s">
        <v>6842</v>
      </c>
      <c r="CZ394" s="1275" t="s">
        <v>7210</v>
      </c>
      <c r="DA394" s="480"/>
      <c r="DB394" s="1642" t="s">
        <v>6478</v>
      </c>
      <c r="DC394" s="1642"/>
      <c r="DD394" s="1642" t="s">
        <v>6143</v>
      </c>
      <c r="DE394" s="1642" t="s">
        <v>6142</v>
      </c>
      <c r="DF394" s="1642" t="s">
        <v>6620</v>
      </c>
      <c r="DG394" s="1642"/>
      <c r="DH394" s="470"/>
      <c r="DI394" s="470"/>
      <c r="DJ394" s="470"/>
      <c r="DK394" s="470"/>
      <c r="DL394" s="470"/>
      <c r="DN394" s="471" t="str">
        <f>VLOOKUP(X394,Hoja1!$A$4:$B$10,2,0)</f>
        <v>BACHILLER</v>
      </c>
      <c r="DO394" s="471" t="str">
        <f>VLOOKUP(S394,Hoja1!$D$4:$F$77,3,0)</f>
        <v>GRADO (3) - MÁX</v>
      </c>
      <c r="DP394" s="1156" t="str">
        <f t="shared" si="1066"/>
        <v>0</v>
      </c>
      <c r="DQ394" s="1484">
        <f>IF(T394&lt;&gt;"0",(ROUND(IF(A394="EMPLEADO",eval_formula('CONCEPTOS Y PARAMETROS'!$C$8,NOMINA!V394,AU394+BF394,NOMINA!I394+NOMINA!J394),eval_formula('CONCEPTOS Y PARAMETROS'!$D$8,NOMINA!V394,AU394+BF394,NOMINA!I394+NOMINA!J394)),2))*IF(H394&lt;&gt;"",IF(MONTH(H394)=$BR$8,IF(YEAR(H394)&lt;$BT$7,1,0),0)))</f>
        <v>0</v>
      </c>
      <c r="DR394" s="1801" t="str">
        <f t="shared" si="1067"/>
        <v>M</v>
      </c>
      <c r="DS394" s="1801"/>
    </row>
    <row r="395" spans="1:123" s="471" customFormat="1" ht="21.95" customHeight="1" x14ac:dyDescent="0.25">
      <c r="A395" s="508" t="s">
        <v>2834</v>
      </c>
      <c r="B395" s="1314">
        <f t="shared" ca="1" si="1069"/>
        <v>91</v>
      </c>
      <c r="C395" s="990">
        <v>29994277</v>
      </c>
      <c r="D395" s="1275" t="s">
        <v>5045</v>
      </c>
      <c r="E395" s="1135" t="s">
        <v>4622</v>
      </c>
      <c r="F395" s="1118">
        <v>36612</v>
      </c>
      <c r="G395" s="1135" t="s">
        <v>4621</v>
      </c>
      <c r="H395" s="1118">
        <v>44562</v>
      </c>
      <c r="I395" s="1140">
        <f t="shared" si="1033"/>
        <v>3</v>
      </c>
      <c r="J395" s="1132">
        <v>0</v>
      </c>
      <c r="K395" s="1140">
        <f t="shared" si="1025"/>
        <v>3</v>
      </c>
      <c r="L395" s="1145" t="s">
        <v>5543</v>
      </c>
      <c r="M395" s="1132"/>
      <c r="N395" s="1132"/>
      <c r="O395" s="1002" t="s">
        <v>5084</v>
      </c>
      <c r="P395" s="1132" t="s">
        <v>5180</v>
      </c>
      <c r="Q395" s="1315">
        <v>7152</v>
      </c>
      <c r="R395" s="1394" t="s">
        <v>5084</v>
      </c>
      <c r="S395" s="1393">
        <v>3</v>
      </c>
      <c r="T395" s="1107">
        <f>IFERROR(VLOOKUP(S395,'TAB OBR'!A:B,2,0),0)</f>
        <v>152</v>
      </c>
      <c r="U395" s="1108">
        <v>0</v>
      </c>
      <c r="V395" s="1107">
        <f t="shared" si="1034"/>
        <v>152</v>
      </c>
      <c r="W395" s="1108">
        <f t="shared" si="1035"/>
        <v>76</v>
      </c>
      <c r="X395" s="1135" t="s">
        <v>2884</v>
      </c>
      <c r="Y395" s="1135" t="s">
        <v>2884</v>
      </c>
      <c r="Z395" s="1135">
        <v>0</v>
      </c>
      <c r="AA395" s="1107">
        <f>ROUND(IF(H395&lt;&gt;"",VLOOKUP(SUM(I395+J395),'CONCEPTOS Y PARAMETROS'!F:G,2,0)*V395,0),2)</f>
        <v>4.5599999999999996</v>
      </c>
      <c r="AB395" s="1107">
        <f>IF(S395&lt;&gt;"",IF(M395="",'CONCEPTOS Y PARAMETROS'!$C$4,0),0)</f>
        <v>130</v>
      </c>
      <c r="AC395" s="1107">
        <f>IF(S395&lt;&gt;"",IF(M395="",'CONCEPTOS Y PARAMETROS'!$C$7*Z395,0),0)</f>
        <v>0</v>
      </c>
      <c r="AD395" s="1107">
        <f>IFERROR(ROUND(VLOOKUP($X395,'CONCEPTOS Y PARAMETROS'!H:I,2,0)*($V395+AA395+AB395+AC395),2),0)</f>
        <v>0</v>
      </c>
      <c r="AE395" s="1107">
        <f t="shared" si="1036"/>
        <v>134.56</v>
      </c>
      <c r="AF395" s="1107">
        <f t="shared" si="1037"/>
        <v>2.2799999999999998</v>
      </c>
      <c r="AG395" s="1107">
        <f t="shared" si="1038"/>
        <v>2.2799999999999998</v>
      </c>
      <c r="AH395" s="1107">
        <f t="shared" si="1039"/>
        <v>65</v>
      </c>
      <c r="AI395" s="1107">
        <f t="shared" si="1040"/>
        <v>65</v>
      </c>
      <c r="AJ395" s="1107">
        <f t="shared" si="1041"/>
        <v>0</v>
      </c>
      <c r="AK395" s="1107">
        <f t="shared" si="1042"/>
        <v>0</v>
      </c>
      <c r="AL395" s="1108">
        <f t="shared" si="1043"/>
        <v>67.28</v>
      </c>
      <c r="AM395" s="1108">
        <f t="shared" si="1044"/>
        <v>67.28</v>
      </c>
      <c r="AN395" s="990">
        <v>0</v>
      </c>
      <c r="AO395" s="1147">
        <f>'CONCEPTOS Y PARAMETROS'!$C$18*AN395</f>
        <v>0</v>
      </c>
      <c r="AP395" s="990">
        <v>0</v>
      </c>
      <c r="AQ395" s="1147">
        <f>'CONCEPTOS Y PARAMETROS'!$C$21*AP395</f>
        <v>0</v>
      </c>
      <c r="AR395" s="1318">
        <v>0</v>
      </c>
      <c r="AS395" s="1318">
        <v>0</v>
      </c>
      <c r="AT395" s="1318">
        <f t="shared" si="1026"/>
        <v>0</v>
      </c>
      <c r="AU395" s="1108">
        <f t="shared" si="1027"/>
        <v>286.56</v>
      </c>
      <c r="AV395" s="1133">
        <v>0</v>
      </c>
      <c r="AW395" s="1108">
        <f t="shared" si="1028"/>
        <v>0</v>
      </c>
      <c r="AX395" s="1107">
        <f>IF(T395&lt;&gt;"0",(ROUND(IF(A395="EMPLEADO",eval_formula('CONCEPTOS Y PARAMETROS'!$C$8,NOMINA!V395,NOMINA!$AU395,NOMINA!I395+NOMINA!J395),eval_formula('CONCEPTOS Y PARAMETROS'!$D$8,NOMINA!V395,NOMINA!$AU395,NOMINA!I395+NOMINA!J395)),2))*IF(H395&lt;&gt;"",IF(MONTH(H395)=$BR$8,IF(YEAR(H395)&lt;$BT$7,1,0),0)))</f>
        <v>0</v>
      </c>
      <c r="AY395" s="1108">
        <v>180</v>
      </c>
      <c r="AZ395" s="1107">
        <f>IFERROR(VLOOKUP(AY395,'CONCEPTOS Y PARAMETROS'!Y:Z,2,0),0)</f>
        <v>150</v>
      </c>
      <c r="BA395" s="1107">
        <f t="shared" si="1045"/>
        <v>2149.1999999999998</v>
      </c>
      <c r="BB395" s="1107">
        <f t="shared" si="1046"/>
        <v>0</v>
      </c>
      <c r="BC395" s="990">
        <v>0</v>
      </c>
      <c r="BD395" s="1107" t="str">
        <f t="shared" si="1029"/>
        <v>0</v>
      </c>
      <c r="BE395" s="990">
        <v>2</v>
      </c>
      <c r="BF395" s="1107">
        <f t="shared" si="1047"/>
        <v>28.66</v>
      </c>
      <c r="BG395" s="1108">
        <v>310</v>
      </c>
      <c r="BH395" s="1108">
        <v>0</v>
      </c>
      <c r="BI395" s="1132">
        <v>0</v>
      </c>
      <c r="BJ395" s="1108">
        <f t="shared" si="1030"/>
        <v>0</v>
      </c>
      <c r="BK395" s="1108">
        <v>0</v>
      </c>
      <c r="BL395" s="1107">
        <f t="shared" si="1073"/>
        <v>13.23</v>
      </c>
      <c r="BM395" s="1107">
        <f t="shared" si="1074"/>
        <v>1.65</v>
      </c>
      <c r="BN395" s="1107">
        <f t="shared" si="1048"/>
        <v>2.87</v>
      </c>
      <c r="BO395" s="1107">
        <v>0</v>
      </c>
      <c r="BP395" s="1107">
        <v>0</v>
      </c>
      <c r="BQ395" s="1320">
        <f t="shared" si="1049"/>
        <v>17.75</v>
      </c>
      <c r="BR395" s="1107">
        <f t="shared" si="1076"/>
        <v>29.76</v>
      </c>
      <c r="BS395" s="1107">
        <f t="shared" si="1077"/>
        <v>6.61</v>
      </c>
      <c r="BT395" s="1107">
        <f t="shared" si="1050"/>
        <v>5.74</v>
      </c>
      <c r="BU395" s="1107">
        <v>0</v>
      </c>
      <c r="BV395" s="1108">
        <f t="shared" si="1051"/>
        <v>42.11</v>
      </c>
      <c r="BW395" s="1112">
        <f t="shared" si="1052"/>
        <v>59.86</v>
      </c>
      <c r="BX395" s="1112">
        <f t="shared" si="1143"/>
        <v>537.29999999999995</v>
      </c>
      <c r="BY395" s="1108">
        <v>0</v>
      </c>
      <c r="BZ395" s="1108">
        <f t="shared" si="1031"/>
        <v>537.29999999999995</v>
      </c>
      <c r="CA395" s="1321">
        <f>'CONCEPTOS Y PARAMETROS'!$A$102</f>
        <v>6255</v>
      </c>
      <c r="CB395" s="1112">
        <f t="shared" si="1053"/>
        <v>125.53</v>
      </c>
      <c r="CC395" s="1113">
        <f t="shared" si="1054"/>
        <v>481.94</v>
      </c>
      <c r="CD395" s="512"/>
      <c r="CE395" s="512"/>
      <c r="CF395" s="470">
        <f t="shared" si="1055"/>
        <v>763.28</v>
      </c>
      <c r="CG395" s="495">
        <f t="shared" si="1056"/>
        <v>125.53</v>
      </c>
      <c r="CH395" s="498">
        <f t="shared" si="1057"/>
        <v>0</v>
      </c>
      <c r="CI395" s="1490">
        <f t="shared" si="1032"/>
        <v>310</v>
      </c>
      <c r="CJ395" s="1500">
        <v>1</v>
      </c>
      <c r="CK395" s="495">
        <f t="shared" si="1058"/>
        <v>453.28</v>
      </c>
      <c r="CL395" s="1689">
        <f t="shared" si="1059"/>
        <v>453.28</v>
      </c>
      <c r="CM395" s="1689">
        <f t="shared" si="1068"/>
        <v>0</v>
      </c>
      <c r="CN395" s="496">
        <f t="shared" si="1060"/>
        <v>28.66</v>
      </c>
      <c r="CO395" s="497">
        <v>0</v>
      </c>
      <c r="CP395" s="496">
        <f t="shared" si="1061"/>
        <v>0</v>
      </c>
      <c r="CQ395" s="496">
        <f t="shared" si="1062"/>
        <v>0</v>
      </c>
      <c r="CR395" s="496">
        <f t="shared" si="1063"/>
        <v>935.21999999999991</v>
      </c>
      <c r="CS395" s="496">
        <f t="shared" si="1064"/>
        <v>59.86</v>
      </c>
      <c r="CT395" s="496">
        <f t="shared" si="1065"/>
        <v>6255</v>
      </c>
      <c r="CU395" s="470"/>
      <c r="CV395" s="470"/>
      <c r="CW395" s="470"/>
      <c r="CX395" s="470"/>
      <c r="CY395" s="1275" t="s">
        <v>6942</v>
      </c>
      <c r="CZ395" s="1275" t="s">
        <v>6813</v>
      </c>
      <c r="DA395" s="480"/>
      <c r="DB395" s="1152" t="s">
        <v>6569</v>
      </c>
      <c r="DC395" s="1152" t="s">
        <v>7546</v>
      </c>
      <c r="DD395" s="1152" t="s">
        <v>6158</v>
      </c>
      <c r="DE395" s="1152" t="s">
        <v>6222</v>
      </c>
      <c r="DF395" s="1152" t="s">
        <v>6228</v>
      </c>
      <c r="DG395" s="1152"/>
      <c r="DH395" s="470"/>
      <c r="DI395" s="470"/>
      <c r="DJ395" s="470"/>
      <c r="DK395" s="470"/>
      <c r="DL395" s="470"/>
      <c r="DN395" s="471" t="str">
        <f>VLOOKUP(X395,Hoja1!$A$4:$B$10,2,0)</f>
        <v>BACHILLER</v>
      </c>
      <c r="DO395" s="471" t="str">
        <f>VLOOKUP(S395,Hoja1!$D$4:$F$77,3,0)</f>
        <v>GRADO (3) - MÁX</v>
      </c>
      <c r="DP395" s="1156" t="str">
        <f t="shared" si="1066"/>
        <v>0</v>
      </c>
      <c r="DQ395" s="1484">
        <f>IF(T395&lt;&gt;"0",(ROUND(IF(A395="EMPLEADO",eval_formula('CONCEPTOS Y PARAMETROS'!$C$8,NOMINA!V395,AU395+BF395,NOMINA!I395+NOMINA!J395),eval_formula('CONCEPTOS Y PARAMETROS'!$D$8,NOMINA!V395,AU395+BF395,NOMINA!I395+NOMINA!J395)),2))*IF(H395&lt;&gt;"",IF(MONTH(H395)=$BR$8,IF(YEAR(H395)&lt;$BT$7,1,0),0)))</f>
        <v>0</v>
      </c>
      <c r="DR395" s="1801" t="str">
        <f t="shared" si="1067"/>
        <v>M</v>
      </c>
      <c r="DS395" s="1801"/>
    </row>
    <row r="396" spans="1:123" s="471" customFormat="1" ht="21.95" customHeight="1" thickBot="1" x14ac:dyDescent="0.3">
      <c r="A396" s="1407" t="s">
        <v>2834</v>
      </c>
      <c r="B396" s="415">
        <f t="shared" ca="1" si="1069"/>
        <v>92</v>
      </c>
      <c r="C396" s="416">
        <v>32084560</v>
      </c>
      <c r="D396" s="530" t="s">
        <v>5046</v>
      </c>
      <c r="E396" s="387" t="s">
        <v>4622</v>
      </c>
      <c r="F396" s="422">
        <v>37763</v>
      </c>
      <c r="G396" s="387" t="s">
        <v>4620</v>
      </c>
      <c r="H396" s="422">
        <v>44348</v>
      </c>
      <c r="I396" s="1408">
        <f t="shared" si="1033"/>
        <v>4</v>
      </c>
      <c r="J396" s="388">
        <v>0</v>
      </c>
      <c r="K396" s="1408">
        <f t="shared" si="1025"/>
        <v>4</v>
      </c>
      <c r="L396" s="1409" t="s">
        <v>5550</v>
      </c>
      <c r="M396" s="388"/>
      <c r="N396" s="388"/>
      <c r="O396" s="389" t="s">
        <v>5097</v>
      </c>
      <c r="P396" s="388" t="s">
        <v>5181</v>
      </c>
      <c r="Q396" s="1410">
        <v>2202</v>
      </c>
      <c r="R396" s="1423" t="s">
        <v>5097</v>
      </c>
      <c r="S396" s="418">
        <v>5</v>
      </c>
      <c r="T396" s="1313">
        <f>IFERROR(VLOOKUP(S396,'TAB OBR'!A:B,2,0),0)</f>
        <v>171</v>
      </c>
      <c r="U396" s="390">
        <v>0</v>
      </c>
      <c r="V396" s="1313">
        <f t="shared" si="1034"/>
        <v>171</v>
      </c>
      <c r="W396" s="390">
        <f t="shared" si="1035"/>
        <v>85.5</v>
      </c>
      <c r="X396" s="387" t="s">
        <v>2884</v>
      </c>
      <c r="Y396" s="387" t="s">
        <v>2884</v>
      </c>
      <c r="Z396" s="387">
        <v>1</v>
      </c>
      <c r="AA396" s="1313">
        <f>ROUND(IF(H396&lt;&gt;"",VLOOKUP(SUM(I396+J396),'CONCEPTOS Y PARAMETROS'!F:G,2,0)*V396,0),2)</f>
        <v>6.84</v>
      </c>
      <c r="AB396" s="1313">
        <f>IF(S396&lt;&gt;"",IF(M396="",'CONCEPTOS Y PARAMETROS'!$C$4,0),0)</f>
        <v>130</v>
      </c>
      <c r="AC396" s="1313">
        <f>IF(S396&lt;&gt;"",IF(M396="",'CONCEPTOS Y PARAMETROS'!$C$7*Z396,0),0)</f>
        <v>12.5</v>
      </c>
      <c r="AD396" s="1313">
        <f>IFERROR(ROUND(VLOOKUP($X396,'CONCEPTOS Y PARAMETROS'!H:I,2,0)*($V396+AA396+AB396+AC396),2),0)</f>
        <v>0</v>
      </c>
      <c r="AE396" s="1313">
        <f t="shared" si="1036"/>
        <v>149.34</v>
      </c>
      <c r="AF396" s="1313">
        <f t="shared" si="1037"/>
        <v>3.42</v>
      </c>
      <c r="AG396" s="1313">
        <f t="shared" si="1038"/>
        <v>3.42</v>
      </c>
      <c r="AH396" s="1313">
        <f t="shared" si="1039"/>
        <v>65</v>
      </c>
      <c r="AI396" s="1313">
        <f t="shared" si="1040"/>
        <v>65</v>
      </c>
      <c r="AJ396" s="1313">
        <f t="shared" si="1041"/>
        <v>0</v>
      </c>
      <c r="AK396" s="1313">
        <f t="shared" si="1042"/>
        <v>0</v>
      </c>
      <c r="AL396" s="390">
        <f t="shared" si="1043"/>
        <v>80.92</v>
      </c>
      <c r="AM396" s="390">
        <f t="shared" si="1044"/>
        <v>68.42</v>
      </c>
      <c r="AN396" s="416">
        <v>0</v>
      </c>
      <c r="AO396" s="1413">
        <f>'CONCEPTOS Y PARAMETROS'!$C$18*AN396</f>
        <v>0</v>
      </c>
      <c r="AP396" s="416">
        <v>0</v>
      </c>
      <c r="AQ396" s="1413">
        <f>'CONCEPTOS Y PARAMETROS'!$C$21*AP396</f>
        <v>0</v>
      </c>
      <c r="AR396" s="1414">
        <v>0</v>
      </c>
      <c r="AS396" s="1414">
        <v>0</v>
      </c>
      <c r="AT396" s="1414">
        <f t="shared" si="1026"/>
        <v>0</v>
      </c>
      <c r="AU396" s="390">
        <f t="shared" si="1027"/>
        <v>320.34000000000003</v>
      </c>
      <c r="AV396" s="1415">
        <v>0</v>
      </c>
      <c r="AW396" s="390">
        <f t="shared" si="1028"/>
        <v>0</v>
      </c>
      <c r="AX396" s="1313">
        <f>IF(T396&lt;&gt;"0",(ROUND(IF(A396="EMPLEADO",eval_formula('CONCEPTOS Y PARAMETROS'!$C$8,NOMINA!V396,NOMINA!$AU396,NOMINA!I396+NOMINA!J396),eval_formula('CONCEPTOS Y PARAMETROS'!$D$8,NOMINA!V396,NOMINA!$AU396,NOMINA!I396+NOMINA!J396)),2))*IF(H396&lt;&gt;"",IF(MONTH(H396)=$BR$8,IF(YEAR(H396)&lt;$BT$7,1,0),0)))</f>
        <v>0</v>
      </c>
      <c r="AY396" s="390">
        <v>180</v>
      </c>
      <c r="AZ396" s="1313">
        <f>IFERROR(VLOOKUP(AY396,'CONCEPTOS Y PARAMETROS'!Y:Z,2,0),0)</f>
        <v>150</v>
      </c>
      <c r="BA396" s="1313">
        <f t="shared" si="1045"/>
        <v>2402.5500000000002</v>
      </c>
      <c r="BB396" s="1313">
        <f t="shared" si="1046"/>
        <v>0</v>
      </c>
      <c r="BC396" s="416">
        <v>0</v>
      </c>
      <c r="BD396" s="1313" t="str">
        <f t="shared" si="1029"/>
        <v>0</v>
      </c>
      <c r="BE396" s="990">
        <v>2</v>
      </c>
      <c r="BF396" s="1313">
        <f t="shared" si="1047"/>
        <v>32.03</v>
      </c>
      <c r="BG396" s="1108">
        <v>310</v>
      </c>
      <c r="BH396" s="390">
        <v>0</v>
      </c>
      <c r="BI396" s="388">
        <v>0</v>
      </c>
      <c r="BJ396" s="1459">
        <f t="shared" si="1030"/>
        <v>0</v>
      </c>
      <c r="BK396" s="1108">
        <v>0</v>
      </c>
      <c r="BL396" s="1313">
        <f t="shared" si="1073"/>
        <v>14.78</v>
      </c>
      <c r="BM396" s="1313">
        <f t="shared" si="1074"/>
        <v>1.85</v>
      </c>
      <c r="BN396" s="1313">
        <f t="shared" si="1048"/>
        <v>3.2</v>
      </c>
      <c r="BO396" s="1313">
        <v>0</v>
      </c>
      <c r="BP396" s="1313">
        <v>0</v>
      </c>
      <c r="BQ396" s="1417">
        <f t="shared" si="1049"/>
        <v>19.829999999999998</v>
      </c>
      <c r="BR396" s="1313">
        <f t="shared" si="1076"/>
        <v>33.270000000000003</v>
      </c>
      <c r="BS396" s="1313">
        <f t="shared" si="1077"/>
        <v>7.39</v>
      </c>
      <c r="BT396" s="1313">
        <f t="shared" si="1050"/>
        <v>6.4</v>
      </c>
      <c r="BU396" s="1313">
        <v>0</v>
      </c>
      <c r="BV396" s="390">
        <f t="shared" si="1051"/>
        <v>47.06</v>
      </c>
      <c r="BW396" s="866">
        <f t="shared" si="1052"/>
        <v>66.89</v>
      </c>
      <c r="BX396" s="866">
        <f t="shared" si="1143"/>
        <v>600.64</v>
      </c>
      <c r="BY396" s="390">
        <v>0</v>
      </c>
      <c r="BZ396" s="390">
        <f t="shared" si="1031"/>
        <v>600.64</v>
      </c>
      <c r="CA396" s="1418">
        <f>'CONCEPTOS Y PARAMETROS'!$A$102</f>
        <v>6255</v>
      </c>
      <c r="CB396" s="866">
        <f t="shared" si="1053"/>
        <v>146.59000000000003</v>
      </c>
      <c r="CC396" s="1419">
        <f t="shared" si="1054"/>
        <v>495.95</v>
      </c>
      <c r="CD396" s="512"/>
      <c r="CE396" s="512"/>
      <c r="CF396" s="470">
        <f t="shared" si="1055"/>
        <v>773.92000000000007</v>
      </c>
      <c r="CG396" s="495">
        <f t="shared" si="1056"/>
        <v>146.59000000000003</v>
      </c>
      <c r="CH396" s="498">
        <f t="shared" si="1057"/>
        <v>0</v>
      </c>
      <c r="CI396" s="1490">
        <f t="shared" si="1032"/>
        <v>310</v>
      </c>
      <c r="CJ396" s="1500">
        <v>1</v>
      </c>
      <c r="CK396" s="495">
        <f t="shared" si="1058"/>
        <v>463.92</v>
      </c>
      <c r="CL396" s="1689">
        <f t="shared" si="1059"/>
        <v>463.92</v>
      </c>
      <c r="CM396" s="1689">
        <f t="shared" si="1068"/>
        <v>0</v>
      </c>
      <c r="CN396" s="496">
        <f t="shared" si="1060"/>
        <v>32.03</v>
      </c>
      <c r="CO396" s="497">
        <v>0</v>
      </c>
      <c r="CP396" s="496">
        <f t="shared" si="1061"/>
        <v>0</v>
      </c>
      <c r="CQ396" s="496">
        <f t="shared" si="1062"/>
        <v>0</v>
      </c>
      <c r="CR396" s="496">
        <f t="shared" si="1063"/>
        <v>959.87</v>
      </c>
      <c r="CS396" s="496">
        <f t="shared" si="1064"/>
        <v>66.89</v>
      </c>
      <c r="CT396" s="496">
        <f t="shared" si="1065"/>
        <v>6255</v>
      </c>
      <c r="CU396" s="470"/>
      <c r="CV396" s="470"/>
      <c r="CW396" s="470"/>
      <c r="CX396" s="470"/>
      <c r="CY396" s="530" t="s">
        <v>6959</v>
      </c>
      <c r="CZ396" s="530" t="s">
        <v>7000</v>
      </c>
      <c r="DA396" s="480"/>
      <c r="DB396" s="1642" t="s">
        <v>7503</v>
      </c>
      <c r="DC396" s="1642"/>
      <c r="DD396" s="1642" t="s">
        <v>6135</v>
      </c>
      <c r="DE396" s="1642" t="s">
        <v>6171</v>
      </c>
      <c r="DF396" s="1642" t="s">
        <v>7502</v>
      </c>
      <c r="DG396" s="1642"/>
      <c r="DH396" s="470"/>
      <c r="DI396" s="470"/>
      <c r="DJ396" s="470"/>
      <c r="DK396" s="470"/>
      <c r="DL396" s="470"/>
      <c r="DN396" s="471" t="str">
        <f>VLOOKUP(X396,Hoja1!$A$4:$B$10,2,0)</f>
        <v>BACHILLER</v>
      </c>
      <c r="DO396" s="471" t="str">
        <f>VLOOKUP(S396,Hoja1!$D$4:$F$77,3,0)</f>
        <v>GRADO (5) - MÁX</v>
      </c>
      <c r="DP396" s="1156" t="str">
        <f t="shared" si="1066"/>
        <v>0</v>
      </c>
      <c r="DQ396" s="1484">
        <f>IF(T396&lt;&gt;"0",(ROUND(IF(A396="EMPLEADO",eval_formula('CONCEPTOS Y PARAMETROS'!$C$8,NOMINA!V396,AU396+BF396,NOMINA!I396+NOMINA!J396),eval_formula('CONCEPTOS Y PARAMETROS'!$D$8,NOMINA!V396,AU396+BF396,NOMINA!I396+NOMINA!J396)),2))*IF(H396&lt;&gt;"",IF(MONTH(H396)=$BR$8,IF(YEAR(H396)&lt;$BT$7,1,0),0)))</f>
        <v>0</v>
      </c>
      <c r="DR396" s="1801" t="str">
        <f t="shared" si="1067"/>
        <v>F</v>
      </c>
      <c r="DS396" s="1801"/>
    </row>
    <row r="397" spans="1:123" s="1515" customFormat="1" ht="16.5" thickBot="1" x14ac:dyDescent="0.3">
      <c r="A397" s="513"/>
      <c r="B397" s="408">
        <f ca="1">COUNT(B305:B396)</f>
        <v>92</v>
      </c>
      <c r="C397" s="531" t="s">
        <v>4493</v>
      </c>
      <c r="D397" s="532"/>
      <c r="E397" s="532"/>
      <c r="F397" s="408"/>
      <c r="G397" s="532"/>
      <c r="H397" s="408"/>
      <c r="I397" s="195">
        <f>SUM(I305:I396)</f>
        <v>726</v>
      </c>
      <c r="J397" s="195">
        <f>SUM(J305:J396)</f>
        <v>56</v>
      </c>
      <c r="K397" s="195">
        <f>SUM(K305:K396)</f>
        <v>782</v>
      </c>
      <c r="L397" s="532"/>
      <c r="M397" s="532"/>
      <c r="N397" s="532"/>
      <c r="O397" s="532"/>
      <c r="P397" s="532"/>
      <c r="Q397" s="408"/>
      <c r="R397" s="533"/>
      <c r="S397" s="532"/>
      <c r="T397" s="195">
        <f>SUM(T305:T396)</f>
        <v>14244</v>
      </c>
      <c r="U397" s="195">
        <f>SUM(U305:U396)</f>
        <v>0</v>
      </c>
      <c r="V397" s="195">
        <f>SUM(V305:V396)</f>
        <v>14244</v>
      </c>
      <c r="W397" s="195">
        <f>SUM(W305:W396)</f>
        <v>7122</v>
      </c>
      <c r="X397" s="532"/>
      <c r="Y397" s="532"/>
      <c r="Z397" s="373">
        <f t="shared" ref="Z397:AU397" si="1144">SUM(Z305:Z396)</f>
        <v>44</v>
      </c>
      <c r="AA397" s="195">
        <f t="shared" si="1144"/>
        <v>1444.5699999999997</v>
      </c>
      <c r="AB397" s="195">
        <f t="shared" si="1144"/>
        <v>11960</v>
      </c>
      <c r="AC397" s="195">
        <f t="shared" si="1144"/>
        <v>550</v>
      </c>
      <c r="AD397" s="195">
        <f t="shared" si="1144"/>
        <v>0</v>
      </c>
      <c r="AE397" s="195">
        <f t="shared" si="1144"/>
        <v>13954.569999999998</v>
      </c>
      <c r="AF397" s="195">
        <f t="shared" si="1144"/>
        <v>722.41999999999973</v>
      </c>
      <c r="AG397" s="195">
        <f t="shared" si="1144"/>
        <v>722.14999999999975</v>
      </c>
      <c r="AH397" s="195">
        <f t="shared" si="1144"/>
        <v>5980</v>
      </c>
      <c r="AI397" s="195">
        <f t="shared" si="1144"/>
        <v>5980</v>
      </c>
      <c r="AJ397" s="195">
        <f t="shared" si="1144"/>
        <v>0</v>
      </c>
      <c r="AK397" s="195">
        <f t="shared" si="1144"/>
        <v>0</v>
      </c>
      <c r="AL397" s="195">
        <f t="shared" si="1144"/>
        <v>7252.42</v>
      </c>
      <c r="AM397" s="195">
        <f t="shared" si="1144"/>
        <v>6702.1499999999978</v>
      </c>
      <c r="AN397" s="196">
        <f t="shared" si="1144"/>
        <v>16</v>
      </c>
      <c r="AO397" s="195">
        <f t="shared" si="1144"/>
        <v>200</v>
      </c>
      <c r="AP397" s="196">
        <f t="shared" si="1144"/>
        <v>1</v>
      </c>
      <c r="AQ397" s="195">
        <f t="shared" si="1144"/>
        <v>12.5</v>
      </c>
      <c r="AR397" s="195">
        <f t="shared" si="1144"/>
        <v>12.5</v>
      </c>
      <c r="AS397" s="195">
        <f t="shared" si="1144"/>
        <v>12.5</v>
      </c>
      <c r="AT397" s="195">
        <f t="shared" si="1144"/>
        <v>237.5</v>
      </c>
      <c r="AU397" s="195">
        <f t="shared" si="1144"/>
        <v>29441.96000000001</v>
      </c>
      <c r="AV397" s="340"/>
      <c r="AW397" s="195">
        <f t="shared" ref="AW397:CC397" si="1145">SUM(AW305:AW396)</f>
        <v>1243.3900000000001</v>
      </c>
      <c r="AX397" s="195">
        <f t="shared" si="1145"/>
        <v>20116.240000000002</v>
      </c>
      <c r="AY397" s="195">
        <f t="shared" si="1145"/>
        <v>15885</v>
      </c>
      <c r="AZ397" s="412">
        <f t="shared" si="1145"/>
        <v>13237.5</v>
      </c>
      <c r="BA397" s="412">
        <f t="shared" si="1145"/>
        <v>211355.30999999997</v>
      </c>
      <c r="BB397" s="195">
        <f t="shared" si="1145"/>
        <v>0</v>
      </c>
      <c r="BC397" s="196">
        <f t="shared" si="1145"/>
        <v>0</v>
      </c>
      <c r="BD397" s="195">
        <f t="shared" si="1145"/>
        <v>0</v>
      </c>
      <c r="BE397" s="195">
        <f t="shared" si="1145"/>
        <v>55</v>
      </c>
      <c r="BF397" s="195">
        <f t="shared" si="1145"/>
        <v>887.30000000000007</v>
      </c>
      <c r="BG397" s="195">
        <f t="shared" si="1145"/>
        <v>28520</v>
      </c>
      <c r="BH397" s="195">
        <f t="shared" si="1145"/>
        <v>0</v>
      </c>
      <c r="BI397" s="1673">
        <f t="shared" si="1145"/>
        <v>0</v>
      </c>
      <c r="BJ397" s="195">
        <f t="shared" si="1145"/>
        <v>0</v>
      </c>
      <c r="BK397" s="195">
        <f t="shared" si="1145"/>
        <v>0</v>
      </c>
      <c r="BL397" s="195">
        <f t="shared" si="1145"/>
        <v>1328.9600000000003</v>
      </c>
      <c r="BM397" s="195">
        <f t="shared" si="1145"/>
        <v>166.14999999999992</v>
      </c>
      <c r="BN397" s="195">
        <f t="shared" si="1145"/>
        <v>294.5</v>
      </c>
      <c r="BO397" s="195">
        <f t="shared" si="1145"/>
        <v>0</v>
      </c>
      <c r="BP397" s="195">
        <f t="shared" si="1145"/>
        <v>0</v>
      </c>
      <c r="BQ397" s="195">
        <f t="shared" si="1145"/>
        <v>1789.6100000000001</v>
      </c>
      <c r="BR397" s="195">
        <f t="shared" si="1145"/>
        <v>2990.0099999999989</v>
      </c>
      <c r="BS397" s="195">
        <f t="shared" si="1145"/>
        <v>664.47000000000014</v>
      </c>
      <c r="BT397" s="195">
        <f t="shared" si="1145"/>
        <v>589</v>
      </c>
      <c r="BU397" s="195">
        <f t="shared" si="1145"/>
        <v>0</v>
      </c>
      <c r="BV397" s="195">
        <f t="shared" si="1145"/>
        <v>4243.4799999999987</v>
      </c>
      <c r="BW397" s="195">
        <f t="shared" si="1145"/>
        <v>6033.0900000000047</v>
      </c>
      <c r="BX397" s="195">
        <f t="shared" si="1145"/>
        <v>52901.279999999992</v>
      </c>
      <c r="BY397" s="195">
        <f t="shared" si="1145"/>
        <v>0</v>
      </c>
      <c r="BZ397" s="195">
        <f t="shared" si="1145"/>
        <v>52901.279999999992</v>
      </c>
      <c r="CA397" s="195">
        <f t="shared" si="1145"/>
        <v>569205</v>
      </c>
      <c r="CB397" s="195">
        <f t="shared" si="1145"/>
        <v>12584.81</v>
      </c>
      <c r="CC397" s="195">
        <f t="shared" si="1145"/>
        <v>64828.57999999998</v>
      </c>
      <c r="CD397" s="468"/>
      <c r="CE397" s="468"/>
      <c r="CF397" s="468"/>
      <c r="CG397" s="469">
        <f t="shared" ref="CG397:CT397" si="1146">SUM(CG305:CG396)</f>
        <v>12584.81</v>
      </c>
      <c r="CH397" s="469">
        <f>SUM(CH305:CH396)</f>
        <v>237.5</v>
      </c>
      <c r="CI397" s="1511">
        <f t="shared" si="1146"/>
        <v>28520</v>
      </c>
      <c r="CJ397" s="1512">
        <f t="shared" si="1146"/>
        <v>92</v>
      </c>
      <c r="CK397" s="1519">
        <f t="shared" si="1146"/>
        <v>42344.149999999994</v>
      </c>
      <c r="CL397" s="1519">
        <f t="shared" si="1146"/>
        <v>42344.149999999994</v>
      </c>
      <c r="CM397" s="1519">
        <f t="shared" si="1146"/>
        <v>0</v>
      </c>
      <c r="CN397" s="469">
        <f t="shared" si="1146"/>
        <v>887.30000000000007</v>
      </c>
      <c r="CO397" s="469">
        <f t="shared" si="1146"/>
        <v>0</v>
      </c>
      <c r="CP397" s="469">
        <f t="shared" si="1146"/>
        <v>1243.3900000000001</v>
      </c>
      <c r="CQ397" s="469">
        <f t="shared" si="1146"/>
        <v>20116.240000000002</v>
      </c>
      <c r="CR397" s="469">
        <f t="shared" si="1146"/>
        <v>106935.23000000003</v>
      </c>
      <c r="CS397" s="469">
        <f t="shared" si="1146"/>
        <v>6033.0900000000047</v>
      </c>
      <c r="CT397" s="469">
        <f t="shared" si="1146"/>
        <v>569205</v>
      </c>
      <c r="CU397" s="470"/>
      <c r="CV397" s="470"/>
      <c r="CW397" s="470"/>
      <c r="CX397" s="470"/>
      <c r="CY397" s="1616"/>
      <c r="CZ397" s="1616"/>
      <c r="DA397" s="480"/>
      <c r="DB397" s="1143"/>
      <c r="DC397" s="1143"/>
      <c r="DD397" s="1143"/>
      <c r="DE397" s="1143"/>
      <c r="DF397" s="1143"/>
      <c r="DG397" s="1143"/>
      <c r="DH397" s="1513"/>
      <c r="DI397" s="1513"/>
      <c r="DJ397" s="1513"/>
      <c r="DK397" s="1513"/>
      <c r="DL397" s="1513"/>
      <c r="DN397" s="468"/>
      <c r="DO397" s="468"/>
      <c r="DP397" s="1522"/>
      <c r="DQ397" s="1522"/>
      <c r="DR397" s="1513"/>
    </row>
    <row r="398" spans="1:123" s="471" customFormat="1" x14ac:dyDescent="0.25">
      <c r="A398" s="1156"/>
      <c r="B398" s="1156"/>
      <c r="C398" s="1156"/>
      <c r="D398" s="218"/>
      <c r="F398" s="420"/>
      <c r="G398" s="1156"/>
      <c r="H398" s="1156"/>
      <c r="I398" s="1470"/>
      <c r="Q398" s="1156"/>
      <c r="R398" s="475"/>
      <c r="S398" s="1156"/>
      <c r="T398" s="1156"/>
      <c r="U398" s="1156"/>
      <c r="V398" s="1156"/>
      <c r="W398" s="1156"/>
      <c r="X398" s="1156"/>
      <c r="Y398" s="1156"/>
      <c r="Z398" s="476"/>
      <c r="AA398" s="1156"/>
      <c r="AB398" s="1156"/>
      <c r="AC398" s="1156"/>
      <c r="AD398" s="1156"/>
      <c r="AE398" s="1156"/>
      <c r="AF398" s="1156"/>
      <c r="AG398" s="1156"/>
      <c r="AH398" s="1156"/>
      <c r="AI398" s="1156"/>
      <c r="AJ398" s="1156"/>
      <c r="AK398" s="1156"/>
      <c r="AL398" s="1156"/>
      <c r="AM398" s="1156"/>
      <c r="AN398" s="1156"/>
      <c r="AO398" s="162"/>
      <c r="AP398" s="162"/>
      <c r="AQ398" s="162"/>
      <c r="AR398" s="162"/>
      <c r="AS398" s="162"/>
      <c r="AT398" s="162"/>
      <c r="AU398" s="1156"/>
      <c r="AV398" s="163"/>
      <c r="AW398" s="1156"/>
      <c r="AX398" s="1156"/>
      <c r="AY398" s="1156"/>
      <c r="AZ398" s="590"/>
      <c r="BA398" s="590"/>
      <c r="BB398" s="1156"/>
      <c r="BC398" s="1156"/>
      <c r="BD398" s="1156"/>
      <c r="BE398" s="1156"/>
      <c r="BF398" s="1156"/>
      <c r="BG398" s="1156"/>
      <c r="BH398" s="1156"/>
      <c r="BI398" s="1674"/>
      <c r="BJ398" s="1457"/>
      <c r="BK398" s="1156"/>
      <c r="BL398" s="1156"/>
      <c r="BM398" s="1156"/>
      <c r="BN398" s="1156"/>
      <c r="BO398" s="1156"/>
      <c r="BP398" s="1156"/>
      <c r="BQ398" s="1156"/>
      <c r="BR398" s="1156"/>
      <c r="BS398" s="1156"/>
      <c r="BT398" s="1156"/>
      <c r="BU398" s="1156"/>
      <c r="BV398" s="1156"/>
      <c r="BW398" s="1156"/>
      <c r="BX398" s="1156"/>
      <c r="BY398" s="1304"/>
      <c r="BZ398" s="1435"/>
      <c r="CA398" s="1156"/>
      <c r="CG398" s="470"/>
      <c r="CI398" s="470"/>
      <c r="CJ398" s="1507"/>
      <c r="CU398" s="470"/>
      <c r="CV398" s="470"/>
      <c r="CW398" s="470"/>
      <c r="CX398" s="470"/>
      <c r="CY398" s="478"/>
      <c r="CZ398" s="478"/>
      <c r="DA398" s="480"/>
      <c r="DB398" s="1143"/>
      <c r="DC398" s="1143"/>
      <c r="DD398" s="1143"/>
      <c r="DE398" s="1143"/>
      <c r="DF398" s="1143"/>
      <c r="DG398" s="1143"/>
      <c r="DH398" s="470"/>
      <c r="DI398" s="470"/>
      <c r="DJ398" s="470"/>
      <c r="DK398" s="470"/>
      <c r="DL398" s="470"/>
      <c r="DN398" s="518"/>
      <c r="DP398" s="161"/>
      <c r="DQ398" s="161">
        <f>SUM(DQ3:DQ397)</f>
        <v>136677.51999999999</v>
      </c>
      <c r="DR398" s="470"/>
    </row>
    <row r="399" spans="1:123" s="471" customFormat="1" ht="15.75" thickBot="1" x14ac:dyDescent="0.3">
      <c r="A399" s="1156"/>
      <c r="B399" s="1156"/>
      <c r="C399" s="1156"/>
      <c r="D399" s="218"/>
      <c r="F399" s="420"/>
      <c r="G399" s="1156"/>
      <c r="H399" s="1156"/>
      <c r="I399" s="1470"/>
      <c r="Q399" s="1156"/>
      <c r="R399" s="475"/>
      <c r="S399" s="1156"/>
      <c r="T399" s="1156"/>
      <c r="U399" s="1156"/>
      <c r="V399" s="1156"/>
      <c r="W399" s="1156"/>
      <c r="X399" s="1156"/>
      <c r="Y399" s="1156"/>
      <c r="Z399" s="476"/>
      <c r="AA399" s="1156"/>
      <c r="AB399" s="1156"/>
      <c r="AC399" s="1156"/>
      <c r="AD399" s="1156"/>
      <c r="AE399" s="1156"/>
      <c r="AF399" s="1156"/>
      <c r="AG399" s="1156"/>
      <c r="AH399" s="1156"/>
      <c r="AI399" s="1156"/>
      <c r="AJ399" s="1156"/>
      <c r="AK399" s="1156"/>
      <c r="AL399" s="1156"/>
      <c r="AM399" s="1156"/>
      <c r="AN399" s="1156"/>
      <c r="AO399" s="162"/>
      <c r="AP399" s="162"/>
      <c r="AQ399" s="162"/>
      <c r="AR399" s="162"/>
      <c r="AS399" s="162"/>
      <c r="AT399" s="162"/>
      <c r="AU399" s="1156"/>
      <c r="AV399" s="163"/>
      <c r="AW399" s="1156"/>
      <c r="AX399" s="1156"/>
      <c r="AY399" s="163"/>
      <c r="AZ399" s="590"/>
      <c r="BA399" s="590"/>
      <c r="BB399" s="1156"/>
      <c r="BC399" s="1156"/>
      <c r="BD399" s="1156"/>
      <c r="BE399" s="1156"/>
      <c r="BF399" s="1156"/>
      <c r="BG399" s="1156"/>
      <c r="BH399" s="1156"/>
      <c r="BI399" s="1674"/>
      <c r="BJ399" s="1457"/>
      <c r="BK399" s="1156"/>
      <c r="BL399" s="1156"/>
      <c r="BM399" s="1156"/>
      <c r="BN399" s="1156"/>
      <c r="BO399" s="1156"/>
      <c r="BP399" s="1156"/>
      <c r="BQ399" s="1156"/>
      <c r="BR399" s="1156"/>
      <c r="BS399" s="1156"/>
      <c r="BT399" s="1156"/>
      <c r="BU399" s="1156"/>
      <c r="BV399" s="1156"/>
      <c r="BW399" s="1156"/>
      <c r="BX399" s="1156"/>
      <c r="BY399" s="1304"/>
      <c r="BZ399" s="1435"/>
      <c r="CA399" s="1156"/>
      <c r="CJ399" s="1507"/>
      <c r="CU399" s="470"/>
      <c r="CV399" s="470"/>
      <c r="CW399" s="470"/>
      <c r="CX399" s="470"/>
      <c r="CY399" s="478"/>
      <c r="CZ399" s="478"/>
      <c r="DA399" s="480"/>
      <c r="DB399" s="1143"/>
      <c r="DC399" s="1143"/>
      <c r="DD399" s="1143"/>
      <c r="DE399" s="1143"/>
      <c r="DF399" s="1143"/>
      <c r="DG399" s="1143"/>
      <c r="DH399" s="470"/>
      <c r="DI399" s="470"/>
      <c r="DJ399" s="470"/>
      <c r="DK399" s="470"/>
      <c r="DL399" s="470"/>
      <c r="DN399" s="518"/>
      <c r="DP399" s="161"/>
      <c r="DQ399" s="161"/>
      <c r="DR399" s="470"/>
    </row>
    <row r="400" spans="1:123" s="471" customFormat="1" ht="24.95" customHeight="1" thickBot="1" x14ac:dyDescent="0.3">
      <c r="A400" s="199"/>
      <c r="B400" s="197">
        <f ca="1">B42+B303+B397+B15</f>
        <v>378</v>
      </c>
      <c r="C400" s="534"/>
      <c r="D400" s="535"/>
      <c r="E400" s="536"/>
      <c r="F400" s="535"/>
      <c r="G400" s="536"/>
      <c r="H400" s="1496" t="s">
        <v>2875</v>
      </c>
      <c r="I400" s="198">
        <f>I42+I303+I397+I15</f>
        <v>3093</v>
      </c>
      <c r="J400" s="198">
        <f>J42+J303+J397+J15</f>
        <v>454</v>
      </c>
      <c r="K400" s="198">
        <f>K42+K303+K397+K15</f>
        <v>3547</v>
      </c>
      <c r="L400" s="536"/>
      <c r="M400" s="536"/>
      <c r="N400" s="536"/>
      <c r="O400" s="537"/>
      <c r="P400" s="536"/>
      <c r="Q400" s="536"/>
      <c r="R400" s="538"/>
      <c r="S400" s="538"/>
      <c r="T400" s="198">
        <f>T42+T303+T397+T15</f>
        <v>74980</v>
      </c>
      <c r="U400" s="198">
        <f>U42+U303+U397+U15</f>
        <v>310</v>
      </c>
      <c r="V400" s="198">
        <f>V42+V303+V397+V15</f>
        <v>74670</v>
      </c>
      <c r="W400" s="198">
        <f>W42+W303+W397+W15</f>
        <v>37335</v>
      </c>
      <c r="X400" s="198"/>
      <c r="Y400" s="198"/>
      <c r="Z400" s="374">
        <f t="shared" ref="Z400:AU400" si="1147">Z42+Z303+Z397+Z15</f>
        <v>254</v>
      </c>
      <c r="AA400" s="198">
        <f t="shared" si="1147"/>
        <v>8595.4000000000051</v>
      </c>
      <c r="AB400" s="198">
        <f t="shared" si="1147"/>
        <v>46280</v>
      </c>
      <c r="AC400" s="198">
        <f t="shared" si="1147"/>
        <v>3175</v>
      </c>
      <c r="AD400" s="198">
        <f t="shared" si="1147"/>
        <v>17922.650000000001</v>
      </c>
      <c r="AE400" s="198">
        <f t="shared" si="1147"/>
        <v>75973.05</v>
      </c>
      <c r="AF400" s="198">
        <f t="shared" si="1147"/>
        <v>4298.3300000000008</v>
      </c>
      <c r="AG400" s="198">
        <f t="shared" si="1147"/>
        <v>4297.0700000000079</v>
      </c>
      <c r="AH400" s="198">
        <f t="shared" si="1147"/>
        <v>23140</v>
      </c>
      <c r="AI400" s="198">
        <f t="shared" si="1147"/>
        <v>23140</v>
      </c>
      <c r="AJ400" s="198">
        <f t="shared" si="1147"/>
        <v>8961.7200000000048</v>
      </c>
      <c r="AK400" s="198">
        <f t="shared" si="1147"/>
        <v>8960.93</v>
      </c>
      <c r="AL400" s="198">
        <f t="shared" si="1147"/>
        <v>39575.049999999996</v>
      </c>
      <c r="AM400" s="198">
        <f t="shared" si="1147"/>
        <v>36398.000000000029</v>
      </c>
      <c r="AN400" s="200">
        <f t="shared" si="1147"/>
        <v>115</v>
      </c>
      <c r="AO400" s="198">
        <f t="shared" si="1147"/>
        <v>1437.5</v>
      </c>
      <c r="AP400" s="201">
        <f t="shared" si="1147"/>
        <v>2</v>
      </c>
      <c r="AQ400" s="198">
        <f t="shared" si="1147"/>
        <v>25</v>
      </c>
      <c r="AR400" s="198">
        <f t="shared" si="1147"/>
        <v>62.5</v>
      </c>
      <c r="AS400" s="198">
        <f t="shared" si="1147"/>
        <v>25</v>
      </c>
      <c r="AT400" s="198">
        <f t="shared" si="1147"/>
        <v>1550</v>
      </c>
      <c r="AU400" s="198">
        <f t="shared" si="1147"/>
        <v>161744.74999999997</v>
      </c>
      <c r="AV400" s="341"/>
      <c r="AW400" s="198">
        <f t="shared" ref="AW400:CC400" si="1148">AW42+AW303+AW397+AW15</f>
        <v>11101.7</v>
      </c>
      <c r="AX400" s="198">
        <f t="shared" si="1148"/>
        <v>131269.75999999998</v>
      </c>
      <c r="AY400" s="583">
        <f t="shared" si="1148"/>
        <v>64245</v>
      </c>
      <c r="AZ400" s="591">
        <f t="shared" si="1148"/>
        <v>53537.5</v>
      </c>
      <c r="BA400" s="591">
        <f t="shared" si="1148"/>
        <v>1140310.9800000002</v>
      </c>
      <c r="BB400" s="198">
        <f t="shared" si="1148"/>
        <v>0</v>
      </c>
      <c r="BC400" s="200">
        <f t="shared" si="1148"/>
        <v>0</v>
      </c>
      <c r="BD400" s="198">
        <f t="shared" si="1148"/>
        <v>0</v>
      </c>
      <c r="BE400" s="198">
        <f t="shared" si="1148"/>
        <v>280</v>
      </c>
      <c r="BF400" s="198">
        <f t="shared" si="1148"/>
        <v>6353.5</v>
      </c>
      <c r="BG400" s="198">
        <f t="shared" si="1148"/>
        <v>113320</v>
      </c>
      <c r="BH400" s="198">
        <f t="shared" si="1148"/>
        <v>0</v>
      </c>
      <c r="BI400" s="1675">
        <f t="shared" si="1148"/>
        <v>0</v>
      </c>
      <c r="BJ400" s="708">
        <f t="shared" si="1148"/>
        <v>3312.5</v>
      </c>
      <c r="BK400" s="198">
        <f t="shared" si="1148"/>
        <v>0</v>
      </c>
      <c r="BL400" s="198">
        <f t="shared" si="1148"/>
        <v>7386.5400000000018</v>
      </c>
      <c r="BM400" s="198">
        <f t="shared" si="1148"/>
        <v>923.41000000000008</v>
      </c>
      <c r="BN400" s="198">
        <f t="shared" si="1148"/>
        <v>1616.8700000000013</v>
      </c>
      <c r="BO400" s="198">
        <f t="shared" si="1148"/>
        <v>0</v>
      </c>
      <c r="BP400" s="198">
        <f t="shared" si="1148"/>
        <v>0</v>
      </c>
      <c r="BQ400" s="198">
        <f t="shared" si="1148"/>
        <v>9926.8199999999943</v>
      </c>
      <c r="BR400" s="198">
        <f t="shared" si="1148"/>
        <v>16619.450000000004</v>
      </c>
      <c r="BS400" s="198">
        <f t="shared" si="1148"/>
        <v>3693.2300000000018</v>
      </c>
      <c r="BT400" s="198">
        <f>BT42+BT303+BT397+BT15</f>
        <v>3233.7400000000025</v>
      </c>
      <c r="BU400" s="198">
        <f t="shared" si="1148"/>
        <v>0</v>
      </c>
      <c r="BV400" s="198">
        <f t="shared" si="1148"/>
        <v>23546.420000000009</v>
      </c>
      <c r="BW400" s="198">
        <f t="shared" si="1148"/>
        <v>33473.24000000002</v>
      </c>
      <c r="BX400" s="198">
        <f t="shared" si="1148"/>
        <v>285889.43</v>
      </c>
      <c r="BY400" s="198">
        <f t="shared" si="1148"/>
        <v>0</v>
      </c>
      <c r="BZ400" s="198">
        <f t="shared" si="1148"/>
        <v>285889.43</v>
      </c>
      <c r="CA400" s="198">
        <f t="shared" si="1148"/>
        <v>2182995</v>
      </c>
      <c r="CB400" s="198">
        <f t="shared" si="1148"/>
        <v>66983.23</v>
      </c>
      <c r="CC400" s="198">
        <f t="shared" si="1148"/>
        <v>340640.4599999999</v>
      </c>
      <c r="CD400" s="539"/>
      <c r="CE400" s="539"/>
      <c r="CF400" s="539"/>
      <c r="CG400" s="1690">
        <f t="shared" ref="CG400:CT400" si="1149">CG42+CG303+CG397+CG15</f>
        <v>66983.23</v>
      </c>
      <c r="CH400" s="540">
        <f t="shared" si="1149"/>
        <v>4862.5</v>
      </c>
      <c r="CI400" s="541">
        <f t="shared" si="1149"/>
        <v>113320</v>
      </c>
      <c r="CJ400" s="1501">
        <f t="shared" si="1149"/>
        <v>400</v>
      </c>
      <c r="CK400" s="540">
        <f t="shared" si="1149"/>
        <v>187052.99999999994</v>
      </c>
      <c r="CL400" s="1690">
        <f t="shared" si="1149"/>
        <v>168476.39999999997</v>
      </c>
      <c r="CM400" s="1690">
        <f t="shared" si="1149"/>
        <v>18576.599999999999</v>
      </c>
      <c r="CN400" s="1690">
        <f t="shared" si="1149"/>
        <v>6353.5</v>
      </c>
      <c r="CO400" s="540">
        <f t="shared" si="1149"/>
        <v>0</v>
      </c>
      <c r="CP400" s="1690">
        <f t="shared" si="1149"/>
        <v>11101.7</v>
      </c>
      <c r="CQ400" s="1690">
        <f t="shared" si="1149"/>
        <v>131269.75999999998</v>
      </c>
      <c r="CR400" s="540">
        <f t="shared" si="1149"/>
        <v>522830.96</v>
      </c>
      <c r="CS400" s="540">
        <f t="shared" si="1149"/>
        <v>33473.24000000002</v>
      </c>
      <c r="CT400" s="540">
        <f t="shared" si="1149"/>
        <v>2182995</v>
      </c>
      <c r="CU400" s="470"/>
      <c r="CV400" s="470"/>
      <c r="CW400" s="470"/>
      <c r="CX400" s="470"/>
      <c r="CY400" s="1434"/>
      <c r="CZ400" s="1434"/>
      <c r="DA400" s="193"/>
      <c r="DB400" s="1143"/>
      <c r="DC400" s="1143"/>
      <c r="DD400" s="1143"/>
      <c r="DE400" s="1143"/>
      <c r="DF400" s="1143"/>
      <c r="DG400" s="1143"/>
      <c r="DH400" s="193"/>
      <c r="DI400" s="193"/>
      <c r="DJ400" s="193"/>
      <c r="DK400" s="193"/>
      <c r="DL400" s="193"/>
      <c r="DM400" s="193"/>
      <c r="DN400" s="518"/>
      <c r="DO400" s="539"/>
      <c r="DP400" s="161"/>
      <c r="DQ400" s="161"/>
      <c r="DR400" s="470"/>
      <c r="DS400" s="193"/>
    </row>
    <row r="401" spans="1:122" s="471" customFormat="1" x14ac:dyDescent="0.25">
      <c r="A401" s="1156"/>
      <c r="B401" s="1156">
        <f ca="1">+B400-17</f>
        <v>361</v>
      </c>
      <c r="C401" s="1156"/>
      <c r="D401" s="218"/>
      <c r="F401" s="420"/>
      <c r="G401" s="1156"/>
      <c r="H401" s="474"/>
      <c r="I401" s="1156"/>
      <c r="J401" s="1156"/>
      <c r="K401" s="1156"/>
      <c r="L401" s="1156"/>
      <c r="M401" s="1156"/>
      <c r="N401" s="1156"/>
      <c r="P401" s="1156"/>
      <c r="Q401" s="1156"/>
      <c r="R401" s="475"/>
      <c r="S401" s="1156"/>
      <c r="T401" s="161"/>
      <c r="U401" s="161"/>
      <c r="V401" s="161"/>
      <c r="W401" s="161"/>
      <c r="X401" s="161"/>
      <c r="Y401" s="161"/>
      <c r="Z401" s="512"/>
      <c r="AA401" s="202"/>
      <c r="AB401" s="161"/>
      <c r="AC401" s="161"/>
      <c r="AD401" s="161"/>
      <c r="AE401" s="161"/>
      <c r="AF401" s="161"/>
      <c r="AG401" s="161"/>
      <c r="AH401" s="161"/>
      <c r="AI401" s="161"/>
      <c r="AJ401" s="161"/>
      <c r="AK401" s="161"/>
      <c r="AL401" s="161"/>
      <c r="AM401" s="161"/>
      <c r="AN401" s="161"/>
      <c r="AO401" s="162"/>
      <c r="AP401" s="162"/>
      <c r="AQ401" s="162"/>
      <c r="AR401" s="162"/>
      <c r="AS401" s="162"/>
      <c r="AT401" s="162"/>
      <c r="AU401" s="161"/>
      <c r="AV401" s="164"/>
      <c r="AW401" s="161"/>
      <c r="AX401" s="161"/>
      <c r="AY401" s="161"/>
      <c r="AZ401" s="161"/>
      <c r="BA401" s="161"/>
      <c r="BB401" s="161"/>
      <c r="BC401" s="161"/>
      <c r="BD401" s="161"/>
      <c r="BE401" s="161"/>
      <c r="BF401" s="161"/>
      <c r="BG401" s="161"/>
      <c r="BH401" s="161"/>
      <c r="BI401" s="161"/>
      <c r="BJ401" s="161"/>
      <c r="BK401" s="161"/>
      <c r="BL401" s="161"/>
      <c r="BM401" s="161"/>
      <c r="BN401" s="161"/>
      <c r="BO401" s="161"/>
      <c r="BP401" s="161"/>
      <c r="BQ401" s="161"/>
      <c r="BR401" s="161"/>
      <c r="BS401" s="161"/>
      <c r="BT401" s="161"/>
      <c r="BU401" s="161"/>
      <c r="BV401" s="161"/>
      <c r="BW401" s="161"/>
      <c r="BX401" s="161"/>
      <c r="BY401" s="161"/>
      <c r="BZ401" s="161"/>
      <c r="CA401" s="161"/>
      <c r="CB401" s="470"/>
      <c r="CC401" s="480"/>
      <c r="CD401" s="470"/>
      <c r="CE401" s="470"/>
      <c r="CF401" s="470"/>
      <c r="CG401" s="470"/>
      <c r="CH401" s="470"/>
      <c r="CI401" s="470"/>
      <c r="CJ401" s="1507"/>
      <c r="CK401" s="470"/>
      <c r="CL401" s="470">
        <f>+CL400+CM400-CK400</f>
        <v>0</v>
      </c>
      <c r="CM401" s="470"/>
      <c r="CN401" s="470"/>
      <c r="CO401" s="470"/>
      <c r="CP401" s="470"/>
      <c r="CQ401" s="470"/>
      <c r="CR401" s="470"/>
      <c r="CS401" s="470"/>
      <c r="CT401" s="470"/>
      <c r="CU401" s="470"/>
      <c r="CV401" s="470"/>
      <c r="CW401" s="470"/>
      <c r="CX401" s="470"/>
      <c r="CY401" s="480"/>
      <c r="CZ401" s="480"/>
      <c r="DA401" s="480"/>
      <c r="DB401" s="1152"/>
      <c r="DC401" s="1152"/>
      <c r="DD401" s="1152"/>
      <c r="DE401" s="1152"/>
      <c r="DF401" s="1152"/>
      <c r="DG401" s="1152"/>
      <c r="DH401" s="470"/>
      <c r="DI401" s="470"/>
      <c r="DJ401" s="470"/>
      <c r="DK401" s="470"/>
      <c r="DL401" s="470"/>
      <c r="DN401" s="518"/>
      <c r="DO401" s="470"/>
      <c r="DP401" s="161"/>
      <c r="DQ401" s="161"/>
      <c r="DR401" s="470"/>
    </row>
    <row r="402" spans="1:122" s="471" customFormat="1" x14ac:dyDescent="0.25">
      <c r="A402" s="1156"/>
      <c r="B402" s="1156"/>
      <c r="C402" s="1156"/>
      <c r="D402" s="218"/>
      <c r="F402" s="420"/>
      <c r="G402" s="1156"/>
      <c r="H402" s="1156"/>
      <c r="Q402" s="1156"/>
      <c r="R402" s="475"/>
      <c r="S402" s="1156"/>
      <c r="T402" s="161"/>
      <c r="U402" s="161"/>
      <c r="V402" s="161"/>
      <c r="W402" s="161"/>
      <c r="X402" s="161"/>
      <c r="Y402" s="161"/>
      <c r="Z402" s="161"/>
      <c r="AA402" s="161"/>
      <c r="AB402" s="161"/>
      <c r="AC402" s="161"/>
      <c r="AD402" s="161"/>
      <c r="AE402" s="161"/>
      <c r="AF402" s="161"/>
      <c r="AG402" s="161"/>
      <c r="AH402" s="161"/>
      <c r="AI402" s="161"/>
      <c r="AJ402" s="161"/>
      <c r="AK402" s="161"/>
      <c r="AL402" s="161"/>
      <c r="AM402" s="161"/>
      <c r="AN402" s="161"/>
      <c r="AO402" s="161"/>
      <c r="AP402" s="161"/>
      <c r="AQ402" s="161"/>
      <c r="AR402" s="161"/>
      <c r="AS402" s="161"/>
      <c r="AT402" s="161"/>
      <c r="AU402" s="161"/>
      <c r="AV402" s="161"/>
      <c r="AW402" s="161"/>
      <c r="AX402" s="161"/>
      <c r="AY402" s="161"/>
      <c r="AZ402" s="161"/>
      <c r="BA402" s="161"/>
      <c r="BB402" s="161"/>
      <c r="BC402" s="161"/>
      <c r="BD402" s="161"/>
      <c r="BE402" s="161"/>
      <c r="BF402" s="161"/>
      <c r="BG402" s="161"/>
      <c r="BH402" s="161"/>
      <c r="BI402" s="161"/>
      <c r="BJ402" s="161"/>
      <c r="BK402" s="161"/>
      <c r="BL402" s="161"/>
      <c r="BM402" s="161"/>
      <c r="BN402" s="161"/>
      <c r="BO402" s="161"/>
      <c r="BP402" s="161"/>
      <c r="BQ402" s="161"/>
      <c r="BR402" s="161"/>
      <c r="BS402" s="161"/>
      <c r="BT402" s="161"/>
      <c r="BU402" s="161"/>
      <c r="BV402" s="161"/>
      <c r="BW402" s="161"/>
      <c r="BX402" s="161"/>
      <c r="BY402" s="161"/>
      <c r="BZ402" s="161"/>
      <c r="CA402" s="161"/>
      <c r="CB402" s="161"/>
      <c r="CC402" s="161"/>
      <c r="CD402" s="470"/>
      <c r="CE402" s="470"/>
      <c r="CF402" s="470"/>
      <c r="CG402" s="470"/>
      <c r="CH402" s="470"/>
      <c r="CI402" s="470"/>
      <c r="CJ402" s="1507"/>
      <c r="CK402" s="470"/>
      <c r="CL402" s="470"/>
      <c r="CM402" s="470"/>
      <c r="CN402" s="470"/>
      <c r="CO402" s="470"/>
      <c r="CP402" s="470"/>
      <c r="CQ402" s="470"/>
      <c r="CR402" s="470"/>
      <c r="CS402" s="470"/>
      <c r="CT402" s="470"/>
      <c r="CU402" s="470"/>
      <c r="CV402" s="470"/>
      <c r="CW402" s="470"/>
      <c r="CX402" s="470"/>
      <c r="CY402" s="480"/>
      <c r="CZ402" s="480"/>
      <c r="DA402" s="480"/>
      <c r="DB402" s="1152"/>
      <c r="DC402" s="1152"/>
      <c r="DD402" s="1152"/>
      <c r="DE402" s="1152"/>
      <c r="DF402" s="1152"/>
      <c r="DG402" s="1152"/>
      <c r="DH402" s="470"/>
      <c r="DI402" s="470"/>
      <c r="DJ402" s="470"/>
      <c r="DK402" s="470"/>
      <c r="DL402" s="470"/>
      <c r="DN402" s="518"/>
      <c r="DO402" s="470"/>
      <c r="DP402" s="161"/>
      <c r="DQ402" s="161"/>
      <c r="DR402" s="470"/>
    </row>
    <row r="403" spans="1:122" s="471" customFormat="1" x14ac:dyDescent="0.25">
      <c r="A403" s="1156"/>
      <c r="B403" s="1156"/>
      <c r="C403" s="1156"/>
      <c r="D403" s="218"/>
      <c r="F403" s="420"/>
      <c r="G403" s="1156"/>
      <c r="H403" s="1156"/>
      <c r="Q403" s="1156"/>
      <c r="R403" s="475"/>
      <c r="S403" s="1156"/>
      <c r="T403" s="161"/>
      <c r="U403" s="161"/>
      <c r="V403" s="161"/>
      <c r="W403" s="161"/>
      <c r="X403" s="1483"/>
      <c r="Y403" s="1483"/>
      <c r="Z403" s="476"/>
      <c r="AA403" s="1484"/>
      <c r="AB403" s="1484"/>
      <c r="AC403" s="1484"/>
      <c r="AD403" s="1484"/>
      <c r="AE403" s="1484"/>
      <c r="AF403" s="1484"/>
      <c r="AG403" s="1484"/>
      <c r="AH403" s="1484"/>
      <c r="AI403" s="1484"/>
      <c r="AJ403" s="1484"/>
      <c r="AK403" s="1484"/>
      <c r="AL403" s="1484"/>
      <c r="AM403" s="1484"/>
      <c r="AN403" s="1484"/>
      <c r="AO403" s="1485"/>
      <c r="AP403" s="1485"/>
      <c r="AQ403" s="1485"/>
      <c r="AR403" s="1485"/>
      <c r="AS403" s="1485"/>
      <c r="AT403" s="1485"/>
      <c r="AU403" s="1484"/>
      <c r="AV403" s="1486"/>
      <c r="AW403" s="1484"/>
      <c r="AX403" s="1484"/>
      <c r="AY403" s="1484"/>
      <c r="AZ403" s="1484"/>
      <c r="BA403" s="1484"/>
      <c r="BB403" s="1487"/>
      <c r="BC403" s="1487"/>
      <c r="BD403" s="1487"/>
      <c r="BE403" s="1484"/>
      <c r="BF403" s="1484"/>
      <c r="BG403" s="1484"/>
      <c r="BH403" s="1484"/>
      <c r="BI403" s="1484"/>
      <c r="BJ403" s="1484"/>
      <c r="BK403" s="1484"/>
      <c r="BL403" s="1487"/>
      <c r="BM403" s="1487"/>
      <c r="BN403" s="1484"/>
      <c r="BO403" s="1487"/>
      <c r="BP403" s="1487"/>
      <c r="BQ403" s="1484"/>
      <c r="BR403" s="1484"/>
      <c r="BS403" s="1484"/>
      <c r="BT403" s="1484"/>
      <c r="BU403" s="1484"/>
      <c r="BV403" s="1484"/>
      <c r="BW403" s="1484"/>
      <c r="BX403" s="1484"/>
      <c r="BY403" s="1484"/>
      <c r="BZ403" s="1488"/>
      <c r="CA403" s="1484"/>
      <c r="CB403" s="1484"/>
      <c r="CC403" s="1484"/>
      <c r="CD403" s="470"/>
      <c r="CE403" s="470"/>
      <c r="CF403" s="470"/>
      <c r="CG403" s="470"/>
      <c r="CH403" s="470"/>
      <c r="CI403" s="470"/>
      <c r="CJ403" s="1507"/>
      <c r="CK403" s="470"/>
      <c r="CL403" s="470"/>
      <c r="CM403" s="470"/>
      <c r="CN403" s="470"/>
      <c r="CO403" s="470"/>
      <c r="CP403" s="470"/>
      <c r="CQ403" s="470"/>
      <c r="CR403" s="470"/>
      <c r="CS403" s="470"/>
      <c r="CT403" s="470"/>
      <c r="CU403" s="470"/>
      <c r="CV403" s="470"/>
      <c r="CW403" s="470"/>
      <c r="CX403" s="470"/>
      <c r="CY403" s="480"/>
      <c r="CZ403" s="480"/>
      <c r="DA403" s="480"/>
      <c r="DB403" s="1143"/>
      <c r="DC403" s="1143"/>
      <c r="DD403" s="1143"/>
      <c r="DE403" s="1143"/>
      <c r="DF403" s="1143"/>
      <c r="DG403" s="1143"/>
      <c r="DH403" s="470"/>
      <c r="DI403" s="470"/>
      <c r="DJ403" s="470"/>
      <c r="DK403" s="470"/>
      <c r="DL403" s="470"/>
      <c r="DN403" s="518"/>
      <c r="DO403" s="470"/>
      <c r="DP403" s="161"/>
      <c r="DQ403" s="161"/>
      <c r="DR403" s="470"/>
    </row>
    <row r="404" spans="1:122" s="471" customFormat="1" x14ac:dyDescent="0.25">
      <c r="A404" s="1156"/>
      <c r="B404" s="542" t="s">
        <v>5982</v>
      </c>
      <c r="C404" s="543"/>
      <c r="D404" s="544"/>
      <c r="E404" s="522"/>
      <c r="F404" s="545"/>
      <c r="G404" s="345"/>
      <c r="H404" s="345"/>
      <c r="I404" s="522"/>
      <c r="T404" s="470"/>
      <c r="U404" s="470"/>
      <c r="V404" s="470"/>
      <c r="W404" s="470"/>
      <c r="X404" s="470"/>
      <c r="Y404" s="470"/>
      <c r="Z404" s="470"/>
      <c r="AA404" s="1484"/>
      <c r="AB404" s="1484"/>
      <c r="AC404" s="1484"/>
      <c r="AD404" s="1484"/>
      <c r="AE404" s="1484"/>
      <c r="AF404" s="1484"/>
      <c r="AG404" s="1484"/>
      <c r="AH404" s="1484"/>
      <c r="AI404" s="1484"/>
      <c r="AJ404" s="1484"/>
      <c r="AK404" s="1484"/>
      <c r="AL404" s="1484"/>
      <c r="AM404" s="1484"/>
      <c r="AN404" s="1484"/>
      <c r="AO404" s="1484"/>
      <c r="AP404" s="1484"/>
      <c r="AQ404" s="1484"/>
      <c r="AR404" s="1484"/>
      <c r="AS404" s="1484"/>
      <c r="AT404" s="1484"/>
      <c r="AU404" s="1484"/>
      <c r="AV404" s="1484"/>
      <c r="AW404" s="1484"/>
      <c r="AX404" s="1484"/>
      <c r="AY404" s="1484"/>
      <c r="AZ404" s="1484"/>
      <c r="BA404" s="1484"/>
      <c r="BB404" s="1484"/>
      <c r="BC404" s="1484"/>
      <c r="BD404" s="1484"/>
      <c r="BE404" s="1484"/>
      <c r="BF404" s="1484"/>
      <c r="BG404" s="1484"/>
      <c r="BH404" s="1484"/>
      <c r="BI404" s="1484"/>
      <c r="BJ404" s="1484"/>
      <c r="BK404" s="1484"/>
      <c r="BL404" s="1484"/>
      <c r="BM404" s="1484"/>
      <c r="BN404" s="1484"/>
      <c r="BO404" s="1484"/>
      <c r="BP404" s="1484"/>
      <c r="BQ404" s="1484"/>
      <c r="BR404" s="1484"/>
      <c r="BS404" s="1484"/>
      <c r="BT404" s="1484"/>
      <c r="BU404" s="1484"/>
      <c r="BV404" s="1484"/>
      <c r="BW404" s="1484"/>
      <c r="BX404" s="1484"/>
      <c r="BY404" s="1484"/>
      <c r="BZ404" s="1484"/>
      <c r="CA404" s="1484"/>
      <c r="CB404" s="1484"/>
      <c r="CC404" s="1764"/>
      <c r="CJ404" s="1507"/>
      <c r="CU404" s="470"/>
      <c r="CV404" s="470"/>
      <c r="CW404" s="470"/>
      <c r="CX404" s="470"/>
      <c r="CY404" s="478"/>
      <c r="CZ404" s="478"/>
      <c r="DA404" s="478"/>
      <c r="DB404" s="1152"/>
      <c r="DC404" s="1152"/>
      <c r="DD404" s="1152"/>
      <c r="DE404" s="1152"/>
      <c r="DF404" s="1152"/>
      <c r="DG404" s="1152"/>
    </row>
    <row r="405" spans="1:122" s="471" customFormat="1" x14ac:dyDescent="0.25">
      <c r="A405" s="1156"/>
      <c r="B405" s="542" t="s">
        <v>4665</v>
      </c>
      <c r="C405" s="543"/>
      <c r="D405" s="544"/>
      <c r="E405" s="522"/>
      <c r="F405" s="545"/>
      <c r="G405" s="345"/>
      <c r="H405" s="345"/>
      <c r="I405" s="522"/>
      <c r="J405" s="1156"/>
      <c r="K405" s="1156"/>
      <c r="L405" s="1156"/>
      <c r="M405" s="1156"/>
      <c r="N405" s="1156"/>
      <c r="Q405" s="1156"/>
      <c r="R405" s="475"/>
      <c r="S405" s="1156"/>
      <c r="T405" s="161"/>
      <c r="U405" s="161"/>
      <c r="V405" s="161"/>
      <c r="W405" s="161"/>
      <c r="X405" s="1156"/>
      <c r="Y405" s="1156"/>
      <c r="Z405" s="476"/>
      <c r="AA405" s="161"/>
      <c r="AB405" s="161"/>
      <c r="AC405" s="161"/>
      <c r="AD405" s="161"/>
      <c r="AE405" s="161"/>
      <c r="AF405" s="161"/>
      <c r="AG405" s="161"/>
      <c r="AH405" s="161"/>
      <c r="AI405" s="161"/>
      <c r="AJ405" s="161"/>
      <c r="AK405" s="161"/>
      <c r="AL405" s="161"/>
      <c r="AM405" s="161"/>
      <c r="AN405" s="161"/>
      <c r="AO405" s="162"/>
      <c r="AP405" s="162"/>
      <c r="AQ405" s="162"/>
      <c r="AR405" s="162"/>
      <c r="AS405" s="162"/>
      <c r="AT405" s="162"/>
      <c r="AU405" s="1156"/>
      <c r="AV405" s="163"/>
      <c r="AW405" s="1156"/>
      <c r="AX405" s="161"/>
      <c r="AY405" s="161"/>
      <c r="AZ405" s="161"/>
      <c r="BA405" s="161"/>
      <c r="BB405" s="1156"/>
      <c r="BC405" s="1156"/>
      <c r="BD405" s="1156"/>
      <c r="BE405" s="1156"/>
      <c r="BF405" s="1156"/>
      <c r="BG405" s="161"/>
      <c r="BH405" s="161"/>
      <c r="BI405" s="161"/>
      <c r="BJ405" s="161"/>
      <c r="BK405" s="161"/>
      <c r="BL405" s="1156"/>
      <c r="BM405" s="1156"/>
      <c r="BN405" s="1156"/>
      <c r="BO405" s="1156"/>
      <c r="BP405" s="1156"/>
      <c r="BQ405" s="1156"/>
      <c r="BR405" s="161"/>
      <c r="BS405" s="161"/>
      <c r="BT405" s="161"/>
      <c r="BU405" s="161"/>
      <c r="BV405" s="161"/>
      <c r="BW405" s="164" t="s">
        <v>7323</v>
      </c>
      <c r="BX405" s="161"/>
      <c r="BY405" s="161"/>
      <c r="BZ405" s="1497" t="s">
        <v>7289</v>
      </c>
      <c r="CA405" s="1498">
        <f>W400+AL400+AT400+BJ400-BQ400</f>
        <v>71845.73</v>
      </c>
      <c r="CB405" s="470"/>
      <c r="CC405" s="470"/>
      <c r="CD405" s="470"/>
      <c r="CE405" s="470"/>
      <c r="CF405" s="470"/>
      <c r="CG405" s="470"/>
      <c r="CH405" s="470"/>
      <c r="CI405" s="470"/>
      <c r="CJ405" s="1507"/>
      <c r="CK405" s="470"/>
      <c r="CL405" s="470"/>
      <c r="CM405" s="470"/>
      <c r="CN405" s="470"/>
      <c r="CO405" s="470"/>
      <c r="CP405" s="470"/>
      <c r="CQ405" s="470"/>
      <c r="CR405" s="470"/>
      <c r="CS405" s="470"/>
      <c r="CT405" s="470"/>
      <c r="CU405" s="470"/>
      <c r="CV405" s="470"/>
      <c r="CW405" s="470"/>
      <c r="CX405" s="470"/>
      <c r="CY405" s="480"/>
      <c r="CZ405" s="480"/>
      <c r="DA405" s="480"/>
      <c r="DB405" s="1143"/>
      <c r="DC405" s="1143"/>
      <c r="DD405" s="1143"/>
      <c r="DE405" s="1143"/>
      <c r="DF405" s="1143"/>
      <c r="DG405" s="1143"/>
      <c r="DH405" s="470"/>
      <c r="DI405" s="470"/>
      <c r="DJ405" s="470"/>
      <c r="DK405" s="470"/>
      <c r="DL405" s="470"/>
      <c r="DN405" s="518"/>
      <c r="DO405" s="470"/>
      <c r="DP405" s="161"/>
      <c r="DQ405" s="161"/>
      <c r="DR405" s="470"/>
    </row>
    <row r="406" spans="1:122" s="471" customFormat="1" ht="12" x14ac:dyDescent="0.25">
      <c r="A406" s="1156"/>
      <c r="B406" s="1268"/>
      <c r="C406" s="1268"/>
      <c r="D406" s="1268"/>
      <c r="E406" s="1268"/>
      <c r="F406" s="1268"/>
      <c r="G406" s="1268"/>
      <c r="H406" s="1268"/>
      <c r="I406" s="1268"/>
      <c r="J406" s="1268"/>
      <c r="BW406" s="164" t="s">
        <v>7324</v>
      </c>
      <c r="BX406" s="470"/>
      <c r="BY406" s="470"/>
      <c r="BZ406" s="1497" t="s">
        <v>7290</v>
      </c>
      <c r="CA406" s="1498">
        <f>W400+AM400</f>
        <v>73733.000000000029</v>
      </c>
      <c r="CB406" s="470"/>
      <c r="CJ406" s="1507"/>
      <c r="CK406" s="470"/>
      <c r="CU406" s="470"/>
      <c r="CV406" s="470"/>
      <c r="CW406" s="470"/>
      <c r="CX406" s="470"/>
      <c r="CY406" s="478"/>
      <c r="CZ406" s="478"/>
      <c r="DA406" s="478"/>
      <c r="DB406" s="1152"/>
      <c r="DC406" s="1152"/>
      <c r="DD406" s="1152"/>
      <c r="DE406" s="1152"/>
      <c r="DF406" s="1152"/>
      <c r="DG406" s="1152"/>
    </row>
    <row r="407" spans="1:122" s="471" customFormat="1" x14ac:dyDescent="0.25">
      <c r="A407" s="1156"/>
      <c r="B407" s="1156"/>
      <c r="C407" s="1156"/>
      <c r="D407" s="218"/>
      <c r="F407" s="420"/>
      <c r="G407" s="1156"/>
      <c r="H407" s="474"/>
      <c r="I407" s="1156"/>
      <c r="J407" s="1156"/>
      <c r="K407" s="1156"/>
      <c r="L407" s="1156"/>
      <c r="M407" s="1156"/>
      <c r="N407" s="1156"/>
      <c r="Q407" s="1156"/>
      <c r="R407" s="475"/>
      <c r="S407" s="1156"/>
      <c r="T407" s="161"/>
      <c r="U407" s="161"/>
      <c r="V407" s="161"/>
      <c r="W407" s="161"/>
      <c r="X407" s="1156"/>
      <c r="Y407" s="1156"/>
      <c r="Z407" s="476"/>
      <c r="AA407" s="161"/>
      <c r="AB407" s="161"/>
      <c r="AC407" s="161"/>
      <c r="AD407" s="161"/>
      <c r="AE407" s="161"/>
      <c r="AF407" s="161"/>
      <c r="AG407" s="161"/>
      <c r="AH407" s="161"/>
      <c r="AI407" s="161"/>
      <c r="AJ407" s="161"/>
      <c r="AK407" s="161"/>
      <c r="AL407" s="161"/>
      <c r="AM407" s="161"/>
      <c r="AN407" s="161"/>
      <c r="AO407" s="162"/>
      <c r="AP407" s="162"/>
      <c r="AQ407" s="162"/>
      <c r="AR407" s="162"/>
      <c r="AS407" s="162"/>
      <c r="AT407" s="162"/>
      <c r="AU407" s="1156"/>
      <c r="AV407" s="163"/>
      <c r="AW407" s="1156"/>
      <c r="AX407" s="161"/>
      <c r="AY407" s="161"/>
      <c r="AZ407" s="161"/>
      <c r="BA407" s="161"/>
      <c r="BB407" s="1156"/>
      <c r="BC407" s="1156"/>
      <c r="BD407" s="1156"/>
      <c r="BE407" s="1156"/>
      <c r="BF407" s="1156"/>
      <c r="BG407" s="161"/>
      <c r="BH407" s="161"/>
      <c r="BI407" s="161"/>
      <c r="BJ407" s="161"/>
      <c r="BK407" s="161"/>
      <c r="BL407" s="1156"/>
      <c r="BM407" s="1156"/>
      <c r="BN407" s="1156"/>
      <c r="BO407" s="1156"/>
      <c r="BP407" s="1156"/>
      <c r="BQ407" s="1156"/>
      <c r="BR407" s="161"/>
      <c r="BS407" s="161"/>
      <c r="BT407" s="161"/>
      <c r="BU407" s="161"/>
      <c r="BV407" s="161"/>
      <c r="BW407" s="161"/>
      <c r="BX407" s="161"/>
      <c r="BY407" s="161"/>
      <c r="BZ407" s="161"/>
      <c r="CA407" s="161"/>
      <c r="CB407" s="470"/>
      <c r="CC407" s="470"/>
      <c r="CD407" s="470"/>
      <c r="CE407" s="470"/>
      <c r="CF407" s="470"/>
      <c r="CG407" s="470"/>
      <c r="CH407" s="470"/>
      <c r="CI407" s="470"/>
      <c r="CJ407" s="1507"/>
      <c r="CK407" s="470"/>
      <c r="CL407" s="470"/>
      <c r="CM407" s="470"/>
      <c r="CN407" s="470"/>
      <c r="CO407" s="470"/>
      <c r="CP407" s="470"/>
      <c r="CQ407" s="470"/>
      <c r="CR407" s="470"/>
      <c r="CS407" s="470"/>
      <c r="CT407" s="470"/>
      <c r="CU407" s="470"/>
      <c r="CV407" s="470"/>
      <c r="CW407" s="470"/>
      <c r="CX407" s="470"/>
      <c r="CY407" s="480"/>
      <c r="CZ407" s="480"/>
      <c r="DA407" s="480"/>
      <c r="DB407" s="1152"/>
      <c r="DC407" s="1152"/>
      <c r="DD407" s="1152"/>
      <c r="DE407" s="1152"/>
      <c r="DF407" s="1152"/>
      <c r="DG407" s="1152"/>
      <c r="DH407" s="470"/>
      <c r="DI407" s="470"/>
      <c r="DJ407" s="470"/>
      <c r="DK407" s="470"/>
      <c r="DL407" s="470"/>
      <c r="DN407" s="518"/>
      <c r="DO407" s="470"/>
      <c r="DP407" s="161"/>
      <c r="DQ407" s="161"/>
      <c r="DR407" s="470"/>
    </row>
    <row r="408" spans="1:122" s="471" customFormat="1" ht="15.75" thickBot="1" x14ac:dyDescent="0.3">
      <c r="A408" s="1156"/>
      <c r="B408" s="1156"/>
      <c r="C408" s="1156"/>
      <c r="D408" s="218"/>
      <c r="F408" s="420"/>
      <c r="G408" s="1156"/>
      <c r="H408" s="474"/>
      <c r="I408" s="1801"/>
      <c r="J408" s="1801"/>
      <c r="K408" s="1156"/>
      <c r="L408" s="1156"/>
      <c r="M408" s="1156"/>
      <c r="N408" s="1156"/>
      <c r="Q408" s="1156"/>
      <c r="R408" s="475"/>
      <c r="S408" s="1156"/>
      <c r="T408" s="161"/>
      <c r="U408" s="161"/>
      <c r="V408" s="161"/>
      <c r="W408" s="161"/>
      <c r="X408" s="1156"/>
      <c r="Y408" s="1156"/>
      <c r="Z408" s="476"/>
      <c r="AA408" s="161"/>
      <c r="AB408" s="161"/>
      <c r="AC408" s="161"/>
      <c r="AD408" s="161"/>
      <c r="AE408" s="161"/>
      <c r="AF408" s="161"/>
      <c r="AG408" s="161"/>
      <c r="AH408" s="161"/>
      <c r="AI408" s="161"/>
      <c r="AJ408" s="161"/>
      <c r="AK408" s="161"/>
      <c r="AL408" s="161"/>
      <c r="AM408" s="161"/>
      <c r="AN408" s="161"/>
      <c r="AO408" s="162"/>
      <c r="AP408" s="162"/>
      <c r="AQ408" s="162"/>
      <c r="AR408" s="162"/>
      <c r="AS408" s="162"/>
      <c r="AT408" s="162"/>
      <c r="AU408" s="1156"/>
      <c r="AV408" s="163"/>
      <c r="AW408" s="1156"/>
      <c r="AX408" s="161"/>
      <c r="AY408" s="161"/>
      <c r="AZ408" s="161"/>
      <c r="BA408" s="161"/>
      <c r="BB408" s="1156"/>
      <c r="BC408" s="1156"/>
      <c r="BD408" s="1156"/>
      <c r="BE408" s="1156"/>
      <c r="BF408" s="1156"/>
      <c r="BG408" s="161"/>
      <c r="BH408" s="161"/>
      <c r="BI408" s="161"/>
      <c r="BJ408" s="161"/>
      <c r="BK408" s="161"/>
      <c r="BL408" s="1156"/>
      <c r="BM408" s="1156"/>
      <c r="BN408" s="1156"/>
      <c r="BO408" s="1156"/>
      <c r="BP408" s="1156"/>
      <c r="BQ408" s="1156"/>
      <c r="BR408" s="161"/>
      <c r="BS408" s="161"/>
      <c r="BT408" s="161"/>
      <c r="BU408" s="161"/>
      <c r="BV408" s="161"/>
      <c r="BW408" s="161"/>
      <c r="BX408" s="161"/>
      <c r="BY408" s="161"/>
      <c r="BZ408" s="161"/>
      <c r="CA408" s="161"/>
      <c r="CB408" s="470"/>
      <c r="CC408" s="470"/>
      <c r="CD408" s="470"/>
      <c r="CE408" s="470"/>
      <c r="CF408" s="470"/>
      <c r="CG408" s="470"/>
      <c r="CH408" s="470"/>
      <c r="CI408" s="470"/>
      <c r="CJ408" s="1507"/>
      <c r="CK408" s="470"/>
      <c r="CL408" s="470"/>
      <c r="CM408" s="470"/>
      <c r="CN408" s="470"/>
      <c r="CO408" s="470"/>
      <c r="CP408" s="470"/>
      <c r="CQ408" s="470"/>
      <c r="CR408" s="470"/>
      <c r="CS408" s="470"/>
      <c r="CT408" s="470"/>
      <c r="CU408" s="470"/>
      <c r="CV408" s="470"/>
      <c r="CW408" s="470"/>
      <c r="CX408" s="470"/>
      <c r="CY408" s="480"/>
      <c r="CZ408" s="480"/>
      <c r="DA408" s="480"/>
      <c r="DB408" s="1152"/>
      <c r="DC408" s="1152"/>
      <c r="DD408" s="1152"/>
      <c r="DE408" s="1152"/>
      <c r="DF408" s="1152"/>
      <c r="DG408" s="1152"/>
      <c r="DH408" s="470"/>
      <c r="DI408" s="470"/>
      <c r="DJ408" s="470"/>
      <c r="DK408" s="470"/>
      <c r="DL408" s="470"/>
      <c r="DN408" s="518"/>
      <c r="DO408" s="470"/>
      <c r="DP408" s="161"/>
      <c r="DQ408" s="161"/>
      <c r="DR408" s="470"/>
    </row>
    <row r="409" spans="1:122" s="471" customFormat="1" ht="18" x14ac:dyDescent="0.25">
      <c r="A409" s="546"/>
      <c r="B409" s="1011" t="s">
        <v>5979</v>
      </c>
      <c r="C409" s="548"/>
      <c r="D409" s="549"/>
      <c r="E409" s="549"/>
      <c r="F409" s="550"/>
      <c r="G409" s="550"/>
      <c r="H409" s="551"/>
      <c r="I409" s="1156"/>
      <c r="J409" s="1156"/>
      <c r="K409" s="1156"/>
      <c r="L409" s="1156"/>
      <c r="M409" s="1156"/>
      <c r="N409" s="1156"/>
      <c r="Q409" s="1156"/>
      <c r="R409" s="475"/>
      <c r="S409" s="1156"/>
      <c r="T409" s="161"/>
      <c r="U409" s="161"/>
      <c r="V409" s="161"/>
      <c r="W409" s="161"/>
      <c r="X409" s="1156"/>
      <c r="Y409" s="1156"/>
      <c r="Z409" s="476"/>
      <c r="AA409" s="161"/>
      <c r="AB409" s="161"/>
      <c r="AC409" s="161"/>
      <c r="AD409" s="161"/>
      <c r="AE409" s="161"/>
      <c r="AF409" s="161"/>
      <c r="AG409" s="161"/>
      <c r="AH409" s="161"/>
      <c r="AI409" s="161"/>
      <c r="AJ409" s="161"/>
      <c r="AK409" s="161"/>
      <c r="AL409" s="161"/>
      <c r="AM409" s="161"/>
      <c r="AN409" s="161"/>
      <c r="AO409" s="162"/>
      <c r="AP409" s="162"/>
      <c r="AQ409" s="162"/>
      <c r="AR409" s="162"/>
      <c r="AS409" s="162"/>
      <c r="AT409" s="162"/>
      <c r="AU409" s="1156"/>
      <c r="AV409" s="163"/>
      <c r="AW409" s="1156"/>
      <c r="AX409" s="161"/>
      <c r="AY409" s="161"/>
      <c r="AZ409" s="161"/>
      <c r="BA409" s="161"/>
      <c r="BB409" s="1156"/>
      <c r="BC409" s="1156"/>
      <c r="BD409" s="1156"/>
      <c r="BE409" s="1719"/>
      <c r="BF409" s="1156"/>
      <c r="BG409" s="161"/>
      <c r="BH409" s="161"/>
      <c r="BI409" s="161"/>
      <c r="BJ409" s="161"/>
      <c r="BK409" s="161"/>
      <c r="BL409" s="1156"/>
      <c r="BM409" s="1156"/>
      <c r="BN409" s="1156"/>
      <c r="BO409" s="1156"/>
      <c r="BP409" s="1156"/>
      <c r="BQ409" s="1156"/>
      <c r="BR409" s="161"/>
      <c r="BS409" s="161"/>
      <c r="BT409" s="161"/>
      <c r="BU409" s="161"/>
      <c r="BV409" s="161"/>
      <c r="BW409" s="161"/>
      <c r="BX409" s="161"/>
      <c r="BY409" s="161"/>
      <c r="BZ409" s="161"/>
      <c r="CA409" s="161"/>
      <c r="CB409" s="470"/>
      <c r="CC409" s="470"/>
      <c r="CD409" s="470"/>
      <c r="CE409" s="470"/>
      <c r="CF409" s="470"/>
      <c r="CG409" s="470"/>
      <c r="CH409" s="470"/>
      <c r="CI409" s="470"/>
      <c r="CJ409" s="1507"/>
      <c r="CK409" s="1507"/>
      <c r="CL409" s="1507"/>
      <c r="CM409" s="1507"/>
      <c r="CN409" s="470"/>
      <c r="CO409" s="470"/>
      <c r="CP409" s="470"/>
      <c r="CQ409" s="470"/>
      <c r="CR409" s="470"/>
      <c r="CS409" s="470"/>
      <c r="CT409" s="470"/>
      <c r="CU409" s="470"/>
      <c r="CV409" s="470"/>
      <c r="CW409" s="470"/>
      <c r="CX409" s="470"/>
      <c r="CY409" s="480"/>
      <c r="CZ409" s="480"/>
      <c r="DA409" s="480"/>
      <c r="DB409" s="1152"/>
      <c r="DC409" s="1152"/>
      <c r="DD409" s="1152"/>
      <c r="DE409" s="1152"/>
      <c r="DF409" s="1152"/>
      <c r="DG409" s="1152"/>
      <c r="DH409" s="470"/>
      <c r="DI409" s="470"/>
      <c r="DJ409" s="470"/>
      <c r="DK409" s="470"/>
      <c r="DL409" s="470"/>
      <c r="DN409" s="518"/>
      <c r="DO409" s="470"/>
      <c r="DP409" s="161"/>
      <c r="DQ409" s="161"/>
      <c r="DR409" s="470"/>
    </row>
    <row r="410" spans="1:122" s="471" customFormat="1" ht="20.100000000000001" customHeight="1" x14ac:dyDescent="0.25">
      <c r="A410" s="1159"/>
      <c r="B410" s="1006">
        <v>1</v>
      </c>
      <c r="C410" s="1007"/>
      <c r="D410" s="1005" t="s">
        <v>5984</v>
      </c>
      <c r="E410" s="1008" t="s">
        <v>6666</v>
      </c>
      <c r="F410" s="1009"/>
      <c r="G410" s="1009"/>
      <c r="H410" s="1010"/>
      <c r="I410" s="1159"/>
      <c r="J410" s="1156"/>
      <c r="K410" s="1156"/>
      <c r="L410" s="1156"/>
      <c r="M410" s="1156"/>
      <c r="N410" s="1156"/>
      <c r="Q410" s="1156"/>
      <c r="R410" s="475"/>
      <c r="S410" s="1156"/>
      <c r="T410" s="161"/>
      <c r="U410" s="161"/>
      <c r="V410" s="161"/>
      <c r="W410" s="161"/>
      <c r="X410" s="1156"/>
      <c r="Y410" s="1156"/>
      <c r="Z410" s="476"/>
      <c r="AA410" s="161"/>
      <c r="AB410" s="161"/>
      <c r="AC410" s="161"/>
      <c r="AD410" s="161"/>
      <c r="AE410" s="161"/>
      <c r="AF410" s="161"/>
      <c r="AG410" s="161"/>
      <c r="AH410" s="161"/>
      <c r="AI410" s="161"/>
      <c r="AJ410" s="161"/>
      <c r="AK410" s="161"/>
      <c r="AL410" s="161"/>
      <c r="AM410" s="161"/>
      <c r="AN410" s="161"/>
      <c r="AO410" s="162"/>
      <c r="AP410" s="162"/>
      <c r="AQ410" s="162"/>
      <c r="AR410" s="162"/>
      <c r="AS410" s="162"/>
      <c r="AT410" s="162"/>
      <c r="AU410" s="1156"/>
      <c r="AV410" s="163"/>
      <c r="AW410" s="1156"/>
      <c r="AX410" s="161"/>
      <c r="AY410" s="161"/>
      <c r="AZ410" s="161"/>
      <c r="BA410" s="161"/>
      <c r="BB410" s="1156"/>
      <c r="BC410" s="1156"/>
      <c r="BD410" s="1156"/>
      <c r="BE410" s="1156"/>
      <c r="BF410" s="161"/>
      <c r="BG410" s="161"/>
      <c r="BH410" s="161"/>
      <c r="BI410" s="161"/>
      <c r="BJ410" s="161"/>
      <c r="BK410" s="161"/>
      <c r="BL410" s="1156"/>
      <c r="BM410" s="1156"/>
      <c r="BN410" s="1156"/>
      <c r="BO410" s="1156"/>
      <c r="BP410" s="1156"/>
      <c r="BQ410" s="1156"/>
      <c r="BR410" s="161"/>
      <c r="BS410" s="161"/>
      <c r="BT410" s="161"/>
      <c r="BU410" s="161"/>
      <c r="BV410" s="161"/>
      <c r="BW410" s="161"/>
      <c r="BX410" s="161"/>
      <c r="BY410" s="161"/>
      <c r="BZ410" s="161"/>
      <c r="CA410" s="161"/>
      <c r="CB410" s="470"/>
      <c r="CC410" s="470"/>
      <c r="CD410" s="470"/>
      <c r="CE410" s="470"/>
      <c r="CF410" s="470"/>
      <c r="CG410" s="470"/>
      <c r="CH410" s="470"/>
      <c r="CI410" s="470"/>
      <c r="CJ410" s="1507"/>
      <c r="CK410" s="470"/>
      <c r="CL410" s="470"/>
      <c r="CM410" s="470"/>
      <c r="CN410" s="470"/>
      <c r="CO410" s="470"/>
      <c r="CP410" s="470"/>
      <c r="CQ410" s="470"/>
      <c r="CR410" s="470"/>
      <c r="CS410" s="470"/>
      <c r="CT410" s="470"/>
      <c r="CU410" s="470"/>
      <c r="CV410" s="470"/>
      <c r="CW410" s="470"/>
      <c r="CX410" s="470"/>
      <c r="CY410" s="480"/>
      <c r="CZ410" s="480"/>
      <c r="DA410" s="480"/>
      <c r="DB410" s="1152"/>
      <c r="DC410" s="1152"/>
      <c r="DD410" s="1152"/>
      <c r="DE410" s="1152"/>
      <c r="DF410" s="1152"/>
      <c r="DG410" s="1152"/>
      <c r="DH410" s="470"/>
      <c r="DI410" s="470"/>
      <c r="DJ410" s="470"/>
      <c r="DK410" s="470"/>
      <c r="DL410" s="470"/>
      <c r="DN410" s="518"/>
      <c r="DO410" s="470"/>
      <c r="DP410" s="161"/>
      <c r="DQ410" s="161"/>
      <c r="DR410" s="470"/>
    </row>
    <row r="411" spans="1:122" s="471" customFormat="1" ht="20.100000000000001" customHeight="1" x14ac:dyDescent="0.25">
      <c r="A411" s="1479"/>
      <c r="B411" s="1480">
        <f>+B410+1</f>
        <v>2</v>
      </c>
      <c r="C411" s="1169"/>
      <c r="D411" s="1170"/>
      <c r="E411" s="1008" t="s">
        <v>7281</v>
      </c>
      <c r="F411" s="1009"/>
      <c r="G411" s="1009"/>
      <c r="H411" s="1010"/>
      <c r="I411" s="1481" t="s">
        <v>7257</v>
      </c>
      <c r="J411" s="1478"/>
      <c r="K411" s="1478"/>
      <c r="L411" s="1478"/>
      <c r="M411" s="1478"/>
      <c r="N411" s="1478"/>
      <c r="Q411" s="1478"/>
      <c r="R411" s="475"/>
      <c r="S411" s="1478"/>
      <c r="T411" s="161"/>
      <c r="U411" s="161"/>
      <c r="V411" s="161"/>
      <c r="W411" s="161"/>
      <c r="X411" s="1478"/>
      <c r="Y411" s="1478"/>
      <c r="Z411" s="476"/>
      <c r="AA411" s="161"/>
      <c r="AB411" s="161"/>
      <c r="AC411" s="161"/>
      <c r="AD411" s="161"/>
      <c r="AE411" s="161"/>
      <c r="AF411" s="161"/>
      <c r="AG411" s="161"/>
      <c r="AH411" s="161"/>
      <c r="AI411" s="161"/>
      <c r="AJ411" s="161"/>
      <c r="AK411" s="161"/>
      <c r="AL411" s="161"/>
      <c r="AM411" s="161"/>
      <c r="AN411" s="161"/>
      <c r="AO411" s="162"/>
      <c r="AP411" s="162"/>
      <c r="AQ411" s="162"/>
      <c r="AR411" s="162"/>
      <c r="AS411" s="162"/>
      <c r="AT411" s="162"/>
      <c r="AU411" s="1478"/>
      <c r="AV411" s="163"/>
      <c r="AW411" s="1478"/>
      <c r="AX411" s="161"/>
      <c r="AY411" s="161"/>
      <c r="AZ411" s="161"/>
      <c r="BA411" s="161"/>
      <c r="BB411" s="1478"/>
      <c r="BC411" s="1478"/>
      <c r="BD411" s="1478"/>
      <c r="BE411" s="1478"/>
      <c r="BF411" s="161"/>
      <c r="BG411" s="161"/>
      <c r="BH411" s="161"/>
      <c r="BI411" s="161"/>
      <c r="BJ411" s="161"/>
      <c r="BK411" s="161"/>
      <c r="BL411" s="1478"/>
      <c r="BM411" s="1478"/>
      <c r="BN411" s="1478"/>
      <c r="BO411" s="1478"/>
      <c r="BP411" s="1478"/>
      <c r="BQ411" s="1478"/>
      <c r="BR411" s="161"/>
      <c r="BS411" s="161"/>
      <c r="BT411" s="161"/>
      <c r="BU411" s="161"/>
      <c r="BV411" s="161"/>
      <c r="BW411" s="161"/>
      <c r="BX411" s="161"/>
      <c r="BY411" s="161"/>
      <c r="BZ411" s="161"/>
      <c r="CA411" s="161"/>
      <c r="CB411" s="470"/>
      <c r="CC411" s="470"/>
      <c r="CD411" s="470"/>
      <c r="CE411" s="470"/>
      <c r="CF411" s="470"/>
      <c r="CG411" s="470"/>
      <c r="CH411" s="470"/>
      <c r="CI411" s="470"/>
      <c r="CJ411" s="1507"/>
      <c r="CK411" s="470"/>
      <c r="CL411" s="470"/>
      <c r="CM411" s="470"/>
      <c r="CN411" s="470"/>
      <c r="CO411" s="470"/>
      <c r="CP411" s="470"/>
      <c r="CQ411" s="470"/>
      <c r="CR411" s="470"/>
      <c r="CS411" s="470"/>
      <c r="CT411" s="470"/>
      <c r="CU411" s="470"/>
      <c r="CV411" s="470"/>
      <c r="CW411" s="470"/>
      <c r="CX411" s="470"/>
      <c r="CY411" s="480"/>
      <c r="CZ411" s="480"/>
      <c r="DA411" s="480"/>
      <c r="DB411" s="1152"/>
      <c r="DC411" s="1152"/>
      <c r="DD411" s="1152"/>
      <c r="DE411" s="1152"/>
      <c r="DF411" s="1152"/>
      <c r="DG411" s="1152"/>
      <c r="DH411" s="470"/>
      <c r="DI411" s="470"/>
      <c r="DJ411" s="470"/>
      <c r="DK411" s="470"/>
      <c r="DL411" s="470"/>
      <c r="DN411" s="518"/>
      <c r="DO411" s="470"/>
      <c r="DP411" s="161"/>
      <c r="DQ411" s="161"/>
      <c r="DR411" s="470"/>
    </row>
    <row r="412" spans="1:122" s="471" customFormat="1" ht="20.100000000000001" customHeight="1" x14ac:dyDescent="0.25">
      <c r="A412" s="1758"/>
      <c r="B412" s="1480">
        <v>3</v>
      </c>
      <c r="C412" s="1169">
        <v>11315315</v>
      </c>
      <c r="D412" s="1170" t="s">
        <v>6665</v>
      </c>
      <c r="E412" s="1008" t="s">
        <v>7635</v>
      </c>
      <c r="F412" s="1009"/>
      <c r="G412" s="1009"/>
      <c r="H412" s="1761"/>
      <c r="I412" s="1481"/>
      <c r="J412" s="1757"/>
      <c r="K412" s="1757"/>
      <c r="L412" s="1757"/>
      <c r="M412" s="1757"/>
      <c r="N412" s="1757"/>
      <c r="Q412" s="1757"/>
      <c r="R412" s="475"/>
      <c r="S412" s="1757"/>
      <c r="T412" s="161"/>
      <c r="U412" s="161"/>
      <c r="V412" s="161"/>
      <c r="W412" s="161"/>
      <c r="X412" s="1757"/>
      <c r="Y412" s="1757"/>
      <c r="Z412" s="476"/>
      <c r="AA412" s="161"/>
      <c r="AB412" s="161"/>
      <c r="AC412" s="161"/>
      <c r="AD412" s="161"/>
      <c r="AE412" s="161"/>
      <c r="AF412" s="161"/>
      <c r="AG412" s="161"/>
      <c r="AH412" s="161"/>
      <c r="AI412" s="161"/>
      <c r="AJ412" s="161"/>
      <c r="AK412" s="161"/>
      <c r="AL412" s="161"/>
      <c r="AM412" s="161"/>
      <c r="AN412" s="161"/>
      <c r="AO412" s="162"/>
      <c r="AP412" s="162"/>
      <c r="AQ412" s="162"/>
      <c r="AR412" s="162"/>
      <c r="AS412" s="162"/>
      <c r="AT412" s="162"/>
      <c r="AU412" s="1757"/>
      <c r="AV412" s="163"/>
      <c r="AW412" s="1757"/>
      <c r="AX412" s="161"/>
      <c r="AY412" s="161"/>
      <c r="AZ412" s="161"/>
      <c r="BA412" s="161"/>
      <c r="BB412" s="1757"/>
      <c r="BC412" s="1757"/>
      <c r="BD412" s="1757"/>
      <c r="BE412" s="1757"/>
      <c r="BF412" s="161"/>
      <c r="BG412" s="161"/>
      <c r="BH412" s="161"/>
      <c r="BI412" s="161"/>
      <c r="BJ412" s="161"/>
      <c r="BK412" s="161"/>
      <c r="BL412" s="1757"/>
      <c r="BM412" s="1757"/>
      <c r="BN412" s="1757"/>
      <c r="BO412" s="1757"/>
      <c r="BP412" s="1757"/>
      <c r="BQ412" s="1757"/>
      <c r="BR412" s="161"/>
      <c r="BS412" s="161"/>
      <c r="BT412" s="161"/>
      <c r="BU412" s="161"/>
      <c r="BV412" s="161"/>
      <c r="BW412" s="161"/>
      <c r="BX412" s="161"/>
      <c r="BY412" s="161"/>
      <c r="BZ412" s="161"/>
      <c r="CA412" s="161"/>
      <c r="CB412" s="470"/>
      <c r="CC412" s="470"/>
      <c r="CD412" s="470"/>
      <c r="CE412" s="470"/>
      <c r="CF412" s="470"/>
      <c r="CG412" s="470"/>
      <c r="CH412" s="470"/>
      <c r="CI412" s="470"/>
      <c r="CJ412" s="1507"/>
      <c r="CK412" s="470"/>
      <c r="CL412" s="470"/>
      <c r="CM412" s="470"/>
      <c r="CN412" s="470"/>
      <c r="CO412" s="470"/>
      <c r="CP412" s="470"/>
      <c r="CQ412" s="470"/>
      <c r="CR412" s="470"/>
      <c r="CS412" s="470"/>
      <c r="CT412" s="470"/>
      <c r="CU412" s="470"/>
      <c r="CV412" s="470"/>
      <c r="CW412" s="470"/>
      <c r="CX412" s="470"/>
      <c r="CY412" s="480"/>
      <c r="CZ412" s="480"/>
      <c r="DA412" s="480"/>
      <c r="DB412" s="1152"/>
      <c r="DC412" s="1152"/>
      <c r="DD412" s="1152"/>
      <c r="DE412" s="1152"/>
      <c r="DF412" s="1152"/>
      <c r="DG412" s="1152"/>
      <c r="DH412" s="470"/>
      <c r="DI412" s="470"/>
      <c r="DJ412" s="470"/>
      <c r="DK412" s="470"/>
      <c r="DL412" s="470"/>
      <c r="DN412" s="518"/>
      <c r="DO412" s="470"/>
      <c r="DP412" s="161"/>
      <c r="DQ412" s="161"/>
      <c r="DR412" s="470"/>
    </row>
    <row r="413" spans="1:122" s="471" customFormat="1" ht="20.100000000000001" customHeight="1" x14ac:dyDescent="0.25">
      <c r="A413" s="1624"/>
      <c r="B413" s="1480">
        <v>4</v>
      </c>
      <c r="C413" s="1169">
        <v>13896239</v>
      </c>
      <c r="D413" s="1170" t="s">
        <v>4688</v>
      </c>
      <c r="E413" s="1008" t="s">
        <v>7338</v>
      </c>
      <c r="F413" s="1009"/>
      <c r="G413" s="1009"/>
      <c r="H413" s="1010"/>
      <c r="I413" s="1481" t="s">
        <v>5531</v>
      </c>
      <c r="J413" s="1622"/>
      <c r="K413" s="1622"/>
      <c r="L413" s="1622"/>
      <c r="M413" s="1622"/>
      <c r="N413" s="1622"/>
      <c r="Q413" s="1622"/>
      <c r="R413" s="475"/>
      <c r="S413" s="1622"/>
      <c r="T413" s="161"/>
      <c r="U413" s="161"/>
      <c r="V413" s="161"/>
      <c r="W413" s="161"/>
      <c r="X413" s="1622"/>
      <c r="Y413" s="1622"/>
      <c r="Z413" s="476"/>
      <c r="AA413" s="161"/>
      <c r="AB413" s="161"/>
      <c r="AC413" s="161"/>
      <c r="AD413" s="161"/>
      <c r="AE413" s="161"/>
      <c r="AF413" s="161"/>
      <c r="AG413" s="161"/>
      <c r="AH413" s="161"/>
      <c r="AI413" s="161"/>
      <c r="AJ413" s="161"/>
      <c r="AK413" s="161"/>
      <c r="AL413" s="161"/>
      <c r="AM413" s="161"/>
      <c r="AN413" s="161"/>
      <c r="AO413" s="162"/>
      <c r="AP413" s="162"/>
      <c r="AQ413" s="162"/>
      <c r="AR413" s="162"/>
      <c r="AS413" s="162"/>
      <c r="AT413" s="162"/>
      <c r="AU413" s="1622"/>
      <c r="AV413" s="163"/>
      <c r="AW413" s="1622"/>
      <c r="AX413" s="161"/>
      <c r="AY413" s="161"/>
      <c r="AZ413" s="161"/>
      <c r="BA413" s="161"/>
      <c r="BB413" s="1622"/>
      <c r="BC413" s="1622"/>
      <c r="BD413" s="1622"/>
      <c r="BE413" s="1622"/>
      <c r="BF413" s="161"/>
      <c r="BG413" s="161"/>
      <c r="BH413" s="161"/>
      <c r="BI413" s="161"/>
      <c r="BJ413" s="161"/>
      <c r="BK413" s="161"/>
      <c r="BL413" s="1622"/>
      <c r="BM413" s="1622"/>
      <c r="BN413" s="1622"/>
      <c r="BO413" s="1622"/>
      <c r="BP413" s="1622"/>
      <c r="BQ413" s="1622"/>
      <c r="BR413" s="161"/>
      <c r="BS413" s="161"/>
      <c r="BT413" s="161"/>
      <c r="BU413" s="161"/>
      <c r="BV413" s="161"/>
      <c r="BW413" s="161"/>
      <c r="BX413" s="161"/>
      <c r="BY413" s="161"/>
      <c r="BZ413" s="161"/>
      <c r="CA413" s="161"/>
      <c r="CB413" s="470"/>
      <c r="CC413" s="470"/>
      <c r="CD413" s="470"/>
      <c r="CE413" s="470"/>
      <c r="CF413" s="470"/>
      <c r="CG413" s="470"/>
      <c r="CH413" s="470"/>
      <c r="CI413" s="470"/>
      <c r="CJ413" s="1507"/>
      <c r="CK413" s="470"/>
      <c r="CL413" s="470"/>
      <c r="CM413" s="470"/>
      <c r="CN413" s="470"/>
      <c r="CO413" s="470"/>
      <c r="CP413" s="470"/>
      <c r="CQ413" s="470"/>
      <c r="CR413" s="470"/>
      <c r="CS413" s="470"/>
      <c r="CT413" s="470"/>
      <c r="CU413" s="470"/>
      <c r="CV413" s="470"/>
      <c r="CW413" s="470"/>
      <c r="CX413" s="470"/>
      <c r="CY413" s="480"/>
      <c r="CZ413" s="480"/>
      <c r="DA413" s="480"/>
      <c r="DB413" s="1152"/>
      <c r="DC413" s="1152"/>
      <c r="DD413" s="1152"/>
      <c r="DE413" s="1152"/>
      <c r="DF413" s="1152"/>
      <c r="DG413" s="1152"/>
      <c r="DH413" s="470"/>
      <c r="DI413" s="470"/>
      <c r="DJ413" s="470"/>
      <c r="DK413" s="470"/>
      <c r="DL413" s="470"/>
      <c r="DN413" s="518"/>
      <c r="DO413" s="470"/>
      <c r="DP413" s="161"/>
      <c r="DQ413" s="161"/>
      <c r="DR413" s="470"/>
    </row>
    <row r="414" spans="1:122" s="471" customFormat="1" ht="20.100000000000001" customHeight="1" x14ac:dyDescent="0.25">
      <c r="A414" s="1168"/>
      <c r="B414" s="1480">
        <f t="shared" ref="B414" si="1150">+B413+1</f>
        <v>5</v>
      </c>
      <c r="C414" s="1169"/>
      <c r="D414" s="1170" t="s">
        <v>6702</v>
      </c>
      <c r="E414" s="1008" t="s">
        <v>7339</v>
      </c>
      <c r="F414" s="1009"/>
      <c r="G414" s="1009"/>
      <c r="H414" s="1010"/>
      <c r="I414" s="1625" t="s">
        <v>7340</v>
      </c>
      <c r="J414" s="1167"/>
      <c r="K414" s="1167"/>
      <c r="L414" s="1167"/>
      <c r="M414" s="1167"/>
      <c r="N414" s="1167"/>
      <c r="Q414" s="1167"/>
      <c r="R414" s="475"/>
      <c r="S414" s="1167"/>
      <c r="T414" s="161"/>
      <c r="U414" s="161"/>
      <c r="V414" s="161"/>
      <c r="W414" s="161"/>
      <c r="X414" s="1167"/>
      <c r="Y414" s="1167"/>
      <c r="Z414" s="476"/>
      <c r="AA414" s="161"/>
      <c r="AB414" s="161"/>
      <c r="AC414" s="161"/>
      <c r="AD414" s="161"/>
      <c r="AE414" s="161"/>
      <c r="AF414" s="161"/>
      <c r="AG414" s="161"/>
      <c r="AH414" s="161"/>
      <c r="AI414" s="161"/>
      <c r="AJ414" s="161"/>
      <c r="AK414" s="161"/>
      <c r="AL414" s="161"/>
      <c r="AM414" s="161"/>
      <c r="AN414" s="161"/>
      <c r="AO414" s="162"/>
      <c r="AP414" s="162"/>
      <c r="AQ414" s="162"/>
      <c r="AR414" s="162"/>
      <c r="AS414" s="162"/>
      <c r="AT414" s="162"/>
      <c r="AU414" s="1167"/>
      <c r="AV414" s="163"/>
      <c r="AW414" s="1167"/>
      <c r="AX414" s="161"/>
      <c r="AY414" s="161"/>
      <c r="AZ414" s="161"/>
      <c r="BA414" s="161"/>
      <c r="BB414" s="1167"/>
      <c r="BC414" s="1167"/>
      <c r="BD414" s="1167"/>
      <c r="BE414" s="161"/>
      <c r="BF414" s="1167"/>
      <c r="BG414" s="161"/>
      <c r="BH414" s="161"/>
      <c r="BI414" s="161"/>
      <c r="BJ414" s="161"/>
      <c r="BK414" s="161"/>
      <c r="BL414" s="1167"/>
      <c r="BM414" s="1167"/>
      <c r="BN414" s="1167"/>
      <c r="BO414" s="1167"/>
      <c r="BP414" s="1167"/>
      <c r="BQ414" s="1167"/>
      <c r="BR414" s="161"/>
      <c r="BS414" s="161"/>
      <c r="BT414" s="161"/>
      <c r="BU414" s="161"/>
      <c r="BV414" s="161"/>
      <c r="BW414" s="161"/>
      <c r="BX414" s="161"/>
      <c r="BY414" s="161"/>
      <c r="BZ414" s="161"/>
      <c r="CA414" s="161"/>
      <c r="CB414" s="470"/>
      <c r="CC414" s="470"/>
      <c r="CD414" s="470"/>
      <c r="CE414" s="470"/>
      <c r="CF414" s="470"/>
      <c r="CG414" s="470"/>
      <c r="CH414" s="470"/>
      <c r="CI414" s="470"/>
      <c r="CJ414" s="1507"/>
      <c r="CK414" s="470"/>
      <c r="CL414" s="470"/>
      <c r="CM414" s="470"/>
      <c r="CN414" s="470"/>
      <c r="CO414" s="470"/>
      <c r="CP414" s="470"/>
      <c r="CQ414" s="470"/>
      <c r="CR414" s="470"/>
      <c r="CS414" s="470"/>
      <c r="CT414" s="470"/>
      <c r="CU414" s="470"/>
      <c r="CV414" s="470"/>
      <c r="CW414" s="470"/>
      <c r="CX414" s="470"/>
      <c r="CY414" s="480"/>
      <c r="CZ414" s="480"/>
      <c r="DA414" s="480"/>
      <c r="DB414" s="1152"/>
      <c r="DC414" s="1152"/>
      <c r="DD414" s="1152"/>
      <c r="DE414" s="1152"/>
      <c r="DF414" s="1152"/>
      <c r="DG414" s="1152"/>
      <c r="DH414" s="470"/>
      <c r="DI414" s="470"/>
      <c r="DJ414" s="470"/>
      <c r="DK414" s="470"/>
      <c r="DL414" s="470"/>
      <c r="DN414" s="518"/>
      <c r="DO414" s="470"/>
      <c r="DP414" s="161"/>
      <c r="DQ414" s="161"/>
      <c r="DR414" s="470"/>
    </row>
    <row r="415" spans="1:122" s="471" customFormat="1" x14ac:dyDescent="0.25">
      <c r="A415" s="1159"/>
      <c r="B415" s="180"/>
      <c r="C415" s="180"/>
      <c r="D415" s="552"/>
      <c r="E415" s="477"/>
      <c r="F415" s="553"/>
      <c r="G415" s="180"/>
      <c r="H415" s="554"/>
      <c r="I415" s="1156"/>
      <c r="J415" s="1156"/>
      <c r="K415" s="1156"/>
      <c r="L415" s="1156"/>
      <c r="M415" s="1156"/>
      <c r="N415" s="1156"/>
      <c r="Q415" s="1156"/>
      <c r="R415" s="475"/>
      <c r="S415" s="1156"/>
      <c r="T415" s="161"/>
      <c r="U415" s="161"/>
      <c r="V415" s="161"/>
      <c r="W415" s="161"/>
      <c r="X415" s="1156"/>
      <c r="Y415" s="1156"/>
      <c r="Z415" s="476"/>
      <c r="AA415" s="161"/>
      <c r="AB415" s="161"/>
      <c r="AC415" s="161"/>
      <c r="AD415" s="161"/>
      <c r="AE415" s="161"/>
      <c r="AF415" s="161"/>
      <c r="AG415" s="161"/>
      <c r="AH415" s="161"/>
      <c r="AI415" s="161"/>
      <c r="AJ415" s="161"/>
      <c r="AK415" s="161"/>
      <c r="AL415" s="161"/>
      <c r="AM415" s="161"/>
      <c r="AN415" s="161"/>
      <c r="AO415" s="162"/>
      <c r="AP415" s="162"/>
      <c r="AQ415" s="162"/>
      <c r="AR415" s="162"/>
      <c r="AS415" s="162"/>
      <c r="AT415" s="162"/>
      <c r="AU415" s="1156"/>
      <c r="AV415" s="163"/>
      <c r="AW415" s="1156"/>
      <c r="AX415" s="161"/>
      <c r="AY415" s="161"/>
      <c r="AZ415" s="161"/>
      <c r="BA415" s="161"/>
      <c r="BB415" s="1156"/>
      <c r="BC415" s="1156"/>
      <c r="BD415" s="1156"/>
      <c r="BE415" s="1156"/>
      <c r="BF415" s="1156"/>
      <c r="BG415" s="161"/>
      <c r="BH415" s="161"/>
      <c r="BI415" s="161"/>
      <c r="BJ415" s="161"/>
      <c r="BK415" s="161"/>
      <c r="BL415" s="1156"/>
      <c r="BM415" s="1156"/>
      <c r="BN415" s="1156"/>
      <c r="BO415" s="1156"/>
      <c r="BP415" s="1156"/>
      <c r="BQ415" s="1156"/>
      <c r="BR415" s="161"/>
      <c r="BS415" s="161"/>
      <c r="BT415" s="161"/>
      <c r="BU415" s="161"/>
      <c r="BV415" s="161"/>
      <c r="BW415" s="161"/>
      <c r="BX415" s="161"/>
      <c r="BY415" s="161"/>
      <c r="BZ415" s="161"/>
      <c r="CA415" s="161"/>
      <c r="CB415" s="470"/>
      <c r="CC415" s="470"/>
      <c r="CD415" s="470"/>
      <c r="CE415" s="470"/>
      <c r="CF415" s="470"/>
      <c r="CG415" s="470"/>
      <c r="CH415" s="470"/>
      <c r="CI415" s="470"/>
      <c r="CJ415" s="1507"/>
      <c r="CK415" s="470"/>
      <c r="CL415" s="470"/>
      <c r="CM415" s="470"/>
      <c r="CN415" s="470"/>
      <c r="CO415" s="470"/>
      <c r="CP415" s="470"/>
      <c r="CQ415" s="470"/>
      <c r="CR415" s="470"/>
      <c r="CS415" s="470"/>
      <c r="CT415" s="470"/>
      <c r="CU415" s="470"/>
      <c r="CV415" s="470"/>
      <c r="CW415" s="470"/>
      <c r="CX415" s="470"/>
      <c r="CY415" s="480"/>
      <c r="CZ415" s="480"/>
      <c r="DA415" s="480"/>
      <c r="DB415" s="1152"/>
      <c r="DC415" s="1152"/>
      <c r="DD415" s="1152"/>
      <c r="DE415" s="1152"/>
      <c r="DF415" s="1152"/>
      <c r="DG415" s="1152"/>
      <c r="DH415" s="470"/>
      <c r="DI415" s="470"/>
      <c r="DJ415" s="470"/>
      <c r="DK415" s="470"/>
      <c r="DL415" s="470"/>
      <c r="DN415" s="518"/>
      <c r="DO415" s="470"/>
      <c r="DP415" s="161"/>
      <c r="DQ415" s="161"/>
      <c r="DR415" s="470"/>
    </row>
    <row r="416" spans="1:122" s="471" customFormat="1" ht="18.75" x14ac:dyDescent="0.25">
      <c r="A416" s="555">
        <v>32</v>
      </c>
      <c r="B416" s="1048" t="s">
        <v>7253</v>
      </c>
      <c r="D416" s="552"/>
      <c r="E416" s="477"/>
      <c r="F416" s="553"/>
      <c r="G416" s="180"/>
      <c r="H416" s="554"/>
      <c r="I416" s="1156"/>
      <c r="J416" s="1156"/>
      <c r="K416" s="1156"/>
      <c r="L416" s="1156"/>
      <c r="M416" s="1156"/>
      <c r="N416" s="1156"/>
      <c r="Q416" s="1156"/>
      <c r="R416" s="475"/>
      <c r="S416" s="1156"/>
      <c r="T416" s="161"/>
      <c r="U416" s="161"/>
      <c r="V416" s="161"/>
      <c r="W416" s="161"/>
      <c r="X416" s="1156"/>
      <c r="Y416" s="1156"/>
      <c r="Z416" s="476"/>
      <c r="AA416" s="161"/>
      <c r="AB416" s="161"/>
      <c r="AC416" s="161"/>
      <c r="AD416" s="161"/>
      <c r="AE416" s="161"/>
      <c r="AF416" s="161"/>
      <c r="AG416" s="161"/>
      <c r="AH416" s="161"/>
      <c r="AI416" s="161"/>
      <c r="AJ416" s="161"/>
      <c r="AK416" s="161"/>
      <c r="AL416" s="161"/>
      <c r="AM416" s="161"/>
      <c r="AN416" s="161"/>
      <c r="AO416" s="162"/>
      <c r="AP416" s="162"/>
      <c r="AQ416" s="162"/>
      <c r="AR416" s="162"/>
      <c r="AS416" s="162"/>
      <c r="AT416" s="162"/>
      <c r="AU416" s="1156"/>
      <c r="AV416" s="163"/>
      <c r="AW416" s="1156"/>
      <c r="AX416" s="161"/>
      <c r="AY416" s="161"/>
      <c r="AZ416" s="161"/>
      <c r="BA416" s="161"/>
      <c r="BB416" s="1156"/>
      <c r="BC416" s="1156"/>
      <c r="BD416" s="1156"/>
      <c r="BE416" s="1156"/>
      <c r="BF416" s="1156"/>
      <c r="BG416" s="161"/>
      <c r="BH416" s="161"/>
      <c r="BI416" s="161"/>
      <c r="BJ416" s="161"/>
      <c r="BK416" s="161"/>
      <c r="BL416" s="1156"/>
      <c r="BM416" s="1156"/>
      <c r="BN416" s="1156"/>
      <c r="BO416" s="1156"/>
      <c r="BP416" s="1156"/>
      <c r="BQ416" s="1156"/>
      <c r="BR416" s="161"/>
      <c r="BS416" s="161"/>
      <c r="BT416" s="161"/>
      <c r="BU416" s="161"/>
      <c r="BV416" s="161"/>
      <c r="BW416" s="161"/>
      <c r="BX416" s="161"/>
      <c r="BY416" s="161"/>
      <c r="BZ416" s="161"/>
      <c r="CA416" s="161"/>
      <c r="CB416" s="470"/>
      <c r="CC416" s="470"/>
      <c r="CD416" s="470"/>
      <c r="CE416" s="470"/>
      <c r="CF416" s="470"/>
      <c r="CG416" s="470"/>
      <c r="CH416" s="470"/>
      <c r="CI416" s="470"/>
      <c r="CJ416" s="1507"/>
      <c r="CK416" s="470"/>
      <c r="CL416" s="470"/>
      <c r="CM416" s="470"/>
      <c r="CN416" s="470"/>
      <c r="CO416" s="470"/>
      <c r="CP416" s="470"/>
      <c r="CQ416" s="470"/>
      <c r="CR416" s="470"/>
      <c r="CS416" s="470"/>
      <c r="CT416" s="470"/>
      <c r="CU416" s="470"/>
      <c r="CV416" s="470"/>
      <c r="CW416" s="470"/>
      <c r="CX416" s="470"/>
      <c r="CY416" s="480"/>
      <c r="CZ416" s="480"/>
      <c r="DA416" s="480"/>
      <c r="DB416" s="1152"/>
      <c r="DC416" s="1152"/>
      <c r="DD416" s="1152"/>
      <c r="DE416" s="1152"/>
      <c r="DF416" s="1152"/>
      <c r="DG416" s="1152"/>
      <c r="DH416" s="470"/>
      <c r="DI416" s="470"/>
      <c r="DJ416" s="470"/>
      <c r="DK416" s="470"/>
      <c r="DL416" s="470"/>
      <c r="DN416" s="518"/>
      <c r="DO416" s="470"/>
      <c r="DP416" s="161"/>
      <c r="DQ416" s="161"/>
      <c r="DR416" s="470"/>
    </row>
    <row r="417" spans="1:122" s="471" customFormat="1" ht="19.5" thickBot="1" x14ac:dyDescent="0.3">
      <c r="A417" s="557">
        <f ca="1">A416-(B42+B414+B15)</f>
        <v>0</v>
      </c>
      <c r="B417" s="1049" t="s">
        <v>5182</v>
      </c>
      <c r="C417" s="558"/>
      <c r="D417" s="558"/>
      <c r="E417" s="558"/>
      <c r="F417" s="559"/>
      <c r="G417" s="559"/>
      <c r="H417" s="560"/>
      <c r="I417" s="1815"/>
      <c r="J417" s="1801"/>
      <c r="K417" s="1156"/>
      <c r="L417" s="1156"/>
      <c r="M417" s="1156"/>
      <c r="N417" s="1156"/>
      <c r="Q417" s="1156"/>
      <c r="R417" s="475"/>
      <c r="S417" s="1156"/>
      <c r="T417" s="161"/>
      <c r="U417" s="161"/>
      <c r="V417" s="161"/>
      <c r="W417" s="161"/>
      <c r="X417" s="1156"/>
      <c r="Y417" s="1156"/>
      <c r="Z417" s="476"/>
      <c r="AA417" s="161"/>
      <c r="AB417" s="161"/>
      <c r="AC417" s="161"/>
      <c r="AD417" s="161"/>
      <c r="AE417" s="161"/>
      <c r="AF417" s="161"/>
      <c r="AG417" s="161"/>
      <c r="AH417" s="161"/>
      <c r="AI417" s="161"/>
      <c r="AJ417" s="161"/>
      <c r="AK417" s="161"/>
      <c r="AL417" s="161"/>
      <c r="AM417" s="161"/>
      <c r="AN417" s="161"/>
      <c r="AO417" s="162"/>
      <c r="AP417" s="162"/>
      <c r="AQ417" s="162"/>
      <c r="AR417" s="162"/>
      <c r="AS417" s="162"/>
      <c r="AT417" s="162"/>
      <c r="AU417" s="1156"/>
      <c r="AV417" s="163"/>
      <c r="AW417" s="1156"/>
      <c r="AX417" s="161"/>
      <c r="AY417" s="161"/>
      <c r="AZ417" s="161"/>
      <c r="BA417" s="161"/>
      <c r="BB417" s="1156"/>
      <c r="BC417" s="1156"/>
      <c r="BD417" s="1156"/>
      <c r="BE417" s="1156"/>
      <c r="BF417" s="1156"/>
      <c r="BG417" s="161"/>
      <c r="BH417" s="161"/>
      <c r="BI417" s="161"/>
      <c r="BJ417" s="161"/>
      <c r="BK417" s="161"/>
      <c r="BL417" s="1156"/>
      <c r="BM417" s="1156"/>
      <c r="BN417" s="1156"/>
      <c r="BO417" s="1156"/>
      <c r="BP417" s="1156"/>
      <c r="BQ417" s="1156"/>
      <c r="BR417" s="161"/>
      <c r="BS417" s="161"/>
      <c r="BT417" s="161"/>
      <c r="BU417" s="161"/>
      <c r="BV417" s="161"/>
      <c r="BW417" s="161"/>
      <c r="BX417" s="161"/>
      <c r="BY417" s="161"/>
      <c r="BZ417" s="161"/>
      <c r="CA417" s="161"/>
      <c r="CB417" s="470"/>
      <c r="CC417" s="470"/>
      <c r="CD417" s="470"/>
      <c r="CE417" s="470"/>
      <c r="CF417" s="470"/>
      <c r="CG417" s="470"/>
      <c r="CH417" s="470"/>
      <c r="CI417" s="470"/>
      <c r="CJ417" s="1507"/>
      <c r="CK417" s="470"/>
      <c r="CL417" s="470"/>
      <c r="CM417" s="470"/>
      <c r="CN417" s="470"/>
      <c r="CO417" s="470"/>
      <c r="CP417" s="470"/>
      <c r="CQ417" s="470"/>
      <c r="CR417" s="470"/>
      <c r="CS417" s="470"/>
      <c r="CT417" s="470"/>
      <c r="CU417" s="470"/>
      <c r="CV417" s="470"/>
      <c r="CW417" s="470"/>
      <c r="CX417" s="470"/>
      <c r="CY417" s="480"/>
      <c r="CZ417" s="480"/>
      <c r="DA417" s="480"/>
      <c r="DB417" s="1152"/>
      <c r="DC417" s="1152"/>
      <c r="DD417" s="1152"/>
      <c r="DE417" s="1152"/>
      <c r="DF417" s="1152"/>
      <c r="DG417" s="1152"/>
      <c r="DH417" s="470"/>
      <c r="DI417" s="470"/>
      <c r="DJ417" s="470"/>
      <c r="DK417" s="470"/>
      <c r="DL417" s="470"/>
      <c r="DN417" s="518"/>
      <c r="DO417" s="470"/>
      <c r="DP417" s="161"/>
      <c r="DQ417" s="161"/>
      <c r="DR417" s="470"/>
    </row>
    <row r="418" spans="1:122" s="471" customFormat="1" ht="12" x14ac:dyDescent="0.25">
      <c r="C418" s="1156"/>
      <c r="F418" s="1156"/>
      <c r="G418" s="1156"/>
      <c r="H418" s="474"/>
      <c r="I418" s="1801"/>
      <c r="J418" s="1801"/>
      <c r="K418" s="1156"/>
      <c r="L418" s="1156"/>
      <c r="M418" s="1156"/>
      <c r="N418" s="1156"/>
      <c r="Q418" s="1156"/>
      <c r="R418" s="475"/>
      <c r="S418" s="1156"/>
      <c r="T418" s="161"/>
      <c r="U418" s="161"/>
      <c r="V418" s="161"/>
      <c r="W418" s="161"/>
      <c r="X418" s="1156"/>
      <c r="Y418" s="1156"/>
      <c r="Z418" s="476"/>
      <c r="AA418" s="161"/>
      <c r="AB418" s="161"/>
      <c r="AC418" s="161"/>
      <c r="AD418" s="161"/>
      <c r="AE418" s="161"/>
      <c r="AF418" s="161"/>
      <c r="AG418" s="161"/>
      <c r="AH418" s="161"/>
      <c r="AI418" s="161"/>
      <c r="AJ418" s="161"/>
      <c r="AK418" s="161"/>
      <c r="AL418" s="161"/>
      <c r="AM418" s="161"/>
      <c r="AN418" s="161"/>
      <c r="AO418" s="162"/>
      <c r="AP418" s="162"/>
      <c r="AQ418" s="162"/>
      <c r="AR418" s="162"/>
      <c r="AS418" s="162"/>
      <c r="AT418" s="162"/>
      <c r="AU418" s="1156"/>
      <c r="AV418" s="163"/>
      <c r="AW418" s="1156"/>
      <c r="AX418" s="161"/>
      <c r="AY418" s="161"/>
      <c r="AZ418" s="161"/>
      <c r="BA418" s="161"/>
      <c r="BB418" s="1156"/>
      <c r="BC418" s="1156"/>
      <c r="BD418" s="1156"/>
      <c r="BE418" s="1156"/>
      <c r="BF418" s="1156"/>
      <c r="BG418" s="161"/>
      <c r="BH418" s="161"/>
      <c r="BI418" s="161"/>
      <c r="BJ418" s="161"/>
      <c r="BK418" s="161"/>
      <c r="BL418" s="1156"/>
      <c r="BM418" s="1156"/>
      <c r="BN418" s="1156"/>
      <c r="BO418" s="1156"/>
      <c r="BP418" s="1156"/>
      <c r="BQ418" s="1156"/>
      <c r="BR418" s="161"/>
      <c r="BS418" s="161"/>
      <c r="BT418" s="161"/>
      <c r="BU418" s="161"/>
      <c r="BV418" s="161"/>
      <c r="BW418" s="161"/>
      <c r="BX418" s="161"/>
      <c r="BY418" s="161"/>
      <c r="BZ418" s="161"/>
      <c r="CA418" s="161"/>
      <c r="CB418" s="470"/>
      <c r="CC418" s="470"/>
      <c r="CD418" s="470"/>
      <c r="CE418" s="470"/>
      <c r="CF418" s="470"/>
      <c r="CG418" s="470"/>
      <c r="CH418" s="470"/>
      <c r="CI418" s="470"/>
      <c r="CJ418" s="1507"/>
      <c r="CK418" s="470"/>
      <c r="CL418" s="470"/>
      <c r="CM418" s="470"/>
      <c r="CN418" s="470"/>
      <c r="CO418" s="470"/>
      <c r="CP418" s="470"/>
      <c r="CQ418" s="470"/>
      <c r="CR418" s="470"/>
      <c r="CS418" s="470"/>
      <c r="CT418" s="470"/>
      <c r="CU418" s="470"/>
      <c r="CV418" s="470"/>
      <c r="CW418" s="470"/>
      <c r="CX418" s="470"/>
      <c r="CY418" s="480"/>
      <c r="CZ418" s="480"/>
      <c r="DA418" s="480"/>
      <c r="DB418" s="1152"/>
      <c r="DC418" s="1152"/>
      <c r="DD418" s="1152"/>
      <c r="DE418" s="1152"/>
      <c r="DF418" s="1152"/>
      <c r="DG418" s="1152"/>
      <c r="DH418" s="470"/>
      <c r="DI418" s="470"/>
      <c r="DJ418" s="470"/>
      <c r="DK418" s="470"/>
      <c r="DL418" s="470"/>
      <c r="DN418" s="518"/>
      <c r="DO418" s="470"/>
      <c r="DP418" s="161"/>
      <c r="DQ418" s="161"/>
      <c r="DR418" s="470"/>
    </row>
    <row r="419" spans="1:122" s="471" customFormat="1" ht="15.75" thickBot="1" x14ac:dyDescent="0.3">
      <c r="C419" s="1156"/>
      <c r="D419" s="218"/>
      <c r="F419" s="420"/>
      <c r="G419" s="1156"/>
      <c r="H419" s="474"/>
      <c r="I419" s="1156"/>
      <c r="J419" s="1156"/>
      <c r="K419" s="1156"/>
      <c r="L419" s="1156"/>
      <c r="M419" s="1156"/>
      <c r="N419" s="1156"/>
      <c r="Q419" s="1156"/>
      <c r="R419" s="475"/>
      <c r="S419" s="1156"/>
      <c r="T419" s="161"/>
      <c r="U419" s="161"/>
      <c r="V419" s="161"/>
      <c r="W419" s="161"/>
      <c r="X419" s="1156"/>
      <c r="Y419" s="1156"/>
      <c r="Z419" s="476"/>
      <c r="AA419" s="161"/>
      <c r="AB419" s="161"/>
      <c r="AC419" s="161"/>
      <c r="AD419" s="161"/>
      <c r="AE419" s="161"/>
      <c r="AF419" s="161"/>
      <c r="AG419" s="161"/>
      <c r="AH419" s="161"/>
      <c r="AI419" s="161"/>
      <c r="AJ419" s="161"/>
      <c r="AK419" s="161"/>
      <c r="AL419" s="161"/>
      <c r="AM419" s="161"/>
      <c r="AN419" s="161"/>
      <c r="AO419" s="162"/>
      <c r="AP419" s="162"/>
      <c r="AQ419" s="162"/>
      <c r="AR419" s="162"/>
      <c r="AS419" s="162"/>
      <c r="AT419" s="162"/>
      <c r="AU419" s="1156"/>
      <c r="AV419" s="163"/>
      <c r="AW419" s="1156"/>
      <c r="AX419" s="161"/>
      <c r="AY419" s="161"/>
      <c r="AZ419" s="161"/>
      <c r="BA419" s="161"/>
      <c r="BB419" s="1156"/>
      <c r="BC419" s="1156"/>
      <c r="BD419" s="1156"/>
      <c r="BE419" s="1156"/>
      <c r="BF419" s="1156"/>
      <c r="BG419" s="161"/>
      <c r="BH419" s="161"/>
      <c r="BI419" s="161"/>
      <c r="BJ419" s="161"/>
      <c r="BK419" s="161"/>
      <c r="BL419" s="1156"/>
      <c r="BM419" s="1156"/>
      <c r="BN419" s="1156"/>
      <c r="BO419" s="1156"/>
      <c r="BP419" s="1156"/>
      <c r="BQ419" s="1156"/>
      <c r="BR419" s="161"/>
      <c r="BS419" s="161"/>
      <c r="BT419" s="161"/>
      <c r="BU419" s="161"/>
      <c r="BV419" s="161"/>
      <c r="BW419" s="161"/>
      <c r="BX419" s="161"/>
      <c r="BY419" s="161"/>
      <c r="BZ419" s="161"/>
      <c r="CA419" s="161"/>
      <c r="CB419" s="470"/>
      <c r="CC419" s="470"/>
      <c r="CD419" s="470"/>
      <c r="CE419" s="470"/>
      <c r="CF419" s="470"/>
      <c r="CG419" s="470"/>
      <c r="CH419" s="470"/>
      <c r="CI419" s="470"/>
      <c r="CJ419" s="1507"/>
      <c r="CK419" s="470"/>
      <c r="CL419" s="470"/>
      <c r="CM419" s="470"/>
      <c r="CN419" s="470"/>
      <c r="CO419" s="470"/>
      <c r="CP419" s="470"/>
      <c r="CQ419" s="470"/>
      <c r="CR419" s="470"/>
      <c r="CS419" s="470"/>
      <c r="CT419" s="470"/>
      <c r="CU419" s="470"/>
      <c r="CV419" s="470"/>
      <c r="CW419" s="470"/>
      <c r="CX419" s="470"/>
      <c r="CY419" s="480"/>
      <c r="CZ419" s="480"/>
      <c r="DA419" s="480"/>
      <c r="DB419" s="1152"/>
      <c r="DC419" s="1152"/>
      <c r="DD419" s="1152"/>
      <c r="DE419" s="1152"/>
      <c r="DF419" s="1152"/>
      <c r="DG419" s="1152"/>
      <c r="DH419" s="470"/>
      <c r="DI419" s="470"/>
      <c r="DJ419" s="470"/>
      <c r="DK419" s="470"/>
      <c r="DL419" s="470"/>
      <c r="DN419" s="518"/>
      <c r="DO419" s="470"/>
      <c r="DP419" s="161"/>
      <c r="DQ419" s="161"/>
      <c r="DR419" s="470"/>
    </row>
    <row r="420" spans="1:122" s="471" customFormat="1" ht="18.75" thickBot="1" x14ac:dyDescent="0.3">
      <c r="A420" s="546"/>
      <c r="B420" s="1036" t="s">
        <v>5980</v>
      </c>
      <c r="C420" s="1037"/>
      <c r="D420" s="549"/>
      <c r="E420" s="549"/>
      <c r="F420" s="1025"/>
      <c r="G420" s="550"/>
      <c r="H420" s="551"/>
      <c r="I420" s="1156"/>
      <c r="J420" s="1156"/>
      <c r="K420" s="1156"/>
      <c r="L420" s="1156"/>
      <c r="M420" s="1156"/>
      <c r="N420" s="1156"/>
      <c r="Q420" s="1156"/>
      <c r="R420" s="475"/>
      <c r="S420" s="1156"/>
      <c r="T420" s="161"/>
      <c r="U420" s="161"/>
      <c r="V420" s="161"/>
      <c r="W420" s="161"/>
      <c r="X420" s="1156"/>
      <c r="Y420" s="1156"/>
      <c r="Z420" s="476"/>
      <c r="AA420" s="161"/>
      <c r="AB420" s="161"/>
      <c r="AC420" s="161"/>
      <c r="AD420" s="161"/>
      <c r="AE420" s="161"/>
      <c r="AF420" s="161"/>
      <c r="AG420" s="161"/>
      <c r="AH420" s="161"/>
      <c r="AI420" s="161"/>
      <c r="AJ420" s="161"/>
      <c r="AK420" s="161"/>
      <c r="AL420" s="161"/>
      <c r="AM420" s="161"/>
      <c r="AN420" s="161"/>
      <c r="AO420" s="162"/>
      <c r="AP420" s="162"/>
      <c r="AQ420" s="162"/>
      <c r="AR420" s="162"/>
      <c r="AS420" s="162"/>
      <c r="AT420" s="162"/>
      <c r="AU420" s="1156"/>
      <c r="AV420" s="163"/>
      <c r="AW420" s="1156"/>
      <c r="AX420" s="161"/>
      <c r="AY420" s="161"/>
      <c r="AZ420" s="161"/>
      <c r="BA420" s="161"/>
      <c r="BB420" s="1156"/>
      <c r="BC420" s="1156"/>
      <c r="BD420" s="1156"/>
      <c r="BE420" s="1156"/>
      <c r="BF420" s="1156"/>
      <c r="BG420" s="161"/>
      <c r="BH420" s="161"/>
      <c r="BI420" s="161"/>
      <c r="BJ420" s="161"/>
      <c r="BK420" s="161"/>
      <c r="BL420" s="1156"/>
      <c r="BM420" s="1156"/>
      <c r="BN420" s="1156"/>
      <c r="BO420" s="1156"/>
      <c r="BP420" s="1156"/>
      <c r="BQ420" s="1156"/>
      <c r="BR420" s="161"/>
      <c r="BS420" s="161"/>
      <c r="BT420" s="161"/>
      <c r="BU420" s="161"/>
      <c r="BV420" s="161"/>
      <c r="BW420" s="161"/>
      <c r="BX420" s="161"/>
      <c r="BY420" s="161"/>
      <c r="BZ420" s="161"/>
      <c r="CA420" s="161"/>
      <c r="CB420" s="470"/>
      <c r="CC420" s="470"/>
      <c r="CD420" s="470"/>
      <c r="CE420" s="470"/>
      <c r="CF420" s="470"/>
      <c r="CG420" s="470"/>
      <c r="CH420" s="470"/>
      <c r="CI420" s="470"/>
      <c r="CJ420" s="1507"/>
      <c r="CK420" s="470"/>
      <c r="CL420" s="470"/>
      <c r="CM420" s="470"/>
      <c r="CN420" s="470"/>
      <c r="CO420" s="470"/>
      <c r="CP420" s="470"/>
      <c r="CQ420" s="470"/>
      <c r="CR420" s="470"/>
      <c r="CS420" s="470"/>
      <c r="CT420" s="470"/>
      <c r="CU420" s="470"/>
      <c r="CV420" s="470"/>
      <c r="CW420" s="470"/>
      <c r="CX420" s="470"/>
      <c r="CY420" s="480"/>
      <c r="CZ420" s="480"/>
      <c r="DA420" s="480"/>
      <c r="DB420" s="1152"/>
      <c r="DC420" s="1152"/>
      <c r="DD420" s="1152"/>
      <c r="DE420" s="1152"/>
      <c r="DF420" s="1152"/>
      <c r="DG420" s="1152"/>
      <c r="DH420" s="470"/>
      <c r="DI420" s="470"/>
      <c r="DJ420" s="470"/>
      <c r="DK420" s="470"/>
      <c r="DL420" s="470"/>
      <c r="DN420" s="518"/>
      <c r="DO420" s="470"/>
      <c r="DP420" s="161"/>
      <c r="DQ420" s="161"/>
      <c r="DR420" s="470"/>
    </row>
    <row r="421" spans="1:122" s="471" customFormat="1" ht="20.100000000000001" customHeight="1" x14ac:dyDescent="0.25">
      <c r="A421" s="1159"/>
      <c r="B421" s="991">
        <v>1</v>
      </c>
      <c r="C421" s="992">
        <v>9495661</v>
      </c>
      <c r="D421" s="993" t="s">
        <v>5183</v>
      </c>
      <c r="E421" s="1001" t="s">
        <v>5214</v>
      </c>
      <c r="F421" s="1019"/>
      <c r="G421" s="1012"/>
      <c r="H421" s="1013"/>
      <c r="I421" s="1156"/>
      <c r="J421" s="1156"/>
      <c r="K421" s="1156"/>
      <c r="L421" s="1156"/>
      <c r="M421" s="1156"/>
      <c r="N421" s="1156"/>
      <c r="Q421" s="1156"/>
      <c r="R421" s="475"/>
      <c r="S421" s="1156"/>
      <c r="T421" s="161"/>
      <c r="U421" s="161"/>
      <c r="V421" s="161"/>
      <c r="W421" s="161"/>
      <c r="X421" s="1156"/>
      <c r="Y421" s="1156"/>
      <c r="Z421" s="476"/>
      <c r="AA421" s="161"/>
      <c r="AB421" s="161"/>
      <c r="AC421" s="161"/>
      <c r="AD421" s="161"/>
      <c r="AE421" s="161"/>
      <c r="AF421" s="161"/>
      <c r="AG421" s="161"/>
      <c r="AH421" s="161"/>
      <c r="AI421" s="161"/>
      <c r="AJ421" s="161"/>
      <c r="AK421" s="161"/>
      <c r="AL421" s="161"/>
      <c r="AM421" s="161"/>
      <c r="AN421" s="161"/>
      <c r="AO421" s="162"/>
      <c r="AP421" s="162"/>
      <c r="AQ421" s="162"/>
      <c r="AR421" s="162"/>
      <c r="AS421" s="162"/>
      <c r="AT421" s="162"/>
      <c r="AU421" s="1156"/>
      <c r="AV421" s="163"/>
      <c r="AW421" s="1156"/>
      <c r="AX421" s="161"/>
      <c r="AY421" s="161"/>
      <c r="AZ421" s="161"/>
      <c r="BA421" s="161"/>
      <c r="BB421" s="1156"/>
      <c r="BC421" s="1156"/>
      <c r="BD421" s="1156"/>
      <c r="BE421" s="1156"/>
      <c r="BF421" s="1156"/>
      <c r="BG421" s="161"/>
      <c r="BH421" s="161"/>
      <c r="BI421" s="161"/>
      <c r="BJ421" s="161"/>
      <c r="BK421" s="161"/>
      <c r="BL421" s="1156"/>
      <c r="BM421" s="1156"/>
      <c r="BN421" s="1156"/>
      <c r="BO421" s="1156"/>
      <c r="BP421" s="1156"/>
      <c r="BQ421" s="1156"/>
      <c r="BR421" s="161"/>
      <c r="BS421" s="161"/>
      <c r="BT421" s="161"/>
      <c r="BU421" s="161"/>
      <c r="BV421" s="161"/>
      <c r="BW421" s="161"/>
      <c r="BX421" s="161"/>
      <c r="BY421" s="161"/>
      <c r="BZ421" s="161"/>
      <c r="CA421" s="161"/>
      <c r="CB421" s="470"/>
      <c r="CC421" s="470"/>
      <c r="CD421" s="470"/>
      <c r="CE421" s="470"/>
      <c r="CF421" s="470"/>
      <c r="CG421" s="470"/>
      <c r="CH421" s="470"/>
      <c r="CI421" s="470"/>
      <c r="CJ421" s="1507"/>
      <c r="CK421" s="470"/>
      <c r="CL421" s="470"/>
      <c r="CM421" s="470"/>
      <c r="CN421" s="470"/>
      <c r="CO421" s="470"/>
      <c r="CP421" s="470"/>
      <c r="CQ421" s="470"/>
      <c r="CR421" s="470"/>
      <c r="CS421" s="470"/>
      <c r="CT421" s="470"/>
      <c r="CU421" s="470"/>
      <c r="CV421" s="470"/>
      <c r="CW421" s="470"/>
      <c r="CX421" s="470"/>
      <c r="CY421" s="480"/>
      <c r="CZ421" s="480"/>
      <c r="DA421" s="480"/>
      <c r="DB421" s="1152"/>
      <c r="DC421" s="1152"/>
      <c r="DD421" s="1152"/>
      <c r="DE421" s="1152"/>
      <c r="DF421" s="1152"/>
      <c r="DG421" s="1152"/>
      <c r="DH421" s="470"/>
      <c r="DI421" s="470"/>
      <c r="DJ421" s="470"/>
      <c r="DK421" s="470"/>
      <c r="DL421" s="470"/>
      <c r="DN421" s="518"/>
      <c r="DO421" s="470"/>
      <c r="DP421" s="161"/>
      <c r="DQ421" s="161"/>
      <c r="DR421" s="470"/>
    </row>
    <row r="422" spans="1:122" s="471" customFormat="1" ht="20.100000000000001" customHeight="1" x14ac:dyDescent="0.25">
      <c r="A422" s="1159"/>
      <c r="B422" s="994">
        <f>B421+1</f>
        <v>2</v>
      </c>
      <c r="C422" s="995">
        <v>9311822</v>
      </c>
      <c r="D422" s="996" t="s">
        <v>7566</v>
      </c>
      <c r="E422" s="997" t="s">
        <v>5215</v>
      </c>
      <c r="F422" s="1020"/>
      <c r="G422" s="1014"/>
      <c r="H422" s="1015"/>
      <c r="I422" s="1156"/>
      <c r="J422" s="1156"/>
      <c r="K422" s="1156"/>
      <c r="L422" s="1156"/>
      <c r="M422" s="1156"/>
      <c r="N422" s="1156"/>
      <c r="Q422" s="1156"/>
      <c r="R422" s="475"/>
      <c r="S422" s="1156"/>
      <c r="T422" s="161"/>
      <c r="U422" s="161"/>
      <c r="V422" s="161"/>
      <c r="W422" s="161"/>
      <c r="X422" s="1156"/>
      <c r="Y422" s="1156"/>
      <c r="Z422" s="476"/>
      <c r="AA422" s="161"/>
      <c r="AB422" s="161"/>
      <c r="AC422" s="161"/>
      <c r="AD422" s="161"/>
      <c r="AE422" s="161"/>
      <c r="AF422" s="161"/>
      <c r="AG422" s="161"/>
      <c r="AH422" s="161"/>
      <c r="AI422" s="161"/>
      <c r="AJ422" s="161"/>
      <c r="AK422" s="161"/>
      <c r="AL422" s="161"/>
      <c r="AM422" s="161"/>
      <c r="AN422" s="161"/>
      <c r="AO422" s="162"/>
      <c r="AP422" s="162"/>
      <c r="AQ422" s="162"/>
      <c r="AR422" s="162"/>
      <c r="AS422" s="162"/>
      <c r="AT422" s="162"/>
      <c r="AU422" s="1156"/>
      <c r="AV422" s="163"/>
      <c r="AW422" s="1156"/>
      <c r="AX422" s="161"/>
      <c r="AY422" s="161"/>
      <c r="AZ422" s="161"/>
      <c r="BA422" s="161"/>
      <c r="BB422" s="1156"/>
      <c r="BC422" s="1156"/>
      <c r="BD422" s="1156"/>
      <c r="BE422" s="1156"/>
      <c r="BF422" s="1156"/>
      <c r="BG422" s="161"/>
      <c r="BH422" s="161"/>
      <c r="BI422" s="161"/>
      <c r="BJ422" s="161"/>
      <c r="BK422" s="161"/>
      <c r="BL422" s="1156"/>
      <c r="BM422" s="1156"/>
      <c r="BN422" s="1156"/>
      <c r="BO422" s="1156"/>
      <c r="BP422" s="1156"/>
      <c r="BQ422" s="1156"/>
      <c r="BR422" s="161"/>
      <c r="BS422" s="161"/>
      <c r="BT422" s="161"/>
      <c r="BU422" s="161"/>
      <c r="BV422" s="161"/>
      <c r="BW422" s="161"/>
      <c r="BX422" s="161"/>
      <c r="BY422" s="161"/>
      <c r="BZ422" s="161"/>
      <c r="CA422" s="161"/>
      <c r="CB422" s="470"/>
      <c r="CC422" s="470"/>
      <c r="CD422" s="470"/>
      <c r="CE422" s="470"/>
      <c r="CF422" s="470"/>
      <c r="CG422" s="470"/>
      <c r="CH422" s="470"/>
      <c r="CI422" s="470"/>
      <c r="CJ422" s="1507"/>
      <c r="CK422" s="470"/>
      <c r="CL422" s="470"/>
      <c r="CM422" s="470"/>
      <c r="CN422" s="470"/>
      <c r="CO422" s="470"/>
      <c r="CP422" s="470"/>
      <c r="CQ422" s="470"/>
      <c r="CR422" s="470"/>
      <c r="CS422" s="470"/>
      <c r="CT422" s="470"/>
      <c r="CU422" s="470"/>
      <c r="CV422" s="470"/>
      <c r="CW422" s="470"/>
      <c r="CX422" s="470"/>
      <c r="CY422" s="480"/>
      <c r="CZ422" s="480"/>
      <c r="DA422" s="480"/>
      <c r="DB422" s="1152"/>
      <c r="DC422" s="1152"/>
      <c r="DD422" s="1152"/>
      <c r="DE422" s="1152"/>
      <c r="DF422" s="1152"/>
      <c r="DG422" s="1152"/>
      <c r="DH422" s="470"/>
      <c r="DI422" s="470"/>
      <c r="DJ422" s="470"/>
      <c r="DK422" s="470"/>
      <c r="DL422" s="470"/>
      <c r="DN422" s="518"/>
      <c r="DO422" s="470"/>
      <c r="DP422" s="161"/>
      <c r="DQ422" s="161"/>
      <c r="DR422" s="470"/>
    </row>
    <row r="423" spans="1:122" s="471" customFormat="1" ht="20.100000000000001" customHeight="1" x14ac:dyDescent="0.25">
      <c r="A423" s="1159"/>
      <c r="B423" s="994">
        <f t="shared" ref="B423:B438" si="1151">B422+1</f>
        <v>3</v>
      </c>
      <c r="C423" s="995">
        <v>21592108</v>
      </c>
      <c r="D423" s="996" t="s">
        <v>4682</v>
      </c>
      <c r="E423" s="997" t="s">
        <v>5264</v>
      </c>
      <c r="F423" s="1020"/>
      <c r="G423" s="1014"/>
      <c r="H423" s="1015"/>
      <c r="I423" s="1156"/>
      <c r="J423" s="1156"/>
      <c r="K423" s="1156"/>
      <c r="L423" s="1156"/>
      <c r="M423" s="1156"/>
      <c r="N423" s="1156"/>
      <c r="Q423" s="1156"/>
      <c r="R423" s="475"/>
      <c r="S423" s="1156"/>
      <c r="T423" s="161"/>
      <c r="U423" s="161"/>
      <c r="V423" s="161"/>
      <c r="W423" s="161"/>
      <c r="X423" s="1156"/>
      <c r="Y423" s="1156"/>
      <c r="Z423" s="476"/>
      <c r="AA423" s="161"/>
      <c r="AB423" s="161"/>
      <c r="AC423" s="161"/>
      <c r="AD423" s="161"/>
      <c r="AE423" s="161"/>
      <c r="AF423" s="161"/>
      <c r="AG423" s="161"/>
      <c r="AH423" s="161"/>
      <c r="AI423" s="161"/>
      <c r="AJ423" s="161"/>
      <c r="AK423" s="161"/>
      <c r="AL423" s="161"/>
      <c r="AM423" s="161"/>
      <c r="AN423" s="161"/>
      <c r="AO423" s="162"/>
      <c r="AP423" s="162"/>
      <c r="AQ423" s="162"/>
      <c r="AR423" s="162"/>
      <c r="AS423" s="162"/>
      <c r="AT423" s="162"/>
      <c r="AU423" s="1156"/>
      <c r="AV423" s="163"/>
      <c r="AW423" s="1156"/>
      <c r="AX423" s="161"/>
      <c r="AY423" s="161"/>
      <c r="AZ423" s="161"/>
      <c r="BA423" s="161"/>
      <c r="BB423" s="1156"/>
      <c r="BC423" s="1156"/>
      <c r="BD423" s="1156"/>
      <c r="BE423" s="1156"/>
      <c r="BF423" s="1156"/>
      <c r="BG423" s="161"/>
      <c r="BH423" s="161"/>
      <c r="BI423" s="161"/>
      <c r="BJ423" s="161"/>
      <c r="BK423" s="161"/>
      <c r="BL423" s="1156"/>
      <c r="BM423" s="1156"/>
      <c r="BN423" s="1156"/>
      <c r="BO423" s="1156"/>
      <c r="BP423" s="1156"/>
      <c r="BQ423" s="1156"/>
      <c r="BR423" s="161"/>
      <c r="BS423" s="161"/>
      <c r="BT423" s="161"/>
      <c r="BU423" s="161"/>
      <c r="BV423" s="161"/>
      <c r="BW423" s="161"/>
      <c r="BX423" s="161"/>
      <c r="BY423" s="161"/>
      <c r="BZ423" s="161"/>
      <c r="CA423" s="161"/>
      <c r="CB423" s="470"/>
      <c r="CC423" s="470"/>
      <c r="CD423" s="470"/>
      <c r="CE423" s="470"/>
      <c r="CF423" s="470"/>
      <c r="CG423" s="470"/>
      <c r="CH423" s="470"/>
      <c r="CI423" s="470"/>
      <c r="CJ423" s="1507"/>
      <c r="CK423" s="470"/>
      <c r="CL423" s="470"/>
      <c r="CM423" s="470"/>
      <c r="CN423" s="470"/>
      <c r="CO423" s="470"/>
      <c r="CP423" s="470"/>
      <c r="CQ423" s="470"/>
      <c r="CR423" s="470"/>
      <c r="CS423" s="470"/>
      <c r="CT423" s="470"/>
      <c r="CU423" s="470"/>
      <c r="CV423" s="470"/>
      <c r="CW423" s="470"/>
      <c r="CX423" s="470"/>
      <c r="CY423" s="480"/>
      <c r="CZ423" s="480"/>
      <c r="DA423" s="480"/>
      <c r="DB423" s="1152"/>
      <c r="DC423" s="1152"/>
      <c r="DD423" s="1152"/>
      <c r="DE423" s="1152"/>
      <c r="DF423" s="1152"/>
      <c r="DG423" s="1152"/>
      <c r="DH423" s="470"/>
      <c r="DI423" s="470"/>
      <c r="DJ423" s="470"/>
      <c r="DK423" s="470"/>
      <c r="DL423" s="470"/>
      <c r="DN423" s="518"/>
      <c r="DO423" s="470"/>
      <c r="DP423" s="161"/>
      <c r="DQ423" s="161"/>
      <c r="DR423" s="470"/>
    </row>
    <row r="424" spans="1:122" s="471" customFormat="1" ht="20.100000000000001" customHeight="1" x14ac:dyDescent="0.25">
      <c r="A424" s="1159"/>
      <c r="B424" s="994">
        <f t="shared" si="1151"/>
        <v>4</v>
      </c>
      <c r="C424" s="995">
        <v>10912595</v>
      </c>
      <c r="D424" s="996" t="s">
        <v>4681</v>
      </c>
      <c r="E424" s="997" t="s">
        <v>5217</v>
      </c>
      <c r="F424" s="1020"/>
      <c r="G424" s="1014"/>
      <c r="H424" s="1015"/>
      <c r="I424" s="1156"/>
      <c r="J424" s="1156"/>
      <c r="K424" s="1156"/>
      <c r="L424" s="1156"/>
      <c r="M424" s="1156"/>
      <c r="N424" s="1156"/>
      <c r="Q424" s="1156"/>
      <c r="R424" s="475"/>
      <c r="S424" s="1156"/>
      <c r="T424" s="161"/>
      <c r="U424" s="161"/>
      <c r="V424" s="161"/>
      <c r="W424" s="161"/>
      <c r="X424" s="1156"/>
      <c r="Y424" s="1156"/>
      <c r="Z424" s="476"/>
      <c r="AA424" s="161"/>
      <c r="AB424" s="161"/>
      <c r="AC424" s="161"/>
      <c r="AD424" s="161"/>
      <c r="AE424" s="161"/>
      <c r="AF424" s="161"/>
      <c r="AG424" s="161"/>
      <c r="AH424" s="161"/>
      <c r="AI424" s="161"/>
      <c r="AJ424" s="161"/>
      <c r="AK424" s="161"/>
      <c r="AL424" s="161"/>
      <c r="AM424" s="161"/>
      <c r="AN424" s="161"/>
      <c r="AO424" s="162"/>
      <c r="AP424" s="162"/>
      <c r="AQ424" s="162"/>
      <c r="AR424" s="162"/>
      <c r="AS424" s="162"/>
      <c r="AT424" s="162"/>
      <c r="AU424" s="1156"/>
      <c r="AV424" s="163"/>
      <c r="AW424" s="1156"/>
      <c r="AX424" s="161"/>
      <c r="AY424" s="161"/>
      <c r="AZ424" s="161"/>
      <c r="BA424" s="161"/>
      <c r="BB424" s="1156"/>
      <c r="BC424" s="1156"/>
      <c r="BD424" s="1156"/>
      <c r="BE424" s="1156"/>
      <c r="BF424" s="1156"/>
      <c r="BG424" s="161"/>
      <c r="BH424" s="161"/>
      <c r="BI424" s="161"/>
      <c r="BJ424" s="161"/>
      <c r="BK424" s="161"/>
      <c r="BL424" s="1156"/>
      <c r="BM424" s="1156"/>
      <c r="BN424" s="1156"/>
      <c r="BO424" s="1156"/>
      <c r="BP424" s="1156"/>
      <c r="BQ424" s="1156"/>
      <c r="BR424" s="161"/>
      <c r="BS424" s="161"/>
      <c r="BT424" s="161"/>
      <c r="BU424" s="161"/>
      <c r="BV424" s="161"/>
      <c r="BW424" s="161"/>
      <c r="BX424" s="161"/>
      <c r="BY424" s="161"/>
      <c r="BZ424" s="161"/>
      <c r="CA424" s="161"/>
      <c r="CB424" s="470"/>
      <c r="CC424" s="470"/>
      <c r="CD424" s="470"/>
      <c r="CE424" s="470"/>
      <c r="CF424" s="470"/>
      <c r="CG424" s="470"/>
      <c r="CH424" s="470"/>
      <c r="CI424" s="470"/>
      <c r="CJ424" s="1507"/>
      <c r="CK424" s="470"/>
      <c r="CL424" s="470"/>
      <c r="CM424" s="470"/>
      <c r="CN424" s="470"/>
      <c r="CO424" s="470"/>
      <c r="CP424" s="470"/>
      <c r="CQ424" s="470"/>
      <c r="CR424" s="470"/>
      <c r="CS424" s="470"/>
      <c r="CT424" s="470"/>
      <c r="CU424" s="470"/>
      <c r="CV424" s="470"/>
      <c r="CW424" s="470"/>
      <c r="CX424" s="470"/>
      <c r="CY424" s="480"/>
      <c r="CZ424" s="480"/>
      <c r="DA424" s="480"/>
      <c r="DB424" s="1152"/>
      <c r="DC424" s="1152"/>
      <c r="DD424" s="1152"/>
      <c r="DE424" s="1152"/>
      <c r="DF424" s="1152"/>
      <c r="DG424" s="1152"/>
      <c r="DH424" s="470"/>
      <c r="DI424" s="470"/>
      <c r="DJ424" s="470"/>
      <c r="DK424" s="470"/>
      <c r="DL424" s="470"/>
      <c r="DN424" s="518"/>
      <c r="DO424" s="470"/>
      <c r="DP424" s="161"/>
      <c r="DQ424" s="161"/>
      <c r="DR424" s="470"/>
    </row>
    <row r="425" spans="1:122" s="471" customFormat="1" ht="20.100000000000001" customHeight="1" x14ac:dyDescent="0.25">
      <c r="A425" s="1159"/>
      <c r="B425" s="994">
        <f t="shared" si="1151"/>
        <v>5</v>
      </c>
      <c r="C425" s="995">
        <v>11894534</v>
      </c>
      <c r="D425" s="996" t="s">
        <v>4667</v>
      </c>
      <c r="E425" s="997" t="s">
        <v>5482</v>
      </c>
      <c r="F425" s="1020"/>
      <c r="G425" s="1014"/>
      <c r="H425" s="1015"/>
      <c r="I425" s="1156"/>
      <c r="J425" s="1156"/>
      <c r="K425" s="1156"/>
      <c r="L425" s="1156"/>
      <c r="M425" s="1156"/>
      <c r="N425" s="1156"/>
      <c r="Q425" s="1156"/>
      <c r="R425" s="475"/>
      <c r="S425" s="1156"/>
      <c r="T425" s="161"/>
      <c r="U425" s="161"/>
      <c r="V425" s="161"/>
      <c r="W425" s="161"/>
      <c r="X425" s="1156"/>
      <c r="Y425" s="1156"/>
      <c r="Z425" s="476"/>
      <c r="AA425" s="161"/>
      <c r="AB425" s="161"/>
      <c r="AC425" s="161"/>
      <c r="AD425" s="161"/>
      <c r="AE425" s="161"/>
      <c r="AF425" s="161"/>
      <c r="AG425" s="161"/>
      <c r="AH425" s="161"/>
      <c r="AI425" s="161"/>
      <c r="AJ425" s="161"/>
      <c r="AK425" s="161"/>
      <c r="AL425" s="161"/>
      <c r="AM425" s="161"/>
      <c r="AN425" s="161"/>
      <c r="AO425" s="162"/>
      <c r="AP425" s="162"/>
      <c r="AQ425" s="162"/>
      <c r="AR425" s="162"/>
      <c r="AS425" s="162"/>
      <c r="AT425" s="162"/>
      <c r="AU425" s="1156"/>
      <c r="AV425" s="163"/>
      <c r="AW425" s="1156"/>
      <c r="AX425" s="161"/>
      <c r="AY425" s="161"/>
      <c r="AZ425" s="161"/>
      <c r="BA425" s="161"/>
      <c r="BB425" s="1156"/>
      <c r="BC425" s="1156"/>
      <c r="BD425" s="1156"/>
      <c r="BE425" s="1156"/>
      <c r="BF425" s="1156"/>
      <c r="BG425" s="161"/>
      <c r="BH425" s="161"/>
      <c r="BI425" s="161"/>
      <c r="BJ425" s="161"/>
      <c r="BK425" s="161"/>
      <c r="BL425" s="1156"/>
      <c r="BM425" s="1156"/>
      <c r="BN425" s="1156"/>
      <c r="BO425" s="1156"/>
      <c r="BP425" s="1156"/>
      <c r="BQ425" s="1156"/>
      <c r="BR425" s="161"/>
      <c r="BS425" s="161"/>
      <c r="BT425" s="161"/>
      <c r="BU425" s="161"/>
      <c r="BV425" s="161"/>
      <c r="BW425" s="161"/>
      <c r="BX425" s="161"/>
      <c r="BY425" s="161"/>
      <c r="BZ425" s="161"/>
      <c r="CA425" s="161"/>
      <c r="CB425" s="470"/>
      <c r="CC425" s="470"/>
      <c r="CD425" s="470"/>
      <c r="CE425" s="470"/>
      <c r="CF425" s="470"/>
      <c r="CG425" s="470"/>
      <c r="CH425" s="470"/>
      <c r="CI425" s="470"/>
      <c r="CJ425" s="1507"/>
      <c r="CK425" s="470"/>
      <c r="CL425" s="470"/>
      <c r="CM425" s="470"/>
      <c r="CN425" s="470"/>
      <c r="CO425" s="470"/>
      <c r="CP425" s="470"/>
      <c r="CQ425" s="470"/>
      <c r="CR425" s="470"/>
      <c r="CS425" s="470"/>
      <c r="CT425" s="470"/>
      <c r="CU425" s="470"/>
      <c r="CV425" s="470"/>
      <c r="CW425" s="470"/>
      <c r="CX425" s="470"/>
      <c r="CY425" s="480"/>
      <c r="CZ425" s="480"/>
      <c r="DA425" s="480"/>
      <c r="DB425" s="1152"/>
      <c r="DC425" s="1152"/>
      <c r="DD425" s="1152"/>
      <c r="DE425" s="1152"/>
      <c r="DF425" s="1152"/>
      <c r="DG425" s="1152"/>
      <c r="DH425" s="470"/>
      <c r="DI425" s="470"/>
      <c r="DJ425" s="470"/>
      <c r="DK425" s="470"/>
      <c r="DL425" s="470"/>
      <c r="DN425" s="518"/>
      <c r="DO425" s="470"/>
      <c r="DP425" s="161"/>
      <c r="DQ425" s="161"/>
      <c r="DR425" s="470"/>
    </row>
    <row r="426" spans="1:122" s="471" customFormat="1" ht="20.100000000000001" customHeight="1" x14ac:dyDescent="0.25">
      <c r="A426" s="1159"/>
      <c r="B426" s="994">
        <f t="shared" si="1151"/>
        <v>6</v>
      </c>
      <c r="C426" s="995">
        <v>10404528</v>
      </c>
      <c r="D426" s="996" t="s">
        <v>4669</v>
      </c>
      <c r="E426" s="997" t="s">
        <v>5237</v>
      </c>
      <c r="F426" s="1020"/>
      <c r="G426" s="1014"/>
      <c r="H426" s="1015"/>
      <c r="I426" s="1156"/>
      <c r="J426" s="1156"/>
      <c r="K426" s="1156"/>
      <c r="L426" s="1156"/>
      <c r="M426" s="1156"/>
      <c r="N426" s="1156"/>
      <c r="Q426" s="1156"/>
      <c r="R426" s="475"/>
      <c r="S426" s="1156"/>
      <c r="T426" s="161"/>
      <c r="U426" s="161"/>
      <c r="V426" s="161"/>
      <c r="W426" s="161"/>
      <c r="X426" s="1156"/>
      <c r="Y426" s="1156"/>
      <c r="Z426" s="476"/>
      <c r="AA426" s="161"/>
      <c r="AB426" s="161"/>
      <c r="AC426" s="161"/>
      <c r="AD426" s="161"/>
      <c r="AE426" s="161"/>
      <c r="AF426" s="161"/>
      <c r="AG426" s="161"/>
      <c r="AH426" s="161"/>
      <c r="AI426" s="161"/>
      <c r="AJ426" s="161"/>
      <c r="AK426" s="161"/>
      <c r="AL426" s="161"/>
      <c r="AM426" s="161"/>
      <c r="AN426" s="161"/>
      <c r="AO426" s="162"/>
      <c r="AP426" s="162"/>
      <c r="AQ426" s="162"/>
      <c r="AR426" s="162"/>
      <c r="AS426" s="162"/>
      <c r="AT426" s="162"/>
      <c r="AU426" s="1156"/>
      <c r="AV426" s="163"/>
      <c r="AW426" s="1156"/>
      <c r="AX426" s="161"/>
      <c r="AY426" s="161"/>
      <c r="AZ426" s="161"/>
      <c r="BA426" s="161"/>
      <c r="BB426" s="1156"/>
      <c r="BC426" s="1156"/>
      <c r="BD426" s="1156"/>
      <c r="BE426" s="1156"/>
      <c r="BF426" s="1156"/>
      <c r="BG426" s="161"/>
      <c r="BH426" s="161"/>
      <c r="BI426" s="161"/>
      <c r="BJ426" s="161"/>
      <c r="BK426" s="161"/>
      <c r="BL426" s="1156"/>
      <c r="BM426" s="1156"/>
      <c r="BN426" s="1156"/>
      <c r="BO426" s="1156"/>
      <c r="BP426" s="1156"/>
      <c r="BQ426" s="1156"/>
      <c r="BR426" s="161"/>
      <c r="BS426" s="161"/>
      <c r="BT426" s="161"/>
      <c r="BU426" s="161"/>
      <c r="BV426" s="161"/>
      <c r="BW426" s="161"/>
      <c r="BX426" s="161"/>
      <c r="BY426" s="161"/>
      <c r="BZ426" s="161"/>
      <c r="CA426" s="161"/>
      <c r="CB426" s="470"/>
      <c r="CC426" s="470"/>
      <c r="CD426" s="470"/>
      <c r="CE426" s="470"/>
      <c r="CF426" s="470"/>
      <c r="CG426" s="470"/>
      <c r="CH426" s="470"/>
      <c r="CI426" s="470"/>
      <c r="CJ426" s="1507"/>
      <c r="CK426" s="470"/>
      <c r="CL426" s="470"/>
      <c r="CM426" s="470"/>
      <c r="CN426" s="470"/>
      <c r="CO426" s="470"/>
      <c r="CP426" s="470"/>
      <c r="CQ426" s="470"/>
      <c r="CR426" s="470"/>
      <c r="CS426" s="470"/>
      <c r="CT426" s="470"/>
      <c r="CU426" s="470"/>
      <c r="CV426" s="470"/>
      <c r="CW426" s="470"/>
      <c r="CX426" s="470"/>
      <c r="CY426" s="480"/>
      <c r="CZ426" s="480"/>
      <c r="DA426" s="480"/>
      <c r="DB426" s="1152"/>
      <c r="DC426" s="1152"/>
      <c r="DD426" s="1152"/>
      <c r="DE426" s="1152"/>
      <c r="DF426" s="1152"/>
      <c r="DG426" s="1152"/>
      <c r="DH426" s="470"/>
      <c r="DI426" s="470"/>
      <c r="DJ426" s="470"/>
      <c r="DK426" s="470"/>
      <c r="DL426" s="470"/>
      <c r="DN426" s="518"/>
      <c r="DO426" s="470"/>
      <c r="DP426" s="161"/>
      <c r="DQ426" s="161"/>
      <c r="DR426" s="470"/>
    </row>
    <row r="427" spans="1:122" s="471" customFormat="1" ht="20.100000000000001" customHeight="1" x14ac:dyDescent="0.25">
      <c r="A427" s="1159"/>
      <c r="B427" s="994">
        <f t="shared" si="1151"/>
        <v>7</v>
      </c>
      <c r="C427" s="995">
        <v>13462933</v>
      </c>
      <c r="D427" s="996" t="s">
        <v>4672</v>
      </c>
      <c r="E427" s="997" t="s">
        <v>5482</v>
      </c>
      <c r="F427" s="1020"/>
      <c r="G427" s="1014"/>
      <c r="H427" s="1015"/>
      <c r="I427" s="1156"/>
      <c r="J427" s="1156"/>
      <c r="K427" s="1156"/>
      <c r="L427" s="1156"/>
      <c r="M427" s="1156"/>
      <c r="N427" s="1156"/>
      <c r="Q427" s="1156"/>
      <c r="R427" s="475"/>
      <c r="S427" s="1156"/>
      <c r="T427" s="161"/>
      <c r="U427" s="161"/>
      <c r="V427" s="161"/>
      <c r="W427" s="161"/>
      <c r="X427" s="1156"/>
      <c r="Y427" s="1156"/>
      <c r="Z427" s="476"/>
      <c r="AA427" s="161"/>
      <c r="AB427" s="161"/>
      <c r="AC427" s="161"/>
      <c r="AD427" s="161"/>
      <c r="AE427" s="161"/>
      <c r="AF427" s="161"/>
      <c r="AG427" s="161"/>
      <c r="AH427" s="161"/>
      <c r="AI427" s="161"/>
      <c r="AJ427" s="161"/>
      <c r="AK427" s="161"/>
      <c r="AL427" s="161"/>
      <c r="AM427" s="161"/>
      <c r="AN427" s="161"/>
      <c r="AO427" s="162"/>
      <c r="AP427" s="162"/>
      <c r="AQ427" s="162"/>
      <c r="AR427" s="162"/>
      <c r="AS427" s="162"/>
      <c r="AT427" s="162"/>
      <c r="AU427" s="1156"/>
      <c r="AV427" s="163"/>
      <c r="AW427" s="1156"/>
      <c r="AX427" s="161"/>
      <c r="AY427" s="161"/>
      <c r="AZ427" s="161"/>
      <c r="BA427" s="161"/>
      <c r="BB427" s="1156"/>
      <c r="BC427" s="1156"/>
      <c r="BD427" s="1156"/>
      <c r="BE427" s="1156"/>
      <c r="BF427" s="1156"/>
      <c r="BG427" s="161"/>
      <c r="BH427" s="161"/>
      <c r="BI427" s="161"/>
      <c r="BJ427" s="161"/>
      <c r="BK427" s="161"/>
      <c r="BL427" s="1156"/>
      <c r="BM427" s="1156"/>
      <c r="BN427" s="1156"/>
      <c r="BO427" s="1156"/>
      <c r="BP427" s="1156"/>
      <c r="BQ427" s="1156"/>
      <c r="BR427" s="161"/>
      <c r="BS427" s="161"/>
      <c r="BT427" s="161"/>
      <c r="BU427" s="161"/>
      <c r="BV427" s="161"/>
      <c r="BW427" s="161"/>
      <c r="BX427" s="161"/>
      <c r="BY427" s="161"/>
      <c r="BZ427" s="161"/>
      <c r="CA427" s="161"/>
      <c r="CB427" s="470"/>
      <c r="CC427" s="470"/>
      <c r="CD427" s="470"/>
      <c r="CE427" s="470"/>
      <c r="CF427" s="470"/>
      <c r="CG427" s="470"/>
      <c r="CH427" s="470"/>
      <c r="CI427" s="470"/>
      <c r="CJ427" s="1507"/>
      <c r="CK427" s="470"/>
      <c r="CL427" s="470"/>
      <c r="CM427" s="470"/>
      <c r="CN427" s="470"/>
      <c r="CO427" s="470"/>
      <c r="CP427" s="470"/>
      <c r="CQ427" s="470"/>
      <c r="CR427" s="470"/>
      <c r="CS427" s="470"/>
      <c r="CT427" s="470"/>
      <c r="CU427" s="470"/>
      <c r="CV427" s="470"/>
      <c r="CW427" s="470"/>
      <c r="CX427" s="470"/>
      <c r="CY427" s="480"/>
      <c r="CZ427" s="480"/>
      <c r="DA427" s="480"/>
      <c r="DB427" s="1152"/>
      <c r="DC427" s="1152"/>
      <c r="DD427" s="1152"/>
      <c r="DE427" s="1152"/>
      <c r="DF427" s="1152"/>
      <c r="DG427" s="1152"/>
      <c r="DH427" s="470"/>
      <c r="DI427" s="470"/>
      <c r="DJ427" s="470"/>
      <c r="DK427" s="470"/>
      <c r="DL427" s="470"/>
      <c r="DN427" s="518"/>
      <c r="DO427" s="470"/>
      <c r="DP427" s="161"/>
      <c r="DQ427" s="161"/>
      <c r="DR427" s="470"/>
    </row>
    <row r="428" spans="1:122" s="471" customFormat="1" ht="20.100000000000001" customHeight="1" x14ac:dyDescent="0.25">
      <c r="A428" s="1159"/>
      <c r="B428" s="994">
        <f t="shared" si="1151"/>
        <v>8</v>
      </c>
      <c r="C428" s="995">
        <v>12542413</v>
      </c>
      <c r="D428" s="996" t="s">
        <v>7245</v>
      </c>
      <c r="E428" s="997" t="s">
        <v>5217</v>
      </c>
      <c r="F428" s="1020"/>
      <c r="G428" s="1014"/>
      <c r="H428" s="1015"/>
      <c r="I428" s="1156"/>
      <c r="J428" s="1156"/>
      <c r="K428" s="1156"/>
      <c r="L428" s="1156"/>
      <c r="M428" s="1156"/>
      <c r="N428" s="1156"/>
      <c r="Q428" s="1156"/>
      <c r="R428" s="475"/>
      <c r="S428" s="1156"/>
      <c r="T428" s="161"/>
      <c r="U428" s="161"/>
      <c r="V428" s="161"/>
      <c r="W428" s="161"/>
      <c r="X428" s="1156"/>
      <c r="Y428" s="1156"/>
      <c r="Z428" s="476"/>
      <c r="AA428" s="161"/>
      <c r="AB428" s="161"/>
      <c r="AC428" s="161"/>
      <c r="AD428" s="161"/>
      <c r="AE428" s="161"/>
      <c r="AF428" s="161"/>
      <c r="AG428" s="161"/>
      <c r="AH428" s="161"/>
      <c r="AI428" s="161"/>
      <c r="AJ428" s="161"/>
      <c r="AK428" s="161"/>
      <c r="AL428" s="161"/>
      <c r="AM428" s="161"/>
      <c r="AN428" s="161"/>
      <c r="AO428" s="162"/>
      <c r="AP428" s="162"/>
      <c r="AQ428" s="162"/>
      <c r="AR428" s="162"/>
      <c r="AS428" s="162"/>
      <c r="AT428" s="162"/>
      <c r="AU428" s="1156"/>
      <c r="AV428" s="163"/>
      <c r="AW428" s="1156"/>
      <c r="AX428" s="161"/>
      <c r="AY428" s="161"/>
      <c r="AZ428" s="161"/>
      <c r="BA428" s="161"/>
      <c r="BB428" s="1156"/>
      <c r="BC428" s="1156"/>
      <c r="BD428" s="1156"/>
      <c r="BE428" s="1156"/>
      <c r="BF428" s="1156"/>
      <c r="BG428" s="161"/>
      <c r="BH428" s="161"/>
      <c r="BI428" s="161"/>
      <c r="BJ428" s="161"/>
      <c r="BK428" s="161"/>
      <c r="BL428" s="1156"/>
      <c r="BM428" s="1156"/>
      <c r="BN428" s="1156"/>
      <c r="BO428" s="1156"/>
      <c r="BP428" s="1156"/>
      <c r="BQ428" s="1156"/>
      <c r="BR428" s="161"/>
      <c r="BS428" s="161"/>
      <c r="BT428" s="161"/>
      <c r="BU428" s="161"/>
      <c r="BV428" s="161"/>
      <c r="BW428" s="161"/>
      <c r="BX428" s="161"/>
      <c r="BY428" s="161"/>
      <c r="BZ428" s="161"/>
      <c r="CA428" s="161"/>
      <c r="CB428" s="470"/>
      <c r="CC428" s="470"/>
      <c r="CD428" s="470"/>
      <c r="CE428" s="470"/>
      <c r="CF428" s="470"/>
      <c r="CG428" s="470"/>
      <c r="CH428" s="470"/>
      <c r="CI428" s="470"/>
      <c r="CJ428" s="1507"/>
      <c r="CK428" s="470"/>
      <c r="CL428" s="470"/>
      <c r="CM428" s="470"/>
      <c r="CN428" s="470"/>
      <c r="CO428" s="470"/>
      <c r="CP428" s="470"/>
      <c r="CQ428" s="470"/>
      <c r="CR428" s="470"/>
      <c r="CS428" s="470"/>
      <c r="CT428" s="470"/>
      <c r="CU428" s="470"/>
      <c r="CV428" s="470"/>
      <c r="CW428" s="470"/>
      <c r="CX428" s="470"/>
      <c r="CY428" s="480"/>
      <c r="CZ428" s="480"/>
      <c r="DA428" s="480"/>
      <c r="DB428" s="1152"/>
      <c r="DC428" s="1152"/>
      <c r="DD428" s="1152"/>
      <c r="DE428" s="1152"/>
      <c r="DF428" s="1152"/>
      <c r="DG428" s="1152"/>
      <c r="DH428" s="470"/>
      <c r="DI428" s="470"/>
      <c r="DJ428" s="470"/>
      <c r="DK428" s="470"/>
      <c r="DL428" s="470"/>
      <c r="DN428" s="518"/>
      <c r="DO428" s="470"/>
      <c r="DP428" s="161"/>
      <c r="DQ428" s="161"/>
      <c r="DR428" s="470"/>
    </row>
    <row r="429" spans="1:122" s="471" customFormat="1" ht="20.100000000000001" customHeight="1" x14ac:dyDescent="0.25">
      <c r="A429" s="1159"/>
      <c r="B429" s="994">
        <f t="shared" si="1151"/>
        <v>9</v>
      </c>
      <c r="C429" s="995">
        <v>18457406</v>
      </c>
      <c r="D429" s="996" t="s">
        <v>4676</v>
      </c>
      <c r="E429" s="997" t="s">
        <v>5483</v>
      </c>
      <c r="F429" s="1020"/>
      <c r="G429" s="1014"/>
      <c r="H429" s="1015"/>
      <c r="I429" s="1156"/>
      <c r="J429" s="1156"/>
      <c r="K429" s="1156"/>
      <c r="L429" s="1156"/>
      <c r="M429" s="1156"/>
      <c r="N429" s="1156"/>
      <c r="Q429" s="1156"/>
      <c r="R429" s="475"/>
      <c r="S429" s="1156"/>
      <c r="T429" s="161"/>
      <c r="U429" s="161"/>
      <c r="V429" s="161"/>
      <c r="W429" s="161"/>
      <c r="X429" s="1156"/>
      <c r="Y429" s="1156"/>
      <c r="Z429" s="476"/>
      <c r="AA429" s="161"/>
      <c r="AB429" s="161"/>
      <c r="AC429" s="161"/>
      <c r="AD429" s="161"/>
      <c r="AE429" s="161"/>
      <c r="AF429" s="161"/>
      <c r="AG429" s="161"/>
      <c r="AH429" s="161"/>
      <c r="AI429" s="161"/>
      <c r="AJ429" s="161"/>
      <c r="AK429" s="161"/>
      <c r="AL429" s="161"/>
      <c r="AM429" s="161"/>
      <c r="AN429" s="161"/>
      <c r="AO429" s="162"/>
      <c r="AP429" s="162"/>
      <c r="AQ429" s="162"/>
      <c r="AR429" s="162"/>
      <c r="AS429" s="162"/>
      <c r="AT429" s="162"/>
      <c r="AU429" s="1156"/>
      <c r="AV429" s="163"/>
      <c r="AW429" s="1156"/>
      <c r="AX429" s="161"/>
      <c r="AY429" s="161"/>
      <c r="AZ429" s="161"/>
      <c r="BA429" s="161"/>
      <c r="BB429" s="1156"/>
      <c r="BC429" s="1156"/>
      <c r="BD429" s="1156"/>
      <c r="BE429" s="1156"/>
      <c r="BF429" s="1156"/>
      <c r="BG429" s="161"/>
      <c r="BH429" s="161"/>
      <c r="BI429" s="161"/>
      <c r="BJ429" s="161"/>
      <c r="BK429" s="161"/>
      <c r="BL429" s="1156"/>
      <c r="BM429" s="1156"/>
      <c r="BN429" s="1156"/>
      <c r="BO429" s="1156"/>
      <c r="BP429" s="1156"/>
      <c r="BQ429" s="1156"/>
      <c r="BR429" s="161"/>
      <c r="BS429" s="161"/>
      <c r="BT429" s="161"/>
      <c r="BU429" s="161"/>
      <c r="BV429" s="161"/>
      <c r="BW429" s="161"/>
      <c r="BX429" s="161"/>
      <c r="BY429" s="161"/>
      <c r="BZ429" s="161"/>
      <c r="CA429" s="161"/>
      <c r="CB429" s="470"/>
      <c r="CC429" s="470"/>
      <c r="CD429" s="470"/>
      <c r="CE429" s="470"/>
      <c r="CF429" s="470"/>
      <c r="CG429" s="470"/>
      <c r="CH429" s="470"/>
      <c r="CI429" s="470"/>
      <c r="CJ429" s="1507"/>
      <c r="CK429" s="470"/>
      <c r="CL429" s="470"/>
      <c r="CM429" s="470"/>
      <c r="CN429" s="470"/>
      <c r="CO429" s="470"/>
      <c r="CP429" s="470"/>
      <c r="CQ429" s="470"/>
      <c r="CR429" s="470"/>
      <c r="CS429" s="470"/>
      <c r="CT429" s="470"/>
      <c r="CU429" s="470"/>
      <c r="CV429" s="470"/>
      <c r="CW429" s="470"/>
      <c r="CX429" s="470"/>
      <c r="CY429" s="480"/>
      <c r="CZ429" s="480"/>
      <c r="DA429" s="480"/>
      <c r="DB429" s="1152"/>
      <c r="DC429" s="1152"/>
      <c r="DD429" s="1152"/>
      <c r="DE429" s="1152"/>
      <c r="DF429" s="1152"/>
      <c r="DG429" s="1152"/>
      <c r="DH429" s="470"/>
      <c r="DI429" s="470"/>
      <c r="DJ429" s="470"/>
      <c r="DK429" s="470"/>
      <c r="DL429" s="470"/>
      <c r="DN429" s="518"/>
      <c r="DO429" s="470"/>
      <c r="DP429" s="161"/>
      <c r="DQ429" s="161"/>
      <c r="DR429" s="470"/>
    </row>
    <row r="430" spans="1:122" s="471" customFormat="1" ht="20.100000000000001" customHeight="1" x14ac:dyDescent="0.25">
      <c r="A430" s="1180"/>
      <c r="B430" s="994">
        <f t="shared" si="1151"/>
        <v>10</v>
      </c>
      <c r="C430" s="995">
        <v>11895772</v>
      </c>
      <c r="D430" s="996" t="s">
        <v>4677</v>
      </c>
      <c r="E430" s="997" t="s">
        <v>5228</v>
      </c>
      <c r="F430" s="1020"/>
      <c r="G430" s="1014"/>
      <c r="H430" s="1015"/>
      <c r="I430" s="1179"/>
      <c r="J430" s="1179"/>
      <c r="K430" s="1179"/>
      <c r="L430" s="1179"/>
      <c r="M430" s="1179"/>
      <c r="N430" s="1179"/>
      <c r="Q430" s="1179"/>
      <c r="R430" s="475"/>
      <c r="S430" s="1179"/>
      <c r="T430" s="161"/>
      <c r="U430" s="161"/>
      <c r="V430" s="161"/>
      <c r="W430" s="161"/>
      <c r="X430" s="1179"/>
      <c r="Y430" s="1179"/>
      <c r="Z430" s="476"/>
      <c r="AA430" s="161"/>
      <c r="AB430" s="161"/>
      <c r="AC430" s="161"/>
      <c r="AD430" s="161"/>
      <c r="AE430" s="161"/>
      <c r="AF430" s="161"/>
      <c r="AG430" s="161"/>
      <c r="AH430" s="161"/>
      <c r="AI430" s="161"/>
      <c r="AJ430" s="161"/>
      <c r="AK430" s="161"/>
      <c r="AL430" s="161"/>
      <c r="AM430" s="161"/>
      <c r="AN430" s="161"/>
      <c r="AO430" s="162"/>
      <c r="AP430" s="162"/>
      <c r="AQ430" s="162"/>
      <c r="AR430" s="162"/>
      <c r="AS430" s="162"/>
      <c r="AT430" s="162"/>
      <c r="AU430" s="1179"/>
      <c r="AV430" s="163"/>
      <c r="AW430" s="1179"/>
      <c r="AX430" s="161"/>
      <c r="AY430" s="161"/>
      <c r="AZ430" s="161"/>
      <c r="BA430" s="161"/>
      <c r="BB430" s="1179"/>
      <c r="BC430" s="1179"/>
      <c r="BD430" s="1179"/>
      <c r="BE430" s="1179"/>
      <c r="BF430" s="1179"/>
      <c r="BG430" s="161"/>
      <c r="BH430" s="161"/>
      <c r="BI430" s="161"/>
      <c r="BJ430" s="161"/>
      <c r="BK430" s="161"/>
      <c r="BL430" s="1179"/>
      <c r="BM430" s="1179"/>
      <c r="BN430" s="1179"/>
      <c r="BO430" s="1179"/>
      <c r="BP430" s="1179"/>
      <c r="BQ430" s="1179"/>
      <c r="BR430" s="161"/>
      <c r="BS430" s="161"/>
      <c r="BT430" s="161"/>
      <c r="BU430" s="161"/>
      <c r="BV430" s="161"/>
      <c r="BW430" s="161"/>
      <c r="BX430" s="161"/>
      <c r="BY430" s="161"/>
      <c r="BZ430" s="161"/>
      <c r="CA430" s="161"/>
      <c r="CB430" s="470"/>
      <c r="CC430" s="470"/>
      <c r="CD430" s="470"/>
      <c r="CE430" s="470"/>
      <c r="CF430" s="470"/>
      <c r="CG430" s="470"/>
      <c r="CH430" s="470"/>
      <c r="CI430" s="470"/>
      <c r="CJ430" s="1507"/>
      <c r="CK430" s="470"/>
      <c r="CL430" s="470"/>
      <c r="CM430" s="470"/>
      <c r="CN430" s="470"/>
      <c r="CO430" s="470"/>
      <c r="CP430" s="470"/>
      <c r="CQ430" s="470"/>
      <c r="CR430" s="470"/>
      <c r="CS430" s="470"/>
      <c r="CT430" s="470"/>
      <c r="CU430" s="470"/>
      <c r="CV430" s="470"/>
      <c r="CW430" s="470"/>
      <c r="CX430" s="470"/>
      <c r="CY430" s="480"/>
      <c r="CZ430" s="480"/>
      <c r="DA430" s="480"/>
      <c r="DB430" s="1152"/>
      <c r="DC430" s="1152"/>
      <c r="DD430" s="1152"/>
      <c r="DE430" s="1152"/>
      <c r="DF430" s="1152"/>
      <c r="DG430" s="1152"/>
      <c r="DH430" s="470"/>
      <c r="DI430" s="470"/>
      <c r="DJ430" s="470"/>
      <c r="DK430" s="470"/>
      <c r="DL430" s="470"/>
      <c r="DN430" s="518"/>
      <c r="DO430" s="470"/>
      <c r="DP430" s="161"/>
      <c r="DQ430" s="161"/>
      <c r="DR430" s="470"/>
    </row>
    <row r="431" spans="1:122" s="471" customFormat="1" ht="20.100000000000001" customHeight="1" x14ac:dyDescent="0.25">
      <c r="A431" s="1159"/>
      <c r="B431" s="994">
        <f t="shared" si="1151"/>
        <v>11</v>
      </c>
      <c r="C431" s="995">
        <v>8719807</v>
      </c>
      <c r="D431" s="996" t="s">
        <v>4668</v>
      </c>
      <c r="E431" s="997" t="s">
        <v>5484</v>
      </c>
      <c r="F431" s="1020"/>
      <c r="G431" s="1014"/>
      <c r="H431" s="1015"/>
      <c r="I431" s="1156"/>
      <c r="J431" s="1156"/>
      <c r="K431" s="1156"/>
      <c r="L431" s="1156"/>
      <c r="M431" s="1156"/>
      <c r="N431" s="1156"/>
      <c r="Q431" s="1156"/>
      <c r="R431" s="475"/>
      <c r="S431" s="1156"/>
      <c r="T431" s="161"/>
      <c r="U431" s="161"/>
      <c r="V431" s="161"/>
      <c r="W431" s="161"/>
      <c r="X431" s="1156"/>
      <c r="Y431" s="1156"/>
      <c r="Z431" s="476"/>
      <c r="AA431" s="161"/>
      <c r="AB431" s="161"/>
      <c r="AC431" s="161"/>
      <c r="AD431" s="161"/>
      <c r="AE431" s="161"/>
      <c r="AF431" s="161"/>
      <c r="AG431" s="161"/>
      <c r="AH431" s="161"/>
      <c r="AI431" s="161"/>
      <c r="AJ431" s="161"/>
      <c r="AK431" s="161"/>
      <c r="AL431" s="161"/>
      <c r="AM431" s="161"/>
      <c r="AN431" s="161"/>
      <c r="AO431" s="162"/>
      <c r="AP431" s="162"/>
      <c r="AQ431" s="162"/>
      <c r="AR431" s="162"/>
      <c r="AS431" s="162"/>
      <c r="AT431" s="162"/>
      <c r="AU431" s="1156"/>
      <c r="AV431" s="163"/>
      <c r="AW431" s="1156"/>
      <c r="AX431" s="161"/>
      <c r="AY431" s="161"/>
      <c r="AZ431" s="161"/>
      <c r="BA431" s="161"/>
      <c r="BB431" s="1156"/>
      <c r="BC431" s="1156"/>
      <c r="BD431" s="1156"/>
      <c r="BE431" s="1156"/>
      <c r="BF431" s="1156"/>
      <c r="BG431" s="161"/>
      <c r="BH431" s="161"/>
      <c r="BI431" s="161"/>
      <c r="BJ431" s="161"/>
      <c r="BK431" s="161"/>
      <c r="BL431" s="1156"/>
      <c r="BM431" s="1156"/>
      <c r="BN431" s="1156"/>
      <c r="BO431" s="1156"/>
      <c r="BP431" s="1156"/>
      <c r="BQ431" s="1156"/>
      <c r="BR431" s="161"/>
      <c r="BS431" s="161"/>
      <c r="BT431" s="161"/>
      <c r="BU431" s="161"/>
      <c r="BV431" s="161"/>
      <c r="BW431" s="161"/>
      <c r="BX431" s="161"/>
      <c r="BY431" s="161"/>
      <c r="BZ431" s="161"/>
      <c r="CA431" s="161"/>
      <c r="CB431" s="470"/>
      <c r="CC431" s="470"/>
      <c r="CD431" s="470"/>
      <c r="CE431" s="470"/>
      <c r="CF431" s="470"/>
      <c r="CG431" s="470"/>
      <c r="CH431" s="470"/>
      <c r="CI431" s="470"/>
      <c r="CJ431" s="1507"/>
      <c r="CK431" s="470"/>
      <c r="CL431" s="470"/>
      <c r="CM431" s="470"/>
      <c r="CN431" s="470"/>
      <c r="CO431" s="470"/>
      <c r="CP431" s="470"/>
      <c r="CQ431" s="470"/>
      <c r="CR431" s="470"/>
      <c r="CS431" s="470"/>
      <c r="CT431" s="470"/>
      <c r="CU431" s="470"/>
      <c r="CV431" s="470"/>
      <c r="CW431" s="470"/>
      <c r="CX431" s="470"/>
      <c r="CY431" s="480"/>
      <c r="CZ431" s="480"/>
      <c r="DA431" s="480"/>
      <c r="DB431" s="1152"/>
      <c r="DC431" s="1152"/>
      <c r="DD431" s="1152"/>
      <c r="DE431" s="1152"/>
      <c r="DF431" s="1152"/>
      <c r="DG431" s="1152"/>
      <c r="DH431" s="470"/>
      <c r="DI431" s="470"/>
      <c r="DJ431" s="470"/>
      <c r="DK431" s="470"/>
      <c r="DL431" s="470"/>
      <c r="DN431" s="518"/>
      <c r="DO431" s="470"/>
      <c r="DP431" s="161"/>
      <c r="DQ431" s="161"/>
      <c r="DR431" s="470"/>
    </row>
    <row r="432" spans="1:122" s="471" customFormat="1" ht="20.100000000000001" customHeight="1" x14ac:dyDescent="0.25">
      <c r="A432" s="1159"/>
      <c r="B432" s="994">
        <f t="shared" si="1151"/>
        <v>12</v>
      </c>
      <c r="C432" s="995">
        <v>20790947</v>
      </c>
      <c r="D432" s="996" t="s">
        <v>4686</v>
      </c>
      <c r="E432" s="997" t="s">
        <v>5215</v>
      </c>
      <c r="F432" s="1020"/>
      <c r="G432" s="1014"/>
      <c r="H432" s="1015"/>
      <c r="I432" s="1156"/>
      <c r="J432" s="1156"/>
      <c r="K432" s="1156"/>
      <c r="L432" s="1156"/>
      <c r="M432" s="1156"/>
      <c r="N432" s="1156"/>
      <c r="Q432" s="1156"/>
      <c r="R432" s="475"/>
      <c r="S432" s="1156"/>
      <c r="T432" s="161"/>
      <c r="U432" s="161"/>
      <c r="V432" s="161"/>
      <c r="W432" s="161"/>
      <c r="X432" s="1156"/>
      <c r="Y432" s="1156"/>
      <c r="Z432" s="476"/>
      <c r="AA432" s="161"/>
      <c r="AB432" s="161"/>
      <c r="AC432" s="161"/>
      <c r="AD432" s="161"/>
      <c r="AE432" s="161"/>
      <c r="AF432" s="161"/>
      <c r="AG432" s="161"/>
      <c r="AH432" s="161"/>
      <c r="AI432" s="161"/>
      <c r="AJ432" s="161"/>
      <c r="AK432" s="161"/>
      <c r="AL432" s="161"/>
      <c r="AM432" s="161"/>
      <c r="AN432" s="161"/>
      <c r="AO432" s="162"/>
      <c r="AP432" s="162"/>
      <c r="AQ432" s="162"/>
      <c r="AR432" s="162"/>
      <c r="AS432" s="162"/>
      <c r="AT432" s="162"/>
      <c r="AU432" s="1156"/>
      <c r="AV432" s="163"/>
      <c r="AW432" s="1156"/>
      <c r="AX432" s="161"/>
      <c r="AY432" s="161"/>
      <c r="AZ432" s="161"/>
      <c r="BA432" s="161"/>
      <c r="BB432" s="1156"/>
      <c r="BC432" s="1156"/>
      <c r="BD432" s="1156"/>
      <c r="BE432" s="1156"/>
      <c r="BF432" s="1156"/>
      <c r="BG432" s="161"/>
      <c r="BH432" s="161"/>
      <c r="BI432" s="161"/>
      <c r="BJ432" s="161"/>
      <c r="BK432" s="161"/>
      <c r="BL432" s="1156"/>
      <c r="BM432" s="1156"/>
      <c r="BN432" s="1156"/>
      <c r="BO432" s="1156"/>
      <c r="BP432" s="1156"/>
      <c r="BQ432" s="1156"/>
      <c r="BR432" s="161"/>
      <c r="BS432" s="161"/>
      <c r="BT432" s="161"/>
      <c r="BU432" s="161"/>
      <c r="BV432" s="161"/>
      <c r="BW432" s="161"/>
      <c r="BX432" s="161"/>
      <c r="BY432" s="161"/>
      <c r="BZ432" s="161"/>
      <c r="CA432" s="161"/>
      <c r="CB432" s="470"/>
      <c r="CC432" s="470"/>
      <c r="CD432" s="470"/>
      <c r="CE432" s="470"/>
      <c r="CF432" s="470"/>
      <c r="CG432" s="470"/>
      <c r="CH432" s="470"/>
      <c r="CI432" s="470"/>
      <c r="CJ432" s="1507"/>
      <c r="CK432" s="470"/>
      <c r="CL432" s="470"/>
      <c r="CM432" s="470"/>
      <c r="CN432" s="470"/>
      <c r="CO432" s="470"/>
      <c r="CP432" s="470"/>
      <c r="CQ432" s="470"/>
      <c r="CR432" s="470"/>
      <c r="CS432" s="470"/>
      <c r="CT432" s="470"/>
      <c r="CU432" s="470"/>
      <c r="CV432" s="470"/>
      <c r="CW432" s="470"/>
      <c r="CX432" s="470"/>
      <c r="CY432" s="480"/>
      <c r="CZ432" s="480"/>
      <c r="DA432" s="480"/>
      <c r="DB432" s="1152"/>
      <c r="DC432" s="1152"/>
      <c r="DD432" s="1152"/>
      <c r="DE432" s="1152"/>
      <c r="DF432" s="1152"/>
      <c r="DG432" s="1152"/>
      <c r="DH432" s="470"/>
      <c r="DI432" s="470"/>
      <c r="DJ432" s="470"/>
      <c r="DK432" s="470"/>
      <c r="DL432" s="470"/>
      <c r="DN432" s="518"/>
      <c r="DO432" s="470"/>
      <c r="DP432" s="161"/>
      <c r="DQ432" s="161"/>
      <c r="DR432" s="470"/>
    </row>
    <row r="433" spans="1:123" s="471" customFormat="1" ht="20.100000000000001" customHeight="1" x14ac:dyDescent="0.25">
      <c r="A433" s="1159"/>
      <c r="B433" s="994">
        <f t="shared" si="1151"/>
        <v>13</v>
      </c>
      <c r="C433" s="995">
        <v>13206767</v>
      </c>
      <c r="D433" s="996" t="s">
        <v>4767</v>
      </c>
      <c r="E433" s="997" t="s">
        <v>5219</v>
      </c>
      <c r="F433" s="1020"/>
      <c r="G433" s="1014"/>
      <c r="H433" s="1015"/>
      <c r="I433" s="1156"/>
      <c r="J433" s="1156"/>
      <c r="K433" s="1156"/>
      <c r="L433" s="1156"/>
      <c r="M433" s="1156"/>
      <c r="N433" s="1156"/>
      <c r="Q433" s="1156"/>
      <c r="R433" s="475"/>
      <c r="S433" s="1156"/>
      <c r="T433" s="161"/>
      <c r="U433" s="161"/>
      <c r="V433" s="161"/>
      <c r="W433" s="161"/>
      <c r="X433" s="1156"/>
      <c r="Y433" s="1156"/>
      <c r="Z433" s="476"/>
      <c r="AA433" s="161"/>
      <c r="AB433" s="161"/>
      <c r="AC433" s="161"/>
      <c r="AD433" s="161"/>
      <c r="AE433" s="161"/>
      <c r="AF433" s="161"/>
      <c r="AG433" s="161"/>
      <c r="AH433" s="161"/>
      <c r="AI433" s="161"/>
      <c r="AJ433" s="161"/>
      <c r="AK433" s="161"/>
      <c r="AL433" s="161"/>
      <c r="AM433" s="161"/>
      <c r="AN433" s="161"/>
      <c r="AO433" s="162"/>
      <c r="AP433" s="162"/>
      <c r="AQ433" s="162"/>
      <c r="AR433" s="162"/>
      <c r="AS433" s="162"/>
      <c r="AT433" s="162"/>
      <c r="AU433" s="1156"/>
      <c r="AV433" s="163"/>
      <c r="AW433" s="1156"/>
      <c r="AX433" s="161"/>
      <c r="AY433" s="161"/>
      <c r="AZ433" s="161"/>
      <c r="BA433" s="161"/>
      <c r="BB433" s="1156"/>
      <c r="BC433" s="1156"/>
      <c r="BD433" s="1156"/>
      <c r="BE433" s="1156"/>
      <c r="BF433" s="1156"/>
      <c r="BG433" s="161"/>
      <c r="BH433" s="161"/>
      <c r="BI433" s="161"/>
      <c r="BJ433" s="161"/>
      <c r="BK433" s="161"/>
      <c r="BL433" s="1156"/>
      <c r="BM433" s="1156"/>
      <c r="BN433" s="1156"/>
      <c r="BO433" s="1156"/>
      <c r="BP433" s="1156"/>
      <c r="BQ433" s="1156"/>
      <c r="BR433" s="161"/>
      <c r="BS433" s="161"/>
      <c r="BT433" s="161"/>
      <c r="BU433" s="161"/>
      <c r="BV433" s="161"/>
      <c r="BW433" s="161"/>
      <c r="BX433" s="161"/>
      <c r="BY433" s="161"/>
      <c r="BZ433" s="161"/>
      <c r="CA433" s="161"/>
      <c r="CB433" s="470"/>
      <c r="CC433" s="470"/>
      <c r="CD433" s="470"/>
      <c r="CE433" s="470"/>
      <c r="CF433" s="470"/>
      <c r="CG433" s="470"/>
      <c r="CH433" s="470"/>
      <c r="CI433" s="470"/>
      <c r="CJ433" s="1507"/>
      <c r="CK433" s="470"/>
      <c r="CL433" s="470"/>
      <c r="CM433" s="470"/>
      <c r="CN433" s="470"/>
      <c r="CO433" s="470"/>
      <c r="CP433" s="470"/>
      <c r="CQ433" s="470"/>
      <c r="CR433" s="470"/>
      <c r="CS433" s="470"/>
      <c r="CT433" s="470"/>
      <c r="CU433" s="470"/>
      <c r="CV433" s="470"/>
      <c r="CW433" s="470"/>
      <c r="CX433" s="470"/>
      <c r="CY433" s="480"/>
      <c r="CZ433" s="480"/>
      <c r="DA433" s="480"/>
      <c r="DB433" s="1152"/>
      <c r="DC433" s="1152"/>
      <c r="DD433" s="1152"/>
      <c r="DE433" s="1152"/>
      <c r="DF433" s="1152"/>
      <c r="DG433" s="1152"/>
      <c r="DH433" s="470"/>
      <c r="DI433" s="470"/>
      <c r="DJ433" s="470"/>
      <c r="DK433" s="470"/>
      <c r="DL433" s="470"/>
      <c r="DN433" s="518"/>
      <c r="DO433" s="470"/>
      <c r="DP433" s="161"/>
      <c r="DQ433" s="161"/>
      <c r="DR433" s="470"/>
    </row>
    <row r="434" spans="1:123" s="471" customFormat="1" ht="20.100000000000001" customHeight="1" x14ac:dyDescent="0.25">
      <c r="A434" s="1263"/>
      <c r="B434" s="994">
        <f t="shared" si="1151"/>
        <v>14</v>
      </c>
      <c r="C434" s="995">
        <v>16739081</v>
      </c>
      <c r="D434" s="996" t="s">
        <v>4828</v>
      </c>
      <c r="E434" s="386" t="s">
        <v>5215</v>
      </c>
      <c r="F434" s="1020"/>
      <c r="G434" s="1014"/>
      <c r="H434" s="1015"/>
      <c r="I434" s="1262"/>
      <c r="J434" s="1262"/>
      <c r="K434" s="1262"/>
      <c r="L434" s="1262"/>
      <c r="M434" s="1262"/>
      <c r="N434" s="1262"/>
      <c r="Q434" s="1262"/>
      <c r="R434" s="475"/>
      <c r="S434" s="1262"/>
      <c r="T434" s="161"/>
      <c r="U434" s="161"/>
      <c r="V434" s="161"/>
      <c r="W434" s="161"/>
      <c r="X434" s="1262"/>
      <c r="Y434" s="1262"/>
      <c r="Z434" s="476"/>
      <c r="AA434" s="161"/>
      <c r="AB434" s="161"/>
      <c r="AC434" s="161"/>
      <c r="AD434" s="161"/>
      <c r="AE434" s="161"/>
      <c r="AF434" s="161"/>
      <c r="AG434" s="161"/>
      <c r="AH434" s="161"/>
      <c r="AI434" s="161"/>
      <c r="AJ434" s="161"/>
      <c r="AK434" s="161"/>
      <c r="AL434" s="161"/>
      <c r="AM434" s="161"/>
      <c r="AN434" s="161"/>
      <c r="AO434" s="162"/>
      <c r="AP434" s="162"/>
      <c r="AQ434" s="162"/>
      <c r="AR434" s="162"/>
      <c r="AS434" s="162"/>
      <c r="AT434" s="162"/>
      <c r="AU434" s="1262"/>
      <c r="AV434" s="163"/>
      <c r="AW434" s="1262"/>
      <c r="AX434" s="161"/>
      <c r="AY434" s="161"/>
      <c r="AZ434" s="161"/>
      <c r="BA434" s="161"/>
      <c r="BB434" s="1262"/>
      <c r="BC434" s="1262"/>
      <c r="BD434" s="1262"/>
      <c r="BE434" s="1262"/>
      <c r="BF434" s="1262"/>
      <c r="BG434" s="161"/>
      <c r="BH434" s="161"/>
      <c r="BI434" s="161"/>
      <c r="BJ434" s="161"/>
      <c r="BK434" s="161"/>
      <c r="BL434" s="1262"/>
      <c r="BM434" s="1262"/>
      <c r="BN434" s="1262"/>
      <c r="BO434" s="1262"/>
      <c r="BP434" s="1262"/>
      <c r="BQ434" s="1262"/>
      <c r="BR434" s="161"/>
      <c r="BS434" s="161"/>
      <c r="BT434" s="161"/>
      <c r="BU434" s="161"/>
      <c r="BV434" s="161"/>
      <c r="BW434" s="161"/>
      <c r="BX434" s="161"/>
      <c r="BY434" s="161"/>
      <c r="BZ434" s="161"/>
      <c r="CA434" s="161"/>
      <c r="CB434" s="470"/>
      <c r="CC434" s="470"/>
      <c r="CD434" s="470"/>
      <c r="CE434" s="470"/>
      <c r="CF434" s="470"/>
      <c r="CG434" s="470"/>
      <c r="CH434" s="470"/>
      <c r="CI434" s="470"/>
      <c r="CJ434" s="1507"/>
      <c r="CK434" s="470"/>
      <c r="CL434" s="470"/>
      <c r="CM434" s="470"/>
      <c r="CN434" s="470"/>
      <c r="CO434" s="470"/>
      <c r="CP434" s="470"/>
      <c r="CQ434" s="470"/>
      <c r="CR434" s="470"/>
      <c r="CS434" s="470"/>
      <c r="CT434" s="470"/>
      <c r="CU434" s="470"/>
      <c r="CV434" s="470"/>
      <c r="CW434" s="470"/>
      <c r="CX434" s="470"/>
      <c r="CY434" s="480"/>
      <c r="CZ434" s="480"/>
      <c r="DA434" s="480"/>
      <c r="DB434" s="1152"/>
      <c r="DC434" s="1152"/>
      <c r="DD434" s="1152"/>
      <c r="DE434" s="1152"/>
      <c r="DF434" s="1152"/>
      <c r="DG434" s="1152"/>
      <c r="DH434" s="470"/>
      <c r="DI434" s="470"/>
      <c r="DJ434" s="470"/>
      <c r="DK434" s="470"/>
      <c r="DL434" s="470"/>
      <c r="DN434" s="518"/>
      <c r="DO434" s="470"/>
      <c r="DP434" s="161"/>
      <c r="DQ434" s="161"/>
      <c r="DR434" s="470"/>
    </row>
    <row r="435" spans="1:123" s="471" customFormat="1" ht="20.100000000000001" customHeight="1" x14ac:dyDescent="0.25">
      <c r="A435" s="1159"/>
      <c r="B435" s="994">
        <f t="shared" si="1151"/>
        <v>15</v>
      </c>
      <c r="C435" s="995">
        <v>15752183</v>
      </c>
      <c r="D435" s="996" t="s">
        <v>7576</v>
      </c>
      <c r="E435" s="997" t="s">
        <v>5259</v>
      </c>
      <c r="F435" s="1021"/>
      <c r="G435" s="1014"/>
      <c r="H435" s="1015"/>
      <c r="I435" s="1156"/>
      <c r="J435" s="1156"/>
      <c r="K435" s="1156"/>
      <c r="L435" s="1156"/>
      <c r="M435" s="1156"/>
      <c r="N435" s="1156"/>
      <c r="Q435" s="1156"/>
      <c r="R435" s="475"/>
      <c r="S435" s="1156"/>
      <c r="T435" s="161"/>
      <c r="U435" s="161"/>
      <c r="V435" s="161"/>
      <c r="W435" s="161"/>
      <c r="X435" s="1156"/>
      <c r="Y435" s="1156"/>
      <c r="Z435" s="476"/>
      <c r="AA435" s="161"/>
      <c r="AB435" s="161"/>
      <c r="AC435" s="161"/>
      <c r="AD435" s="161"/>
      <c r="AE435" s="161"/>
      <c r="AF435" s="161"/>
      <c r="AG435" s="161"/>
      <c r="AH435" s="161"/>
      <c r="AI435" s="161"/>
      <c r="AJ435" s="161"/>
      <c r="AK435" s="161"/>
      <c r="AL435" s="161"/>
      <c r="AM435" s="161"/>
      <c r="AN435" s="161"/>
      <c r="AO435" s="162"/>
      <c r="AP435" s="162"/>
      <c r="AQ435" s="162"/>
      <c r="AR435" s="162"/>
      <c r="AS435" s="162"/>
      <c r="AT435" s="162"/>
      <c r="AU435" s="1156"/>
      <c r="AV435" s="163"/>
      <c r="AW435" s="1156"/>
      <c r="AX435" s="161"/>
      <c r="AY435" s="161"/>
      <c r="AZ435" s="161"/>
      <c r="BA435" s="161"/>
      <c r="BB435" s="1156"/>
      <c r="BC435" s="1156"/>
      <c r="BD435" s="1156"/>
      <c r="BE435" s="1156"/>
      <c r="BF435" s="1156"/>
      <c r="BG435" s="161"/>
      <c r="BH435" s="161"/>
      <c r="BI435" s="161"/>
      <c r="BJ435" s="161"/>
      <c r="BK435" s="161"/>
      <c r="BL435" s="1156"/>
      <c r="BM435" s="1156"/>
      <c r="BN435" s="1156"/>
      <c r="BO435" s="1156"/>
      <c r="BP435" s="1156"/>
      <c r="BQ435" s="1156"/>
      <c r="BR435" s="161"/>
      <c r="BS435" s="161"/>
      <c r="BT435" s="161"/>
      <c r="BU435" s="161"/>
      <c r="BV435" s="161"/>
      <c r="BW435" s="161"/>
      <c r="BX435" s="161"/>
      <c r="BY435" s="161"/>
      <c r="BZ435" s="161"/>
      <c r="CA435" s="161"/>
      <c r="CB435" s="470"/>
      <c r="CC435" s="470"/>
      <c r="CD435" s="470"/>
      <c r="CE435" s="470"/>
      <c r="CF435" s="470"/>
      <c r="CG435" s="470"/>
      <c r="CH435" s="470"/>
      <c r="CI435" s="470"/>
      <c r="CJ435" s="1507"/>
      <c r="CK435" s="470"/>
      <c r="CL435" s="470"/>
      <c r="CM435" s="470"/>
      <c r="CN435" s="470"/>
      <c r="CO435" s="470"/>
      <c r="CP435" s="470"/>
      <c r="CQ435" s="470"/>
      <c r="CR435" s="470"/>
      <c r="CS435" s="470"/>
      <c r="CT435" s="470"/>
      <c r="CU435" s="470"/>
      <c r="CV435" s="470"/>
      <c r="CW435" s="470"/>
      <c r="CX435" s="470"/>
      <c r="CY435" s="480"/>
      <c r="CZ435" s="480"/>
      <c r="DA435" s="480"/>
      <c r="DB435" s="1152"/>
      <c r="DC435" s="1152"/>
      <c r="DD435" s="1152"/>
      <c r="DE435" s="1152"/>
      <c r="DF435" s="1152"/>
      <c r="DG435" s="1152"/>
      <c r="DH435" s="470"/>
      <c r="DI435" s="470"/>
      <c r="DJ435" s="470"/>
      <c r="DK435" s="470"/>
      <c r="DL435" s="470"/>
      <c r="DN435" s="518"/>
      <c r="DO435" s="470"/>
      <c r="DP435" s="161"/>
      <c r="DQ435" s="161"/>
      <c r="DR435" s="470"/>
    </row>
    <row r="436" spans="1:123" s="471" customFormat="1" ht="20.100000000000001" customHeight="1" x14ac:dyDescent="0.25">
      <c r="A436" s="1159"/>
      <c r="B436" s="994">
        <f t="shared" si="1151"/>
        <v>16</v>
      </c>
      <c r="C436" s="995">
        <v>11320533</v>
      </c>
      <c r="D436" s="996" t="s">
        <v>4744</v>
      </c>
      <c r="E436" s="997" t="s">
        <v>5237</v>
      </c>
      <c r="F436" s="1021"/>
      <c r="G436" s="1016"/>
      <c r="H436" s="1015"/>
      <c r="I436" s="974" t="s">
        <v>5790</v>
      </c>
      <c r="J436" s="1156"/>
      <c r="K436" s="1156"/>
      <c r="L436" s="1156"/>
      <c r="M436" s="1156"/>
      <c r="N436" s="1156"/>
      <c r="Q436" s="1156"/>
      <c r="R436" s="475"/>
      <c r="S436" s="1156"/>
      <c r="T436" s="161"/>
      <c r="U436" s="161"/>
      <c r="V436" s="161"/>
      <c r="W436" s="161"/>
      <c r="X436" s="1156"/>
      <c r="Y436" s="1156"/>
      <c r="Z436" s="476"/>
      <c r="AA436" s="161"/>
      <c r="AB436" s="161"/>
      <c r="AC436" s="161"/>
      <c r="AD436" s="161"/>
      <c r="AE436" s="161"/>
      <c r="AF436" s="161"/>
      <c r="AG436" s="161"/>
      <c r="AH436" s="161"/>
      <c r="AI436" s="161"/>
      <c r="AJ436" s="161"/>
      <c r="AK436" s="161"/>
      <c r="AL436" s="161"/>
      <c r="AM436" s="161"/>
      <c r="AN436" s="161"/>
      <c r="AO436" s="162"/>
      <c r="AP436" s="162"/>
      <c r="AQ436" s="162"/>
      <c r="AR436" s="162"/>
      <c r="AS436" s="162"/>
      <c r="AT436" s="162"/>
      <c r="AU436" s="1156"/>
      <c r="AV436" s="163"/>
      <c r="AW436" s="1156"/>
      <c r="AX436" s="161"/>
      <c r="AY436" s="161"/>
      <c r="AZ436" s="161"/>
      <c r="BA436" s="161"/>
      <c r="BB436" s="1156"/>
      <c r="BC436" s="1156"/>
      <c r="BD436" s="1156"/>
      <c r="BE436" s="1156"/>
      <c r="BF436" s="1156"/>
      <c r="BG436" s="161"/>
      <c r="BH436" s="161"/>
      <c r="BI436" s="161"/>
      <c r="BJ436" s="161"/>
      <c r="BK436" s="161"/>
      <c r="BL436" s="1156"/>
      <c r="BM436" s="1156"/>
      <c r="BN436" s="1156"/>
      <c r="BO436" s="1156"/>
      <c r="BP436" s="1156"/>
      <c r="BQ436" s="1156"/>
      <c r="BR436" s="161"/>
      <c r="BS436" s="161"/>
      <c r="BT436" s="161"/>
      <c r="BU436" s="161"/>
      <c r="BV436" s="161"/>
      <c r="BW436" s="161"/>
      <c r="BX436" s="161"/>
      <c r="BY436" s="161"/>
      <c r="BZ436" s="161"/>
      <c r="CA436" s="161"/>
      <c r="CB436" s="470"/>
      <c r="CC436" s="470"/>
      <c r="CD436" s="470"/>
      <c r="CE436" s="470"/>
      <c r="CF436" s="470"/>
      <c r="CG436" s="470"/>
      <c r="CH436" s="470"/>
      <c r="CI436" s="470"/>
      <c r="CJ436" s="1507"/>
      <c r="CK436" s="470"/>
      <c r="CL436" s="470"/>
      <c r="CM436" s="470"/>
      <c r="CN436" s="470"/>
      <c r="CO436" s="470"/>
      <c r="CP436" s="470"/>
      <c r="CQ436" s="470"/>
      <c r="CR436" s="470"/>
      <c r="CS436" s="470"/>
      <c r="CT436" s="470"/>
      <c r="CU436" s="470"/>
      <c r="CV436" s="470"/>
      <c r="CW436" s="470"/>
      <c r="CX436" s="470"/>
      <c r="CY436" s="480"/>
      <c r="CZ436" s="480"/>
      <c r="DA436" s="480"/>
      <c r="DB436" s="1152"/>
      <c r="DC436" s="1152"/>
      <c r="DD436" s="1152"/>
      <c r="DE436" s="1152"/>
      <c r="DF436" s="1152"/>
      <c r="DG436" s="1152"/>
      <c r="DH436" s="470"/>
      <c r="DI436" s="470"/>
      <c r="DJ436" s="470"/>
      <c r="DK436" s="470"/>
      <c r="DL436" s="470"/>
      <c r="DN436" s="518"/>
      <c r="DO436" s="470"/>
      <c r="DP436" s="161"/>
      <c r="DQ436" s="161"/>
      <c r="DR436" s="470"/>
    </row>
    <row r="437" spans="1:123" s="471" customFormat="1" ht="20.100000000000001" customHeight="1" x14ac:dyDescent="0.25">
      <c r="A437" s="1658"/>
      <c r="B437" s="994">
        <f t="shared" si="1151"/>
        <v>17</v>
      </c>
      <c r="C437" s="1662">
        <v>16066524</v>
      </c>
      <c r="D437" s="1663" t="s">
        <v>4814</v>
      </c>
      <c r="E437" s="1664" t="s">
        <v>5215</v>
      </c>
      <c r="F437" s="1665"/>
      <c r="G437" s="1666"/>
      <c r="H437" s="1667"/>
      <c r="I437" s="974" t="s">
        <v>7594</v>
      </c>
      <c r="J437" s="1656"/>
      <c r="K437" s="1656"/>
      <c r="L437" s="1656"/>
      <c r="M437" s="1656"/>
      <c r="N437" s="1656"/>
      <c r="Q437" s="1656"/>
      <c r="R437" s="475"/>
      <c r="S437" s="1656"/>
      <c r="T437" s="161"/>
      <c r="U437" s="161"/>
      <c r="V437" s="161"/>
      <c r="W437" s="161"/>
      <c r="X437" s="1656"/>
      <c r="Y437" s="1656"/>
      <c r="Z437" s="476"/>
      <c r="AA437" s="161"/>
      <c r="AB437" s="161"/>
      <c r="AC437" s="161"/>
      <c r="AD437" s="161"/>
      <c r="AE437" s="161"/>
      <c r="AF437" s="161"/>
      <c r="AG437" s="161"/>
      <c r="AH437" s="161"/>
      <c r="AI437" s="161"/>
      <c r="AJ437" s="161"/>
      <c r="AK437" s="161"/>
      <c r="AL437" s="161"/>
      <c r="AM437" s="161"/>
      <c r="AN437" s="161"/>
      <c r="AO437" s="162"/>
      <c r="AP437" s="162"/>
      <c r="AQ437" s="162"/>
      <c r="AR437" s="162"/>
      <c r="AS437" s="162"/>
      <c r="AT437" s="162"/>
      <c r="AU437" s="1656"/>
      <c r="AV437" s="163"/>
      <c r="AW437" s="1656"/>
      <c r="AX437" s="161"/>
      <c r="AY437" s="161"/>
      <c r="AZ437" s="161"/>
      <c r="BA437" s="161"/>
      <c r="BB437" s="1656"/>
      <c r="BC437" s="1656"/>
      <c r="BD437" s="1656"/>
      <c r="BE437" s="1656"/>
      <c r="BF437" s="1656"/>
      <c r="BG437" s="161"/>
      <c r="BH437" s="161"/>
      <c r="BI437" s="161"/>
      <c r="BJ437" s="161"/>
      <c r="BK437" s="161"/>
      <c r="BL437" s="1656"/>
      <c r="BM437" s="1656"/>
      <c r="BN437" s="1656"/>
      <c r="BO437" s="1656"/>
      <c r="BP437" s="1656"/>
      <c r="BQ437" s="1656"/>
      <c r="BR437" s="161"/>
      <c r="BS437" s="161"/>
      <c r="BT437" s="161"/>
      <c r="BU437" s="161"/>
      <c r="BV437" s="161"/>
      <c r="BW437" s="161"/>
      <c r="BX437" s="161"/>
      <c r="BY437" s="161"/>
      <c r="BZ437" s="161"/>
      <c r="CA437" s="161"/>
      <c r="CB437" s="470"/>
      <c r="CC437" s="470"/>
      <c r="CD437" s="470"/>
      <c r="CE437" s="470"/>
      <c r="CF437" s="470"/>
      <c r="CG437" s="470"/>
      <c r="CH437" s="470"/>
      <c r="CI437" s="470"/>
      <c r="CJ437" s="1507"/>
      <c r="CK437" s="470"/>
      <c r="CL437" s="470"/>
      <c r="CM437" s="470"/>
      <c r="CN437" s="470"/>
      <c r="CO437" s="470"/>
      <c r="CP437" s="470"/>
      <c r="CQ437" s="470"/>
      <c r="CR437" s="470"/>
      <c r="CS437" s="470"/>
      <c r="CT437" s="470"/>
      <c r="CU437" s="470"/>
      <c r="CV437" s="470"/>
      <c r="CW437" s="470"/>
      <c r="CX437" s="470"/>
      <c r="CY437" s="480"/>
      <c r="CZ437" s="480"/>
      <c r="DA437" s="480"/>
      <c r="DB437" s="1152"/>
      <c r="DC437" s="1152"/>
      <c r="DD437" s="1152"/>
      <c r="DE437" s="1152"/>
      <c r="DF437" s="1152"/>
      <c r="DG437" s="1152"/>
      <c r="DH437" s="470"/>
      <c r="DI437" s="470"/>
      <c r="DJ437" s="470"/>
      <c r="DK437" s="470"/>
      <c r="DL437" s="470"/>
      <c r="DN437" s="518"/>
      <c r="DO437" s="470"/>
      <c r="DP437" s="161"/>
      <c r="DQ437" s="161"/>
      <c r="DR437" s="470"/>
    </row>
    <row r="438" spans="1:123" s="471" customFormat="1" ht="20.100000000000001" customHeight="1" x14ac:dyDescent="0.25">
      <c r="A438" s="1658"/>
      <c r="B438" s="994">
        <f t="shared" si="1151"/>
        <v>18</v>
      </c>
      <c r="C438" s="1662">
        <v>27889180</v>
      </c>
      <c r="D438" s="1663" t="s">
        <v>4924</v>
      </c>
      <c r="E438" s="1664" t="s">
        <v>7261</v>
      </c>
      <c r="F438" s="1665"/>
      <c r="G438" s="1666"/>
      <c r="H438" s="1667"/>
      <c r="I438" s="974" t="s">
        <v>7594</v>
      </c>
      <c r="J438" s="1656"/>
      <c r="K438" s="1656"/>
      <c r="L438" s="1656"/>
      <c r="M438" s="1656"/>
      <c r="N438" s="1656"/>
      <c r="Q438" s="1656"/>
      <c r="R438" s="475"/>
      <c r="S438" s="1656"/>
      <c r="T438" s="161"/>
      <c r="U438" s="161"/>
      <c r="V438" s="161"/>
      <c r="W438" s="161"/>
      <c r="X438" s="1656"/>
      <c r="Y438" s="1656"/>
      <c r="Z438" s="476"/>
      <c r="AA438" s="161"/>
      <c r="AB438" s="161"/>
      <c r="AC438" s="161"/>
      <c r="AD438" s="161"/>
      <c r="AE438" s="161"/>
      <c r="AF438" s="161"/>
      <c r="AG438" s="161"/>
      <c r="AH438" s="161"/>
      <c r="AI438" s="161"/>
      <c r="AJ438" s="161"/>
      <c r="AK438" s="161"/>
      <c r="AL438" s="161"/>
      <c r="AM438" s="161"/>
      <c r="AN438" s="161"/>
      <c r="AO438" s="162"/>
      <c r="AP438" s="162"/>
      <c r="AQ438" s="162"/>
      <c r="AR438" s="162"/>
      <c r="AS438" s="162"/>
      <c r="AT438" s="162"/>
      <c r="AU438" s="1656"/>
      <c r="AV438" s="163"/>
      <c r="AW438" s="1656"/>
      <c r="AX438" s="161"/>
      <c r="AY438" s="161"/>
      <c r="AZ438" s="161"/>
      <c r="BA438" s="161"/>
      <c r="BB438" s="1656"/>
      <c r="BC438" s="1656"/>
      <c r="BD438" s="1656"/>
      <c r="BE438" s="1656"/>
      <c r="BF438" s="1656"/>
      <c r="BG438" s="161"/>
      <c r="BH438" s="161"/>
      <c r="BI438" s="161"/>
      <c r="BJ438" s="161"/>
      <c r="BK438" s="161"/>
      <c r="BL438" s="1656"/>
      <c r="BM438" s="1656"/>
      <c r="BN438" s="1656"/>
      <c r="BO438" s="1656"/>
      <c r="BP438" s="1656"/>
      <c r="BQ438" s="1656"/>
      <c r="BR438" s="161"/>
      <c r="BS438" s="161"/>
      <c r="BT438" s="161"/>
      <c r="BU438" s="161"/>
      <c r="BV438" s="161"/>
      <c r="BW438" s="161"/>
      <c r="BX438" s="161"/>
      <c r="BY438" s="161"/>
      <c r="BZ438" s="161"/>
      <c r="CA438" s="161"/>
      <c r="CB438" s="470"/>
      <c r="CC438" s="470"/>
      <c r="CD438" s="470"/>
      <c r="CE438" s="470"/>
      <c r="CF438" s="470"/>
      <c r="CG438" s="470"/>
      <c r="CH438" s="470"/>
      <c r="CI438" s="470"/>
      <c r="CJ438" s="1507"/>
      <c r="CK438" s="470"/>
      <c r="CL438" s="470"/>
      <c r="CM438" s="470"/>
      <c r="CN438" s="470"/>
      <c r="CO438" s="470"/>
      <c r="CP438" s="470"/>
      <c r="CQ438" s="470"/>
      <c r="CR438" s="470"/>
      <c r="CS438" s="470"/>
      <c r="CT438" s="470"/>
      <c r="CU438" s="470"/>
      <c r="CV438" s="470"/>
      <c r="CW438" s="470"/>
      <c r="CX438" s="470"/>
      <c r="CY438" s="480"/>
      <c r="CZ438" s="480"/>
      <c r="DA438" s="480"/>
      <c r="DB438" s="1152"/>
      <c r="DC438" s="1152"/>
      <c r="DD438" s="1152"/>
      <c r="DE438" s="1152"/>
      <c r="DF438" s="1152"/>
      <c r="DG438" s="1152"/>
      <c r="DH438" s="470"/>
      <c r="DI438" s="470"/>
      <c r="DJ438" s="470"/>
      <c r="DK438" s="470"/>
      <c r="DL438" s="470"/>
      <c r="DN438" s="518"/>
      <c r="DO438" s="470"/>
      <c r="DP438" s="161"/>
      <c r="DQ438" s="161"/>
      <c r="DR438" s="470"/>
    </row>
    <row r="439" spans="1:123" s="471" customFormat="1" ht="20.100000000000001" customHeight="1" thickBot="1" x14ac:dyDescent="0.3">
      <c r="A439" s="1159"/>
      <c r="B439" s="994">
        <f>+B438+1</f>
        <v>19</v>
      </c>
      <c r="C439" s="998">
        <v>12458942</v>
      </c>
      <c r="D439" s="999" t="s">
        <v>5207</v>
      </c>
      <c r="E439" s="1000" t="s">
        <v>5249</v>
      </c>
      <c r="F439" s="1022"/>
      <c r="G439" s="1017"/>
      <c r="H439" s="1018"/>
      <c r="I439" s="974" t="s">
        <v>5790</v>
      </c>
      <c r="J439" s="1156"/>
      <c r="K439" s="1156"/>
      <c r="L439" s="1156"/>
      <c r="M439" s="1156"/>
      <c r="N439" s="1156"/>
      <c r="Q439" s="1156"/>
      <c r="R439" s="475"/>
      <c r="S439" s="1156"/>
      <c r="T439" s="161"/>
      <c r="U439" s="161"/>
      <c r="V439" s="161"/>
      <c r="W439" s="161"/>
      <c r="X439" s="1156"/>
      <c r="Y439" s="1156"/>
      <c r="Z439" s="476"/>
      <c r="AA439" s="161"/>
      <c r="AB439" s="161"/>
      <c r="AC439" s="161"/>
      <c r="AD439" s="161"/>
      <c r="AE439" s="161"/>
      <c r="AF439" s="161"/>
      <c r="AG439" s="161"/>
      <c r="AH439" s="161"/>
      <c r="AI439" s="161"/>
      <c r="AJ439" s="161"/>
      <c r="AK439" s="161"/>
      <c r="AL439" s="161"/>
      <c r="AM439" s="161"/>
      <c r="AN439" s="161"/>
      <c r="AO439" s="162"/>
      <c r="AP439" s="162"/>
      <c r="AQ439" s="162"/>
      <c r="AR439" s="162"/>
      <c r="AS439" s="162"/>
      <c r="AT439" s="162"/>
      <c r="AU439" s="1156"/>
      <c r="AV439" s="163"/>
      <c r="AW439" s="1156"/>
      <c r="AX439" s="161"/>
      <c r="AY439" s="161"/>
      <c r="AZ439" s="161"/>
      <c r="BA439" s="161"/>
      <c r="BB439" s="1156"/>
      <c r="BC439" s="1156"/>
      <c r="BD439" s="1156"/>
      <c r="BE439" s="1156"/>
      <c r="BF439" s="1156"/>
      <c r="BG439" s="161"/>
      <c r="BH439" s="161"/>
      <c r="BI439" s="161"/>
      <c r="BJ439" s="161"/>
      <c r="BK439" s="161"/>
      <c r="BL439" s="1156"/>
      <c r="BM439" s="1156"/>
      <c r="BN439" s="1156"/>
      <c r="BO439" s="1156"/>
      <c r="BP439" s="1156"/>
      <c r="BQ439" s="1156"/>
      <c r="BR439" s="161"/>
      <c r="BS439" s="161"/>
      <c r="BT439" s="161"/>
      <c r="BU439" s="161"/>
      <c r="BV439" s="161"/>
      <c r="BW439" s="161"/>
      <c r="BX439" s="161"/>
      <c r="BY439" s="161"/>
      <c r="BZ439" s="161"/>
      <c r="CA439" s="161"/>
      <c r="CB439" s="470"/>
      <c r="CC439" s="470"/>
      <c r="CD439" s="470"/>
      <c r="CE439" s="470"/>
      <c r="CF439" s="470"/>
      <c r="CG439" s="470"/>
      <c r="CH439" s="470"/>
      <c r="CI439" s="470"/>
      <c r="CJ439" s="1507"/>
      <c r="CK439" s="470"/>
      <c r="CL439" s="470"/>
      <c r="CM439" s="470"/>
      <c r="CN439" s="470"/>
      <c r="CO439" s="470"/>
      <c r="CP439" s="470"/>
      <c r="CQ439" s="470"/>
      <c r="CR439" s="470"/>
      <c r="CS439" s="470"/>
      <c r="CT439" s="470"/>
      <c r="CU439" s="470"/>
      <c r="CV439" s="470"/>
      <c r="CW439" s="470"/>
      <c r="CX439" s="470"/>
      <c r="CY439" s="480"/>
      <c r="CZ439" s="480"/>
      <c r="DA439" s="480"/>
      <c r="DB439" s="1152"/>
      <c r="DC439" s="1152"/>
      <c r="DD439" s="1152"/>
      <c r="DE439" s="1152"/>
      <c r="DF439" s="1152"/>
      <c r="DG439" s="1152"/>
      <c r="DH439" s="470"/>
      <c r="DI439" s="470"/>
      <c r="DJ439" s="470"/>
      <c r="DK439" s="470"/>
      <c r="DL439" s="470"/>
      <c r="DN439" s="518"/>
      <c r="DO439" s="470"/>
      <c r="DP439" s="161"/>
      <c r="DQ439" s="161"/>
      <c r="DR439" s="470"/>
    </row>
    <row r="440" spans="1:123" s="471" customFormat="1" ht="18.75" x14ac:dyDescent="0.25">
      <c r="A440" s="1159"/>
      <c r="B440" s="561"/>
      <c r="C440" s="180"/>
      <c r="D440" s="552"/>
      <c r="E440" s="477"/>
      <c r="F440" s="553"/>
      <c r="G440" s="180"/>
      <c r="H440" s="554"/>
      <c r="I440" s="1156"/>
      <c r="J440" s="1156"/>
      <c r="K440" s="1156"/>
      <c r="L440" s="1156"/>
      <c r="M440" s="1156"/>
      <c r="N440" s="1156"/>
      <c r="Q440" s="1156"/>
      <c r="R440" s="475"/>
      <c r="S440" s="1156"/>
      <c r="T440" s="161"/>
      <c r="U440" s="161"/>
      <c r="V440" s="161"/>
      <c r="W440" s="161"/>
      <c r="X440" s="1156"/>
      <c r="Y440" s="1156"/>
      <c r="Z440" s="476"/>
      <c r="AA440" s="161"/>
      <c r="AB440" s="161"/>
      <c r="AC440" s="161"/>
      <c r="AD440" s="161"/>
      <c r="AE440" s="161"/>
      <c r="AF440" s="161"/>
      <c r="AG440" s="161"/>
      <c r="AH440" s="161"/>
      <c r="AI440" s="161"/>
      <c r="AJ440" s="161"/>
      <c r="AK440" s="161"/>
      <c r="AL440" s="161"/>
      <c r="AM440" s="161"/>
      <c r="AN440" s="161"/>
      <c r="AO440" s="162"/>
      <c r="AP440" s="162"/>
      <c r="AQ440" s="162"/>
      <c r="AR440" s="162"/>
      <c r="AS440" s="162"/>
      <c r="AT440" s="162"/>
      <c r="AU440" s="1156"/>
      <c r="AV440" s="163"/>
      <c r="AW440" s="1156"/>
      <c r="AX440" s="161"/>
      <c r="AY440" s="161"/>
      <c r="AZ440" s="161"/>
      <c r="BA440" s="161"/>
      <c r="BB440" s="1156"/>
      <c r="BC440" s="1156"/>
      <c r="BD440" s="1156"/>
      <c r="BE440" s="1156"/>
      <c r="BF440" s="1156"/>
      <c r="BG440" s="161"/>
      <c r="BH440" s="161"/>
      <c r="BI440" s="161"/>
      <c r="BJ440" s="161"/>
      <c r="BK440" s="161"/>
      <c r="BL440" s="1156"/>
      <c r="BM440" s="1156"/>
      <c r="BN440" s="1156"/>
      <c r="BO440" s="1156"/>
      <c r="BP440" s="1156"/>
      <c r="BQ440" s="1156"/>
      <c r="BR440" s="161"/>
      <c r="BS440" s="161"/>
      <c r="BT440" s="161"/>
      <c r="BU440" s="161"/>
      <c r="BV440" s="161"/>
      <c r="BW440" s="161"/>
      <c r="BX440" s="161"/>
      <c r="BY440" s="161"/>
      <c r="BZ440" s="161"/>
      <c r="CA440" s="161"/>
      <c r="CB440" s="470"/>
      <c r="CC440" s="470"/>
      <c r="CD440" s="470"/>
      <c r="CE440" s="470"/>
      <c r="CF440" s="470"/>
      <c r="CG440" s="470"/>
      <c r="CH440" s="470"/>
      <c r="CI440" s="470"/>
      <c r="CJ440" s="1507"/>
      <c r="CK440" s="470"/>
      <c r="CL440" s="470"/>
      <c r="CM440" s="470"/>
      <c r="CN440" s="470"/>
      <c r="CO440" s="470"/>
      <c r="CP440" s="470"/>
      <c r="CQ440" s="470"/>
      <c r="CR440" s="470"/>
      <c r="CS440" s="470"/>
      <c r="CT440" s="470"/>
      <c r="CU440" s="470"/>
      <c r="CV440" s="470"/>
      <c r="CW440" s="470"/>
      <c r="CX440" s="470"/>
      <c r="CY440" s="480"/>
      <c r="CZ440" s="480"/>
      <c r="DA440" s="480"/>
      <c r="DB440" s="1152"/>
      <c r="DC440" s="1152"/>
      <c r="DD440" s="1152"/>
      <c r="DE440" s="1152"/>
      <c r="DF440" s="1152"/>
      <c r="DG440" s="1152"/>
      <c r="DH440" s="470"/>
      <c r="DI440" s="470"/>
      <c r="DJ440" s="470"/>
      <c r="DK440" s="470"/>
      <c r="DL440" s="470"/>
      <c r="DN440" s="518"/>
      <c r="DO440" s="470"/>
      <c r="DP440" s="161"/>
      <c r="DQ440" s="161"/>
      <c r="DR440" s="470"/>
    </row>
    <row r="441" spans="1:123" s="471" customFormat="1" ht="18.75" thickBot="1" x14ac:dyDescent="0.3">
      <c r="A441" s="1159"/>
      <c r="B441" s="1026" t="s">
        <v>5487</v>
      </c>
      <c r="C441" s="477"/>
      <c r="D441" s="1027"/>
      <c r="E441" s="1027"/>
      <c r="F441" s="1028"/>
      <c r="G441" s="180"/>
      <c r="H441" s="554"/>
      <c r="I441" s="1156"/>
      <c r="J441" s="1156"/>
      <c r="K441" s="1156"/>
      <c r="L441" s="1156"/>
      <c r="M441" s="1156"/>
      <c r="N441" s="1156"/>
      <c r="Q441" s="1156"/>
      <c r="R441" s="475"/>
      <c r="S441" s="1156"/>
      <c r="T441" s="161"/>
      <c r="U441" s="161"/>
      <c r="V441" s="161"/>
      <c r="W441" s="161"/>
      <c r="X441" s="1156"/>
      <c r="Y441" s="1156"/>
      <c r="Z441" s="476"/>
      <c r="AA441" s="161"/>
      <c r="AB441" s="161"/>
      <c r="AC441" s="161"/>
      <c r="AD441" s="161"/>
      <c r="AE441" s="161"/>
      <c r="AF441" s="161"/>
      <c r="AG441" s="161"/>
      <c r="AH441" s="161"/>
      <c r="AI441" s="161"/>
      <c r="AJ441" s="161"/>
      <c r="AK441" s="161"/>
      <c r="AL441" s="161"/>
      <c r="AM441" s="161"/>
      <c r="AN441" s="161"/>
      <c r="AO441" s="162"/>
      <c r="AP441" s="162"/>
      <c r="AQ441" s="162"/>
      <c r="AR441" s="162"/>
      <c r="AS441" s="162"/>
      <c r="AT441" s="162"/>
      <c r="AU441" s="1156"/>
      <c r="AV441" s="163"/>
      <c r="AW441" s="1156"/>
      <c r="AX441" s="161"/>
      <c r="AY441" s="161"/>
      <c r="AZ441" s="161"/>
      <c r="BA441" s="161"/>
      <c r="BB441" s="1156"/>
      <c r="BC441" s="1156"/>
      <c r="BD441" s="1156"/>
      <c r="BE441" s="1156"/>
      <c r="BF441" s="1156"/>
      <c r="BG441" s="161"/>
      <c r="BH441" s="161"/>
      <c r="BI441" s="161"/>
      <c r="BJ441" s="161"/>
      <c r="BK441" s="161"/>
      <c r="BL441" s="1156"/>
      <c r="BM441" s="1156"/>
      <c r="BN441" s="1156"/>
      <c r="BO441" s="1156"/>
      <c r="BP441" s="1156"/>
      <c r="BQ441" s="1156"/>
      <c r="BR441" s="161"/>
      <c r="BS441" s="161"/>
      <c r="BT441" s="161"/>
      <c r="BU441" s="161"/>
      <c r="BV441" s="161"/>
      <c r="BW441" s="161"/>
      <c r="BX441" s="161"/>
      <c r="BY441" s="161"/>
      <c r="BZ441" s="161"/>
      <c r="CA441" s="161"/>
      <c r="CB441" s="470"/>
      <c r="CC441" s="470"/>
      <c r="CD441" s="470"/>
      <c r="CE441" s="470"/>
      <c r="CF441" s="470"/>
      <c r="CG441" s="470"/>
      <c r="CH441" s="470"/>
      <c r="CI441" s="470"/>
      <c r="CJ441" s="1507"/>
      <c r="CK441" s="470"/>
      <c r="CL441" s="470"/>
      <c r="CM441" s="470"/>
      <c r="CN441" s="470"/>
      <c r="CO441" s="470"/>
      <c r="CP441" s="470"/>
      <c r="CQ441" s="470"/>
      <c r="CR441" s="470"/>
      <c r="CS441" s="470"/>
      <c r="CT441" s="470"/>
      <c r="CU441" s="470"/>
      <c r="CV441" s="470"/>
      <c r="CW441" s="470"/>
      <c r="CX441" s="470"/>
      <c r="CY441" s="480"/>
      <c r="CZ441" s="480"/>
      <c r="DA441" s="480"/>
      <c r="DB441" s="1152"/>
      <c r="DC441" s="1152"/>
      <c r="DD441" s="1152"/>
      <c r="DE441" s="1152"/>
      <c r="DF441" s="1152"/>
      <c r="DG441" s="1152"/>
      <c r="DH441" s="470"/>
      <c r="DI441" s="470"/>
      <c r="DJ441" s="470"/>
      <c r="DK441" s="470"/>
      <c r="DL441" s="470"/>
      <c r="DN441" s="518"/>
      <c r="DO441" s="470"/>
      <c r="DP441" s="161"/>
      <c r="DQ441" s="161"/>
      <c r="DR441" s="470"/>
    </row>
    <row r="442" spans="1:123" s="476" customFormat="1" ht="20.100000000000001" customHeight="1" x14ac:dyDescent="0.25">
      <c r="A442" s="1038"/>
      <c r="B442" s="991">
        <v>1</v>
      </c>
      <c r="C442" s="344"/>
      <c r="D442" s="380" t="s">
        <v>5954</v>
      </c>
      <c r="E442" s="1465" t="s">
        <v>5220</v>
      </c>
      <c r="F442" s="1466"/>
      <c r="G442" s="1606"/>
      <c r="H442" s="1607"/>
      <c r="I442" s="619"/>
      <c r="J442" s="1158"/>
      <c r="K442" s="1158"/>
      <c r="L442" s="1158"/>
      <c r="M442" s="1158"/>
      <c r="N442" s="1158"/>
      <c r="Q442" s="1158"/>
      <c r="R442" s="899"/>
      <c r="S442" s="1158"/>
      <c r="T442" s="900"/>
      <c r="U442" s="900"/>
      <c r="V442" s="900"/>
      <c r="W442" s="900"/>
      <c r="X442" s="1158"/>
      <c r="Y442" s="1158"/>
      <c r="AA442" s="900"/>
      <c r="AB442" s="900"/>
      <c r="AC442" s="900"/>
      <c r="AD442" s="900"/>
      <c r="AE442" s="900"/>
      <c r="AF442" s="900"/>
      <c r="AG442" s="900"/>
      <c r="AH442" s="900"/>
      <c r="AI442" s="900"/>
      <c r="AJ442" s="900"/>
      <c r="AK442" s="900"/>
      <c r="AL442" s="900"/>
      <c r="AM442" s="900"/>
      <c r="AN442" s="900"/>
      <c r="AO442" s="901"/>
      <c r="AP442" s="901"/>
      <c r="AQ442" s="901"/>
      <c r="AR442" s="901"/>
      <c r="AS442" s="901"/>
      <c r="AT442" s="901"/>
      <c r="AU442" s="1158"/>
      <c r="AV442" s="619"/>
      <c r="AW442" s="1158"/>
      <c r="AX442" s="900"/>
      <c r="AY442" s="900"/>
      <c r="AZ442" s="900"/>
      <c r="BA442" s="900"/>
      <c r="BB442" s="1158"/>
      <c r="BC442" s="1158"/>
      <c r="BD442" s="1158"/>
      <c r="BE442" s="1158"/>
      <c r="BF442" s="1158"/>
      <c r="BG442" s="900"/>
      <c r="BH442" s="900"/>
      <c r="BI442" s="900"/>
      <c r="BJ442" s="900"/>
      <c r="BK442" s="900"/>
      <c r="BL442" s="1158"/>
      <c r="BM442" s="1158"/>
      <c r="BN442" s="1158"/>
      <c r="BO442" s="1158"/>
      <c r="BP442" s="1158"/>
      <c r="BQ442" s="1158"/>
      <c r="BR442" s="900"/>
      <c r="BS442" s="900"/>
      <c r="BT442" s="900"/>
      <c r="BU442" s="900"/>
      <c r="BV442" s="900"/>
      <c r="BW442" s="900"/>
      <c r="BX442" s="900"/>
      <c r="BY442" s="900"/>
      <c r="BZ442" s="900"/>
      <c r="CA442" s="900"/>
      <c r="CB442" s="512"/>
      <c r="CC442" s="512"/>
      <c r="CD442" s="512"/>
      <c r="CE442" s="512"/>
      <c r="CF442" s="512"/>
      <c r="CG442" s="512"/>
      <c r="CH442" s="512"/>
      <c r="CI442" s="512"/>
      <c r="CJ442" s="1508"/>
      <c r="CK442" s="512"/>
      <c r="CL442" s="512"/>
      <c r="CM442" s="512"/>
      <c r="CN442" s="512"/>
      <c r="CO442" s="512"/>
      <c r="CP442" s="512"/>
      <c r="CQ442" s="512"/>
      <c r="CR442" s="512"/>
      <c r="CS442" s="512"/>
      <c r="CT442" s="512"/>
      <c r="CU442" s="470"/>
      <c r="CV442" s="470"/>
      <c r="CW442" s="470"/>
      <c r="CX442" s="470"/>
      <c r="CY442" s="1152"/>
      <c r="CZ442" s="1152"/>
      <c r="DA442" s="1152"/>
      <c r="DB442" s="1152"/>
      <c r="DC442" s="1152"/>
      <c r="DD442" s="1152"/>
      <c r="DE442" s="1152"/>
      <c r="DF442" s="1152"/>
      <c r="DG442" s="1152"/>
      <c r="DH442" s="512"/>
      <c r="DI442" s="512"/>
      <c r="DJ442" s="512"/>
      <c r="DK442" s="512"/>
      <c r="DL442" s="512"/>
      <c r="DN442" s="519"/>
      <c r="DO442" s="512"/>
      <c r="DP442" s="900"/>
      <c r="DQ442" s="900"/>
      <c r="DR442" s="512"/>
    </row>
    <row r="443" spans="1:123" s="471" customFormat="1" ht="20.100000000000001" customHeight="1" x14ac:dyDescent="0.25">
      <c r="A443" s="1159"/>
      <c r="B443" s="994">
        <f t="shared" ref="B443:B462" si="1152">B442+1</f>
        <v>2</v>
      </c>
      <c r="C443" s="990"/>
      <c r="D443" s="1002" t="s">
        <v>5954</v>
      </c>
      <c r="E443" s="1003" t="s">
        <v>5212</v>
      </c>
      <c r="F443" s="1023"/>
      <c r="G443" s="1608"/>
      <c r="H443" s="1609"/>
      <c r="I443" s="163"/>
      <c r="J443" s="1156"/>
      <c r="K443" s="1156"/>
      <c r="L443" s="1156"/>
      <c r="M443" s="1156"/>
      <c r="N443" s="1156"/>
      <c r="Q443" s="1156"/>
      <c r="R443" s="475"/>
      <c r="S443" s="1156"/>
      <c r="T443" s="161"/>
      <c r="U443" s="161"/>
      <c r="V443" s="161"/>
      <c r="W443" s="161"/>
      <c r="X443" s="1156"/>
      <c r="Y443" s="1156"/>
      <c r="Z443" s="476"/>
      <c r="AA443" s="161"/>
      <c r="AB443" s="161"/>
      <c r="AC443" s="161"/>
      <c r="AD443" s="161"/>
      <c r="AE443" s="161"/>
      <c r="AF443" s="161"/>
      <c r="AG443" s="161"/>
      <c r="AH443" s="161"/>
      <c r="AI443" s="161"/>
      <c r="AJ443" s="161"/>
      <c r="AK443" s="161"/>
      <c r="AL443" s="161"/>
      <c r="AM443" s="161"/>
      <c r="AN443" s="161"/>
      <c r="AO443" s="162"/>
      <c r="AP443" s="162"/>
      <c r="AQ443" s="162"/>
      <c r="AR443" s="162"/>
      <c r="AS443" s="162"/>
      <c r="AT443" s="162"/>
      <c r="AU443" s="1156"/>
      <c r="AV443" s="163"/>
      <c r="AW443" s="1156"/>
      <c r="AX443" s="161"/>
      <c r="AY443" s="161"/>
      <c r="AZ443" s="161"/>
      <c r="BA443" s="161"/>
      <c r="BB443" s="1156"/>
      <c r="BC443" s="1156"/>
      <c r="BD443" s="1156"/>
      <c r="BE443" s="1156"/>
      <c r="BF443" s="1156"/>
      <c r="BG443" s="161"/>
      <c r="BH443" s="161"/>
      <c r="BI443" s="161"/>
      <c r="BJ443" s="161"/>
      <c r="BK443" s="161"/>
      <c r="BL443" s="1156"/>
      <c r="BM443" s="1156"/>
      <c r="BN443" s="1156"/>
      <c r="BO443" s="1156"/>
      <c r="BP443" s="1156"/>
      <c r="BQ443" s="1156"/>
      <c r="BR443" s="161"/>
      <c r="BS443" s="161"/>
      <c r="BT443" s="161"/>
      <c r="BU443" s="161"/>
      <c r="BV443" s="161"/>
      <c r="BW443" s="161"/>
      <c r="BX443" s="161"/>
      <c r="BY443" s="161"/>
      <c r="BZ443" s="161"/>
      <c r="CA443" s="161"/>
      <c r="CB443" s="470"/>
      <c r="CC443" s="470"/>
      <c r="CD443" s="470"/>
      <c r="CE443" s="470"/>
      <c r="CF443" s="470"/>
      <c r="CG443" s="470"/>
      <c r="CH443" s="470"/>
      <c r="CI443" s="470"/>
      <c r="CJ443" s="1507"/>
      <c r="CK443" s="470"/>
      <c r="CL443" s="470"/>
      <c r="CM443" s="470"/>
      <c r="CN443" s="470"/>
      <c r="CO443" s="470"/>
      <c r="CP443" s="470"/>
      <c r="CQ443" s="470"/>
      <c r="CR443" s="470"/>
      <c r="CS443" s="470"/>
      <c r="CT443" s="470"/>
      <c r="CU443" s="470"/>
      <c r="CV443" s="470"/>
      <c r="CW443" s="470"/>
      <c r="CX443" s="470"/>
      <c r="CY443" s="480"/>
      <c r="CZ443" s="480"/>
      <c r="DA443" s="480"/>
      <c r="DB443" s="1143"/>
      <c r="DC443" s="1143"/>
      <c r="DD443" s="1143"/>
      <c r="DE443" s="1143"/>
      <c r="DF443" s="1143"/>
      <c r="DG443" s="1143"/>
      <c r="DH443" s="470"/>
      <c r="DI443" s="470"/>
      <c r="DJ443" s="470"/>
      <c r="DK443" s="470"/>
      <c r="DL443" s="470"/>
      <c r="DN443" s="518"/>
      <c r="DO443" s="470"/>
      <c r="DP443" s="161"/>
      <c r="DQ443" s="161"/>
      <c r="DR443" s="470"/>
    </row>
    <row r="444" spans="1:123" ht="20.100000000000001" customHeight="1" x14ac:dyDescent="0.25">
      <c r="A444" s="1159"/>
      <c r="B444" s="994">
        <f t="shared" si="1152"/>
        <v>3</v>
      </c>
      <c r="C444" s="990"/>
      <c r="D444" s="1002" t="s">
        <v>5955</v>
      </c>
      <c r="E444" s="1003" t="s">
        <v>5263</v>
      </c>
      <c r="F444" s="1023"/>
      <c r="G444" s="1608"/>
      <c r="H444" s="1609"/>
      <c r="I444" s="163"/>
      <c r="J444" s="1156"/>
      <c r="K444" s="1156"/>
      <c r="L444" s="1156"/>
      <c r="M444" s="1156"/>
      <c r="N444" s="1156"/>
      <c r="O444" s="471"/>
      <c r="P444" s="471"/>
      <c r="Q444" s="1156"/>
      <c r="R444" s="475"/>
      <c r="S444" s="1156"/>
      <c r="T444" s="161"/>
      <c r="U444" s="161"/>
      <c r="V444" s="161"/>
      <c r="W444" s="161"/>
      <c r="X444" s="1156"/>
      <c r="Y444" s="1156"/>
      <c r="Z444" s="476"/>
      <c r="AA444" s="161"/>
      <c r="AB444" s="161"/>
      <c r="AC444" s="161"/>
      <c r="AD444" s="161"/>
      <c r="AE444" s="161"/>
      <c r="AF444" s="161"/>
      <c r="AG444" s="161"/>
      <c r="AH444" s="161"/>
      <c r="AI444" s="161"/>
      <c r="AJ444" s="161"/>
      <c r="AK444" s="161"/>
      <c r="AL444" s="161"/>
      <c r="AM444" s="161"/>
      <c r="AN444" s="161"/>
      <c r="AO444" s="162"/>
      <c r="AP444" s="162"/>
      <c r="AQ444" s="162"/>
      <c r="AR444" s="162"/>
      <c r="AS444" s="162"/>
      <c r="AT444" s="162"/>
      <c r="AU444" s="1156"/>
      <c r="AV444" s="163"/>
      <c r="AW444" s="1156"/>
      <c r="AX444" s="161"/>
      <c r="AY444" s="161"/>
      <c r="AZ444" s="161"/>
      <c r="BA444" s="161"/>
      <c r="BB444" s="1156"/>
      <c r="BC444" s="1156"/>
      <c r="BD444" s="1156"/>
      <c r="BE444" s="1156"/>
      <c r="BF444" s="1156"/>
      <c r="BG444" s="161"/>
      <c r="BH444" s="161"/>
      <c r="BI444" s="161"/>
      <c r="BJ444" s="161"/>
      <c r="BK444" s="161"/>
      <c r="BL444" s="1156"/>
      <c r="BM444" s="1156"/>
      <c r="BN444" s="1156"/>
      <c r="BO444" s="1156"/>
      <c r="BP444" s="1156"/>
      <c r="BQ444" s="1156"/>
      <c r="BR444" s="161"/>
      <c r="BS444" s="161"/>
      <c r="BT444" s="161"/>
      <c r="BU444" s="161"/>
      <c r="BV444" s="161"/>
      <c r="BW444" s="161"/>
      <c r="BX444" s="161"/>
      <c r="BY444" s="161"/>
      <c r="BZ444" s="161"/>
      <c r="CA444" s="161"/>
      <c r="CB444" s="470"/>
      <c r="CC444" s="470"/>
      <c r="CD444" s="470"/>
      <c r="CE444" s="470"/>
      <c r="CF444" s="470"/>
      <c r="CG444" s="470"/>
      <c r="CH444" s="470"/>
      <c r="CI444" s="470"/>
      <c r="CJ444" s="1507"/>
      <c r="CK444" s="470"/>
      <c r="CL444" s="470"/>
      <c r="CM444" s="470"/>
      <c r="CN444" s="470"/>
      <c r="CO444" s="470"/>
      <c r="CP444" s="470"/>
      <c r="CQ444" s="470"/>
      <c r="CR444" s="470"/>
      <c r="CS444" s="470"/>
      <c r="CT444" s="470"/>
      <c r="CY444" s="480"/>
      <c r="CZ444" s="480"/>
      <c r="DA444" s="480"/>
      <c r="DB444" s="1152"/>
      <c r="DC444" s="1152"/>
      <c r="DD444" s="1152"/>
      <c r="DE444" s="1152"/>
      <c r="DF444" s="1152"/>
      <c r="DG444" s="1152"/>
      <c r="DH444" s="470"/>
      <c r="DI444" s="470"/>
      <c r="DJ444" s="470"/>
      <c r="DK444" s="470"/>
      <c r="DL444" s="470"/>
      <c r="DM444" s="471"/>
      <c r="DN444" s="518"/>
      <c r="DO444" s="470"/>
      <c r="DP444" s="161"/>
      <c r="DQ444" s="161"/>
      <c r="DR444" s="470"/>
      <c r="DS444" s="471"/>
    </row>
    <row r="445" spans="1:123" ht="20.100000000000001" customHeight="1" x14ac:dyDescent="0.25">
      <c r="A445" s="1159"/>
      <c r="B445" s="994">
        <f t="shared" si="1152"/>
        <v>4</v>
      </c>
      <c r="C445" s="990"/>
      <c r="D445" s="1002" t="s">
        <v>5955</v>
      </c>
      <c r="E445" s="1003" t="s">
        <v>5263</v>
      </c>
      <c r="F445" s="1023"/>
      <c r="G445" s="1608"/>
      <c r="H445" s="1609"/>
      <c r="I445" s="163"/>
      <c r="J445" s="1156"/>
      <c r="K445" s="1156"/>
      <c r="L445" s="1156"/>
      <c r="M445" s="1156"/>
      <c r="N445" s="1156"/>
      <c r="O445" s="471"/>
      <c r="P445" s="471"/>
      <c r="Q445" s="1156"/>
      <c r="R445" s="475"/>
      <c r="S445" s="1156"/>
      <c r="T445" s="161"/>
      <c r="U445" s="161"/>
      <c r="V445" s="161"/>
      <c r="W445" s="161"/>
      <c r="X445" s="1156"/>
      <c r="Y445" s="1156"/>
      <c r="Z445" s="476"/>
      <c r="AA445" s="161"/>
      <c r="AB445" s="161"/>
      <c r="AC445" s="161"/>
      <c r="AD445" s="161"/>
      <c r="AE445" s="161"/>
      <c r="AF445" s="161"/>
      <c r="AG445" s="161"/>
      <c r="AH445" s="161"/>
      <c r="AI445" s="161"/>
      <c r="AJ445" s="161"/>
      <c r="AK445" s="161"/>
      <c r="AL445" s="161"/>
      <c r="AM445" s="161"/>
      <c r="AN445" s="161"/>
      <c r="AO445" s="162"/>
      <c r="AP445" s="162"/>
      <c r="AQ445" s="162"/>
      <c r="AR445" s="162"/>
      <c r="AS445" s="162"/>
      <c r="AT445" s="162"/>
      <c r="AU445" s="1156"/>
      <c r="AV445" s="163"/>
      <c r="AW445" s="1156"/>
      <c r="AX445" s="161"/>
      <c r="AY445" s="161"/>
      <c r="AZ445" s="161"/>
      <c r="BA445" s="161"/>
      <c r="BB445" s="1156"/>
      <c r="BC445" s="1156"/>
      <c r="BD445" s="1156"/>
      <c r="BE445" s="1156"/>
      <c r="BF445" s="1156"/>
      <c r="BG445" s="161"/>
      <c r="BH445" s="161"/>
      <c r="BI445" s="161"/>
      <c r="BJ445" s="161"/>
      <c r="BK445" s="161"/>
      <c r="BL445" s="1156"/>
      <c r="BM445" s="1156"/>
      <c r="BN445" s="1156"/>
      <c r="BO445" s="1156"/>
      <c r="BP445" s="1156"/>
      <c r="BQ445" s="1156"/>
      <c r="BR445" s="161"/>
      <c r="BS445" s="161"/>
      <c r="BT445" s="161"/>
      <c r="BU445" s="161"/>
      <c r="BV445" s="161"/>
      <c r="BW445" s="161"/>
      <c r="BX445" s="161"/>
      <c r="BY445" s="161"/>
      <c r="BZ445" s="161"/>
      <c r="CA445" s="161"/>
      <c r="CB445" s="470"/>
      <c r="CC445" s="470"/>
      <c r="CD445" s="470"/>
      <c r="CE445" s="470"/>
      <c r="CF445" s="470"/>
      <c r="CG445" s="470"/>
      <c r="CH445" s="470"/>
      <c r="CI445" s="470"/>
      <c r="CJ445" s="1507"/>
      <c r="CK445" s="470"/>
      <c r="CL445" s="470"/>
      <c r="CM445" s="470"/>
      <c r="CN445" s="470"/>
      <c r="CO445" s="470"/>
      <c r="CP445" s="470"/>
      <c r="CQ445" s="470"/>
      <c r="CR445" s="470"/>
      <c r="CS445" s="470"/>
      <c r="CT445" s="470"/>
      <c r="CY445" s="480"/>
      <c r="CZ445" s="480"/>
      <c r="DA445" s="480"/>
      <c r="DB445" s="1152"/>
      <c r="DC445" s="1152"/>
      <c r="DD445" s="1152"/>
      <c r="DE445" s="1152"/>
      <c r="DF445" s="1152"/>
      <c r="DG445" s="1152"/>
      <c r="DH445" s="470"/>
      <c r="DI445" s="470"/>
      <c r="DJ445" s="470"/>
      <c r="DK445" s="470"/>
      <c r="DL445" s="470"/>
      <c r="DM445" s="471"/>
      <c r="DN445" s="518"/>
      <c r="DO445" s="470"/>
      <c r="DP445" s="161"/>
      <c r="DQ445" s="161"/>
      <c r="DR445" s="470"/>
      <c r="DS445" s="471"/>
    </row>
    <row r="446" spans="1:123" ht="20.100000000000001" customHeight="1" x14ac:dyDescent="0.25">
      <c r="A446" s="1159"/>
      <c r="B446" s="994">
        <f t="shared" si="1152"/>
        <v>5</v>
      </c>
      <c r="C446" s="990"/>
      <c r="D446" s="1002" t="s">
        <v>5955</v>
      </c>
      <c r="E446" s="1004" t="s">
        <v>5263</v>
      </c>
      <c r="F446" s="1024"/>
      <c r="G446" s="1608"/>
      <c r="H446" s="1609"/>
      <c r="I446" s="163"/>
      <c r="J446" s="1156"/>
      <c r="K446" s="1156"/>
      <c r="L446" s="1156"/>
      <c r="M446" s="1156"/>
      <c r="N446" s="1156"/>
      <c r="O446" s="471"/>
      <c r="P446" s="471"/>
      <c r="Q446" s="1156"/>
      <c r="R446" s="475"/>
      <c r="S446" s="1156"/>
      <c r="T446" s="161"/>
      <c r="U446" s="161"/>
      <c r="V446" s="161"/>
      <c r="W446" s="161"/>
      <c r="X446" s="1156"/>
      <c r="Y446" s="1156"/>
      <c r="Z446" s="476"/>
      <c r="AA446" s="161"/>
      <c r="AB446" s="161"/>
      <c r="AC446" s="161"/>
      <c r="AD446" s="161"/>
      <c r="AE446" s="161"/>
      <c r="AF446" s="161"/>
      <c r="AG446" s="161"/>
      <c r="AH446" s="161"/>
      <c r="AI446" s="161"/>
      <c r="AJ446" s="161"/>
      <c r="AK446" s="161"/>
      <c r="AL446" s="161"/>
      <c r="AM446" s="161"/>
      <c r="AN446" s="161"/>
      <c r="AO446" s="162"/>
      <c r="AP446" s="162"/>
      <c r="AQ446" s="162"/>
      <c r="AR446" s="162"/>
      <c r="AS446" s="162"/>
      <c r="AT446" s="162"/>
      <c r="AU446" s="1156"/>
      <c r="AV446" s="163"/>
      <c r="AW446" s="1156"/>
      <c r="AX446" s="161"/>
      <c r="AY446" s="161"/>
      <c r="AZ446" s="161"/>
      <c r="BA446" s="161"/>
      <c r="BB446" s="1156"/>
      <c r="BC446" s="1156"/>
      <c r="BD446" s="1156"/>
      <c r="BE446" s="1156"/>
      <c r="BF446" s="1156"/>
      <c r="BG446" s="161"/>
      <c r="BH446" s="161"/>
      <c r="BI446" s="161"/>
      <c r="BJ446" s="161"/>
      <c r="BK446" s="161"/>
      <c r="BL446" s="1156"/>
      <c r="BM446" s="1156"/>
      <c r="BN446" s="1156"/>
      <c r="BO446" s="1156"/>
      <c r="BP446" s="1156"/>
      <c r="BQ446" s="1156"/>
      <c r="BR446" s="161"/>
      <c r="BS446" s="161"/>
      <c r="BT446" s="161"/>
      <c r="BU446" s="161"/>
      <c r="BV446" s="161"/>
      <c r="BW446" s="161"/>
      <c r="BX446" s="161"/>
      <c r="BY446" s="161"/>
      <c r="BZ446" s="161"/>
      <c r="CA446" s="161"/>
      <c r="CB446" s="470"/>
      <c r="CC446" s="470"/>
      <c r="CD446" s="470"/>
      <c r="CE446" s="470"/>
      <c r="CF446" s="470"/>
      <c r="CG446" s="470"/>
      <c r="CH446" s="470"/>
      <c r="CI446" s="470"/>
      <c r="CJ446" s="1507"/>
      <c r="CK446" s="470"/>
      <c r="CL446" s="470"/>
      <c r="CM446" s="470"/>
      <c r="CN446" s="470"/>
      <c r="CO446" s="470"/>
      <c r="CP446" s="470"/>
      <c r="CQ446" s="470"/>
      <c r="CR446" s="470"/>
      <c r="CS446" s="470"/>
      <c r="CT446" s="470"/>
      <c r="CY446" s="480"/>
      <c r="CZ446" s="480"/>
      <c r="DA446" s="480"/>
      <c r="DB446" s="1152"/>
      <c r="DC446" s="1152"/>
      <c r="DD446" s="1152"/>
      <c r="DE446" s="1152"/>
      <c r="DF446" s="1152"/>
      <c r="DG446" s="1152"/>
      <c r="DH446" s="470"/>
      <c r="DI446" s="470"/>
      <c r="DJ446" s="470"/>
      <c r="DK446" s="470"/>
      <c r="DL446" s="470"/>
      <c r="DM446" s="471"/>
      <c r="DN446" s="518"/>
      <c r="DO446" s="470"/>
      <c r="DP446" s="161"/>
      <c r="DQ446" s="161"/>
      <c r="DR446" s="470"/>
      <c r="DS446" s="471"/>
    </row>
    <row r="447" spans="1:123" ht="20.100000000000001" customHeight="1" x14ac:dyDescent="0.25">
      <c r="A447" s="1269"/>
      <c r="B447" s="994">
        <f t="shared" si="1152"/>
        <v>6</v>
      </c>
      <c r="C447" s="995"/>
      <c r="D447" s="1002" t="s">
        <v>5955</v>
      </c>
      <c r="E447" s="1003" t="s">
        <v>5263</v>
      </c>
      <c r="F447" s="1272"/>
      <c r="G447" s="1610"/>
      <c r="H447" s="1609"/>
      <c r="I447" s="974"/>
      <c r="J447" s="1268"/>
      <c r="K447" s="1268"/>
      <c r="L447" s="1268"/>
      <c r="M447" s="1268"/>
      <c r="N447" s="1268"/>
      <c r="O447" s="471"/>
      <c r="P447" s="471"/>
      <c r="Q447" s="1268"/>
      <c r="R447" s="475"/>
      <c r="S447" s="1268"/>
      <c r="T447" s="161"/>
      <c r="U447" s="161"/>
      <c r="V447" s="161"/>
      <c r="W447" s="161"/>
      <c r="X447" s="1268"/>
      <c r="Y447" s="1268"/>
      <c r="Z447" s="476"/>
      <c r="AA447" s="161"/>
      <c r="AB447" s="161"/>
      <c r="AC447" s="161"/>
      <c r="AD447" s="161"/>
      <c r="AE447" s="161"/>
      <c r="AF447" s="161"/>
      <c r="AG447" s="161"/>
      <c r="AH447" s="161"/>
      <c r="AI447" s="161"/>
      <c r="AJ447" s="161"/>
      <c r="AK447" s="161"/>
      <c r="AL447" s="161"/>
      <c r="AM447" s="161"/>
      <c r="AN447" s="161"/>
      <c r="AO447" s="162"/>
      <c r="AP447" s="162"/>
      <c r="AQ447" s="162"/>
      <c r="AR447" s="162"/>
      <c r="AS447" s="162"/>
      <c r="AT447" s="162"/>
      <c r="AU447" s="1268"/>
      <c r="AV447" s="163"/>
      <c r="AW447" s="1268"/>
      <c r="AX447" s="161"/>
      <c r="AY447" s="161"/>
      <c r="AZ447" s="161"/>
      <c r="BA447" s="161"/>
      <c r="BB447" s="1268"/>
      <c r="BC447" s="1268"/>
      <c r="BD447" s="1268"/>
      <c r="BE447" s="1268"/>
      <c r="BF447" s="1268"/>
      <c r="BG447" s="161"/>
      <c r="BH447" s="161"/>
      <c r="BI447" s="161"/>
      <c r="BJ447" s="161"/>
      <c r="BK447" s="161"/>
      <c r="BL447" s="1268"/>
      <c r="BM447" s="1268"/>
      <c r="BN447" s="1268"/>
      <c r="BO447" s="1268"/>
      <c r="BP447" s="1268"/>
      <c r="BQ447" s="1268"/>
      <c r="BR447" s="161"/>
      <c r="BS447" s="161"/>
      <c r="BT447" s="161"/>
      <c r="BU447" s="161"/>
      <c r="BV447" s="161"/>
      <c r="BW447" s="161"/>
      <c r="BX447" s="161"/>
      <c r="BY447" s="161"/>
      <c r="BZ447" s="161"/>
      <c r="CA447" s="161"/>
      <c r="CB447" s="470"/>
      <c r="CC447" s="470"/>
      <c r="CD447" s="470"/>
      <c r="CE447" s="470"/>
      <c r="CF447" s="470"/>
      <c r="CG447" s="470"/>
      <c r="CH447" s="470"/>
      <c r="CI447" s="470"/>
      <c r="CJ447" s="1507"/>
      <c r="CK447" s="470"/>
      <c r="CL447" s="470"/>
      <c r="CM447" s="470"/>
      <c r="CN447" s="470"/>
      <c r="CO447" s="470"/>
      <c r="CP447" s="470"/>
      <c r="CQ447" s="470"/>
      <c r="CR447" s="470"/>
      <c r="CS447" s="470"/>
      <c r="CT447" s="470"/>
      <c r="CY447" s="480"/>
      <c r="CZ447" s="480"/>
      <c r="DA447" s="480"/>
      <c r="DB447" s="1152"/>
      <c r="DC447" s="1152"/>
      <c r="DD447" s="1152"/>
      <c r="DE447" s="1152"/>
      <c r="DF447" s="1152"/>
      <c r="DG447" s="1152"/>
      <c r="DH447" s="470"/>
      <c r="DI447" s="470"/>
      <c r="DJ447" s="470"/>
      <c r="DK447" s="470"/>
      <c r="DL447" s="470"/>
      <c r="DM447" s="471"/>
      <c r="DN447" s="518"/>
      <c r="DO447" s="470"/>
      <c r="DP447" s="161"/>
      <c r="DQ447" s="161"/>
      <c r="DR447" s="470"/>
      <c r="DS447" s="471"/>
    </row>
    <row r="448" spans="1:123" ht="20.100000000000001" customHeight="1" x14ac:dyDescent="0.25">
      <c r="A448" s="1159"/>
      <c r="B448" s="994">
        <f t="shared" si="1152"/>
        <v>7</v>
      </c>
      <c r="C448" s="990"/>
      <c r="D448" s="1002" t="s">
        <v>5955</v>
      </c>
      <c r="E448" s="1003" t="s">
        <v>5957</v>
      </c>
      <c r="F448" s="1024"/>
      <c r="G448" s="1608"/>
      <c r="H448" s="1609"/>
      <c r="I448" s="163"/>
      <c r="J448" s="1156"/>
      <c r="K448" s="1156"/>
      <c r="L448" s="1156"/>
      <c r="M448" s="1156"/>
      <c r="N448" s="1156"/>
      <c r="O448" s="471"/>
      <c r="P448" s="471"/>
      <c r="Q448" s="1156"/>
      <c r="R448" s="475"/>
      <c r="S448" s="1156"/>
      <c r="T448" s="161"/>
      <c r="U448" s="161"/>
      <c r="V448" s="161"/>
      <c r="W448" s="161"/>
      <c r="X448" s="1156"/>
      <c r="Y448" s="1156"/>
      <c r="Z448" s="476"/>
      <c r="AA448" s="161"/>
      <c r="AB448" s="161"/>
      <c r="AC448" s="161"/>
      <c r="AD448" s="161"/>
      <c r="AE448" s="161"/>
      <c r="AF448" s="161"/>
      <c r="AG448" s="161"/>
      <c r="AH448" s="161"/>
      <c r="AI448" s="161"/>
      <c r="AJ448" s="161"/>
      <c r="AK448" s="161"/>
      <c r="AL448" s="161"/>
      <c r="AM448" s="161"/>
      <c r="AN448" s="161"/>
      <c r="AO448" s="162"/>
      <c r="AP448" s="162"/>
      <c r="AQ448" s="162"/>
      <c r="AR448" s="162"/>
      <c r="AS448" s="162"/>
      <c r="AT448" s="162"/>
      <c r="AU448" s="1156"/>
      <c r="AV448" s="163"/>
      <c r="AW448" s="1156"/>
      <c r="AX448" s="161"/>
      <c r="AY448" s="161"/>
      <c r="AZ448" s="161"/>
      <c r="BA448" s="161"/>
      <c r="BB448" s="1156"/>
      <c r="BC448" s="1156"/>
      <c r="BD448" s="1156"/>
      <c r="BE448" s="1156"/>
      <c r="BF448" s="1156"/>
      <c r="BG448" s="161"/>
      <c r="BH448" s="161"/>
      <c r="BI448" s="161"/>
      <c r="BJ448" s="161"/>
      <c r="BK448" s="161"/>
      <c r="BL448" s="1156"/>
      <c r="BM448" s="1156"/>
      <c r="BN448" s="1156"/>
      <c r="BO448" s="1156"/>
      <c r="BP448" s="1156"/>
      <c r="BQ448" s="1156"/>
      <c r="BR448" s="161"/>
      <c r="BS448" s="161"/>
      <c r="BT448" s="161"/>
      <c r="BU448" s="161"/>
      <c r="BV448" s="161"/>
      <c r="BW448" s="161"/>
      <c r="BX448" s="161"/>
      <c r="BY448" s="161"/>
      <c r="BZ448" s="161"/>
      <c r="CA448" s="161"/>
      <c r="CB448" s="470"/>
      <c r="CC448" s="470"/>
      <c r="CD448" s="470"/>
      <c r="CE448" s="470"/>
      <c r="CF448" s="470"/>
      <c r="CG448" s="470"/>
      <c r="CH448" s="470"/>
      <c r="CI448" s="470"/>
      <c r="CJ448" s="1507"/>
      <c r="CK448" s="470"/>
      <c r="CL448" s="470"/>
      <c r="CM448" s="470"/>
      <c r="CN448" s="470"/>
      <c r="CO448" s="470"/>
      <c r="CP448" s="470"/>
      <c r="CQ448" s="470"/>
      <c r="CR448" s="470"/>
      <c r="CS448" s="470"/>
      <c r="CT448" s="470"/>
      <c r="CY448" s="480"/>
      <c r="CZ448" s="480"/>
      <c r="DA448" s="480"/>
      <c r="DB448" s="1152"/>
      <c r="DC448" s="1152"/>
      <c r="DD448" s="1152"/>
      <c r="DE448" s="1152"/>
      <c r="DF448" s="1152"/>
      <c r="DG448" s="1152"/>
      <c r="DH448" s="470"/>
      <c r="DI448" s="470"/>
      <c r="DJ448" s="470"/>
      <c r="DK448" s="470"/>
      <c r="DL448" s="470"/>
      <c r="DM448" s="471"/>
      <c r="DN448" s="518"/>
      <c r="DO448" s="470"/>
      <c r="DP448" s="161"/>
      <c r="DQ448" s="161"/>
      <c r="DR448" s="470"/>
      <c r="DS448" s="471"/>
    </row>
    <row r="449" spans="1:123" ht="20.100000000000001" customHeight="1" x14ac:dyDescent="0.25">
      <c r="A449" s="1159"/>
      <c r="B449" s="994">
        <f t="shared" si="1152"/>
        <v>8</v>
      </c>
      <c r="C449" s="995">
        <v>21209137</v>
      </c>
      <c r="D449" s="1270" t="s">
        <v>6690</v>
      </c>
      <c r="E449" s="1271" t="s">
        <v>6642</v>
      </c>
      <c r="F449" s="1272"/>
      <c r="G449" s="1610"/>
      <c r="H449" s="1609"/>
      <c r="I449" s="974" t="s">
        <v>6691</v>
      </c>
      <c r="J449" s="364"/>
      <c r="K449" s="1156"/>
      <c r="L449" s="1156"/>
      <c r="M449" s="1156"/>
      <c r="N449" s="1156"/>
      <c r="O449" s="471"/>
      <c r="P449" s="471"/>
      <c r="Q449" s="1156"/>
      <c r="R449" s="475"/>
      <c r="S449" s="1156"/>
      <c r="T449" s="161"/>
      <c r="U449" s="161"/>
      <c r="V449" s="161"/>
      <c r="W449" s="161"/>
      <c r="X449" s="1156"/>
      <c r="Y449" s="1156"/>
      <c r="Z449" s="476"/>
      <c r="AA449" s="161"/>
      <c r="AB449" s="161"/>
      <c r="AC449" s="161"/>
      <c r="AD449" s="161"/>
      <c r="AE449" s="161"/>
      <c r="AF449" s="161"/>
      <c r="AG449" s="161"/>
      <c r="AH449" s="161"/>
      <c r="AI449" s="161"/>
      <c r="AJ449" s="161"/>
      <c r="AK449" s="161"/>
      <c r="AL449" s="161"/>
      <c r="AM449" s="161"/>
      <c r="AN449" s="161"/>
      <c r="AO449" s="162"/>
      <c r="AP449" s="162"/>
      <c r="AQ449" s="162"/>
      <c r="AR449" s="162"/>
      <c r="AS449" s="162"/>
      <c r="AT449" s="162"/>
      <c r="AU449" s="1156"/>
      <c r="AV449" s="163"/>
      <c r="AW449" s="1156"/>
      <c r="AX449" s="161"/>
      <c r="AY449" s="161"/>
      <c r="AZ449" s="161"/>
      <c r="BA449" s="161"/>
      <c r="BB449" s="1156"/>
      <c r="BC449" s="1156"/>
      <c r="BD449" s="1156"/>
      <c r="BE449" s="1156"/>
      <c r="BF449" s="1156"/>
      <c r="BG449" s="161"/>
      <c r="BH449" s="161"/>
      <c r="BI449" s="161"/>
      <c r="BJ449" s="161"/>
      <c r="BK449" s="161"/>
      <c r="BL449" s="1156"/>
      <c r="BM449" s="1156"/>
      <c r="BN449" s="1156"/>
      <c r="BO449" s="1156"/>
      <c r="BP449" s="1156"/>
      <c r="BQ449" s="1156"/>
      <c r="BR449" s="161"/>
      <c r="BS449" s="161"/>
      <c r="BT449" s="161"/>
      <c r="BU449" s="161"/>
      <c r="BV449" s="161"/>
      <c r="BW449" s="161"/>
      <c r="BX449" s="161"/>
      <c r="BY449" s="161"/>
      <c r="BZ449" s="161"/>
      <c r="CA449" s="161"/>
      <c r="CB449" s="470"/>
      <c r="CC449" s="470"/>
      <c r="CD449" s="470"/>
      <c r="CE449" s="470"/>
      <c r="CF449" s="470"/>
      <c r="CG449" s="470"/>
      <c r="CH449" s="470"/>
      <c r="CI449" s="470"/>
      <c r="CJ449" s="1507"/>
      <c r="CK449" s="470"/>
      <c r="CL449" s="470"/>
      <c r="CM449" s="470"/>
      <c r="CN449" s="470"/>
      <c r="CO449" s="470"/>
      <c r="CP449" s="470"/>
      <c r="CQ449" s="470"/>
      <c r="CR449" s="470"/>
      <c r="CS449" s="470"/>
      <c r="CT449" s="470"/>
      <c r="CY449" s="480"/>
      <c r="CZ449" s="480"/>
      <c r="DA449" s="480"/>
      <c r="DB449" s="1152"/>
      <c r="DC449" s="1152"/>
      <c r="DD449" s="1152"/>
      <c r="DE449" s="1152"/>
      <c r="DF449" s="1152"/>
      <c r="DG449" s="1152"/>
      <c r="DH449" s="470"/>
      <c r="DI449" s="470"/>
      <c r="DJ449" s="470"/>
      <c r="DK449" s="470"/>
      <c r="DL449" s="470"/>
      <c r="DM449" s="471"/>
      <c r="DN449" s="518"/>
      <c r="DO449" s="470"/>
      <c r="DP449" s="161"/>
      <c r="DQ449" s="161"/>
      <c r="DR449" s="470"/>
      <c r="DS449" s="471"/>
    </row>
    <row r="450" spans="1:123" ht="20.100000000000001" customHeight="1" x14ac:dyDescent="0.25">
      <c r="A450" s="1159"/>
      <c r="B450" s="994">
        <f t="shared" si="1152"/>
        <v>9</v>
      </c>
      <c r="C450" s="995">
        <v>11798459</v>
      </c>
      <c r="D450" s="1270" t="s">
        <v>4666</v>
      </c>
      <c r="E450" s="1271" t="s">
        <v>5482</v>
      </c>
      <c r="F450" s="1272"/>
      <c r="G450" s="1610"/>
      <c r="H450" s="1609"/>
      <c r="I450" s="974" t="s">
        <v>6692</v>
      </c>
      <c r="J450" s="364"/>
      <c r="K450" s="1156"/>
      <c r="L450" s="1156"/>
      <c r="M450" s="1156"/>
      <c r="N450" s="1156"/>
      <c r="O450" s="471"/>
      <c r="P450" s="471"/>
      <c r="Q450" s="1156"/>
      <c r="R450" s="475"/>
      <c r="S450" s="1156"/>
      <c r="T450" s="161"/>
      <c r="U450" s="161"/>
      <c r="V450" s="161"/>
      <c r="W450" s="161"/>
      <c r="X450" s="1156"/>
      <c r="Y450" s="1156"/>
      <c r="Z450" s="476"/>
      <c r="AA450" s="161"/>
      <c r="AB450" s="161"/>
      <c r="AC450" s="161"/>
      <c r="AD450" s="161"/>
      <c r="AE450" s="161"/>
      <c r="AF450" s="161"/>
      <c r="AG450" s="161"/>
      <c r="AH450" s="161"/>
      <c r="AI450" s="161"/>
      <c r="AJ450" s="161"/>
      <c r="AK450" s="161"/>
      <c r="AL450" s="161"/>
      <c r="AM450" s="161"/>
      <c r="AN450" s="161"/>
      <c r="AO450" s="162"/>
      <c r="AP450" s="162"/>
      <c r="AQ450" s="162"/>
      <c r="AR450" s="162"/>
      <c r="AS450" s="162"/>
      <c r="AT450" s="162"/>
      <c r="AU450" s="1156"/>
      <c r="AV450" s="163"/>
      <c r="AW450" s="1156"/>
      <c r="AX450" s="161"/>
      <c r="AY450" s="161"/>
      <c r="AZ450" s="161"/>
      <c r="BA450" s="161"/>
      <c r="BB450" s="1156"/>
      <c r="BC450" s="1156"/>
      <c r="BD450" s="1156"/>
      <c r="BE450" s="1156"/>
      <c r="BF450" s="1156"/>
      <c r="BG450" s="161"/>
      <c r="BH450" s="161"/>
      <c r="BI450" s="161"/>
      <c r="BJ450" s="161"/>
      <c r="BK450" s="161"/>
      <c r="BL450" s="1156"/>
      <c r="BM450" s="1156"/>
      <c r="BN450" s="1156"/>
      <c r="BO450" s="1156"/>
      <c r="BP450" s="1156"/>
      <c r="BQ450" s="1156"/>
      <c r="BR450" s="161"/>
      <c r="BS450" s="161"/>
      <c r="BT450" s="161"/>
      <c r="BU450" s="161"/>
      <c r="BV450" s="161"/>
      <c r="BW450" s="161"/>
      <c r="BX450" s="161"/>
      <c r="BY450" s="161"/>
      <c r="BZ450" s="161"/>
      <c r="CA450" s="161"/>
      <c r="CB450" s="470"/>
      <c r="CC450" s="470"/>
      <c r="CD450" s="470"/>
      <c r="CE450" s="470"/>
      <c r="CF450" s="470"/>
      <c r="CG450" s="470"/>
      <c r="CH450" s="470"/>
      <c r="CI450" s="470"/>
      <c r="CJ450" s="1507"/>
      <c r="CK450" s="470"/>
      <c r="CL450" s="470"/>
      <c r="CM450" s="470"/>
      <c r="CN450" s="470"/>
      <c r="CO450" s="470"/>
      <c r="CP450" s="470"/>
      <c r="CQ450" s="470"/>
      <c r="CR450" s="470"/>
      <c r="CS450" s="470"/>
      <c r="CT450" s="470"/>
      <c r="CY450" s="480"/>
      <c r="CZ450" s="480"/>
      <c r="DA450" s="480"/>
      <c r="DB450" s="1152"/>
      <c r="DC450" s="1152"/>
      <c r="DD450" s="1152"/>
      <c r="DE450" s="1152"/>
      <c r="DF450" s="1152"/>
      <c r="DG450" s="1152"/>
      <c r="DH450" s="470"/>
      <c r="DI450" s="470"/>
      <c r="DJ450" s="470"/>
      <c r="DK450" s="470"/>
      <c r="DL450" s="470"/>
      <c r="DM450" s="471"/>
      <c r="DN450" s="518"/>
      <c r="DO450" s="470"/>
      <c r="DP450" s="161"/>
      <c r="DQ450" s="161"/>
      <c r="DR450" s="470"/>
      <c r="DS450" s="471"/>
    </row>
    <row r="451" spans="1:123" ht="20.100000000000001" customHeight="1" x14ac:dyDescent="0.25">
      <c r="A451" s="1482" t="s">
        <v>7344</v>
      </c>
      <c r="B451" s="994">
        <f t="shared" si="1152"/>
        <v>10</v>
      </c>
      <c r="C451" s="995">
        <v>17265093</v>
      </c>
      <c r="D451" s="1270" t="s">
        <v>5971</v>
      </c>
      <c r="E451" s="1271" t="s">
        <v>5263</v>
      </c>
      <c r="F451" s="1272"/>
      <c r="G451" s="1610"/>
      <c r="H451" s="1609"/>
      <c r="I451" s="974" t="s">
        <v>7287</v>
      </c>
      <c r="J451" s="364"/>
      <c r="K451" s="1495"/>
      <c r="L451" s="1495"/>
      <c r="M451" s="1495"/>
      <c r="N451" s="1495"/>
      <c r="O451" s="471"/>
      <c r="P451" s="471"/>
      <c r="Q451" s="1495"/>
      <c r="R451" s="475"/>
      <c r="S451" s="1495"/>
      <c r="T451" s="161"/>
      <c r="U451" s="161"/>
      <c r="V451" s="161"/>
      <c r="W451" s="161"/>
      <c r="X451" s="1495"/>
      <c r="Y451" s="1495"/>
      <c r="Z451" s="476"/>
      <c r="AA451" s="161"/>
      <c r="AB451" s="161"/>
      <c r="AC451" s="161"/>
      <c r="AD451" s="161"/>
      <c r="AE451" s="161"/>
      <c r="AF451" s="161"/>
      <c r="AG451" s="161"/>
      <c r="AH451" s="161"/>
      <c r="AI451" s="161"/>
      <c r="AJ451" s="161"/>
      <c r="AK451" s="161"/>
      <c r="AL451" s="161"/>
      <c r="AM451" s="161"/>
      <c r="AN451" s="161"/>
      <c r="AO451" s="162"/>
      <c r="AP451" s="162"/>
      <c r="AQ451" s="162"/>
      <c r="AR451" s="162"/>
      <c r="AS451" s="162"/>
      <c r="AT451" s="162"/>
      <c r="AU451" s="1495"/>
      <c r="AV451" s="163"/>
      <c r="AW451" s="1495"/>
      <c r="AX451" s="161"/>
      <c r="AY451" s="161"/>
      <c r="AZ451" s="161"/>
      <c r="BA451" s="161"/>
      <c r="BB451" s="1495"/>
      <c r="BC451" s="1495"/>
      <c r="BD451" s="1495"/>
      <c r="BE451" s="1495"/>
      <c r="BF451" s="1495"/>
      <c r="BG451" s="161"/>
      <c r="BH451" s="161"/>
      <c r="BI451" s="161"/>
      <c r="BJ451" s="161"/>
      <c r="BK451" s="161"/>
      <c r="BL451" s="1495"/>
      <c r="BM451" s="1495"/>
      <c r="BN451" s="1495"/>
      <c r="BO451" s="1495"/>
      <c r="BP451" s="1495"/>
      <c r="BQ451" s="1495"/>
      <c r="BR451" s="161"/>
      <c r="BS451" s="161"/>
      <c r="BT451" s="161"/>
      <c r="BU451" s="161"/>
      <c r="BV451" s="161"/>
      <c r="BW451" s="161"/>
      <c r="BX451" s="161"/>
      <c r="BY451" s="161"/>
      <c r="BZ451" s="161"/>
      <c r="CA451" s="161"/>
      <c r="CB451" s="470"/>
      <c r="CC451" s="470"/>
      <c r="CD451" s="470"/>
      <c r="CE451" s="470"/>
      <c r="CF451" s="470"/>
      <c r="CG451" s="470"/>
      <c r="CH451" s="470"/>
      <c r="CI451" s="470"/>
      <c r="CJ451" s="1507"/>
      <c r="CK451" s="470"/>
      <c r="CL451" s="470"/>
      <c r="CM451" s="470"/>
      <c r="CN451" s="470"/>
      <c r="CO451" s="470"/>
      <c r="CP451" s="470"/>
      <c r="CQ451" s="470"/>
      <c r="CR451" s="470"/>
      <c r="CS451" s="470"/>
      <c r="CT451" s="470"/>
      <c r="CY451" s="480"/>
      <c r="CZ451" s="480"/>
      <c r="DA451" s="480"/>
      <c r="DB451" s="1152"/>
      <c r="DC451" s="1152"/>
      <c r="DD451" s="1152"/>
      <c r="DE451" s="1152"/>
      <c r="DF451" s="1152"/>
      <c r="DG451" s="1152"/>
      <c r="DH451" s="470"/>
      <c r="DI451" s="470"/>
      <c r="DJ451" s="470"/>
      <c r="DK451" s="470"/>
      <c r="DL451" s="470"/>
      <c r="DM451" s="471"/>
      <c r="DN451" s="518"/>
      <c r="DO451" s="470"/>
      <c r="DP451" s="161"/>
      <c r="DQ451" s="161"/>
      <c r="DR451" s="470"/>
      <c r="DS451" s="471"/>
    </row>
    <row r="452" spans="1:123" ht="20.100000000000001" customHeight="1" x14ac:dyDescent="0.25">
      <c r="A452" s="1479"/>
      <c r="B452" s="994">
        <f t="shared" si="1152"/>
        <v>11</v>
      </c>
      <c r="C452" s="995">
        <v>16266087</v>
      </c>
      <c r="D452" s="1270" t="s">
        <v>6689</v>
      </c>
      <c r="E452" s="1271" t="s">
        <v>5255</v>
      </c>
      <c r="F452" s="1272"/>
      <c r="G452" s="1610"/>
      <c r="H452" s="1609"/>
      <c r="I452" s="974" t="s">
        <v>7227</v>
      </c>
      <c r="J452" s="364"/>
      <c r="K452" s="1478"/>
      <c r="L452" s="1478"/>
      <c r="M452" s="1478"/>
      <c r="N452" s="1478"/>
      <c r="O452" s="471"/>
      <c r="P452" s="471"/>
      <c r="Q452" s="1478"/>
      <c r="R452" s="475"/>
      <c r="S452" s="1478"/>
      <c r="T452" s="161"/>
      <c r="U452" s="161"/>
      <c r="V452" s="161"/>
      <c r="W452" s="161"/>
      <c r="X452" s="1478"/>
      <c r="Y452" s="1478"/>
      <c r="Z452" s="476"/>
      <c r="AA452" s="161"/>
      <c r="AB452" s="161"/>
      <c r="AC452" s="161"/>
      <c r="AD452" s="161"/>
      <c r="AE452" s="161"/>
      <c r="AF452" s="161"/>
      <c r="AG452" s="161"/>
      <c r="AH452" s="161"/>
      <c r="AI452" s="161"/>
      <c r="AJ452" s="161"/>
      <c r="AK452" s="161"/>
      <c r="AL452" s="161"/>
      <c r="AM452" s="161"/>
      <c r="AN452" s="161"/>
      <c r="AO452" s="162"/>
      <c r="AP452" s="162"/>
      <c r="AQ452" s="162"/>
      <c r="AR452" s="162"/>
      <c r="AS452" s="162"/>
      <c r="AT452" s="162"/>
      <c r="AU452" s="1478"/>
      <c r="AV452" s="163"/>
      <c r="AW452" s="1478"/>
      <c r="AX452" s="161"/>
      <c r="AY452" s="161"/>
      <c r="AZ452" s="161"/>
      <c r="BA452" s="161"/>
      <c r="BB452" s="1478"/>
      <c r="BC452" s="1478"/>
      <c r="BD452" s="1478"/>
      <c r="BE452" s="1478"/>
      <c r="BF452" s="1478"/>
      <c r="BG452" s="161"/>
      <c r="BH452" s="161"/>
      <c r="BI452" s="161"/>
      <c r="BJ452" s="161"/>
      <c r="BK452" s="161"/>
      <c r="BL452" s="1478"/>
      <c r="BM452" s="1478"/>
      <c r="BN452" s="1478"/>
      <c r="BO452" s="1478"/>
      <c r="BP452" s="1478"/>
      <c r="BQ452" s="1478"/>
      <c r="BR452" s="161"/>
      <c r="BS452" s="161"/>
      <c r="BT452" s="161"/>
      <c r="BU452" s="161"/>
      <c r="BV452" s="161"/>
      <c r="BW452" s="161"/>
      <c r="BX452" s="161"/>
      <c r="BY452" s="161"/>
      <c r="BZ452" s="161"/>
      <c r="CA452" s="161"/>
      <c r="CB452" s="470"/>
      <c r="CC452" s="470"/>
      <c r="CD452" s="470"/>
      <c r="CE452" s="470"/>
      <c r="CF452" s="470"/>
      <c r="CG452" s="470"/>
      <c r="CH452" s="470"/>
      <c r="CI452" s="470"/>
      <c r="CJ452" s="1507"/>
      <c r="CK452" s="470"/>
      <c r="CL452" s="470"/>
      <c r="CM452" s="470"/>
      <c r="CN452" s="470"/>
      <c r="CO452" s="470"/>
      <c r="CP452" s="470"/>
      <c r="CQ452" s="470"/>
      <c r="CR452" s="470"/>
      <c r="CS452" s="470"/>
      <c r="CT452" s="470"/>
      <c r="CY452" s="480"/>
      <c r="CZ452" s="480"/>
      <c r="DA452" s="480"/>
      <c r="DB452" s="1152"/>
      <c r="DC452" s="1152"/>
      <c r="DD452" s="1152"/>
      <c r="DE452" s="1152"/>
      <c r="DF452" s="1152"/>
      <c r="DG452" s="1152"/>
      <c r="DH452" s="470"/>
      <c r="DI452" s="470"/>
      <c r="DJ452" s="470"/>
      <c r="DK452" s="470"/>
      <c r="DL452" s="470"/>
      <c r="DM452" s="471"/>
      <c r="DN452" s="518"/>
      <c r="DO452" s="470"/>
      <c r="DP452" s="161"/>
      <c r="DQ452" s="161"/>
      <c r="DR452" s="470"/>
      <c r="DS452" s="471"/>
    </row>
    <row r="453" spans="1:123" ht="20.100000000000001" customHeight="1" x14ac:dyDescent="0.25">
      <c r="A453" s="1596"/>
      <c r="B453" s="994">
        <f t="shared" si="1152"/>
        <v>12</v>
      </c>
      <c r="C453" s="995">
        <v>17831231</v>
      </c>
      <c r="D453" s="1270" t="s">
        <v>4848</v>
      </c>
      <c r="E453" s="1271" t="s">
        <v>7272</v>
      </c>
      <c r="F453" s="1272"/>
      <c r="G453" s="1610"/>
      <c r="H453" s="1609"/>
      <c r="I453" s="974" t="s">
        <v>7329</v>
      </c>
      <c r="J453" s="364"/>
      <c r="K453" s="1595"/>
      <c r="L453" s="1595"/>
      <c r="M453" s="1595"/>
      <c r="N453" s="1595"/>
      <c r="O453" s="471"/>
      <c r="P453" s="471"/>
      <c r="Q453" s="1595"/>
      <c r="R453" s="475"/>
      <c r="S453" s="1595"/>
      <c r="T453" s="161"/>
      <c r="U453" s="161"/>
      <c r="V453" s="161"/>
      <c r="W453" s="161"/>
      <c r="X453" s="1595"/>
      <c r="Y453" s="1595"/>
      <c r="Z453" s="476"/>
      <c r="AA453" s="161"/>
      <c r="AB453" s="161"/>
      <c r="AC453" s="161"/>
      <c r="AD453" s="161"/>
      <c r="AE453" s="161"/>
      <c r="AF453" s="161"/>
      <c r="AG453" s="161"/>
      <c r="AH453" s="161"/>
      <c r="AI453" s="161"/>
      <c r="AJ453" s="161"/>
      <c r="AK453" s="161"/>
      <c r="AL453" s="161"/>
      <c r="AM453" s="161"/>
      <c r="AN453" s="161"/>
      <c r="AO453" s="162"/>
      <c r="AP453" s="162"/>
      <c r="AQ453" s="162"/>
      <c r="AR453" s="162"/>
      <c r="AS453" s="162"/>
      <c r="AT453" s="162"/>
      <c r="AU453" s="1595"/>
      <c r="AV453" s="163"/>
      <c r="AW453" s="1595"/>
      <c r="AX453" s="161"/>
      <c r="AY453" s="161"/>
      <c r="AZ453" s="161"/>
      <c r="BA453" s="161"/>
      <c r="BB453" s="1595"/>
      <c r="BC453" s="1595"/>
      <c r="BD453" s="1595"/>
      <c r="BE453" s="1595"/>
      <c r="BF453" s="1595"/>
      <c r="BG453" s="161"/>
      <c r="BH453" s="161"/>
      <c r="BI453" s="161"/>
      <c r="BJ453" s="161"/>
      <c r="BK453" s="161"/>
      <c r="BL453" s="1595"/>
      <c r="BM453" s="1595"/>
      <c r="BN453" s="1595"/>
      <c r="BO453" s="1595"/>
      <c r="BP453" s="1595"/>
      <c r="BQ453" s="1595"/>
      <c r="BR453" s="161"/>
      <c r="BS453" s="161"/>
      <c r="BT453" s="161"/>
      <c r="BU453" s="161"/>
      <c r="BV453" s="161"/>
      <c r="BW453" s="161"/>
      <c r="BX453" s="161"/>
      <c r="BY453" s="161"/>
      <c r="BZ453" s="161"/>
      <c r="CA453" s="161"/>
      <c r="CB453" s="470"/>
      <c r="CC453" s="470"/>
      <c r="CD453" s="470"/>
      <c r="CE453" s="470"/>
      <c r="CF453" s="470"/>
      <c r="CG453" s="470"/>
      <c r="CH453" s="470"/>
      <c r="CI453" s="470"/>
      <c r="CJ453" s="1507"/>
      <c r="CK453" s="470"/>
      <c r="CL453" s="470"/>
      <c r="CM453" s="470"/>
      <c r="CN453" s="470"/>
      <c r="CO453" s="470"/>
      <c r="CP453" s="470"/>
      <c r="CQ453" s="470"/>
      <c r="CR453" s="470"/>
      <c r="CS453" s="470"/>
      <c r="CT453" s="470"/>
      <c r="CY453" s="480"/>
      <c r="CZ453" s="480"/>
      <c r="DA453" s="480"/>
      <c r="DB453" s="1152"/>
      <c r="DC453" s="1152"/>
      <c r="DD453" s="1152"/>
      <c r="DE453" s="1152"/>
      <c r="DF453" s="1152"/>
      <c r="DG453" s="1152"/>
      <c r="DH453" s="470"/>
      <c r="DI453" s="470"/>
      <c r="DJ453" s="470"/>
      <c r="DK453" s="470"/>
      <c r="DL453" s="470"/>
      <c r="DM453" s="471"/>
      <c r="DN453" s="518"/>
      <c r="DO453" s="470"/>
      <c r="DP453" s="161"/>
      <c r="DQ453" s="161"/>
      <c r="DR453" s="470"/>
      <c r="DS453" s="471"/>
    </row>
    <row r="454" spans="1:123" ht="20.100000000000001" customHeight="1" x14ac:dyDescent="0.25">
      <c r="A454" s="1621"/>
      <c r="B454" s="994">
        <f t="shared" si="1152"/>
        <v>13</v>
      </c>
      <c r="C454" s="995">
        <v>13745803</v>
      </c>
      <c r="D454" s="1270" t="s">
        <v>4776</v>
      </c>
      <c r="E454" s="1271" t="s">
        <v>5233</v>
      </c>
      <c r="F454" s="1272"/>
      <c r="G454" s="1610"/>
      <c r="H454" s="1609"/>
      <c r="I454" s="974" t="s">
        <v>7337</v>
      </c>
      <c r="J454" s="364"/>
      <c r="K454" s="1620"/>
      <c r="L454" s="1620"/>
      <c r="M454" s="1620"/>
      <c r="N454" s="1620"/>
      <c r="O454" s="471"/>
      <c r="P454" s="471"/>
      <c r="Q454" s="1620"/>
      <c r="R454" s="475"/>
      <c r="S454" s="1620"/>
      <c r="T454" s="161"/>
      <c r="U454" s="161"/>
      <c r="V454" s="161"/>
      <c r="W454" s="161"/>
      <c r="X454" s="1620"/>
      <c r="Y454" s="1620"/>
      <c r="Z454" s="476"/>
      <c r="AA454" s="161"/>
      <c r="AB454" s="161"/>
      <c r="AC454" s="161"/>
      <c r="AD454" s="161"/>
      <c r="AE454" s="161"/>
      <c r="AF454" s="161"/>
      <c r="AG454" s="161"/>
      <c r="AH454" s="161"/>
      <c r="AI454" s="161"/>
      <c r="AJ454" s="161"/>
      <c r="AK454" s="161"/>
      <c r="AL454" s="161"/>
      <c r="AM454" s="161"/>
      <c r="AN454" s="161"/>
      <c r="AO454" s="162"/>
      <c r="AP454" s="162"/>
      <c r="AQ454" s="162"/>
      <c r="AR454" s="162"/>
      <c r="AS454" s="162"/>
      <c r="AT454" s="162"/>
      <c r="AU454" s="1620"/>
      <c r="AV454" s="163"/>
      <c r="AW454" s="1620"/>
      <c r="AX454" s="161"/>
      <c r="AY454" s="161"/>
      <c r="AZ454" s="161"/>
      <c r="BA454" s="161"/>
      <c r="BB454" s="1620"/>
      <c r="BC454" s="1620"/>
      <c r="BD454" s="1620"/>
      <c r="BE454" s="1620"/>
      <c r="BF454" s="1620"/>
      <c r="BG454" s="161"/>
      <c r="BH454" s="161"/>
      <c r="BI454" s="161"/>
      <c r="BJ454" s="161"/>
      <c r="BK454" s="161"/>
      <c r="BL454" s="1620"/>
      <c r="BM454" s="1620"/>
      <c r="BN454" s="1620"/>
      <c r="BO454" s="1620"/>
      <c r="BP454" s="1620"/>
      <c r="BQ454" s="1620"/>
      <c r="BR454" s="161"/>
      <c r="BS454" s="161"/>
      <c r="BT454" s="161"/>
      <c r="BU454" s="161"/>
      <c r="BV454" s="161"/>
      <c r="BW454" s="161"/>
      <c r="BX454" s="161"/>
      <c r="BY454" s="161"/>
      <c r="BZ454" s="161"/>
      <c r="CA454" s="161"/>
      <c r="CB454" s="470"/>
      <c r="CC454" s="470"/>
      <c r="CD454" s="470"/>
      <c r="CE454" s="470"/>
      <c r="CF454" s="470"/>
      <c r="CG454" s="470"/>
      <c r="CH454" s="470"/>
      <c r="CI454" s="470"/>
      <c r="CJ454" s="1507"/>
      <c r="CK454" s="470"/>
      <c r="CL454" s="470"/>
      <c r="CM454" s="470"/>
      <c r="CN454" s="470"/>
      <c r="CO454" s="470"/>
      <c r="CP454" s="470"/>
      <c r="CQ454" s="470"/>
      <c r="CR454" s="470"/>
      <c r="CS454" s="470"/>
      <c r="CT454" s="470"/>
      <c r="CY454" s="480"/>
      <c r="CZ454" s="480"/>
      <c r="DA454" s="480"/>
      <c r="DB454" s="1152"/>
      <c r="DC454" s="1152"/>
      <c r="DD454" s="1152"/>
      <c r="DE454" s="1152"/>
      <c r="DF454" s="1152"/>
      <c r="DG454" s="1152"/>
      <c r="DH454" s="470"/>
      <c r="DI454" s="470"/>
      <c r="DJ454" s="470"/>
      <c r="DK454" s="470"/>
      <c r="DL454" s="470"/>
      <c r="DM454" s="471"/>
      <c r="DN454" s="518"/>
      <c r="DO454" s="470"/>
      <c r="DP454" s="161"/>
      <c r="DQ454" s="161"/>
      <c r="DR454" s="470"/>
      <c r="DS454" s="471"/>
    </row>
    <row r="455" spans="1:123" ht="20.100000000000001" customHeight="1" x14ac:dyDescent="0.25">
      <c r="A455" s="1629"/>
      <c r="B455" s="994">
        <f t="shared" si="1152"/>
        <v>14</v>
      </c>
      <c r="C455" s="995">
        <v>25173139</v>
      </c>
      <c r="D455" s="1270" t="s">
        <v>6704</v>
      </c>
      <c r="E455" s="1271" t="s">
        <v>5264</v>
      </c>
      <c r="F455" s="1272"/>
      <c r="G455" s="1610"/>
      <c r="H455" s="1609"/>
      <c r="I455" s="974" t="s">
        <v>7330</v>
      </c>
      <c r="J455" s="364"/>
      <c r="K455" s="1628"/>
      <c r="L455" s="1628"/>
      <c r="M455" s="1628"/>
      <c r="N455" s="1628"/>
      <c r="O455" s="471"/>
      <c r="P455" s="471"/>
      <c r="Q455" s="1628"/>
      <c r="R455" s="475"/>
      <c r="S455" s="1628"/>
      <c r="T455" s="161"/>
      <c r="U455" s="161"/>
      <c r="V455" s="161"/>
      <c r="W455" s="161"/>
      <c r="X455" s="1628"/>
      <c r="Y455" s="1628"/>
      <c r="Z455" s="476"/>
      <c r="AA455" s="161"/>
      <c r="AB455" s="161"/>
      <c r="AC455" s="161"/>
      <c r="AD455" s="161"/>
      <c r="AE455" s="161"/>
      <c r="AF455" s="161"/>
      <c r="AG455" s="161"/>
      <c r="AH455" s="161"/>
      <c r="AI455" s="161"/>
      <c r="AJ455" s="161"/>
      <c r="AK455" s="161"/>
      <c r="AL455" s="161"/>
      <c r="AM455" s="161"/>
      <c r="AN455" s="161"/>
      <c r="AO455" s="162"/>
      <c r="AP455" s="162"/>
      <c r="AQ455" s="162"/>
      <c r="AR455" s="162"/>
      <c r="AS455" s="162"/>
      <c r="AT455" s="162"/>
      <c r="AU455" s="1628"/>
      <c r="AV455" s="163"/>
      <c r="AW455" s="1628"/>
      <c r="AX455" s="161"/>
      <c r="AY455" s="161"/>
      <c r="AZ455" s="161"/>
      <c r="BA455" s="161"/>
      <c r="BB455" s="1628"/>
      <c r="BC455" s="1628"/>
      <c r="BD455" s="1628"/>
      <c r="BE455" s="1628"/>
      <c r="BF455" s="1628"/>
      <c r="BG455" s="161"/>
      <c r="BH455" s="161"/>
      <c r="BI455" s="161"/>
      <c r="BJ455" s="161"/>
      <c r="BK455" s="161"/>
      <c r="BL455" s="1628"/>
      <c r="BM455" s="1628"/>
      <c r="BN455" s="1628"/>
      <c r="BO455" s="1628"/>
      <c r="BP455" s="1628"/>
      <c r="BQ455" s="1628"/>
      <c r="BR455" s="161"/>
      <c r="BS455" s="161"/>
      <c r="BT455" s="161"/>
      <c r="BU455" s="161"/>
      <c r="BV455" s="161"/>
      <c r="BW455" s="161"/>
      <c r="BX455" s="161"/>
      <c r="BY455" s="161"/>
      <c r="BZ455" s="161"/>
      <c r="CA455" s="161"/>
      <c r="CB455" s="470"/>
      <c r="CC455" s="470"/>
      <c r="CD455" s="470"/>
      <c r="CE455" s="470"/>
      <c r="CF455" s="470"/>
      <c r="CG455" s="470"/>
      <c r="CH455" s="470"/>
      <c r="CI455" s="470"/>
      <c r="CJ455" s="1507"/>
      <c r="CK455" s="470"/>
      <c r="CL455" s="470"/>
      <c r="CM455" s="470"/>
      <c r="CN455" s="470"/>
      <c r="CO455" s="470"/>
      <c r="CP455" s="470"/>
      <c r="CQ455" s="470"/>
      <c r="CR455" s="470"/>
      <c r="CS455" s="470"/>
      <c r="CT455" s="470"/>
      <c r="CY455" s="480"/>
      <c r="CZ455" s="480"/>
      <c r="DA455" s="480"/>
      <c r="DB455" s="1152"/>
      <c r="DC455" s="1152"/>
      <c r="DD455" s="1152"/>
      <c r="DE455" s="1152"/>
      <c r="DF455" s="1152"/>
      <c r="DG455" s="1152"/>
      <c r="DH455" s="470"/>
      <c r="DI455" s="470"/>
      <c r="DJ455" s="470"/>
      <c r="DK455" s="470"/>
      <c r="DL455" s="470"/>
      <c r="DM455" s="471"/>
      <c r="DN455" s="518"/>
      <c r="DO455" s="470"/>
      <c r="DP455" s="161"/>
      <c r="DQ455" s="161"/>
      <c r="DR455" s="470"/>
      <c r="DS455" s="471"/>
    </row>
    <row r="456" spans="1:123" ht="20.100000000000001" customHeight="1" x14ac:dyDescent="0.25">
      <c r="A456" s="1694"/>
      <c r="B456" s="994">
        <f t="shared" si="1152"/>
        <v>15</v>
      </c>
      <c r="C456" s="1148">
        <v>13461747</v>
      </c>
      <c r="D456" s="1149" t="s">
        <v>4771</v>
      </c>
      <c r="E456" s="1271" t="s">
        <v>5215</v>
      </c>
      <c r="F456" s="1272"/>
      <c r="G456" s="1610"/>
      <c r="H456" s="1609"/>
      <c r="I456" s="974" t="s">
        <v>7617</v>
      </c>
      <c r="J456" s="364"/>
      <c r="K456" s="1693"/>
      <c r="L456" s="1693"/>
      <c r="M456" s="1693"/>
      <c r="N456" s="1693"/>
      <c r="O456" s="471"/>
      <c r="P456" s="471"/>
      <c r="Q456" s="1693"/>
      <c r="R456" s="475"/>
      <c r="S456" s="1693"/>
      <c r="T456" s="161"/>
      <c r="U456" s="161"/>
      <c r="V456" s="161"/>
      <c r="W456" s="161"/>
      <c r="X456" s="1693"/>
      <c r="Y456" s="1693"/>
      <c r="Z456" s="476"/>
      <c r="AA456" s="161"/>
      <c r="AB456" s="161"/>
      <c r="AC456" s="161"/>
      <c r="AD456" s="161"/>
      <c r="AE456" s="161"/>
      <c r="AF456" s="161"/>
      <c r="AG456" s="161"/>
      <c r="AH456" s="161"/>
      <c r="AI456" s="161"/>
      <c r="AJ456" s="161"/>
      <c r="AK456" s="161"/>
      <c r="AL456" s="161"/>
      <c r="AM456" s="161"/>
      <c r="AN456" s="161"/>
      <c r="AO456" s="162"/>
      <c r="AP456" s="162"/>
      <c r="AQ456" s="162"/>
      <c r="AR456" s="162"/>
      <c r="AS456" s="162"/>
      <c r="AT456" s="162"/>
      <c r="AU456" s="1693"/>
      <c r="AV456" s="163"/>
      <c r="AW456" s="1693"/>
      <c r="AX456" s="161"/>
      <c r="AY456" s="161"/>
      <c r="AZ456" s="161"/>
      <c r="BA456" s="161"/>
      <c r="BB456" s="1693"/>
      <c r="BC456" s="1693"/>
      <c r="BD456" s="1693"/>
      <c r="BE456" s="1693"/>
      <c r="BF456" s="1693"/>
      <c r="BG456" s="161"/>
      <c r="BH456" s="161"/>
      <c r="BI456" s="161"/>
      <c r="BJ456" s="161"/>
      <c r="BK456" s="161"/>
      <c r="BL456" s="1693"/>
      <c r="BM456" s="1693"/>
      <c r="BN456" s="1693"/>
      <c r="BO456" s="1693"/>
      <c r="BP456" s="1693"/>
      <c r="BQ456" s="1693"/>
      <c r="BR456" s="161"/>
      <c r="BS456" s="161"/>
      <c r="BT456" s="161"/>
      <c r="BU456" s="161"/>
      <c r="BV456" s="161"/>
      <c r="BW456" s="161"/>
      <c r="BX456" s="161"/>
      <c r="BY456" s="161"/>
      <c r="BZ456" s="161"/>
      <c r="CA456" s="161"/>
      <c r="CB456" s="470"/>
      <c r="CC456" s="470"/>
      <c r="CD456" s="470"/>
      <c r="CE456" s="470"/>
      <c r="CF456" s="470"/>
      <c r="CG456" s="470"/>
      <c r="CH456" s="470"/>
      <c r="CI456" s="470"/>
      <c r="CJ456" s="1507"/>
      <c r="CK456" s="470"/>
      <c r="CL456" s="470"/>
      <c r="CM456" s="470"/>
      <c r="CN456" s="470"/>
      <c r="CO456" s="470"/>
      <c r="CP456" s="470"/>
      <c r="CQ456" s="470"/>
      <c r="CR456" s="470"/>
      <c r="CS456" s="470"/>
      <c r="CT456" s="470"/>
      <c r="CY456" s="480"/>
      <c r="CZ456" s="480"/>
      <c r="DA456" s="480"/>
      <c r="DB456" s="1152"/>
      <c r="DC456" s="1152"/>
      <c r="DD456" s="1152"/>
      <c r="DE456" s="1152"/>
      <c r="DF456" s="1152"/>
      <c r="DG456" s="1152"/>
      <c r="DH456" s="470"/>
      <c r="DI456" s="470"/>
      <c r="DJ456" s="470"/>
      <c r="DK456" s="470"/>
      <c r="DL456" s="470"/>
      <c r="DM456" s="471"/>
      <c r="DN456" s="518"/>
      <c r="DO456" s="470"/>
      <c r="DP456" s="161"/>
      <c r="DQ456" s="161"/>
      <c r="DR456" s="470"/>
      <c r="DS456" s="471"/>
    </row>
    <row r="457" spans="1:123" ht="20.100000000000001" customHeight="1" x14ac:dyDescent="0.25">
      <c r="A457" s="1714"/>
      <c r="B457" s="994">
        <f t="shared" si="1152"/>
        <v>16</v>
      </c>
      <c r="C457" s="1148">
        <v>24385729</v>
      </c>
      <c r="D457" s="1149" t="s">
        <v>6778</v>
      </c>
      <c r="E457" s="1717" t="s">
        <v>5956</v>
      </c>
      <c r="F457" s="1272"/>
      <c r="G457" s="1610"/>
      <c r="H457" s="1718"/>
      <c r="I457" s="974" t="s">
        <v>7627</v>
      </c>
      <c r="J457" s="364"/>
      <c r="K457" s="1713"/>
      <c r="L457" s="1713"/>
      <c r="M457" s="1713"/>
      <c r="N457" s="1713"/>
      <c r="O457" s="471"/>
      <c r="P457" s="471"/>
      <c r="Q457" s="1713"/>
      <c r="R457" s="475"/>
      <c r="S457" s="1713"/>
      <c r="T457" s="161"/>
      <c r="U457" s="161"/>
      <c r="V457" s="161"/>
      <c r="W457" s="161"/>
      <c r="X457" s="1713"/>
      <c r="Y457" s="1713"/>
      <c r="Z457" s="476"/>
      <c r="AA457" s="161"/>
      <c r="AB457" s="161"/>
      <c r="AC457" s="161"/>
      <c r="AD457" s="161"/>
      <c r="AE457" s="161"/>
      <c r="AF457" s="161"/>
      <c r="AG457" s="161"/>
      <c r="AH457" s="161"/>
      <c r="AI457" s="161"/>
      <c r="AJ457" s="161"/>
      <c r="AK457" s="161"/>
      <c r="AL457" s="161"/>
      <c r="AM457" s="161"/>
      <c r="AN457" s="161"/>
      <c r="AO457" s="162"/>
      <c r="AP457" s="162"/>
      <c r="AQ457" s="162"/>
      <c r="AR457" s="162"/>
      <c r="AS457" s="162"/>
      <c r="AT457" s="162"/>
      <c r="AU457" s="1713"/>
      <c r="AV457" s="163"/>
      <c r="AW457" s="1713"/>
      <c r="AX457" s="161"/>
      <c r="AY457" s="161"/>
      <c r="AZ457" s="161"/>
      <c r="BA457" s="161"/>
      <c r="BB457" s="1713"/>
      <c r="BC457" s="1713"/>
      <c r="BD457" s="1713"/>
      <c r="BE457" s="1713"/>
      <c r="BF457" s="1713"/>
      <c r="BG457" s="161"/>
      <c r="BH457" s="161"/>
      <c r="BI457" s="161"/>
      <c r="BJ457" s="161"/>
      <c r="BK457" s="161"/>
      <c r="BL457" s="1713"/>
      <c r="BM457" s="1713"/>
      <c r="BN457" s="1713"/>
      <c r="BO457" s="1713"/>
      <c r="BP457" s="1713"/>
      <c r="BQ457" s="1713"/>
      <c r="BR457" s="161"/>
      <c r="BS457" s="161"/>
      <c r="BT457" s="161"/>
      <c r="BU457" s="161"/>
      <c r="BV457" s="161"/>
      <c r="BW457" s="161"/>
      <c r="BX457" s="161"/>
      <c r="BY457" s="161"/>
      <c r="BZ457" s="161"/>
      <c r="CA457" s="161"/>
      <c r="CB457" s="470"/>
      <c r="CC457" s="470"/>
      <c r="CD457" s="470"/>
      <c r="CE457" s="470"/>
      <c r="CF457" s="470"/>
      <c r="CG457" s="470"/>
      <c r="CH457" s="470"/>
      <c r="CI457" s="470"/>
      <c r="CJ457" s="1507"/>
      <c r="CK457" s="470"/>
      <c r="CL457" s="470"/>
      <c r="CM457" s="470"/>
      <c r="CN457" s="470"/>
      <c r="CO457" s="470"/>
      <c r="CP457" s="470"/>
      <c r="CQ457" s="470"/>
      <c r="CR457" s="470"/>
      <c r="CS457" s="470"/>
      <c r="CT457" s="470"/>
      <c r="CY457" s="480"/>
      <c r="CZ457" s="480"/>
      <c r="DA457" s="480"/>
      <c r="DB457" s="1152"/>
      <c r="DC457" s="1152"/>
      <c r="DD457" s="1152"/>
      <c r="DE457" s="1152"/>
      <c r="DF457" s="1152"/>
      <c r="DG457" s="1152"/>
      <c r="DH457" s="470"/>
      <c r="DI457" s="470"/>
      <c r="DJ457" s="470"/>
      <c r="DK457" s="470"/>
      <c r="DL457" s="470"/>
      <c r="DM457" s="471"/>
      <c r="DN457" s="518"/>
      <c r="DO457" s="470"/>
      <c r="DP457" s="161"/>
      <c r="DQ457" s="161"/>
      <c r="DR457" s="470"/>
      <c r="DS457" s="471"/>
    </row>
    <row r="458" spans="1:123" ht="20.100000000000001" customHeight="1" x14ac:dyDescent="0.25">
      <c r="A458" s="1714"/>
      <c r="B458" s="994">
        <f t="shared" si="1152"/>
        <v>17</v>
      </c>
      <c r="C458" s="1148">
        <v>23593009</v>
      </c>
      <c r="D458" s="1149" t="s">
        <v>7348</v>
      </c>
      <c r="E458" s="1717" t="s">
        <v>7628</v>
      </c>
      <c r="F458" s="1272"/>
      <c r="G458" s="1610"/>
      <c r="H458" s="1718"/>
      <c r="I458" s="974" t="s">
        <v>7629</v>
      </c>
      <c r="J458" s="364"/>
      <c r="K458" s="1713"/>
      <c r="L458" s="1713"/>
      <c r="M458" s="1713"/>
      <c r="N458" s="1713"/>
      <c r="O458" s="471"/>
      <c r="P458" s="471"/>
      <c r="Q458" s="1713"/>
      <c r="R458" s="475"/>
      <c r="S458" s="1713"/>
      <c r="T458" s="161"/>
      <c r="U458" s="161"/>
      <c r="V458" s="161"/>
      <c r="W458" s="161"/>
      <c r="X458" s="1713"/>
      <c r="Y458" s="1713"/>
      <c r="Z458" s="476"/>
      <c r="AA458" s="161"/>
      <c r="AB458" s="161"/>
      <c r="AC458" s="161"/>
      <c r="AD458" s="161"/>
      <c r="AE458" s="161"/>
      <c r="AF458" s="161"/>
      <c r="AG458" s="161"/>
      <c r="AH458" s="161"/>
      <c r="AI458" s="161"/>
      <c r="AJ458" s="161"/>
      <c r="AK458" s="161"/>
      <c r="AL458" s="161"/>
      <c r="AM458" s="161"/>
      <c r="AN458" s="161"/>
      <c r="AO458" s="162"/>
      <c r="AP458" s="162"/>
      <c r="AQ458" s="162"/>
      <c r="AR458" s="162"/>
      <c r="AS458" s="162"/>
      <c r="AT458" s="162"/>
      <c r="AU458" s="1713"/>
      <c r="AV458" s="163"/>
      <c r="AW458" s="1713"/>
      <c r="AX458" s="161"/>
      <c r="AY458" s="161"/>
      <c r="AZ458" s="161"/>
      <c r="BA458" s="161"/>
      <c r="BB458" s="1713"/>
      <c r="BC458" s="1713"/>
      <c r="BD458" s="1713"/>
      <c r="BE458" s="1713"/>
      <c r="BF458" s="1713"/>
      <c r="BG458" s="161"/>
      <c r="BH458" s="161"/>
      <c r="BI458" s="161"/>
      <c r="BJ458" s="161"/>
      <c r="BK458" s="161"/>
      <c r="BL458" s="1713"/>
      <c r="BM458" s="1713"/>
      <c r="BN458" s="1713"/>
      <c r="BO458" s="1713"/>
      <c r="BP458" s="1713"/>
      <c r="BQ458" s="1713"/>
      <c r="BR458" s="161"/>
      <c r="BS458" s="161"/>
      <c r="BT458" s="161"/>
      <c r="BU458" s="161"/>
      <c r="BV458" s="161"/>
      <c r="BW458" s="161"/>
      <c r="BX458" s="161"/>
      <c r="BY458" s="161"/>
      <c r="BZ458" s="161"/>
      <c r="CA458" s="161"/>
      <c r="CB458" s="470"/>
      <c r="CC458" s="470"/>
      <c r="CD458" s="470"/>
      <c r="CE458" s="470"/>
      <c r="CF458" s="470"/>
      <c r="CG458" s="470"/>
      <c r="CH458" s="470"/>
      <c r="CI458" s="470"/>
      <c r="CJ458" s="1507"/>
      <c r="CK458" s="470"/>
      <c r="CL458" s="470"/>
      <c r="CM458" s="470"/>
      <c r="CN458" s="470"/>
      <c r="CO458" s="470"/>
      <c r="CP458" s="470"/>
      <c r="CQ458" s="470"/>
      <c r="CR458" s="470"/>
      <c r="CS458" s="470"/>
      <c r="CT458" s="470"/>
      <c r="CY458" s="480"/>
      <c r="CZ458" s="480"/>
      <c r="DA458" s="480"/>
      <c r="DB458" s="1152"/>
      <c r="DC458" s="1152"/>
      <c r="DD458" s="1152"/>
      <c r="DE458" s="1152"/>
      <c r="DF458" s="1152"/>
      <c r="DG458" s="1152"/>
      <c r="DH458" s="470"/>
      <c r="DI458" s="470"/>
      <c r="DJ458" s="470"/>
      <c r="DK458" s="470"/>
      <c r="DL458" s="470"/>
      <c r="DM458" s="471"/>
      <c r="DN458" s="518"/>
      <c r="DO458" s="470"/>
      <c r="DP458" s="161"/>
      <c r="DQ458" s="161"/>
      <c r="DR458" s="470"/>
      <c r="DS458" s="471"/>
    </row>
    <row r="459" spans="1:123" ht="20.100000000000001" customHeight="1" x14ac:dyDescent="0.25">
      <c r="A459" s="1763"/>
      <c r="B459" s="994">
        <f t="shared" si="1152"/>
        <v>18</v>
      </c>
      <c r="C459" s="1148">
        <v>19372791</v>
      </c>
      <c r="D459" s="1149" t="s">
        <v>7247</v>
      </c>
      <c r="E459" s="1717" t="s">
        <v>7628</v>
      </c>
      <c r="F459" s="1272"/>
      <c r="G459" s="1610"/>
      <c r="H459" s="1718"/>
      <c r="I459" s="974" t="s">
        <v>7636</v>
      </c>
      <c r="J459" s="364"/>
      <c r="K459" s="1762"/>
      <c r="L459" s="1762"/>
      <c r="M459" s="1762"/>
      <c r="N459" s="1762"/>
      <c r="O459" s="471"/>
      <c r="P459" s="471"/>
      <c r="Q459" s="1762"/>
      <c r="R459" s="475"/>
      <c r="S459" s="1762"/>
      <c r="T459" s="161"/>
      <c r="U459" s="161"/>
      <c r="V459" s="161"/>
      <c r="W459" s="161"/>
      <c r="X459" s="1762"/>
      <c r="Y459" s="1762"/>
      <c r="Z459" s="476"/>
      <c r="AA459" s="161"/>
      <c r="AB459" s="161"/>
      <c r="AC459" s="161"/>
      <c r="AD459" s="161"/>
      <c r="AE459" s="161"/>
      <c r="AF459" s="161"/>
      <c r="AG459" s="161"/>
      <c r="AH459" s="161"/>
      <c r="AI459" s="161"/>
      <c r="AJ459" s="161"/>
      <c r="AK459" s="161"/>
      <c r="AL459" s="161"/>
      <c r="AM459" s="161"/>
      <c r="AN459" s="161"/>
      <c r="AO459" s="162"/>
      <c r="AP459" s="162"/>
      <c r="AQ459" s="162"/>
      <c r="AR459" s="162"/>
      <c r="AS459" s="162"/>
      <c r="AT459" s="162"/>
      <c r="AU459" s="1762"/>
      <c r="AV459" s="163"/>
      <c r="AW459" s="1762"/>
      <c r="AX459" s="161"/>
      <c r="AY459" s="161"/>
      <c r="AZ459" s="161"/>
      <c r="BA459" s="161"/>
      <c r="BB459" s="1762"/>
      <c r="BC459" s="1762"/>
      <c r="BD459" s="1762"/>
      <c r="BE459" s="1762"/>
      <c r="BF459" s="1762"/>
      <c r="BG459" s="161"/>
      <c r="BH459" s="161"/>
      <c r="BI459" s="161"/>
      <c r="BJ459" s="161"/>
      <c r="BK459" s="161"/>
      <c r="BL459" s="1762"/>
      <c r="BM459" s="1762"/>
      <c r="BN459" s="1762"/>
      <c r="BO459" s="1762"/>
      <c r="BP459" s="1762"/>
      <c r="BQ459" s="1762"/>
      <c r="BR459" s="161"/>
      <c r="BS459" s="161"/>
      <c r="BT459" s="161"/>
      <c r="BU459" s="161"/>
      <c r="BV459" s="161"/>
      <c r="BW459" s="161"/>
      <c r="BX459" s="161"/>
      <c r="BY459" s="161"/>
      <c r="BZ459" s="161"/>
      <c r="CA459" s="161"/>
      <c r="CB459" s="470"/>
      <c r="CC459" s="470"/>
      <c r="CD459" s="470"/>
      <c r="CE459" s="470"/>
      <c r="CF459" s="470"/>
      <c r="CG459" s="470"/>
      <c r="CH459" s="470"/>
      <c r="CI459" s="470"/>
      <c r="CJ459" s="1507"/>
      <c r="CK459" s="470"/>
      <c r="CL459" s="470"/>
      <c r="CM459" s="470"/>
      <c r="CN459" s="470"/>
      <c r="CO459" s="470"/>
      <c r="CP459" s="470"/>
      <c r="CQ459" s="470"/>
      <c r="CR459" s="470"/>
      <c r="CS459" s="470"/>
      <c r="CT459" s="470"/>
      <c r="CY459" s="480"/>
      <c r="CZ459" s="480"/>
      <c r="DA459" s="480"/>
      <c r="DB459" s="1152"/>
      <c r="DC459" s="1152"/>
      <c r="DD459" s="1152"/>
      <c r="DE459" s="1152"/>
      <c r="DF459" s="1152"/>
      <c r="DG459" s="1152"/>
      <c r="DH459" s="470"/>
      <c r="DI459" s="470"/>
      <c r="DJ459" s="470"/>
      <c r="DK459" s="470"/>
      <c r="DL459" s="470"/>
      <c r="DM459" s="471"/>
      <c r="DN459" s="518"/>
      <c r="DO459" s="470"/>
      <c r="DP459" s="161"/>
      <c r="DQ459" s="161"/>
      <c r="DR459" s="470"/>
      <c r="DS459" s="471"/>
    </row>
    <row r="460" spans="1:123" ht="20.100000000000001" customHeight="1" x14ac:dyDescent="0.25">
      <c r="A460" s="1763"/>
      <c r="B460" s="994">
        <f t="shared" si="1152"/>
        <v>19</v>
      </c>
      <c r="C460" s="1148">
        <v>20430884</v>
      </c>
      <c r="D460" s="1149" t="s">
        <v>5963</v>
      </c>
      <c r="E460" s="1717" t="s">
        <v>7628</v>
      </c>
      <c r="F460" s="1272"/>
      <c r="G460" s="1610"/>
      <c r="H460" s="1718"/>
      <c r="I460" s="974" t="s">
        <v>7636</v>
      </c>
      <c r="J460" s="364"/>
      <c r="K460" s="1762"/>
      <c r="L460" s="1762"/>
      <c r="M460" s="1762"/>
      <c r="N460" s="1762"/>
      <c r="O460" s="471"/>
      <c r="P460" s="471"/>
      <c r="Q460" s="1762"/>
      <c r="R460" s="475"/>
      <c r="S460" s="1762"/>
      <c r="T460" s="161"/>
      <c r="U460" s="161"/>
      <c r="V460" s="161"/>
      <c r="W460" s="161"/>
      <c r="X460" s="1762"/>
      <c r="Y460" s="1762"/>
      <c r="Z460" s="476"/>
      <c r="AA460" s="161"/>
      <c r="AB460" s="161"/>
      <c r="AC460" s="161"/>
      <c r="AD460" s="161"/>
      <c r="AE460" s="161"/>
      <c r="AF460" s="161"/>
      <c r="AG460" s="161"/>
      <c r="AH460" s="161"/>
      <c r="AI460" s="161"/>
      <c r="AJ460" s="161"/>
      <c r="AK460" s="161"/>
      <c r="AL460" s="161"/>
      <c r="AM460" s="161"/>
      <c r="AN460" s="161"/>
      <c r="AO460" s="162"/>
      <c r="AP460" s="162"/>
      <c r="AQ460" s="162"/>
      <c r="AR460" s="162"/>
      <c r="AS460" s="162"/>
      <c r="AT460" s="162"/>
      <c r="AU460" s="1762"/>
      <c r="AV460" s="163"/>
      <c r="AW460" s="1762"/>
      <c r="AX460" s="161"/>
      <c r="AY460" s="161"/>
      <c r="AZ460" s="161"/>
      <c r="BA460" s="161"/>
      <c r="BB460" s="1762"/>
      <c r="BC460" s="1762"/>
      <c r="BD460" s="1762"/>
      <c r="BE460" s="1762"/>
      <c r="BF460" s="1762"/>
      <c r="BG460" s="161"/>
      <c r="BH460" s="161"/>
      <c r="BI460" s="161"/>
      <c r="BJ460" s="161"/>
      <c r="BK460" s="161"/>
      <c r="BL460" s="1762"/>
      <c r="BM460" s="1762"/>
      <c r="BN460" s="1762"/>
      <c r="BO460" s="1762"/>
      <c r="BP460" s="1762"/>
      <c r="BQ460" s="1762"/>
      <c r="BR460" s="161"/>
      <c r="BS460" s="161"/>
      <c r="BT460" s="161"/>
      <c r="BU460" s="161"/>
      <c r="BV460" s="161"/>
      <c r="BW460" s="161"/>
      <c r="BX460" s="161"/>
      <c r="BY460" s="161"/>
      <c r="BZ460" s="161"/>
      <c r="CA460" s="161"/>
      <c r="CB460" s="470"/>
      <c r="CC460" s="470"/>
      <c r="CD460" s="470"/>
      <c r="CE460" s="470"/>
      <c r="CF460" s="470"/>
      <c r="CG460" s="470"/>
      <c r="CH460" s="470"/>
      <c r="CI460" s="470"/>
      <c r="CJ460" s="1507"/>
      <c r="CK460" s="470"/>
      <c r="CL460" s="470"/>
      <c r="CM460" s="470"/>
      <c r="CN460" s="470"/>
      <c r="CO460" s="470"/>
      <c r="CP460" s="470"/>
      <c r="CQ460" s="470"/>
      <c r="CR460" s="470"/>
      <c r="CS460" s="470"/>
      <c r="CT460" s="470"/>
      <c r="CY460" s="480"/>
      <c r="CZ460" s="480"/>
      <c r="DA460" s="480"/>
      <c r="DB460" s="1152"/>
      <c r="DC460" s="1152"/>
      <c r="DD460" s="1152"/>
      <c r="DE460" s="1152"/>
      <c r="DF460" s="1152"/>
      <c r="DG460" s="1152"/>
      <c r="DH460" s="470"/>
      <c r="DI460" s="470"/>
      <c r="DJ460" s="470"/>
      <c r="DK460" s="470"/>
      <c r="DL460" s="470"/>
      <c r="DM460" s="471"/>
      <c r="DN460" s="518"/>
      <c r="DO460" s="470"/>
      <c r="DP460" s="161"/>
      <c r="DQ460" s="161"/>
      <c r="DR460" s="470"/>
      <c r="DS460" s="471"/>
    </row>
    <row r="461" spans="1:123" ht="20.100000000000001" customHeight="1" x14ac:dyDescent="0.25">
      <c r="A461" s="1651"/>
      <c r="B461" s="994">
        <f t="shared" si="1152"/>
        <v>20</v>
      </c>
      <c r="C461" s="995">
        <v>18670458</v>
      </c>
      <c r="D461" s="1641" t="s">
        <v>7250</v>
      </c>
      <c r="E461" s="1271" t="s">
        <v>5243</v>
      </c>
      <c r="F461" s="1272"/>
      <c r="G461" s="1610"/>
      <c r="H461" s="1609"/>
      <c r="I461" s="974" t="s">
        <v>7551</v>
      </c>
      <c r="J461" s="364"/>
      <c r="K461" s="1650"/>
      <c r="L461" s="1650"/>
      <c r="M461" s="1650"/>
      <c r="N461" s="1650"/>
      <c r="O461" s="471"/>
      <c r="P461" s="471"/>
      <c r="Q461" s="1650"/>
      <c r="R461" s="475"/>
      <c r="S461" s="1650"/>
      <c r="T461" s="161"/>
      <c r="U461" s="161"/>
      <c r="V461" s="161"/>
      <c r="W461" s="161"/>
      <c r="X461" s="1650"/>
      <c r="Y461" s="1650"/>
      <c r="Z461" s="476"/>
      <c r="AA461" s="161"/>
      <c r="AB461" s="161"/>
      <c r="AC461" s="161"/>
      <c r="AD461" s="161"/>
      <c r="AE461" s="161"/>
      <c r="AF461" s="161"/>
      <c r="AG461" s="161"/>
      <c r="AH461" s="161"/>
      <c r="AI461" s="161"/>
      <c r="AJ461" s="161"/>
      <c r="AK461" s="161"/>
      <c r="AL461" s="161"/>
      <c r="AM461" s="161"/>
      <c r="AN461" s="161"/>
      <c r="AO461" s="162"/>
      <c r="AP461" s="162"/>
      <c r="AQ461" s="162"/>
      <c r="AR461" s="162"/>
      <c r="AS461" s="162"/>
      <c r="AT461" s="162"/>
      <c r="AU461" s="1650"/>
      <c r="AV461" s="163"/>
      <c r="AW461" s="1650"/>
      <c r="AX461" s="161"/>
      <c r="AY461" s="161"/>
      <c r="AZ461" s="161"/>
      <c r="BA461" s="161"/>
      <c r="BB461" s="1650"/>
      <c r="BC461" s="1650"/>
      <c r="BD461" s="1650"/>
      <c r="BE461" s="1650"/>
      <c r="BF461" s="1650"/>
      <c r="BG461" s="161"/>
      <c r="BH461" s="161"/>
      <c r="BI461" s="161"/>
      <c r="BJ461" s="161"/>
      <c r="BK461" s="161"/>
      <c r="BL461" s="1650"/>
      <c r="BM461" s="1650"/>
      <c r="BN461" s="1650"/>
      <c r="BO461" s="1650"/>
      <c r="BP461" s="1650"/>
      <c r="BQ461" s="1650"/>
      <c r="BR461" s="161"/>
      <c r="BS461" s="161"/>
      <c r="BT461" s="161"/>
      <c r="BU461" s="161"/>
      <c r="BV461" s="161"/>
      <c r="BW461" s="161"/>
      <c r="BX461" s="161"/>
      <c r="BY461" s="161"/>
      <c r="BZ461" s="161"/>
      <c r="CA461" s="161"/>
      <c r="CB461" s="470"/>
      <c r="CC461" s="470"/>
      <c r="CD461" s="470"/>
      <c r="CE461" s="470"/>
      <c r="CF461" s="470"/>
      <c r="CG461" s="470"/>
      <c r="CH461" s="470"/>
      <c r="CI461" s="470"/>
      <c r="CJ461" s="1507"/>
      <c r="CK461" s="470"/>
      <c r="CL461" s="470"/>
      <c r="CM461" s="470"/>
      <c r="CN461" s="470"/>
      <c r="CO461" s="470"/>
      <c r="CP461" s="470"/>
      <c r="CQ461" s="470"/>
      <c r="CR461" s="470"/>
      <c r="CS461" s="470"/>
      <c r="CT461" s="470"/>
      <c r="CY461" s="480"/>
      <c r="CZ461" s="480"/>
      <c r="DA461" s="480"/>
      <c r="DB461" s="1152"/>
      <c r="DC461" s="1152"/>
      <c r="DD461" s="1152"/>
      <c r="DE461" s="1152"/>
      <c r="DF461" s="1152"/>
      <c r="DG461" s="1152"/>
      <c r="DH461" s="470"/>
      <c r="DI461" s="470"/>
      <c r="DJ461" s="470"/>
      <c r="DK461" s="470"/>
      <c r="DL461" s="470"/>
      <c r="DM461" s="471"/>
      <c r="DN461" s="518"/>
      <c r="DO461" s="470"/>
      <c r="DP461" s="161"/>
      <c r="DQ461" s="161"/>
      <c r="DR461" s="470"/>
      <c r="DS461" s="471"/>
    </row>
    <row r="462" spans="1:123" ht="20.100000000000001" customHeight="1" thickBot="1" x14ac:dyDescent="0.3">
      <c r="A462" s="1456"/>
      <c r="B462" s="994">
        <f t="shared" si="1152"/>
        <v>21</v>
      </c>
      <c r="C462" s="1311">
        <v>11896941</v>
      </c>
      <c r="D462" s="1312" t="s">
        <v>4749</v>
      </c>
      <c r="E462" s="1273" t="s">
        <v>5221</v>
      </c>
      <c r="F462" s="1274"/>
      <c r="G462" s="1611"/>
      <c r="H462" s="1612"/>
      <c r="I462" s="974" t="s">
        <v>7372</v>
      </c>
      <c r="J462" s="364"/>
      <c r="K462" s="1455"/>
      <c r="L462" s="1455"/>
      <c r="M462" s="1455"/>
      <c r="N462" s="1455"/>
      <c r="O462" s="471"/>
      <c r="P462" s="471"/>
      <c r="Q462" s="1455"/>
      <c r="R462" s="475"/>
      <c r="S462" s="1455"/>
      <c r="T462" s="161"/>
      <c r="U462" s="161"/>
      <c r="V462" s="161"/>
      <c r="W462" s="161"/>
      <c r="X462" s="1455"/>
      <c r="Y462" s="1455"/>
      <c r="Z462" s="476"/>
      <c r="AA462" s="161"/>
      <c r="AB462" s="161"/>
      <c r="AC462" s="161"/>
      <c r="AD462" s="161"/>
      <c r="AE462" s="161"/>
      <c r="AF462" s="161"/>
      <c r="AG462" s="161"/>
      <c r="AH462" s="161"/>
      <c r="AI462" s="161"/>
      <c r="AJ462" s="161"/>
      <c r="AK462" s="161"/>
      <c r="AL462" s="161"/>
      <c r="AM462" s="161"/>
      <c r="AN462" s="161"/>
      <c r="AO462" s="162"/>
      <c r="AP462" s="162"/>
      <c r="AQ462" s="162"/>
      <c r="AR462" s="162"/>
      <c r="AS462" s="162"/>
      <c r="AT462" s="162"/>
      <c r="AU462" s="1455"/>
      <c r="AV462" s="163"/>
      <c r="AW462" s="1455"/>
      <c r="AX462" s="161"/>
      <c r="AY462" s="161"/>
      <c r="AZ462" s="161"/>
      <c r="BA462" s="161"/>
      <c r="BB462" s="1455"/>
      <c r="BC462" s="1455"/>
      <c r="BD462" s="1455"/>
      <c r="BE462" s="1455"/>
      <c r="BF462" s="1455"/>
      <c r="BG462" s="161"/>
      <c r="BH462" s="161"/>
      <c r="BI462" s="161"/>
      <c r="BJ462" s="161"/>
      <c r="BK462" s="161"/>
      <c r="BL462" s="1455"/>
      <c r="BM462" s="1455"/>
      <c r="BN462" s="1455"/>
      <c r="BO462" s="1455"/>
      <c r="BP462" s="1455"/>
      <c r="BQ462" s="1455"/>
      <c r="BR462" s="161"/>
      <c r="BS462" s="161"/>
      <c r="BT462" s="161"/>
      <c r="BU462" s="161"/>
      <c r="BV462" s="161"/>
      <c r="BW462" s="161"/>
      <c r="BX462" s="161"/>
      <c r="BY462" s="161"/>
      <c r="BZ462" s="161"/>
      <c r="CA462" s="161"/>
      <c r="CB462" s="470"/>
      <c r="CC462" s="470"/>
      <c r="CD462" s="470"/>
      <c r="CE462" s="470"/>
      <c r="CF462" s="470"/>
      <c r="CG462" s="470"/>
      <c r="CH462" s="470"/>
      <c r="CI462" s="470"/>
      <c r="CJ462" s="1507"/>
      <c r="CK462" s="470"/>
      <c r="CL462" s="470"/>
      <c r="CM462" s="470"/>
      <c r="CN462" s="470"/>
      <c r="CO462" s="470"/>
      <c r="CP462" s="470"/>
      <c r="CQ462" s="470"/>
      <c r="CR462" s="470"/>
      <c r="CS462" s="470"/>
      <c r="CT462" s="470"/>
      <c r="CY462" s="480"/>
      <c r="CZ462" s="480"/>
      <c r="DA462" s="480"/>
      <c r="DB462" s="1152"/>
      <c r="DC462" s="1152"/>
      <c r="DD462" s="1152"/>
      <c r="DE462" s="1152"/>
      <c r="DF462" s="1152"/>
      <c r="DG462" s="1152"/>
      <c r="DH462" s="470"/>
      <c r="DI462" s="470"/>
      <c r="DJ462" s="470"/>
      <c r="DK462" s="470"/>
      <c r="DL462" s="470"/>
      <c r="DM462" s="471"/>
      <c r="DN462" s="518"/>
      <c r="DO462" s="470"/>
      <c r="DP462" s="161"/>
      <c r="DQ462" s="161"/>
      <c r="DR462" s="470"/>
      <c r="DS462" s="471"/>
    </row>
    <row r="463" spans="1:123" ht="18.75" x14ac:dyDescent="0.25">
      <c r="A463" s="1159"/>
      <c r="B463" s="556"/>
      <c r="C463" s="1638"/>
      <c r="D463" s="552"/>
      <c r="E463" s="1639"/>
      <c r="F463" s="1639"/>
      <c r="G463" s="1640"/>
      <c r="H463" s="554"/>
      <c r="I463" s="974"/>
      <c r="J463" s="1156"/>
      <c r="K463" s="1156"/>
      <c r="L463" s="1156"/>
      <c r="M463" s="1156"/>
      <c r="N463" s="1156"/>
      <c r="O463" s="471"/>
      <c r="P463" s="471"/>
      <c r="Q463" s="1156"/>
      <c r="R463" s="475"/>
      <c r="S463" s="1156"/>
      <c r="T463" s="161"/>
      <c r="U463" s="161"/>
      <c r="V463" s="161"/>
      <c r="W463" s="161"/>
      <c r="X463" s="1156"/>
      <c r="Y463" s="1156"/>
      <c r="Z463" s="476"/>
      <c r="AA463" s="161"/>
      <c r="AB463" s="161"/>
      <c r="AC463" s="161"/>
      <c r="AD463" s="161"/>
      <c r="AE463" s="161"/>
      <c r="AF463" s="161"/>
      <c r="AG463" s="161"/>
      <c r="AH463" s="161"/>
      <c r="AI463" s="161"/>
      <c r="AJ463" s="161"/>
      <c r="AK463" s="161"/>
      <c r="AL463" s="161"/>
      <c r="AM463" s="161"/>
      <c r="AN463" s="161"/>
      <c r="AO463" s="162"/>
      <c r="AP463" s="162"/>
      <c r="AQ463" s="162"/>
      <c r="AR463" s="162"/>
      <c r="AS463" s="162"/>
      <c r="AT463" s="162"/>
      <c r="AU463" s="1156"/>
      <c r="AV463" s="163"/>
      <c r="AW463" s="1156"/>
      <c r="AX463" s="161"/>
      <c r="AY463" s="161"/>
      <c r="AZ463" s="161"/>
      <c r="BA463" s="161"/>
      <c r="BB463" s="1156"/>
      <c r="BC463" s="1156"/>
      <c r="BD463" s="1156"/>
      <c r="BE463" s="1156"/>
      <c r="BF463" s="1156"/>
      <c r="BG463" s="161"/>
      <c r="BH463" s="161"/>
      <c r="BI463" s="161"/>
      <c r="BJ463" s="161"/>
      <c r="BK463" s="161"/>
      <c r="BL463" s="1156"/>
      <c r="BM463" s="1156"/>
      <c r="BN463" s="1156"/>
      <c r="BO463" s="1156"/>
      <c r="BP463" s="1156"/>
      <c r="BQ463" s="1156"/>
      <c r="BR463" s="161"/>
      <c r="BS463" s="161"/>
      <c r="BT463" s="161"/>
      <c r="BU463" s="161"/>
      <c r="BV463" s="161"/>
      <c r="BW463" s="161"/>
      <c r="BX463" s="161"/>
      <c r="BY463" s="161"/>
      <c r="BZ463" s="161"/>
      <c r="CA463" s="161"/>
      <c r="CB463" s="470"/>
      <c r="CC463" s="470"/>
      <c r="CD463" s="470"/>
      <c r="CE463" s="470"/>
      <c r="CF463" s="470"/>
      <c r="CG463" s="470"/>
      <c r="CH463" s="470"/>
      <c r="CI463" s="470"/>
      <c r="CJ463" s="1507"/>
      <c r="CK463" s="470"/>
      <c r="CL463" s="470"/>
      <c r="CM463" s="470"/>
      <c r="CN463" s="470"/>
      <c r="CO463" s="470"/>
      <c r="CP463" s="470"/>
      <c r="CQ463" s="470"/>
      <c r="CR463" s="470"/>
      <c r="CS463" s="470"/>
      <c r="CT463" s="470"/>
      <c r="CY463" s="480"/>
      <c r="CZ463" s="480"/>
      <c r="DA463" s="480"/>
      <c r="DB463" s="1152"/>
      <c r="DC463" s="1152"/>
      <c r="DD463" s="1152"/>
      <c r="DE463" s="1152"/>
      <c r="DF463" s="1152"/>
      <c r="DG463" s="1152"/>
      <c r="DH463" s="470"/>
      <c r="DI463" s="470"/>
      <c r="DJ463" s="470"/>
      <c r="DK463" s="470"/>
      <c r="DL463" s="470"/>
      <c r="DM463" s="471"/>
      <c r="DN463" s="518"/>
      <c r="DO463" s="470"/>
      <c r="DP463" s="161"/>
      <c r="DQ463" s="161"/>
      <c r="DR463" s="470"/>
      <c r="DS463" s="471"/>
    </row>
    <row r="464" spans="1:123" ht="18.75" x14ac:dyDescent="0.25">
      <c r="A464" s="555">
        <v>280</v>
      </c>
      <c r="B464" s="561" t="s">
        <v>7254</v>
      </c>
      <c r="C464" s="180"/>
      <c r="D464" s="552"/>
      <c r="E464" s="477"/>
      <c r="F464" s="553"/>
      <c r="G464" s="180"/>
      <c r="H464" s="554"/>
      <c r="I464" s="1156"/>
      <c r="J464" s="1156"/>
      <c r="K464" s="1156"/>
      <c r="L464" s="1156"/>
      <c r="M464" s="1156"/>
      <c r="N464" s="1156"/>
      <c r="O464" s="471"/>
      <c r="P464" s="471"/>
      <c r="Q464" s="1156"/>
      <c r="R464" s="475"/>
      <c r="S464" s="1156"/>
      <c r="T464" s="161"/>
      <c r="U464" s="161"/>
      <c r="V464" s="161"/>
      <c r="W464" s="161"/>
      <c r="X464" s="1156"/>
      <c r="Y464" s="1156"/>
      <c r="Z464" s="476"/>
      <c r="AA464" s="161"/>
      <c r="AB464" s="161"/>
      <c r="AC464" s="161"/>
      <c r="AD464" s="161"/>
      <c r="AE464" s="161"/>
      <c r="AF464" s="161"/>
      <c r="AG464" s="161"/>
      <c r="AH464" s="161"/>
      <c r="AI464" s="161"/>
      <c r="AJ464" s="161"/>
      <c r="AK464" s="161"/>
      <c r="AL464" s="161"/>
      <c r="AM464" s="161"/>
      <c r="AN464" s="161"/>
      <c r="AO464" s="162"/>
      <c r="AP464" s="162"/>
      <c r="AQ464" s="162"/>
      <c r="AR464" s="162"/>
      <c r="AS464" s="162"/>
      <c r="AT464" s="162"/>
      <c r="AU464" s="1156"/>
      <c r="AV464" s="163"/>
      <c r="AW464" s="1156"/>
      <c r="AX464" s="161"/>
      <c r="AY464" s="161"/>
      <c r="AZ464" s="161"/>
      <c r="BA464" s="161"/>
      <c r="BB464" s="1156"/>
      <c r="BC464" s="1156"/>
      <c r="BD464" s="1156"/>
      <c r="BE464" s="1156"/>
      <c r="BF464" s="1156"/>
      <c r="BG464" s="161"/>
      <c r="BH464" s="161"/>
      <c r="BI464" s="161"/>
      <c r="BJ464" s="161"/>
      <c r="BK464" s="161"/>
      <c r="BL464" s="1156"/>
      <c r="BM464" s="1156"/>
      <c r="BN464" s="1156"/>
      <c r="BO464" s="1156"/>
      <c r="BP464" s="1156"/>
      <c r="BQ464" s="1156"/>
      <c r="BR464" s="161"/>
      <c r="BS464" s="161"/>
      <c r="BT464" s="161"/>
      <c r="BU464" s="161"/>
      <c r="BV464" s="161"/>
      <c r="BW464" s="161"/>
      <c r="BX464" s="161"/>
      <c r="BY464" s="161"/>
      <c r="BZ464" s="161"/>
      <c r="CA464" s="161"/>
      <c r="CB464" s="470"/>
      <c r="CC464" s="470"/>
      <c r="CD464" s="470"/>
      <c r="CE464" s="470"/>
      <c r="CF464" s="470"/>
      <c r="CG464" s="470"/>
      <c r="CH464" s="470"/>
      <c r="CI464" s="470"/>
      <c r="CJ464" s="1507"/>
      <c r="CK464" s="470"/>
      <c r="CL464" s="470"/>
      <c r="CM464" s="470"/>
      <c r="CN464" s="470"/>
      <c r="CO464" s="470"/>
      <c r="CP464" s="470"/>
      <c r="CQ464" s="470"/>
      <c r="CR464" s="470"/>
      <c r="CS464" s="470"/>
      <c r="CT464" s="470"/>
      <c r="CY464" s="480"/>
      <c r="CZ464" s="480"/>
      <c r="DA464" s="480"/>
      <c r="DB464" s="1152"/>
      <c r="DC464" s="1152"/>
      <c r="DD464" s="1152"/>
      <c r="DE464" s="1152"/>
      <c r="DF464" s="1152"/>
      <c r="DG464" s="1152"/>
      <c r="DH464" s="470"/>
      <c r="DI464" s="470"/>
      <c r="DJ464" s="470"/>
      <c r="DK464" s="470"/>
      <c r="DL464" s="470"/>
      <c r="DM464" s="471"/>
      <c r="DN464" s="518"/>
      <c r="DO464" s="470"/>
      <c r="DP464" s="161"/>
      <c r="DQ464" s="161"/>
      <c r="DR464" s="470"/>
      <c r="DS464" s="471"/>
    </row>
    <row r="465" spans="1:123" ht="19.5" thickBot="1" x14ac:dyDescent="0.3">
      <c r="A465" s="1029">
        <f ca="1">A464-(B303+B439*0+B462)</f>
        <v>0</v>
      </c>
      <c r="B465" s="1030" t="s">
        <v>5182</v>
      </c>
      <c r="C465" s="1031"/>
      <c r="D465" s="1032"/>
      <c r="E465" s="1033"/>
      <c r="F465" s="1034"/>
      <c r="G465" s="1031"/>
      <c r="H465" s="1035"/>
      <c r="I465" s="1156"/>
      <c r="J465" s="1156"/>
      <c r="K465" s="1156"/>
      <c r="L465" s="1156"/>
      <c r="M465" s="1156"/>
      <c r="N465" s="1156"/>
      <c r="O465" s="471"/>
      <c r="P465" s="471"/>
      <c r="Q465" s="1156"/>
      <c r="R465" s="475"/>
      <c r="S465" s="1156"/>
      <c r="T465" s="161"/>
      <c r="U465" s="161"/>
      <c r="V465" s="161"/>
      <c r="W465" s="161"/>
      <c r="X465" s="1156"/>
      <c r="Y465" s="1156"/>
      <c r="Z465" s="476"/>
      <c r="AA465" s="161"/>
      <c r="AB465" s="161"/>
      <c r="AC465" s="161"/>
      <c r="AD465" s="161"/>
      <c r="AE465" s="161"/>
      <c r="AF465" s="161"/>
      <c r="AG465" s="161"/>
      <c r="AH465" s="161"/>
      <c r="AI465" s="161"/>
      <c r="AJ465" s="161"/>
      <c r="AK465" s="161"/>
      <c r="AL465" s="161"/>
      <c r="AM465" s="161"/>
      <c r="AN465" s="161"/>
      <c r="AO465" s="162"/>
      <c r="AP465" s="162"/>
      <c r="AQ465" s="162"/>
      <c r="AR465" s="162"/>
      <c r="AS465" s="162"/>
      <c r="AT465" s="162"/>
      <c r="AU465" s="1156"/>
      <c r="AV465" s="163"/>
      <c r="AW465" s="1156"/>
      <c r="AX465" s="161"/>
      <c r="AY465" s="161"/>
      <c r="AZ465" s="161"/>
      <c r="BA465" s="161"/>
      <c r="BB465" s="1156"/>
      <c r="BC465" s="1156"/>
      <c r="BD465" s="1156"/>
      <c r="BE465" s="1156"/>
      <c r="BF465" s="1156"/>
      <c r="BG465" s="161"/>
      <c r="BH465" s="161"/>
      <c r="BI465" s="161"/>
      <c r="BJ465" s="161"/>
      <c r="BK465" s="161"/>
      <c r="BL465" s="1156"/>
      <c r="BM465" s="1156"/>
      <c r="BN465" s="1156"/>
      <c r="BO465" s="1156"/>
      <c r="BP465" s="1156"/>
      <c r="BQ465" s="1156"/>
      <c r="BR465" s="161"/>
      <c r="BS465" s="161"/>
      <c r="BT465" s="161"/>
      <c r="BU465" s="161"/>
      <c r="BV465" s="161"/>
      <c r="BW465" s="161"/>
      <c r="BX465" s="161"/>
      <c r="BY465" s="161"/>
      <c r="BZ465" s="161"/>
      <c r="CA465" s="161"/>
      <c r="CB465" s="470"/>
      <c r="CC465" s="470"/>
      <c r="CD465" s="470"/>
      <c r="CE465" s="470"/>
      <c r="CF465" s="470"/>
      <c r="CG465" s="470"/>
      <c r="CH465" s="470"/>
      <c r="CI465" s="470"/>
      <c r="CJ465" s="1507"/>
      <c r="CK465" s="470"/>
      <c r="CL465" s="470"/>
      <c r="CM465" s="470"/>
      <c r="CN465" s="470"/>
      <c r="CO465" s="470"/>
      <c r="CP465" s="470"/>
      <c r="CQ465" s="470"/>
      <c r="CR465" s="470"/>
      <c r="CS465" s="470"/>
      <c r="CT465" s="470"/>
      <c r="CY465" s="480"/>
      <c r="CZ465" s="480"/>
      <c r="DA465" s="480"/>
      <c r="DB465" s="1152"/>
      <c r="DC465" s="1152"/>
      <c r="DD465" s="1152"/>
      <c r="DE465" s="1152"/>
      <c r="DF465" s="1152"/>
      <c r="DG465" s="1152"/>
      <c r="DH465" s="470"/>
      <c r="DI465" s="470"/>
      <c r="DJ465" s="470"/>
      <c r="DK465" s="470"/>
      <c r="DL465" s="470"/>
      <c r="DM465" s="471"/>
      <c r="DN465" s="518"/>
      <c r="DO465" s="470"/>
      <c r="DP465" s="161"/>
      <c r="DQ465" s="161"/>
      <c r="DR465" s="470"/>
      <c r="DS465" s="471"/>
    </row>
    <row r="466" spans="1:123" ht="18.75" x14ac:dyDescent="0.25">
      <c r="A466" s="1156"/>
      <c r="B466" s="561"/>
      <c r="C466" s="1156"/>
      <c r="D466" s="218"/>
      <c r="E466" s="471"/>
      <c r="F466" s="420"/>
      <c r="G466" s="1156"/>
      <c r="H466" s="474"/>
      <c r="I466" s="1156"/>
      <c r="J466" s="1156"/>
      <c r="K466" s="1156"/>
      <c r="L466" s="1156"/>
      <c r="M466" s="1156"/>
      <c r="N466" s="1156"/>
      <c r="O466" s="471"/>
      <c r="P466" s="471"/>
      <c r="Q466" s="1156"/>
      <c r="R466" s="475"/>
      <c r="S466" s="1156"/>
      <c r="T466" s="161"/>
      <c r="U466" s="161"/>
      <c r="V466" s="161"/>
      <c r="W466" s="161"/>
      <c r="X466" s="1156"/>
      <c r="Y466" s="1156"/>
      <c r="Z466" s="476"/>
      <c r="AA466" s="161"/>
      <c r="AB466" s="161"/>
      <c r="AC466" s="161"/>
      <c r="AD466" s="161"/>
      <c r="AE466" s="161"/>
      <c r="AF466" s="161"/>
      <c r="AG466" s="161"/>
      <c r="AH466" s="161"/>
      <c r="AI466" s="161"/>
      <c r="AJ466" s="161"/>
      <c r="AK466" s="161"/>
      <c r="AL466" s="161"/>
      <c r="AM466" s="161"/>
      <c r="AN466" s="161"/>
      <c r="AO466" s="162"/>
      <c r="AP466" s="162"/>
      <c r="AQ466" s="162"/>
      <c r="AR466" s="162"/>
      <c r="AS466" s="162"/>
      <c r="AT466" s="162"/>
      <c r="AU466" s="1156"/>
      <c r="AV466" s="163"/>
      <c r="AW466" s="1156"/>
      <c r="AX466" s="161"/>
      <c r="AY466" s="161"/>
      <c r="AZ466" s="161"/>
      <c r="BA466" s="161"/>
      <c r="BB466" s="1156"/>
      <c r="BC466" s="1156"/>
      <c r="BD466" s="1156"/>
      <c r="BE466" s="1156"/>
      <c r="BF466" s="1156"/>
      <c r="BG466" s="161"/>
      <c r="BH466" s="161"/>
      <c r="BI466" s="161"/>
      <c r="BJ466" s="161"/>
      <c r="BK466" s="161"/>
      <c r="BL466" s="1156"/>
      <c r="BM466" s="1156"/>
      <c r="BN466" s="1156"/>
      <c r="BO466" s="1156"/>
      <c r="BP466" s="1156"/>
      <c r="BQ466" s="1156"/>
      <c r="BR466" s="161"/>
      <c r="BS466" s="161"/>
      <c r="BT466" s="161"/>
      <c r="BU466" s="161"/>
      <c r="BV466" s="161"/>
      <c r="BW466" s="161"/>
      <c r="BX466" s="161"/>
      <c r="BY466" s="161"/>
      <c r="BZ466" s="161"/>
      <c r="CA466" s="161"/>
      <c r="CB466" s="470"/>
      <c r="CC466" s="470"/>
      <c r="CD466" s="470"/>
      <c r="CE466" s="470"/>
      <c r="CF466" s="470"/>
      <c r="CG466" s="470"/>
      <c r="CH466" s="470"/>
      <c r="CI466" s="470"/>
      <c r="CJ466" s="1507"/>
      <c r="CK466" s="470"/>
      <c r="CL466" s="470"/>
      <c r="CM466" s="470"/>
      <c r="CN466" s="470"/>
      <c r="CO466" s="470"/>
      <c r="CP466" s="470"/>
      <c r="CQ466" s="470"/>
      <c r="CR466" s="470"/>
      <c r="CS466" s="470"/>
      <c r="CT466" s="470"/>
      <c r="CY466" s="480"/>
      <c r="CZ466" s="480"/>
      <c r="DA466" s="480"/>
      <c r="DB466" s="1152"/>
      <c r="DC466" s="1152"/>
      <c r="DD466" s="1152"/>
      <c r="DE466" s="1152"/>
      <c r="DF466" s="1152"/>
      <c r="DG466" s="1152"/>
      <c r="DH466" s="470"/>
      <c r="DI466" s="470"/>
      <c r="DJ466" s="470"/>
      <c r="DK466" s="470"/>
      <c r="DL466" s="470"/>
      <c r="DM466" s="471"/>
      <c r="DN466" s="518"/>
      <c r="DO466" s="470"/>
      <c r="DP466" s="161"/>
      <c r="DQ466" s="161"/>
      <c r="DR466" s="470"/>
      <c r="DS466" s="471"/>
    </row>
    <row r="467" spans="1:123" ht="15.75" thickBot="1" x14ac:dyDescent="0.3">
      <c r="A467" s="1156"/>
      <c r="B467" s="1156"/>
      <c r="C467" s="1156"/>
      <c r="D467" s="218"/>
      <c r="E467" s="471"/>
      <c r="F467" s="420"/>
      <c r="G467" s="1156"/>
      <c r="H467" s="474"/>
      <c r="I467" s="1156"/>
      <c r="J467" s="1156"/>
      <c r="K467" s="1156"/>
      <c r="L467" s="1156"/>
      <c r="M467" s="1156"/>
      <c r="N467" s="1156"/>
      <c r="O467" s="471"/>
      <c r="P467" s="471"/>
      <c r="Q467" s="1156"/>
      <c r="R467" s="475"/>
      <c r="S467" s="1156"/>
      <c r="T467" s="161"/>
      <c r="U467" s="161"/>
      <c r="V467" s="161"/>
      <c r="W467" s="161"/>
      <c r="X467" s="1156"/>
      <c r="Y467" s="1156"/>
      <c r="Z467" s="476"/>
      <c r="AA467" s="161"/>
      <c r="AB467" s="161"/>
      <c r="AC467" s="161"/>
      <c r="AD467" s="161"/>
      <c r="AE467" s="161"/>
      <c r="AF467" s="161"/>
      <c r="AG467" s="161"/>
      <c r="AH467" s="161"/>
      <c r="AI467" s="161"/>
      <c r="AJ467" s="161"/>
      <c r="AK467" s="161"/>
      <c r="AL467" s="161"/>
      <c r="AM467" s="161"/>
      <c r="AN467" s="161"/>
      <c r="AO467" s="162"/>
      <c r="AP467" s="162"/>
      <c r="AQ467" s="162"/>
      <c r="AR467" s="162"/>
      <c r="AS467" s="162"/>
      <c r="AT467" s="162"/>
      <c r="AU467" s="1156"/>
      <c r="AV467" s="163"/>
      <c r="AW467" s="1156"/>
      <c r="AX467" s="161"/>
      <c r="AY467" s="161"/>
      <c r="AZ467" s="161"/>
      <c r="BA467" s="161"/>
      <c r="BB467" s="1156"/>
      <c r="BC467" s="1156"/>
      <c r="BD467" s="1156"/>
      <c r="BE467" s="1156"/>
      <c r="BF467" s="1156"/>
      <c r="BG467" s="161"/>
      <c r="BH467" s="161"/>
      <c r="BI467" s="161"/>
      <c r="BJ467" s="161"/>
      <c r="BK467" s="161"/>
      <c r="BL467" s="1156"/>
      <c r="BM467" s="1156"/>
      <c r="BN467" s="1156"/>
      <c r="BO467" s="1156"/>
      <c r="BP467" s="1156"/>
      <c r="BQ467" s="1156"/>
      <c r="BR467" s="161"/>
      <c r="BS467" s="161"/>
      <c r="BT467" s="161"/>
      <c r="BU467" s="161"/>
      <c r="BV467" s="161"/>
      <c r="BW467" s="161"/>
      <c r="BX467" s="161"/>
      <c r="BY467" s="161"/>
      <c r="BZ467" s="161"/>
      <c r="CA467" s="161"/>
      <c r="CB467" s="470"/>
      <c r="CC467" s="470"/>
      <c r="CD467" s="470"/>
      <c r="CE467" s="470"/>
      <c r="CF467" s="470"/>
      <c r="CG467" s="470"/>
      <c r="CH467" s="470"/>
      <c r="CI467" s="470"/>
      <c r="CJ467" s="1507"/>
      <c r="CK467" s="470"/>
      <c r="CL467" s="470"/>
      <c r="CM467" s="470"/>
      <c r="CN467" s="470"/>
      <c r="CO467" s="470"/>
      <c r="CP467" s="470"/>
      <c r="CQ467" s="470"/>
      <c r="CR467" s="470"/>
      <c r="CS467" s="470"/>
      <c r="CT467" s="470"/>
      <c r="CY467" s="480"/>
      <c r="CZ467" s="480"/>
      <c r="DA467" s="480"/>
      <c r="DB467" s="1152"/>
      <c r="DC467" s="1152"/>
      <c r="DD467" s="1152"/>
      <c r="DE467" s="1152"/>
      <c r="DF467" s="1152"/>
      <c r="DG467" s="1152"/>
      <c r="DH467" s="470"/>
      <c r="DI467" s="470"/>
      <c r="DJ467" s="470"/>
      <c r="DK467" s="470"/>
      <c r="DL467" s="470"/>
      <c r="DM467" s="471"/>
      <c r="DN467" s="518"/>
      <c r="DO467" s="470"/>
      <c r="DP467" s="161"/>
      <c r="DQ467" s="161"/>
      <c r="DR467" s="470"/>
      <c r="DS467" s="471"/>
    </row>
    <row r="468" spans="1:123" ht="18" x14ac:dyDescent="0.25">
      <c r="A468" s="546"/>
      <c r="B468" s="1632" t="s">
        <v>5981</v>
      </c>
      <c r="C468" s="1012"/>
      <c r="D468" s="1633"/>
      <c r="E468" s="1634"/>
      <c r="F468" s="1019"/>
      <c r="G468" s="1012"/>
      <c r="H468" s="1013"/>
      <c r="I468" s="1156"/>
      <c r="J468" s="1156"/>
      <c r="K468" s="1156"/>
      <c r="L468" s="1156"/>
      <c r="M468" s="1156"/>
      <c r="N468" s="1156"/>
      <c r="O468" s="471"/>
      <c r="P468" s="471"/>
      <c r="Q468" s="1156"/>
      <c r="R468" s="475"/>
      <c r="S468" s="1156"/>
      <c r="T468" s="161"/>
      <c r="U468" s="161"/>
      <c r="V468" s="161"/>
      <c r="W468" s="161"/>
      <c r="X468" s="1156"/>
      <c r="Y468" s="1156"/>
      <c r="Z468" s="476"/>
      <c r="AA468" s="161"/>
      <c r="AB468" s="161"/>
      <c r="AC468" s="161"/>
      <c r="AD468" s="161"/>
      <c r="AE468" s="161"/>
      <c r="AF468" s="161"/>
      <c r="AG468" s="161"/>
      <c r="AH468" s="161"/>
      <c r="AI468" s="161"/>
      <c r="AJ468" s="161"/>
      <c r="AK468" s="161"/>
      <c r="AL468" s="161"/>
      <c r="AM468" s="161"/>
      <c r="AN468" s="161"/>
      <c r="AO468" s="162"/>
      <c r="AP468" s="162"/>
      <c r="AQ468" s="162"/>
      <c r="AR468" s="162"/>
      <c r="AS468" s="162"/>
      <c r="AT468" s="162"/>
      <c r="AU468" s="1156"/>
      <c r="AV468" s="163"/>
      <c r="AW468" s="1156"/>
      <c r="AX468" s="161"/>
      <c r="AY468" s="161"/>
      <c r="AZ468" s="161"/>
      <c r="BA468" s="161"/>
      <c r="BB468" s="1156"/>
      <c r="BC468" s="1156"/>
      <c r="BD468" s="1156"/>
      <c r="BE468" s="1156"/>
      <c r="BF468" s="1156"/>
      <c r="BG468" s="161"/>
      <c r="BH468" s="161"/>
      <c r="BI468" s="161"/>
      <c r="BJ468" s="161"/>
      <c r="BK468" s="161"/>
      <c r="BL468" s="1156"/>
      <c r="BM468" s="1156"/>
      <c r="BN468" s="1156"/>
      <c r="BO468" s="1156"/>
      <c r="BP468" s="1156"/>
      <c r="BQ468" s="1156"/>
      <c r="BR468" s="161"/>
      <c r="BS468" s="161"/>
      <c r="BT468" s="161"/>
      <c r="BU468" s="161"/>
      <c r="BV468" s="161"/>
      <c r="BW468" s="161"/>
      <c r="BX468" s="161"/>
      <c r="BY468" s="161"/>
      <c r="BZ468" s="161"/>
      <c r="CA468" s="161"/>
      <c r="CB468" s="470"/>
      <c r="CC468" s="470"/>
      <c r="CD468" s="470"/>
      <c r="CE468" s="470"/>
      <c r="CF468" s="470"/>
      <c r="CG468" s="470"/>
      <c r="CH468" s="470"/>
      <c r="CI468" s="470"/>
      <c r="CJ468" s="1507"/>
      <c r="CK468" s="470"/>
      <c r="CL468" s="470"/>
      <c r="CM468" s="470"/>
      <c r="CN468" s="470"/>
      <c r="CO468" s="470"/>
      <c r="CP468" s="470"/>
      <c r="CQ468" s="470"/>
      <c r="CR468" s="470"/>
      <c r="CS468" s="470"/>
      <c r="CT468" s="470"/>
      <c r="CY468" s="480"/>
      <c r="CZ468" s="480"/>
      <c r="DA468" s="480"/>
      <c r="DB468" s="1152"/>
      <c r="DC468" s="1152"/>
      <c r="DD468" s="1152"/>
      <c r="DE468" s="1152"/>
      <c r="DF468" s="1152"/>
      <c r="DG468" s="1152"/>
      <c r="DH468" s="470"/>
      <c r="DI468" s="470"/>
      <c r="DJ468" s="470"/>
      <c r="DK468" s="470"/>
      <c r="DL468" s="470"/>
      <c r="DM468" s="471"/>
      <c r="DN468" s="518"/>
      <c r="DO468" s="470"/>
      <c r="DP468" s="161"/>
      <c r="DQ468" s="161"/>
      <c r="DR468" s="470"/>
      <c r="DS468" s="471"/>
    </row>
    <row r="469" spans="1:123" ht="18.75" x14ac:dyDescent="0.25">
      <c r="A469" s="1621"/>
      <c r="B469" s="994">
        <v>1</v>
      </c>
      <c r="C469" s="1148"/>
      <c r="D469" s="1149"/>
      <c r="E469" s="1271"/>
      <c r="F469" s="1272"/>
      <c r="G469" s="1610"/>
      <c r="H469" s="1609"/>
      <c r="I469" s="974"/>
      <c r="J469" s="1620"/>
      <c r="K469" s="1620"/>
      <c r="L469" s="1620"/>
      <c r="M469" s="1620"/>
      <c r="N469" s="1620"/>
      <c r="O469" s="471"/>
      <c r="P469" s="471"/>
      <c r="Q469" s="1620"/>
      <c r="R469" s="475"/>
      <c r="S469" s="1620"/>
      <c r="T469" s="161"/>
      <c r="U469" s="161"/>
      <c r="V469" s="161"/>
      <c r="W469" s="161"/>
      <c r="X469" s="1620"/>
      <c r="Y469" s="1620"/>
      <c r="Z469" s="476"/>
      <c r="AA469" s="161"/>
      <c r="AB469" s="161"/>
      <c r="AC469" s="161"/>
      <c r="AD469" s="161"/>
      <c r="AE469" s="161"/>
      <c r="AF469" s="161"/>
      <c r="AG469" s="161"/>
      <c r="AH469" s="161"/>
      <c r="AI469" s="161"/>
      <c r="AJ469" s="161"/>
      <c r="AK469" s="161"/>
      <c r="AL469" s="161"/>
      <c r="AM469" s="161"/>
      <c r="AN469" s="161"/>
      <c r="AO469" s="162"/>
      <c r="AP469" s="162"/>
      <c r="AQ469" s="162"/>
      <c r="AR469" s="162"/>
      <c r="AS469" s="162"/>
      <c r="AT469" s="162"/>
      <c r="AU469" s="1620"/>
      <c r="AV469" s="163"/>
      <c r="AW469" s="1620"/>
      <c r="AX469" s="161"/>
      <c r="AY469" s="161"/>
      <c r="AZ469" s="161"/>
      <c r="BA469" s="161"/>
      <c r="BB469" s="1620"/>
      <c r="BC469" s="1620"/>
      <c r="BD469" s="1620"/>
      <c r="BE469" s="1620"/>
      <c r="BF469" s="1620"/>
      <c r="BG469" s="161"/>
      <c r="BH469" s="161"/>
      <c r="BI469" s="161"/>
      <c r="BJ469" s="161"/>
      <c r="BK469" s="161"/>
      <c r="BL469" s="1620"/>
      <c r="BM469" s="1620"/>
      <c r="BN469" s="1620"/>
      <c r="BO469" s="1620"/>
      <c r="BP469" s="1620"/>
      <c r="BQ469" s="1620"/>
      <c r="BR469" s="161"/>
      <c r="BS469" s="161"/>
      <c r="BT469" s="161"/>
      <c r="BU469" s="161"/>
      <c r="BV469" s="161"/>
      <c r="BW469" s="161"/>
      <c r="BX469" s="161"/>
      <c r="BY469" s="161"/>
      <c r="BZ469" s="161"/>
      <c r="CA469" s="161"/>
      <c r="CB469" s="470"/>
      <c r="CC469" s="470"/>
      <c r="CD469" s="470"/>
      <c r="CE469" s="470"/>
      <c r="CF469" s="470"/>
      <c r="CG469" s="470"/>
      <c r="CH469" s="470"/>
      <c r="CI469" s="470"/>
      <c r="CJ469" s="1507"/>
      <c r="CK469" s="470"/>
      <c r="CL469" s="470"/>
      <c r="CM469" s="470"/>
      <c r="CN469" s="470"/>
      <c r="CO469" s="470"/>
      <c r="CP469" s="470"/>
      <c r="CQ469" s="470"/>
      <c r="CR469" s="470"/>
      <c r="CS469" s="470"/>
      <c r="CT469" s="470"/>
      <c r="CY469" s="480"/>
      <c r="CZ469" s="480"/>
      <c r="DA469" s="480"/>
      <c r="DB469" s="1152"/>
      <c r="DC469" s="1152"/>
      <c r="DD469" s="1152"/>
      <c r="DE469" s="1152"/>
      <c r="DF469" s="1152"/>
      <c r="DG469" s="1152"/>
      <c r="DH469" s="470"/>
      <c r="DI469" s="470"/>
      <c r="DJ469" s="470"/>
      <c r="DK469" s="470"/>
      <c r="DL469" s="470"/>
      <c r="DM469" s="471"/>
      <c r="DN469" s="518"/>
      <c r="DO469" s="470"/>
      <c r="DP469" s="161"/>
      <c r="DQ469" s="161"/>
      <c r="DR469" s="470"/>
      <c r="DS469" s="471"/>
    </row>
    <row r="470" spans="1:123" ht="19.5" thickBot="1" x14ac:dyDescent="0.3">
      <c r="A470" s="1627"/>
      <c r="B470" s="1635"/>
      <c r="C470" s="416"/>
      <c r="D470" s="530"/>
      <c r="E470" s="1273"/>
      <c r="F470" s="1274"/>
      <c r="G470" s="1611"/>
      <c r="H470" s="1612"/>
      <c r="I470" s="974"/>
      <c r="J470" s="1626"/>
      <c r="K470" s="1626"/>
      <c r="L470" s="1626"/>
      <c r="M470" s="1626"/>
      <c r="N470" s="1626"/>
      <c r="O470" s="471"/>
      <c r="P470" s="471"/>
      <c r="Q470" s="1626"/>
      <c r="R470" s="475"/>
      <c r="S470" s="1626"/>
      <c r="T470" s="161"/>
      <c r="U470" s="161"/>
      <c r="V470" s="161"/>
      <c r="W470" s="161"/>
      <c r="X470" s="1626"/>
      <c r="Y470" s="1626"/>
      <c r="Z470" s="476"/>
      <c r="AA470" s="161"/>
      <c r="AB470" s="161"/>
      <c r="AC470" s="161"/>
      <c r="AD470" s="161"/>
      <c r="AE470" s="161"/>
      <c r="AF470" s="161"/>
      <c r="AG470" s="161"/>
      <c r="AH470" s="161"/>
      <c r="AI470" s="161"/>
      <c r="AJ470" s="161"/>
      <c r="AK470" s="161"/>
      <c r="AL470" s="161"/>
      <c r="AM470" s="161"/>
      <c r="AN470" s="161"/>
      <c r="AO470" s="162"/>
      <c r="AP470" s="162"/>
      <c r="AQ470" s="162"/>
      <c r="AR470" s="162"/>
      <c r="AS470" s="162"/>
      <c r="AT470" s="162"/>
      <c r="AU470" s="1626"/>
      <c r="AV470" s="163"/>
      <c r="AW470" s="1626"/>
      <c r="AX470" s="161"/>
      <c r="AY470" s="161"/>
      <c r="AZ470" s="161"/>
      <c r="BA470" s="161"/>
      <c r="BB470" s="1626"/>
      <c r="BC470" s="1626"/>
      <c r="BD470" s="1626"/>
      <c r="BE470" s="1626"/>
      <c r="BF470" s="1626"/>
      <c r="BG470" s="161"/>
      <c r="BH470" s="161"/>
      <c r="BI470" s="161"/>
      <c r="BJ470" s="161"/>
      <c r="BK470" s="161"/>
      <c r="BL470" s="1626"/>
      <c r="BM470" s="1626"/>
      <c r="BN470" s="1626"/>
      <c r="BO470" s="1626"/>
      <c r="BP470" s="1626"/>
      <c r="BQ470" s="1626"/>
      <c r="BR470" s="161"/>
      <c r="BS470" s="161"/>
      <c r="BT470" s="161"/>
      <c r="BU470" s="161"/>
      <c r="BV470" s="161"/>
      <c r="BW470" s="161"/>
      <c r="BX470" s="161"/>
      <c r="BY470" s="161"/>
      <c r="BZ470" s="161"/>
      <c r="CA470" s="161"/>
      <c r="CB470" s="470"/>
      <c r="CC470" s="470"/>
      <c r="CD470" s="470"/>
      <c r="CE470" s="470"/>
      <c r="CF470" s="470"/>
      <c r="CG470" s="470"/>
      <c r="CH470" s="470"/>
      <c r="CI470" s="470"/>
      <c r="CJ470" s="1507"/>
      <c r="CK470" s="470"/>
      <c r="CL470" s="470"/>
      <c r="CM470" s="470"/>
      <c r="CN470" s="470"/>
      <c r="CO470" s="470"/>
      <c r="CP470" s="470"/>
      <c r="CQ470" s="470"/>
      <c r="CR470" s="470"/>
      <c r="CS470" s="470"/>
      <c r="CT470" s="470"/>
      <c r="CY470" s="480"/>
      <c r="CZ470" s="480"/>
      <c r="DA470" s="480"/>
      <c r="DB470" s="1152"/>
      <c r="DC470" s="1152"/>
      <c r="DD470" s="1152"/>
      <c r="DE470" s="1152"/>
      <c r="DF470" s="1152"/>
      <c r="DG470" s="1152"/>
      <c r="DH470" s="470"/>
      <c r="DI470" s="470"/>
      <c r="DJ470" s="470"/>
      <c r="DK470" s="470"/>
      <c r="DL470" s="470"/>
      <c r="DM470" s="471"/>
      <c r="DN470" s="518"/>
      <c r="DO470" s="470"/>
      <c r="DP470" s="161"/>
      <c r="DQ470" s="161"/>
      <c r="DR470" s="470"/>
      <c r="DS470" s="471"/>
    </row>
    <row r="471" spans="1:123" s="573" customFormat="1" x14ac:dyDescent="0.25">
      <c r="A471" s="1038"/>
      <c r="B471" s="898"/>
      <c r="C471" s="903"/>
      <c r="D471" s="904"/>
      <c r="E471" s="494"/>
      <c r="F471" s="1028"/>
      <c r="G471" s="898"/>
      <c r="H471" s="1039"/>
      <c r="I471" s="1158"/>
      <c r="J471" s="1158"/>
      <c r="K471" s="1158"/>
      <c r="L471" s="1158"/>
      <c r="M471" s="1158"/>
      <c r="N471" s="1158"/>
      <c r="O471" s="902"/>
      <c r="P471" s="476"/>
      <c r="Q471" s="1158"/>
      <c r="R471" s="899"/>
      <c r="S471" s="1158"/>
      <c r="T471" s="900"/>
      <c r="U471" s="900"/>
      <c r="V471" s="900"/>
      <c r="W471" s="900"/>
      <c r="X471" s="1158"/>
      <c r="Y471" s="1158"/>
      <c r="Z471" s="476"/>
      <c r="AA471" s="900"/>
      <c r="AB471" s="900"/>
      <c r="AC471" s="900"/>
      <c r="AD471" s="900"/>
      <c r="AE471" s="900"/>
      <c r="AF471" s="900"/>
      <c r="AG471" s="900"/>
      <c r="AH471" s="900"/>
      <c r="AI471" s="900"/>
      <c r="AJ471" s="900"/>
      <c r="AK471" s="900"/>
      <c r="AL471" s="900"/>
      <c r="AM471" s="900"/>
      <c r="AN471" s="900"/>
      <c r="AO471" s="901"/>
      <c r="AP471" s="901"/>
      <c r="AQ471" s="901"/>
      <c r="AR471" s="901"/>
      <c r="AS471" s="901"/>
      <c r="AT471" s="901"/>
      <c r="AU471" s="1158"/>
      <c r="AV471" s="619"/>
      <c r="AW471" s="1158"/>
      <c r="AX471" s="900"/>
      <c r="AY471" s="900"/>
      <c r="AZ471" s="900"/>
      <c r="BA471" s="900"/>
      <c r="BB471" s="1158"/>
      <c r="BC471" s="1158"/>
      <c r="BD471" s="1158"/>
      <c r="BE471" s="1158"/>
      <c r="BF471" s="1158"/>
      <c r="BG471" s="900"/>
      <c r="BH471" s="900"/>
      <c r="BI471" s="900"/>
      <c r="BJ471" s="900"/>
      <c r="BK471" s="900"/>
      <c r="BL471" s="1158"/>
      <c r="BM471" s="1158"/>
      <c r="BN471" s="1158"/>
      <c r="BO471" s="1158"/>
      <c r="BP471" s="1158"/>
      <c r="BQ471" s="1158"/>
      <c r="BR471" s="900"/>
      <c r="BS471" s="900"/>
      <c r="BT471" s="900"/>
      <c r="BU471" s="900"/>
      <c r="BV471" s="900"/>
      <c r="BW471" s="900"/>
      <c r="BX471" s="900"/>
      <c r="BY471" s="900"/>
      <c r="BZ471" s="900"/>
      <c r="CA471" s="900"/>
      <c r="CB471" s="512"/>
      <c r="CC471" s="512"/>
      <c r="CD471" s="512"/>
      <c r="CE471" s="512"/>
      <c r="CF471" s="512"/>
      <c r="CG471" s="512"/>
      <c r="CH471" s="512"/>
      <c r="CI471" s="512"/>
      <c r="CJ471" s="1508"/>
      <c r="CK471" s="512"/>
      <c r="CL471" s="512"/>
      <c r="CM471" s="512"/>
      <c r="CN471" s="512"/>
      <c r="CO471" s="512"/>
      <c r="CP471" s="512"/>
      <c r="CQ471" s="512"/>
      <c r="CR471" s="512"/>
      <c r="CS471" s="512"/>
      <c r="CT471" s="512"/>
      <c r="CU471" s="470"/>
      <c r="CV471" s="470"/>
      <c r="CW471" s="470"/>
      <c r="CX471" s="470"/>
      <c r="CY471" s="1152"/>
      <c r="CZ471" s="1152"/>
      <c r="DA471" s="1152"/>
      <c r="DB471" s="1152"/>
      <c r="DC471" s="1152"/>
      <c r="DD471" s="1152"/>
      <c r="DE471" s="1152"/>
      <c r="DF471" s="1152"/>
      <c r="DG471" s="1152"/>
      <c r="DH471" s="512"/>
      <c r="DI471" s="512"/>
      <c r="DJ471" s="512"/>
      <c r="DK471" s="512"/>
      <c r="DL471" s="512"/>
      <c r="DM471" s="476"/>
      <c r="DN471" s="519"/>
      <c r="DO471" s="512"/>
      <c r="DP471" s="900"/>
      <c r="DQ471" s="900"/>
      <c r="DR471" s="512"/>
      <c r="DS471" s="476"/>
    </row>
    <row r="472" spans="1:123" s="573" customFormat="1" ht="18.75" x14ac:dyDescent="0.25">
      <c r="A472" s="1040">
        <v>92</v>
      </c>
      <c r="B472" s="561" t="s">
        <v>7255</v>
      </c>
      <c r="C472" s="903"/>
      <c r="D472" s="897"/>
      <c r="E472" s="494"/>
      <c r="F472" s="1028"/>
      <c r="G472" s="898"/>
      <c r="H472" s="1039"/>
      <c r="I472" s="1802"/>
      <c r="J472" s="1799"/>
      <c r="K472" s="1158"/>
      <c r="L472" s="1158"/>
      <c r="M472" s="1158"/>
      <c r="N472" s="1158"/>
      <c r="O472" s="476"/>
      <c r="P472" s="476"/>
      <c r="Q472" s="1158"/>
      <c r="R472" s="899"/>
      <c r="S472" s="1158"/>
      <c r="T472" s="900"/>
      <c r="U472" s="900"/>
      <c r="V472" s="900"/>
      <c r="W472" s="900"/>
      <c r="X472" s="1158"/>
      <c r="Y472" s="1158"/>
      <c r="Z472" s="476"/>
      <c r="AA472" s="900"/>
      <c r="AB472" s="900"/>
      <c r="AC472" s="900"/>
      <c r="AD472" s="900"/>
      <c r="AE472" s="900"/>
      <c r="AF472" s="900"/>
      <c r="AG472" s="900"/>
      <c r="AH472" s="900"/>
      <c r="AI472" s="900"/>
      <c r="AJ472" s="900"/>
      <c r="AK472" s="900"/>
      <c r="AL472" s="900"/>
      <c r="AM472" s="900"/>
      <c r="AN472" s="900"/>
      <c r="AO472" s="901"/>
      <c r="AP472" s="901"/>
      <c r="AQ472" s="901"/>
      <c r="AR472" s="901"/>
      <c r="AS472" s="901"/>
      <c r="AT472" s="901"/>
      <c r="AU472" s="1158"/>
      <c r="AV472" s="619"/>
      <c r="AW472" s="1158"/>
      <c r="AX472" s="900"/>
      <c r="AY472" s="900"/>
      <c r="AZ472" s="900"/>
      <c r="BA472" s="900"/>
      <c r="BB472" s="1158"/>
      <c r="BC472" s="1158"/>
      <c r="BD472" s="1158"/>
      <c r="BE472" s="1158"/>
      <c r="BF472" s="1158"/>
      <c r="BG472" s="900"/>
      <c r="BH472" s="900"/>
      <c r="BI472" s="900"/>
      <c r="BJ472" s="900"/>
      <c r="BK472" s="900"/>
      <c r="BL472" s="1158"/>
      <c r="BM472" s="1158"/>
      <c r="BN472" s="1158"/>
      <c r="BO472" s="1158"/>
      <c r="BP472" s="1158"/>
      <c r="BQ472" s="1158"/>
      <c r="BR472" s="900"/>
      <c r="BS472" s="900"/>
      <c r="BT472" s="900"/>
      <c r="BU472" s="900"/>
      <c r="BV472" s="900"/>
      <c r="BW472" s="900"/>
      <c r="BX472" s="900"/>
      <c r="BY472" s="900"/>
      <c r="BZ472" s="900"/>
      <c r="CA472" s="900"/>
      <c r="CB472" s="512"/>
      <c r="CC472" s="512"/>
      <c r="CD472" s="512"/>
      <c r="CE472" s="512"/>
      <c r="CF472" s="512"/>
      <c r="CG472" s="512"/>
      <c r="CH472" s="512"/>
      <c r="CI472" s="512"/>
      <c r="CJ472" s="1508"/>
      <c r="CK472" s="512"/>
      <c r="CL472" s="512"/>
      <c r="CM472" s="512"/>
      <c r="CN472" s="512"/>
      <c r="CO472" s="512"/>
      <c r="CP472" s="512"/>
      <c r="CQ472" s="512"/>
      <c r="CR472" s="512"/>
      <c r="CS472" s="512"/>
      <c r="CT472" s="512"/>
      <c r="CU472" s="470"/>
      <c r="CV472" s="470"/>
      <c r="CW472" s="470"/>
      <c r="CX472" s="470"/>
      <c r="CY472" s="1152"/>
      <c r="CZ472" s="1152"/>
      <c r="DA472" s="1152"/>
      <c r="DB472" s="1152"/>
      <c r="DC472" s="1152"/>
      <c r="DD472" s="1152"/>
      <c r="DE472" s="1152"/>
      <c r="DF472" s="1152"/>
      <c r="DG472" s="1152"/>
      <c r="DH472" s="512"/>
      <c r="DI472" s="512"/>
      <c r="DJ472" s="512"/>
      <c r="DK472" s="512"/>
      <c r="DL472" s="512"/>
      <c r="DM472" s="476"/>
      <c r="DN472" s="519"/>
      <c r="DO472" s="512"/>
      <c r="DP472" s="900"/>
      <c r="DQ472" s="900"/>
      <c r="DR472" s="512"/>
      <c r="DS472" s="476"/>
    </row>
    <row r="473" spans="1:123" s="573" customFormat="1" ht="19.5" thickBot="1" x14ac:dyDescent="0.3">
      <c r="A473" s="1041">
        <f ca="1">A472-(B396+B470)</f>
        <v>0</v>
      </c>
      <c r="B473" s="562" t="s">
        <v>5182</v>
      </c>
      <c r="C473" s="1042"/>
      <c r="D473" s="1043"/>
      <c r="E473" s="1044"/>
      <c r="F473" s="1047"/>
      <c r="G473" s="1045"/>
      <c r="H473" s="1046"/>
      <c r="I473" s="1802"/>
      <c r="J473" s="1799"/>
      <c r="K473" s="1158"/>
      <c r="L473" s="1158"/>
      <c r="M473" s="1158"/>
      <c r="N473" s="1158"/>
      <c r="O473" s="476"/>
      <c r="P473" s="476"/>
      <c r="Q473" s="1158"/>
      <c r="R473" s="899"/>
      <c r="S473" s="1158"/>
      <c r="T473" s="900"/>
      <c r="U473" s="900"/>
      <c r="V473" s="900"/>
      <c r="W473" s="900"/>
      <c r="X473" s="1158"/>
      <c r="Y473" s="1158"/>
      <c r="Z473" s="476"/>
      <c r="AA473" s="900"/>
      <c r="AB473" s="900"/>
      <c r="AC473" s="900"/>
      <c r="AD473" s="900"/>
      <c r="AE473" s="900"/>
      <c r="AF473" s="900"/>
      <c r="AG473" s="900"/>
      <c r="AH473" s="900"/>
      <c r="AI473" s="900"/>
      <c r="AJ473" s="900"/>
      <c r="AK473" s="900"/>
      <c r="AL473" s="900"/>
      <c r="AM473" s="900"/>
      <c r="AN473" s="900"/>
      <c r="AO473" s="901"/>
      <c r="AP473" s="901"/>
      <c r="AQ473" s="901"/>
      <c r="AR473" s="901"/>
      <c r="AS473" s="901"/>
      <c r="AT473" s="901"/>
      <c r="AU473" s="1158"/>
      <c r="AV473" s="619"/>
      <c r="AW473" s="1158"/>
      <c r="AX473" s="900"/>
      <c r="AY473" s="900"/>
      <c r="AZ473" s="900"/>
      <c r="BA473" s="900"/>
      <c r="BB473" s="1158"/>
      <c r="BC473" s="1158"/>
      <c r="BD473" s="1158"/>
      <c r="BE473" s="1158"/>
      <c r="BF473" s="1158"/>
      <c r="BG473" s="900"/>
      <c r="BH473" s="900"/>
      <c r="BI473" s="900"/>
      <c r="BJ473" s="900"/>
      <c r="BK473" s="900"/>
      <c r="BL473" s="1158"/>
      <c r="BM473" s="1158"/>
      <c r="BN473" s="1158"/>
      <c r="BO473" s="1158"/>
      <c r="BP473" s="1158"/>
      <c r="BQ473" s="1158"/>
      <c r="BR473" s="900"/>
      <c r="BS473" s="900"/>
      <c r="BT473" s="900"/>
      <c r="BU473" s="900"/>
      <c r="BV473" s="900"/>
      <c r="BW473" s="900"/>
      <c r="BX473" s="900"/>
      <c r="BY473" s="900"/>
      <c r="BZ473" s="900"/>
      <c r="CA473" s="900"/>
      <c r="CB473" s="512"/>
      <c r="CC473" s="512"/>
      <c r="CD473" s="512"/>
      <c r="CE473" s="512"/>
      <c r="CF473" s="512"/>
      <c r="CG473" s="512"/>
      <c r="CH473" s="512"/>
      <c r="CI473" s="512"/>
      <c r="CJ473" s="1508"/>
      <c r="CK473" s="512"/>
      <c r="CL473" s="512"/>
      <c r="CM473" s="512"/>
      <c r="CN473" s="512"/>
      <c r="CO473" s="512"/>
      <c r="CP473" s="512"/>
      <c r="CQ473" s="512"/>
      <c r="CR473" s="512"/>
      <c r="CS473" s="512"/>
      <c r="CT473" s="512"/>
      <c r="CU473" s="470"/>
      <c r="CV473" s="470"/>
      <c r="CW473" s="470"/>
      <c r="CX473" s="470"/>
      <c r="CY473" s="1152"/>
      <c r="CZ473" s="1152"/>
      <c r="DA473" s="1152"/>
      <c r="DB473" s="1152"/>
      <c r="DC473" s="1152"/>
      <c r="DD473" s="1152"/>
      <c r="DE473" s="1152"/>
      <c r="DF473" s="1152"/>
      <c r="DG473" s="1152"/>
      <c r="DH473" s="512"/>
      <c r="DI473" s="512"/>
      <c r="DJ473" s="512"/>
      <c r="DK473" s="512"/>
      <c r="DL473" s="512"/>
      <c r="DM473" s="476"/>
      <c r="DN473" s="519"/>
      <c r="DO473" s="512"/>
      <c r="DP473" s="900"/>
      <c r="DQ473" s="900"/>
      <c r="DR473" s="512"/>
      <c r="DS473" s="476"/>
    </row>
    <row r="474" spans="1:123" x14ac:dyDescent="0.25">
      <c r="A474" s="1156"/>
      <c r="B474" s="1156"/>
      <c r="C474" s="1156"/>
      <c r="D474" s="218"/>
      <c r="E474" s="471"/>
      <c r="F474" s="420"/>
      <c r="G474" s="1156"/>
      <c r="H474" s="474"/>
      <c r="I474" s="1801"/>
      <c r="J474" s="1801"/>
      <c r="K474" s="1156"/>
      <c r="L474" s="1156"/>
      <c r="M474" s="1156"/>
      <c r="N474" s="1156"/>
      <c r="O474" s="471"/>
      <c r="P474" s="471"/>
      <c r="Q474" s="1156"/>
      <c r="R474" s="475"/>
      <c r="S474" s="1156"/>
      <c r="T474" s="161"/>
      <c r="U474" s="161"/>
      <c r="V474" s="161"/>
      <c r="W474" s="161"/>
      <c r="X474" s="1156"/>
      <c r="Y474" s="1156"/>
      <c r="Z474" s="476"/>
      <c r="AA474" s="161"/>
      <c r="AB474" s="161"/>
      <c r="AC474" s="161"/>
      <c r="AD474" s="161"/>
      <c r="AE474" s="161"/>
      <c r="AF474" s="161"/>
      <c r="AG474" s="161"/>
      <c r="AH474" s="161"/>
      <c r="AI474" s="161"/>
      <c r="AJ474" s="161"/>
      <c r="AK474" s="161"/>
      <c r="AL474" s="161"/>
      <c r="AM474" s="161"/>
      <c r="AN474" s="161"/>
      <c r="AO474" s="162"/>
      <c r="AP474" s="162"/>
      <c r="AQ474" s="162"/>
      <c r="AR474" s="162"/>
      <c r="AS474" s="162"/>
      <c r="AT474" s="162"/>
      <c r="AU474" s="1156"/>
      <c r="AV474" s="163"/>
      <c r="AW474" s="1156"/>
      <c r="AX474" s="161"/>
      <c r="AY474" s="161"/>
      <c r="AZ474" s="161"/>
      <c r="BA474" s="161"/>
      <c r="BB474" s="1156"/>
      <c r="BC474" s="1156"/>
      <c r="BD474" s="1156"/>
      <c r="BE474" s="1156"/>
      <c r="BF474" s="1156"/>
      <c r="BG474" s="161"/>
      <c r="BH474" s="161"/>
      <c r="BI474" s="161"/>
      <c r="BJ474" s="161"/>
      <c r="BK474" s="161"/>
      <c r="BL474" s="1156"/>
      <c r="BM474" s="1156"/>
      <c r="BN474" s="1156"/>
      <c r="BO474" s="1156"/>
      <c r="BP474" s="1156"/>
      <c r="BQ474" s="1156"/>
      <c r="BR474" s="161"/>
      <c r="BS474" s="161"/>
      <c r="BT474" s="161"/>
      <c r="BU474" s="161"/>
      <c r="BV474" s="161"/>
      <c r="BW474" s="161"/>
      <c r="BX474" s="161"/>
      <c r="BY474" s="161"/>
      <c r="BZ474" s="161"/>
      <c r="CA474" s="161"/>
      <c r="CB474" s="470"/>
      <c r="CC474" s="470"/>
      <c r="CD474" s="470"/>
      <c r="CE474" s="470"/>
      <c r="CF474" s="470"/>
      <c r="CG474" s="470"/>
      <c r="CH474" s="470"/>
      <c r="CI474" s="470"/>
      <c r="CJ474" s="1507"/>
      <c r="CK474" s="470"/>
      <c r="CL474" s="470"/>
      <c r="CM474" s="470"/>
      <c r="CN474" s="470"/>
      <c r="CO474" s="470"/>
      <c r="CP474" s="470"/>
      <c r="CQ474" s="470"/>
      <c r="CR474" s="470"/>
      <c r="CS474" s="470"/>
      <c r="CT474" s="470"/>
      <c r="CY474" s="480"/>
      <c r="CZ474" s="480"/>
      <c r="DA474" s="480"/>
      <c r="DB474" s="1152"/>
      <c r="DC474" s="1152"/>
      <c r="DD474" s="1152"/>
      <c r="DE474" s="1152"/>
      <c r="DF474" s="1152"/>
      <c r="DG474" s="1152"/>
      <c r="DH474" s="470"/>
      <c r="DI474" s="470"/>
      <c r="DJ474" s="470"/>
      <c r="DK474" s="470"/>
      <c r="DL474" s="470"/>
      <c r="DM474" s="471"/>
      <c r="DN474" s="518"/>
      <c r="DO474" s="470"/>
      <c r="DP474" s="161"/>
      <c r="DQ474" s="161"/>
      <c r="DR474" s="470"/>
      <c r="DS474" s="471"/>
    </row>
    <row r="475" spans="1:123" ht="15.75" thickBot="1" x14ac:dyDescent="0.3">
      <c r="A475" s="1156"/>
      <c r="B475" s="1156"/>
      <c r="C475" s="1156"/>
      <c r="D475" s="218"/>
      <c r="E475" s="471"/>
      <c r="F475" s="420"/>
      <c r="G475" s="1156"/>
      <c r="H475" s="474"/>
      <c r="I475" s="1801"/>
      <c r="J475" s="1801"/>
      <c r="K475" s="1156"/>
      <c r="L475" s="1156"/>
      <c r="M475" s="1156"/>
      <c r="N475" s="1156"/>
      <c r="O475" s="471"/>
      <c r="P475" s="471"/>
      <c r="Q475" s="1156"/>
      <c r="R475" s="475"/>
      <c r="S475" s="1156"/>
      <c r="T475" s="161"/>
      <c r="U475" s="161"/>
      <c r="V475" s="161"/>
      <c r="W475" s="161"/>
      <c r="X475" s="1156"/>
      <c r="Y475" s="1156"/>
      <c r="Z475" s="476"/>
      <c r="AA475" s="161"/>
      <c r="AB475" s="161"/>
      <c r="AC475" s="161"/>
      <c r="AD475" s="161"/>
      <c r="AE475" s="161"/>
      <c r="AF475" s="161"/>
      <c r="AG475" s="161"/>
      <c r="AH475" s="161"/>
      <c r="AI475" s="161"/>
      <c r="AJ475" s="161"/>
      <c r="AK475" s="161"/>
      <c r="AL475" s="161"/>
      <c r="AM475" s="161"/>
      <c r="AN475" s="161"/>
      <c r="AO475" s="162"/>
      <c r="AP475" s="162"/>
      <c r="AQ475" s="162"/>
      <c r="AR475" s="162"/>
      <c r="AS475" s="162"/>
      <c r="AT475" s="162"/>
      <c r="AU475" s="1156"/>
      <c r="AV475" s="163"/>
      <c r="AW475" s="1156"/>
      <c r="AX475" s="161"/>
      <c r="AY475" s="161"/>
      <c r="AZ475" s="161"/>
      <c r="BA475" s="161"/>
      <c r="BB475" s="1156"/>
      <c r="BC475" s="1156"/>
      <c r="BD475" s="1156"/>
      <c r="BE475" s="1156"/>
      <c r="BF475" s="1156"/>
      <c r="BG475" s="161"/>
      <c r="BH475" s="161"/>
      <c r="BI475" s="161"/>
      <c r="BJ475" s="161"/>
      <c r="BK475" s="161"/>
      <c r="BL475" s="1156"/>
      <c r="BM475" s="1156"/>
      <c r="BN475" s="1156"/>
      <c r="BO475" s="1156"/>
      <c r="BP475" s="1156"/>
      <c r="BQ475" s="1156"/>
      <c r="BR475" s="161"/>
      <c r="BS475" s="161"/>
      <c r="BT475" s="161"/>
      <c r="BU475" s="161"/>
      <c r="BV475" s="161"/>
      <c r="BW475" s="161"/>
      <c r="BX475" s="161"/>
      <c r="BY475" s="161"/>
      <c r="BZ475" s="161"/>
      <c r="CA475" s="161"/>
      <c r="CB475" s="470"/>
      <c r="CC475" s="470"/>
      <c r="CD475" s="470"/>
      <c r="CE475" s="470"/>
      <c r="CF475" s="470"/>
      <c r="CG475" s="470"/>
      <c r="CH475" s="470"/>
      <c r="CI475" s="470"/>
      <c r="CJ475" s="1507"/>
      <c r="CK475" s="470"/>
      <c r="CL475" s="470"/>
      <c r="CM475" s="470"/>
      <c r="CN475" s="470"/>
      <c r="CO475" s="470"/>
      <c r="CP475" s="470"/>
      <c r="CQ475" s="470"/>
      <c r="CR475" s="470"/>
      <c r="CS475" s="470"/>
      <c r="CT475" s="470"/>
      <c r="CY475" s="480"/>
      <c r="CZ475" s="480"/>
      <c r="DA475" s="480"/>
      <c r="DB475" s="1152"/>
      <c r="DC475" s="1152"/>
      <c r="DD475" s="1152"/>
      <c r="DE475" s="1152"/>
      <c r="DF475" s="1152"/>
      <c r="DG475" s="1152"/>
      <c r="DH475" s="470"/>
      <c r="DI475" s="470"/>
      <c r="DJ475" s="470"/>
      <c r="DK475" s="470"/>
      <c r="DL475" s="470"/>
      <c r="DM475" s="471"/>
      <c r="DN475" s="518"/>
      <c r="DO475" s="470"/>
      <c r="DP475" s="161"/>
      <c r="DQ475" s="161"/>
      <c r="DR475" s="470"/>
      <c r="DS475" s="471"/>
    </row>
    <row r="476" spans="1:123" ht="25.5" x14ac:dyDescent="0.25">
      <c r="A476" s="563">
        <f>SUM(A416+A464+A472)</f>
        <v>404</v>
      </c>
      <c r="B476" s="547" t="s">
        <v>7252</v>
      </c>
      <c r="C476" s="550"/>
      <c r="D476" s="564"/>
      <c r="E476" s="549"/>
      <c r="F476" s="565"/>
      <c r="G476" s="1156"/>
      <c r="H476" s="474"/>
      <c r="I476" s="1801"/>
      <c r="J476" s="1801"/>
      <c r="K476" s="1156"/>
      <c r="L476" s="1156"/>
      <c r="M476" s="1156"/>
      <c r="N476" s="1156"/>
      <c r="O476" s="471"/>
      <c r="P476" s="471"/>
      <c r="Q476" s="1156"/>
      <c r="R476" s="475"/>
      <c r="S476" s="1156"/>
      <c r="T476" s="161"/>
      <c r="U476" s="161"/>
      <c r="V476" s="161"/>
      <c r="W476" s="161"/>
      <c r="X476" s="1156"/>
      <c r="Y476" s="1156"/>
      <c r="Z476" s="476"/>
      <c r="AA476" s="161"/>
      <c r="AB476" s="161"/>
      <c r="AC476" s="161"/>
      <c r="AD476" s="161"/>
      <c r="AE476" s="161"/>
      <c r="AF476" s="161"/>
      <c r="AG476" s="161"/>
      <c r="AH476" s="161"/>
      <c r="AI476" s="161"/>
      <c r="AJ476" s="161"/>
      <c r="AK476" s="161"/>
      <c r="AL476" s="161"/>
      <c r="AM476" s="161"/>
      <c r="AN476" s="161"/>
      <c r="AO476" s="162"/>
      <c r="AP476" s="162"/>
      <c r="AQ476" s="162"/>
      <c r="AR476" s="162"/>
      <c r="AS476" s="162"/>
      <c r="AT476" s="162"/>
      <c r="AU476" s="1156"/>
      <c r="AV476" s="163"/>
      <c r="AW476" s="1156"/>
      <c r="AX476" s="161"/>
      <c r="AY476" s="161"/>
      <c r="AZ476" s="161"/>
      <c r="BA476" s="161"/>
      <c r="BB476" s="1156"/>
      <c r="BC476" s="1156"/>
      <c r="BD476" s="1156"/>
      <c r="BE476" s="1156"/>
      <c r="BF476" s="1156"/>
      <c r="BG476" s="161"/>
      <c r="BH476" s="161"/>
      <c r="BI476" s="161"/>
      <c r="BJ476" s="161"/>
      <c r="BK476" s="161"/>
      <c r="BL476" s="1156"/>
      <c r="BM476" s="1156"/>
      <c r="BN476" s="1156"/>
      <c r="BO476" s="1156"/>
      <c r="BP476" s="1156"/>
      <c r="BQ476" s="1156"/>
      <c r="BR476" s="161"/>
      <c r="BS476" s="161"/>
      <c r="BT476" s="161"/>
      <c r="BU476" s="161"/>
      <c r="BV476" s="161"/>
      <c r="BW476" s="161"/>
      <c r="BX476" s="161"/>
      <c r="BY476" s="161"/>
      <c r="BZ476" s="161"/>
      <c r="CA476" s="161"/>
      <c r="CB476" s="470"/>
      <c r="CC476" s="470"/>
      <c r="CD476" s="470"/>
      <c r="CE476" s="470"/>
      <c r="CF476" s="470"/>
      <c r="CG476" s="470"/>
      <c r="CH476" s="470"/>
      <c r="CI476" s="470"/>
      <c r="CJ476" s="1507"/>
      <c r="CK476" s="470"/>
      <c r="CL476" s="470"/>
      <c r="CM476" s="470"/>
      <c r="CN476" s="470"/>
      <c r="CO476" s="470"/>
      <c r="CP476" s="470"/>
      <c r="CQ476" s="470"/>
      <c r="CR476" s="470"/>
      <c r="CS476" s="470"/>
      <c r="CT476" s="470"/>
      <c r="CY476" s="480"/>
      <c r="CZ476" s="480"/>
      <c r="DA476" s="480"/>
      <c r="DB476" s="1152"/>
      <c r="DC476" s="1152"/>
      <c r="DD476" s="1152"/>
      <c r="DE476" s="1152"/>
      <c r="DF476" s="1152"/>
      <c r="DG476" s="1152"/>
      <c r="DH476" s="470"/>
      <c r="DI476" s="470"/>
      <c r="DJ476" s="470"/>
      <c r="DK476" s="470"/>
      <c r="DL476" s="470"/>
      <c r="DM476" s="471"/>
      <c r="DN476" s="518"/>
      <c r="DO476" s="470"/>
      <c r="DP476" s="161"/>
      <c r="DQ476" s="161"/>
      <c r="DR476" s="470"/>
      <c r="DS476" s="471"/>
    </row>
    <row r="477" spans="1:123" ht="19.5" thickBot="1" x14ac:dyDescent="0.3">
      <c r="A477" s="557">
        <f ca="1">+A476-(B400+B462+B414+B470+B439*0)</f>
        <v>0</v>
      </c>
      <c r="B477" s="562" t="s">
        <v>5182</v>
      </c>
      <c r="C477" s="559"/>
      <c r="D477" s="566"/>
      <c r="E477" s="558"/>
      <c r="F477" s="567"/>
      <c r="G477" s="1156"/>
      <c r="H477" s="474"/>
      <c r="I477" s="1801"/>
      <c r="J477" s="1801"/>
      <c r="K477" s="1156"/>
      <c r="L477" s="1156"/>
      <c r="M477" s="1156"/>
      <c r="N477" s="1156"/>
      <c r="O477" s="471"/>
      <c r="P477" s="471"/>
      <c r="Q477" s="1156"/>
      <c r="R477" s="475"/>
      <c r="S477" s="1156"/>
      <c r="T477" s="161"/>
      <c r="U477" s="161"/>
      <c r="V477" s="161"/>
      <c r="W477" s="161"/>
      <c r="X477" s="1156"/>
      <c r="Y477" s="1156"/>
      <c r="Z477" s="476"/>
      <c r="AA477" s="161"/>
      <c r="AB477" s="161"/>
      <c r="AC477" s="161"/>
      <c r="AD477" s="161"/>
      <c r="AE477" s="161"/>
      <c r="AF477" s="161"/>
      <c r="AG477" s="161"/>
      <c r="AH477" s="161"/>
      <c r="AI477" s="161"/>
      <c r="AJ477" s="161"/>
      <c r="AK477" s="161"/>
      <c r="AL477" s="161"/>
      <c r="AM477" s="161"/>
      <c r="AN477" s="161"/>
      <c r="AO477" s="162"/>
      <c r="AP477" s="162"/>
      <c r="AQ477" s="162"/>
      <c r="AR477" s="162"/>
      <c r="AS477" s="162"/>
      <c r="AT477" s="162"/>
      <c r="AU477" s="1156"/>
      <c r="AV477" s="163"/>
      <c r="AW477" s="1156"/>
      <c r="AX477" s="161"/>
      <c r="AY477" s="161"/>
      <c r="AZ477" s="161"/>
      <c r="BA477" s="161"/>
      <c r="BB477" s="1156"/>
      <c r="BC477" s="1156"/>
      <c r="BD477" s="1156"/>
      <c r="BE477" s="1156"/>
      <c r="BF477" s="1156"/>
      <c r="BG477" s="161"/>
      <c r="BH477" s="161"/>
      <c r="BI477" s="161"/>
      <c r="BJ477" s="161"/>
      <c r="BK477" s="161"/>
      <c r="BL477" s="1156"/>
      <c r="BM477" s="1156"/>
      <c r="BN477" s="1156"/>
      <c r="BO477" s="1156"/>
      <c r="BP477" s="1156"/>
      <c r="BQ477" s="1156"/>
      <c r="BR477" s="161"/>
      <c r="BS477" s="161"/>
      <c r="BT477" s="161"/>
      <c r="BU477" s="161"/>
      <c r="BV477" s="161"/>
      <c r="BW477" s="161"/>
      <c r="BX477" s="161"/>
      <c r="BY477" s="161"/>
      <c r="BZ477" s="161"/>
      <c r="CA477" s="161"/>
      <c r="CB477" s="470"/>
      <c r="CC477" s="470"/>
      <c r="CD477" s="470"/>
      <c r="CE477" s="470"/>
      <c r="CF477" s="470"/>
      <c r="CG477" s="470"/>
      <c r="CH477" s="470"/>
      <c r="CI477" s="470"/>
      <c r="CJ477" s="1507"/>
      <c r="CK477" s="470"/>
      <c r="CL477" s="470"/>
      <c r="CM477" s="470"/>
      <c r="CN477" s="470"/>
      <c r="CO477" s="470"/>
      <c r="CP477" s="470"/>
      <c r="CQ477" s="470"/>
      <c r="CR477" s="470"/>
      <c r="CS477" s="470"/>
      <c r="CT477" s="470"/>
      <c r="CY477" s="480"/>
      <c r="CZ477" s="480"/>
      <c r="DA477" s="480"/>
      <c r="DB477" s="1152"/>
      <c r="DC477" s="1152"/>
      <c r="DD477" s="1152"/>
      <c r="DE477" s="1152"/>
      <c r="DF477" s="1152"/>
      <c r="DG477" s="1152"/>
      <c r="DH477" s="470"/>
      <c r="DI477" s="470"/>
      <c r="DJ477" s="470"/>
      <c r="DK477" s="470"/>
      <c r="DL477" s="470"/>
      <c r="DM477" s="471"/>
      <c r="DN477" s="518"/>
      <c r="DO477" s="470"/>
      <c r="DP477" s="161"/>
      <c r="DQ477" s="161"/>
      <c r="DR477" s="470"/>
      <c r="DS477" s="471"/>
    </row>
    <row r="478" spans="1:123" x14ac:dyDescent="0.25">
      <c r="CY478" s="1617"/>
      <c r="CZ478" s="1617"/>
      <c r="DA478" s="1617"/>
      <c r="DB478" s="1618"/>
      <c r="DC478" s="1618"/>
      <c r="DD478" s="1618"/>
      <c r="DE478" s="1618"/>
      <c r="DF478" s="1618"/>
      <c r="DG478" s="1618"/>
    </row>
    <row r="479" spans="1:123" x14ac:dyDescent="0.25">
      <c r="CY479" s="1617"/>
      <c r="CZ479" s="1617"/>
      <c r="DA479" s="1617"/>
      <c r="DB479" s="1618"/>
      <c r="DC479" s="1618"/>
      <c r="DD479" s="1618"/>
      <c r="DE479" s="1618"/>
      <c r="DF479" s="1618"/>
      <c r="DG479" s="1618"/>
    </row>
    <row r="480" spans="1:123" x14ac:dyDescent="0.25">
      <c r="CY480" s="1617"/>
      <c r="CZ480" s="1617"/>
      <c r="DA480" s="1617"/>
      <c r="DB480" s="1618"/>
      <c r="DC480" s="1618"/>
      <c r="DD480" s="1618"/>
      <c r="DE480" s="1618"/>
      <c r="DF480" s="1618"/>
      <c r="DG480" s="1618"/>
    </row>
    <row r="481" spans="103:111" x14ac:dyDescent="0.25">
      <c r="CY481" s="1617"/>
      <c r="CZ481" s="1617"/>
      <c r="DA481" s="1617"/>
      <c r="DB481" s="1618"/>
      <c r="DC481" s="1618"/>
      <c r="DD481" s="1618"/>
      <c r="DE481" s="1618"/>
      <c r="DF481" s="1618"/>
      <c r="DG481" s="1618"/>
    </row>
    <row r="482" spans="103:111" x14ac:dyDescent="0.25">
      <c r="CY482" s="1617"/>
      <c r="CZ482" s="1617"/>
      <c r="DA482" s="1617"/>
      <c r="DB482" s="1618"/>
      <c r="DC482" s="1618"/>
      <c r="DD482" s="1618"/>
      <c r="DE482" s="1618"/>
      <c r="DF482" s="1618"/>
      <c r="DG482" s="1618"/>
    </row>
    <row r="483" spans="103:111" x14ac:dyDescent="0.25">
      <c r="CY483" s="1617"/>
      <c r="CZ483" s="1617"/>
      <c r="DA483" s="1617"/>
      <c r="DB483" s="1618"/>
      <c r="DC483" s="1618"/>
      <c r="DD483" s="1618"/>
      <c r="DE483" s="1618"/>
      <c r="DF483" s="1618"/>
      <c r="DG483" s="1618"/>
    </row>
    <row r="484" spans="103:111" x14ac:dyDescent="0.25">
      <c r="CY484" s="1617"/>
      <c r="CZ484" s="1617"/>
      <c r="DA484" s="1617"/>
      <c r="DB484" s="1618"/>
      <c r="DC484" s="1618"/>
      <c r="DD484" s="1618"/>
      <c r="DE484" s="1618"/>
      <c r="DF484" s="1618"/>
      <c r="DG484" s="1618"/>
    </row>
    <row r="485" spans="103:111" x14ac:dyDescent="0.25">
      <c r="CY485" s="1617"/>
      <c r="CZ485" s="1617"/>
      <c r="DA485" s="1617"/>
      <c r="DB485" s="1618"/>
      <c r="DC485" s="1618"/>
      <c r="DD485" s="1618"/>
      <c r="DE485" s="1618"/>
      <c r="DF485" s="1618"/>
      <c r="DG485" s="1618"/>
    </row>
    <row r="486" spans="103:111" x14ac:dyDescent="0.25">
      <c r="CY486" s="1617"/>
      <c r="CZ486" s="1617"/>
      <c r="DA486" s="1617"/>
      <c r="DB486" s="1618"/>
      <c r="DC486" s="1618"/>
      <c r="DD486" s="1618"/>
      <c r="DE486" s="1618"/>
      <c r="DF486" s="1618"/>
      <c r="DG486" s="1618"/>
    </row>
    <row r="487" spans="103:111" x14ac:dyDescent="0.25">
      <c r="CY487" s="1617"/>
      <c r="CZ487" s="1617"/>
      <c r="DA487" s="1617"/>
      <c r="DB487" s="1618"/>
      <c r="DC487" s="1618"/>
      <c r="DD487" s="1618"/>
      <c r="DE487" s="1618"/>
      <c r="DF487" s="1618"/>
      <c r="DG487" s="1618"/>
    </row>
    <row r="488" spans="103:111" x14ac:dyDescent="0.25">
      <c r="CY488" s="1617"/>
      <c r="CZ488" s="1617"/>
      <c r="DA488" s="1617"/>
      <c r="DB488" s="1618"/>
      <c r="DC488" s="1618"/>
      <c r="DD488" s="1618"/>
      <c r="DE488" s="1618"/>
      <c r="DF488" s="1618"/>
      <c r="DG488" s="1618"/>
    </row>
    <row r="489" spans="103:111" x14ac:dyDescent="0.25">
      <c r="CY489" s="1617"/>
      <c r="CZ489" s="1617"/>
      <c r="DA489" s="1617"/>
      <c r="DB489" s="1618"/>
      <c r="DC489" s="1618"/>
      <c r="DD489" s="1618"/>
      <c r="DE489" s="1618"/>
      <c r="DF489" s="1618"/>
      <c r="DG489" s="1618"/>
    </row>
    <row r="490" spans="103:111" x14ac:dyDescent="0.25">
      <c r="CY490" s="1617"/>
      <c r="CZ490" s="1617"/>
      <c r="DA490" s="1617"/>
      <c r="DB490" s="1618"/>
      <c r="DC490" s="1618"/>
      <c r="DD490" s="1618"/>
      <c r="DE490" s="1618"/>
      <c r="DF490" s="1618"/>
      <c r="DG490" s="1618"/>
    </row>
    <row r="491" spans="103:111" x14ac:dyDescent="0.25">
      <c r="CY491" s="1617"/>
      <c r="CZ491" s="1617"/>
      <c r="DA491" s="1617"/>
      <c r="DB491" s="1618"/>
      <c r="DC491" s="1618"/>
      <c r="DD491" s="1618"/>
      <c r="DE491" s="1618"/>
      <c r="DF491" s="1618"/>
      <c r="DG491" s="1618"/>
    </row>
    <row r="492" spans="103:111" x14ac:dyDescent="0.25">
      <c r="CY492" s="1617"/>
      <c r="CZ492" s="1617"/>
      <c r="DA492" s="1617"/>
      <c r="DB492" s="1618"/>
      <c r="DC492" s="1618"/>
      <c r="DD492" s="1618"/>
      <c r="DE492" s="1618"/>
      <c r="DF492" s="1618"/>
      <c r="DG492" s="1618"/>
    </row>
    <row r="493" spans="103:111" x14ac:dyDescent="0.25">
      <c r="CY493" s="1617"/>
      <c r="CZ493" s="1617"/>
      <c r="DA493" s="1617"/>
      <c r="DB493" s="1618"/>
      <c r="DC493" s="1618"/>
      <c r="DD493" s="1618"/>
      <c r="DE493" s="1618"/>
      <c r="DF493" s="1618"/>
      <c r="DG493" s="1618"/>
    </row>
    <row r="494" spans="103:111" x14ac:dyDescent="0.25">
      <c r="CY494" s="1617"/>
      <c r="CZ494" s="1617"/>
      <c r="DA494" s="1617"/>
      <c r="DB494" s="1618"/>
      <c r="DC494" s="1618"/>
      <c r="DD494" s="1618"/>
      <c r="DE494" s="1618"/>
      <c r="DF494" s="1618"/>
      <c r="DG494" s="1618"/>
    </row>
    <row r="495" spans="103:111" x14ac:dyDescent="0.25">
      <c r="CY495" s="1617"/>
      <c r="CZ495" s="1617"/>
      <c r="DA495" s="1617"/>
      <c r="DB495" s="1618"/>
      <c r="DC495" s="1618"/>
      <c r="DD495" s="1618"/>
      <c r="DE495" s="1618"/>
      <c r="DF495" s="1618"/>
      <c r="DG495" s="1618"/>
    </row>
    <row r="496" spans="103:111" x14ac:dyDescent="0.25">
      <c r="CY496" s="1617"/>
      <c r="CZ496" s="1617"/>
      <c r="DA496" s="1617"/>
      <c r="DB496" s="1618"/>
      <c r="DC496" s="1618"/>
      <c r="DD496" s="1618"/>
      <c r="DE496" s="1618"/>
      <c r="DF496" s="1618"/>
      <c r="DG496" s="1618"/>
    </row>
    <row r="497" spans="103:111" x14ac:dyDescent="0.25">
      <c r="CY497" s="1617"/>
      <c r="CZ497" s="1617"/>
      <c r="DA497" s="1617"/>
      <c r="DB497" s="1618"/>
      <c r="DC497" s="1618"/>
      <c r="DD497" s="1618"/>
      <c r="DE497" s="1618"/>
      <c r="DF497" s="1618"/>
      <c r="DG497" s="1618"/>
    </row>
    <row r="498" spans="103:111" x14ac:dyDescent="0.25">
      <c r="CY498" s="1617"/>
      <c r="CZ498" s="1617"/>
      <c r="DA498" s="1617"/>
      <c r="DB498" s="1618"/>
      <c r="DC498" s="1618"/>
      <c r="DD498" s="1618"/>
      <c r="DE498" s="1618"/>
      <c r="DF498" s="1618"/>
      <c r="DG498" s="1618"/>
    </row>
    <row r="499" spans="103:111" x14ac:dyDescent="0.25">
      <c r="CY499" s="1617"/>
      <c r="CZ499" s="1617"/>
      <c r="DA499" s="1617"/>
      <c r="DB499" s="1618"/>
      <c r="DC499" s="1618"/>
      <c r="DD499" s="1618"/>
      <c r="DE499" s="1618"/>
      <c r="DF499" s="1618"/>
      <c r="DG499" s="1618"/>
    </row>
    <row r="500" spans="103:111" x14ac:dyDescent="0.25">
      <c r="CY500" s="1617"/>
      <c r="CZ500" s="1617"/>
      <c r="DA500" s="1617"/>
      <c r="DB500" s="1618"/>
      <c r="DC500" s="1618"/>
      <c r="DD500" s="1618"/>
      <c r="DE500" s="1618"/>
      <c r="DF500" s="1618"/>
      <c r="DG500" s="1618"/>
    </row>
    <row r="501" spans="103:111" x14ac:dyDescent="0.25">
      <c r="CY501" s="1617"/>
      <c r="CZ501" s="1617"/>
      <c r="DA501" s="1617"/>
      <c r="DB501" s="1618"/>
      <c r="DC501" s="1618"/>
      <c r="DD501" s="1618"/>
      <c r="DE501" s="1618"/>
      <c r="DF501" s="1618"/>
      <c r="DG501" s="1618"/>
    </row>
    <row r="502" spans="103:111" x14ac:dyDescent="0.25">
      <c r="CY502" s="1617"/>
      <c r="CZ502" s="1617"/>
      <c r="DA502" s="1617"/>
      <c r="DB502" s="1618"/>
      <c r="DC502" s="1618"/>
      <c r="DD502" s="1618"/>
      <c r="DE502" s="1618"/>
      <c r="DF502" s="1618"/>
      <c r="DG502" s="1618"/>
    </row>
    <row r="503" spans="103:111" x14ac:dyDescent="0.25">
      <c r="CY503" s="1617"/>
      <c r="CZ503" s="1617"/>
      <c r="DA503" s="1617"/>
      <c r="DB503" s="1618"/>
      <c r="DC503" s="1618"/>
      <c r="DD503" s="1618"/>
      <c r="DE503" s="1618"/>
      <c r="DF503" s="1618"/>
      <c r="DG503" s="1618"/>
    </row>
    <row r="504" spans="103:111" x14ac:dyDescent="0.25">
      <c r="CY504" s="1617"/>
      <c r="CZ504" s="1617"/>
      <c r="DA504" s="1617"/>
      <c r="DB504" s="1618"/>
      <c r="DC504" s="1618"/>
      <c r="DD504" s="1618"/>
      <c r="DE504" s="1618"/>
      <c r="DF504" s="1618"/>
      <c r="DG504" s="1618"/>
    </row>
    <row r="505" spans="103:111" x14ac:dyDescent="0.25">
      <c r="CY505" s="1617"/>
      <c r="CZ505" s="1617"/>
      <c r="DA505" s="1617"/>
      <c r="DB505" s="1618"/>
      <c r="DC505" s="1618"/>
      <c r="DD505" s="1618"/>
      <c r="DE505" s="1618"/>
      <c r="DF505" s="1618"/>
      <c r="DG505" s="1618"/>
    </row>
    <row r="506" spans="103:111" x14ac:dyDescent="0.25">
      <c r="CY506" s="1617"/>
      <c r="CZ506" s="1617"/>
      <c r="DA506" s="1617"/>
      <c r="DB506" s="1618"/>
      <c r="DC506" s="1618"/>
      <c r="DD506" s="1618"/>
      <c r="DE506" s="1618"/>
      <c r="DF506" s="1618"/>
      <c r="DG506" s="1618"/>
    </row>
    <row r="507" spans="103:111" x14ac:dyDescent="0.25">
      <c r="CY507" s="1617"/>
      <c r="CZ507" s="1617"/>
      <c r="DA507" s="1617"/>
      <c r="DB507" s="1618"/>
      <c r="DC507" s="1618"/>
      <c r="DD507" s="1618"/>
      <c r="DE507" s="1618"/>
      <c r="DF507" s="1618"/>
      <c r="DG507" s="1618"/>
    </row>
    <row r="508" spans="103:111" x14ac:dyDescent="0.25">
      <c r="CY508" s="1617"/>
      <c r="CZ508" s="1617"/>
      <c r="DA508" s="1617"/>
      <c r="DB508" s="1618"/>
      <c r="DC508" s="1618"/>
      <c r="DD508" s="1618"/>
      <c r="DE508" s="1618"/>
      <c r="DF508" s="1618"/>
      <c r="DG508" s="1618"/>
    </row>
    <row r="509" spans="103:111" x14ac:dyDescent="0.25">
      <c r="CY509" s="1617"/>
      <c r="CZ509" s="1617"/>
      <c r="DA509" s="1617"/>
      <c r="DB509" s="1618"/>
      <c r="DC509" s="1618"/>
      <c r="DD509" s="1618"/>
      <c r="DE509" s="1618"/>
      <c r="DF509" s="1618"/>
      <c r="DG509" s="1618"/>
    </row>
    <row r="510" spans="103:111" x14ac:dyDescent="0.25">
      <c r="CY510" s="1617"/>
      <c r="CZ510" s="1617"/>
      <c r="DA510" s="1617"/>
      <c r="DB510" s="1618"/>
      <c r="DC510" s="1618"/>
      <c r="DD510" s="1618"/>
      <c r="DE510" s="1618"/>
      <c r="DF510" s="1618"/>
      <c r="DG510" s="1618"/>
    </row>
    <row r="511" spans="103:111" x14ac:dyDescent="0.25">
      <c r="CY511" s="1617"/>
      <c r="CZ511" s="1617"/>
      <c r="DA511" s="1617"/>
      <c r="DB511" s="1618"/>
      <c r="DC511" s="1618"/>
      <c r="DD511" s="1618"/>
      <c r="DE511" s="1618"/>
      <c r="DF511" s="1618"/>
      <c r="DG511" s="1618"/>
    </row>
    <row r="512" spans="103:111" x14ac:dyDescent="0.25">
      <c r="CY512" s="1617"/>
      <c r="CZ512" s="1617"/>
      <c r="DA512" s="1617"/>
      <c r="DB512" s="1618"/>
      <c r="DC512" s="1618"/>
      <c r="DD512" s="1618"/>
      <c r="DE512" s="1618"/>
      <c r="DF512" s="1618"/>
      <c r="DG512" s="1618"/>
    </row>
    <row r="513" spans="103:111" x14ac:dyDescent="0.25">
      <c r="CY513" s="1617"/>
      <c r="CZ513" s="1617"/>
      <c r="DA513" s="1617"/>
      <c r="DB513" s="1618"/>
      <c r="DC513" s="1618"/>
      <c r="DD513" s="1618"/>
      <c r="DE513" s="1618"/>
      <c r="DF513" s="1618"/>
      <c r="DG513" s="1618"/>
    </row>
    <row r="514" spans="103:111" x14ac:dyDescent="0.25">
      <c r="CY514" s="1617"/>
      <c r="CZ514" s="1617"/>
      <c r="DA514" s="1617"/>
      <c r="DB514" s="1618"/>
      <c r="DC514" s="1618"/>
      <c r="DD514" s="1618"/>
      <c r="DE514" s="1618"/>
      <c r="DF514" s="1618"/>
      <c r="DG514" s="1618"/>
    </row>
    <row r="515" spans="103:111" x14ac:dyDescent="0.25">
      <c r="CY515" s="1617"/>
      <c r="CZ515" s="1617"/>
      <c r="DA515" s="1617"/>
      <c r="DB515" s="1618"/>
      <c r="DC515" s="1618"/>
      <c r="DD515" s="1618"/>
      <c r="DE515" s="1618"/>
      <c r="DF515" s="1618"/>
      <c r="DG515" s="1618"/>
    </row>
    <row r="516" spans="103:111" x14ac:dyDescent="0.25">
      <c r="CY516" s="1617"/>
      <c r="CZ516" s="1617"/>
      <c r="DA516" s="1617"/>
      <c r="DB516" s="1618"/>
      <c r="DC516" s="1618"/>
      <c r="DD516" s="1618"/>
      <c r="DE516" s="1618"/>
      <c r="DF516" s="1618"/>
      <c r="DG516" s="1618"/>
    </row>
    <row r="517" spans="103:111" x14ac:dyDescent="0.25">
      <c r="CY517" s="1617"/>
      <c r="CZ517" s="1617"/>
      <c r="DA517" s="1617"/>
      <c r="DB517" s="1618"/>
      <c r="DC517" s="1618"/>
      <c r="DD517" s="1618"/>
      <c r="DE517" s="1618"/>
      <c r="DF517" s="1618"/>
      <c r="DG517" s="1618"/>
    </row>
    <row r="518" spans="103:111" x14ac:dyDescent="0.25">
      <c r="CY518" s="1617"/>
      <c r="CZ518" s="1617"/>
      <c r="DA518" s="1617"/>
      <c r="DB518" s="1618"/>
      <c r="DC518" s="1618"/>
      <c r="DD518" s="1618"/>
      <c r="DE518" s="1618"/>
      <c r="DF518" s="1618"/>
      <c r="DG518" s="1618"/>
    </row>
    <row r="519" spans="103:111" x14ac:dyDescent="0.25">
      <c r="CY519" s="1617"/>
      <c r="CZ519" s="1617"/>
      <c r="DA519" s="1617"/>
      <c r="DB519" s="1618"/>
      <c r="DC519" s="1618"/>
      <c r="DD519" s="1618"/>
      <c r="DE519" s="1618"/>
      <c r="DF519" s="1618"/>
      <c r="DG519" s="1618"/>
    </row>
  </sheetData>
  <sheetProtection formatCells="0" formatColumns="0" formatRows="0" insertColumns="0" insertRows="0" deleteColumns="0" deleteRows="0" sort="0" autoFilter="0"/>
  <dataConsolidate/>
  <mergeCells count="393">
    <mergeCell ref="DR381:DS381"/>
    <mergeCell ref="DR267:DS267"/>
    <mergeCell ref="DR386:DS386"/>
    <mergeCell ref="DR390:DS390"/>
    <mergeCell ref="DR324:DS324"/>
    <mergeCell ref="DR120:DS120"/>
    <mergeCell ref="DR377:DS377"/>
    <mergeCell ref="DR274:DS274"/>
    <mergeCell ref="DR366:DS366"/>
    <mergeCell ref="DR367:DS367"/>
    <mergeCell ref="DR368:DS368"/>
    <mergeCell ref="DR369:DS369"/>
    <mergeCell ref="DR358:DS358"/>
    <mergeCell ref="DR359:DS359"/>
    <mergeCell ref="DR360:DS360"/>
    <mergeCell ref="DR361:DS361"/>
    <mergeCell ref="DR362:DS362"/>
    <mergeCell ref="DR363:DS363"/>
    <mergeCell ref="DR354:DS354"/>
    <mergeCell ref="DR355:DS355"/>
    <mergeCell ref="DR356:DS356"/>
    <mergeCell ref="DR357:DS357"/>
    <mergeCell ref="DR350:DS350"/>
    <mergeCell ref="DR352:DS352"/>
    <mergeCell ref="DR396:DS396"/>
    <mergeCell ref="DR392:DS392"/>
    <mergeCell ref="DR393:DS393"/>
    <mergeCell ref="DR394:DS394"/>
    <mergeCell ref="DR395:DS395"/>
    <mergeCell ref="DR265:DS265"/>
    <mergeCell ref="DR387:DS387"/>
    <mergeCell ref="DR388:DS388"/>
    <mergeCell ref="DR389:DS389"/>
    <mergeCell ref="DR391:DS391"/>
    <mergeCell ref="DR380:DS380"/>
    <mergeCell ref="DR382:DS382"/>
    <mergeCell ref="DR383:DS383"/>
    <mergeCell ref="DR385:DS385"/>
    <mergeCell ref="DR375:DS375"/>
    <mergeCell ref="DR376:DS376"/>
    <mergeCell ref="DR378:DS378"/>
    <mergeCell ref="DR379:DS379"/>
    <mergeCell ref="DR370:DS370"/>
    <mergeCell ref="DR371:DS371"/>
    <mergeCell ref="DR372:DS372"/>
    <mergeCell ref="DR373:DS373"/>
    <mergeCell ref="DR374:DS374"/>
    <mergeCell ref="DR365:DS365"/>
    <mergeCell ref="DR339:DS339"/>
    <mergeCell ref="DR330:DS330"/>
    <mergeCell ref="DR331:DS331"/>
    <mergeCell ref="DR332:DS332"/>
    <mergeCell ref="DR333:DS333"/>
    <mergeCell ref="DR334:DS334"/>
    <mergeCell ref="DR353:DS353"/>
    <mergeCell ref="DR351:DS351"/>
    <mergeCell ref="DR345:DS345"/>
    <mergeCell ref="DR347:DS347"/>
    <mergeCell ref="DR348:DS348"/>
    <mergeCell ref="DR349:DS349"/>
    <mergeCell ref="DR340:DS340"/>
    <mergeCell ref="DR341:DS341"/>
    <mergeCell ref="DR342:DS342"/>
    <mergeCell ref="DR343:DS343"/>
    <mergeCell ref="DR344:DS344"/>
    <mergeCell ref="DR346:DS346"/>
    <mergeCell ref="DR310:DS310"/>
    <mergeCell ref="DR311:DS311"/>
    <mergeCell ref="DR312:DS312"/>
    <mergeCell ref="DR313:DS313"/>
    <mergeCell ref="DR314:DS314"/>
    <mergeCell ref="DR335:DS335"/>
    <mergeCell ref="DR336:DS336"/>
    <mergeCell ref="DR337:DS337"/>
    <mergeCell ref="DR338:DS338"/>
    <mergeCell ref="DR327:DS327"/>
    <mergeCell ref="DR328:DS328"/>
    <mergeCell ref="DR329:DS329"/>
    <mergeCell ref="DR320:DS320"/>
    <mergeCell ref="DR321:DS321"/>
    <mergeCell ref="DR322:DS322"/>
    <mergeCell ref="DR323:DS323"/>
    <mergeCell ref="DR325:DS325"/>
    <mergeCell ref="DR315:DS315"/>
    <mergeCell ref="DR316:DS316"/>
    <mergeCell ref="DR317:DS317"/>
    <mergeCell ref="DR318:DS318"/>
    <mergeCell ref="DR319:DS319"/>
    <mergeCell ref="DR326:DS326"/>
    <mergeCell ref="DR285:DS285"/>
    <mergeCell ref="DR293:DS293"/>
    <mergeCell ref="DR251:DS251"/>
    <mergeCell ref="DR252:DS252"/>
    <mergeCell ref="DR254:DS254"/>
    <mergeCell ref="DR255:DS255"/>
    <mergeCell ref="DR272:DS272"/>
    <mergeCell ref="DR273:DS273"/>
    <mergeCell ref="DR275:DS275"/>
    <mergeCell ref="DR276:DS276"/>
    <mergeCell ref="DR269:DS269"/>
    <mergeCell ref="DR270:DS270"/>
    <mergeCell ref="DR271:DS271"/>
    <mergeCell ref="DR261:DS261"/>
    <mergeCell ref="DR262:DS262"/>
    <mergeCell ref="DR263:DS263"/>
    <mergeCell ref="DR264:DS264"/>
    <mergeCell ref="DR290:DS290"/>
    <mergeCell ref="DR279:DS279"/>
    <mergeCell ref="DR260:DS260"/>
    <mergeCell ref="DR259:DS259"/>
    <mergeCell ref="DR248:DS248"/>
    <mergeCell ref="DR241:DS241"/>
    <mergeCell ref="DR249:DS249"/>
    <mergeCell ref="DR245:DS245"/>
    <mergeCell ref="DR246:DS246"/>
    <mergeCell ref="DR250:DS250"/>
    <mergeCell ref="DR239:DS239"/>
    <mergeCell ref="DR240:DS240"/>
    <mergeCell ref="DR242:DS242"/>
    <mergeCell ref="DR243:DS243"/>
    <mergeCell ref="DR244:DS244"/>
    <mergeCell ref="DR234:DS234"/>
    <mergeCell ref="DR235:DS235"/>
    <mergeCell ref="DR236:DS236"/>
    <mergeCell ref="DR237:DS237"/>
    <mergeCell ref="DR238:DS238"/>
    <mergeCell ref="DR247:DS247"/>
    <mergeCell ref="DR230:DS230"/>
    <mergeCell ref="DR231:DS231"/>
    <mergeCell ref="DR232:DS232"/>
    <mergeCell ref="DR233:DS233"/>
    <mergeCell ref="DR226:DS226"/>
    <mergeCell ref="DR228:DS228"/>
    <mergeCell ref="DR229:DS229"/>
    <mergeCell ref="DR218:DS218"/>
    <mergeCell ref="DR219:DS219"/>
    <mergeCell ref="DR223:DS223"/>
    <mergeCell ref="DR224:DS224"/>
    <mergeCell ref="DR225:DS225"/>
    <mergeCell ref="DR222:DS222"/>
    <mergeCell ref="DR227:DS227"/>
    <mergeCell ref="DR221:DS221"/>
    <mergeCell ref="DR220:DS220"/>
    <mergeCell ref="DR217:DS217"/>
    <mergeCell ref="DR207:DS207"/>
    <mergeCell ref="DR209:DS209"/>
    <mergeCell ref="DR210:DS210"/>
    <mergeCell ref="DR202:DS202"/>
    <mergeCell ref="DR203:DS203"/>
    <mergeCell ref="DR204:DS204"/>
    <mergeCell ref="DR205:DS205"/>
    <mergeCell ref="DR206:DS206"/>
    <mergeCell ref="DR208:DS208"/>
    <mergeCell ref="DR211:DS211"/>
    <mergeCell ref="DR215:DS215"/>
    <mergeCell ref="DR214:DS214"/>
    <mergeCell ref="DR212:DS212"/>
    <mergeCell ref="DR183:DS183"/>
    <mergeCell ref="DR185:DS185"/>
    <mergeCell ref="DR174:DS174"/>
    <mergeCell ref="DR186:DS186"/>
    <mergeCell ref="DR213:DS213"/>
    <mergeCell ref="DR216:DS216"/>
    <mergeCell ref="DR197:DS197"/>
    <mergeCell ref="DR200:DS200"/>
    <mergeCell ref="DR201:DS201"/>
    <mergeCell ref="DR199:DS199"/>
    <mergeCell ref="DR188:DS188"/>
    <mergeCell ref="DR190:DS190"/>
    <mergeCell ref="DR191:DS191"/>
    <mergeCell ref="DR192:DS192"/>
    <mergeCell ref="DR193:DS193"/>
    <mergeCell ref="DR189:DS189"/>
    <mergeCell ref="DR187:DS187"/>
    <mergeCell ref="DR177:DS177"/>
    <mergeCell ref="DR178:DS178"/>
    <mergeCell ref="DR179:DS179"/>
    <mergeCell ref="DR180:DS180"/>
    <mergeCell ref="DR182:DS182"/>
    <mergeCell ref="DR194:DS194"/>
    <mergeCell ref="DR195:DS195"/>
    <mergeCell ref="DR145:DS145"/>
    <mergeCell ref="DR146:DS146"/>
    <mergeCell ref="DR147:DS147"/>
    <mergeCell ref="DR148:DS148"/>
    <mergeCell ref="DR134:DS134"/>
    <mergeCell ref="DR155:DS155"/>
    <mergeCell ref="DR135:DS135"/>
    <mergeCell ref="DR167:DS167"/>
    <mergeCell ref="DR166:DS166"/>
    <mergeCell ref="DR164:DS164"/>
    <mergeCell ref="DR142:DS142"/>
    <mergeCell ref="DR144:DS144"/>
    <mergeCell ref="DR137:DS137"/>
    <mergeCell ref="DR138:DS138"/>
    <mergeCell ref="DR139:DS139"/>
    <mergeCell ref="DR136:DS136"/>
    <mergeCell ref="DR156:DS156"/>
    <mergeCell ref="DR158:DS158"/>
    <mergeCell ref="DR151:DS151"/>
    <mergeCell ref="DR152:DS152"/>
    <mergeCell ref="DR153:DS153"/>
    <mergeCell ref="DR154:DS154"/>
    <mergeCell ref="DR157:DS157"/>
    <mergeCell ref="DR159:DS159"/>
    <mergeCell ref="DR129:DS129"/>
    <mergeCell ref="DR91:DS91"/>
    <mergeCell ref="DR103:DS103"/>
    <mergeCell ref="DR105:DS105"/>
    <mergeCell ref="DR106:DS106"/>
    <mergeCell ref="DR107:DS107"/>
    <mergeCell ref="DR98:DS98"/>
    <mergeCell ref="DR100:DS100"/>
    <mergeCell ref="DR101:DS101"/>
    <mergeCell ref="DR104:DS104"/>
    <mergeCell ref="DR93:DS93"/>
    <mergeCell ref="DR94:DS94"/>
    <mergeCell ref="DR96:DS96"/>
    <mergeCell ref="DR97:DS97"/>
    <mergeCell ref="DR102:DS102"/>
    <mergeCell ref="DR113:DS113"/>
    <mergeCell ref="DR119:DS119"/>
    <mergeCell ref="DR109:DS109"/>
    <mergeCell ref="DR121:DS121"/>
    <mergeCell ref="DR84:DS84"/>
    <mergeCell ref="DR85:DS85"/>
    <mergeCell ref="DR116:DS116"/>
    <mergeCell ref="DR118:DS118"/>
    <mergeCell ref="DR90:DS90"/>
    <mergeCell ref="DR117:DS117"/>
    <mergeCell ref="DR110:DS110"/>
    <mergeCell ref="DR111:DS111"/>
    <mergeCell ref="DR92:DS92"/>
    <mergeCell ref="DR112:DS112"/>
    <mergeCell ref="DR114:DS114"/>
    <mergeCell ref="DR115:DS115"/>
    <mergeCell ref="DR86:DS86"/>
    <mergeCell ref="DR87:DS87"/>
    <mergeCell ref="DR99:DS99"/>
    <mergeCell ref="DR88:DS88"/>
    <mergeCell ref="DR89:DS89"/>
    <mergeCell ref="DR108:DS108"/>
    <mergeCell ref="DR95:DS95"/>
    <mergeCell ref="DR24:DS24"/>
    <mergeCell ref="DR25:DS25"/>
    <mergeCell ref="DR26:DS26"/>
    <mergeCell ref="DR34:DS34"/>
    <mergeCell ref="DR35:DS35"/>
    <mergeCell ref="DR36:DS36"/>
    <mergeCell ref="DR41:DS41"/>
    <mergeCell ref="DR31:DS31"/>
    <mergeCell ref="DR32:DS32"/>
    <mergeCell ref="DR33:DS33"/>
    <mergeCell ref="DR37:DS37"/>
    <mergeCell ref="DR38:DS38"/>
    <mergeCell ref="DR39:DS39"/>
    <mergeCell ref="DR40:DS40"/>
    <mergeCell ref="DR30:DS30"/>
    <mergeCell ref="DR49:DS49"/>
    <mergeCell ref="DR50:DS50"/>
    <mergeCell ref="DR53:DS53"/>
    <mergeCell ref="DR54:DS54"/>
    <mergeCell ref="DR58:DS58"/>
    <mergeCell ref="DR45:DS45"/>
    <mergeCell ref="DR46:DS46"/>
    <mergeCell ref="DR47:DS47"/>
    <mergeCell ref="DR48:DS48"/>
    <mergeCell ref="DR51:DS51"/>
    <mergeCell ref="DR52:DS52"/>
    <mergeCell ref="DR61:DS61"/>
    <mergeCell ref="DR62:DS62"/>
    <mergeCell ref="DR63:DS63"/>
    <mergeCell ref="DR64:DS64"/>
    <mergeCell ref="DR65:DS65"/>
    <mergeCell ref="DR55:DS55"/>
    <mergeCell ref="DR56:DS56"/>
    <mergeCell ref="DR57:DS57"/>
    <mergeCell ref="DR60:DS60"/>
    <mergeCell ref="DR59:DS59"/>
    <mergeCell ref="DR75:DS75"/>
    <mergeCell ref="DR76:DS76"/>
    <mergeCell ref="DR77:DS77"/>
    <mergeCell ref="DR82:DS82"/>
    <mergeCell ref="DR83:DS83"/>
    <mergeCell ref="DR66:DS66"/>
    <mergeCell ref="DR68:DS68"/>
    <mergeCell ref="DR69:DS69"/>
    <mergeCell ref="DR71:DS71"/>
    <mergeCell ref="DR72:DS72"/>
    <mergeCell ref="DR67:DS67"/>
    <mergeCell ref="DR78:DS78"/>
    <mergeCell ref="DR79:DS79"/>
    <mergeCell ref="DR80:DS80"/>
    <mergeCell ref="DR81:DS81"/>
    <mergeCell ref="DR70:DS70"/>
    <mergeCell ref="DR73:DS73"/>
    <mergeCell ref="DR74:DS74"/>
    <mergeCell ref="DR44:DS44"/>
    <mergeCell ref="DR297:DS297"/>
    <mergeCell ref="CG9:CP9"/>
    <mergeCell ref="CR10:CS10"/>
    <mergeCell ref="Z10:AD10"/>
    <mergeCell ref="M10:N10"/>
    <mergeCell ref="I418:J418"/>
    <mergeCell ref="I417:J417"/>
    <mergeCell ref="I408:J408"/>
    <mergeCell ref="AY10:BA10"/>
    <mergeCell ref="DR19:DS19"/>
    <mergeCell ref="DR20:DS20"/>
    <mergeCell ref="DR21:DS21"/>
    <mergeCell ref="DR22:DS22"/>
    <mergeCell ref="DR23:DS23"/>
    <mergeCell ref="DR11:DS11"/>
    <mergeCell ref="DR13:DS13"/>
    <mergeCell ref="DR14:DS14"/>
    <mergeCell ref="DR17:DS17"/>
    <mergeCell ref="DR18:DS18"/>
    <mergeCell ref="DR27:DS27"/>
    <mergeCell ref="DR28:DS28"/>
    <mergeCell ref="DR29:DS29"/>
    <mergeCell ref="DR307:DS307"/>
    <mergeCell ref="DR308:DS308"/>
    <mergeCell ref="DR288:DS288"/>
    <mergeCell ref="DR289:DS289"/>
    <mergeCell ref="DR287:DS287"/>
    <mergeCell ref="DR309:DS309"/>
    <mergeCell ref="DR302:DS302"/>
    <mergeCell ref="DR295:DS295"/>
    <mergeCell ref="DR296:DS296"/>
    <mergeCell ref="DR298:DS298"/>
    <mergeCell ref="DR305:DS305"/>
    <mergeCell ref="DR300:DS300"/>
    <mergeCell ref="DR291:DS291"/>
    <mergeCell ref="DR292:DS292"/>
    <mergeCell ref="DR301:DS301"/>
    <mergeCell ref="DR299:DS299"/>
    <mergeCell ref="I477:J477"/>
    <mergeCell ref="I473:J473"/>
    <mergeCell ref="I474:J474"/>
    <mergeCell ref="I475:J475"/>
    <mergeCell ref="I476:J476"/>
    <mergeCell ref="DR253:DS253"/>
    <mergeCell ref="DR257:DS257"/>
    <mergeCell ref="I472:J472"/>
    <mergeCell ref="DR256:DS256"/>
    <mergeCell ref="DR258:DS258"/>
    <mergeCell ref="DR280:DS280"/>
    <mergeCell ref="DR282:DS282"/>
    <mergeCell ref="DR283:DS283"/>
    <mergeCell ref="DR284:DS284"/>
    <mergeCell ref="DR277:DS277"/>
    <mergeCell ref="DR278:DS278"/>
    <mergeCell ref="DR281:DS281"/>
    <mergeCell ref="DR294:DS294"/>
    <mergeCell ref="DR268:DS268"/>
    <mergeCell ref="DR266:DS266"/>
    <mergeCell ref="DR384:DS384"/>
    <mergeCell ref="DR364:DS364"/>
    <mergeCell ref="DR286:DS286"/>
    <mergeCell ref="DR306:DS306"/>
    <mergeCell ref="DR160:DS160"/>
    <mergeCell ref="DR162:DS162"/>
    <mergeCell ref="DR163:DS163"/>
    <mergeCell ref="DR173:DS173"/>
    <mergeCell ref="DR161:DS161"/>
    <mergeCell ref="DR171:DS171"/>
    <mergeCell ref="DR172:DS172"/>
    <mergeCell ref="DR168:DS168"/>
    <mergeCell ref="DR169:DS169"/>
    <mergeCell ref="DR181:DS181"/>
    <mergeCell ref="DR184:DS184"/>
    <mergeCell ref="DR170:DS170"/>
    <mergeCell ref="DR176:DS176"/>
    <mergeCell ref="DR196:DS196"/>
    <mergeCell ref="DR198:DS198"/>
    <mergeCell ref="DR127:DS127"/>
    <mergeCell ref="DR133:DS133"/>
    <mergeCell ref="DR122:DS122"/>
    <mergeCell ref="DR125:DS125"/>
    <mergeCell ref="DR130:DS130"/>
    <mergeCell ref="DR131:DS131"/>
    <mergeCell ref="DR132:DS132"/>
    <mergeCell ref="DR126:DS126"/>
    <mergeCell ref="DR123:DS123"/>
    <mergeCell ref="DR128:DS128"/>
    <mergeCell ref="DR150:DS150"/>
    <mergeCell ref="DR165:DS165"/>
    <mergeCell ref="DR143:DS143"/>
    <mergeCell ref="DR149:DS149"/>
    <mergeCell ref="DR140:DS140"/>
    <mergeCell ref="DR141:DS141"/>
    <mergeCell ref="DR124:DS124"/>
    <mergeCell ref="DR175:DS175"/>
  </mergeCells>
  <conditionalFormatting sqref="AX13:AX14 H13:H14 S13:S14 AX17:AX41 H17:H41 S17:S41 S305:S396 AX305:AX396 H305:H396 H44:H302 S44:S302 AX44:AX302">
    <cfRule type="expression" dxfId="1" priority="219">
      <formula>AND(MONTH($H13)=$BR$8,YEAR($H13)&lt;$H$10)</formula>
    </cfRule>
  </conditionalFormatting>
  <conditionalFormatting sqref="S13:S14 H13:H14 H17:H41 S17:S41 S305:S396 H305:H396 H44:H302 S44:S302">
    <cfRule type="expression" dxfId="0" priority="231">
      <formula>AND(MONTH($H13)=$BR$8,YEAR($H13)&lt;$H$9)</formula>
    </cfRule>
  </conditionalFormatting>
  <dataValidations count="19">
    <dataValidation type="list" allowBlank="1" showInputMessage="1" showErrorMessage="1" sqref="CA359 CA187 CA261 CA268 CA16 CA54">
      <formula1>CESTAT</formula1>
    </dataValidation>
    <dataValidation type="list" allowBlank="1" showInputMessage="1" showErrorMessage="1" sqref="E434 R247 R245 O254:O292 O110:O118 O60:O83 O156:O160 O122:O126 O134:O138 R52 O44:O50 O85:O89 O140:O154 O91:O103 O105:O107 O52:O58 O120 O13:O14 O162:O224 O128:O132 O294:O302 O16:O41 O226:O252">
      <formula1>Empleado</formula1>
    </dataValidation>
    <dataValidation type="list" allowBlank="1" showInputMessage="1" showErrorMessage="1" sqref="BI214 AP305:AP396 AN305:AN396 Z305:Z396 BI254:BJ256 BI110:BJ118 AN13:AN14 Z13:Z14 AP13:AP14 BI122:BJ126 BI135:BJ138 BI52:BJ58 BI85:BJ89 BI60:BJ66 BI91:BJ103 BI105:BJ107 BI44:BJ50 BI120:BJ120 BI37:BJ40 BI162:BJ213 BI68:BJ83 BI140:BJ160 BI215:BJ224 BI128:BJ132 BI258:BJ264 BI266:BJ302 AP16:AP41 AN16:AN41 Z16:Z41 BI226:BJ252 AN44:AN302 Z44:Z302 AP44:AP302">
      <formula1>PHIJOS</formula1>
    </dataValidation>
    <dataValidation type="list" allowBlank="1" showInputMessage="1" showErrorMessage="1" sqref="Y265 X305:Y396 X13:X14 X16:X41 X44:X302">
      <formula1>"BACHILLER,TSU,UNIVERSITARIO,ESPECIALISTA,MAESTRIA,DOCTOR"</formula1>
    </dataValidation>
    <dataValidation showDropDown="1" showInputMessage="1" showErrorMessage="1" sqref="AT305:AT396 AT13:AT14 AT16:AT41 AT44:AT302"/>
    <dataValidation type="list" allowBlank="1" showInputMessage="1" showErrorMessage="1" sqref="BC305:BC396 BC13:BC14 BC16:BC41 BC44:BC302">
      <formula1>HORASE</formula1>
    </dataValidation>
    <dataValidation type="list" allowBlank="1" showInputMessage="1" showErrorMessage="1" sqref="BE277 BE223:BE231 BE304:BE396 BE13:BE14 BE192:BE221 BE44:BE189 BE279:BE302 BE16:BE41 BE233:BE248 BE250:BE275">
      <formula1>DIASDESC</formula1>
    </dataValidation>
    <dataValidation type="list" allowBlank="1" showInputMessage="1" showErrorMessage="1" sqref="AV305:AV396 AV13:AV14 AV17:AV41 AV44:AV302">
      <formula1>BONONOCTURN</formula1>
    </dataValidation>
    <dataValidation type="list" allowBlank="1" showInputMessage="1" showErrorMessage="1" sqref="AR305:AS396 AR13:AS14 AR16:AS41 AR44:AS302">
      <formula1>#REF!</formula1>
    </dataValidation>
    <dataValidation type="list" allowBlank="1" showInputMessage="1" showErrorMessage="1" sqref="A305:A397 A14:A15 A17:A42 A44:A303">
      <formula1>"EMPLEADO,OBRERO,BOMBERO"</formula1>
    </dataValidation>
    <dataValidation type="list" allowBlank="1" showInputMessage="1" showErrorMessage="1" sqref="E305:E396 E13:E14 E16:E41 E44:E302">
      <formula1>NAC</formula1>
    </dataValidation>
    <dataValidation type="list" allowBlank="1" showInputMessage="1" showErrorMessage="1" sqref="G305:G396 G13:G14 H16 G16:G41 G44:G302">
      <formula1>GEN</formula1>
    </dataValidation>
    <dataValidation type="list" allowBlank="1" showInputMessage="1" showErrorMessage="1" sqref="O305:O396">
      <formula1>Obrero</formula1>
    </dataValidation>
    <dataValidation type="list" allowBlank="1" showInputMessage="1" showErrorMessage="1" sqref="S305:S396">
      <formula1>TABOBR</formula1>
    </dataValidation>
    <dataValidation type="list" allowBlank="1" showInputMessage="1" showErrorMessage="1" sqref="S13:S14 S17:S41">
      <formula1>DIRECTIVOS</formula1>
    </dataValidation>
    <dataValidation type="list" showInputMessage="1" showErrorMessage="1" sqref="BB10">
      <formula1>DIAF</formula1>
    </dataValidation>
    <dataValidation type="list" allowBlank="1" showInputMessage="1" showErrorMessage="1" sqref="F9">
      <formula1>MES</formula1>
    </dataValidation>
    <dataValidation type="list" allowBlank="1" showInputMessage="1" showErrorMessage="1" sqref="A13">
      <formula1>"99,EMPLEADO,OBRERO"</formula1>
    </dataValidation>
    <dataValidation type="list" allowBlank="1" showInputMessage="1" showErrorMessage="1" sqref="S44:S302">
      <formula1>TABEMP</formula1>
    </dataValidation>
  </dataValidations>
  <pageMargins left="0.7" right="0.7" top="0.75" bottom="0.75" header="0.3" footer="0.3"/>
  <pageSetup paperSize="120" scale="1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'CONCEPTOS Y PARAMETROS'!$Y$3:$Y$14</xm:f>
          </x14:formula1>
          <xm:sqref>AX14 AX312:AX403 AX277:AX309 AX17:AX40 AX45:AX275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34" workbookViewId="0"/>
  </sheetViews>
  <sheetFormatPr baseColWidth="10"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FFFF00"/>
  </sheetPr>
  <dimension ref="A1:J481"/>
  <sheetViews>
    <sheetView topLeftCell="A7" zoomScale="90" zoomScaleNormal="90" workbookViewId="0">
      <pane ySplit="795" activePane="bottomLeft"/>
      <selection activeCell="I9" sqref="I1:I1048576"/>
      <selection pane="bottomLeft"/>
    </sheetView>
  </sheetViews>
  <sheetFormatPr baseColWidth="10" defaultRowHeight="15" x14ac:dyDescent="0.25"/>
  <cols>
    <col min="1" max="1" width="11.42578125" style="356"/>
    <col min="2" max="2" width="43.140625" style="364" customWidth="1"/>
    <col min="3" max="3" width="35" style="364" customWidth="1"/>
    <col min="4" max="4" width="10.5703125" style="1670" customWidth="1"/>
    <col min="5" max="5" width="43.85546875" style="364" customWidth="1"/>
    <col min="6" max="6" width="11.42578125" style="1669"/>
    <col min="7" max="7" width="13.7109375" style="427" customWidth="1"/>
    <col min="8" max="8" width="11.42578125" style="1669"/>
    <col min="9" max="9" width="9.85546875" style="1669" customWidth="1"/>
    <col min="10" max="16384" width="11.42578125" style="364"/>
  </cols>
  <sheetData>
    <row r="1" spans="1:9" x14ac:dyDescent="0.25">
      <c r="B1" s="1829" t="s">
        <v>5721</v>
      </c>
      <c r="C1" s="1829"/>
      <c r="D1" s="1829"/>
      <c r="E1" s="1829"/>
    </row>
    <row r="2" spans="1:9" x14ac:dyDescent="0.25">
      <c r="B2" s="1830" t="s">
        <v>5551</v>
      </c>
      <c r="C2" s="1830"/>
      <c r="D2" s="1830"/>
      <c r="E2" s="1830"/>
      <c r="F2" s="1830"/>
    </row>
    <row r="3" spans="1:9" x14ac:dyDescent="0.25">
      <c r="B3" s="1830" t="s">
        <v>5552</v>
      </c>
      <c r="C3" s="1830"/>
      <c r="D3" s="1830"/>
      <c r="E3" s="1830"/>
      <c r="F3" s="1830"/>
    </row>
    <row r="4" spans="1:9" x14ac:dyDescent="0.25">
      <c r="B4" s="1830" t="s">
        <v>5553</v>
      </c>
      <c r="C4" s="1830"/>
      <c r="D4" s="1830"/>
      <c r="E4" s="1830"/>
      <c r="F4" s="1830"/>
    </row>
    <row r="6" spans="1:9" x14ac:dyDescent="0.25">
      <c r="G6" s="427">
        <f>+NOMINA!H10</f>
        <v>45930</v>
      </c>
    </row>
    <row r="7" spans="1:9" x14ac:dyDescent="0.25">
      <c r="A7" s="357" t="s">
        <v>5554</v>
      </c>
      <c r="B7" s="1831" t="s">
        <v>5562</v>
      </c>
      <c r="C7" s="1831" t="s">
        <v>5561</v>
      </c>
      <c r="D7" s="446" t="s">
        <v>5555</v>
      </c>
      <c r="E7" s="355" t="s">
        <v>5556</v>
      </c>
      <c r="F7" s="1831" t="s">
        <v>5557</v>
      </c>
      <c r="G7" s="428" t="s">
        <v>5558</v>
      </c>
      <c r="H7" s="1822" t="s">
        <v>5559</v>
      </c>
      <c r="I7" s="1823"/>
    </row>
    <row r="8" spans="1:9" x14ac:dyDescent="0.25">
      <c r="A8" s="358" t="s">
        <v>5560</v>
      </c>
      <c r="B8" s="1832"/>
      <c r="C8" s="1832"/>
      <c r="D8" s="455" t="s">
        <v>4612</v>
      </c>
      <c r="E8" s="359" t="s">
        <v>5562</v>
      </c>
      <c r="F8" s="1832"/>
      <c r="G8" s="429" t="s">
        <v>5563</v>
      </c>
      <c r="H8" s="1824"/>
      <c r="I8" s="1825"/>
    </row>
    <row r="9" spans="1:9" x14ac:dyDescent="0.25">
      <c r="A9" s="448" t="s">
        <v>4627</v>
      </c>
      <c r="B9" s="449"/>
      <c r="C9" s="361"/>
      <c r="D9" s="456"/>
      <c r="E9" s="361"/>
      <c r="F9" s="435"/>
      <c r="G9" s="430"/>
      <c r="H9" s="435"/>
      <c r="I9" s="435"/>
    </row>
    <row r="10" spans="1:9" s="593" customFormat="1" x14ac:dyDescent="0.25">
      <c r="A10" s="360"/>
      <c r="B10" s="459"/>
      <c r="C10" s="1127"/>
      <c r="D10" s="1128"/>
      <c r="E10" s="1127"/>
      <c r="F10" s="1129"/>
      <c r="G10" s="1130"/>
      <c r="H10" s="435"/>
      <c r="I10" s="1129"/>
    </row>
    <row r="11" spans="1:9" x14ac:dyDescent="0.25">
      <c r="A11" s="370"/>
      <c r="B11" s="371"/>
      <c r="C11" s="371"/>
      <c r="D11" s="457"/>
      <c r="E11" s="371"/>
      <c r="F11" s="442"/>
      <c r="G11" s="431"/>
      <c r="H11" s="442"/>
      <c r="I11" s="442"/>
    </row>
    <row r="12" spans="1:9" ht="18.75" x14ac:dyDescent="0.3">
      <c r="A12" s="370"/>
      <c r="B12" s="371"/>
      <c r="C12" s="462" t="s">
        <v>5767</v>
      </c>
      <c r="D12" s="451">
        <f>+SUM(D9:D11)</f>
        <v>0</v>
      </c>
      <c r="E12" s="371"/>
      <c r="F12" s="442"/>
      <c r="G12" s="431"/>
      <c r="H12" s="442"/>
      <c r="I12" s="442"/>
    </row>
    <row r="13" spans="1:9" x14ac:dyDescent="0.25">
      <c r="A13" s="370"/>
      <c r="B13" s="371"/>
      <c r="C13" s="371"/>
      <c r="D13" s="457"/>
      <c r="E13" s="371"/>
      <c r="F13" s="442"/>
      <c r="G13" s="431"/>
      <c r="H13" s="442"/>
      <c r="I13" s="442"/>
    </row>
    <row r="14" spans="1:9" x14ac:dyDescent="0.25">
      <c r="A14" s="448" t="s">
        <v>5503</v>
      </c>
      <c r="B14" s="450"/>
      <c r="C14" s="371"/>
      <c r="D14" s="457"/>
      <c r="E14" s="371"/>
      <c r="F14" s="442"/>
      <c r="G14" s="431"/>
      <c r="H14" s="442"/>
      <c r="I14" s="442"/>
    </row>
    <row r="15" spans="1:9" x14ac:dyDescent="0.25">
      <c r="A15" s="370">
        <v>10404528</v>
      </c>
      <c r="B15" s="459" t="s">
        <v>4669</v>
      </c>
      <c r="C15" s="371" t="s">
        <v>218</v>
      </c>
      <c r="D15" s="1682">
        <v>0</v>
      </c>
      <c r="E15" s="371" t="s">
        <v>5701</v>
      </c>
      <c r="F15" s="442" t="s">
        <v>4621</v>
      </c>
      <c r="G15" s="431">
        <v>40647</v>
      </c>
      <c r="H15" s="1677">
        <f>DATEDIF(G15,$G$6,"Y")</f>
        <v>14</v>
      </c>
      <c r="I15" s="442">
        <v>1</v>
      </c>
    </row>
    <row r="16" spans="1:9" x14ac:dyDescent="0.25">
      <c r="A16" s="370"/>
      <c r="B16" s="459"/>
      <c r="C16" s="371"/>
      <c r="D16" s="457"/>
      <c r="E16" s="371"/>
      <c r="F16" s="442"/>
      <c r="G16" s="431"/>
      <c r="H16" s="442"/>
      <c r="I16" s="442"/>
    </row>
    <row r="17" spans="1:9" x14ac:dyDescent="0.25">
      <c r="A17" s="360">
        <v>21592108</v>
      </c>
      <c r="B17" s="376" t="s">
        <v>5717</v>
      </c>
      <c r="C17" s="361" t="s">
        <v>5718</v>
      </c>
      <c r="D17" s="465">
        <v>1</v>
      </c>
      <c r="E17" s="361" t="s">
        <v>5719</v>
      </c>
      <c r="F17" s="435" t="s">
        <v>4620</v>
      </c>
      <c r="G17" s="430">
        <v>42224</v>
      </c>
      <c r="H17" s="435">
        <f>DATEDIF(G17,$G$6,"Y")</f>
        <v>10</v>
      </c>
      <c r="I17" s="435"/>
    </row>
    <row r="18" spans="1:9" x14ac:dyDescent="0.25">
      <c r="A18" s="886"/>
      <c r="B18" s="887"/>
      <c r="C18" s="888"/>
      <c r="D18" s="889"/>
      <c r="E18" s="888"/>
      <c r="F18" s="890"/>
      <c r="G18" s="891"/>
      <c r="H18" s="890"/>
      <c r="I18" s="890"/>
    </row>
    <row r="19" spans="1:9" x14ac:dyDescent="0.25">
      <c r="A19" s="360">
        <v>13462933</v>
      </c>
      <c r="B19" s="376" t="s">
        <v>5706</v>
      </c>
      <c r="C19" s="361"/>
      <c r="D19" s="1683">
        <v>0</v>
      </c>
      <c r="E19" s="361" t="s">
        <v>5708</v>
      </c>
      <c r="F19" s="435" t="s">
        <v>4620</v>
      </c>
      <c r="G19" s="430">
        <v>40894</v>
      </c>
      <c r="H19" s="1677">
        <f>DATEDIF(G19,$G$6,"Y")</f>
        <v>13</v>
      </c>
      <c r="I19" s="435">
        <v>1</v>
      </c>
    </row>
    <row r="20" spans="1:9" x14ac:dyDescent="0.25">
      <c r="A20" s="370"/>
      <c r="B20" s="459"/>
      <c r="C20" s="371"/>
      <c r="D20" s="457"/>
      <c r="E20" s="371"/>
      <c r="F20" s="442"/>
      <c r="G20" s="431"/>
      <c r="H20" s="442"/>
      <c r="I20" s="442"/>
    </row>
    <row r="21" spans="1:9" x14ac:dyDescent="0.25">
      <c r="A21" s="360">
        <v>18457406</v>
      </c>
      <c r="B21" s="376" t="s">
        <v>5705</v>
      </c>
      <c r="C21" s="361"/>
      <c r="D21" s="465">
        <v>1</v>
      </c>
      <c r="E21" s="361" t="s">
        <v>5665</v>
      </c>
      <c r="F21" s="435" t="s">
        <v>4620</v>
      </c>
      <c r="G21" s="430">
        <v>41659</v>
      </c>
      <c r="H21" s="435">
        <f>DATEDIF(G21,$G$6,"Y")</f>
        <v>11</v>
      </c>
      <c r="I21" s="435"/>
    </row>
    <row r="22" spans="1:9" x14ac:dyDescent="0.25">
      <c r="A22" s="886"/>
      <c r="B22" s="887"/>
      <c r="C22" s="888"/>
      <c r="D22" s="889"/>
      <c r="E22" s="888"/>
      <c r="F22" s="890"/>
      <c r="G22" s="891"/>
      <c r="H22" s="890"/>
      <c r="I22" s="890"/>
    </row>
    <row r="23" spans="1:9" x14ac:dyDescent="0.25">
      <c r="A23" s="370">
        <v>11895772</v>
      </c>
      <c r="B23" s="459" t="s">
        <v>4677</v>
      </c>
      <c r="C23" s="371"/>
      <c r="D23" s="1682">
        <v>0</v>
      </c>
      <c r="E23" s="371" t="s">
        <v>5989</v>
      </c>
      <c r="F23" s="442" t="s">
        <v>4621</v>
      </c>
      <c r="G23" s="431">
        <v>39954</v>
      </c>
      <c r="H23" s="1677">
        <f>DATEDIF(G23,$G$6,"Y")</f>
        <v>16</v>
      </c>
      <c r="I23" s="442">
        <v>1</v>
      </c>
    </row>
    <row r="24" spans="1:9" x14ac:dyDescent="0.25">
      <c r="A24" s="886"/>
      <c r="B24" s="887"/>
      <c r="C24" s="888"/>
      <c r="D24" s="889"/>
      <c r="E24" s="888"/>
      <c r="F24" s="890"/>
      <c r="G24" s="891"/>
      <c r="H24" s="890"/>
      <c r="I24" s="890"/>
    </row>
    <row r="25" spans="1:9" x14ac:dyDescent="0.25">
      <c r="A25" s="370">
        <v>5348397</v>
      </c>
      <c r="B25" s="459" t="s">
        <v>4678</v>
      </c>
      <c r="C25" s="371"/>
      <c r="D25" s="1682">
        <v>0</v>
      </c>
      <c r="E25" s="371" t="s">
        <v>5991</v>
      </c>
      <c r="F25" s="442" t="s">
        <v>4621</v>
      </c>
      <c r="G25" s="431">
        <v>39396</v>
      </c>
      <c r="H25" s="1677">
        <f>DATEDIF(G25,$G$6,"Y")</f>
        <v>17</v>
      </c>
      <c r="I25" s="442">
        <v>1</v>
      </c>
    </row>
    <row r="26" spans="1:9" x14ac:dyDescent="0.25">
      <c r="A26" s="370"/>
      <c r="B26" s="459"/>
      <c r="C26" s="371"/>
      <c r="D26" s="457"/>
      <c r="E26" s="371" t="s">
        <v>2904</v>
      </c>
      <c r="F26" s="442"/>
      <c r="G26" s="431"/>
      <c r="H26" s="442"/>
      <c r="I26" s="442"/>
    </row>
    <row r="27" spans="1:9" x14ac:dyDescent="0.25">
      <c r="A27" s="360">
        <v>11320533</v>
      </c>
      <c r="B27" s="361" t="s">
        <v>4744</v>
      </c>
      <c r="C27" s="361"/>
      <c r="D27" s="1684">
        <v>0</v>
      </c>
      <c r="E27" s="361" t="s">
        <v>5569</v>
      </c>
      <c r="F27" s="435" t="s">
        <v>4620</v>
      </c>
      <c r="G27" s="430">
        <v>39374</v>
      </c>
      <c r="H27" s="1677">
        <f>DATEDIF(G27,$G$6,"Y")</f>
        <v>17</v>
      </c>
      <c r="I27" s="435">
        <v>1</v>
      </c>
    </row>
    <row r="28" spans="1:9" x14ac:dyDescent="0.25">
      <c r="A28" s="886"/>
      <c r="B28" s="887"/>
      <c r="C28" s="888"/>
      <c r="D28" s="889"/>
      <c r="E28" s="888"/>
      <c r="F28" s="890"/>
      <c r="G28" s="891"/>
      <c r="H28" s="890"/>
      <c r="I28" s="890"/>
    </row>
    <row r="29" spans="1:9" x14ac:dyDescent="0.25">
      <c r="A29" s="370">
        <v>13568733</v>
      </c>
      <c r="B29" s="459" t="s">
        <v>4685</v>
      </c>
      <c r="C29" s="371"/>
      <c r="D29" s="457">
        <v>1</v>
      </c>
      <c r="E29" s="371" t="s">
        <v>5993</v>
      </c>
      <c r="F29" s="435" t="s">
        <v>4620</v>
      </c>
      <c r="G29" s="431">
        <v>41229</v>
      </c>
      <c r="H29" s="435">
        <f>DATEDIF(G29,$G$6,"Y")</f>
        <v>12</v>
      </c>
      <c r="I29" s="442"/>
    </row>
    <row r="30" spans="1:9" x14ac:dyDescent="0.25">
      <c r="A30" s="886"/>
      <c r="B30" s="887"/>
      <c r="C30" s="888"/>
      <c r="D30" s="889"/>
      <c r="E30" s="888"/>
      <c r="F30" s="890"/>
      <c r="G30" s="891"/>
      <c r="H30" s="890"/>
      <c r="I30" s="890"/>
    </row>
    <row r="31" spans="1:9" x14ac:dyDescent="0.25">
      <c r="A31" s="360">
        <v>15752183</v>
      </c>
      <c r="B31" s="376" t="s">
        <v>5702</v>
      </c>
      <c r="C31" s="361" t="s">
        <v>218</v>
      </c>
      <c r="D31" s="1683">
        <v>1</v>
      </c>
      <c r="E31" s="361" t="s">
        <v>5703</v>
      </c>
      <c r="F31" s="435" t="s">
        <v>4621</v>
      </c>
      <c r="G31" s="430">
        <v>39760</v>
      </c>
      <c r="H31" s="1677">
        <f>DATEDIF(G31,$G$6,"Y")</f>
        <v>16</v>
      </c>
      <c r="I31" s="435">
        <v>1</v>
      </c>
    </row>
    <row r="32" spans="1:9" x14ac:dyDescent="0.25">
      <c r="A32" s="360">
        <v>15752183</v>
      </c>
      <c r="B32" s="376" t="s">
        <v>5702</v>
      </c>
      <c r="C32" s="361"/>
      <c r="D32" s="465"/>
      <c r="E32" s="361" t="s">
        <v>5704</v>
      </c>
      <c r="F32" s="435" t="s">
        <v>4621</v>
      </c>
      <c r="G32" s="430">
        <v>42488</v>
      </c>
      <c r="H32" s="435">
        <f>DATEDIF(G32,$G$6,"Y")</f>
        <v>9</v>
      </c>
      <c r="I32" s="435"/>
    </row>
    <row r="33" spans="1:10" x14ac:dyDescent="0.25">
      <c r="A33" s="1119"/>
      <c r="B33" s="1266"/>
      <c r="C33" s="1120"/>
      <c r="D33" s="1121"/>
      <c r="E33" s="1120"/>
      <c r="F33" s="1122"/>
      <c r="G33" s="1123"/>
      <c r="H33" s="1122"/>
      <c r="I33" s="1122"/>
    </row>
    <row r="34" spans="1:10" x14ac:dyDescent="0.25">
      <c r="A34" s="360">
        <v>16066524</v>
      </c>
      <c r="B34" s="361" t="s">
        <v>4814</v>
      </c>
      <c r="C34" s="361" t="s">
        <v>5215</v>
      </c>
      <c r="D34" s="1684">
        <v>0</v>
      </c>
      <c r="E34" s="361" t="s">
        <v>5619</v>
      </c>
      <c r="F34" s="435" t="s">
        <v>4620</v>
      </c>
      <c r="G34" s="430">
        <v>40827</v>
      </c>
      <c r="H34" s="1677">
        <f>DATEDIF(G34,$G$6,"Y")</f>
        <v>13</v>
      </c>
      <c r="I34" s="435">
        <v>2</v>
      </c>
    </row>
    <row r="35" spans="1:10" x14ac:dyDescent="0.25">
      <c r="A35" s="360">
        <v>16066524</v>
      </c>
      <c r="B35" s="361" t="s">
        <v>4814</v>
      </c>
      <c r="C35" s="361"/>
      <c r="D35" s="465"/>
      <c r="E35" s="361" t="s">
        <v>5620</v>
      </c>
      <c r="F35" s="435" t="s">
        <v>4620</v>
      </c>
      <c r="G35" s="430">
        <v>40827</v>
      </c>
      <c r="H35" s="1677">
        <f>DATEDIF(G35,$G$6,"Y")</f>
        <v>13</v>
      </c>
      <c r="I35" s="435"/>
    </row>
    <row r="36" spans="1:10" x14ac:dyDescent="0.25">
      <c r="A36" s="1119"/>
      <c r="B36" s="1120"/>
      <c r="C36" s="1120"/>
      <c r="D36" s="1121"/>
      <c r="E36" s="1120"/>
      <c r="F36" s="1122"/>
      <c r="G36" s="1123"/>
      <c r="H36" s="1122"/>
      <c r="I36" s="1122"/>
    </row>
    <row r="37" spans="1:10" x14ac:dyDescent="0.25">
      <c r="A37" s="360">
        <v>16739081</v>
      </c>
      <c r="B37" s="361" t="s">
        <v>4828</v>
      </c>
      <c r="C37" s="361" t="s">
        <v>5718</v>
      </c>
      <c r="D37" s="1685">
        <v>0</v>
      </c>
      <c r="E37" s="361" t="s">
        <v>5636</v>
      </c>
      <c r="F37" s="435" t="s">
        <v>4620</v>
      </c>
      <c r="G37" s="430">
        <v>40629</v>
      </c>
      <c r="H37" s="1677">
        <f t="shared" ref="H37:H38" si="0">DATEDIF(G37,$G$6,"Y")</f>
        <v>14</v>
      </c>
      <c r="I37" s="1122">
        <v>2</v>
      </c>
    </row>
    <row r="38" spans="1:10" x14ac:dyDescent="0.25">
      <c r="A38" s="360">
        <v>16739081</v>
      </c>
      <c r="B38" s="361" t="s">
        <v>4828</v>
      </c>
      <c r="C38" s="361"/>
      <c r="D38" s="1121"/>
      <c r="E38" s="361" t="s">
        <v>5637</v>
      </c>
      <c r="F38" s="435" t="s">
        <v>4620</v>
      </c>
      <c r="G38" s="430">
        <v>39951</v>
      </c>
      <c r="H38" s="1677">
        <f t="shared" si="0"/>
        <v>16</v>
      </c>
      <c r="I38" s="1122"/>
    </row>
    <row r="39" spans="1:10" x14ac:dyDescent="0.25">
      <c r="A39" s="886"/>
      <c r="B39" s="887"/>
      <c r="C39" s="888"/>
      <c r="D39" s="889"/>
      <c r="E39" s="888"/>
      <c r="F39" s="890"/>
      <c r="G39" s="891"/>
      <c r="H39" s="890"/>
      <c r="I39" s="890"/>
    </row>
    <row r="40" spans="1:10" x14ac:dyDescent="0.25">
      <c r="A40" s="360">
        <v>20790947</v>
      </c>
      <c r="B40" s="376" t="s">
        <v>4686</v>
      </c>
      <c r="C40" s="361" t="s">
        <v>5050</v>
      </c>
      <c r="D40" s="892">
        <v>1</v>
      </c>
      <c r="E40" s="361" t="s">
        <v>5720</v>
      </c>
      <c r="F40" s="442" t="s">
        <v>4620</v>
      </c>
      <c r="G40" s="430">
        <v>43853</v>
      </c>
      <c r="H40" s="435">
        <f>DATEDIF(G40,$G$6,"Y")</f>
        <v>5</v>
      </c>
      <c r="I40" s="442"/>
    </row>
    <row r="41" spans="1:10" x14ac:dyDescent="0.25">
      <c r="A41" s="1119"/>
      <c r="B41" s="1266"/>
      <c r="C41" s="1120"/>
      <c r="D41" s="1121"/>
      <c r="E41" s="1120"/>
      <c r="F41" s="1122"/>
      <c r="G41" s="1123"/>
      <c r="H41" s="1122"/>
      <c r="I41" s="1122"/>
    </row>
    <row r="42" spans="1:10" x14ac:dyDescent="0.25">
      <c r="A42" s="360">
        <v>27889180</v>
      </c>
      <c r="B42" s="361" t="s">
        <v>4924</v>
      </c>
      <c r="C42" s="361" t="s">
        <v>5269</v>
      </c>
      <c r="D42" s="465">
        <v>1</v>
      </c>
      <c r="E42" s="361" t="s">
        <v>5699</v>
      </c>
      <c r="F42" s="435" t="s">
        <v>4620</v>
      </c>
      <c r="G42" s="430">
        <v>44883</v>
      </c>
      <c r="H42" s="435">
        <f>DATEDIF(G42,$G$6,"Y")</f>
        <v>2</v>
      </c>
      <c r="I42" s="435"/>
    </row>
    <row r="43" spans="1:10" x14ac:dyDescent="0.25">
      <c r="A43" s="1119"/>
      <c r="B43" s="1266"/>
      <c r="C43" s="1120"/>
      <c r="D43" s="1121"/>
      <c r="E43" s="1120"/>
      <c r="F43" s="1122"/>
      <c r="G43" s="1123"/>
      <c r="H43" s="1122"/>
      <c r="I43" s="1122"/>
    </row>
    <row r="44" spans="1:10" x14ac:dyDescent="0.25">
      <c r="A44" s="370"/>
      <c r="B44" s="371"/>
      <c r="C44" s="371"/>
      <c r="D44" s="457"/>
      <c r="E44" s="371"/>
      <c r="F44" s="442"/>
      <c r="G44" s="431"/>
      <c r="H44" s="442"/>
      <c r="I44" s="442"/>
    </row>
    <row r="45" spans="1:10" ht="18.75" x14ac:dyDescent="0.3">
      <c r="A45" s="370"/>
      <c r="B45" s="371"/>
      <c r="C45" s="462" t="s">
        <v>5768</v>
      </c>
      <c r="D45" s="451">
        <f>+SUM(D15:D44)</f>
        <v>6</v>
      </c>
      <c r="E45" s="1476">
        <f>+NOMINA!Z42-D45</f>
        <v>11</v>
      </c>
      <c r="F45" s="463"/>
      <c r="G45" s="464"/>
      <c r="H45" s="463"/>
      <c r="I45" s="451">
        <f>+SUM(I15:I44)</f>
        <v>10</v>
      </c>
      <c r="J45" s="364">
        <f>+D45-I45</f>
        <v>-4</v>
      </c>
    </row>
    <row r="46" spans="1:10" x14ac:dyDescent="0.25">
      <c r="A46" s="370"/>
      <c r="B46" s="371"/>
      <c r="C46" s="371"/>
      <c r="D46" s="457"/>
      <c r="E46" s="371"/>
      <c r="F46" s="442"/>
      <c r="G46" s="431"/>
      <c r="H46" s="442"/>
      <c r="I46" s="442"/>
    </row>
    <row r="47" spans="1:10" ht="21" x14ac:dyDescent="0.35">
      <c r="A47" s="1636" t="s">
        <v>5054</v>
      </c>
      <c r="B47" s="450"/>
      <c r="C47" s="371"/>
      <c r="D47" s="457"/>
      <c r="E47" s="371"/>
      <c r="F47" s="442"/>
      <c r="G47" s="431"/>
      <c r="H47" s="442"/>
      <c r="I47" s="442"/>
    </row>
    <row r="48" spans="1:10" x14ac:dyDescent="0.25">
      <c r="A48" s="370"/>
      <c r="B48" s="371"/>
      <c r="C48" s="371"/>
      <c r="D48" s="457"/>
      <c r="E48" s="371"/>
      <c r="F48" s="442"/>
      <c r="G48" s="431"/>
      <c r="H48" s="442"/>
      <c r="I48" s="442"/>
    </row>
    <row r="49" spans="1:9" x14ac:dyDescent="0.25">
      <c r="A49" s="975">
        <v>8266170</v>
      </c>
      <c r="B49" s="976" t="s">
        <v>4938</v>
      </c>
      <c r="C49" s="361" t="s">
        <v>5218</v>
      </c>
      <c r="D49" s="977">
        <v>1</v>
      </c>
      <c r="E49" s="976" t="s">
        <v>5978</v>
      </c>
      <c r="F49" s="435" t="s">
        <v>4621</v>
      </c>
      <c r="G49" s="979">
        <v>41630</v>
      </c>
      <c r="H49" s="435">
        <f>DATEDIF(G49,$G$6,"Y")</f>
        <v>11</v>
      </c>
      <c r="I49" s="978">
        <v>0</v>
      </c>
    </row>
    <row r="50" spans="1:9" x14ac:dyDescent="0.25">
      <c r="A50" s="975"/>
      <c r="B50" s="976"/>
      <c r="C50" s="976"/>
      <c r="D50" s="977"/>
      <c r="E50" s="976"/>
      <c r="F50" s="978"/>
      <c r="G50" s="979"/>
      <c r="H50" s="978"/>
      <c r="I50" s="978"/>
    </row>
    <row r="51" spans="1:9" x14ac:dyDescent="0.25">
      <c r="A51" s="975">
        <v>9179981</v>
      </c>
      <c r="B51" s="976" t="s">
        <v>4702</v>
      </c>
      <c r="C51" s="361" t="s">
        <v>5258</v>
      </c>
      <c r="D51" s="1686">
        <v>0</v>
      </c>
      <c r="E51" s="976" t="s">
        <v>6794</v>
      </c>
      <c r="F51" s="435" t="s">
        <v>4621</v>
      </c>
      <c r="G51" s="979">
        <v>39307</v>
      </c>
      <c r="H51" s="1677">
        <f>DATEDIF(G51,$G$6,"Y")</f>
        <v>18</v>
      </c>
      <c r="I51" s="1122">
        <v>1</v>
      </c>
    </row>
    <row r="52" spans="1:9" x14ac:dyDescent="0.25">
      <c r="A52" s="1119"/>
      <c r="B52" s="1120"/>
      <c r="C52" s="1120"/>
      <c r="D52" s="1265"/>
      <c r="E52" s="1120"/>
      <c r="F52" s="1122"/>
      <c r="G52" s="1123"/>
      <c r="H52" s="1122"/>
      <c r="I52" s="1122"/>
    </row>
    <row r="53" spans="1:9" x14ac:dyDescent="0.25">
      <c r="A53" s="360">
        <v>9327253</v>
      </c>
      <c r="B53" s="361" t="s">
        <v>4707</v>
      </c>
      <c r="C53" s="361"/>
      <c r="D53" s="1686">
        <v>0</v>
      </c>
      <c r="E53" s="361" t="s">
        <v>5565</v>
      </c>
      <c r="F53" s="435" t="s">
        <v>4620</v>
      </c>
      <c r="G53" s="430">
        <v>39307</v>
      </c>
      <c r="H53" s="1677">
        <f>DATEDIF(G53,$G$6,"Y")</f>
        <v>18</v>
      </c>
      <c r="I53" s="435">
        <v>1</v>
      </c>
    </row>
    <row r="54" spans="1:9" x14ac:dyDescent="0.25">
      <c r="A54" s="360"/>
      <c r="B54" s="361"/>
      <c r="C54" s="361"/>
      <c r="D54" s="465"/>
      <c r="E54" s="361"/>
      <c r="F54" s="435"/>
      <c r="G54" s="430"/>
      <c r="H54" s="435"/>
      <c r="I54" s="435"/>
    </row>
    <row r="55" spans="1:9" x14ac:dyDescent="0.25">
      <c r="A55" s="360">
        <v>10319457</v>
      </c>
      <c r="B55" s="361" t="s">
        <v>4718</v>
      </c>
      <c r="C55" s="361" t="s">
        <v>5227</v>
      </c>
      <c r="D55" s="1686">
        <v>0</v>
      </c>
      <c r="E55" s="361" t="s">
        <v>5566</v>
      </c>
      <c r="F55" s="435" t="s">
        <v>4620</v>
      </c>
      <c r="G55" s="430">
        <v>40354</v>
      </c>
      <c r="H55" s="1677">
        <f>DATEDIF(G55,$G$6,"Y")</f>
        <v>15</v>
      </c>
      <c r="I55" s="435">
        <v>1</v>
      </c>
    </row>
    <row r="56" spans="1:9" x14ac:dyDescent="0.25">
      <c r="A56" s="360"/>
      <c r="B56" s="361"/>
      <c r="C56" s="361"/>
      <c r="D56" s="465"/>
      <c r="E56" s="361"/>
      <c r="F56" s="435"/>
      <c r="G56" s="430"/>
      <c r="H56" s="435"/>
      <c r="I56" s="435"/>
    </row>
    <row r="57" spans="1:9" x14ac:dyDescent="0.25">
      <c r="A57" s="360">
        <v>10906923</v>
      </c>
      <c r="B57" s="361" t="s">
        <v>4727</v>
      </c>
      <c r="C57" s="361" t="s">
        <v>5218</v>
      </c>
      <c r="D57" s="465">
        <v>1</v>
      </c>
      <c r="E57" s="361" t="s">
        <v>5994</v>
      </c>
      <c r="F57" s="435" t="s">
        <v>4621</v>
      </c>
      <c r="G57" s="430">
        <v>41261</v>
      </c>
      <c r="H57" s="435">
        <f>DATEDIF(G57,$G$6,"Y")</f>
        <v>12</v>
      </c>
      <c r="I57" s="435"/>
    </row>
    <row r="58" spans="1:9" x14ac:dyDescent="0.25">
      <c r="A58" s="360"/>
      <c r="B58" s="361"/>
      <c r="C58" s="361"/>
      <c r="D58" s="465"/>
      <c r="E58" s="361" t="s">
        <v>2904</v>
      </c>
      <c r="F58" s="435"/>
      <c r="G58" s="430"/>
      <c r="H58" s="435"/>
      <c r="I58" s="435"/>
    </row>
    <row r="59" spans="1:9" x14ac:dyDescent="0.25">
      <c r="A59" s="370">
        <v>11128954</v>
      </c>
      <c r="B59" s="371" t="s">
        <v>5769</v>
      </c>
      <c r="C59" s="371" t="s">
        <v>3618</v>
      </c>
      <c r="D59" s="892">
        <v>1</v>
      </c>
      <c r="E59" s="371" t="s">
        <v>5776</v>
      </c>
      <c r="F59" s="435" t="s">
        <v>4620</v>
      </c>
      <c r="G59" s="430">
        <v>41771</v>
      </c>
      <c r="H59" s="435">
        <f>DATEDIF(G59,$G$6,"Y")</f>
        <v>11</v>
      </c>
      <c r="I59" s="442"/>
    </row>
    <row r="60" spans="1:9" x14ac:dyDescent="0.25">
      <c r="A60" s="1119"/>
      <c r="B60" s="1120"/>
      <c r="C60" s="1120"/>
      <c r="D60" s="1121"/>
      <c r="E60" s="1120" t="s">
        <v>2904</v>
      </c>
      <c r="F60" s="1122"/>
      <c r="G60" s="1123"/>
      <c r="H60" s="1122"/>
      <c r="I60" s="1122"/>
    </row>
    <row r="61" spans="1:9" x14ac:dyDescent="0.25">
      <c r="A61" s="360">
        <v>11132979</v>
      </c>
      <c r="B61" s="361" t="s">
        <v>4739</v>
      </c>
      <c r="C61" s="361" t="s">
        <v>5217</v>
      </c>
      <c r="D61" s="1686">
        <v>0</v>
      </c>
      <c r="E61" s="361" t="s">
        <v>5995</v>
      </c>
      <c r="F61" s="435" t="s">
        <v>4620</v>
      </c>
      <c r="G61" s="430">
        <v>40573</v>
      </c>
      <c r="H61" s="1677">
        <f>DATEDIF(G61,$G$6,"Y")</f>
        <v>14</v>
      </c>
      <c r="I61" s="435">
        <v>1</v>
      </c>
    </row>
    <row r="62" spans="1:9" x14ac:dyDescent="0.25">
      <c r="A62" s="360"/>
      <c r="B62" s="361"/>
      <c r="C62" s="363"/>
      <c r="D62" s="465"/>
      <c r="E62" s="361"/>
      <c r="F62" s="435"/>
      <c r="G62" s="430"/>
      <c r="H62" s="435"/>
      <c r="I62" s="435"/>
    </row>
    <row r="63" spans="1:9" x14ac:dyDescent="0.25">
      <c r="A63" s="360">
        <v>11257247</v>
      </c>
      <c r="B63" s="361" t="s">
        <v>4740</v>
      </c>
      <c r="C63" s="361" t="s">
        <v>5235</v>
      </c>
      <c r="D63" s="1686">
        <v>0</v>
      </c>
      <c r="E63" s="361" t="s">
        <v>5567</v>
      </c>
      <c r="F63" s="435" t="s">
        <v>4620</v>
      </c>
      <c r="G63" s="430">
        <v>40114</v>
      </c>
      <c r="H63" s="1677">
        <f>DATEDIF(G63,$G$6,"Y")</f>
        <v>15</v>
      </c>
      <c r="I63" s="435">
        <v>1</v>
      </c>
    </row>
    <row r="64" spans="1:9" x14ac:dyDescent="0.25">
      <c r="A64" s="360"/>
      <c r="B64" s="361"/>
      <c r="C64" s="361"/>
      <c r="D64" s="465"/>
      <c r="E64" s="361"/>
      <c r="F64" s="435"/>
      <c r="G64" s="430"/>
      <c r="H64" s="435"/>
      <c r="I64" s="435"/>
    </row>
    <row r="65" spans="1:9" x14ac:dyDescent="0.25">
      <c r="A65" s="360">
        <v>12040792</v>
      </c>
      <c r="B65" s="361" t="s">
        <v>4751</v>
      </c>
      <c r="C65" s="361" t="s">
        <v>5238</v>
      </c>
      <c r="D65" s="1686">
        <v>0</v>
      </c>
      <c r="E65" s="361" t="s">
        <v>5570</v>
      </c>
      <c r="F65" s="435" t="s">
        <v>4620</v>
      </c>
      <c r="G65" s="430">
        <v>40530</v>
      </c>
      <c r="H65" s="1677">
        <f>DATEDIF(G65,$G$6,"Y")</f>
        <v>14</v>
      </c>
      <c r="I65" s="435">
        <v>1</v>
      </c>
    </row>
    <row r="66" spans="1:9" x14ac:dyDescent="0.25">
      <c r="A66" s="360"/>
      <c r="B66" s="361"/>
      <c r="C66" s="361"/>
      <c r="D66" s="465"/>
      <c r="E66" s="361"/>
      <c r="F66" s="435"/>
      <c r="G66" s="430"/>
      <c r="H66" s="435"/>
      <c r="I66" s="435"/>
    </row>
    <row r="67" spans="1:9" x14ac:dyDescent="0.25">
      <c r="A67" s="360">
        <v>12045360</v>
      </c>
      <c r="B67" s="361" t="s">
        <v>4754</v>
      </c>
      <c r="C67" s="361" t="s">
        <v>5218</v>
      </c>
      <c r="D67" s="1686">
        <v>0</v>
      </c>
      <c r="E67" s="361" t="s">
        <v>5571</v>
      </c>
      <c r="F67" s="435" t="s">
        <v>4620</v>
      </c>
      <c r="G67" s="430">
        <v>40113</v>
      </c>
      <c r="H67" s="1677">
        <f>DATEDIF(G67,$G$6,"Y")</f>
        <v>15</v>
      </c>
      <c r="I67" s="435">
        <v>1</v>
      </c>
    </row>
    <row r="68" spans="1:9" x14ac:dyDescent="0.25">
      <c r="A68" s="360"/>
      <c r="B68" s="361"/>
      <c r="C68" s="361"/>
      <c r="D68" s="465"/>
      <c r="E68" s="361"/>
      <c r="F68" s="435"/>
      <c r="G68" s="430"/>
      <c r="H68" s="435"/>
      <c r="I68" s="435"/>
    </row>
    <row r="69" spans="1:9" x14ac:dyDescent="0.25">
      <c r="A69" s="360">
        <v>12045504</v>
      </c>
      <c r="B69" s="361" t="s">
        <v>4755</v>
      </c>
      <c r="C69" s="361" t="s">
        <v>5231</v>
      </c>
      <c r="D69" s="1686">
        <v>0</v>
      </c>
      <c r="E69" s="361" t="s">
        <v>5572</v>
      </c>
      <c r="F69" s="435" t="s">
        <v>4620</v>
      </c>
      <c r="G69" s="430">
        <v>40837</v>
      </c>
      <c r="H69" s="1677">
        <f>DATEDIF(G69,$G$6,"Y")</f>
        <v>13</v>
      </c>
      <c r="I69" s="435">
        <v>2</v>
      </c>
    </row>
    <row r="70" spans="1:9" x14ac:dyDescent="0.25">
      <c r="A70" s="360">
        <v>12045504</v>
      </c>
      <c r="B70" s="361" t="s">
        <v>4755</v>
      </c>
      <c r="C70" s="361"/>
      <c r="D70" s="465"/>
      <c r="E70" s="361" t="s">
        <v>5573</v>
      </c>
      <c r="F70" s="435" t="s">
        <v>4620</v>
      </c>
      <c r="G70" s="430">
        <v>40154</v>
      </c>
      <c r="H70" s="1677">
        <f>DATEDIF(G70,$G$6,"Y")</f>
        <v>15</v>
      </c>
      <c r="I70" s="435"/>
    </row>
    <row r="71" spans="1:9" x14ac:dyDescent="0.25">
      <c r="A71" s="360"/>
      <c r="B71" s="361"/>
      <c r="C71" s="361"/>
      <c r="D71" s="465"/>
      <c r="E71" s="361"/>
      <c r="F71" s="435"/>
      <c r="G71" s="430"/>
      <c r="H71" s="435"/>
      <c r="I71" s="435"/>
    </row>
    <row r="72" spans="1:9" x14ac:dyDescent="0.25">
      <c r="A72" s="360">
        <v>12457981</v>
      </c>
      <c r="B72" s="361" t="s">
        <v>4757</v>
      </c>
      <c r="C72" s="361" t="s">
        <v>5241</v>
      </c>
      <c r="D72" s="465">
        <v>1</v>
      </c>
      <c r="E72" s="361" t="s">
        <v>5575</v>
      </c>
      <c r="F72" s="435" t="s">
        <v>4621</v>
      </c>
      <c r="G72" s="430">
        <v>41661</v>
      </c>
      <c r="H72" s="435">
        <f>DATEDIF(G72,$G$6,"Y")</f>
        <v>11</v>
      </c>
      <c r="I72" s="435"/>
    </row>
    <row r="73" spans="1:9" x14ac:dyDescent="0.25">
      <c r="A73" s="360"/>
      <c r="B73" s="361"/>
      <c r="C73" s="361"/>
      <c r="D73" s="465"/>
      <c r="E73" s="361"/>
      <c r="F73" s="435"/>
      <c r="G73" s="430"/>
      <c r="H73" s="435"/>
      <c r="I73" s="435"/>
    </row>
    <row r="74" spans="1:9" x14ac:dyDescent="0.25">
      <c r="A74" s="360">
        <v>12458811</v>
      </c>
      <c r="B74" s="361" t="s">
        <v>4758</v>
      </c>
      <c r="C74" s="361" t="s">
        <v>5242</v>
      </c>
      <c r="D74" s="1686">
        <v>0</v>
      </c>
      <c r="E74" s="361" t="s">
        <v>5576</v>
      </c>
      <c r="F74" s="435" t="s">
        <v>4620</v>
      </c>
      <c r="G74" s="430">
        <v>40877</v>
      </c>
      <c r="H74" s="1677">
        <f>DATEDIF(G74,$G$6,"Y")</f>
        <v>13</v>
      </c>
      <c r="I74" s="435">
        <v>1</v>
      </c>
    </row>
    <row r="75" spans="1:9" x14ac:dyDescent="0.25">
      <c r="A75" s="1119"/>
      <c r="B75" s="1120"/>
      <c r="C75" s="1120"/>
      <c r="D75" s="1121"/>
      <c r="E75" s="1120"/>
      <c r="F75" s="1122"/>
      <c r="G75" s="1123"/>
      <c r="H75" s="1122"/>
      <c r="I75" s="1122"/>
    </row>
    <row r="76" spans="1:9" x14ac:dyDescent="0.25">
      <c r="A76" s="360">
        <v>12541044</v>
      </c>
      <c r="B76" s="361" t="s">
        <v>6788</v>
      </c>
      <c r="C76" s="361" t="s">
        <v>5224</v>
      </c>
      <c r="D76" s="1686">
        <v>0</v>
      </c>
      <c r="E76" s="361" t="s">
        <v>6790</v>
      </c>
      <c r="F76" s="435" t="s">
        <v>4620</v>
      </c>
      <c r="G76" s="430">
        <v>40540</v>
      </c>
      <c r="H76" s="1677">
        <f>DATEDIF(G76,$G$6,"Y")</f>
        <v>14</v>
      </c>
      <c r="I76" s="435">
        <v>1</v>
      </c>
    </row>
    <row r="77" spans="1:9" x14ac:dyDescent="0.25">
      <c r="A77" s="360"/>
      <c r="B77" s="361"/>
      <c r="C77" s="361"/>
      <c r="D77" s="465"/>
      <c r="E77" s="361"/>
      <c r="F77" s="435"/>
      <c r="G77" s="430"/>
      <c r="H77" s="435"/>
      <c r="I77" s="435"/>
    </row>
    <row r="78" spans="1:9" x14ac:dyDescent="0.25">
      <c r="A78" s="360">
        <v>12798604</v>
      </c>
      <c r="B78" s="361" t="s">
        <v>4761</v>
      </c>
      <c r="C78" s="361" t="s">
        <v>5217</v>
      </c>
      <c r="D78" s="1686">
        <v>0</v>
      </c>
      <c r="E78" s="361" t="s">
        <v>5577</v>
      </c>
      <c r="F78" s="435" t="s">
        <v>4620</v>
      </c>
      <c r="G78" s="430">
        <v>40280</v>
      </c>
      <c r="H78" s="1677">
        <f>DATEDIF(G78,$G$6,"Y")</f>
        <v>15</v>
      </c>
      <c r="I78" s="435">
        <v>1</v>
      </c>
    </row>
    <row r="79" spans="1:9" x14ac:dyDescent="0.25">
      <c r="A79" s="360"/>
      <c r="B79" s="361"/>
      <c r="C79" s="361"/>
      <c r="D79" s="465"/>
      <c r="E79" s="361"/>
      <c r="F79" s="435"/>
      <c r="G79" s="430"/>
      <c r="H79" s="435"/>
      <c r="I79" s="435"/>
    </row>
    <row r="80" spans="1:9" x14ac:dyDescent="0.25">
      <c r="A80" s="360">
        <v>12798736</v>
      </c>
      <c r="B80" s="361" t="s">
        <v>4762</v>
      </c>
      <c r="C80" s="361" t="s">
        <v>5244</v>
      </c>
      <c r="D80" s="1686">
        <v>0</v>
      </c>
      <c r="E80" s="361" t="s">
        <v>5578</v>
      </c>
      <c r="F80" s="435" t="s">
        <v>4620</v>
      </c>
      <c r="G80" s="430">
        <v>41108</v>
      </c>
      <c r="H80" s="1677">
        <f>DATEDIF(G80,$G$6,"Y")</f>
        <v>13</v>
      </c>
      <c r="I80" s="435">
        <v>1</v>
      </c>
    </row>
    <row r="81" spans="1:9" x14ac:dyDescent="0.25">
      <c r="A81" s="360"/>
      <c r="B81" s="361"/>
      <c r="C81" s="361"/>
      <c r="D81" s="465"/>
      <c r="E81" s="361"/>
      <c r="F81" s="435"/>
      <c r="G81" s="430"/>
      <c r="H81" s="435"/>
      <c r="I81" s="435"/>
    </row>
    <row r="82" spans="1:9" x14ac:dyDescent="0.25">
      <c r="A82" s="360">
        <v>13117904</v>
      </c>
      <c r="B82" s="361" t="s">
        <v>4766</v>
      </c>
      <c r="C82" s="361" t="s">
        <v>5218</v>
      </c>
      <c r="D82" s="1686">
        <v>0</v>
      </c>
      <c r="E82" s="361" t="s">
        <v>5583</v>
      </c>
      <c r="F82" s="435" t="s">
        <v>4620</v>
      </c>
      <c r="G82" s="430">
        <v>39684</v>
      </c>
      <c r="H82" s="1677">
        <f>DATEDIF(G82,$G$6,"Y")</f>
        <v>17</v>
      </c>
      <c r="I82" s="435">
        <v>1</v>
      </c>
    </row>
    <row r="83" spans="1:9" x14ac:dyDescent="0.25">
      <c r="A83" s="360"/>
      <c r="B83" s="361"/>
      <c r="C83" s="361"/>
      <c r="D83" s="465"/>
      <c r="E83" s="361"/>
      <c r="F83" s="435"/>
      <c r="G83" s="430"/>
      <c r="H83" s="435"/>
      <c r="I83" s="435"/>
    </row>
    <row r="84" spans="1:9" x14ac:dyDescent="0.25">
      <c r="A84" s="360">
        <v>13207692</v>
      </c>
      <c r="B84" s="361" t="s">
        <v>4768</v>
      </c>
      <c r="C84" s="361" t="s">
        <v>5245</v>
      </c>
      <c r="D84" s="1686">
        <v>1</v>
      </c>
      <c r="E84" s="361" t="s">
        <v>5584</v>
      </c>
      <c r="F84" s="435" t="s">
        <v>4620</v>
      </c>
      <c r="G84" s="430">
        <v>40711</v>
      </c>
      <c r="H84" s="1677">
        <f>DATEDIF(G84,$G$6,"Y")</f>
        <v>14</v>
      </c>
      <c r="I84" s="435">
        <v>1</v>
      </c>
    </row>
    <row r="85" spans="1:9" x14ac:dyDescent="0.25">
      <c r="A85" s="360">
        <v>13207692</v>
      </c>
      <c r="B85" s="361" t="s">
        <v>4768</v>
      </c>
      <c r="C85" s="361"/>
      <c r="D85" s="465"/>
      <c r="E85" s="361" t="s">
        <v>5585</v>
      </c>
      <c r="F85" s="435" t="s">
        <v>4620</v>
      </c>
      <c r="G85" s="430">
        <v>41457</v>
      </c>
      <c r="H85" s="435">
        <f>DATEDIF(G85,$G$6,"Y")</f>
        <v>12</v>
      </c>
      <c r="I85" s="435"/>
    </row>
    <row r="86" spans="1:9" x14ac:dyDescent="0.25">
      <c r="A86" s="1119"/>
      <c r="B86" s="1120"/>
      <c r="C86" s="1120"/>
      <c r="D86" s="1121"/>
      <c r="E86" s="1120"/>
      <c r="F86" s="1122"/>
      <c r="G86" s="1123"/>
      <c r="H86" s="1122"/>
      <c r="I86" s="1122"/>
    </row>
    <row r="87" spans="1:9" x14ac:dyDescent="0.25">
      <c r="A87" s="360">
        <v>13261229</v>
      </c>
      <c r="B87" s="361" t="s">
        <v>4770</v>
      </c>
      <c r="C87" s="361"/>
      <c r="D87" s="1686">
        <v>0</v>
      </c>
      <c r="E87" s="361" t="s">
        <v>5588</v>
      </c>
      <c r="F87" s="435" t="s">
        <v>4621</v>
      </c>
      <c r="G87" s="430">
        <v>40318</v>
      </c>
      <c r="H87" s="1677">
        <f>DATEDIF(G87,$G$6,"Y")</f>
        <v>15</v>
      </c>
      <c r="I87" s="435">
        <v>1</v>
      </c>
    </row>
    <row r="88" spans="1:9" x14ac:dyDescent="0.25">
      <c r="A88" s="1119"/>
      <c r="B88" s="1120"/>
      <c r="C88" s="1120"/>
      <c r="D88" s="1121"/>
      <c r="E88" s="1120"/>
      <c r="F88" s="1122"/>
      <c r="G88" s="1123"/>
      <c r="H88" s="1122"/>
      <c r="I88" s="1122"/>
    </row>
    <row r="89" spans="1:9" x14ac:dyDescent="0.25">
      <c r="A89" s="360">
        <v>13462511</v>
      </c>
      <c r="B89" s="376" t="s">
        <v>4673</v>
      </c>
      <c r="C89" s="361" t="s">
        <v>5212</v>
      </c>
      <c r="D89" s="1686">
        <v>0</v>
      </c>
      <c r="E89" s="361" t="s">
        <v>5988</v>
      </c>
      <c r="F89" s="435" t="s">
        <v>4620</v>
      </c>
      <c r="G89" s="430">
        <v>40008</v>
      </c>
      <c r="H89" s="1677">
        <f>DATEDIF(G89,$G$6,"Y")</f>
        <v>16</v>
      </c>
      <c r="I89" s="435">
        <v>1</v>
      </c>
    </row>
    <row r="90" spans="1:9" x14ac:dyDescent="0.25">
      <c r="A90" s="360"/>
      <c r="B90" s="361"/>
      <c r="C90" s="361"/>
      <c r="D90" s="465"/>
      <c r="E90" s="361"/>
      <c r="F90" s="435"/>
      <c r="G90" s="430"/>
      <c r="H90" s="435"/>
      <c r="I90" s="435"/>
    </row>
    <row r="91" spans="1:9" x14ac:dyDescent="0.25">
      <c r="A91" s="360">
        <v>13522518</v>
      </c>
      <c r="B91" s="361" t="s">
        <v>4773</v>
      </c>
      <c r="C91" s="361"/>
      <c r="D91" s="465">
        <v>1</v>
      </c>
      <c r="E91" s="361" t="s">
        <v>5590</v>
      </c>
      <c r="F91" s="435" t="s">
        <v>4620</v>
      </c>
      <c r="G91" s="430">
        <v>42671</v>
      </c>
      <c r="H91" s="435">
        <f>DATEDIF(G91,$G$6,"Y")</f>
        <v>8</v>
      </c>
      <c r="I91" s="435"/>
    </row>
    <row r="92" spans="1:9" x14ac:dyDescent="0.25">
      <c r="A92" s="360"/>
      <c r="B92" s="361"/>
      <c r="C92" s="361"/>
      <c r="D92" s="465"/>
      <c r="E92" s="361"/>
      <c r="F92" s="435"/>
      <c r="G92" s="430"/>
      <c r="H92" s="435"/>
      <c r="I92" s="435"/>
    </row>
    <row r="93" spans="1:9" x14ac:dyDescent="0.25">
      <c r="A93" s="360">
        <v>13523075</v>
      </c>
      <c r="B93" s="361" t="s">
        <v>4774</v>
      </c>
      <c r="C93" s="361" t="s">
        <v>5248</v>
      </c>
      <c r="D93" s="465">
        <v>2</v>
      </c>
      <c r="E93" s="361" t="s">
        <v>5591</v>
      </c>
      <c r="F93" s="435" t="s">
        <v>4620</v>
      </c>
      <c r="G93" s="430">
        <v>42143</v>
      </c>
      <c r="H93" s="435">
        <f>DATEDIF(G93,$G$6,"Y")</f>
        <v>10</v>
      </c>
      <c r="I93" s="435"/>
    </row>
    <row r="94" spans="1:9" x14ac:dyDescent="0.25">
      <c r="A94" s="360">
        <v>13523075</v>
      </c>
      <c r="B94" s="361" t="s">
        <v>4774</v>
      </c>
      <c r="C94" s="361"/>
      <c r="D94" s="465"/>
      <c r="E94" s="361" t="s">
        <v>5592</v>
      </c>
      <c r="F94" s="435" t="s">
        <v>4620</v>
      </c>
      <c r="G94" s="430">
        <v>43553</v>
      </c>
      <c r="H94" s="435">
        <f>DATEDIF(G94,$G$6,"Y")</f>
        <v>6</v>
      </c>
      <c r="I94" s="435"/>
    </row>
    <row r="95" spans="1:9" x14ac:dyDescent="0.25">
      <c r="A95" s="1119"/>
      <c r="B95" s="1120"/>
      <c r="C95" s="1120"/>
      <c r="D95" s="1121"/>
      <c r="E95" s="1120"/>
      <c r="F95" s="1122"/>
      <c r="G95" s="1123"/>
      <c r="H95" s="1122"/>
      <c r="I95" s="1122"/>
    </row>
    <row r="96" spans="1:9" x14ac:dyDescent="0.25">
      <c r="A96" s="1119">
        <v>18733682</v>
      </c>
      <c r="B96" s="1119" t="s">
        <v>6647</v>
      </c>
      <c r="C96" s="361" t="s">
        <v>5218</v>
      </c>
      <c r="D96" s="1121">
        <v>1</v>
      </c>
      <c r="E96" s="1120" t="s">
        <v>6648</v>
      </c>
      <c r="F96" s="1122" t="s">
        <v>4621</v>
      </c>
      <c r="G96" s="1123">
        <v>43176</v>
      </c>
      <c r="H96" s="435">
        <f>DATEDIF(G96,$G$6,"Y")</f>
        <v>7</v>
      </c>
      <c r="I96" s="1122"/>
    </row>
    <row r="97" spans="1:9" x14ac:dyDescent="0.25">
      <c r="A97" s="360"/>
      <c r="B97" s="361"/>
      <c r="C97" s="361"/>
      <c r="D97" s="465"/>
      <c r="E97" s="361"/>
      <c r="F97" s="435"/>
      <c r="G97" s="430"/>
      <c r="H97" s="435"/>
      <c r="I97" s="435"/>
    </row>
    <row r="98" spans="1:9" x14ac:dyDescent="0.25">
      <c r="A98" s="360">
        <v>13896239</v>
      </c>
      <c r="B98" s="361" t="s">
        <v>4688</v>
      </c>
      <c r="C98" s="361" t="s">
        <v>5259</v>
      </c>
      <c r="D98" s="465">
        <v>1</v>
      </c>
      <c r="E98" s="361" t="s">
        <v>5716</v>
      </c>
      <c r="F98" s="435" t="s">
        <v>4620</v>
      </c>
      <c r="G98" s="430">
        <v>43719</v>
      </c>
      <c r="H98" s="435">
        <f>DATEDIF(G98,$G$6,"Y")</f>
        <v>6</v>
      </c>
      <c r="I98" s="435"/>
    </row>
    <row r="99" spans="1:9" x14ac:dyDescent="0.25">
      <c r="A99" s="1119"/>
      <c r="B99" s="1120"/>
      <c r="C99" s="1120"/>
      <c r="D99" s="1121"/>
      <c r="E99" s="1120"/>
      <c r="F99" s="1122"/>
      <c r="G99" s="1123"/>
      <c r="H99" s="1122"/>
      <c r="I99" s="1122"/>
    </row>
    <row r="100" spans="1:9" x14ac:dyDescent="0.25">
      <c r="A100" s="360">
        <v>13897046</v>
      </c>
      <c r="B100" s="361" t="s">
        <v>4780</v>
      </c>
      <c r="C100" s="361" t="s">
        <v>5250</v>
      </c>
      <c r="D100" s="1686">
        <v>0</v>
      </c>
      <c r="E100" s="361" t="s">
        <v>5931</v>
      </c>
      <c r="F100" s="435" t="s">
        <v>4620</v>
      </c>
      <c r="G100" s="430">
        <v>40084</v>
      </c>
      <c r="H100" s="1677">
        <f>DATEDIF(G100,$G$6,"Y")</f>
        <v>16</v>
      </c>
      <c r="I100" s="435">
        <v>2</v>
      </c>
    </row>
    <row r="101" spans="1:9" x14ac:dyDescent="0.25">
      <c r="A101" s="360">
        <v>13897046</v>
      </c>
      <c r="B101" s="361" t="s">
        <v>4780</v>
      </c>
      <c r="C101" s="361"/>
      <c r="D101" s="465"/>
      <c r="E101" s="361" t="s">
        <v>5932</v>
      </c>
      <c r="F101" s="435" t="s">
        <v>4620</v>
      </c>
      <c r="G101" s="430">
        <v>39560</v>
      </c>
      <c r="H101" s="1677">
        <f>DATEDIF(G101,$G$6,"Y")</f>
        <v>17</v>
      </c>
      <c r="I101" s="435"/>
    </row>
    <row r="102" spans="1:9" x14ac:dyDescent="0.25">
      <c r="A102" s="360"/>
      <c r="B102" s="361"/>
      <c r="C102" s="361"/>
      <c r="D102" s="465"/>
      <c r="E102" s="361"/>
      <c r="F102" s="435"/>
      <c r="G102" s="430"/>
      <c r="H102" s="435"/>
      <c r="I102" s="435"/>
    </row>
    <row r="103" spans="1:9" x14ac:dyDescent="0.25">
      <c r="A103" s="360">
        <v>13897695</v>
      </c>
      <c r="B103" s="361" t="s">
        <v>4781</v>
      </c>
      <c r="C103" s="361" t="s">
        <v>5242</v>
      </c>
      <c r="D103" s="1686">
        <v>0</v>
      </c>
      <c r="E103" s="361" t="s">
        <v>5593</v>
      </c>
      <c r="F103" s="435" t="s">
        <v>4620</v>
      </c>
      <c r="G103" s="430">
        <v>39639</v>
      </c>
      <c r="H103" s="1677">
        <f>DATEDIF(G103,$G$6,"Y")</f>
        <v>17</v>
      </c>
      <c r="I103" s="435">
        <v>2</v>
      </c>
    </row>
    <row r="104" spans="1:9" x14ac:dyDescent="0.25">
      <c r="A104" s="360">
        <v>13897695</v>
      </c>
      <c r="B104" s="361" t="s">
        <v>4781</v>
      </c>
      <c r="C104" s="361"/>
      <c r="D104" s="465"/>
      <c r="E104" s="361" t="s">
        <v>5594</v>
      </c>
      <c r="F104" s="435" t="s">
        <v>4620</v>
      </c>
      <c r="G104" s="430">
        <v>40206</v>
      </c>
      <c r="H104" s="1677">
        <f>DATEDIF(G104,$G$6,"Y")</f>
        <v>15</v>
      </c>
      <c r="I104" s="435"/>
    </row>
    <row r="105" spans="1:9" x14ac:dyDescent="0.25">
      <c r="A105" s="360"/>
      <c r="B105" s="361"/>
      <c r="C105" s="361"/>
      <c r="D105" s="465"/>
      <c r="E105" s="361"/>
      <c r="F105" s="435"/>
      <c r="G105" s="430"/>
      <c r="H105" s="435"/>
      <c r="I105" s="435"/>
    </row>
    <row r="106" spans="1:9" x14ac:dyDescent="0.25">
      <c r="A106" s="360">
        <v>13996024</v>
      </c>
      <c r="B106" s="361" t="s">
        <v>4782</v>
      </c>
      <c r="C106" s="361"/>
      <c r="D106" s="465">
        <v>1</v>
      </c>
      <c r="E106" s="361" t="s">
        <v>5596</v>
      </c>
      <c r="F106" s="435" t="s">
        <v>4620</v>
      </c>
      <c r="G106" s="430">
        <v>41677</v>
      </c>
      <c r="H106" s="435">
        <f>DATEDIF(G106,$G$6,"Y")</f>
        <v>11</v>
      </c>
      <c r="I106" s="435"/>
    </row>
    <row r="107" spans="1:9" x14ac:dyDescent="0.25">
      <c r="A107" s="360"/>
      <c r="B107" s="361"/>
      <c r="C107" s="361"/>
      <c r="D107" s="465"/>
      <c r="E107" s="361"/>
      <c r="F107" s="435"/>
      <c r="G107" s="430"/>
      <c r="H107" s="435"/>
      <c r="I107" s="435"/>
    </row>
    <row r="108" spans="1:9" x14ac:dyDescent="0.25">
      <c r="A108" s="1119">
        <v>13997965</v>
      </c>
      <c r="B108" s="1120" t="s">
        <v>7612</v>
      </c>
      <c r="C108" s="1120" t="s">
        <v>5231</v>
      </c>
      <c r="D108" s="1121">
        <v>1</v>
      </c>
      <c r="E108" s="1120" t="s">
        <v>7607</v>
      </c>
      <c r="F108" s="1122" t="s">
        <v>4620</v>
      </c>
      <c r="G108" s="1123">
        <v>41459</v>
      </c>
      <c r="H108" s="435">
        <f>DATEDIF(G108,$G$6,"Y")</f>
        <v>12</v>
      </c>
      <c r="I108" s="1122"/>
    </row>
    <row r="109" spans="1:9" x14ac:dyDescent="0.25">
      <c r="A109" s="1119"/>
      <c r="B109" s="1120"/>
      <c r="C109" s="1120"/>
      <c r="D109" s="1121"/>
      <c r="E109" s="1120"/>
      <c r="F109" s="1122"/>
      <c r="G109" s="1123"/>
      <c r="H109" s="1122"/>
      <c r="I109" s="1122"/>
    </row>
    <row r="110" spans="1:9" x14ac:dyDescent="0.25">
      <c r="A110" s="360">
        <v>14106648</v>
      </c>
      <c r="B110" s="361" t="s">
        <v>4783</v>
      </c>
      <c r="C110" s="361" t="s">
        <v>5219</v>
      </c>
      <c r="D110" s="1686">
        <v>0</v>
      </c>
      <c r="E110" s="361" t="s">
        <v>5597</v>
      </c>
      <c r="F110" s="435" t="s">
        <v>4620</v>
      </c>
      <c r="G110" s="430">
        <v>39457</v>
      </c>
      <c r="H110" s="1677">
        <f>DATEDIF(G110,$G$6,"Y")</f>
        <v>17</v>
      </c>
      <c r="I110" s="435">
        <v>1</v>
      </c>
    </row>
    <row r="111" spans="1:9" x14ac:dyDescent="0.25">
      <c r="A111" s="360"/>
      <c r="B111" s="361"/>
      <c r="C111" s="361"/>
      <c r="D111" s="465"/>
      <c r="E111" s="361"/>
      <c r="F111" s="435"/>
      <c r="G111" s="430"/>
      <c r="H111" s="435"/>
      <c r="I111" s="435"/>
    </row>
    <row r="112" spans="1:9" x14ac:dyDescent="0.25">
      <c r="A112" s="360">
        <v>14329448</v>
      </c>
      <c r="B112" s="361" t="s">
        <v>4784</v>
      </c>
      <c r="C112" s="361" t="s">
        <v>5224</v>
      </c>
      <c r="D112" s="465">
        <v>1</v>
      </c>
      <c r="E112" s="361" t="s">
        <v>5996</v>
      </c>
      <c r="F112" s="435" t="s">
        <v>4621</v>
      </c>
      <c r="G112" s="430">
        <v>42283</v>
      </c>
      <c r="H112" s="435">
        <f>DATEDIF(G112,$G$6,"Y")</f>
        <v>9</v>
      </c>
      <c r="I112" s="435"/>
    </row>
    <row r="113" spans="1:9" x14ac:dyDescent="0.25">
      <c r="A113" s="360"/>
      <c r="B113" s="361"/>
      <c r="C113" s="361"/>
      <c r="D113" s="465"/>
      <c r="E113" s="361"/>
      <c r="F113" s="435"/>
      <c r="G113" s="430"/>
      <c r="H113" s="435"/>
      <c r="I113" s="435"/>
    </row>
    <row r="114" spans="1:9" x14ac:dyDescent="0.25">
      <c r="A114" s="360">
        <v>14459607</v>
      </c>
      <c r="B114" s="361" t="s">
        <v>4787</v>
      </c>
      <c r="C114" s="361" t="s">
        <v>5220</v>
      </c>
      <c r="D114" s="1686">
        <v>0</v>
      </c>
      <c r="E114" s="361" t="s">
        <v>5598</v>
      </c>
      <c r="F114" s="435" t="s">
        <v>4620</v>
      </c>
      <c r="G114" s="430">
        <v>40151</v>
      </c>
      <c r="H114" s="1677">
        <f>DATEDIF(G114,$G$6,"Y")</f>
        <v>15</v>
      </c>
      <c r="I114" s="435">
        <v>2</v>
      </c>
    </row>
    <row r="115" spans="1:9" x14ac:dyDescent="0.25">
      <c r="A115" s="360">
        <v>14459607</v>
      </c>
      <c r="B115" s="361" t="s">
        <v>4787</v>
      </c>
      <c r="C115" s="361"/>
      <c r="D115" s="465"/>
      <c r="E115" s="361" t="s">
        <v>5599</v>
      </c>
      <c r="F115" s="435" t="s">
        <v>4620</v>
      </c>
      <c r="G115" s="430">
        <v>40522</v>
      </c>
      <c r="H115" s="1677">
        <f>DATEDIF(G115,$G$6,"Y")</f>
        <v>14</v>
      </c>
      <c r="I115" s="435"/>
    </row>
    <row r="116" spans="1:9" x14ac:dyDescent="0.25">
      <c r="A116" s="360"/>
      <c r="B116" s="361"/>
      <c r="C116" s="361"/>
      <c r="D116" s="465"/>
      <c r="E116" s="361"/>
      <c r="F116" s="435"/>
      <c r="G116" s="430"/>
      <c r="H116" s="435"/>
      <c r="I116" s="435"/>
    </row>
    <row r="117" spans="1:9" x14ac:dyDescent="0.25">
      <c r="A117" s="360">
        <v>14598170</v>
      </c>
      <c r="B117" s="361" t="s">
        <v>4788</v>
      </c>
      <c r="C117" s="361"/>
      <c r="D117" s="465">
        <v>1</v>
      </c>
      <c r="E117" s="361" t="s">
        <v>5997</v>
      </c>
      <c r="F117" s="435" t="s">
        <v>4621</v>
      </c>
      <c r="G117" s="430">
        <v>41532</v>
      </c>
      <c r="H117" s="435">
        <f>DATEDIF(G117,$G$6,"Y")</f>
        <v>12</v>
      </c>
      <c r="I117" s="435"/>
    </row>
    <row r="118" spans="1:9" x14ac:dyDescent="0.25">
      <c r="A118" s="360"/>
      <c r="B118" s="361"/>
      <c r="C118" s="361"/>
      <c r="D118" s="465"/>
      <c r="E118" s="361"/>
      <c r="F118" s="435"/>
      <c r="G118" s="430"/>
      <c r="H118" s="435"/>
      <c r="I118" s="435"/>
    </row>
    <row r="119" spans="1:9" x14ac:dyDescent="0.25">
      <c r="A119" s="360">
        <v>14598687</v>
      </c>
      <c r="B119" s="361" t="s">
        <v>4789</v>
      </c>
      <c r="C119" s="361" t="s">
        <v>5243</v>
      </c>
      <c r="D119" s="465">
        <v>1</v>
      </c>
      <c r="E119" s="361" t="s">
        <v>5998</v>
      </c>
      <c r="F119" s="435" t="s">
        <v>4621</v>
      </c>
      <c r="G119" s="430">
        <v>44651</v>
      </c>
      <c r="H119" s="435">
        <f>DATEDIF(G119,$G$6,"Y")</f>
        <v>3</v>
      </c>
      <c r="I119" s="435"/>
    </row>
    <row r="120" spans="1:9" x14ac:dyDescent="0.25">
      <c r="A120" s="360"/>
      <c r="B120" s="361"/>
      <c r="C120" s="361"/>
      <c r="D120" s="465"/>
      <c r="E120" s="361" t="s">
        <v>2904</v>
      </c>
      <c r="F120" s="435"/>
      <c r="G120" s="430"/>
      <c r="H120" s="435"/>
      <c r="I120" s="435"/>
    </row>
    <row r="121" spans="1:9" x14ac:dyDescent="0.25">
      <c r="A121" s="360">
        <v>14719639</v>
      </c>
      <c r="B121" s="361" t="s">
        <v>5253</v>
      </c>
      <c r="C121" s="361" t="s">
        <v>5218</v>
      </c>
      <c r="D121" s="1686">
        <v>1</v>
      </c>
      <c r="E121" s="361" t="s">
        <v>5601</v>
      </c>
      <c r="F121" s="435" t="s">
        <v>4621</v>
      </c>
      <c r="G121" s="430">
        <v>40845</v>
      </c>
      <c r="H121" s="1677">
        <f>DATEDIF(G121,$G$6,"Y")</f>
        <v>13</v>
      </c>
      <c r="I121" s="435">
        <v>1</v>
      </c>
    </row>
    <row r="122" spans="1:9" x14ac:dyDescent="0.25">
      <c r="A122" s="360">
        <v>14719639</v>
      </c>
      <c r="B122" s="361" t="s">
        <v>5253</v>
      </c>
      <c r="C122" s="361"/>
      <c r="D122" s="465"/>
      <c r="E122" s="361" t="s">
        <v>5602</v>
      </c>
      <c r="F122" s="435" t="s">
        <v>4620</v>
      </c>
      <c r="G122" s="430">
        <v>43088</v>
      </c>
      <c r="H122" s="435">
        <f>DATEDIF(G122,$G$6,"Y")</f>
        <v>7</v>
      </c>
      <c r="I122" s="435"/>
    </row>
    <row r="123" spans="1:9" x14ac:dyDescent="0.25">
      <c r="A123" s="360"/>
      <c r="B123" s="361"/>
      <c r="C123" s="361"/>
      <c r="D123" s="465"/>
      <c r="E123" s="361"/>
      <c r="F123" s="435"/>
      <c r="G123" s="430"/>
      <c r="H123" s="435"/>
      <c r="I123" s="435"/>
    </row>
    <row r="124" spans="1:9" x14ac:dyDescent="0.25">
      <c r="A124" s="360">
        <v>14739168</v>
      </c>
      <c r="B124" s="361" t="s">
        <v>4794</v>
      </c>
      <c r="C124" s="361" t="s">
        <v>5254</v>
      </c>
      <c r="D124" s="1686">
        <v>0</v>
      </c>
      <c r="E124" s="361" t="s">
        <v>5603</v>
      </c>
      <c r="F124" s="435" t="s">
        <v>4620</v>
      </c>
      <c r="G124" s="430">
        <v>40506</v>
      </c>
      <c r="H124" s="1677">
        <f>DATEDIF(G124,$G$6,"Y")</f>
        <v>14</v>
      </c>
      <c r="I124" s="435">
        <v>1</v>
      </c>
    </row>
    <row r="125" spans="1:9" x14ac:dyDescent="0.25">
      <c r="A125" s="360"/>
      <c r="B125" s="361"/>
      <c r="C125" s="361"/>
      <c r="D125" s="465"/>
      <c r="E125" s="361"/>
      <c r="F125" s="435"/>
      <c r="G125" s="430"/>
      <c r="H125" s="435"/>
      <c r="I125" s="435"/>
    </row>
    <row r="126" spans="1:9" x14ac:dyDescent="0.25">
      <c r="A126" s="360">
        <v>14928260</v>
      </c>
      <c r="B126" s="361" t="s">
        <v>4796</v>
      </c>
      <c r="C126" s="361" t="s">
        <v>5224</v>
      </c>
      <c r="D126" s="1686">
        <v>0</v>
      </c>
      <c r="E126" s="361" t="s">
        <v>5604</v>
      </c>
      <c r="F126" s="435" t="s">
        <v>4620</v>
      </c>
      <c r="G126" s="430">
        <v>40064</v>
      </c>
      <c r="H126" s="1677">
        <f>DATEDIF(G126,$G$6,"Y")</f>
        <v>16</v>
      </c>
      <c r="I126" s="435">
        <v>1</v>
      </c>
    </row>
    <row r="127" spans="1:9" x14ac:dyDescent="0.25">
      <c r="A127" s="360"/>
      <c r="B127" s="361"/>
      <c r="C127" s="361"/>
      <c r="D127" s="465"/>
      <c r="E127" s="361"/>
      <c r="F127" s="435"/>
      <c r="G127" s="430"/>
      <c r="H127" s="435"/>
      <c r="I127" s="435"/>
    </row>
    <row r="128" spans="1:9" x14ac:dyDescent="0.25">
      <c r="A128" s="360">
        <v>14929642</v>
      </c>
      <c r="B128" s="361" t="s">
        <v>4797</v>
      </c>
      <c r="C128" s="361"/>
      <c r="D128" s="1686">
        <v>0</v>
      </c>
      <c r="E128" s="361" t="s">
        <v>5606</v>
      </c>
      <c r="F128" s="435" t="s">
        <v>4620</v>
      </c>
      <c r="G128" s="430">
        <v>40884</v>
      </c>
      <c r="H128" s="1677">
        <f>DATEDIF(G128,$G$6,"Y")</f>
        <v>13</v>
      </c>
      <c r="I128" s="435">
        <v>1</v>
      </c>
    </row>
    <row r="129" spans="1:9" x14ac:dyDescent="0.25">
      <c r="A129" s="370"/>
      <c r="B129" s="371"/>
      <c r="C129" s="371"/>
      <c r="D129" s="892"/>
      <c r="E129" s="371"/>
      <c r="F129" s="442"/>
      <c r="G129" s="431"/>
      <c r="H129" s="442"/>
      <c r="I129" s="442"/>
    </row>
    <row r="130" spans="1:9" x14ac:dyDescent="0.25">
      <c r="A130" s="1119">
        <v>14986675</v>
      </c>
      <c r="B130" s="1120" t="s">
        <v>5020</v>
      </c>
      <c r="C130" s="1120" t="s">
        <v>5224</v>
      </c>
      <c r="D130" s="1686">
        <v>1</v>
      </c>
      <c r="E130" s="1120" t="s">
        <v>5985</v>
      </c>
      <c r="F130" s="1265" t="s">
        <v>4621</v>
      </c>
      <c r="G130" s="1123">
        <v>41627</v>
      </c>
      <c r="H130" s="435">
        <f t="shared" ref="H130:H131" si="1">DATEDIF(G130,$G$6,"Y")</f>
        <v>11</v>
      </c>
      <c r="I130" s="435">
        <v>1</v>
      </c>
    </row>
    <row r="131" spans="1:9" x14ac:dyDescent="0.25">
      <c r="A131" s="1119">
        <v>14986675</v>
      </c>
      <c r="B131" s="1120" t="s">
        <v>5020</v>
      </c>
      <c r="C131" s="1120"/>
      <c r="D131" s="1121"/>
      <c r="E131" s="1120" t="s">
        <v>5986</v>
      </c>
      <c r="F131" s="1265" t="s">
        <v>4621</v>
      </c>
      <c r="G131" s="1123">
        <v>39282</v>
      </c>
      <c r="H131" s="1677">
        <f t="shared" si="1"/>
        <v>18</v>
      </c>
      <c r="I131" s="1123"/>
    </row>
    <row r="132" spans="1:9" x14ac:dyDescent="0.25">
      <c r="A132" s="370"/>
      <c r="B132" s="371"/>
      <c r="C132" s="371"/>
      <c r="D132" s="892"/>
      <c r="E132" s="371" t="s">
        <v>2904</v>
      </c>
      <c r="F132" s="442"/>
      <c r="G132" s="431"/>
      <c r="H132" s="442"/>
      <c r="I132" s="442"/>
    </row>
    <row r="133" spans="1:9" x14ac:dyDescent="0.25">
      <c r="A133" s="360">
        <v>15188927</v>
      </c>
      <c r="B133" s="361" t="s">
        <v>4798</v>
      </c>
      <c r="C133" s="361" t="s">
        <v>5217</v>
      </c>
      <c r="D133" s="465">
        <v>2</v>
      </c>
      <c r="E133" s="361" t="s">
        <v>5999</v>
      </c>
      <c r="F133" s="435" t="s">
        <v>4621</v>
      </c>
      <c r="G133" s="430">
        <v>41241</v>
      </c>
      <c r="H133" s="435">
        <f>DATEDIF(G133,$G$6,"Y")</f>
        <v>12</v>
      </c>
      <c r="I133" s="435"/>
    </row>
    <row r="134" spans="1:9" x14ac:dyDescent="0.25">
      <c r="A134" s="360">
        <v>15188927</v>
      </c>
      <c r="B134" s="361" t="s">
        <v>4798</v>
      </c>
      <c r="C134" s="361"/>
      <c r="D134" s="465"/>
      <c r="E134" s="361" t="s">
        <v>6000</v>
      </c>
      <c r="F134" s="435" t="s">
        <v>4621</v>
      </c>
      <c r="G134" s="430">
        <v>42324</v>
      </c>
      <c r="H134" s="435">
        <f>DATEDIF(G134,$G$6,"Y")</f>
        <v>9</v>
      </c>
      <c r="I134" s="435"/>
    </row>
    <row r="135" spans="1:9" x14ac:dyDescent="0.25">
      <c r="A135" s="360"/>
      <c r="B135" s="361"/>
      <c r="C135" s="361"/>
      <c r="D135" s="465"/>
      <c r="E135" s="361"/>
      <c r="F135" s="435"/>
      <c r="G135" s="430"/>
      <c r="H135" s="435"/>
      <c r="I135" s="435"/>
    </row>
    <row r="136" spans="1:9" x14ac:dyDescent="0.25">
      <c r="A136" s="1119">
        <v>15560762</v>
      </c>
      <c r="B136" s="1120" t="s">
        <v>6639</v>
      </c>
      <c r="C136" s="361" t="s">
        <v>6642</v>
      </c>
      <c r="D136" s="1686">
        <v>0</v>
      </c>
      <c r="E136" s="1120" t="s">
        <v>6643</v>
      </c>
      <c r="F136" s="1122" t="s">
        <v>4620</v>
      </c>
      <c r="G136" s="1123">
        <v>40540</v>
      </c>
      <c r="H136" s="1677">
        <f>DATEDIF(G136,$G$6,"Y")</f>
        <v>14</v>
      </c>
      <c r="I136" s="1122">
        <v>1</v>
      </c>
    </row>
    <row r="137" spans="1:9" x14ac:dyDescent="0.25">
      <c r="A137" s="360"/>
      <c r="B137" s="361"/>
      <c r="C137" s="361"/>
      <c r="D137" s="465"/>
      <c r="E137" s="361"/>
      <c r="F137" s="435"/>
      <c r="G137" s="430"/>
      <c r="H137" s="435"/>
      <c r="I137" s="435"/>
    </row>
    <row r="138" spans="1:9" x14ac:dyDescent="0.25">
      <c r="A138" s="360">
        <v>15588470</v>
      </c>
      <c r="B138" s="361" t="s">
        <v>4804</v>
      </c>
      <c r="C138" s="361" t="s">
        <v>5256</v>
      </c>
      <c r="D138" s="1686">
        <v>0</v>
      </c>
      <c r="E138" s="361" t="s">
        <v>5607</v>
      </c>
      <c r="F138" s="435" t="s">
        <v>4620</v>
      </c>
      <c r="G138" s="430">
        <v>39883</v>
      </c>
      <c r="H138" s="1677">
        <f>DATEDIF(G138,$G$6,"Y")</f>
        <v>16</v>
      </c>
      <c r="I138" s="435">
        <v>1</v>
      </c>
    </row>
    <row r="139" spans="1:9" x14ac:dyDescent="0.25">
      <c r="A139" s="360"/>
      <c r="B139" s="361"/>
      <c r="C139" s="361"/>
      <c r="D139" s="465"/>
      <c r="E139" s="361"/>
      <c r="F139" s="435"/>
      <c r="G139" s="430"/>
      <c r="H139" s="435"/>
      <c r="I139" s="435"/>
    </row>
    <row r="140" spans="1:9" x14ac:dyDescent="0.25">
      <c r="A140" s="360">
        <v>15752386</v>
      </c>
      <c r="B140" s="361" t="s">
        <v>4805</v>
      </c>
      <c r="C140" s="361" t="s">
        <v>5217</v>
      </c>
      <c r="D140" s="1686">
        <v>1</v>
      </c>
      <c r="E140" s="376" t="s">
        <v>5609</v>
      </c>
      <c r="F140" s="435" t="s">
        <v>4621</v>
      </c>
      <c r="G140" s="430">
        <v>40191</v>
      </c>
      <c r="H140" s="1677">
        <f>DATEDIF(G140,$G$6,"Y")</f>
        <v>15</v>
      </c>
      <c r="I140" s="435">
        <v>1</v>
      </c>
    </row>
    <row r="141" spans="1:9" x14ac:dyDescent="0.25">
      <c r="A141" s="360">
        <v>15752386</v>
      </c>
      <c r="B141" s="361" t="s">
        <v>4805</v>
      </c>
      <c r="C141" s="361"/>
      <c r="D141" s="465"/>
      <c r="E141" s="376" t="s">
        <v>5610</v>
      </c>
      <c r="F141" s="435" t="s">
        <v>4621</v>
      </c>
      <c r="G141" s="430">
        <v>39765</v>
      </c>
      <c r="H141" s="1677">
        <f>DATEDIF(G141,$G$6,"Y")</f>
        <v>16</v>
      </c>
      <c r="I141" s="435"/>
    </row>
    <row r="142" spans="1:9" x14ac:dyDescent="0.25">
      <c r="A142" s="360">
        <v>15752386</v>
      </c>
      <c r="B142" s="361" t="s">
        <v>4805</v>
      </c>
      <c r="C142" s="371"/>
      <c r="D142" s="892"/>
      <c r="E142" s="371" t="s">
        <v>5727</v>
      </c>
      <c r="F142" s="442" t="s">
        <v>4621</v>
      </c>
      <c r="G142" s="431">
        <v>43821</v>
      </c>
      <c r="H142" s="435">
        <f>DATEDIF(G142,$G$6,"Y")</f>
        <v>5</v>
      </c>
      <c r="I142" s="442"/>
    </row>
    <row r="143" spans="1:9" x14ac:dyDescent="0.25">
      <c r="A143" s="360"/>
      <c r="B143" s="361"/>
      <c r="C143" s="361"/>
      <c r="D143" s="465"/>
      <c r="E143" s="361"/>
      <c r="F143" s="435"/>
      <c r="G143" s="430"/>
      <c r="H143" s="435"/>
      <c r="I143" s="435"/>
    </row>
    <row r="144" spans="1:9" x14ac:dyDescent="0.25">
      <c r="A144" s="360">
        <v>15752435</v>
      </c>
      <c r="B144" s="361" t="s">
        <v>4806</v>
      </c>
      <c r="C144" s="361" t="s">
        <v>5256</v>
      </c>
      <c r="D144" s="1686">
        <v>1</v>
      </c>
      <c r="E144" s="361" t="s">
        <v>5611</v>
      </c>
      <c r="F144" s="435" t="s">
        <v>4620</v>
      </c>
      <c r="G144" s="430">
        <v>39773</v>
      </c>
      <c r="H144" s="1677">
        <f>DATEDIF(G144,$G$6,"Y")</f>
        <v>16</v>
      </c>
      <c r="I144" s="435">
        <v>1</v>
      </c>
    </row>
    <row r="145" spans="1:9" x14ac:dyDescent="0.25">
      <c r="A145" s="360">
        <v>15752435</v>
      </c>
      <c r="B145" s="361" t="s">
        <v>4806</v>
      </c>
      <c r="C145" s="361"/>
      <c r="D145" s="465"/>
      <c r="E145" s="361" t="s">
        <v>5612</v>
      </c>
      <c r="F145" s="435" t="s">
        <v>4620</v>
      </c>
      <c r="G145" s="430">
        <v>42982</v>
      </c>
      <c r="H145" s="435">
        <f>DATEDIF(G145,$G$6,"Y")</f>
        <v>8</v>
      </c>
      <c r="I145" s="435"/>
    </row>
    <row r="146" spans="1:9" x14ac:dyDescent="0.25">
      <c r="A146" s="370"/>
      <c r="B146" s="371"/>
      <c r="C146" s="371"/>
      <c r="D146" s="892"/>
      <c r="E146" s="371"/>
      <c r="F146" s="442"/>
      <c r="G146" s="431"/>
      <c r="H146" s="442"/>
      <c r="I146" s="442"/>
    </row>
    <row r="147" spans="1:9" x14ac:dyDescent="0.25">
      <c r="A147" s="360">
        <v>15824548</v>
      </c>
      <c r="B147" s="361" t="s">
        <v>4809</v>
      </c>
      <c r="C147" s="361"/>
      <c r="D147" s="465">
        <v>1</v>
      </c>
      <c r="E147" s="361" t="s">
        <v>6002</v>
      </c>
      <c r="F147" s="435" t="s">
        <v>4621</v>
      </c>
      <c r="G147" s="430">
        <v>42812</v>
      </c>
      <c r="H147" s="435">
        <f>DATEDIF(G147,$G$6,"Y")</f>
        <v>8</v>
      </c>
      <c r="I147" s="435"/>
    </row>
    <row r="148" spans="1:9" x14ac:dyDescent="0.25">
      <c r="A148" s="360"/>
      <c r="B148" s="361"/>
      <c r="C148" s="361"/>
      <c r="D148" s="465"/>
      <c r="E148" s="361"/>
      <c r="F148" s="435"/>
      <c r="G148" s="430"/>
      <c r="H148" s="435"/>
      <c r="I148" s="435"/>
    </row>
    <row r="149" spans="1:9" x14ac:dyDescent="0.25">
      <c r="A149" s="360">
        <v>15904692</v>
      </c>
      <c r="B149" s="361" t="s">
        <v>4810</v>
      </c>
      <c r="C149" s="361" t="s">
        <v>5217</v>
      </c>
      <c r="D149" s="465">
        <v>2</v>
      </c>
      <c r="E149" s="361" t="s">
        <v>5613</v>
      </c>
      <c r="F149" s="435" t="s">
        <v>4620</v>
      </c>
      <c r="G149" s="430">
        <v>40413</v>
      </c>
      <c r="H149" s="1677">
        <f>DATEDIF(G149,$G$6,"Y")</f>
        <v>15</v>
      </c>
      <c r="I149" s="435"/>
    </row>
    <row r="150" spans="1:9" x14ac:dyDescent="0.25">
      <c r="A150" s="360">
        <v>15904692</v>
      </c>
      <c r="B150" s="361" t="s">
        <v>4810</v>
      </c>
      <c r="C150" s="361"/>
      <c r="D150" s="465"/>
      <c r="E150" s="361" t="s">
        <v>5614</v>
      </c>
      <c r="F150" s="435" t="s">
        <v>4620</v>
      </c>
      <c r="G150" s="430">
        <v>41499</v>
      </c>
      <c r="H150" s="435">
        <f>DATEDIF(G150,$G$6,"Y")</f>
        <v>12</v>
      </c>
      <c r="I150" s="435"/>
    </row>
    <row r="151" spans="1:9" x14ac:dyDescent="0.25">
      <c r="A151" s="360">
        <v>15904692</v>
      </c>
      <c r="B151" s="361" t="s">
        <v>4810</v>
      </c>
      <c r="C151" s="361"/>
      <c r="D151" s="465"/>
      <c r="E151" s="361" t="s">
        <v>5615</v>
      </c>
      <c r="F151" s="435" t="s">
        <v>4620</v>
      </c>
      <c r="G151" s="430">
        <v>43361</v>
      </c>
      <c r="H151" s="435">
        <f>DATEDIF(G151,$G$6,"Y")</f>
        <v>7</v>
      </c>
      <c r="I151" s="435"/>
    </row>
    <row r="152" spans="1:9" x14ac:dyDescent="0.25">
      <c r="A152" s="360"/>
      <c r="B152" s="361"/>
      <c r="C152" s="361"/>
      <c r="D152" s="465"/>
      <c r="E152" s="361"/>
      <c r="F152" s="435"/>
      <c r="G152" s="430"/>
      <c r="H152" s="435"/>
      <c r="I152" s="435"/>
    </row>
    <row r="153" spans="1:9" x14ac:dyDescent="0.25">
      <c r="A153" s="360">
        <v>16015833</v>
      </c>
      <c r="B153" s="361" t="s">
        <v>4811</v>
      </c>
      <c r="C153" s="361"/>
      <c r="D153" s="465">
        <v>1</v>
      </c>
      <c r="E153" s="361" t="s">
        <v>5617</v>
      </c>
      <c r="F153" s="435" t="s">
        <v>4620</v>
      </c>
      <c r="G153" s="430">
        <v>41840</v>
      </c>
      <c r="H153" s="435">
        <f>DATEDIF(G153,$G$6,"Y")</f>
        <v>11</v>
      </c>
      <c r="I153" s="435"/>
    </row>
    <row r="154" spans="1:9" x14ac:dyDescent="0.25">
      <c r="A154" s="360"/>
      <c r="B154" s="361"/>
      <c r="C154" s="361"/>
      <c r="D154" s="465"/>
      <c r="E154" s="361"/>
      <c r="F154" s="435"/>
      <c r="G154" s="430"/>
      <c r="H154" s="435"/>
      <c r="I154" s="435"/>
    </row>
    <row r="155" spans="1:9" x14ac:dyDescent="0.25">
      <c r="A155" s="360">
        <v>16065580</v>
      </c>
      <c r="B155" s="361" t="s">
        <v>4812</v>
      </c>
      <c r="C155" s="361" t="s">
        <v>5224</v>
      </c>
      <c r="D155" s="465">
        <v>1</v>
      </c>
      <c r="E155" s="361" t="s">
        <v>5618</v>
      </c>
      <c r="F155" s="435" t="s">
        <v>4621</v>
      </c>
      <c r="G155" s="430">
        <v>41532</v>
      </c>
      <c r="H155" s="435">
        <f>DATEDIF(G155,$G$6,"Y")</f>
        <v>12</v>
      </c>
      <c r="I155" s="435"/>
    </row>
    <row r="156" spans="1:9" x14ac:dyDescent="0.25">
      <c r="A156" s="360"/>
      <c r="B156" s="361"/>
      <c r="C156" s="361"/>
      <c r="D156" s="465"/>
      <c r="E156" s="361"/>
      <c r="F156" s="435"/>
      <c r="G156" s="430"/>
      <c r="H156" s="435"/>
      <c r="I156" s="435"/>
    </row>
    <row r="157" spans="1:9" x14ac:dyDescent="0.25">
      <c r="A157" s="360">
        <v>16066554</v>
      </c>
      <c r="B157" s="361" t="s">
        <v>4815</v>
      </c>
      <c r="C157" s="361" t="s">
        <v>5257</v>
      </c>
      <c r="D157" s="465">
        <v>2</v>
      </c>
      <c r="E157" s="361" t="s">
        <v>5623</v>
      </c>
      <c r="F157" s="435" t="s">
        <v>4620</v>
      </c>
      <c r="G157" s="430">
        <v>41207</v>
      </c>
      <c r="H157" s="435">
        <f>DATEDIF(G157,$G$6,"Y")</f>
        <v>12</v>
      </c>
      <c r="I157" s="435"/>
    </row>
    <row r="158" spans="1:9" x14ac:dyDescent="0.25">
      <c r="A158" s="360">
        <v>16066554</v>
      </c>
      <c r="B158" s="361" t="s">
        <v>4815</v>
      </c>
      <c r="C158" s="361"/>
      <c r="D158" s="465"/>
      <c r="E158" s="361" t="s">
        <v>5624</v>
      </c>
      <c r="F158" s="435" t="s">
        <v>4620</v>
      </c>
      <c r="G158" s="430">
        <v>41941</v>
      </c>
      <c r="H158" s="435">
        <f>DATEDIF(G158,$G$6,"Y")</f>
        <v>10</v>
      </c>
      <c r="I158" s="435"/>
    </row>
    <row r="159" spans="1:9" x14ac:dyDescent="0.25">
      <c r="A159" s="360"/>
      <c r="B159" s="361"/>
      <c r="C159" s="361"/>
      <c r="D159" s="465"/>
      <c r="E159" s="361"/>
      <c r="F159" s="435"/>
      <c r="G159" s="430"/>
      <c r="H159" s="435"/>
      <c r="I159" s="435"/>
    </row>
    <row r="160" spans="1:9" x14ac:dyDescent="0.25">
      <c r="A160" s="360">
        <v>16266033</v>
      </c>
      <c r="B160" s="361" t="s">
        <v>4816</v>
      </c>
      <c r="C160" s="361"/>
      <c r="D160" s="1686">
        <v>0</v>
      </c>
      <c r="E160" s="361" t="s">
        <v>6004</v>
      </c>
      <c r="F160" s="435" t="s">
        <v>4620</v>
      </c>
      <c r="G160" s="430">
        <v>39921</v>
      </c>
      <c r="H160" s="1677">
        <f>DATEDIF(G160,$G$6,"Y")</f>
        <v>16</v>
      </c>
      <c r="I160" s="435">
        <v>2</v>
      </c>
    </row>
    <row r="161" spans="1:9" x14ac:dyDescent="0.25">
      <c r="A161" s="360">
        <v>16266033</v>
      </c>
      <c r="B161" s="361" t="s">
        <v>4816</v>
      </c>
      <c r="C161" s="361"/>
      <c r="D161" s="465"/>
      <c r="E161" s="361" t="s">
        <v>6005</v>
      </c>
      <c r="F161" s="435" t="s">
        <v>4620</v>
      </c>
      <c r="G161" s="430">
        <v>40546</v>
      </c>
      <c r="H161" s="1677">
        <f>DATEDIF(G161,$G$6,"Y")</f>
        <v>14</v>
      </c>
      <c r="I161" s="435"/>
    </row>
    <row r="162" spans="1:9" x14ac:dyDescent="0.25">
      <c r="A162" s="1119"/>
      <c r="B162" s="1120"/>
      <c r="C162" s="1120"/>
      <c r="D162" s="1121"/>
      <c r="E162" s="1120"/>
      <c r="F162" s="1122"/>
      <c r="G162" s="1123"/>
      <c r="H162" s="1122"/>
      <c r="I162" s="1122"/>
    </row>
    <row r="163" spans="1:9" x14ac:dyDescent="0.25">
      <c r="A163" s="360">
        <v>16266989</v>
      </c>
      <c r="B163" s="361" t="s">
        <v>4817</v>
      </c>
      <c r="C163" s="361"/>
      <c r="D163" s="1686">
        <v>1</v>
      </c>
      <c r="E163" s="361" t="s">
        <v>5627</v>
      </c>
      <c r="F163" s="435" t="s">
        <v>4620</v>
      </c>
      <c r="G163" s="430">
        <v>40666</v>
      </c>
      <c r="H163" s="1677">
        <f>DATEDIF(G163,$G$6,"Y")</f>
        <v>14</v>
      </c>
      <c r="I163" s="435">
        <v>1</v>
      </c>
    </row>
    <row r="164" spans="1:9" x14ac:dyDescent="0.25">
      <c r="A164" s="360">
        <v>16266989</v>
      </c>
      <c r="B164" s="361" t="s">
        <v>4817</v>
      </c>
      <c r="C164" s="884"/>
      <c r="D164" s="893"/>
      <c r="E164" s="361" t="s">
        <v>5934</v>
      </c>
      <c r="F164" s="435" t="s">
        <v>4620</v>
      </c>
      <c r="G164" s="430">
        <v>44060</v>
      </c>
      <c r="H164" s="435">
        <f>DATEDIF(G164,$G$6,"Y")</f>
        <v>5</v>
      </c>
      <c r="I164" s="1680"/>
    </row>
    <row r="165" spans="1:9" x14ac:dyDescent="0.25">
      <c r="A165" s="360"/>
      <c r="B165" s="361"/>
      <c r="C165" s="361"/>
      <c r="D165" s="465"/>
      <c r="E165" s="361"/>
      <c r="F165" s="435"/>
      <c r="G165" s="430"/>
      <c r="H165" s="435"/>
      <c r="I165" s="435"/>
    </row>
    <row r="166" spans="1:9" x14ac:dyDescent="0.25">
      <c r="A166" s="360">
        <v>16267940</v>
      </c>
      <c r="B166" s="361" t="s">
        <v>4818</v>
      </c>
      <c r="C166" s="361" t="s">
        <v>5220</v>
      </c>
      <c r="D166" s="1686">
        <v>1</v>
      </c>
      <c r="E166" s="361" t="s">
        <v>6006</v>
      </c>
      <c r="F166" s="435" t="s">
        <v>4621</v>
      </c>
      <c r="G166" s="430">
        <v>43906</v>
      </c>
      <c r="H166" s="435">
        <f>DATEDIF(G166,$G$6,"Y")</f>
        <v>5</v>
      </c>
      <c r="I166" s="435">
        <v>1</v>
      </c>
    </row>
    <row r="167" spans="1:9" x14ac:dyDescent="0.25">
      <c r="A167" s="360">
        <v>16267940</v>
      </c>
      <c r="B167" s="361" t="s">
        <v>4818</v>
      </c>
      <c r="C167" s="361"/>
      <c r="D167" s="465"/>
      <c r="E167" s="361" t="s">
        <v>5628</v>
      </c>
      <c r="F167" s="435" t="s">
        <v>4620</v>
      </c>
      <c r="G167" s="430">
        <v>39304</v>
      </c>
      <c r="H167" s="1677">
        <f>DATEDIF(G167,$G$6,"Y")</f>
        <v>18</v>
      </c>
      <c r="I167" s="435"/>
    </row>
    <row r="168" spans="1:9" x14ac:dyDescent="0.25">
      <c r="A168" s="360"/>
      <c r="B168" s="361"/>
      <c r="C168" s="361"/>
      <c r="D168" s="465"/>
      <c r="E168" s="361"/>
      <c r="F168" s="435"/>
      <c r="G168" s="430"/>
      <c r="H168" s="435"/>
      <c r="I168" s="435"/>
    </row>
    <row r="169" spans="1:9" x14ac:dyDescent="0.25">
      <c r="A169" s="360">
        <v>16376534</v>
      </c>
      <c r="B169" s="361" t="s">
        <v>4820</v>
      </c>
      <c r="C169" s="361"/>
      <c r="D169" s="1686">
        <v>0</v>
      </c>
      <c r="E169" s="361" t="s">
        <v>5631</v>
      </c>
      <c r="F169" s="435" t="s">
        <v>4620</v>
      </c>
      <c r="G169" s="430">
        <v>39594</v>
      </c>
      <c r="H169" s="1677">
        <f>DATEDIF(G169,$G$6,"Y")</f>
        <v>17</v>
      </c>
      <c r="I169" s="435">
        <v>1</v>
      </c>
    </row>
    <row r="170" spans="1:9" x14ac:dyDescent="0.25">
      <c r="A170" s="360"/>
      <c r="B170" s="361"/>
      <c r="C170" s="361"/>
      <c r="D170" s="465"/>
      <c r="E170" s="361"/>
      <c r="F170" s="435"/>
      <c r="G170" s="430"/>
      <c r="H170" s="435"/>
      <c r="I170" s="435"/>
    </row>
    <row r="171" spans="1:9" x14ac:dyDescent="0.25">
      <c r="A171" s="360">
        <v>16376698</v>
      </c>
      <c r="B171" s="361" t="s">
        <v>4821</v>
      </c>
      <c r="C171" s="361" t="s">
        <v>5229</v>
      </c>
      <c r="D171" s="1686">
        <v>1</v>
      </c>
      <c r="E171" s="361" t="s">
        <v>6012</v>
      </c>
      <c r="F171" s="435" t="s">
        <v>4621</v>
      </c>
      <c r="G171" s="430">
        <v>39781</v>
      </c>
      <c r="H171" s="1677">
        <f>DATEDIF(G171,$G$6,"Y")</f>
        <v>16</v>
      </c>
      <c r="I171" s="435">
        <v>1</v>
      </c>
    </row>
    <row r="172" spans="1:9" x14ac:dyDescent="0.25">
      <c r="A172" s="360">
        <v>16376698</v>
      </c>
      <c r="B172" s="361" t="s">
        <v>4821</v>
      </c>
      <c r="C172" s="361"/>
      <c r="D172" s="465"/>
      <c r="E172" s="361" t="s">
        <v>6008</v>
      </c>
      <c r="F172" s="435" t="s">
        <v>4621</v>
      </c>
      <c r="G172" s="430">
        <v>42613</v>
      </c>
      <c r="H172" s="435">
        <f t="shared" ref="H172:H227" si="2">DATEDIF(G172,$G$6,"Y")</f>
        <v>9</v>
      </c>
      <c r="I172" s="435"/>
    </row>
    <row r="173" spans="1:9" x14ac:dyDescent="0.25">
      <c r="A173" s="360"/>
      <c r="B173" s="361"/>
      <c r="C173" s="361"/>
      <c r="D173" s="465"/>
      <c r="E173" s="361" t="s">
        <v>2904</v>
      </c>
      <c r="F173" s="435"/>
      <c r="G173" s="430"/>
      <c r="H173" s="435"/>
      <c r="I173" s="435"/>
    </row>
    <row r="174" spans="1:9" x14ac:dyDescent="0.25">
      <c r="A174" s="360">
        <v>16377159</v>
      </c>
      <c r="B174" s="361" t="s">
        <v>4822</v>
      </c>
      <c r="C174" s="361" t="s">
        <v>5218</v>
      </c>
      <c r="D174" s="1686">
        <v>1</v>
      </c>
      <c r="E174" s="361" t="s">
        <v>6009</v>
      </c>
      <c r="F174" s="435" t="s">
        <v>4621</v>
      </c>
      <c r="G174" s="430">
        <v>39379</v>
      </c>
      <c r="H174" s="1677">
        <f t="shared" si="2"/>
        <v>17</v>
      </c>
      <c r="I174" s="435">
        <v>1</v>
      </c>
    </row>
    <row r="175" spans="1:9" x14ac:dyDescent="0.25">
      <c r="A175" s="360">
        <v>16377159</v>
      </c>
      <c r="B175" s="361" t="s">
        <v>4822</v>
      </c>
      <c r="C175" s="361"/>
      <c r="D175" s="465"/>
      <c r="E175" s="361" t="s">
        <v>6010</v>
      </c>
      <c r="F175" s="435" t="s">
        <v>4621</v>
      </c>
      <c r="G175" s="430">
        <v>40738</v>
      </c>
      <c r="H175" s="1677">
        <f t="shared" si="2"/>
        <v>14</v>
      </c>
      <c r="I175" s="435"/>
    </row>
    <row r="176" spans="1:9" x14ac:dyDescent="0.25">
      <c r="A176" s="360">
        <v>16377159</v>
      </c>
      <c r="B176" s="361" t="s">
        <v>4822</v>
      </c>
      <c r="C176" s="361"/>
      <c r="D176" s="465"/>
      <c r="E176" s="361" t="s">
        <v>6011</v>
      </c>
      <c r="F176" s="435" t="s">
        <v>4621</v>
      </c>
      <c r="G176" s="430">
        <v>43664</v>
      </c>
      <c r="H176" s="435">
        <f t="shared" si="2"/>
        <v>6</v>
      </c>
      <c r="I176" s="435"/>
    </row>
    <row r="177" spans="1:9" x14ac:dyDescent="0.25">
      <c r="A177" s="360"/>
      <c r="B177" s="361"/>
      <c r="C177" s="361"/>
      <c r="D177" s="465"/>
      <c r="E177" s="361"/>
      <c r="F177" s="435"/>
      <c r="G177" s="430"/>
      <c r="H177" s="435"/>
      <c r="I177" s="435"/>
    </row>
    <row r="178" spans="1:9" x14ac:dyDescent="0.25">
      <c r="A178" s="360">
        <v>16377588</v>
      </c>
      <c r="B178" s="361" t="s">
        <v>4823</v>
      </c>
      <c r="C178" s="361"/>
      <c r="D178" s="1686">
        <v>0</v>
      </c>
      <c r="E178" s="361" t="s">
        <v>5633</v>
      </c>
      <c r="F178" s="435" t="s">
        <v>4620</v>
      </c>
      <c r="G178" s="430">
        <v>40188</v>
      </c>
      <c r="H178" s="1677">
        <f t="shared" si="2"/>
        <v>15</v>
      </c>
      <c r="I178" s="435">
        <v>1</v>
      </c>
    </row>
    <row r="179" spans="1:9" x14ac:dyDescent="0.25">
      <c r="A179" s="360"/>
      <c r="B179" s="361"/>
      <c r="C179" s="361"/>
      <c r="D179" s="465"/>
      <c r="E179" s="361"/>
      <c r="F179" s="435"/>
      <c r="G179" s="430"/>
      <c r="H179" s="435"/>
      <c r="I179" s="435"/>
    </row>
    <row r="180" spans="1:9" x14ac:dyDescent="0.25">
      <c r="A180" s="360">
        <v>16377628</v>
      </c>
      <c r="B180" s="361" t="s">
        <v>4824</v>
      </c>
      <c r="C180" s="361" t="s">
        <v>5217</v>
      </c>
      <c r="D180" s="465">
        <v>1</v>
      </c>
      <c r="E180" s="361" t="s">
        <v>6013</v>
      </c>
      <c r="F180" s="435" t="s">
        <v>4621</v>
      </c>
      <c r="G180" s="430">
        <v>43920</v>
      </c>
      <c r="H180" s="435">
        <f t="shared" si="2"/>
        <v>5</v>
      </c>
      <c r="I180" s="435"/>
    </row>
    <row r="181" spans="1:9" x14ac:dyDescent="0.25">
      <c r="A181" s="360"/>
      <c r="B181" s="361"/>
      <c r="C181" s="361"/>
      <c r="D181" s="465"/>
      <c r="E181" s="361" t="s">
        <v>2904</v>
      </c>
      <c r="F181" s="435"/>
      <c r="G181" s="430"/>
      <c r="H181" s="435"/>
      <c r="I181" s="435"/>
    </row>
    <row r="182" spans="1:9" x14ac:dyDescent="0.25">
      <c r="A182" s="360">
        <v>16533566</v>
      </c>
      <c r="B182" s="361" t="s">
        <v>4826</v>
      </c>
      <c r="C182" s="361"/>
      <c r="D182" s="1686">
        <v>1</v>
      </c>
      <c r="E182" s="361" t="s">
        <v>6016</v>
      </c>
      <c r="F182" s="435" t="s">
        <v>4621</v>
      </c>
      <c r="G182" s="430">
        <v>40001</v>
      </c>
      <c r="H182" s="1677">
        <f t="shared" si="2"/>
        <v>16</v>
      </c>
      <c r="I182" s="435">
        <v>1</v>
      </c>
    </row>
    <row r="183" spans="1:9" x14ac:dyDescent="0.25">
      <c r="A183" s="360">
        <v>16533566</v>
      </c>
      <c r="B183" s="361" t="s">
        <v>4826</v>
      </c>
      <c r="C183" s="361"/>
      <c r="D183" s="465"/>
      <c r="E183" s="361" t="s">
        <v>6017</v>
      </c>
      <c r="F183" s="435" t="s">
        <v>4620</v>
      </c>
      <c r="G183" s="430">
        <v>42178</v>
      </c>
      <c r="H183" s="435">
        <f t="shared" si="2"/>
        <v>10</v>
      </c>
      <c r="I183" s="435"/>
    </row>
    <row r="184" spans="1:9" x14ac:dyDescent="0.25">
      <c r="A184" s="1119"/>
      <c r="B184" s="1120"/>
      <c r="C184" s="1120"/>
      <c r="D184" s="1121"/>
      <c r="E184" s="1120"/>
      <c r="F184" s="1122"/>
      <c r="G184" s="1123"/>
      <c r="H184" s="1122"/>
      <c r="I184" s="1122"/>
    </row>
    <row r="185" spans="1:9" x14ac:dyDescent="0.25">
      <c r="A185" s="1119">
        <v>16533615</v>
      </c>
      <c r="B185" s="1120" t="s">
        <v>6635</v>
      </c>
      <c r="C185" s="361" t="s">
        <v>5218</v>
      </c>
      <c r="D185" s="1121">
        <v>1</v>
      </c>
      <c r="E185" s="1120" t="s">
        <v>6638</v>
      </c>
      <c r="F185" s="1122" t="s">
        <v>4621</v>
      </c>
      <c r="G185" s="1123">
        <v>41368</v>
      </c>
      <c r="H185" s="435">
        <f t="shared" si="2"/>
        <v>12</v>
      </c>
      <c r="I185" s="1122"/>
    </row>
    <row r="186" spans="1:9" x14ac:dyDescent="0.25">
      <c r="A186" s="1119"/>
      <c r="B186" s="1120"/>
      <c r="C186" s="1120"/>
      <c r="D186" s="1121"/>
      <c r="E186" s="1120"/>
      <c r="F186" s="1122"/>
      <c r="G186" s="1123"/>
      <c r="H186" s="1122"/>
      <c r="I186" s="1122"/>
    </row>
    <row r="187" spans="1:9" x14ac:dyDescent="0.25">
      <c r="A187" s="360">
        <v>16533986</v>
      </c>
      <c r="B187" s="361" t="s">
        <v>4827</v>
      </c>
      <c r="C187" s="361" t="s">
        <v>5260</v>
      </c>
      <c r="D187" s="465">
        <v>1</v>
      </c>
      <c r="E187" s="361" t="s">
        <v>5635</v>
      </c>
      <c r="F187" s="435" t="s">
        <v>4620</v>
      </c>
      <c r="G187" s="430">
        <v>42515</v>
      </c>
      <c r="H187" s="435">
        <f t="shared" si="2"/>
        <v>9</v>
      </c>
      <c r="I187" s="435"/>
    </row>
    <row r="188" spans="1:9" x14ac:dyDescent="0.25">
      <c r="A188" s="360"/>
      <c r="B188" s="361"/>
      <c r="C188" s="361"/>
      <c r="D188" s="465"/>
      <c r="E188" s="361"/>
      <c r="F188" s="435"/>
      <c r="G188" s="430"/>
      <c r="H188" s="435"/>
      <c r="I188" s="435"/>
    </row>
    <row r="189" spans="1:9" x14ac:dyDescent="0.25">
      <c r="A189" s="1119">
        <v>16740261</v>
      </c>
      <c r="B189" s="1120" t="s">
        <v>6674</v>
      </c>
      <c r="C189" s="1120" t="s">
        <v>6676</v>
      </c>
      <c r="D189" s="1121">
        <v>1</v>
      </c>
      <c r="E189" s="1120" t="s">
        <v>6677</v>
      </c>
      <c r="F189" s="1122" t="s">
        <v>4620</v>
      </c>
      <c r="G189" s="1123">
        <v>42913</v>
      </c>
      <c r="H189" s="435">
        <f t="shared" si="2"/>
        <v>8</v>
      </c>
      <c r="I189" s="1122"/>
    </row>
    <row r="190" spans="1:9" x14ac:dyDescent="0.25">
      <c r="A190" s="360"/>
      <c r="B190" s="361"/>
      <c r="C190" s="361"/>
      <c r="D190" s="465"/>
      <c r="E190" s="361"/>
      <c r="F190" s="435"/>
      <c r="G190" s="430"/>
      <c r="H190" s="435"/>
      <c r="I190" s="435"/>
    </row>
    <row r="191" spans="1:9" x14ac:dyDescent="0.25">
      <c r="A191" s="360">
        <v>16882467</v>
      </c>
      <c r="B191" s="361" t="s">
        <v>4830</v>
      </c>
      <c r="C191" s="361" t="s">
        <v>5261</v>
      </c>
      <c r="D191" s="1686">
        <v>0</v>
      </c>
      <c r="E191" s="361" t="s">
        <v>5638</v>
      </c>
      <c r="F191" s="435" t="s">
        <v>4620</v>
      </c>
      <c r="G191" s="430">
        <v>39325</v>
      </c>
      <c r="H191" s="1677">
        <f t="shared" si="2"/>
        <v>18</v>
      </c>
      <c r="I191" s="435">
        <v>1</v>
      </c>
    </row>
    <row r="192" spans="1:9" x14ac:dyDescent="0.25">
      <c r="A192" s="360"/>
      <c r="B192" s="361"/>
      <c r="C192" s="361"/>
      <c r="D192" s="465"/>
      <c r="E192" s="361"/>
      <c r="F192" s="435"/>
      <c r="G192" s="430"/>
      <c r="H192" s="435"/>
      <c r="I192" s="435"/>
    </row>
    <row r="193" spans="1:9" x14ac:dyDescent="0.25">
      <c r="A193" s="360">
        <v>17037244</v>
      </c>
      <c r="B193" s="361" t="s">
        <v>4832</v>
      </c>
      <c r="C193" s="361" t="s">
        <v>5217</v>
      </c>
      <c r="D193" s="1686">
        <v>0</v>
      </c>
      <c r="E193" s="361" t="s">
        <v>5640</v>
      </c>
      <c r="F193" s="435" t="s">
        <v>4620</v>
      </c>
      <c r="G193" s="430">
        <v>40515</v>
      </c>
      <c r="H193" s="1677">
        <f t="shared" si="2"/>
        <v>14</v>
      </c>
      <c r="I193" s="435">
        <v>2</v>
      </c>
    </row>
    <row r="194" spans="1:9" x14ac:dyDescent="0.25">
      <c r="A194" s="360">
        <v>17037244</v>
      </c>
      <c r="B194" s="361" t="s">
        <v>4832</v>
      </c>
      <c r="C194" s="361"/>
      <c r="D194" s="465"/>
      <c r="E194" s="361" t="s">
        <v>5641</v>
      </c>
      <c r="F194" s="435" t="s">
        <v>4620</v>
      </c>
      <c r="G194" s="430">
        <v>40883</v>
      </c>
      <c r="H194" s="1677">
        <f t="shared" si="2"/>
        <v>13</v>
      </c>
      <c r="I194" s="435"/>
    </row>
    <row r="195" spans="1:9" x14ac:dyDescent="0.25">
      <c r="A195" s="1119"/>
      <c r="B195" s="1120"/>
      <c r="C195" s="1120"/>
      <c r="D195" s="1121"/>
      <c r="E195" s="1120"/>
      <c r="F195" s="1122"/>
      <c r="G195" s="1123"/>
      <c r="H195" s="1122"/>
      <c r="I195" s="1122"/>
    </row>
    <row r="196" spans="1:9" x14ac:dyDescent="0.25">
      <c r="A196" s="360">
        <v>17038061</v>
      </c>
      <c r="B196" s="361" t="s">
        <v>7583</v>
      </c>
      <c r="C196" s="361" t="s">
        <v>5218</v>
      </c>
      <c r="D196" s="465">
        <v>2</v>
      </c>
      <c r="E196" s="361" t="s">
        <v>7592</v>
      </c>
      <c r="F196" s="435" t="s">
        <v>4620</v>
      </c>
      <c r="G196" s="430">
        <v>43041</v>
      </c>
      <c r="H196" s="435">
        <f t="shared" ref="H196:H197" si="3">DATEDIF(G196,$G$6,"Y")</f>
        <v>7</v>
      </c>
      <c r="I196" s="1122"/>
    </row>
    <row r="197" spans="1:9" x14ac:dyDescent="0.25">
      <c r="A197" s="1119"/>
      <c r="B197" s="1120"/>
      <c r="C197" s="1120"/>
      <c r="D197" s="1121"/>
      <c r="E197" s="1120" t="s">
        <v>7591</v>
      </c>
      <c r="F197" s="1122" t="s">
        <v>4621</v>
      </c>
      <c r="G197" s="1123">
        <v>41901</v>
      </c>
      <c r="H197" s="435">
        <f t="shared" si="3"/>
        <v>11</v>
      </c>
      <c r="I197" s="1122"/>
    </row>
    <row r="198" spans="1:9" x14ac:dyDescent="0.25">
      <c r="A198" s="1119"/>
      <c r="B198" s="1120"/>
      <c r="C198" s="1120"/>
      <c r="D198" s="1121"/>
      <c r="E198" s="1120"/>
      <c r="F198" s="1122"/>
      <c r="G198" s="1123"/>
      <c r="H198" s="1122"/>
      <c r="I198" s="1122"/>
    </row>
    <row r="199" spans="1:9" x14ac:dyDescent="0.25">
      <c r="A199" s="360">
        <v>17094419</v>
      </c>
      <c r="B199" s="361" t="s">
        <v>4833</v>
      </c>
      <c r="C199" s="361" t="s">
        <v>5218</v>
      </c>
      <c r="D199" s="1686">
        <v>0</v>
      </c>
      <c r="E199" s="361" t="s">
        <v>6019</v>
      </c>
      <c r="F199" s="435" t="s">
        <v>4620</v>
      </c>
      <c r="G199" s="430">
        <v>40668</v>
      </c>
      <c r="H199" s="1677">
        <f t="shared" si="2"/>
        <v>14</v>
      </c>
      <c r="I199" s="435">
        <v>1</v>
      </c>
    </row>
    <row r="200" spans="1:9" x14ac:dyDescent="0.25">
      <c r="A200" s="1119"/>
      <c r="B200" s="1120"/>
      <c r="C200" s="1120"/>
      <c r="D200" s="1121"/>
      <c r="E200" s="1120"/>
      <c r="F200" s="1122"/>
      <c r="G200" s="1123"/>
      <c r="H200" s="1122"/>
      <c r="I200" s="1122"/>
    </row>
    <row r="201" spans="1:9" x14ac:dyDescent="0.25">
      <c r="A201" s="1119">
        <v>17094426</v>
      </c>
      <c r="B201" s="1120" t="s">
        <v>4834</v>
      </c>
      <c r="C201" s="1120" t="s">
        <v>5217</v>
      </c>
      <c r="D201" s="1121">
        <v>1</v>
      </c>
      <c r="E201" s="1120" t="s">
        <v>6708</v>
      </c>
      <c r="F201" s="1122" t="s">
        <v>4620</v>
      </c>
      <c r="G201" s="1123">
        <v>45414</v>
      </c>
      <c r="H201" s="435">
        <f t="shared" si="2"/>
        <v>1</v>
      </c>
      <c r="I201" s="1122"/>
    </row>
    <row r="202" spans="1:9" x14ac:dyDescent="0.25">
      <c r="A202" s="360"/>
      <c r="B202" s="361"/>
      <c r="C202" s="361"/>
      <c r="D202" s="465"/>
      <c r="E202" s="361"/>
      <c r="F202" s="435"/>
      <c r="G202" s="430"/>
      <c r="H202" s="435"/>
      <c r="I202" s="435"/>
    </row>
    <row r="203" spans="1:9" x14ac:dyDescent="0.25">
      <c r="A203" s="360">
        <v>17130893</v>
      </c>
      <c r="B203" s="361" t="s">
        <v>4835</v>
      </c>
      <c r="C203" s="361"/>
      <c r="D203" s="1686">
        <v>1</v>
      </c>
      <c r="E203" s="361" t="s">
        <v>5643</v>
      </c>
      <c r="F203" s="435" t="s">
        <v>4620</v>
      </c>
      <c r="G203" s="430">
        <v>40878</v>
      </c>
      <c r="H203" s="1677">
        <f t="shared" si="2"/>
        <v>13</v>
      </c>
      <c r="I203" s="435">
        <v>1</v>
      </c>
    </row>
    <row r="204" spans="1:9" x14ac:dyDescent="0.25">
      <c r="A204" s="360">
        <v>17130893</v>
      </c>
      <c r="B204" s="361" t="s">
        <v>4835</v>
      </c>
      <c r="C204" s="361"/>
      <c r="D204" s="465"/>
      <c r="E204" s="361" t="s">
        <v>5644</v>
      </c>
      <c r="F204" s="435" t="s">
        <v>4620</v>
      </c>
      <c r="G204" s="430">
        <v>41516</v>
      </c>
      <c r="H204" s="435">
        <f t="shared" si="2"/>
        <v>12</v>
      </c>
      <c r="I204" s="435"/>
    </row>
    <row r="205" spans="1:9" x14ac:dyDescent="0.25">
      <c r="A205" s="370"/>
      <c r="B205" s="371"/>
      <c r="C205" s="371"/>
      <c r="D205" s="892"/>
      <c r="E205" s="371"/>
      <c r="F205" s="442"/>
      <c r="G205" s="431"/>
      <c r="H205" s="435"/>
      <c r="I205" s="442"/>
    </row>
    <row r="206" spans="1:9" x14ac:dyDescent="0.25">
      <c r="A206" s="370">
        <v>17265578</v>
      </c>
      <c r="B206" s="371" t="s">
        <v>5513</v>
      </c>
      <c r="C206" s="371"/>
      <c r="D206" s="1686">
        <v>0</v>
      </c>
      <c r="E206" s="371" t="s">
        <v>6022</v>
      </c>
      <c r="F206" s="435" t="s">
        <v>4620</v>
      </c>
      <c r="G206" s="431">
        <v>40503</v>
      </c>
      <c r="H206" s="1677">
        <f t="shared" si="2"/>
        <v>14</v>
      </c>
      <c r="I206" s="442">
        <v>1</v>
      </c>
    </row>
    <row r="207" spans="1:9" x14ac:dyDescent="0.25">
      <c r="A207" s="360"/>
      <c r="B207" s="361"/>
      <c r="C207" s="361"/>
      <c r="D207" s="465"/>
      <c r="E207" s="361" t="s">
        <v>2904</v>
      </c>
      <c r="F207" s="435"/>
      <c r="G207" s="430"/>
      <c r="H207" s="435"/>
      <c r="I207" s="435"/>
    </row>
    <row r="208" spans="1:9" x14ac:dyDescent="0.25">
      <c r="A208" s="360">
        <v>17265648</v>
      </c>
      <c r="B208" s="361" t="s">
        <v>4836</v>
      </c>
      <c r="C208" s="361" t="s">
        <v>5217</v>
      </c>
      <c r="D208" s="1686">
        <v>1</v>
      </c>
      <c r="E208" s="361" t="s">
        <v>5645</v>
      </c>
      <c r="F208" s="435" t="s">
        <v>4620</v>
      </c>
      <c r="G208" s="430">
        <v>41608</v>
      </c>
      <c r="H208" s="435">
        <f t="shared" si="2"/>
        <v>11</v>
      </c>
      <c r="I208" s="435">
        <v>1</v>
      </c>
    </row>
    <row r="209" spans="1:9" x14ac:dyDescent="0.25">
      <c r="A209" s="360">
        <v>17265648</v>
      </c>
      <c r="B209" s="361" t="s">
        <v>4836</v>
      </c>
      <c r="C209" s="361"/>
      <c r="D209" s="465"/>
      <c r="E209" s="361" t="s">
        <v>5646</v>
      </c>
      <c r="F209" s="435" t="s">
        <v>4620</v>
      </c>
      <c r="G209" s="430">
        <v>40374</v>
      </c>
      <c r="H209" s="1677">
        <f t="shared" si="2"/>
        <v>15</v>
      </c>
      <c r="I209" s="435"/>
    </row>
    <row r="210" spans="1:9" x14ac:dyDescent="0.25">
      <c r="A210" s="360"/>
      <c r="B210" s="361"/>
      <c r="C210" s="361"/>
      <c r="D210" s="465"/>
      <c r="E210" s="361" t="s">
        <v>2904</v>
      </c>
      <c r="F210" s="435"/>
      <c r="G210" s="430"/>
      <c r="H210" s="435"/>
      <c r="I210" s="435"/>
    </row>
    <row r="211" spans="1:9" x14ac:dyDescent="0.25">
      <c r="A211" s="360">
        <v>17267324</v>
      </c>
      <c r="B211" s="361" t="s">
        <v>4837</v>
      </c>
      <c r="C211" s="361"/>
      <c r="D211" s="465">
        <v>1</v>
      </c>
      <c r="E211" s="361" t="s">
        <v>5648</v>
      </c>
      <c r="F211" s="435" t="s">
        <v>4620</v>
      </c>
      <c r="G211" s="430">
        <v>41689</v>
      </c>
      <c r="H211" s="435">
        <f t="shared" si="2"/>
        <v>11</v>
      </c>
      <c r="I211" s="435"/>
    </row>
    <row r="212" spans="1:9" x14ac:dyDescent="0.25">
      <c r="A212" s="360"/>
      <c r="B212" s="361"/>
      <c r="C212" s="361"/>
      <c r="D212" s="465"/>
      <c r="E212" s="361" t="s">
        <v>2904</v>
      </c>
      <c r="F212" s="435"/>
      <c r="G212" s="430"/>
      <c r="H212" s="435"/>
      <c r="I212" s="435"/>
    </row>
    <row r="213" spans="1:9" x14ac:dyDescent="0.25">
      <c r="A213" s="360">
        <v>17391316</v>
      </c>
      <c r="B213" s="361" t="s">
        <v>4838</v>
      </c>
      <c r="C213" s="361" t="s">
        <v>5218</v>
      </c>
      <c r="D213" s="465">
        <v>1</v>
      </c>
      <c r="E213" s="361" t="s">
        <v>6023</v>
      </c>
      <c r="F213" s="435" t="s">
        <v>4620</v>
      </c>
      <c r="G213" s="430">
        <v>41365</v>
      </c>
      <c r="H213" s="435">
        <f t="shared" si="2"/>
        <v>12</v>
      </c>
      <c r="I213" s="435"/>
    </row>
    <row r="214" spans="1:9" x14ac:dyDescent="0.25">
      <c r="A214" s="360"/>
      <c r="B214" s="361"/>
      <c r="C214" s="361"/>
      <c r="D214" s="465"/>
      <c r="E214" s="361"/>
      <c r="F214" s="435"/>
      <c r="G214" s="430"/>
      <c r="H214" s="435"/>
      <c r="I214" s="435"/>
    </row>
    <row r="215" spans="1:9" x14ac:dyDescent="0.25">
      <c r="A215" s="360">
        <v>17391892</v>
      </c>
      <c r="B215" s="361" t="s">
        <v>5965</v>
      </c>
      <c r="C215" s="361" t="s">
        <v>5261</v>
      </c>
      <c r="D215" s="465">
        <v>2</v>
      </c>
      <c r="E215" s="361" t="s">
        <v>5973</v>
      </c>
      <c r="F215" s="435" t="s">
        <v>4620</v>
      </c>
      <c r="G215" s="430">
        <v>41470</v>
      </c>
      <c r="H215" s="435">
        <f t="shared" ref="H215:H216" si="4">DATEDIF(G215,$G$6,"Y")</f>
        <v>12</v>
      </c>
      <c r="I215" s="983"/>
    </row>
    <row r="216" spans="1:9" x14ac:dyDescent="0.25">
      <c r="A216" s="360">
        <v>17391892</v>
      </c>
      <c r="B216" s="361" t="s">
        <v>5965</v>
      </c>
      <c r="C216" s="981"/>
      <c r="D216" s="982"/>
      <c r="E216" s="361" t="s">
        <v>5974</v>
      </c>
      <c r="F216" s="435" t="s">
        <v>4620</v>
      </c>
      <c r="G216" s="430">
        <v>42343</v>
      </c>
      <c r="H216" s="435">
        <f t="shared" si="4"/>
        <v>9</v>
      </c>
      <c r="I216" s="983"/>
    </row>
    <row r="217" spans="1:9" x14ac:dyDescent="0.25">
      <c r="A217" s="980"/>
      <c r="B217" s="981"/>
      <c r="C217" s="981"/>
      <c r="D217" s="982"/>
      <c r="E217" s="981"/>
      <c r="F217" s="983"/>
      <c r="G217" s="984"/>
      <c r="H217" s="983"/>
      <c r="I217" s="983"/>
    </row>
    <row r="218" spans="1:9" x14ac:dyDescent="0.25">
      <c r="A218" s="360">
        <v>17392309</v>
      </c>
      <c r="B218" s="361" t="s">
        <v>4839</v>
      </c>
      <c r="C218" s="361"/>
      <c r="D218" s="465">
        <v>1</v>
      </c>
      <c r="E218" s="361" t="s">
        <v>5651</v>
      </c>
      <c r="F218" s="435" t="s">
        <v>4620</v>
      </c>
      <c r="G218" s="430">
        <v>41283</v>
      </c>
      <c r="H218" s="435">
        <f t="shared" si="2"/>
        <v>12</v>
      </c>
      <c r="I218" s="435"/>
    </row>
    <row r="219" spans="1:9" x14ac:dyDescent="0.25">
      <c r="A219" s="360"/>
      <c r="B219" s="361"/>
      <c r="C219" s="361"/>
      <c r="D219" s="465"/>
      <c r="E219" s="361"/>
      <c r="F219" s="435"/>
      <c r="G219" s="430"/>
      <c r="H219" s="435"/>
      <c r="I219" s="435"/>
    </row>
    <row r="220" spans="1:9" x14ac:dyDescent="0.25">
      <c r="A220" s="360">
        <v>17393693</v>
      </c>
      <c r="B220" s="361" t="s">
        <v>4840</v>
      </c>
      <c r="C220" s="361" t="s">
        <v>5231</v>
      </c>
      <c r="D220" s="1686">
        <v>1</v>
      </c>
      <c r="E220" s="361" t="s">
        <v>6025</v>
      </c>
      <c r="F220" s="435" t="s">
        <v>4621</v>
      </c>
      <c r="G220" s="430">
        <v>40896</v>
      </c>
      <c r="H220" s="1677">
        <f t="shared" si="2"/>
        <v>13</v>
      </c>
      <c r="I220" s="435">
        <v>1</v>
      </c>
    </row>
    <row r="221" spans="1:9" x14ac:dyDescent="0.25">
      <c r="A221" s="360">
        <v>17393693</v>
      </c>
      <c r="B221" s="361" t="s">
        <v>4840</v>
      </c>
      <c r="C221" s="361"/>
      <c r="D221" s="465"/>
      <c r="E221" s="361" t="s">
        <v>6026</v>
      </c>
      <c r="F221" s="435" t="s">
        <v>4621</v>
      </c>
      <c r="G221" s="430">
        <v>42177</v>
      </c>
      <c r="H221" s="435">
        <f t="shared" si="2"/>
        <v>10</v>
      </c>
      <c r="I221" s="435"/>
    </row>
    <row r="222" spans="1:9" x14ac:dyDescent="0.25">
      <c r="A222" s="1119"/>
      <c r="B222" s="1120"/>
      <c r="C222" s="1120"/>
      <c r="D222" s="1121"/>
      <c r="E222" s="1120"/>
      <c r="F222" s="1122"/>
      <c r="G222" s="1123"/>
      <c r="H222" s="1122"/>
      <c r="I222" s="1122"/>
    </row>
    <row r="223" spans="1:9" x14ac:dyDescent="0.25">
      <c r="A223" s="1119">
        <v>17596844</v>
      </c>
      <c r="B223" s="1120" t="s">
        <v>6654</v>
      </c>
      <c r="C223" s="1120" t="s">
        <v>5218</v>
      </c>
      <c r="D223" s="1686">
        <v>1</v>
      </c>
      <c r="E223" s="1120" t="s">
        <v>6657</v>
      </c>
      <c r="F223" s="1122" t="s">
        <v>4621</v>
      </c>
      <c r="G223" s="1123">
        <v>42445</v>
      </c>
      <c r="H223" s="435">
        <f t="shared" si="2"/>
        <v>9</v>
      </c>
      <c r="I223" s="1122">
        <v>1</v>
      </c>
    </row>
    <row r="224" spans="1:9" x14ac:dyDescent="0.25">
      <c r="A224" s="1119">
        <v>17596844</v>
      </c>
      <c r="B224" s="1120" t="s">
        <v>6654</v>
      </c>
      <c r="C224" s="1120" t="s">
        <v>5218</v>
      </c>
      <c r="D224" s="1121"/>
      <c r="E224" s="1120" t="s">
        <v>6658</v>
      </c>
      <c r="F224" s="1122" t="s">
        <v>4620</v>
      </c>
      <c r="G224" s="1123">
        <v>39912</v>
      </c>
      <c r="H224" s="1677">
        <f t="shared" si="2"/>
        <v>16</v>
      </c>
      <c r="I224" s="1122"/>
    </row>
    <row r="225" spans="1:9" x14ac:dyDescent="0.25">
      <c r="A225" s="360"/>
      <c r="B225" s="361"/>
      <c r="C225" s="361"/>
      <c r="D225" s="465"/>
      <c r="E225" s="361"/>
      <c r="F225" s="435"/>
      <c r="G225" s="430"/>
      <c r="H225" s="435"/>
      <c r="I225" s="435"/>
    </row>
    <row r="226" spans="1:9" x14ac:dyDescent="0.25">
      <c r="A226" s="360">
        <v>17604568</v>
      </c>
      <c r="B226" s="361" t="s">
        <v>4842</v>
      </c>
      <c r="C226" s="361" t="s">
        <v>5262</v>
      </c>
      <c r="D226" s="465">
        <v>2</v>
      </c>
      <c r="E226" s="361" t="s">
        <v>5652</v>
      </c>
      <c r="F226" s="435" t="s">
        <v>4620</v>
      </c>
      <c r="G226" s="430">
        <v>43720</v>
      </c>
      <c r="H226" s="435">
        <f t="shared" si="2"/>
        <v>6</v>
      </c>
      <c r="I226" s="435"/>
    </row>
    <row r="227" spans="1:9" x14ac:dyDescent="0.25">
      <c r="A227" s="360">
        <v>17604568</v>
      </c>
      <c r="B227" s="361" t="s">
        <v>4842</v>
      </c>
      <c r="C227" s="361"/>
      <c r="D227" s="465"/>
      <c r="E227" s="361" t="s">
        <v>5653</v>
      </c>
      <c r="F227" s="435" t="s">
        <v>4620</v>
      </c>
      <c r="G227" s="430">
        <v>42998</v>
      </c>
      <c r="H227" s="435">
        <f t="shared" si="2"/>
        <v>8</v>
      </c>
      <c r="I227" s="435"/>
    </row>
    <row r="228" spans="1:9" x14ac:dyDescent="0.25">
      <c r="A228" s="360"/>
      <c r="B228" s="361"/>
      <c r="C228" s="361"/>
      <c r="D228" s="465"/>
      <c r="E228" s="361"/>
      <c r="F228" s="435"/>
      <c r="G228" s="430"/>
      <c r="H228" s="435"/>
      <c r="I228" s="435"/>
    </row>
    <row r="229" spans="1:9" x14ac:dyDescent="0.25">
      <c r="A229" s="360">
        <v>17606237</v>
      </c>
      <c r="B229" s="361" t="s">
        <v>5758</v>
      </c>
      <c r="C229" s="361" t="s">
        <v>461</v>
      </c>
      <c r="D229" s="465">
        <v>1</v>
      </c>
      <c r="E229" s="361" t="s">
        <v>5777</v>
      </c>
      <c r="F229" s="435" t="s">
        <v>4621</v>
      </c>
      <c r="G229" s="430">
        <v>43256</v>
      </c>
      <c r="H229" s="435">
        <f t="shared" ref="H229:H231" si="5">DATEDIF(G229,$G$6,"Y")</f>
        <v>7</v>
      </c>
      <c r="I229" s="435"/>
    </row>
    <row r="230" spans="1:9" x14ac:dyDescent="0.25">
      <c r="A230" s="1119"/>
      <c r="B230" s="1120"/>
      <c r="C230" s="1120"/>
      <c r="D230" s="1121"/>
      <c r="E230" s="1120"/>
      <c r="F230" s="1122"/>
      <c r="G230" s="1123"/>
      <c r="H230" s="1122"/>
      <c r="I230" s="1122"/>
    </row>
    <row r="231" spans="1:9" x14ac:dyDescent="0.25">
      <c r="A231" s="1119">
        <v>17831012</v>
      </c>
      <c r="B231" s="1120" t="s">
        <v>6630</v>
      </c>
      <c r="C231" s="1120" t="s">
        <v>6633</v>
      </c>
      <c r="D231" s="1121">
        <v>1</v>
      </c>
      <c r="E231" s="1120" t="s">
        <v>6634</v>
      </c>
      <c r="F231" s="1122" t="s">
        <v>4621</v>
      </c>
      <c r="G231" s="1123">
        <v>43590</v>
      </c>
      <c r="H231" s="435">
        <f t="shared" si="5"/>
        <v>6</v>
      </c>
      <c r="I231" s="1122"/>
    </row>
    <row r="232" spans="1:9" x14ac:dyDescent="0.25">
      <c r="A232" s="1119"/>
      <c r="B232" s="1120"/>
      <c r="C232" s="1120"/>
      <c r="D232" s="1121"/>
      <c r="E232" s="1120"/>
      <c r="F232" s="1122"/>
      <c r="G232" s="1123"/>
      <c r="H232" s="1122"/>
      <c r="I232" s="1122"/>
    </row>
    <row r="233" spans="1:9" x14ac:dyDescent="0.25">
      <c r="A233" s="360">
        <v>17832396</v>
      </c>
      <c r="B233" s="361" t="s">
        <v>4850</v>
      </c>
      <c r="C233" s="361" t="s">
        <v>5239</v>
      </c>
      <c r="D233" s="465">
        <v>2</v>
      </c>
      <c r="E233" s="361" t="s">
        <v>5656</v>
      </c>
      <c r="F233" s="435" t="s">
        <v>4620</v>
      </c>
      <c r="G233" s="430">
        <v>41298</v>
      </c>
      <c r="H233" s="435">
        <f t="shared" ref="H233:H283" si="6">DATEDIF(G233,$G$6,"Y")</f>
        <v>12</v>
      </c>
      <c r="I233" s="435"/>
    </row>
    <row r="234" spans="1:9" x14ac:dyDescent="0.25">
      <c r="A234" s="360">
        <v>17832396</v>
      </c>
      <c r="B234" s="361" t="s">
        <v>4850</v>
      </c>
      <c r="C234" s="361"/>
      <c r="D234" s="465"/>
      <c r="E234" s="361" t="s">
        <v>5657</v>
      </c>
      <c r="F234" s="435" t="s">
        <v>4620</v>
      </c>
      <c r="G234" s="430">
        <v>41731</v>
      </c>
      <c r="H234" s="435">
        <f t="shared" si="6"/>
        <v>11</v>
      </c>
      <c r="I234" s="435"/>
    </row>
    <row r="235" spans="1:9" x14ac:dyDescent="0.25">
      <c r="A235" s="1119"/>
      <c r="B235" s="1120"/>
      <c r="C235" s="1120"/>
      <c r="D235" s="1121"/>
      <c r="E235" s="1120"/>
      <c r="F235" s="1122"/>
      <c r="G235" s="1123"/>
      <c r="H235" s="1122"/>
      <c r="I235" s="1122"/>
    </row>
    <row r="236" spans="1:9" x14ac:dyDescent="0.25">
      <c r="A236" s="1119">
        <v>18036203</v>
      </c>
      <c r="B236" s="1120" t="s">
        <v>6680</v>
      </c>
      <c r="C236" s="361" t="s">
        <v>5218</v>
      </c>
      <c r="D236" s="1686">
        <v>1</v>
      </c>
      <c r="E236" s="1120" t="s">
        <v>6682</v>
      </c>
      <c r="F236" s="1122" t="s">
        <v>4621</v>
      </c>
      <c r="G236" s="1123">
        <v>43900</v>
      </c>
      <c r="H236" s="435">
        <f t="shared" si="6"/>
        <v>5</v>
      </c>
      <c r="I236" s="1122">
        <v>1</v>
      </c>
    </row>
    <row r="237" spans="1:9" x14ac:dyDescent="0.25">
      <c r="A237" s="1119">
        <v>18036203</v>
      </c>
      <c r="B237" s="1120" t="s">
        <v>6680</v>
      </c>
      <c r="C237" s="1120"/>
      <c r="D237" s="1121"/>
      <c r="E237" s="1120" t="s">
        <v>6683</v>
      </c>
      <c r="F237" s="1122" t="s">
        <v>4621</v>
      </c>
      <c r="G237" s="1123">
        <v>40425</v>
      </c>
      <c r="H237" s="1678">
        <f t="shared" si="6"/>
        <v>15</v>
      </c>
      <c r="I237" s="1122"/>
    </row>
    <row r="238" spans="1:9" x14ac:dyDescent="0.25">
      <c r="A238" s="360"/>
      <c r="B238" s="361"/>
      <c r="C238" s="361"/>
      <c r="D238" s="465"/>
      <c r="E238" s="361"/>
      <c r="F238" s="435"/>
      <c r="G238" s="430"/>
      <c r="H238" s="435"/>
      <c r="I238" s="435"/>
    </row>
    <row r="239" spans="1:9" x14ac:dyDescent="0.25">
      <c r="A239" s="360">
        <v>18095603</v>
      </c>
      <c r="B239" s="361" t="s">
        <v>4853</v>
      </c>
      <c r="C239" s="361" t="s">
        <v>5250</v>
      </c>
      <c r="D239" s="465">
        <v>1</v>
      </c>
      <c r="E239" s="361" t="s">
        <v>5659</v>
      </c>
      <c r="F239" s="435" t="s">
        <v>4620</v>
      </c>
      <c r="G239" s="430">
        <v>44355</v>
      </c>
      <c r="H239" s="435">
        <f t="shared" si="6"/>
        <v>4</v>
      </c>
      <c r="I239" s="435"/>
    </row>
    <row r="240" spans="1:9" x14ac:dyDescent="0.25">
      <c r="A240" s="360"/>
      <c r="B240" s="361"/>
      <c r="C240" s="361"/>
      <c r="D240" s="465"/>
      <c r="E240" s="361"/>
      <c r="F240" s="435"/>
      <c r="G240" s="430"/>
      <c r="H240" s="435"/>
      <c r="I240" s="435"/>
    </row>
    <row r="241" spans="1:9" x14ac:dyDescent="0.25">
      <c r="A241" s="1119">
        <v>18096996</v>
      </c>
      <c r="B241" s="1120" t="s">
        <v>4680</v>
      </c>
      <c r="C241" s="1120" t="s">
        <v>6705</v>
      </c>
      <c r="D241" s="1121">
        <v>1</v>
      </c>
      <c r="E241" s="371" t="s">
        <v>5992</v>
      </c>
      <c r="F241" s="1122" t="s">
        <v>4621</v>
      </c>
      <c r="G241" s="1123">
        <v>41887</v>
      </c>
      <c r="H241" s="435">
        <f>DATEDIF(G241,$G$6,"Y")</f>
        <v>11</v>
      </c>
      <c r="I241" s="1122"/>
    </row>
    <row r="242" spans="1:9" x14ac:dyDescent="0.25">
      <c r="A242" s="1119"/>
      <c r="B242" s="1120"/>
      <c r="C242" s="1120"/>
      <c r="D242" s="1121"/>
      <c r="E242" s="1120"/>
      <c r="F242" s="1122"/>
      <c r="G242" s="1123"/>
      <c r="H242" s="1122"/>
      <c r="I242" s="1122"/>
    </row>
    <row r="243" spans="1:9" x14ac:dyDescent="0.25">
      <c r="A243" s="1119">
        <v>18097528</v>
      </c>
      <c r="B243" s="1120" t="s">
        <v>6693</v>
      </c>
      <c r="C243" s="361" t="s">
        <v>5218</v>
      </c>
      <c r="D243" s="1121">
        <v>2</v>
      </c>
      <c r="E243" s="1120" t="s">
        <v>6696</v>
      </c>
      <c r="F243" s="1122" t="s">
        <v>4620</v>
      </c>
      <c r="G243" s="1123">
        <v>43483</v>
      </c>
      <c r="H243" s="435">
        <f>DATEDIF(G243,$G$6,"Y")</f>
        <v>6</v>
      </c>
      <c r="I243" s="1122"/>
    </row>
    <row r="244" spans="1:9" x14ac:dyDescent="0.25">
      <c r="A244" s="1119">
        <v>18097528</v>
      </c>
      <c r="B244" s="1120" t="s">
        <v>6693</v>
      </c>
      <c r="C244" s="1120"/>
      <c r="D244" s="1121"/>
      <c r="E244" s="1120" t="s">
        <v>6697</v>
      </c>
      <c r="F244" s="1122" t="s">
        <v>4620</v>
      </c>
      <c r="G244" s="1123">
        <v>44982</v>
      </c>
      <c r="H244" s="435">
        <f>DATEDIF(G244,$G$6,"Y")</f>
        <v>2</v>
      </c>
      <c r="I244" s="1122"/>
    </row>
    <row r="245" spans="1:9" x14ac:dyDescent="0.25">
      <c r="A245" s="360"/>
      <c r="B245" s="361"/>
      <c r="C245" s="361"/>
      <c r="D245" s="465"/>
      <c r="E245" s="361" t="s">
        <v>2904</v>
      </c>
      <c r="F245" s="435"/>
      <c r="G245" s="430"/>
      <c r="H245" s="435"/>
      <c r="I245" s="435"/>
    </row>
    <row r="246" spans="1:9" x14ac:dyDescent="0.25">
      <c r="A246" s="360">
        <v>18097873</v>
      </c>
      <c r="B246" s="361" t="s">
        <v>4855</v>
      </c>
      <c r="C246" s="361" t="s">
        <v>5218</v>
      </c>
      <c r="D246" s="1686">
        <v>1</v>
      </c>
      <c r="E246" s="361" t="s">
        <v>5660</v>
      </c>
      <c r="F246" s="435" t="s">
        <v>4620</v>
      </c>
      <c r="G246" s="430">
        <v>39687</v>
      </c>
      <c r="H246" s="1677">
        <f t="shared" si="6"/>
        <v>17</v>
      </c>
      <c r="I246" s="435">
        <v>1</v>
      </c>
    </row>
    <row r="247" spans="1:9" x14ac:dyDescent="0.25">
      <c r="A247" s="360">
        <v>18097873</v>
      </c>
      <c r="B247" s="361" t="s">
        <v>4855</v>
      </c>
      <c r="C247" s="361"/>
      <c r="D247" s="465"/>
      <c r="E247" s="361" t="s">
        <v>5661</v>
      </c>
      <c r="F247" s="435" t="s">
        <v>4620</v>
      </c>
      <c r="G247" s="430">
        <v>40358</v>
      </c>
      <c r="H247" s="1677">
        <f t="shared" si="6"/>
        <v>15</v>
      </c>
      <c r="I247" s="435"/>
    </row>
    <row r="248" spans="1:9" x14ac:dyDescent="0.25">
      <c r="A248" s="360">
        <v>18097873</v>
      </c>
      <c r="B248" s="361" t="s">
        <v>4855</v>
      </c>
      <c r="C248" s="361"/>
      <c r="D248" s="465"/>
      <c r="E248" s="361" t="s">
        <v>5662</v>
      </c>
      <c r="F248" s="435" t="s">
        <v>4621</v>
      </c>
      <c r="G248" s="430">
        <v>41222</v>
      </c>
      <c r="H248" s="435">
        <f t="shared" si="6"/>
        <v>12</v>
      </c>
      <c r="I248" s="435"/>
    </row>
    <row r="249" spans="1:9" x14ac:dyDescent="0.25">
      <c r="A249" s="360"/>
      <c r="B249" s="361"/>
      <c r="C249" s="361"/>
      <c r="D249" s="465"/>
      <c r="E249" s="361"/>
      <c r="F249" s="435"/>
      <c r="G249" s="430"/>
      <c r="H249" s="435"/>
      <c r="I249" s="435"/>
    </row>
    <row r="250" spans="1:9" x14ac:dyDescent="0.25">
      <c r="A250" s="360">
        <v>18348317</v>
      </c>
      <c r="B250" s="361" t="s">
        <v>4856</v>
      </c>
      <c r="C250" s="361" t="s">
        <v>5224</v>
      </c>
      <c r="D250" s="1686">
        <v>0</v>
      </c>
      <c r="E250" s="361" t="s">
        <v>5663</v>
      </c>
      <c r="F250" s="435" t="s">
        <v>4620</v>
      </c>
      <c r="G250" s="430">
        <v>39623</v>
      </c>
      <c r="H250" s="1677">
        <f t="shared" si="6"/>
        <v>17</v>
      </c>
      <c r="I250" s="435">
        <v>1</v>
      </c>
    </row>
    <row r="251" spans="1:9" x14ac:dyDescent="0.25">
      <c r="A251" s="360"/>
      <c r="B251" s="361"/>
      <c r="C251" s="361"/>
      <c r="D251" s="465"/>
      <c r="E251" s="361"/>
      <c r="F251" s="435"/>
      <c r="G251" s="430"/>
      <c r="H251" s="435"/>
      <c r="I251" s="435"/>
    </row>
    <row r="252" spans="1:9" x14ac:dyDescent="0.25">
      <c r="A252" s="360">
        <v>18348721</v>
      </c>
      <c r="B252" s="361" t="s">
        <v>4857</v>
      </c>
      <c r="C252" s="361" t="s">
        <v>5250</v>
      </c>
      <c r="D252" s="465">
        <v>2</v>
      </c>
      <c r="E252" s="361" t="s">
        <v>5664</v>
      </c>
      <c r="F252" s="435" t="s">
        <v>4620</v>
      </c>
      <c r="G252" s="430">
        <v>41679</v>
      </c>
      <c r="H252" s="435">
        <f t="shared" si="6"/>
        <v>11</v>
      </c>
      <c r="I252" s="435"/>
    </row>
    <row r="253" spans="1:9" x14ac:dyDescent="0.25">
      <c r="A253" s="360">
        <v>18348721</v>
      </c>
      <c r="B253" s="361" t="s">
        <v>4857</v>
      </c>
      <c r="C253" s="371"/>
      <c r="D253" s="465"/>
      <c r="E253" s="361" t="s">
        <v>5958</v>
      </c>
      <c r="F253" s="442" t="s">
        <v>4621</v>
      </c>
      <c r="G253" s="430">
        <v>44105</v>
      </c>
      <c r="H253" s="435">
        <f t="shared" si="6"/>
        <v>4</v>
      </c>
      <c r="I253" s="442"/>
    </row>
    <row r="254" spans="1:9" x14ac:dyDescent="0.25">
      <c r="A254" s="370"/>
      <c r="B254" s="371"/>
      <c r="C254" s="371"/>
      <c r="D254" s="892"/>
      <c r="E254" s="371"/>
      <c r="F254" s="442"/>
      <c r="G254" s="431"/>
      <c r="H254" s="442"/>
      <c r="I254" s="442"/>
    </row>
    <row r="255" spans="1:9" x14ac:dyDescent="0.25">
      <c r="A255" s="360">
        <v>18349021</v>
      </c>
      <c r="B255" s="361" t="s">
        <v>4858</v>
      </c>
      <c r="C255" s="361" t="s">
        <v>5218</v>
      </c>
      <c r="D255" s="465">
        <v>1</v>
      </c>
      <c r="E255" s="361" t="s">
        <v>6027</v>
      </c>
      <c r="F255" s="435" t="s">
        <v>4621</v>
      </c>
      <c r="G255" s="430">
        <v>41408</v>
      </c>
      <c r="H255" s="435">
        <f t="shared" si="6"/>
        <v>12</v>
      </c>
      <c r="I255" s="435"/>
    </row>
    <row r="256" spans="1:9" x14ac:dyDescent="0.25">
      <c r="A256" s="1119"/>
      <c r="B256" s="1120"/>
      <c r="C256" s="1120"/>
      <c r="D256" s="1121"/>
      <c r="E256" s="1120"/>
      <c r="F256" s="1122"/>
      <c r="G256" s="1123"/>
      <c r="H256" s="1122"/>
      <c r="I256" s="1122"/>
    </row>
    <row r="257" spans="1:9" x14ac:dyDescent="0.25">
      <c r="A257" s="1119">
        <v>18349409</v>
      </c>
      <c r="B257" s="1120" t="s">
        <v>7608</v>
      </c>
      <c r="C257" s="361" t="s">
        <v>5218</v>
      </c>
      <c r="D257" s="1121">
        <v>1</v>
      </c>
      <c r="E257" s="1120" t="s">
        <v>7610</v>
      </c>
      <c r="F257" s="1122" t="s">
        <v>4620</v>
      </c>
      <c r="G257" s="1123">
        <v>43435</v>
      </c>
      <c r="H257" s="435">
        <f t="shared" si="6"/>
        <v>6</v>
      </c>
      <c r="I257" s="1122"/>
    </row>
    <row r="258" spans="1:9" x14ac:dyDescent="0.25">
      <c r="A258" s="1119"/>
      <c r="B258" s="1120"/>
      <c r="C258" s="1120"/>
      <c r="D258" s="1121"/>
      <c r="E258" s="1120"/>
      <c r="F258" s="1122"/>
      <c r="G258" s="1123"/>
      <c r="H258" s="1122"/>
      <c r="I258" s="1122"/>
    </row>
    <row r="259" spans="1:9" x14ac:dyDescent="0.25">
      <c r="A259" s="1119">
        <v>18349653</v>
      </c>
      <c r="B259" s="1120" t="s">
        <v>7234</v>
      </c>
      <c r="C259" s="361" t="s">
        <v>5218</v>
      </c>
      <c r="D259" s="1686">
        <v>1</v>
      </c>
      <c r="E259" s="361" t="s">
        <v>7236</v>
      </c>
      <c r="F259" s="435" t="s">
        <v>4621</v>
      </c>
      <c r="G259" s="430">
        <v>39945</v>
      </c>
      <c r="H259" s="1677">
        <f t="shared" ref="H259:H260" si="7">DATEDIF(G259,$G$6,"Y")</f>
        <v>16</v>
      </c>
      <c r="I259" s="1122">
        <v>1</v>
      </c>
    </row>
    <row r="260" spans="1:9" x14ac:dyDescent="0.25">
      <c r="A260" s="1119">
        <v>18349653</v>
      </c>
      <c r="B260" s="1120" t="s">
        <v>7234</v>
      </c>
      <c r="C260" s="1120"/>
      <c r="D260" s="1121"/>
      <c r="E260" s="361" t="s">
        <v>7237</v>
      </c>
      <c r="F260" s="435" t="s">
        <v>4620</v>
      </c>
      <c r="G260" s="430">
        <v>44147</v>
      </c>
      <c r="H260" s="435">
        <f t="shared" si="7"/>
        <v>4</v>
      </c>
      <c r="I260" s="1122"/>
    </row>
    <row r="261" spans="1:9" x14ac:dyDescent="0.25">
      <c r="A261" s="1119"/>
      <c r="B261" s="1120"/>
      <c r="C261" s="1120"/>
      <c r="D261" s="1121"/>
      <c r="E261" s="1120"/>
      <c r="F261" s="1122"/>
      <c r="G261" s="1123"/>
      <c r="H261" s="1122"/>
      <c r="I261" s="1122"/>
    </row>
    <row r="262" spans="1:9" x14ac:dyDescent="0.25">
      <c r="A262" s="1119">
        <v>18350884</v>
      </c>
      <c r="B262" s="1119" t="s">
        <v>6652</v>
      </c>
      <c r="C262" s="361" t="s">
        <v>5218</v>
      </c>
      <c r="D262" s="1686">
        <v>0</v>
      </c>
      <c r="E262" s="1120" t="s">
        <v>6653</v>
      </c>
      <c r="F262" s="1122" t="s">
        <v>4620</v>
      </c>
      <c r="G262" s="1123">
        <v>41089</v>
      </c>
      <c r="H262" s="1677">
        <f t="shared" si="6"/>
        <v>13</v>
      </c>
      <c r="I262" s="1122">
        <v>1</v>
      </c>
    </row>
    <row r="263" spans="1:9" x14ac:dyDescent="0.25">
      <c r="A263" s="360"/>
      <c r="B263" s="361"/>
      <c r="C263" s="361"/>
      <c r="D263" s="465"/>
      <c r="E263" s="361" t="s">
        <v>2904</v>
      </c>
      <c r="F263" s="435"/>
      <c r="G263" s="430"/>
      <c r="H263" s="435"/>
      <c r="I263" s="435"/>
    </row>
    <row r="264" spans="1:9" x14ac:dyDescent="0.25">
      <c r="A264" s="360">
        <v>18378985</v>
      </c>
      <c r="B264" s="361" t="s">
        <v>4860</v>
      </c>
      <c r="C264" s="361" t="s">
        <v>5230</v>
      </c>
      <c r="D264" s="465">
        <v>1</v>
      </c>
      <c r="E264" s="361" t="s">
        <v>5665</v>
      </c>
      <c r="F264" s="435" t="s">
        <v>4620</v>
      </c>
      <c r="G264" s="430">
        <v>41659</v>
      </c>
      <c r="H264" s="435">
        <f t="shared" si="6"/>
        <v>11</v>
      </c>
      <c r="I264" s="435"/>
    </row>
    <row r="265" spans="1:9" x14ac:dyDescent="0.25">
      <c r="A265" s="360"/>
      <c r="B265" s="361"/>
      <c r="C265" s="361"/>
      <c r="D265" s="465"/>
      <c r="E265" s="361" t="s">
        <v>2904</v>
      </c>
      <c r="F265" s="435"/>
      <c r="G265" s="430"/>
      <c r="H265" s="435"/>
      <c r="I265" s="435"/>
    </row>
    <row r="266" spans="1:9" x14ac:dyDescent="0.25">
      <c r="A266" s="360">
        <v>18458012</v>
      </c>
      <c r="B266" s="361" t="s">
        <v>4863</v>
      </c>
      <c r="C266" s="361" t="s">
        <v>5215</v>
      </c>
      <c r="D266" s="465">
        <v>2</v>
      </c>
      <c r="E266" s="361" t="s">
        <v>6031</v>
      </c>
      <c r="F266" s="435" t="s">
        <v>4620</v>
      </c>
      <c r="G266" s="430">
        <v>41842</v>
      </c>
      <c r="H266" s="435">
        <f t="shared" si="6"/>
        <v>11</v>
      </c>
      <c r="I266" s="435"/>
    </row>
    <row r="267" spans="1:9" x14ac:dyDescent="0.25">
      <c r="A267" s="360">
        <v>18458012</v>
      </c>
      <c r="B267" s="361" t="s">
        <v>4863</v>
      </c>
      <c r="C267" s="361"/>
      <c r="D267" s="465"/>
      <c r="E267" s="361" t="s">
        <v>6032</v>
      </c>
      <c r="F267" s="435" t="s">
        <v>4620</v>
      </c>
      <c r="G267" s="430">
        <v>41013</v>
      </c>
      <c r="H267" s="435">
        <f t="shared" si="6"/>
        <v>13</v>
      </c>
      <c r="I267" s="435"/>
    </row>
    <row r="268" spans="1:9" x14ac:dyDescent="0.25">
      <c r="A268" s="1119"/>
      <c r="B268" s="1120"/>
      <c r="C268" s="1120"/>
      <c r="D268" s="1121"/>
      <c r="E268" s="1120"/>
      <c r="F268" s="1122"/>
      <c r="G268" s="1123"/>
      <c r="H268" s="1122"/>
      <c r="I268" s="1122"/>
    </row>
    <row r="269" spans="1:9" x14ac:dyDescent="0.25">
      <c r="A269" s="360">
        <v>18801597</v>
      </c>
      <c r="B269" s="361" t="s">
        <v>4865</v>
      </c>
      <c r="C269" s="361"/>
      <c r="D269" s="465">
        <v>1</v>
      </c>
      <c r="E269" s="361" t="s">
        <v>5667</v>
      </c>
      <c r="F269" s="435" t="s">
        <v>4620</v>
      </c>
      <c r="G269" s="430">
        <v>41366</v>
      </c>
      <c r="H269" s="435">
        <f t="shared" si="6"/>
        <v>12</v>
      </c>
      <c r="I269" s="435"/>
    </row>
    <row r="270" spans="1:9" x14ac:dyDescent="0.25">
      <c r="A270" s="360"/>
      <c r="B270" s="361"/>
      <c r="C270" s="361"/>
      <c r="D270" s="465"/>
      <c r="E270" s="361"/>
      <c r="F270" s="435"/>
      <c r="G270" s="430"/>
      <c r="H270" s="435"/>
      <c r="I270" s="435"/>
    </row>
    <row r="271" spans="1:9" x14ac:dyDescent="0.25">
      <c r="A271" s="360">
        <v>18802405</v>
      </c>
      <c r="B271" s="361" t="s">
        <v>4866</v>
      </c>
      <c r="C271" s="361" t="s">
        <v>5218</v>
      </c>
      <c r="D271" s="465">
        <v>2</v>
      </c>
      <c r="E271" s="361" t="s">
        <v>5668</v>
      </c>
      <c r="F271" s="435" t="s">
        <v>4620</v>
      </c>
      <c r="G271" s="430">
        <v>42499</v>
      </c>
      <c r="H271" s="435">
        <f t="shared" si="6"/>
        <v>9</v>
      </c>
      <c r="I271" s="435"/>
    </row>
    <row r="272" spans="1:9" x14ac:dyDescent="0.25">
      <c r="A272" s="360">
        <v>18802405</v>
      </c>
      <c r="B272" s="361" t="s">
        <v>4866</v>
      </c>
      <c r="C272" s="916"/>
      <c r="D272" s="917"/>
      <c r="E272" s="361" t="s">
        <v>5966</v>
      </c>
      <c r="F272" s="435" t="s">
        <v>4621</v>
      </c>
      <c r="G272" s="430">
        <v>45238</v>
      </c>
      <c r="H272" s="435">
        <f t="shared" si="6"/>
        <v>1</v>
      </c>
      <c r="I272" s="1681"/>
    </row>
    <row r="273" spans="1:9" x14ac:dyDescent="0.25">
      <c r="A273" s="360"/>
      <c r="B273" s="361"/>
      <c r="C273" s="361"/>
      <c r="D273" s="465"/>
      <c r="E273" s="361"/>
      <c r="F273" s="435"/>
      <c r="G273" s="430"/>
      <c r="H273" s="435"/>
      <c r="I273" s="435"/>
    </row>
    <row r="274" spans="1:9" x14ac:dyDescent="0.25">
      <c r="A274" s="360">
        <v>19101647</v>
      </c>
      <c r="B274" s="361" t="s">
        <v>4867</v>
      </c>
      <c r="C274" s="361" t="s">
        <v>5218</v>
      </c>
      <c r="D274" s="1686">
        <v>1</v>
      </c>
      <c r="E274" s="361" t="s">
        <v>5669</v>
      </c>
      <c r="F274" s="435" t="s">
        <v>4620</v>
      </c>
      <c r="G274" s="430">
        <v>39633</v>
      </c>
      <c r="H274" s="1677">
        <f t="shared" si="6"/>
        <v>17</v>
      </c>
      <c r="I274" s="435">
        <v>1</v>
      </c>
    </row>
    <row r="275" spans="1:9" x14ac:dyDescent="0.25">
      <c r="A275" s="360">
        <v>19101647</v>
      </c>
      <c r="B275" s="361" t="s">
        <v>4867</v>
      </c>
      <c r="C275" s="361"/>
      <c r="D275" s="465"/>
      <c r="E275" s="361" t="s">
        <v>5670</v>
      </c>
      <c r="F275" s="435" t="s">
        <v>4620</v>
      </c>
      <c r="G275" s="430">
        <v>41541</v>
      </c>
      <c r="H275" s="435">
        <f t="shared" si="6"/>
        <v>12</v>
      </c>
      <c r="I275" s="435"/>
    </row>
    <row r="276" spans="1:9" x14ac:dyDescent="0.25">
      <c r="A276" s="360"/>
      <c r="B276" s="361"/>
      <c r="C276" s="361"/>
      <c r="D276" s="465"/>
      <c r="E276" s="361"/>
      <c r="F276" s="435"/>
      <c r="G276" s="430"/>
      <c r="H276" s="435"/>
      <c r="I276" s="435"/>
    </row>
    <row r="277" spans="1:9" x14ac:dyDescent="0.25">
      <c r="A277" s="360">
        <v>19103118</v>
      </c>
      <c r="B277" s="361" t="s">
        <v>4869</v>
      </c>
      <c r="C277" s="361" t="s">
        <v>5220</v>
      </c>
      <c r="D277" s="1686">
        <v>1</v>
      </c>
      <c r="E277" s="361" t="s">
        <v>6033</v>
      </c>
      <c r="F277" s="435" t="s">
        <v>4621</v>
      </c>
      <c r="G277" s="430">
        <v>39286</v>
      </c>
      <c r="H277" s="1677">
        <f t="shared" si="6"/>
        <v>18</v>
      </c>
      <c r="I277" s="435">
        <v>1</v>
      </c>
    </row>
    <row r="278" spans="1:9" x14ac:dyDescent="0.25">
      <c r="A278" s="360">
        <v>19103118</v>
      </c>
      <c r="B278" s="361" t="s">
        <v>4869</v>
      </c>
      <c r="C278" s="361"/>
      <c r="D278" s="465"/>
      <c r="E278" s="361" t="s">
        <v>6034</v>
      </c>
      <c r="F278" s="435" t="s">
        <v>4621</v>
      </c>
      <c r="G278" s="430">
        <v>44153</v>
      </c>
      <c r="H278" s="435">
        <f t="shared" si="6"/>
        <v>4</v>
      </c>
      <c r="I278" s="435"/>
    </row>
    <row r="279" spans="1:9" x14ac:dyDescent="0.25">
      <c r="A279" s="360"/>
      <c r="B279" s="361"/>
      <c r="C279" s="361"/>
      <c r="D279" s="465"/>
      <c r="E279" s="361"/>
      <c r="F279" s="435"/>
      <c r="G279" s="430"/>
      <c r="H279" s="435"/>
      <c r="I279" s="435"/>
    </row>
    <row r="280" spans="1:9" x14ac:dyDescent="0.25">
      <c r="A280" s="360">
        <v>19103604</v>
      </c>
      <c r="B280" s="361" t="s">
        <v>4870</v>
      </c>
      <c r="C280" s="361" t="s">
        <v>5215</v>
      </c>
      <c r="D280" s="465">
        <v>2</v>
      </c>
      <c r="E280" s="361" t="s">
        <v>5671</v>
      </c>
      <c r="F280" s="435" t="s">
        <v>4621</v>
      </c>
      <c r="G280" s="430">
        <v>44130</v>
      </c>
      <c r="H280" s="435">
        <f t="shared" si="6"/>
        <v>4</v>
      </c>
      <c r="I280" s="435"/>
    </row>
    <row r="281" spans="1:9" x14ac:dyDescent="0.25">
      <c r="A281" s="360">
        <v>19103604</v>
      </c>
      <c r="B281" s="361" t="s">
        <v>4870</v>
      </c>
      <c r="C281" s="361"/>
      <c r="D281" s="465"/>
      <c r="E281" s="361" t="s">
        <v>5672</v>
      </c>
      <c r="F281" s="435" t="s">
        <v>4620</v>
      </c>
      <c r="G281" s="430">
        <v>42129</v>
      </c>
      <c r="H281" s="435">
        <f t="shared" si="6"/>
        <v>10</v>
      </c>
      <c r="I281" s="435"/>
    </row>
    <row r="282" spans="1:9" x14ac:dyDescent="0.25">
      <c r="A282" s="360"/>
      <c r="B282" s="361"/>
      <c r="C282" s="361"/>
      <c r="D282" s="465"/>
      <c r="E282" s="361"/>
      <c r="F282" s="435"/>
      <c r="G282" s="430"/>
      <c r="H282" s="435"/>
      <c r="I282" s="435"/>
    </row>
    <row r="283" spans="1:9" x14ac:dyDescent="0.25">
      <c r="A283" s="360">
        <v>19103823</v>
      </c>
      <c r="B283" s="361" t="s">
        <v>4871</v>
      </c>
      <c r="C283" s="361"/>
      <c r="D283" s="465">
        <v>1</v>
      </c>
      <c r="E283" s="361" t="s">
        <v>6035</v>
      </c>
      <c r="F283" s="435" t="s">
        <v>4620</v>
      </c>
      <c r="G283" s="430">
        <v>44701</v>
      </c>
      <c r="H283" s="435">
        <f t="shared" si="6"/>
        <v>3</v>
      </c>
      <c r="I283" s="435"/>
    </row>
    <row r="284" spans="1:9" x14ac:dyDescent="0.25">
      <c r="A284" s="360"/>
      <c r="B284" s="361"/>
      <c r="C284" s="361"/>
      <c r="D284" s="465"/>
      <c r="E284" s="361"/>
      <c r="F284" s="435"/>
      <c r="G284" s="430"/>
      <c r="H284" s="435"/>
      <c r="I284" s="435"/>
    </row>
    <row r="285" spans="1:9" x14ac:dyDescent="0.25">
      <c r="A285" s="360">
        <v>19286780</v>
      </c>
      <c r="B285" s="361" t="s">
        <v>4874</v>
      </c>
      <c r="C285" s="361"/>
      <c r="D285" s="1686">
        <v>1</v>
      </c>
      <c r="E285" s="361" t="s">
        <v>5675</v>
      </c>
      <c r="F285" s="435" t="s">
        <v>4620</v>
      </c>
      <c r="G285" s="430">
        <v>40681</v>
      </c>
      <c r="H285" s="1677">
        <f t="shared" ref="H285:H347" si="8">DATEDIF(G285,$G$6,"Y")</f>
        <v>14</v>
      </c>
      <c r="I285" s="435">
        <v>1</v>
      </c>
    </row>
    <row r="286" spans="1:9" x14ac:dyDescent="0.25">
      <c r="A286" s="360">
        <v>19286780</v>
      </c>
      <c r="B286" s="361" t="s">
        <v>4874</v>
      </c>
      <c r="C286" s="361"/>
      <c r="D286" s="465"/>
      <c r="E286" s="361" t="s">
        <v>5676</v>
      </c>
      <c r="F286" s="435" t="s">
        <v>4620</v>
      </c>
      <c r="G286" s="430">
        <v>42164</v>
      </c>
      <c r="H286" s="435">
        <f t="shared" si="8"/>
        <v>10</v>
      </c>
      <c r="I286" s="435"/>
    </row>
    <row r="287" spans="1:9" x14ac:dyDescent="0.25">
      <c r="A287" s="360"/>
      <c r="B287" s="361"/>
      <c r="C287" s="361"/>
      <c r="D287" s="465"/>
      <c r="E287" s="361"/>
      <c r="F287" s="435"/>
      <c r="G287" s="430"/>
      <c r="H287" s="435"/>
      <c r="I287" s="435"/>
    </row>
    <row r="288" spans="1:9" x14ac:dyDescent="0.25">
      <c r="A288" s="360">
        <v>19287100</v>
      </c>
      <c r="B288" s="361" t="s">
        <v>4875</v>
      </c>
      <c r="C288" s="361" t="s">
        <v>5220</v>
      </c>
      <c r="D288" s="1686">
        <v>0</v>
      </c>
      <c r="E288" s="361" t="s">
        <v>6036</v>
      </c>
      <c r="F288" s="435" t="s">
        <v>4620</v>
      </c>
      <c r="G288" s="430">
        <v>39604</v>
      </c>
      <c r="H288" s="1677">
        <f t="shared" si="8"/>
        <v>17</v>
      </c>
      <c r="I288" s="435">
        <v>2</v>
      </c>
    </row>
    <row r="289" spans="1:9" x14ac:dyDescent="0.25">
      <c r="A289" s="360">
        <v>19287100</v>
      </c>
      <c r="B289" s="361" t="s">
        <v>4875</v>
      </c>
      <c r="C289" s="361"/>
      <c r="D289" s="465"/>
      <c r="E289" s="361" t="s">
        <v>6037</v>
      </c>
      <c r="F289" s="435" t="s">
        <v>4621</v>
      </c>
      <c r="G289" s="430">
        <v>40431</v>
      </c>
      <c r="H289" s="1677">
        <f t="shared" si="8"/>
        <v>15</v>
      </c>
      <c r="I289" s="435"/>
    </row>
    <row r="290" spans="1:9" x14ac:dyDescent="0.25">
      <c r="A290" s="1119"/>
      <c r="B290" s="1120"/>
      <c r="C290" s="1120"/>
      <c r="D290" s="1121"/>
      <c r="E290" s="1120"/>
      <c r="F290" s="1122"/>
      <c r="G290" s="1123"/>
      <c r="H290" s="1122"/>
      <c r="I290" s="1122"/>
    </row>
    <row r="291" spans="1:9" x14ac:dyDescent="0.25">
      <c r="A291" s="1119">
        <v>19372791</v>
      </c>
      <c r="B291" s="1120" t="s">
        <v>7247</v>
      </c>
      <c r="C291" s="361" t="s">
        <v>5218</v>
      </c>
      <c r="D291" s="1121">
        <v>1</v>
      </c>
      <c r="E291" s="1120" t="s">
        <v>7248</v>
      </c>
      <c r="F291" s="1122" t="s">
        <v>4621</v>
      </c>
      <c r="G291" s="1123">
        <v>42761</v>
      </c>
      <c r="H291" s="435">
        <f t="shared" si="8"/>
        <v>8</v>
      </c>
      <c r="I291" s="1122"/>
    </row>
    <row r="292" spans="1:9" x14ac:dyDescent="0.25">
      <c r="A292" s="360"/>
      <c r="B292" s="361"/>
      <c r="C292" s="361"/>
      <c r="D292" s="465"/>
      <c r="E292" s="361" t="s">
        <v>2904</v>
      </c>
      <c r="F292" s="435"/>
      <c r="G292" s="430"/>
      <c r="H292" s="435"/>
      <c r="I292" s="435"/>
    </row>
    <row r="293" spans="1:9" x14ac:dyDescent="0.25">
      <c r="A293" s="360">
        <v>19610534</v>
      </c>
      <c r="B293" s="361" t="s">
        <v>4876</v>
      </c>
      <c r="C293" s="361" t="s">
        <v>5218</v>
      </c>
      <c r="D293" s="465">
        <v>1</v>
      </c>
      <c r="E293" s="361" t="s">
        <v>6038</v>
      </c>
      <c r="F293" s="435" t="s">
        <v>4621</v>
      </c>
      <c r="G293" s="430">
        <v>43351</v>
      </c>
      <c r="H293" s="435">
        <f t="shared" si="8"/>
        <v>7</v>
      </c>
      <c r="I293" s="435"/>
    </row>
    <row r="294" spans="1:9" x14ac:dyDescent="0.25">
      <c r="A294" s="360"/>
      <c r="B294" s="361"/>
      <c r="C294" s="361"/>
      <c r="D294" s="465"/>
      <c r="E294" s="361" t="s">
        <v>2904</v>
      </c>
      <c r="F294" s="435"/>
      <c r="G294" s="430"/>
      <c r="H294" s="435"/>
      <c r="I294" s="435"/>
    </row>
    <row r="295" spans="1:9" x14ac:dyDescent="0.25">
      <c r="A295" s="360">
        <v>19610565</v>
      </c>
      <c r="B295" s="361" t="s">
        <v>4877</v>
      </c>
      <c r="C295" s="361" t="s">
        <v>5218</v>
      </c>
      <c r="D295" s="465">
        <v>2</v>
      </c>
      <c r="E295" s="361" t="s">
        <v>6039</v>
      </c>
      <c r="F295" s="435" t="s">
        <v>4621</v>
      </c>
      <c r="G295" s="430">
        <v>44441</v>
      </c>
      <c r="H295" s="435">
        <f t="shared" si="8"/>
        <v>4</v>
      </c>
      <c r="I295" s="435"/>
    </row>
    <row r="296" spans="1:9" x14ac:dyDescent="0.25">
      <c r="A296" s="360">
        <v>19610565</v>
      </c>
      <c r="B296" s="361" t="s">
        <v>4877</v>
      </c>
      <c r="C296" s="361"/>
      <c r="D296" s="465"/>
      <c r="E296" s="361" t="s">
        <v>6040</v>
      </c>
      <c r="F296" s="435" t="s">
        <v>4620</v>
      </c>
      <c r="G296" s="430">
        <v>43215</v>
      </c>
      <c r="H296" s="435">
        <f t="shared" si="8"/>
        <v>7</v>
      </c>
      <c r="I296" s="435"/>
    </row>
    <row r="297" spans="1:9" x14ac:dyDescent="0.25">
      <c r="A297" s="360"/>
      <c r="B297" s="361"/>
      <c r="C297" s="361"/>
      <c r="D297" s="465"/>
      <c r="E297" s="361"/>
      <c r="F297" s="435"/>
      <c r="G297" s="430"/>
      <c r="H297" s="435"/>
      <c r="I297" s="435"/>
    </row>
    <row r="298" spans="1:9" x14ac:dyDescent="0.25">
      <c r="A298" s="360">
        <v>19643405</v>
      </c>
      <c r="B298" s="361" t="s">
        <v>4879</v>
      </c>
      <c r="C298" s="361" t="s">
        <v>5217</v>
      </c>
      <c r="D298" s="1686">
        <v>0</v>
      </c>
      <c r="E298" s="361" t="s">
        <v>5677</v>
      </c>
      <c r="F298" s="435" t="s">
        <v>4620</v>
      </c>
      <c r="G298" s="430">
        <v>40765</v>
      </c>
      <c r="H298" s="1677">
        <f t="shared" si="8"/>
        <v>14</v>
      </c>
      <c r="I298" s="435">
        <v>1</v>
      </c>
    </row>
    <row r="299" spans="1:9" x14ac:dyDescent="0.25">
      <c r="A299" s="1119"/>
      <c r="B299" s="1120"/>
      <c r="C299" s="1120"/>
      <c r="D299" s="1121"/>
      <c r="E299" s="1120"/>
      <c r="F299" s="1122"/>
      <c r="G299" s="1123"/>
      <c r="H299" s="1122"/>
      <c r="I299" s="1122"/>
    </row>
    <row r="300" spans="1:9" x14ac:dyDescent="0.25">
      <c r="A300" s="1119">
        <v>19643806</v>
      </c>
      <c r="B300" s="1120" t="s">
        <v>6670</v>
      </c>
      <c r="C300" s="361" t="s">
        <v>5215</v>
      </c>
      <c r="D300" s="1121">
        <v>2</v>
      </c>
      <c r="E300" s="1120" t="s">
        <v>6672</v>
      </c>
      <c r="F300" s="1122" t="s">
        <v>4621</v>
      </c>
      <c r="G300" s="1123">
        <v>43011</v>
      </c>
      <c r="H300" s="435">
        <f t="shared" si="8"/>
        <v>7</v>
      </c>
      <c r="I300" s="1122"/>
    </row>
    <row r="301" spans="1:9" x14ac:dyDescent="0.25">
      <c r="A301" s="1119">
        <v>19643806</v>
      </c>
      <c r="B301" s="1120" t="s">
        <v>6670</v>
      </c>
      <c r="C301" s="361"/>
      <c r="D301" s="1121"/>
      <c r="E301" s="1120" t="s">
        <v>6673</v>
      </c>
      <c r="F301" s="1122" t="s">
        <v>4621</v>
      </c>
      <c r="G301" s="1123">
        <v>44043</v>
      </c>
      <c r="H301" s="435">
        <f t="shared" si="8"/>
        <v>5</v>
      </c>
      <c r="I301" s="1122"/>
    </row>
    <row r="302" spans="1:9" x14ac:dyDescent="0.25">
      <c r="A302" s="360"/>
      <c r="B302" s="361"/>
      <c r="C302" s="361"/>
      <c r="D302" s="465"/>
      <c r="E302" s="361"/>
      <c r="F302" s="435"/>
      <c r="G302" s="430"/>
      <c r="H302" s="435"/>
      <c r="I302" s="435"/>
    </row>
    <row r="303" spans="1:9" x14ac:dyDescent="0.25">
      <c r="A303" s="360">
        <v>19644743</v>
      </c>
      <c r="B303" s="361" t="s">
        <v>4880</v>
      </c>
      <c r="C303" s="361" t="s">
        <v>5230</v>
      </c>
      <c r="D303" s="1686">
        <v>1</v>
      </c>
      <c r="E303" s="361" t="s">
        <v>5678</v>
      </c>
      <c r="F303" s="435" t="s">
        <v>4620</v>
      </c>
      <c r="G303" s="430">
        <v>41584</v>
      </c>
      <c r="H303" s="435">
        <f t="shared" si="8"/>
        <v>11</v>
      </c>
      <c r="I303" s="435">
        <v>1</v>
      </c>
    </row>
    <row r="304" spans="1:9" x14ac:dyDescent="0.25">
      <c r="A304" s="360">
        <v>19644743</v>
      </c>
      <c r="B304" s="361" t="s">
        <v>4880</v>
      </c>
      <c r="C304" s="361"/>
      <c r="D304" s="465"/>
      <c r="E304" s="361" t="s">
        <v>5679</v>
      </c>
      <c r="F304" s="435" t="s">
        <v>4620</v>
      </c>
      <c r="G304" s="430">
        <v>40683</v>
      </c>
      <c r="H304" s="1677">
        <f t="shared" si="8"/>
        <v>14</v>
      </c>
      <c r="I304" s="435"/>
    </row>
    <row r="305" spans="1:9" x14ac:dyDescent="0.25">
      <c r="A305" s="360"/>
      <c r="B305" s="361"/>
      <c r="C305" s="361"/>
      <c r="D305" s="465"/>
      <c r="E305" s="361"/>
      <c r="F305" s="435"/>
      <c r="G305" s="430"/>
      <c r="H305" s="435"/>
      <c r="I305" s="435"/>
    </row>
    <row r="306" spans="1:9" x14ac:dyDescent="0.25">
      <c r="A306" s="360">
        <v>19644756</v>
      </c>
      <c r="B306" s="361" t="s">
        <v>4881</v>
      </c>
      <c r="C306" s="361"/>
      <c r="D306" s="465">
        <v>1</v>
      </c>
      <c r="E306" s="361" t="s">
        <v>5681</v>
      </c>
      <c r="F306" s="435" t="s">
        <v>4621</v>
      </c>
      <c r="G306" s="430">
        <v>41255</v>
      </c>
      <c r="H306" s="435">
        <f t="shared" si="8"/>
        <v>12</v>
      </c>
      <c r="I306" s="435"/>
    </row>
    <row r="307" spans="1:9" x14ac:dyDescent="0.25">
      <c r="A307" s="360"/>
      <c r="B307" s="361"/>
      <c r="C307" s="361"/>
      <c r="D307" s="465"/>
      <c r="E307" s="361"/>
      <c r="F307" s="435"/>
      <c r="G307" s="430"/>
      <c r="H307" s="435"/>
      <c r="I307" s="435"/>
    </row>
    <row r="308" spans="1:9" x14ac:dyDescent="0.25">
      <c r="A308" s="360">
        <v>19794217</v>
      </c>
      <c r="B308" s="361" t="s">
        <v>4882</v>
      </c>
      <c r="C308" s="361" t="s">
        <v>5218</v>
      </c>
      <c r="D308" s="465">
        <v>1</v>
      </c>
      <c r="E308" s="361" t="s">
        <v>6041</v>
      </c>
      <c r="F308" s="435" t="s">
        <v>4620</v>
      </c>
      <c r="G308" s="430">
        <v>42502</v>
      </c>
      <c r="H308" s="435">
        <f t="shared" si="8"/>
        <v>9</v>
      </c>
      <c r="I308" s="435"/>
    </row>
    <row r="309" spans="1:9" x14ac:dyDescent="0.25">
      <c r="A309" s="360"/>
      <c r="B309" s="361"/>
      <c r="C309" s="361"/>
      <c r="D309" s="465"/>
      <c r="E309" s="361" t="s">
        <v>2904</v>
      </c>
      <c r="F309" s="435"/>
      <c r="G309" s="430"/>
      <c r="H309" s="435"/>
      <c r="I309" s="435"/>
    </row>
    <row r="310" spans="1:9" s="593" customFormat="1" x14ac:dyDescent="0.25">
      <c r="A310" s="1471">
        <v>20038162</v>
      </c>
      <c r="B310" s="1472" t="s">
        <v>6796</v>
      </c>
      <c r="C310" s="1472" t="s">
        <v>5218</v>
      </c>
      <c r="D310" s="1460">
        <v>2</v>
      </c>
      <c r="E310" s="1472" t="s">
        <v>6797</v>
      </c>
      <c r="F310" s="1473" t="s">
        <v>4620</v>
      </c>
      <c r="G310" s="1474">
        <v>42389</v>
      </c>
      <c r="H310" s="1473">
        <f t="shared" ref="H310:H311" si="9">DATEDIF(G310,$G$6,"Y")</f>
        <v>9</v>
      </c>
      <c r="I310" s="1473"/>
    </row>
    <row r="311" spans="1:9" s="593" customFormat="1" x14ac:dyDescent="0.25">
      <c r="A311" s="1471">
        <v>20038162</v>
      </c>
      <c r="B311" s="1472" t="s">
        <v>6796</v>
      </c>
      <c r="C311" s="1127"/>
      <c r="D311" s="1475"/>
      <c r="E311" s="1472" t="s">
        <v>7226</v>
      </c>
      <c r="F311" s="1473" t="s">
        <v>4621</v>
      </c>
      <c r="G311" s="1474">
        <v>44649</v>
      </c>
      <c r="H311" s="1473">
        <f t="shared" si="9"/>
        <v>3</v>
      </c>
      <c r="I311" s="1129"/>
    </row>
    <row r="312" spans="1:9" x14ac:dyDescent="0.25">
      <c r="A312" s="1119"/>
      <c r="B312" s="1120"/>
      <c r="C312" s="1120"/>
      <c r="D312" s="1121"/>
      <c r="E312" s="1120"/>
      <c r="F312" s="1122"/>
      <c r="G312" s="1123"/>
      <c r="H312" s="1122"/>
      <c r="I312" s="1122"/>
    </row>
    <row r="313" spans="1:9" x14ac:dyDescent="0.25">
      <c r="A313" s="360">
        <v>20401711</v>
      </c>
      <c r="B313" s="361" t="s">
        <v>4887</v>
      </c>
      <c r="C313" s="361" t="s">
        <v>5217</v>
      </c>
      <c r="D313" s="465">
        <v>2</v>
      </c>
      <c r="E313" s="361" t="s">
        <v>6042</v>
      </c>
      <c r="F313" s="435" t="s">
        <v>4621</v>
      </c>
      <c r="G313" s="430">
        <v>41431</v>
      </c>
      <c r="H313" s="435">
        <f t="shared" si="8"/>
        <v>12</v>
      </c>
      <c r="I313" s="435"/>
    </row>
    <row r="314" spans="1:9" x14ac:dyDescent="0.25">
      <c r="A314" s="360">
        <v>20401711</v>
      </c>
      <c r="B314" s="361" t="s">
        <v>4887</v>
      </c>
      <c r="C314" s="371"/>
      <c r="D314" s="892"/>
      <c r="E314" s="371" t="s">
        <v>6043</v>
      </c>
      <c r="F314" s="435" t="s">
        <v>4621</v>
      </c>
      <c r="G314" s="431">
        <v>45083</v>
      </c>
      <c r="H314" s="435">
        <f t="shared" si="8"/>
        <v>2</v>
      </c>
      <c r="I314" s="442"/>
    </row>
    <row r="315" spans="1:9" x14ac:dyDescent="0.25">
      <c r="A315" s="1119"/>
      <c r="B315" s="1120"/>
      <c r="C315" s="1120"/>
      <c r="D315" s="1121"/>
      <c r="E315" s="1120"/>
      <c r="F315" s="1122"/>
      <c r="G315" s="1123"/>
      <c r="H315" s="1122"/>
      <c r="I315" s="1122"/>
    </row>
    <row r="316" spans="1:9" x14ac:dyDescent="0.25">
      <c r="A316" s="1119">
        <v>20428039</v>
      </c>
      <c r="B316" s="1120" t="s">
        <v>6759</v>
      </c>
      <c r="C316" s="361" t="s">
        <v>5218</v>
      </c>
      <c r="D316" s="1121">
        <v>2</v>
      </c>
      <c r="E316" s="1120" t="s">
        <v>6762</v>
      </c>
      <c r="F316" s="1122" t="s">
        <v>4620</v>
      </c>
      <c r="G316" s="1123">
        <v>41316</v>
      </c>
      <c r="H316" s="435">
        <f t="shared" si="8"/>
        <v>12</v>
      </c>
      <c r="I316" s="1122"/>
    </row>
    <row r="317" spans="1:9" x14ac:dyDescent="0.25">
      <c r="A317" s="1119">
        <v>20428039</v>
      </c>
      <c r="B317" s="1120" t="s">
        <v>6759</v>
      </c>
      <c r="C317" s="1120"/>
      <c r="D317" s="1121"/>
      <c r="E317" s="1120" t="s">
        <v>6763</v>
      </c>
      <c r="F317" s="1122" t="s">
        <v>4621</v>
      </c>
      <c r="G317" s="1123">
        <v>43923</v>
      </c>
      <c r="H317" s="435">
        <f t="shared" si="8"/>
        <v>5</v>
      </c>
      <c r="I317" s="1122"/>
    </row>
    <row r="318" spans="1:9" x14ac:dyDescent="0.25">
      <c r="A318" s="360"/>
      <c r="B318" s="361"/>
      <c r="C318" s="361"/>
      <c r="D318" s="465"/>
      <c r="E318" s="361"/>
      <c r="F318" s="435"/>
      <c r="G318" s="430"/>
      <c r="H318" s="435"/>
      <c r="I318" s="435"/>
    </row>
    <row r="319" spans="1:9" x14ac:dyDescent="0.25">
      <c r="A319" s="360">
        <v>20603227</v>
      </c>
      <c r="B319" s="361" t="s">
        <v>4888</v>
      </c>
      <c r="C319" s="361" t="s">
        <v>5220</v>
      </c>
      <c r="D319" s="1686">
        <v>1</v>
      </c>
      <c r="E319" s="361" t="s">
        <v>5682</v>
      </c>
      <c r="F319" s="435" t="s">
        <v>4621</v>
      </c>
      <c r="G319" s="430">
        <v>41888</v>
      </c>
      <c r="H319" s="435">
        <f t="shared" si="8"/>
        <v>11</v>
      </c>
      <c r="I319" s="435">
        <v>1</v>
      </c>
    </row>
    <row r="320" spans="1:9" x14ac:dyDescent="0.25">
      <c r="A320" s="360">
        <v>20603227</v>
      </c>
      <c r="B320" s="361" t="s">
        <v>4888</v>
      </c>
      <c r="C320" s="361"/>
      <c r="D320" s="465"/>
      <c r="E320" s="361" t="s">
        <v>5683</v>
      </c>
      <c r="F320" s="435" t="s">
        <v>4620</v>
      </c>
      <c r="G320" s="430">
        <v>41109</v>
      </c>
      <c r="H320" s="1677">
        <f t="shared" si="8"/>
        <v>13</v>
      </c>
      <c r="I320" s="435"/>
    </row>
    <row r="321" spans="1:9" x14ac:dyDescent="0.25">
      <c r="A321" s="360"/>
      <c r="B321" s="361"/>
      <c r="C321" s="361"/>
      <c r="D321" s="465"/>
      <c r="E321" s="361"/>
      <c r="F321" s="435"/>
      <c r="G321" s="430"/>
      <c r="H321" s="435"/>
      <c r="I321" s="435"/>
    </row>
    <row r="322" spans="1:9" x14ac:dyDescent="0.25">
      <c r="A322" s="985">
        <v>20655363</v>
      </c>
      <c r="B322" s="986" t="s">
        <v>5967</v>
      </c>
      <c r="C322" s="986" t="s">
        <v>5218</v>
      </c>
      <c r="D322" s="1686">
        <v>1</v>
      </c>
      <c r="E322" s="361" t="s">
        <v>5976</v>
      </c>
      <c r="F322" s="435" t="s">
        <v>4620</v>
      </c>
      <c r="G322" s="430">
        <v>40191</v>
      </c>
      <c r="H322" s="1677">
        <f t="shared" ref="H322:H323" si="10">DATEDIF(G322,$G$6,"Y")</f>
        <v>15</v>
      </c>
      <c r="I322" s="988">
        <v>1</v>
      </c>
    </row>
    <row r="323" spans="1:9" x14ac:dyDescent="0.25">
      <c r="A323" s="985">
        <v>20655363</v>
      </c>
      <c r="B323" s="986" t="s">
        <v>5967</v>
      </c>
      <c r="C323" s="986"/>
      <c r="D323" s="987"/>
      <c r="E323" s="361" t="s">
        <v>5977</v>
      </c>
      <c r="F323" s="435" t="s">
        <v>4620</v>
      </c>
      <c r="G323" s="430">
        <v>41583</v>
      </c>
      <c r="H323" s="435">
        <f t="shared" si="10"/>
        <v>11</v>
      </c>
      <c r="I323" s="988"/>
    </row>
    <row r="324" spans="1:9" x14ac:dyDescent="0.25">
      <c r="A324" s="985"/>
      <c r="B324" s="986"/>
      <c r="C324" s="986"/>
      <c r="D324" s="987"/>
      <c r="E324" s="986"/>
      <c r="F324" s="988"/>
      <c r="G324" s="989"/>
      <c r="H324" s="988"/>
      <c r="I324" s="988"/>
    </row>
    <row r="325" spans="1:9" x14ac:dyDescent="0.25">
      <c r="A325" s="360">
        <v>20707490</v>
      </c>
      <c r="B325" s="361" t="s">
        <v>4890</v>
      </c>
      <c r="C325" s="361" t="s">
        <v>5224</v>
      </c>
      <c r="D325" s="1686">
        <v>1</v>
      </c>
      <c r="E325" s="361" t="s">
        <v>6750</v>
      </c>
      <c r="F325" s="435" t="s">
        <v>4620</v>
      </c>
      <c r="G325" s="430">
        <v>40616</v>
      </c>
      <c r="H325" s="1677">
        <f t="shared" si="8"/>
        <v>14</v>
      </c>
      <c r="I325" s="435">
        <v>1</v>
      </c>
    </row>
    <row r="326" spans="1:9" x14ac:dyDescent="0.25">
      <c r="A326" s="360">
        <v>20707490</v>
      </c>
      <c r="B326" s="361" t="s">
        <v>4890</v>
      </c>
      <c r="C326" s="1120"/>
      <c r="D326" s="1121"/>
      <c r="E326" s="1120" t="s">
        <v>6751</v>
      </c>
      <c r="F326" s="1122" t="s">
        <v>4620</v>
      </c>
      <c r="G326" s="1123">
        <v>45426</v>
      </c>
      <c r="H326" s="435">
        <f t="shared" si="8"/>
        <v>1</v>
      </c>
      <c r="I326" s="1122"/>
    </row>
    <row r="327" spans="1:9" x14ac:dyDescent="0.25">
      <c r="A327" s="360"/>
      <c r="B327" s="361"/>
      <c r="C327" s="361"/>
      <c r="D327" s="465"/>
      <c r="E327" s="361"/>
      <c r="F327" s="435"/>
      <c r="G327" s="430"/>
      <c r="H327" s="435"/>
      <c r="I327" s="435"/>
    </row>
    <row r="328" spans="1:9" x14ac:dyDescent="0.25">
      <c r="A328" s="360">
        <v>20789286</v>
      </c>
      <c r="B328" s="361" t="s">
        <v>4891</v>
      </c>
      <c r="C328" s="361" t="s">
        <v>5219</v>
      </c>
      <c r="D328" s="465">
        <v>1</v>
      </c>
      <c r="E328" s="361" t="s">
        <v>6044</v>
      </c>
      <c r="F328" s="435" t="s">
        <v>4621</v>
      </c>
      <c r="G328" s="430">
        <v>43527</v>
      </c>
      <c r="H328" s="435">
        <f t="shared" si="8"/>
        <v>6</v>
      </c>
      <c r="I328" s="435"/>
    </row>
    <row r="329" spans="1:9" x14ac:dyDescent="0.25">
      <c r="A329" s="360"/>
      <c r="B329" s="361"/>
      <c r="C329" s="361"/>
      <c r="D329" s="465"/>
      <c r="E329" s="361" t="s">
        <v>2904</v>
      </c>
      <c r="F329" s="435"/>
      <c r="G329" s="430"/>
      <c r="H329" s="435"/>
      <c r="I329" s="435"/>
    </row>
    <row r="330" spans="1:9" x14ac:dyDescent="0.25">
      <c r="A330" s="360">
        <v>22622493</v>
      </c>
      <c r="B330" s="361" t="s">
        <v>4899</v>
      </c>
      <c r="C330" s="361" t="s">
        <v>5218</v>
      </c>
      <c r="D330" s="465">
        <v>2</v>
      </c>
      <c r="E330" s="361" t="s">
        <v>5684</v>
      </c>
      <c r="F330" s="435" t="s">
        <v>4620</v>
      </c>
      <c r="G330" s="430">
        <v>43198</v>
      </c>
      <c r="H330" s="435">
        <f t="shared" si="8"/>
        <v>7</v>
      </c>
      <c r="I330" s="435"/>
    </row>
    <row r="331" spans="1:9" x14ac:dyDescent="0.25">
      <c r="A331" s="360">
        <v>22622493</v>
      </c>
      <c r="B331" s="361" t="s">
        <v>4899</v>
      </c>
      <c r="C331" s="361"/>
      <c r="D331" s="465"/>
      <c r="E331" s="361" t="s">
        <v>5685</v>
      </c>
      <c r="F331" s="435" t="s">
        <v>4620</v>
      </c>
      <c r="G331" s="430">
        <v>41153</v>
      </c>
      <c r="H331" s="435">
        <f t="shared" si="8"/>
        <v>13</v>
      </c>
      <c r="I331" s="435"/>
    </row>
    <row r="332" spans="1:9" x14ac:dyDescent="0.25">
      <c r="A332" s="360"/>
      <c r="B332" s="361"/>
      <c r="C332" s="361"/>
      <c r="D332" s="465"/>
      <c r="E332" s="361"/>
      <c r="F332" s="435"/>
      <c r="G332" s="430"/>
      <c r="H332" s="435"/>
      <c r="I332" s="435"/>
    </row>
    <row r="333" spans="1:9" x14ac:dyDescent="0.25">
      <c r="A333" s="360">
        <v>23775734</v>
      </c>
      <c r="B333" s="361" t="s">
        <v>7238</v>
      </c>
      <c r="C333" s="361" t="s">
        <v>5218</v>
      </c>
      <c r="D333" s="465">
        <v>1</v>
      </c>
      <c r="E333" s="361" t="s">
        <v>7240</v>
      </c>
      <c r="F333" s="435" t="s">
        <v>4621</v>
      </c>
      <c r="G333" s="430">
        <v>45246</v>
      </c>
      <c r="H333" s="435">
        <f t="shared" ref="H333" si="11">DATEDIF(G333,$G$6,"Y")</f>
        <v>1</v>
      </c>
      <c r="I333" s="435"/>
    </row>
    <row r="334" spans="1:9" x14ac:dyDescent="0.25">
      <c r="A334" s="1119"/>
      <c r="B334" s="1120"/>
      <c r="C334" s="1120"/>
      <c r="D334" s="1121"/>
      <c r="E334" s="1120"/>
      <c r="F334" s="1122"/>
      <c r="G334" s="1123"/>
      <c r="H334" s="1122"/>
      <c r="I334" s="1122"/>
    </row>
    <row r="335" spans="1:9" x14ac:dyDescent="0.25">
      <c r="A335" s="360">
        <v>24135378</v>
      </c>
      <c r="B335" s="361" t="s">
        <v>4903</v>
      </c>
      <c r="C335" s="361" t="s">
        <v>5219</v>
      </c>
      <c r="D335" s="465">
        <v>2</v>
      </c>
      <c r="E335" s="361" t="s">
        <v>5686</v>
      </c>
      <c r="F335" s="435" t="s">
        <v>4620</v>
      </c>
      <c r="G335" s="430">
        <v>41603</v>
      </c>
      <c r="H335" s="435">
        <f t="shared" si="8"/>
        <v>11</v>
      </c>
      <c r="I335" s="435"/>
    </row>
    <row r="336" spans="1:9" x14ac:dyDescent="0.25">
      <c r="A336" s="360">
        <v>24135378</v>
      </c>
      <c r="B336" s="361" t="s">
        <v>4903</v>
      </c>
      <c r="C336" s="361"/>
      <c r="D336" s="465"/>
      <c r="E336" s="361" t="s">
        <v>5687</v>
      </c>
      <c r="F336" s="435" t="s">
        <v>4620</v>
      </c>
      <c r="G336" s="430">
        <v>43081</v>
      </c>
      <c r="H336" s="435">
        <f t="shared" si="8"/>
        <v>7</v>
      </c>
      <c r="I336" s="435"/>
    </row>
    <row r="337" spans="1:9" x14ac:dyDescent="0.25">
      <c r="A337" s="360"/>
      <c r="B337" s="361"/>
      <c r="C337" s="361"/>
      <c r="D337" s="465"/>
      <c r="E337" s="361"/>
      <c r="F337" s="435"/>
      <c r="G337" s="430"/>
      <c r="H337" s="435"/>
      <c r="I337" s="435"/>
    </row>
    <row r="338" spans="1:9" x14ac:dyDescent="0.25">
      <c r="A338" s="360">
        <v>24136795</v>
      </c>
      <c r="B338" s="361" t="s">
        <v>4905</v>
      </c>
      <c r="C338" s="361" t="s">
        <v>5266</v>
      </c>
      <c r="D338" s="465">
        <v>2</v>
      </c>
      <c r="E338" s="361" t="s">
        <v>5688</v>
      </c>
      <c r="F338" s="435" t="s">
        <v>4620</v>
      </c>
      <c r="G338" s="430">
        <v>44446</v>
      </c>
      <c r="H338" s="435">
        <f t="shared" si="8"/>
        <v>4</v>
      </c>
      <c r="I338" s="435"/>
    </row>
    <row r="339" spans="1:9" x14ac:dyDescent="0.25">
      <c r="A339" s="360">
        <v>24136795</v>
      </c>
      <c r="B339" s="361" t="s">
        <v>4905</v>
      </c>
      <c r="C339" s="916"/>
      <c r="D339" s="917"/>
      <c r="E339" s="361" t="s">
        <v>5966</v>
      </c>
      <c r="F339" s="435" t="s">
        <v>4621</v>
      </c>
      <c r="G339" s="430">
        <v>45238</v>
      </c>
      <c r="H339" s="435">
        <f t="shared" si="8"/>
        <v>1</v>
      </c>
      <c r="I339" s="1681"/>
    </row>
    <row r="340" spans="1:9" x14ac:dyDescent="0.25">
      <c r="A340" s="360"/>
      <c r="B340" s="361"/>
      <c r="C340" s="361"/>
      <c r="D340" s="465"/>
      <c r="E340" s="361"/>
      <c r="F340" s="435"/>
      <c r="G340" s="430"/>
      <c r="H340" s="435"/>
      <c r="I340" s="435"/>
    </row>
    <row r="341" spans="1:9" x14ac:dyDescent="0.25">
      <c r="A341" s="360">
        <v>24385729</v>
      </c>
      <c r="B341" s="361" t="s">
        <v>6778</v>
      </c>
      <c r="C341" s="361" t="s">
        <v>5956</v>
      </c>
      <c r="D341" s="465">
        <v>1</v>
      </c>
      <c r="E341" s="361" t="s">
        <v>6109</v>
      </c>
      <c r="F341" s="435" t="s">
        <v>4620</v>
      </c>
      <c r="G341" s="430">
        <v>43432</v>
      </c>
      <c r="H341" s="435">
        <f t="shared" ref="H341" si="12">DATEDIF(G341,$G$6,"Y")</f>
        <v>6</v>
      </c>
      <c r="I341" s="1122"/>
    </row>
    <row r="342" spans="1:9" x14ac:dyDescent="0.25">
      <c r="A342" s="1119"/>
      <c r="B342" s="1120"/>
      <c r="C342" s="1120"/>
      <c r="D342" s="1121"/>
      <c r="E342" s="1120"/>
      <c r="F342" s="1122"/>
      <c r="G342" s="1123"/>
      <c r="H342" s="1122"/>
      <c r="I342" s="1122"/>
    </row>
    <row r="343" spans="1:9" x14ac:dyDescent="0.25">
      <c r="A343" s="360">
        <v>25006139</v>
      </c>
      <c r="B343" s="361" t="s">
        <v>4908</v>
      </c>
      <c r="C343" s="361" t="s">
        <v>5218</v>
      </c>
      <c r="D343" s="465">
        <v>1</v>
      </c>
      <c r="E343" s="361" t="s">
        <v>5689</v>
      </c>
      <c r="F343" s="435" t="s">
        <v>4620</v>
      </c>
      <c r="G343" s="430">
        <v>44000</v>
      </c>
      <c r="H343" s="435">
        <f t="shared" si="8"/>
        <v>5</v>
      </c>
      <c r="I343" s="435"/>
    </row>
    <row r="344" spans="1:9" x14ac:dyDescent="0.25">
      <c r="A344" s="360"/>
      <c r="B344" s="361"/>
      <c r="C344" s="361"/>
      <c r="D344" s="465"/>
      <c r="E344" s="361"/>
      <c r="F344" s="435"/>
      <c r="G344" s="430"/>
      <c r="H344" s="435"/>
      <c r="I344" s="435"/>
    </row>
    <row r="345" spans="1:9" x14ac:dyDescent="0.25">
      <c r="A345" s="360">
        <v>25006878</v>
      </c>
      <c r="B345" s="361" t="s">
        <v>5485</v>
      </c>
      <c r="C345" s="361" t="s">
        <v>5218</v>
      </c>
      <c r="D345" s="465">
        <v>1</v>
      </c>
      <c r="E345" s="361" t="s">
        <v>5691</v>
      </c>
      <c r="F345" s="435" t="s">
        <v>4620</v>
      </c>
      <c r="G345" s="430">
        <v>43286</v>
      </c>
      <c r="H345" s="435">
        <f>DATEDIF(G345,$G$6,"Y")</f>
        <v>7</v>
      </c>
      <c r="I345" s="435"/>
    </row>
    <row r="346" spans="1:9" x14ac:dyDescent="0.25">
      <c r="A346" s="370"/>
      <c r="B346" s="371"/>
      <c r="C346" s="371"/>
      <c r="D346" s="892"/>
      <c r="E346" s="371"/>
      <c r="F346" s="442"/>
      <c r="G346" s="431"/>
      <c r="H346" s="442"/>
      <c r="I346" s="442"/>
    </row>
    <row r="347" spans="1:9" x14ac:dyDescent="0.25">
      <c r="A347" s="360">
        <v>25096069</v>
      </c>
      <c r="B347" s="361" t="s">
        <v>4909</v>
      </c>
      <c r="C347" s="361" t="s">
        <v>5218</v>
      </c>
      <c r="D347" s="465">
        <v>1</v>
      </c>
      <c r="E347" s="361" t="s">
        <v>5690</v>
      </c>
      <c r="F347" s="435" t="s">
        <v>4620</v>
      </c>
      <c r="G347" s="430">
        <v>43624</v>
      </c>
      <c r="H347" s="435">
        <f t="shared" si="8"/>
        <v>6</v>
      </c>
      <c r="I347" s="435"/>
    </row>
    <row r="348" spans="1:9" x14ac:dyDescent="0.25">
      <c r="A348" s="1119"/>
      <c r="B348" s="1120"/>
      <c r="C348" s="1120"/>
      <c r="D348" s="1121"/>
      <c r="E348" s="1120"/>
      <c r="F348" s="1122"/>
      <c r="G348" s="1123"/>
      <c r="H348" s="1122"/>
      <c r="I348" s="1122"/>
    </row>
    <row r="349" spans="1:9" x14ac:dyDescent="0.25">
      <c r="A349" s="360">
        <v>25173983</v>
      </c>
      <c r="B349" s="361" t="s">
        <v>4910</v>
      </c>
      <c r="C349" s="361" t="s">
        <v>5218</v>
      </c>
      <c r="D349" s="465">
        <v>1</v>
      </c>
      <c r="E349" s="361" t="s">
        <v>5692</v>
      </c>
      <c r="F349" s="435" t="s">
        <v>4620</v>
      </c>
      <c r="G349" s="430">
        <v>43827</v>
      </c>
      <c r="H349" s="435">
        <f t="shared" ref="H349:H379" si="13">DATEDIF(G349,$G$6,"Y")</f>
        <v>5</v>
      </c>
      <c r="I349" s="435"/>
    </row>
    <row r="350" spans="1:9" x14ac:dyDescent="0.25">
      <c r="A350" s="360"/>
      <c r="B350" s="361"/>
      <c r="C350" s="361"/>
      <c r="D350" s="465"/>
      <c r="E350" s="361"/>
      <c r="F350" s="435"/>
      <c r="G350" s="430"/>
      <c r="H350" s="435"/>
      <c r="I350" s="435"/>
    </row>
    <row r="351" spans="1:9" x14ac:dyDescent="0.25">
      <c r="A351" s="360">
        <v>25303390</v>
      </c>
      <c r="B351" s="361" t="s">
        <v>4911</v>
      </c>
      <c r="C351" s="361" t="s">
        <v>5218</v>
      </c>
      <c r="D351" s="465">
        <v>2</v>
      </c>
      <c r="E351" s="361" t="s">
        <v>5693</v>
      </c>
      <c r="F351" s="435" t="s">
        <v>4620</v>
      </c>
      <c r="G351" s="430">
        <v>41644</v>
      </c>
      <c r="H351" s="435">
        <f t="shared" si="13"/>
        <v>11</v>
      </c>
      <c r="I351" s="435"/>
    </row>
    <row r="352" spans="1:9" x14ac:dyDescent="0.25">
      <c r="A352" s="360">
        <v>25303390</v>
      </c>
      <c r="B352" s="361" t="s">
        <v>4911</v>
      </c>
      <c r="C352" s="361"/>
      <c r="D352" s="465"/>
      <c r="E352" s="361" t="s">
        <v>5694</v>
      </c>
      <c r="F352" s="435" t="s">
        <v>4620</v>
      </c>
      <c r="G352" s="430">
        <v>43288</v>
      </c>
      <c r="H352" s="435">
        <f t="shared" si="13"/>
        <v>7</v>
      </c>
      <c r="I352" s="435"/>
    </row>
    <row r="353" spans="1:9" x14ac:dyDescent="0.25">
      <c r="A353" s="1119"/>
      <c r="B353" s="1120"/>
      <c r="C353" s="1120"/>
      <c r="D353" s="1121"/>
      <c r="E353" s="1120"/>
      <c r="F353" s="1122"/>
      <c r="G353" s="1123"/>
      <c r="H353" s="1122"/>
      <c r="I353" s="1122"/>
    </row>
    <row r="354" spans="1:9" x14ac:dyDescent="0.25">
      <c r="A354" s="1119">
        <v>25454143</v>
      </c>
      <c r="B354" s="1120" t="s">
        <v>6698</v>
      </c>
      <c r="C354" s="361" t="s">
        <v>5218</v>
      </c>
      <c r="D354" s="1121">
        <v>1</v>
      </c>
      <c r="E354" s="1120" t="s">
        <v>6701</v>
      </c>
      <c r="F354" s="1122" t="s">
        <v>4620</v>
      </c>
      <c r="G354" s="1123">
        <v>44493</v>
      </c>
      <c r="H354" s="435">
        <f t="shared" si="13"/>
        <v>3</v>
      </c>
      <c r="I354" s="1122"/>
    </row>
    <row r="355" spans="1:9" x14ac:dyDescent="0.25">
      <c r="A355" s="1119"/>
      <c r="B355" s="1120"/>
      <c r="C355" s="1120"/>
      <c r="D355" s="1121"/>
      <c r="E355" s="1120"/>
      <c r="F355" s="1122"/>
      <c r="G355" s="1123"/>
      <c r="H355" s="1122"/>
      <c r="I355" s="1122"/>
    </row>
    <row r="356" spans="1:9" x14ac:dyDescent="0.25">
      <c r="A356" s="360">
        <v>25619540</v>
      </c>
      <c r="B356" s="361" t="s">
        <v>4913</v>
      </c>
      <c r="C356" s="361"/>
      <c r="D356" s="465">
        <v>2</v>
      </c>
      <c r="E356" s="361" t="s">
        <v>6046</v>
      </c>
      <c r="F356" s="435" t="s">
        <v>4621</v>
      </c>
      <c r="G356" s="430">
        <v>42550</v>
      </c>
      <c r="H356" s="435">
        <f t="shared" si="13"/>
        <v>9</v>
      </c>
      <c r="I356" s="435"/>
    </row>
    <row r="357" spans="1:9" x14ac:dyDescent="0.25">
      <c r="A357" s="360">
        <v>25619540</v>
      </c>
      <c r="B357" s="361" t="s">
        <v>4913</v>
      </c>
      <c r="C357" s="361"/>
      <c r="D357" s="465"/>
      <c r="E357" s="361" t="s">
        <v>6047</v>
      </c>
      <c r="F357" s="435" t="s">
        <v>4620</v>
      </c>
      <c r="G357" s="430">
        <v>43609</v>
      </c>
      <c r="H357" s="435">
        <f t="shared" si="13"/>
        <v>6</v>
      </c>
      <c r="I357" s="435"/>
    </row>
    <row r="358" spans="1:9" x14ac:dyDescent="0.25">
      <c r="A358" s="360"/>
      <c r="B358" s="361"/>
      <c r="C358" s="361"/>
      <c r="D358" s="465"/>
      <c r="E358" s="361"/>
      <c r="F358" s="435"/>
      <c r="G358" s="430"/>
      <c r="H358" s="435"/>
      <c r="I358" s="435"/>
    </row>
    <row r="359" spans="1:9" x14ac:dyDescent="0.25">
      <c r="A359" s="360">
        <v>26094690</v>
      </c>
      <c r="B359" s="361" t="s">
        <v>5511</v>
      </c>
      <c r="C359" s="361" t="s">
        <v>5218</v>
      </c>
      <c r="D359" s="465">
        <v>2</v>
      </c>
      <c r="E359" s="361" t="s">
        <v>5722</v>
      </c>
      <c r="F359" s="435" t="s">
        <v>4621</v>
      </c>
      <c r="G359" s="430">
        <v>44272</v>
      </c>
      <c r="H359" s="435">
        <f t="shared" si="13"/>
        <v>4</v>
      </c>
      <c r="I359" s="435"/>
    </row>
    <row r="360" spans="1:9" x14ac:dyDescent="0.25">
      <c r="A360" s="360">
        <v>26094690</v>
      </c>
      <c r="B360" s="361" t="s">
        <v>5511</v>
      </c>
      <c r="C360" s="361"/>
      <c r="D360" s="465"/>
      <c r="E360" s="361" t="s">
        <v>5723</v>
      </c>
      <c r="F360" s="435" t="s">
        <v>4620</v>
      </c>
      <c r="G360" s="430">
        <v>43542</v>
      </c>
      <c r="H360" s="435">
        <f t="shared" si="13"/>
        <v>6</v>
      </c>
      <c r="I360" s="435"/>
    </row>
    <row r="361" spans="1:9" x14ac:dyDescent="0.25">
      <c r="A361" s="360"/>
      <c r="B361" s="361"/>
      <c r="C361" s="361"/>
      <c r="D361" s="465"/>
      <c r="E361" s="361"/>
      <c r="F361" s="435"/>
      <c r="G361" s="430"/>
      <c r="H361" s="435"/>
      <c r="I361" s="435"/>
    </row>
    <row r="362" spans="1:9" x14ac:dyDescent="0.25">
      <c r="A362" s="360">
        <v>26413871</v>
      </c>
      <c r="B362" s="361" t="s">
        <v>4917</v>
      </c>
      <c r="C362" s="361" t="s">
        <v>5218</v>
      </c>
      <c r="D362" s="465">
        <v>2</v>
      </c>
      <c r="E362" s="361" t="s">
        <v>5695</v>
      </c>
      <c r="F362" s="435" t="s">
        <v>4620</v>
      </c>
      <c r="G362" s="430">
        <v>42504</v>
      </c>
      <c r="H362" s="435">
        <f t="shared" si="13"/>
        <v>9</v>
      </c>
      <c r="I362" s="435"/>
    </row>
    <row r="363" spans="1:9" x14ac:dyDescent="0.25">
      <c r="A363" s="360">
        <v>26413871</v>
      </c>
      <c r="B363" s="361" t="s">
        <v>4917</v>
      </c>
      <c r="C363" s="361"/>
      <c r="D363" s="465"/>
      <c r="E363" s="361" t="s">
        <v>5696</v>
      </c>
      <c r="F363" s="435" t="s">
        <v>4620</v>
      </c>
      <c r="G363" s="430">
        <v>43628</v>
      </c>
      <c r="H363" s="435">
        <f t="shared" si="13"/>
        <v>6</v>
      </c>
      <c r="I363" s="435"/>
    </row>
    <row r="364" spans="1:9" x14ac:dyDescent="0.25">
      <c r="A364" s="360"/>
      <c r="B364" s="361"/>
      <c r="C364" s="361"/>
      <c r="D364" s="465"/>
      <c r="E364" s="361"/>
      <c r="F364" s="435"/>
      <c r="G364" s="430"/>
      <c r="H364" s="435"/>
      <c r="I364" s="435"/>
    </row>
    <row r="365" spans="1:9" x14ac:dyDescent="0.25">
      <c r="A365" s="360">
        <v>26591879</v>
      </c>
      <c r="B365" s="361" t="s">
        <v>4918</v>
      </c>
      <c r="C365" s="361" t="s">
        <v>5268</v>
      </c>
      <c r="D365" s="465">
        <v>1</v>
      </c>
      <c r="E365" s="361" t="s">
        <v>6049</v>
      </c>
      <c r="F365" s="435" t="s">
        <v>4621</v>
      </c>
      <c r="G365" s="430">
        <v>44525</v>
      </c>
      <c r="H365" s="435">
        <f t="shared" si="13"/>
        <v>3</v>
      </c>
      <c r="I365" s="435"/>
    </row>
    <row r="366" spans="1:9" x14ac:dyDescent="0.25">
      <c r="A366" s="360"/>
      <c r="B366" s="361"/>
      <c r="C366" s="361"/>
      <c r="D366" s="465"/>
      <c r="E366" s="361"/>
      <c r="F366" s="435"/>
      <c r="G366" s="430"/>
      <c r="H366" s="435"/>
      <c r="I366" s="435"/>
    </row>
    <row r="367" spans="1:9" x14ac:dyDescent="0.25">
      <c r="A367" s="360">
        <v>26690908</v>
      </c>
      <c r="B367" s="361" t="s">
        <v>4919</v>
      </c>
      <c r="C367" s="361" t="s">
        <v>5218</v>
      </c>
      <c r="D367" s="465">
        <v>1</v>
      </c>
      <c r="E367" s="361" t="s">
        <v>5697</v>
      </c>
      <c r="F367" s="435" t="s">
        <v>4620</v>
      </c>
      <c r="G367" s="430">
        <v>42389</v>
      </c>
      <c r="H367" s="435">
        <f t="shared" si="13"/>
        <v>9</v>
      </c>
      <c r="I367" s="435"/>
    </row>
    <row r="368" spans="1:9" x14ac:dyDescent="0.25">
      <c r="A368" s="360"/>
      <c r="B368" s="361"/>
      <c r="C368" s="361"/>
      <c r="D368" s="465"/>
      <c r="E368" s="361"/>
      <c r="F368" s="435"/>
      <c r="G368" s="430"/>
      <c r="H368" s="435"/>
      <c r="I368" s="435"/>
    </row>
    <row r="369" spans="1:9" x14ac:dyDescent="0.25">
      <c r="A369" s="360">
        <v>26962104</v>
      </c>
      <c r="B369" s="361" t="s">
        <v>4920</v>
      </c>
      <c r="C369" s="361" t="s">
        <v>5231</v>
      </c>
      <c r="D369" s="465">
        <v>1</v>
      </c>
      <c r="E369" s="361" t="s">
        <v>5698</v>
      </c>
      <c r="F369" s="435" t="s">
        <v>4621</v>
      </c>
      <c r="G369" s="430">
        <v>44830</v>
      </c>
      <c r="H369" s="435">
        <f t="shared" si="13"/>
        <v>3</v>
      </c>
      <c r="I369" s="435"/>
    </row>
    <row r="370" spans="1:9" x14ac:dyDescent="0.25">
      <c r="A370" s="1119"/>
      <c r="B370" s="1120"/>
      <c r="C370" s="1120"/>
      <c r="D370" s="1121"/>
      <c r="E370" s="1120"/>
      <c r="F370" s="1122"/>
      <c r="G370" s="1123"/>
      <c r="H370" s="1122"/>
      <c r="I370" s="1122"/>
    </row>
    <row r="371" spans="1:9" x14ac:dyDescent="0.25">
      <c r="A371" s="1119">
        <v>27251885</v>
      </c>
      <c r="B371" s="1120" t="s">
        <v>6626</v>
      </c>
      <c r="C371" s="361" t="s">
        <v>5218</v>
      </c>
      <c r="D371" s="1121">
        <v>1</v>
      </c>
      <c r="E371" s="1120" t="s">
        <v>6629</v>
      </c>
      <c r="F371" s="1122" t="s">
        <v>4620</v>
      </c>
      <c r="G371" s="1123">
        <v>43898</v>
      </c>
      <c r="H371" s="435">
        <f t="shared" si="13"/>
        <v>5</v>
      </c>
      <c r="I371" s="1122"/>
    </row>
    <row r="372" spans="1:9" x14ac:dyDescent="0.25">
      <c r="A372" s="1119"/>
      <c r="B372" s="1120"/>
      <c r="C372" s="1120"/>
      <c r="D372" s="1121"/>
      <c r="E372" s="1120"/>
      <c r="F372" s="1122"/>
      <c r="G372" s="1123"/>
      <c r="H372" s="1122"/>
      <c r="I372" s="1122"/>
    </row>
    <row r="373" spans="1:9" x14ac:dyDescent="0.25">
      <c r="A373" s="1119">
        <v>27251899</v>
      </c>
      <c r="B373" s="1120" t="s">
        <v>6622</v>
      </c>
      <c r="C373" s="361" t="s">
        <v>5218</v>
      </c>
      <c r="D373" s="1121">
        <v>1</v>
      </c>
      <c r="E373" s="1120" t="s">
        <v>6625</v>
      </c>
      <c r="F373" s="1122" t="s">
        <v>4620</v>
      </c>
      <c r="G373" s="1123">
        <v>44725</v>
      </c>
      <c r="H373" s="435">
        <f t="shared" si="13"/>
        <v>3</v>
      </c>
      <c r="I373" s="1122"/>
    </row>
    <row r="374" spans="1:9" x14ac:dyDescent="0.25">
      <c r="A374" s="1119"/>
      <c r="B374" s="1120"/>
      <c r="C374" s="1120"/>
      <c r="D374" s="1121"/>
      <c r="E374" s="1120"/>
      <c r="F374" s="1122"/>
      <c r="G374" s="1123"/>
      <c r="H374" s="1122"/>
      <c r="I374" s="1122"/>
    </row>
    <row r="375" spans="1:9" x14ac:dyDescent="0.25">
      <c r="A375" s="1119">
        <v>27415737</v>
      </c>
      <c r="B375" s="1120" t="s">
        <v>4922</v>
      </c>
      <c r="C375" s="361" t="s">
        <v>5231</v>
      </c>
      <c r="D375" s="1121">
        <v>1</v>
      </c>
      <c r="E375" s="1120" t="s">
        <v>6758</v>
      </c>
      <c r="F375" s="1122" t="s">
        <v>4620</v>
      </c>
      <c r="G375" s="1123">
        <v>45541</v>
      </c>
      <c r="H375" s="435">
        <f t="shared" si="13"/>
        <v>1</v>
      </c>
      <c r="I375" s="1122"/>
    </row>
    <row r="376" spans="1:9" x14ac:dyDescent="0.25">
      <c r="A376" s="1119"/>
      <c r="B376" s="1120"/>
      <c r="C376" s="1120"/>
      <c r="D376" s="1121"/>
      <c r="E376" s="1120"/>
      <c r="F376" s="1122"/>
      <c r="G376" s="1123"/>
      <c r="H376" s="1122"/>
      <c r="I376" s="1122"/>
    </row>
    <row r="377" spans="1:9" x14ac:dyDescent="0.25">
      <c r="A377" s="360">
        <v>27628603</v>
      </c>
      <c r="B377" s="361" t="s">
        <v>5761</v>
      </c>
      <c r="C377" s="361" t="s">
        <v>5766</v>
      </c>
      <c r="D377" s="465">
        <v>1</v>
      </c>
      <c r="E377" s="361" t="s">
        <v>5778</v>
      </c>
      <c r="F377" s="435" t="s">
        <v>4621</v>
      </c>
      <c r="G377" s="430">
        <v>43813</v>
      </c>
      <c r="H377" s="435">
        <v>3</v>
      </c>
      <c r="I377" s="435"/>
    </row>
    <row r="378" spans="1:9" x14ac:dyDescent="0.25">
      <c r="A378" s="370"/>
      <c r="B378" s="371"/>
      <c r="C378" s="371"/>
      <c r="D378" s="892"/>
      <c r="E378" s="371"/>
      <c r="F378" s="442"/>
      <c r="G378" s="431"/>
      <c r="H378" s="442"/>
      <c r="I378" s="442"/>
    </row>
    <row r="379" spans="1:9" x14ac:dyDescent="0.25">
      <c r="A379" s="360">
        <v>29585477</v>
      </c>
      <c r="B379" s="361" t="s">
        <v>4929</v>
      </c>
      <c r="C379" s="361" t="s">
        <v>5228</v>
      </c>
      <c r="D379" s="465">
        <v>1</v>
      </c>
      <c r="E379" s="361" t="s">
        <v>5700</v>
      </c>
      <c r="F379" s="435" t="s">
        <v>4621</v>
      </c>
      <c r="G379" s="430">
        <v>43783</v>
      </c>
      <c r="H379" s="435">
        <f t="shared" si="13"/>
        <v>5</v>
      </c>
      <c r="I379" s="435"/>
    </row>
    <row r="380" spans="1:9" x14ac:dyDescent="0.25">
      <c r="A380" s="360"/>
      <c r="B380" s="361"/>
      <c r="C380" s="361"/>
      <c r="D380" s="465"/>
      <c r="E380" s="361"/>
      <c r="F380" s="435"/>
      <c r="G380" s="430"/>
      <c r="H380" s="435"/>
      <c r="I380" s="435"/>
    </row>
    <row r="381" spans="1:9" x14ac:dyDescent="0.25">
      <c r="A381" s="360">
        <v>26235963</v>
      </c>
      <c r="B381" s="361" t="s">
        <v>6112</v>
      </c>
      <c r="C381" s="361" t="s">
        <v>5263</v>
      </c>
      <c r="D381" s="465">
        <v>1</v>
      </c>
      <c r="E381" s="361" t="s">
        <v>6115</v>
      </c>
      <c r="F381" s="435" t="s">
        <v>4621</v>
      </c>
      <c r="G381" s="430">
        <v>42877</v>
      </c>
      <c r="H381" s="435">
        <f t="shared" ref="H381" si="14">DATEDIF(G381,$G$6,"Y")</f>
        <v>8</v>
      </c>
      <c r="I381" s="435"/>
    </row>
    <row r="382" spans="1:9" x14ac:dyDescent="0.25">
      <c r="A382" s="360"/>
      <c r="B382" s="361"/>
      <c r="C382" s="361"/>
      <c r="D382" s="465"/>
      <c r="E382" s="361"/>
      <c r="F382" s="435"/>
      <c r="G382" s="430"/>
      <c r="H382" s="435"/>
      <c r="I382" s="435"/>
    </row>
    <row r="383" spans="1:9" x14ac:dyDescent="0.25">
      <c r="A383" s="1119">
        <v>27415888</v>
      </c>
      <c r="B383" s="1266" t="s">
        <v>4923</v>
      </c>
      <c r="C383" s="1120" t="s">
        <v>7261</v>
      </c>
      <c r="D383" s="1265">
        <v>1</v>
      </c>
      <c r="E383" s="1120" t="s">
        <v>7286</v>
      </c>
      <c r="F383" s="1122" t="s">
        <v>4620</v>
      </c>
      <c r="G383" s="1123">
        <v>45670</v>
      </c>
      <c r="H383" s="1122">
        <f t="shared" ref="H383" si="15">DATEDIF(G383,$G$6,"Y")</f>
        <v>0</v>
      </c>
      <c r="I383" s="1122"/>
    </row>
    <row r="384" spans="1:9" x14ac:dyDescent="0.25">
      <c r="A384" s="1119"/>
      <c r="B384" s="1120"/>
      <c r="C384" s="1120"/>
      <c r="D384" s="1121"/>
      <c r="E384" s="1120"/>
      <c r="F384" s="1122"/>
      <c r="G384" s="1123"/>
      <c r="H384" s="1122"/>
      <c r="I384" s="1122"/>
    </row>
    <row r="385" spans="1:10" x14ac:dyDescent="0.25">
      <c r="A385" s="360">
        <v>28096576</v>
      </c>
      <c r="B385" s="361" t="s">
        <v>5746</v>
      </c>
      <c r="C385" s="361" t="s">
        <v>5087</v>
      </c>
      <c r="D385" s="465">
        <v>2</v>
      </c>
      <c r="E385" s="361" t="s">
        <v>6106</v>
      </c>
      <c r="F385" s="435" t="s">
        <v>4621</v>
      </c>
      <c r="G385" s="430">
        <v>42514</v>
      </c>
      <c r="H385" s="435">
        <f t="shared" ref="H385:H387" si="16">DATEDIF(G385,$G$6,"Y")</f>
        <v>9</v>
      </c>
      <c r="I385" s="435"/>
    </row>
    <row r="386" spans="1:10" x14ac:dyDescent="0.25">
      <c r="A386" s="360">
        <v>28096576</v>
      </c>
      <c r="B386" s="361" t="s">
        <v>5746</v>
      </c>
      <c r="C386" s="361" t="s">
        <v>5087</v>
      </c>
      <c r="D386" s="465"/>
      <c r="E386" s="361" t="s">
        <v>6107</v>
      </c>
      <c r="F386" s="435" t="s">
        <v>4620</v>
      </c>
      <c r="G386" s="430">
        <v>43335</v>
      </c>
      <c r="H386" s="435">
        <f t="shared" si="16"/>
        <v>7</v>
      </c>
      <c r="I386" s="435"/>
    </row>
    <row r="387" spans="1:10" x14ac:dyDescent="0.25">
      <c r="A387" s="360">
        <v>28096576</v>
      </c>
      <c r="B387" s="361" t="s">
        <v>5746</v>
      </c>
      <c r="C387" s="361" t="s">
        <v>5087</v>
      </c>
      <c r="D387" s="361"/>
      <c r="E387" s="361" t="s">
        <v>6108</v>
      </c>
      <c r="F387" s="435" t="s">
        <v>4620</v>
      </c>
      <c r="G387" s="430">
        <v>44356</v>
      </c>
      <c r="H387" s="435">
        <f t="shared" si="16"/>
        <v>4</v>
      </c>
      <c r="I387" s="435"/>
    </row>
    <row r="388" spans="1:10" x14ac:dyDescent="0.25">
      <c r="A388" s="360"/>
      <c r="B388" s="361"/>
      <c r="C388" s="361"/>
      <c r="D388" s="362"/>
      <c r="E388" s="361"/>
      <c r="F388" s="435"/>
      <c r="G388" s="430"/>
      <c r="H388" s="435"/>
      <c r="I388" s="435"/>
    </row>
    <row r="389" spans="1:10" ht="15.75" thickBot="1" x14ac:dyDescent="0.3">
      <c r="A389" s="360"/>
      <c r="B389" s="361"/>
      <c r="C389" s="361"/>
      <c r="D389" s="362"/>
      <c r="E389" s="361"/>
      <c r="F389" s="435"/>
      <c r="G389" s="430"/>
      <c r="H389" s="435"/>
      <c r="I389" s="435"/>
    </row>
    <row r="390" spans="1:10" ht="19.5" thickBot="1" x14ac:dyDescent="0.35">
      <c r="C390" s="452" t="s">
        <v>5731</v>
      </c>
      <c r="D390" s="453">
        <f>SUM(D48:D389)</f>
        <v>130</v>
      </c>
      <c r="E390" s="1477">
        <f>+NOMINA!Z303-D390</f>
        <v>63</v>
      </c>
      <c r="I390" s="453">
        <f>SUM(I48:I389)</f>
        <v>66</v>
      </c>
      <c r="J390" s="364">
        <f>+D390-I390</f>
        <v>64</v>
      </c>
    </row>
    <row r="391" spans="1:10" ht="15.75" thickBot="1" x14ac:dyDescent="0.3"/>
    <row r="392" spans="1:10" ht="19.5" thickBot="1" x14ac:dyDescent="0.35">
      <c r="A392" s="1826" t="s">
        <v>5732</v>
      </c>
      <c r="B392" s="1827"/>
      <c r="C392" s="1827"/>
      <c r="D392" s="1827"/>
      <c r="E392" s="1827"/>
      <c r="F392" s="1827"/>
      <c r="G392" s="1827"/>
      <c r="H392" s="1827"/>
      <c r="I392" s="1828"/>
    </row>
    <row r="394" spans="1:10" x14ac:dyDescent="0.25">
      <c r="A394" s="432">
        <v>6902701</v>
      </c>
      <c r="B394" s="433" t="s">
        <v>4963</v>
      </c>
      <c r="C394" s="433" t="s">
        <v>5086</v>
      </c>
      <c r="D394" s="894">
        <v>1</v>
      </c>
      <c r="E394" s="433" t="s">
        <v>5753</v>
      </c>
      <c r="F394" s="436" t="s">
        <v>4620</v>
      </c>
      <c r="G394" s="434">
        <v>40983</v>
      </c>
      <c r="H394" s="1679">
        <f t="shared" ref="H394" si="17">DATEDIF(G394,$G$6,"Y")</f>
        <v>13</v>
      </c>
      <c r="I394" s="436">
        <v>1</v>
      </c>
    </row>
    <row r="395" spans="1:10" x14ac:dyDescent="0.25">
      <c r="A395" s="432"/>
      <c r="B395" s="433"/>
      <c r="C395" s="433"/>
      <c r="D395" s="894"/>
      <c r="E395" s="433"/>
      <c r="F395" s="436"/>
      <c r="G395" s="434"/>
      <c r="H395" s="436"/>
      <c r="I395" s="436"/>
    </row>
    <row r="396" spans="1:10" x14ac:dyDescent="0.25">
      <c r="A396" s="432">
        <v>12046834</v>
      </c>
      <c r="B396" s="433" t="s">
        <v>5745</v>
      </c>
      <c r="C396" s="433" t="s">
        <v>3320</v>
      </c>
      <c r="D396" s="894">
        <v>1</v>
      </c>
      <c r="E396" s="433" t="s">
        <v>6055</v>
      </c>
      <c r="F396" s="436" t="s">
        <v>4620</v>
      </c>
      <c r="G396" s="434">
        <v>41103</v>
      </c>
      <c r="H396" s="1679">
        <f t="shared" ref="H396" si="18">DATEDIF(G396,$G$6,"Y")</f>
        <v>13</v>
      </c>
      <c r="I396" s="436">
        <v>1</v>
      </c>
    </row>
    <row r="397" spans="1:10" x14ac:dyDescent="0.25">
      <c r="D397" s="895"/>
    </row>
    <row r="398" spans="1:10" x14ac:dyDescent="0.25">
      <c r="A398" s="432">
        <v>12047016</v>
      </c>
      <c r="B398" s="433" t="s">
        <v>5000</v>
      </c>
      <c r="C398" s="433" t="s">
        <v>5085</v>
      </c>
      <c r="D398" s="894">
        <v>1</v>
      </c>
      <c r="E398" s="433" t="s">
        <v>5756</v>
      </c>
      <c r="F398" s="436" t="s">
        <v>4620</v>
      </c>
      <c r="G398" s="434">
        <v>43021</v>
      </c>
      <c r="H398" s="436">
        <f t="shared" ref="H398" si="19">DATEDIF(G398,$G$6,"Y")</f>
        <v>7</v>
      </c>
      <c r="I398" s="436"/>
    </row>
    <row r="399" spans="1:10" x14ac:dyDescent="0.25">
      <c r="A399" s="432"/>
      <c r="B399" s="433"/>
      <c r="C399" s="433"/>
      <c r="D399" s="894"/>
      <c r="E399" s="433" t="s">
        <v>2904</v>
      </c>
      <c r="F399" s="436"/>
      <c r="G399" s="434"/>
      <c r="H399" s="436"/>
      <c r="I399" s="436"/>
    </row>
    <row r="400" spans="1:10" x14ac:dyDescent="0.25">
      <c r="A400" s="432">
        <v>12797598</v>
      </c>
      <c r="B400" s="433" t="s">
        <v>5003</v>
      </c>
      <c r="C400" s="433" t="s">
        <v>5091</v>
      </c>
      <c r="D400" s="894">
        <v>1</v>
      </c>
      <c r="E400" s="433" t="s">
        <v>6053</v>
      </c>
      <c r="F400" s="436" t="s">
        <v>4620</v>
      </c>
      <c r="G400" s="434">
        <v>41148</v>
      </c>
      <c r="H400" s="436">
        <f t="shared" ref="H400" si="20">DATEDIF(G400,$G$6,"Y")</f>
        <v>13</v>
      </c>
      <c r="I400" s="436"/>
    </row>
    <row r="401" spans="1:9" x14ac:dyDescent="0.25">
      <c r="A401" s="438"/>
      <c r="B401" s="439"/>
      <c r="C401" s="439"/>
      <c r="D401" s="896"/>
      <c r="E401" s="439" t="s">
        <v>2904</v>
      </c>
      <c r="F401" s="441"/>
      <c r="G401" s="440"/>
      <c r="H401" s="441"/>
      <c r="I401" s="441"/>
    </row>
    <row r="402" spans="1:9" x14ac:dyDescent="0.25">
      <c r="A402" s="432">
        <v>13376729</v>
      </c>
      <c r="B402" s="433" t="s">
        <v>5741</v>
      </c>
      <c r="C402" s="433" t="s">
        <v>2830</v>
      </c>
      <c r="D402" s="894">
        <v>1</v>
      </c>
      <c r="E402" s="433" t="s">
        <v>6054</v>
      </c>
      <c r="F402" s="436" t="s">
        <v>4620</v>
      </c>
      <c r="G402" s="434">
        <v>41867</v>
      </c>
      <c r="H402" s="436">
        <f t="shared" ref="H402" si="21">DATEDIF(G402,$G$6,"Y")</f>
        <v>11</v>
      </c>
      <c r="I402" s="436"/>
    </row>
    <row r="403" spans="1:9" x14ac:dyDescent="0.25">
      <c r="A403" s="438"/>
      <c r="B403" s="439"/>
      <c r="C403" s="439"/>
      <c r="D403" s="896"/>
      <c r="E403" s="439" t="s">
        <v>2904</v>
      </c>
      <c r="F403" s="441"/>
      <c r="G403" s="440"/>
      <c r="H403" s="441"/>
      <c r="I403" s="441"/>
    </row>
    <row r="404" spans="1:9" x14ac:dyDescent="0.25">
      <c r="A404" s="432">
        <v>13745328</v>
      </c>
      <c r="B404" s="433" t="s">
        <v>5008</v>
      </c>
      <c r="C404" s="433" t="s">
        <v>5084</v>
      </c>
      <c r="D404" s="894">
        <v>1</v>
      </c>
      <c r="E404" s="433" t="s">
        <v>6059</v>
      </c>
      <c r="F404" s="436" t="s">
        <v>4621</v>
      </c>
      <c r="G404" s="434">
        <v>39919</v>
      </c>
      <c r="H404" s="1679">
        <f t="shared" ref="H404" si="22">DATEDIF(G404,$G$6,"Y")</f>
        <v>16</v>
      </c>
      <c r="I404" s="436">
        <v>1</v>
      </c>
    </row>
    <row r="405" spans="1:9" x14ac:dyDescent="0.25">
      <c r="A405" s="438"/>
      <c r="B405" s="439"/>
      <c r="C405" s="439"/>
      <c r="D405" s="896"/>
      <c r="E405" s="439"/>
      <c r="F405" s="441"/>
      <c r="G405" s="440"/>
      <c r="H405" s="441"/>
      <c r="I405" s="441"/>
    </row>
    <row r="406" spans="1:9" x14ac:dyDescent="0.25">
      <c r="A406" s="432">
        <v>13996661</v>
      </c>
      <c r="B406" s="433" t="s">
        <v>5009</v>
      </c>
      <c r="C406" s="433" t="s">
        <v>5084</v>
      </c>
      <c r="D406" s="894">
        <v>1</v>
      </c>
      <c r="E406" s="433" t="s">
        <v>5754</v>
      </c>
      <c r="F406" s="436" t="s">
        <v>4620</v>
      </c>
      <c r="G406" s="434">
        <v>40760</v>
      </c>
      <c r="H406" s="1679">
        <f t="shared" ref="H406" si="23">DATEDIF(G406,$G$6,"Y")</f>
        <v>14</v>
      </c>
      <c r="I406" s="436">
        <v>1</v>
      </c>
    </row>
    <row r="407" spans="1:9" x14ac:dyDescent="0.25">
      <c r="A407" s="438"/>
      <c r="B407" s="439"/>
      <c r="C407" s="439"/>
      <c r="D407" s="896"/>
      <c r="E407" s="439"/>
      <c r="F407" s="441"/>
      <c r="G407" s="440"/>
      <c r="H407" s="441"/>
      <c r="I407" s="441"/>
    </row>
    <row r="408" spans="1:9" x14ac:dyDescent="0.25">
      <c r="A408" s="432">
        <v>14718468</v>
      </c>
      <c r="B408" s="433" t="s">
        <v>5744</v>
      </c>
      <c r="C408" s="433" t="s">
        <v>2540</v>
      </c>
      <c r="D408" s="894">
        <v>1</v>
      </c>
      <c r="E408" s="433" t="s">
        <v>5716</v>
      </c>
      <c r="F408" s="436" t="s">
        <v>4620</v>
      </c>
      <c r="G408" s="434">
        <v>43719</v>
      </c>
      <c r="H408" s="436">
        <f t="shared" ref="H408" si="24">DATEDIF(G408,$G$6,"Y")</f>
        <v>6</v>
      </c>
      <c r="I408" s="436"/>
    </row>
    <row r="409" spans="1:9" x14ac:dyDescent="0.25">
      <c r="A409" s="438"/>
      <c r="B409" s="439"/>
      <c r="C409" s="439"/>
      <c r="D409" s="896"/>
      <c r="E409" s="439" t="s">
        <v>2904</v>
      </c>
      <c r="F409" s="441"/>
      <c r="G409" s="440"/>
      <c r="H409" s="441"/>
      <c r="I409" s="441"/>
    </row>
    <row r="410" spans="1:9" x14ac:dyDescent="0.25">
      <c r="A410" s="432">
        <v>14719356</v>
      </c>
      <c r="B410" s="433" t="s">
        <v>5017</v>
      </c>
      <c r="C410" s="433" t="s">
        <v>5084</v>
      </c>
      <c r="D410" s="894">
        <v>2</v>
      </c>
      <c r="E410" s="433" t="s">
        <v>6069</v>
      </c>
      <c r="F410" s="436" t="s">
        <v>4621</v>
      </c>
      <c r="G410" s="434">
        <v>43133</v>
      </c>
      <c r="H410" s="436">
        <f t="shared" ref="H410:H412" si="25">DATEDIF(G410,$G$6,"Y")</f>
        <v>7</v>
      </c>
      <c r="I410" s="436"/>
    </row>
    <row r="411" spans="1:9" x14ac:dyDescent="0.25">
      <c r="A411" s="432">
        <v>14719356</v>
      </c>
      <c r="B411" s="433" t="s">
        <v>5017</v>
      </c>
      <c r="C411" s="433" t="s">
        <v>5084</v>
      </c>
      <c r="D411" s="894"/>
      <c r="E411" s="433" t="s">
        <v>6070</v>
      </c>
      <c r="F411" s="436" t="s">
        <v>4620</v>
      </c>
      <c r="G411" s="434">
        <v>42383</v>
      </c>
      <c r="H411" s="436">
        <f t="shared" si="25"/>
        <v>9</v>
      </c>
      <c r="I411" s="436"/>
    </row>
    <row r="412" spans="1:9" x14ac:dyDescent="0.25">
      <c r="A412" s="432">
        <v>14719356</v>
      </c>
      <c r="B412" s="433" t="s">
        <v>5017</v>
      </c>
      <c r="C412" s="433" t="s">
        <v>5084</v>
      </c>
      <c r="D412" s="894"/>
      <c r="E412" s="433" t="s">
        <v>6071</v>
      </c>
      <c r="F412" s="436" t="s">
        <v>4620</v>
      </c>
      <c r="G412" s="434">
        <v>40902</v>
      </c>
      <c r="H412" s="1679">
        <f t="shared" si="25"/>
        <v>13</v>
      </c>
      <c r="I412" s="436"/>
    </row>
    <row r="413" spans="1:9" x14ac:dyDescent="0.25">
      <c r="A413" s="438"/>
      <c r="B413" s="439"/>
      <c r="C413" s="439"/>
      <c r="D413" s="896"/>
      <c r="E413" s="439" t="s">
        <v>2904</v>
      </c>
      <c r="F413" s="441"/>
      <c r="G413" s="440"/>
      <c r="H413" s="441"/>
      <c r="I413" s="441"/>
    </row>
    <row r="414" spans="1:9" x14ac:dyDescent="0.25">
      <c r="A414" s="905">
        <v>15042683</v>
      </c>
      <c r="B414" s="906" t="s">
        <v>5959</v>
      </c>
      <c r="C414" s="906" t="s">
        <v>5092</v>
      </c>
      <c r="D414" s="907">
        <v>1</v>
      </c>
      <c r="E414" s="906" t="s">
        <v>5960</v>
      </c>
      <c r="F414" s="436" t="s">
        <v>4621</v>
      </c>
      <c r="G414" s="434">
        <v>39661</v>
      </c>
      <c r="H414" s="1679">
        <f t="shared" ref="H414" si="26">DATEDIF(G414,$G$6,"Y")</f>
        <v>17</v>
      </c>
      <c r="I414" s="908">
        <v>1</v>
      </c>
    </row>
    <row r="415" spans="1:9" x14ac:dyDescent="0.25">
      <c r="A415" s="905"/>
      <c r="B415" s="906"/>
      <c r="C415" s="906"/>
      <c r="D415" s="907"/>
      <c r="E415" s="906" t="s">
        <v>2904</v>
      </c>
      <c r="F415" s="908"/>
      <c r="G415" s="909"/>
      <c r="H415" s="908"/>
      <c r="I415" s="908"/>
    </row>
    <row r="416" spans="1:9" x14ac:dyDescent="0.25">
      <c r="A416" s="432">
        <v>15583194</v>
      </c>
      <c r="B416" s="433" t="s">
        <v>5021</v>
      </c>
      <c r="C416" s="433" t="s">
        <v>3320</v>
      </c>
      <c r="D416" s="894">
        <v>1</v>
      </c>
      <c r="E416" s="433" t="s">
        <v>5651</v>
      </c>
      <c r="F416" s="436" t="s">
        <v>4620</v>
      </c>
      <c r="G416" s="434">
        <v>41283</v>
      </c>
      <c r="H416" s="436">
        <f t="shared" ref="H416" si="27">DATEDIF(G416,$G$6,"Y")</f>
        <v>12</v>
      </c>
      <c r="I416" s="436"/>
    </row>
    <row r="417" spans="1:9" x14ac:dyDescent="0.25">
      <c r="A417" s="438"/>
      <c r="B417" s="439"/>
      <c r="C417" s="439"/>
      <c r="D417" s="896"/>
      <c r="E417" s="439" t="s">
        <v>2904</v>
      </c>
      <c r="F417" s="441"/>
      <c r="G417" s="440"/>
      <c r="H417" s="441"/>
      <c r="I417" s="441"/>
    </row>
    <row r="418" spans="1:9" x14ac:dyDescent="0.25">
      <c r="A418" s="432">
        <v>15953703</v>
      </c>
      <c r="B418" s="433" t="s">
        <v>5739</v>
      </c>
      <c r="C418" s="433" t="s">
        <v>5747</v>
      </c>
      <c r="D418" s="894">
        <v>2</v>
      </c>
      <c r="E418" s="433" t="s">
        <v>6064</v>
      </c>
      <c r="F418" s="436" t="s">
        <v>4621</v>
      </c>
      <c r="G418" s="434">
        <v>43251</v>
      </c>
      <c r="H418" s="436">
        <f t="shared" ref="H418:H420" si="28">DATEDIF(G418,$G$6,"Y")</f>
        <v>7</v>
      </c>
      <c r="I418" s="436"/>
    </row>
    <row r="419" spans="1:9" x14ac:dyDescent="0.25">
      <c r="A419" s="432">
        <v>15953703</v>
      </c>
      <c r="B419" s="433" t="s">
        <v>5739</v>
      </c>
      <c r="C419" s="433" t="s">
        <v>5747</v>
      </c>
      <c r="D419" s="894"/>
      <c r="E419" s="433" t="s">
        <v>6065</v>
      </c>
      <c r="F419" s="436" t="s">
        <v>4620</v>
      </c>
      <c r="G419" s="434">
        <v>42244</v>
      </c>
      <c r="H419" s="436">
        <f t="shared" si="28"/>
        <v>10</v>
      </c>
      <c r="I419" s="436"/>
    </row>
    <row r="420" spans="1:9" x14ac:dyDescent="0.25">
      <c r="A420" s="432">
        <v>15953703</v>
      </c>
      <c r="B420" s="433" t="s">
        <v>5739</v>
      </c>
      <c r="C420" s="433" t="s">
        <v>5747</v>
      </c>
      <c r="D420" s="894"/>
      <c r="E420" s="433" t="s">
        <v>6066</v>
      </c>
      <c r="F420" s="436" t="s">
        <v>4620</v>
      </c>
      <c r="G420" s="434">
        <v>40520</v>
      </c>
      <c r="H420" s="1679">
        <f t="shared" si="28"/>
        <v>14</v>
      </c>
      <c r="I420" s="436"/>
    </row>
    <row r="421" spans="1:9" x14ac:dyDescent="0.25">
      <c r="A421" s="438"/>
      <c r="B421" s="439"/>
      <c r="C421" s="439"/>
      <c r="D421" s="896"/>
      <c r="E421" s="439" t="s">
        <v>2904</v>
      </c>
      <c r="F421" s="441"/>
      <c r="G421" s="440"/>
      <c r="H421" s="441"/>
      <c r="I421" s="441"/>
    </row>
    <row r="422" spans="1:9" x14ac:dyDescent="0.25">
      <c r="A422" s="432">
        <v>16266801</v>
      </c>
      <c r="B422" s="433" t="s">
        <v>5740</v>
      </c>
      <c r="C422" s="433" t="s">
        <v>5749</v>
      </c>
      <c r="D422" s="894">
        <v>1</v>
      </c>
      <c r="E422" s="433" t="s">
        <v>6068</v>
      </c>
      <c r="F422" s="436" t="s">
        <v>4620</v>
      </c>
      <c r="G422" s="434">
        <v>42055</v>
      </c>
      <c r="H422" s="436">
        <f t="shared" ref="H422" si="29">DATEDIF(G422,$G$6,"Y")</f>
        <v>10</v>
      </c>
      <c r="I422" s="436"/>
    </row>
    <row r="423" spans="1:9" x14ac:dyDescent="0.25">
      <c r="A423" s="438"/>
      <c r="B423" s="439"/>
      <c r="C423" s="439"/>
      <c r="D423" s="896"/>
      <c r="E423" s="439"/>
      <c r="F423" s="441"/>
      <c r="G423" s="440"/>
      <c r="H423" s="441"/>
      <c r="I423" s="441"/>
    </row>
    <row r="424" spans="1:9" x14ac:dyDescent="0.25">
      <c r="A424" s="432">
        <v>16739958</v>
      </c>
      <c r="B424" s="433" t="s">
        <v>5082</v>
      </c>
      <c r="C424" s="433" t="s">
        <v>5096</v>
      </c>
      <c r="D424" s="894">
        <v>2</v>
      </c>
      <c r="E424" s="433" t="s">
        <v>6072</v>
      </c>
      <c r="F424" s="436" t="s">
        <v>4620</v>
      </c>
      <c r="G424" s="434">
        <v>40955</v>
      </c>
      <c r="H424" s="1679">
        <f t="shared" ref="H424:H425" si="30">DATEDIF(G424,$G$6,"Y")</f>
        <v>13</v>
      </c>
      <c r="I424" s="436">
        <v>2</v>
      </c>
    </row>
    <row r="425" spans="1:9" x14ac:dyDescent="0.25">
      <c r="A425" s="432">
        <v>16739958</v>
      </c>
      <c r="B425" s="433" t="s">
        <v>5082</v>
      </c>
      <c r="C425" s="433" t="s">
        <v>5096</v>
      </c>
      <c r="D425" s="894"/>
      <c r="E425" s="433" t="s">
        <v>6074</v>
      </c>
      <c r="F425" s="436" t="s">
        <v>4620</v>
      </c>
      <c r="G425" s="434">
        <v>40384</v>
      </c>
      <c r="H425" s="1679">
        <f t="shared" si="30"/>
        <v>15</v>
      </c>
      <c r="I425" s="436"/>
    </row>
    <row r="426" spans="1:9" x14ac:dyDescent="0.25">
      <c r="A426" s="438"/>
      <c r="B426" s="439"/>
      <c r="C426" s="439"/>
      <c r="D426" s="896"/>
      <c r="E426" s="439" t="s">
        <v>2904</v>
      </c>
      <c r="F426" s="441"/>
      <c r="G426" s="440"/>
      <c r="H426" s="441"/>
      <c r="I426" s="441"/>
    </row>
    <row r="427" spans="1:9" x14ac:dyDescent="0.25">
      <c r="A427" s="432">
        <v>16881526</v>
      </c>
      <c r="B427" s="433" t="s">
        <v>5026</v>
      </c>
      <c r="C427" s="433" t="s">
        <v>5092</v>
      </c>
      <c r="D427" s="894">
        <v>2</v>
      </c>
      <c r="E427" s="433" t="s">
        <v>6076</v>
      </c>
      <c r="F427" s="436" t="s">
        <v>4620</v>
      </c>
      <c r="G427" s="434">
        <v>41142</v>
      </c>
      <c r="H427" s="436">
        <f t="shared" ref="H427:H428" si="31">DATEDIF(G427,$G$6,"Y")</f>
        <v>13</v>
      </c>
      <c r="I427" s="436"/>
    </row>
    <row r="428" spans="1:9" x14ac:dyDescent="0.25">
      <c r="A428" s="432">
        <v>16881526</v>
      </c>
      <c r="B428" s="433" t="s">
        <v>5026</v>
      </c>
      <c r="C428" s="433" t="s">
        <v>5092</v>
      </c>
      <c r="D428" s="896"/>
      <c r="E428" s="433" t="s">
        <v>6077</v>
      </c>
      <c r="F428" s="436" t="s">
        <v>4620</v>
      </c>
      <c r="G428" s="440">
        <v>45077</v>
      </c>
      <c r="H428" s="436">
        <f t="shared" si="31"/>
        <v>2</v>
      </c>
      <c r="I428" s="441"/>
    </row>
    <row r="429" spans="1:9" x14ac:dyDescent="0.25">
      <c r="A429" s="438"/>
      <c r="B429" s="439"/>
      <c r="C429" s="439"/>
      <c r="D429" s="896"/>
      <c r="E429" s="439" t="s">
        <v>2904</v>
      </c>
      <c r="F429" s="441"/>
      <c r="G429" s="440"/>
      <c r="H429" s="441"/>
      <c r="I429" s="441"/>
    </row>
    <row r="430" spans="1:9" x14ac:dyDescent="0.25">
      <c r="A430" s="432">
        <v>17095084</v>
      </c>
      <c r="B430" s="433" t="s">
        <v>5028</v>
      </c>
      <c r="C430" s="433" t="s">
        <v>5085</v>
      </c>
      <c r="D430" s="894">
        <v>2</v>
      </c>
      <c r="E430" s="433" t="s">
        <v>6086</v>
      </c>
      <c r="F430" s="436" t="s">
        <v>4621</v>
      </c>
      <c r="G430" s="434">
        <v>39294</v>
      </c>
      <c r="H430" s="1679">
        <f t="shared" ref="H430:H433" si="32">DATEDIF(G430,$G$6,"Y")</f>
        <v>18</v>
      </c>
      <c r="I430" s="436"/>
    </row>
    <row r="431" spans="1:9" x14ac:dyDescent="0.25">
      <c r="A431" s="432">
        <v>17095084</v>
      </c>
      <c r="B431" s="433" t="s">
        <v>5028</v>
      </c>
      <c r="C431" s="433" t="s">
        <v>5085</v>
      </c>
      <c r="D431" s="894"/>
      <c r="E431" s="433" t="s">
        <v>6087</v>
      </c>
      <c r="F431" s="436" t="s">
        <v>4620</v>
      </c>
      <c r="G431" s="434">
        <v>40106</v>
      </c>
      <c r="H431" s="1679">
        <f t="shared" si="32"/>
        <v>15</v>
      </c>
      <c r="I431" s="436"/>
    </row>
    <row r="432" spans="1:9" x14ac:dyDescent="0.25">
      <c r="A432" s="432">
        <v>17095084</v>
      </c>
      <c r="B432" s="433" t="s">
        <v>5028</v>
      </c>
      <c r="C432" s="433" t="s">
        <v>5085</v>
      </c>
      <c r="D432" s="894"/>
      <c r="E432" s="433" t="s">
        <v>6089</v>
      </c>
      <c r="F432" s="436" t="s">
        <v>4620</v>
      </c>
      <c r="G432" s="434">
        <v>42916</v>
      </c>
      <c r="H432" s="436">
        <f t="shared" si="32"/>
        <v>8</v>
      </c>
      <c r="I432" s="436"/>
    </row>
    <row r="433" spans="1:9" x14ac:dyDescent="0.25">
      <c r="A433" s="432">
        <v>17095084</v>
      </c>
      <c r="B433" s="433" t="s">
        <v>5028</v>
      </c>
      <c r="C433" s="433" t="s">
        <v>5085</v>
      </c>
      <c r="D433" s="894"/>
      <c r="E433" s="433" t="s">
        <v>6090</v>
      </c>
      <c r="F433" s="436" t="s">
        <v>4621</v>
      </c>
      <c r="G433" s="434">
        <v>41154</v>
      </c>
      <c r="H433" s="436">
        <f t="shared" si="32"/>
        <v>13</v>
      </c>
      <c r="I433" s="436"/>
    </row>
    <row r="434" spans="1:9" x14ac:dyDescent="0.25">
      <c r="A434" s="438"/>
      <c r="B434" s="439"/>
      <c r="C434" s="439"/>
      <c r="D434" s="896"/>
      <c r="E434" s="439" t="s">
        <v>2904</v>
      </c>
      <c r="F434" s="441"/>
      <c r="G434" s="440"/>
      <c r="H434" s="441"/>
      <c r="I434" s="441"/>
    </row>
    <row r="435" spans="1:9" x14ac:dyDescent="0.25">
      <c r="A435" s="432">
        <v>17267546</v>
      </c>
      <c r="B435" s="433" t="s">
        <v>5083</v>
      </c>
      <c r="C435" s="433" t="s">
        <v>5084</v>
      </c>
      <c r="D435" s="894">
        <v>1</v>
      </c>
      <c r="E435" s="433" t="s">
        <v>6081</v>
      </c>
      <c r="F435" s="436" t="s">
        <v>4621</v>
      </c>
      <c r="G435" s="434">
        <v>39991</v>
      </c>
      <c r="H435" s="1679">
        <f t="shared" ref="H435:H438" si="33">DATEDIF(G435,$G$6,"Y")</f>
        <v>16</v>
      </c>
      <c r="I435" s="436">
        <v>1</v>
      </c>
    </row>
    <row r="436" spans="1:9" x14ac:dyDescent="0.25">
      <c r="A436" s="1260"/>
      <c r="B436" s="1124"/>
      <c r="C436" s="1124"/>
      <c r="D436" s="1125"/>
      <c r="E436" s="1124"/>
      <c r="F436" s="1155"/>
      <c r="G436" s="1126"/>
      <c r="H436" s="1155"/>
      <c r="I436" s="1155"/>
    </row>
    <row r="437" spans="1:9" x14ac:dyDescent="0.25">
      <c r="A437" s="1260">
        <v>18096032</v>
      </c>
      <c r="B437" s="1124" t="s">
        <v>6764</v>
      </c>
      <c r="C437" s="1124" t="s">
        <v>5094</v>
      </c>
      <c r="D437" s="1125">
        <v>1</v>
      </c>
      <c r="E437" s="1124" t="s">
        <v>6767</v>
      </c>
      <c r="F437" s="1155" t="s">
        <v>4620</v>
      </c>
      <c r="G437" s="1126">
        <v>39553</v>
      </c>
      <c r="H437" s="1679">
        <f t="shared" si="33"/>
        <v>17</v>
      </c>
      <c r="I437" s="1155">
        <v>1</v>
      </c>
    </row>
    <row r="438" spans="1:9" x14ac:dyDescent="0.25">
      <c r="A438" s="1260">
        <v>18096032</v>
      </c>
      <c r="B438" s="1124" t="s">
        <v>6764</v>
      </c>
      <c r="C438" s="1124"/>
      <c r="D438" s="1125"/>
      <c r="E438" s="1124" t="s">
        <v>6768</v>
      </c>
      <c r="F438" s="1155" t="s">
        <v>4621</v>
      </c>
      <c r="G438" s="1126">
        <v>41824</v>
      </c>
      <c r="H438" s="436">
        <f t="shared" si="33"/>
        <v>11</v>
      </c>
      <c r="I438" s="1155"/>
    </row>
    <row r="439" spans="1:9" x14ac:dyDescent="0.25">
      <c r="A439" s="438"/>
      <c r="B439" s="439"/>
      <c r="C439" s="439"/>
      <c r="D439" s="896"/>
      <c r="E439" s="439" t="s">
        <v>2904</v>
      </c>
      <c r="F439" s="441"/>
      <c r="G439" s="440"/>
      <c r="H439" s="441"/>
      <c r="I439" s="441"/>
    </row>
    <row r="440" spans="1:9" x14ac:dyDescent="0.25">
      <c r="A440" s="432">
        <v>18096338</v>
      </c>
      <c r="B440" s="433" t="s">
        <v>5733</v>
      </c>
      <c r="C440" s="433" t="s">
        <v>5747</v>
      </c>
      <c r="D440" s="894">
        <v>0</v>
      </c>
      <c r="E440" s="433" t="s">
        <v>6084</v>
      </c>
      <c r="F440" s="436" t="s">
        <v>4620</v>
      </c>
      <c r="G440" s="434">
        <v>39836</v>
      </c>
      <c r="H440" s="1679">
        <f>DATEDIF(G440,$G$6,"Y")</f>
        <v>16</v>
      </c>
      <c r="I440" s="436">
        <v>1</v>
      </c>
    </row>
    <row r="441" spans="1:9" x14ac:dyDescent="0.25">
      <c r="A441" s="438"/>
      <c r="B441" s="439"/>
      <c r="C441" s="439"/>
      <c r="D441" s="896"/>
      <c r="E441" s="439" t="s">
        <v>2904</v>
      </c>
      <c r="F441" s="441"/>
      <c r="G441" s="440"/>
      <c r="H441" s="441"/>
      <c r="I441" s="441"/>
    </row>
    <row r="442" spans="1:9" x14ac:dyDescent="0.25">
      <c r="A442" s="432">
        <v>18350780</v>
      </c>
      <c r="B442" s="433" t="s">
        <v>5742</v>
      </c>
      <c r="C442" s="433" t="s">
        <v>5747</v>
      </c>
      <c r="D442" s="894">
        <v>1</v>
      </c>
      <c r="E442" s="433" t="s">
        <v>6085</v>
      </c>
      <c r="F442" s="436" t="s">
        <v>4620</v>
      </c>
      <c r="G442" s="434">
        <v>43212</v>
      </c>
      <c r="H442" s="436">
        <f>DATEDIF(G442,$G$6,"Y")</f>
        <v>7</v>
      </c>
      <c r="I442" s="436"/>
    </row>
    <row r="443" spans="1:9" x14ac:dyDescent="0.25">
      <c r="A443" s="438"/>
      <c r="B443" s="439"/>
      <c r="C443" s="439"/>
      <c r="D443" s="896"/>
      <c r="E443" s="439"/>
      <c r="F443" s="441"/>
      <c r="G443" s="440"/>
      <c r="H443" s="441"/>
      <c r="I443" s="441"/>
    </row>
    <row r="444" spans="1:9" x14ac:dyDescent="0.25">
      <c r="A444" s="432">
        <v>18456167</v>
      </c>
      <c r="B444" s="433" t="s">
        <v>5033</v>
      </c>
      <c r="C444" s="433" t="s">
        <v>5751</v>
      </c>
      <c r="D444" s="894">
        <v>1</v>
      </c>
      <c r="E444" s="433" t="s">
        <v>5752</v>
      </c>
      <c r="F444" s="436" t="s">
        <v>4621</v>
      </c>
      <c r="G444" s="434">
        <v>39502</v>
      </c>
      <c r="H444" s="1679">
        <f t="shared" ref="H444:H445" si="34">DATEDIF(G444,$G$6,"Y")</f>
        <v>17</v>
      </c>
      <c r="I444" s="436">
        <v>1</v>
      </c>
    </row>
    <row r="445" spans="1:9" x14ac:dyDescent="0.25">
      <c r="A445" s="432">
        <v>18456167</v>
      </c>
      <c r="B445" s="433" t="s">
        <v>5033</v>
      </c>
      <c r="C445" s="433" t="s">
        <v>5751</v>
      </c>
      <c r="D445" s="894"/>
      <c r="E445" s="433" t="s">
        <v>6091</v>
      </c>
      <c r="F445" s="436" t="s">
        <v>4620</v>
      </c>
      <c r="G445" s="434">
        <v>43733</v>
      </c>
      <c r="H445" s="436">
        <f t="shared" si="34"/>
        <v>6</v>
      </c>
      <c r="I445" s="436"/>
    </row>
    <row r="446" spans="1:9" x14ac:dyDescent="0.25">
      <c r="A446" s="432"/>
      <c r="B446" s="433"/>
      <c r="C446" s="433"/>
      <c r="D446" s="894"/>
      <c r="E446" s="433"/>
      <c r="F446" s="436"/>
      <c r="G446" s="434"/>
      <c r="H446" s="436"/>
      <c r="I446" s="436"/>
    </row>
    <row r="447" spans="1:9" x14ac:dyDescent="0.25">
      <c r="A447" s="432">
        <v>18456576</v>
      </c>
      <c r="B447" s="433" t="s">
        <v>4862</v>
      </c>
      <c r="C447" s="433" t="s">
        <v>5236</v>
      </c>
      <c r="D447" s="894">
        <v>1</v>
      </c>
      <c r="E447" s="433" t="s">
        <v>6028</v>
      </c>
      <c r="F447" s="436" t="s">
        <v>4621</v>
      </c>
      <c r="G447" s="434">
        <v>42282</v>
      </c>
      <c r="H447" s="436">
        <f t="shared" ref="H447:H448" si="35">DATEDIF(G447,$G$6,"Y")</f>
        <v>9</v>
      </c>
      <c r="I447" s="436">
        <v>1</v>
      </c>
    </row>
    <row r="448" spans="1:9" x14ac:dyDescent="0.25">
      <c r="A448" s="432">
        <v>18456576</v>
      </c>
      <c r="B448" s="433" t="s">
        <v>4862</v>
      </c>
      <c r="C448" s="433"/>
      <c r="D448" s="894"/>
      <c r="E448" s="433" t="s">
        <v>6030</v>
      </c>
      <c r="F448" s="436" t="s">
        <v>4620</v>
      </c>
      <c r="G448" s="434">
        <v>40159</v>
      </c>
      <c r="H448" s="1679">
        <f t="shared" si="35"/>
        <v>15</v>
      </c>
      <c r="I448" s="434"/>
    </row>
    <row r="449" spans="1:9" x14ac:dyDescent="0.25">
      <c r="A449" s="438"/>
      <c r="B449" s="439"/>
      <c r="C449" s="439"/>
      <c r="D449" s="896"/>
      <c r="E449" s="439"/>
      <c r="F449" s="441"/>
      <c r="G449" s="440"/>
      <c r="H449" s="441"/>
      <c r="I449" s="441"/>
    </row>
    <row r="450" spans="1:9" x14ac:dyDescent="0.25">
      <c r="A450" s="432">
        <v>20039961</v>
      </c>
      <c r="B450" s="433" t="s">
        <v>5735</v>
      </c>
      <c r="C450" s="433" t="s">
        <v>5748</v>
      </c>
      <c r="D450" s="894">
        <v>0</v>
      </c>
      <c r="E450" s="433" t="s">
        <v>6092</v>
      </c>
      <c r="F450" s="436" t="s">
        <v>4620</v>
      </c>
      <c r="G450" s="434">
        <v>40378</v>
      </c>
      <c r="H450" s="1679">
        <f t="shared" ref="H450:H451" si="36">DATEDIF(G450,$G$6,"Y")</f>
        <v>15</v>
      </c>
      <c r="I450" s="436">
        <v>2</v>
      </c>
    </row>
    <row r="451" spans="1:9" x14ac:dyDescent="0.25">
      <c r="A451" s="432">
        <v>20039961</v>
      </c>
      <c r="B451" s="433" t="s">
        <v>5735</v>
      </c>
      <c r="C451" s="433" t="s">
        <v>5748</v>
      </c>
      <c r="D451" s="894"/>
      <c r="E451" s="433" t="s">
        <v>6093</v>
      </c>
      <c r="F451" s="436" t="s">
        <v>4620</v>
      </c>
      <c r="G451" s="434">
        <v>39636</v>
      </c>
      <c r="H451" s="1679">
        <f t="shared" si="36"/>
        <v>17</v>
      </c>
      <c r="I451" s="436"/>
    </row>
    <row r="452" spans="1:9" x14ac:dyDescent="0.25">
      <c r="A452" s="432"/>
      <c r="B452" s="433"/>
      <c r="C452" s="433"/>
      <c r="D452" s="894"/>
      <c r="E452" s="433" t="s">
        <v>2904</v>
      </c>
      <c r="F452" s="436"/>
      <c r="G452" s="434"/>
      <c r="H452" s="436"/>
      <c r="I452" s="436"/>
    </row>
    <row r="453" spans="1:9" x14ac:dyDescent="0.25">
      <c r="A453" s="432">
        <v>20040649</v>
      </c>
      <c r="B453" s="433" t="s">
        <v>5036</v>
      </c>
      <c r="C453" s="433" t="s">
        <v>2619</v>
      </c>
      <c r="D453" s="894">
        <v>2</v>
      </c>
      <c r="E453" s="433" t="s">
        <v>6097</v>
      </c>
      <c r="F453" s="436" t="s">
        <v>4620</v>
      </c>
      <c r="G453" s="434">
        <v>42379</v>
      </c>
      <c r="H453" s="436">
        <f t="shared" ref="H453:H460" si="37">DATEDIF(G453,$G$6,"Y")</f>
        <v>9</v>
      </c>
      <c r="I453" s="436"/>
    </row>
    <row r="454" spans="1:9" x14ac:dyDescent="0.25">
      <c r="A454" s="432">
        <v>20040649</v>
      </c>
      <c r="B454" s="433" t="s">
        <v>5036</v>
      </c>
      <c r="C454" s="433" t="s">
        <v>2619</v>
      </c>
      <c r="D454" s="894"/>
      <c r="E454" s="433" t="s">
        <v>6098</v>
      </c>
      <c r="F454" s="436" t="s">
        <v>4621</v>
      </c>
      <c r="G454" s="434">
        <v>41894</v>
      </c>
      <c r="H454" s="436">
        <f t="shared" si="37"/>
        <v>11</v>
      </c>
      <c r="I454" s="436"/>
    </row>
    <row r="455" spans="1:9" x14ac:dyDescent="0.25">
      <c r="A455" s="432">
        <v>20040649</v>
      </c>
      <c r="B455" s="433" t="s">
        <v>5036</v>
      </c>
      <c r="C455" s="433" t="s">
        <v>2619</v>
      </c>
      <c r="D455" s="894"/>
      <c r="E455" s="433" t="s">
        <v>6099</v>
      </c>
      <c r="F455" s="436" t="s">
        <v>4621</v>
      </c>
      <c r="G455" s="434">
        <v>41803</v>
      </c>
      <c r="H455" s="436">
        <f t="shared" si="37"/>
        <v>11</v>
      </c>
      <c r="I455" s="436"/>
    </row>
    <row r="456" spans="1:9" x14ac:dyDescent="0.25">
      <c r="A456" s="432">
        <v>20040649</v>
      </c>
      <c r="B456" s="433" t="s">
        <v>5036</v>
      </c>
      <c r="C456" s="433" t="s">
        <v>2619</v>
      </c>
      <c r="D456" s="894"/>
      <c r="E456" s="433" t="s">
        <v>6100</v>
      </c>
      <c r="F456" s="436" t="s">
        <v>4620</v>
      </c>
      <c r="G456" s="434">
        <v>43027</v>
      </c>
      <c r="H456" s="436">
        <f t="shared" si="37"/>
        <v>7</v>
      </c>
      <c r="I456" s="436"/>
    </row>
    <row r="457" spans="1:9" x14ac:dyDescent="0.25">
      <c r="A457" s="432">
        <v>20040649</v>
      </c>
      <c r="B457" s="433" t="s">
        <v>5036</v>
      </c>
      <c r="C457" s="433" t="s">
        <v>2619</v>
      </c>
      <c r="D457" s="894"/>
      <c r="E457" s="433" t="s">
        <v>6101</v>
      </c>
      <c r="F457" s="436" t="s">
        <v>4620</v>
      </c>
      <c r="G457" s="434">
        <v>44434</v>
      </c>
      <c r="H457" s="436">
        <f t="shared" si="37"/>
        <v>4</v>
      </c>
      <c r="I457" s="436"/>
    </row>
    <row r="458" spans="1:9" x14ac:dyDescent="0.25">
      <c r="A458" s="438"/>
      <c r="B458" s="439"/>
      <c r="C458" s="439"/>
      <c r="D458" s="896"/>
      <c r="E458" s="439" t="s">
        <v>2904</v>
      </c>
      <c r="F458" s="441"/>
      <c r="G458" s="440"/>
      <c r="H458" s="441"/>
      <c r="I458" s="441"/>
    </row>
    <row r="459" spans="1:9" x14ac:dyDescent="0.25">
      <c r="A459" s="1260">
        <v>20788036</v>
      </c>
      <c r="B459" s="1124" t="s">
        <v>7361</v>
      </c>
      <c r="C459" s="1124" t="s">
        <v>5093</v>
      </c>
      <c r="D459" s="1125">
        <v>2</v>
      </c>
      <c r="E459" s="1124" t="s">
        <v>7373</v>
      </c>
      <c r="F459" s="436" t="s">
        <v>4620</v>
      </c>
      <c r="G459" s="1126">
        <v>43168</v>
      </c>
      <c r="H459" s="436">
        <f t="shared" si="37"/>
        <v>7</v>
      </c>
      <c r="I459" s="1155"/>
    </row>
    <row r="460" spans="1:9" x14ac:dyDescent="0.25">
      <c r="A460" s="1260"/>
      <c r="B460" s="1124"/>
      <c r="C460" s="1124"/>
      <c r="D460" s="1125"/>
      <c r="E460" s="1124" t="s">
        <v>7374</v>
      </c>
      <c r="F460" s="436" t="s">
        <v>4620</v>
      </c>
      <c r="G460" s="1126">
        <v>43770</v>
      </c>
      <c r="H460" s="436">
        <f t="shared" si="37"/>
        <v>5</v>
      </c>
      <c r="I460" s="1155"/>
    </row>
    <row r="461" spans="1:9" x14ac:dyDescent="0.25">
      <c r="A461" s="1260"/>
      <c r="B461" s="1124"/>
      <c r="C461" s="1124"/>
      <c r="D461" s="1125"/>
      <c r="E461" s="1124"/>
      <c r="F461" s="1155"/>
      <c r="G461" s="1126"/>
      <c r="H461" s="1155"/>
      <c r="I461" s="1155"/>
    </row>
    <row r="462" spans="1:9" x14ac:dyDescent="0.25">
      <c r="A462" s="432">
        <v>21366579</v>
      </c>
      <c r="B462" s="433" t="s">
        <v>5037</v>
      </c>
      <c r="C462" s="433" t="s">
        <v>5086</v>
      </c>
      <c r="D462" s="894">
        <v>1</v>
      </c>
      <c r="E462" s="433" t="s">
        <v>6094</v>
      </c>
      <c r="F462" s="436" t="s">
        <v>4620</v>
      </c>
      <c r="G462" s="434">
        <v>44804</v>
      </c>
      <c r="H462" s="436">
        <f>DATEDIF(G462,$G$6,"Y")</f>
        <v>3</v>
      </c>
      <c r="I462" s="436"/>
    </row>
    <row r="463" spans="1:9" x14ac:dyDescent="0.25">
      <c r="A463" s="432"/>
      <c r="B463" s="433"/>
      <c r="C463" s="433"/>
      <c r="D463" s="894"/>
      <c r="E463" s="433"/>
      <c r="F463" s="436"/>
      <c r="G463" s="434"/>
      <c r="H463" s="436"/>
      <c r="I463" s="436"/>
    </row>
    <row r="464" spans="1:9" x14ac:dyDescent="0.25">
      <c r="A464" s="432">
        <v>25173228</v>
      </c>
      <c r="B464" s="433" t="s">
        <v>5039</v>
      </c>
      <c r="C464" s="433" t="s">
        <v>5084</v>
      </c>
      <c r="D464" s="894">
        <v>2</v>
      </c>
      <c r="E464" s="433" t="s">
        <v>6095</v>
      </c>
      <c r="F464" s="436" t="s">
        <v>4621</v>
      </c>
      <c r="G464" s="434">
        <v>42580</v>
      </c>
      <c r="H464" s="436">
        <f t="shared" ref="H464:H465" si="38">DATEDIF(G464,$G$6,"Y")</f>
        <v>9</v>
      </c>
      <c r="I464" s="436"/>
    </row>
    <row r="465" spans="1:10" x14ac:dyDescent="0.25">
      <c r="A465" s="432">
        <v>25173228</v>
      </c>
      <c r="B465" s="433" t="s">
        <v>5039</v>
      </c>
      <c r="C465" s="433" t="s">
        <v>5084</v>
      </c>
      <c r="D465" s="894"/>
      <c r="E465" s="433" t="s">
        <v>6096</v>
      </c>
      <c r="F465" s="436" t="s">
        <v>4620</v>
      </c>
      <c r="G465" s="434">
        <v>42946</v>
      </c>
      <c r="H465" s="436">
        <f t="shared" si="38"/>
        <v>8</v>
      </c>
      <c r="I465" s="436"/>
    </row>
    <row r="466" spans="1:10" x14ac:dyDescent="0.25">
      <c r="A466" s="438"/>
      <c r="B466" s="439"/>
      <c r="C466" s="439"/>
      <c r="D466" s="896"/>
      <c r="E466" s="439"/>
      <c r="F466" s="441"/>
      <c r="G466" s="440"/>
      <c r="H466" s="441"/>
      <c r="I466" s="441"/>
    </row>
    <row r="467" spans="1:10" x14ac:dyDescent="0.25">
      <c r="A467" s="432">
        <v>25919888</v>
      </c>
      <c r="B467" s="433" t="s">
        <v>5041</v>
      </c>
      <c r="C467" s="433" t="s">
        <v>5087</v>
      </c>
      <c r="D467" s="894">
        <v>2</v>
      </c>
      <c r="E467" s="444" t="s">
        <v>6102</v>
      </c>
      <c r="F467" s="436" t="s">
        <v>4620</v>
      </c>
      <c r="G467" s="434">
        <v>43342</v>
      </c>
      <c r="H467" s="436">
        <f t="shared" ref="H467:H469" si="39">DATEDIF(G467,$G$6,"Y")</f>
        <v>7</v>
      </c>
      <c r="I467" s="436"/>
    </row>
    <row r="468" spans="1:10" x14ac:dyDescent="0.25">
      <c r="A468" s="432">
        <v>25919888</v>
      </c>
      <c r="B468" s="433" t="s">
        <v>5041</v>
      </c>
      <c r="C468" s="433" t="s">
        <v>5087</v>
      </c>
      <c r="D468" s="894"/>
      <c r="E468" s="444" t="s">
        <v>6103</v>
      </c>
      <c r="F468" s="436" t="s">
        <v>4620</v>
      </c>
      <c r="G468" s="434">
        <v>42410</v>
      </c>
      <c r="H468" s="436">
        <f t="shared" si="39"/>
        <v>9</v>
      </c>
      <c r="I468" s="436"/>
    </row>
    <row r="469" spans="1:10" x14ac:dyDescent="0.25">
      <c r="A469" s="432">
        <v>25919888</v>
      </c>
      <c r="B469" s="433" t="s">
        <v>5041</v>
      </c>
      <c r="C469" s="433" t="s">
        <v>5087</v>
      </c>
      <c r="D469" s="894"/>
      <c r="E469" s="444" t="s">
        <v>6104</v>
      </c>
      <c r="F469" s="436" t="s">
        <v>4621</v>
      </c>
      <c r="G469" s="434">
        <v>41793</v>
      </c>
      <c r="H469" s="436">
        <f t="shared" si="39"/>
        <v>11</v>
      </c>
      <c r="I469" s="436"/>
    </row>
    <row r="470" spans="1:10" x14ac:dyDescent="0.25">
      <c r="A470" s="1260"/>
      <c r="B470" s="1124"/>
      <c r="C470" s="1124"/>
      <c r="D470" s="1125"/>
      <c r="E470" s="1431"/>
      <c r="F470" s="1155"/>
      <c r="G470" s="1126"/>
      <c r="H470" s="1155"/>
      <c r="I470" s="1155"/>
    </row>
    <row r="471" spans="1:10" x14ac:dyDescent="0.25">
      <c r="A471" s="1260">
        <v>26235670</v>
      </c>
      <c r="B471" s="1124" t="s">
        <v>6782</v>
      </c>
      <c r="C471" s="433" t="s">
        <v>5084</v>
      </c>
      <c r="D471" s="1125">
        <v>1</v>
      </c>
      <c r="E471" s="1431" t="s">
        <v>6784</v>
      </c>
      <c r="F471" s="436" t="s">
        <v>4621</v>
      </c>
      <c r="G471" s="434">
        <v>44583</v>
      </c>
      <c r="H471" s="436">
        <f t="shared" ref="H471" si="40">DATEDIF(G471,$G$6,"Y")</f>
        <v>3</v>
      </c>
      <c r="I471" s="1155"/>
    </row>
    <row r="472" spans="1:10" x14ac:dyDescent="0.25">
      <c r="A472" s="438"/>
      <c r="B472" s="439"/>
      <c r="C472" s="439"/>
      <c r="D472" s="896"/>
      <c r="E472" s="445"/>
      <c r="F472" s="441"/>
      <c r="G472" s="440"/>
      <c r="H472" s="441"/>
      <c r="I472" s="441"/>
    </row>
    <row r="473" spans="1:10" x14ac:dyDescent="0.25">
      <c r="A473" s="432">
        <v>27470077</v>
      </c>
      <c r="B473" s="433" t="s">
        <v>5043</v>
      </c>
      <c r="C473" s="433" t="s">
        <v>5087</v>
      </c>
      <c r="D473" s="894">
        <v>1</v>
      </c>
      <c r="E473" s="433" t="s">
        <v>6105</v>
      </c>
      <c r="F473" s="436" t="s">
        <v>4620</v>
      </c>
      <c r="G473" s="434">
        <v>43194</v>
      </c>
      <c r="H473" s="436">
        <f>DATEDIF(G473,$G$6,"Y")</f>
        <v>7</v>
      </c>
      <c r="I473" s="436"/>
    </row>
    <row r="474" spans="1:10" x14ac:dyDescent="0.25">
      <c r="A474" s="1260"/>
      <c r="B474" s="1124"/>
      <c r="C474" s="1124"/>
      <c r="D474" s="1125"/>
      <c r="E474" s="1124"/>
      <c r="F474" s="1155"/>
      <c r="G474" s="1126"/>
      <c r="H474" s="1155"/>
      <c r="I474" s="1155"/>
    </row>
    <row r="475" spans="1:10" x14ac:dyDescent="0.25">
      <c r="A475" s="1260">
        <v>32084560</v>
      </c>
      <c r="B475" s="1124" t="s">
        <v>5046</v>
      </c>
      <c r="C475" s="1124" t="s">
        <v>5085</v>
      </c>
      <c r="D475" s="1125">
        <v>1</v>
      </c>
      <c r="E475" s="1124" t="s">
        <v>7598</v>
      </c>
      <c r="F475" s="1155" t="s">
        <v>4620</v>
      </c>
      <c r="G475" s="1126">
        <v>45419</v>
      </c>
      <c r="H475" s="436">
        <f t="shared" ref="H475" si="41">DATEDIF(G475,$G$6,"Y")</f>
        <v>1</v>
      </c>
      <c r="I475" s="1155"/>
    </row>
    <row r="476" spans="1:10" x14ac:dyDescent="0.25">
      <c r="A476" s="438"/>
      <c r="B476" s="439"/>
      <c r="C476" s="439"/>
      <c r="D476" s="896"/>
      <c r="E476" s="439"/>
      <c r="F476" s="441"/>
      <c r="G476" s="440"/>
      <c r="H476" s="441"/>
      <c r="I476" s="441"/>
    </row>
    <row r="477" spans="1:10" ht="15.75" thickBot="1" x14ac:dyDescent="0.3"/>
    <row r="478" spans="1:10" ht="15.75" thickBot="1" x14ac:dyDescent="0.3">
      <c r="C478" s="426" t="s">
        <v>5757</v>
      </c>
      <c r="D478" s="437">
        <f>+SUM(D394:D477)</f>
        <v>38</v>
      </c>
      <c r="E478" s="1477">
        <f>+NOMINA!Z397-D478</f>
        <v>6</v>
      </c>
      <c r="I478" s="437">
        <f>+SUM(I394:I477)</f>
        <v>14</v>
      </c>
      <c r="J478" s="364">
        <f>+D478-I478</f>
        <v>24</v>
      </c>
    </row>
    <row r="481" spans="3:5" ht="21" x14ac:dyDescent="0.35">
      <c r="C481" s="460" t="s">
        <v>5770</v>
      </c>
      <c r="D481" s="461">
        <f>+D478+D390+D45+D12</f>
        <v>174</v>
      </c>
      <c r="E481" s="1477">
        <f>+NOMINA!Z400-D481</f>
        <v>80</v>
      </c>
    </row>
  </sheetData>
  <mergeCells count="9">
    <mergeCell ref="H7:I8"/>
    <mergeCell ref="A392:I392"/>
    <mergeCell ref="B1:E1"/>
    <mergeCell ref="B2:F2"/>
    <mergeCell ref="B3:F3"/>
    <mergeCell ref="B4:F4"/>
    <mergeCell ref="B7:B8"/>
    <mergeCell ref="C7:C8"/>
    <mergeCell ref="F7:F8"/>
  </mergeCells>
  <pageMargins left="0" right="0" top="0.39370078740157483" bottom="0.39370078740157483" header="0" footer="0"/>
  <pageSetup scale="7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B7"/>
  <sheetViews>
    <sheetView workbookViewId="0">
      <selection activeCell="B6" sqref="B6"/>
    </sheetView>
  </sheetViews>
  <sheetFormatPr baseColWidth="10" defaultRowHeight="15" x14ac:dyDescent="0.25"/>
  <cols>
    <col min="2" max="2" width="102.140625" customWidth="1"/>
  </cols>
  <sheetData>
    <row r="3" spans="2:2" ht="74.25" customHeight="1" x14ac:dyDescent="0.25"/>
    <row r="4" spans="2:2" ht="108" x14ac:dyDescent="0.25">
      <c r="B4" s="1597" t="s">
        <v>7325</v>
      </c>
    </row>
    <row r="5" spans="2:2" ht="3.75" customHeight="1" x14ac:dyDescent="0.25"/>
    <row r="6" spans="2:2" ht="94.5" x14ac:dyDescent="0.25">
      <c r="B6" s="1598" t="s">
        <v>7326</v>
      </c>
    </row>
    <row r="7" spans="2:2" ht="47.25" x14ac:dyDescent="0.25">
      <c r="B7" s="1598" t="s">
        <v>7327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Z108"/>
  <sheetViews>
    <sheetView workbookViewId="0">
      <pane ySplit="2" topLeftCell="A87" activePane="bottomLeft" state="frozen"/>
      <selection activeCell="A4" sqref="A4"/>
      <selection pane="bottomLeft" activeCell="A103" sqref="A103"/>
    </sheetView>
  </sheetViews>
  <sheetFormatPr baseColWidth="10" defaultRowHeight="12" x14ac:dyDescent="0.25"/>
  <cols>
    <col min="1" max="1" width="10.42578125" style="29" bestFit="1" customWidth="1"/>
    <col min="2" max="2" width="45.28515625" style="29" bestFit="1" customWidth="1"/>
    <col min="3" max="3" width="20.7109375" style="120" bestFit="1" customWidth="1"/>
    <col min="4" max="4" width="27.7109375" style="29" bestFit="1" customWidth="1"/>
    <col min="5" max="5" width="14.140625" style="29" bestFit="1" customWidth="1"/>
    <col min="6" max="6" width="5.7109375" style="29" bestFit="1" customWidth="1"/>
    <col min="7" max="7" width="12" style="29" bestFit="1" customWidth="1"/>
    <col min="8" max="8" width="19.28515625" style="29" bestFit="1" customWidth="1"/>
    <col min="9" max="9" width="12" style="29" bestFit="1" customWidth="1"/>
    <col min="10" max="11" width="12" style="29" customWidth="1"/>
    <col min="12" max="12" width="15.42578125" style="29" customWidth="1"/>
    <col min="13" max="13" width="22.5703125" style="29" bestFit="1" customWidth="1"/>
    <col min="14" max="14" width="15.42578125" style="29" bestFit="1" customWidth="1"/>
    <col min="15" max="16384" width="11.42578125" style="29"/>
  </cols>
  <sheetData>
    <row r="1" spans="1:26" s="25" customFormat="1" ht="23.25" customHeight="1" thickBot="1" x14ac:dyDescent="0.3">
      <c r="A1" s="1837" t="s">
        <v>2899</v>
      </c>
      <c r="B1" s="1836"/>
      <c r="C1" s="1836"/>
      <c r="D1" s="1836"/>
      <c r="E1" s="1836"/>
      <c r="F1" s="1836" t="s">
        <v>2879</v>
      </c>
      <c r="G1" s="1836"/>
      <c r="H1" s="1836" t="s">
        <v>2880</v>
      </c>
      <c r="I1" s="1836"/>
      <c r="J1" s="1833" t="s">
        <v>2901</v>
      </c>
      <c r="K1" s="1834"/>
      <c r="L1" s="1835"/>
      <c r="M1" s="59" t="s">
        <v>2898</v>
      </c>
      <c r="N1" s="44" t="s">
        <v>2878</v>
      </c>
    </row>
    <row r="2" spans="1:26" ht="27.75" thickBot="1" x14ac:dyDescent="0.3">
      <c r="A2" s="45" t="s">
        <v>2847</v>
      </c>
      <c r="B2" s="46" t="s">
        <v>2848</v>
      </c>
      <c r="C2" s="115" t="s">
        <v>2846</v>
      </c>
      <c r="D2" s="46" t="s">
        <v>2834</v>
      </c>
      <c r="E2" s="47" t="s">
        <v>2849</v>
      </c>
      <c r="F2" s="56" t="s">
        <v>2881</v>
      </c>
      <c r="G2" s="56" t="s">
        <v>2882</v>
      </c>
      <c r="H2" s="56" t="s">
        <v>2883</v>
      </c>
      <c r="I2" s="56" t="s">
        <v>2882</v>
      </c>
      <c r="J2" s="56" t="s">
        <v>2902</v>
      </c>
      <c r="K2" s="57" t="s">
        <v>2902</v>
      </c>
      <c r="L2" s="58" t="s">
        <v>2903</v>
      </c>
      <c r="M2" s="92">
        <v>2025</v>
      </c>
      <c r="N2" s="93">
        <v>0</v>
      </c>
      <c r="W2" s="579" t="s">
        <v>4492</v>
      </c>
      <c r="X2" s="579" t="s">
        <v>4613</v>
      </c>
      <c r="Y2" s="580" t="s">
        <v>5796</v>
      </c>
      <c r="Z2" s="580" t="s">
        <v>5797</v>
      </c>
    </row>
    <row r="3" spans="1:26" ht="15" x14ac:dyDescent="0.25">
      <c r="A3" s="26" t="s">
        <v>2850</v>
      </c>
      <c r="B3" s="27" t="s">
        <v>2851</v>
      </c>
      <c r="C3" s="116"/>
      <c r="D3" s="28"/>
      <c r="E3" s="41"/>
      <c r="F3" s="27">
        <v>0</v>
      </c>
      <c r="G3" s="43">
        <v>0</v>
      </c>
      <c r="H3" s="42" t="s">
        <v>2884</v>
      </c>
      <c r="I3" s="111">
        <v>0</v>
      </c>
      <c r="J3" s="133" t="s">
        <v>2865</v>
      </c>
      <c r="K3" s="130">
        <v>1</v>
      </c>
      <c r="L3" s="130">
        <v>4</v>
      </c>
      <c r="M3" s="18"/>
      <c r="N3" s="18"/>
      <c r="W3" s="578" t="s">
        <v>2865</v>
      </c>
      <c r="X3" s="578">
        <v>12</v>
      </c>
      <c r="Y3" s="578">
        <v>180</v>
      </c>
      <c r="Z3" s="578">
        <v>150</v>
      </c>
    </row>
    <row r="4" spans="1:26" ht="15" x14ac:dyDescent="0.25">
      <c r="A4" s="30" t="s">
        <v>2852</v>
      </c>
      <c r="B4" s="31" t="s">
        <v>2877</v>
      </c>
      <c r="C4" s="113">
        <f>'TAB EMP'!$B$2*100%</f>
        <v>130</v>
      </c>
      <c r="D4" s="32">
        <v>130</v>
      </c>
      <c r="E4" s="38"/>
      <c r="F4" s="32">
        <v>1</v>
      </c>
      <c r="G4" s="39">
        <v>0.01</v>
      </c>
      <c r="H4" s="31" t="s">
        <v>2844</v>
      </c>
      <c r="I4" s="112">
        <v>0.2</v>
      </c>
      <c r="J4" s="133" t="s">
        <v>2866</v>
      </c>
      <c r="K4" s="130">
        <v>2</v>
      </c>
      <c r="L4" s="130">
        <v>4</v>
      </c>
      <c r="M4" s="18"/>
      <c r="N4" s="18"/>
      <c r="W4" s="578" t="s">
        <v>2866</v>
      </c>
      <c r="X4" s="578">
        <v>11</v>
      </c>
      <c r="Y4" s="578">
        <v>165</v>
      </c>
      <c r="Z4" s="578">
        <v>137.5</v>
      </c>
    </row>
    <row r="5" spans="1:26" ht="15" x14ac:dyDescent="0.25">
      <c r="A5" s="30" t="s">
        <v>2853</v>
      </c>
      <c r="B5" s="32" t="s">
        <v>2854</v>
      </c>
      <c r="C5" s="117"/>
      <c r="D5" s="32"/>
      <c r="E5" s="37"/>
      <c r="F5" s="32">
        <v>2</v>
      </c>
      <c r="G5" s="39">
        <v>0.02</v>
      </c>
      <c r="H5" s="31" t="s">
        <v>2885</v>
      </c>
      <c r="I5" s="112">
        <v>0.25</v>
      </c>
      <c r="J5" s="133" t="s">
        <v>2867</v>
      </c>
      <c r="K5" s="130">
        <v>3</v>
      </c>
      <c r="L5" s="130">
        <v>5</v>
      </c>
      <c r="M5" s="18"/>
      <c r="N5" s="18"/>
      <c r="W5" s="578" t="s">
        <v>2867</v>
      </c>
      <c r="X5" s="578">
        <v>10</v>
      </c>
      <c r="Y5" s="578">
        <v>150</v>
      </c>
      <c r="Z5" s="578">
        <v>125</v>
      </c>
    </row>
    <row r="6" spans="1:26" ht="15" x14ac:dyDescent="0.25">
      <c r="A6" s="30" t="s">
        <v>2855</v>
      </c>
      <c r="B6" s="32" t="s">
        <v>9</v>
      </c>
      <c r="C6" s="114">
        <v>0.3</v>
      </c>
      <c r="D6" s="32"/>
      <c r="E6" s="38"/>
      <c r="F6" s="32">
        <v>3</v>
      </c>
      <c r="G6" s="39">
        <v>0.03</v>
      </c>
      <c r="H6" s="31" t="s">
        <v>2886</v>
      </c>
      <c r="I6" s="112">
        <v>0.3</v>
      </c>
      <c r="J6" s="133" t="s">
        <v>2868</v>
      </c>
      <c r="K6" s="130">
        <v>4</v>
      </c>
      <c r="L6" s="130">
        <v>4</v>
      </c>
      <c r="M6" s="18"/>
      <c r="N6" s="18"/>
      <c r="W6" s="578" t="s">
        <v>2868</v>
      </c>
      <c r="X6" s="578">
        <v>9</v>
      </c>
      <c r="Y6" s="578">
        <v>135</v>
      </c>
      <c r="Z6" s="578">
        <v>112.5</v>
      </c>
    </row>
    <row r="7" spans="1:26" ht="15" x14ac:dyDescent="0.25">
      <c r="A7" s="30" t="s">
        <v>2856</v>
      </c>
      <c r="B7" s="32" t="s">
        <v>8</v>
      </c>
      <c r="C7" s="114">
        <v>12.5</v>
      </c>
      <c r="D7" s="32"/>
      <c r="E7" s="38"/>
      <c r="F7" s="32">
        <v>4</v>
      </c>
      <c r="G7" s="39">
        <v>0.04</v>
      </c>
      <c r="H7" s="31" t="s">
        <v>2887</v>
      </c>
      <c r="I7" s="112">
        <v>0.35</v>
      </c>
      <c r="J7" s="133" t="s">
        <v>2869</v>
      </c>
      <c r="K7" s="130">
        <v>5</v>
      </c>
      <c r="L7" s="130">
        <v>4</v>
      </c>
      <c r="M7" s="18"/>
      <c r="N7" s="18"/>
      <c r="W7" s="578" t="s">
        <v>2869</v>
      </c>
      <c r="X7" s="578">
        <v>8</v>
      </c>
      <c r="Y7" s="578">
        <v>120</v>
      </c>
      <c r="Z7" s="578">
        <v>100</v>
      </c>
    </row>
    <row r="8" spans="1:26" ht="15" x14ac:dyDescent="0.25">
      <c r="A8" s="33" t="s">
        <v>2857</v>
      </c>
      <c r="B8" s="31" t="s">
        <v>10</v>
      </c>
      <c r="C8" s="150" t="s">
        <v>4616</v>
      </c>
      <c r="D8" s="151" t="str">
        <f t="shared" ref="D8:D9" si="0">C8</f>
        <v>((SN*4/12)+SN)/30*180</v>
      </c>
      <c r="E8" s="38"/>
      <c r="F8" s="32">
        <v>5</v>
      </c>
      <c r="G8" s="39">
        <v>0.05</v>
      </c>
      <c r="H8" s="31" t="s">
        <v>2888</v>
      </c>
      <c r="I8" s="112">
        <v>0.4</v>
      </c>
      <c r="J8" s="133" t="s">
        <v>2870</v>
      </c>
      <c r="K8" s="130">
        <v>6</v>
      </c>
      <c r="L8" s="130">
        <v>5</v>
      </c>
      <c r="M8" s="18"/>
      <c r="N8" s="18"/>
      <c r="W8" s="578" t="s">
        <v>2870</v>
      </c>
      <c r="X8" s="578">
        <v>7</v>
      </c>
      <c r="Y8" s="578">
        <v>105</v>
      </c>
      <c r="Z8" s="578">
        <v>87.5</v>
      </c>
    </row>
    <row r="9" spans="1:26" ht="15" x14ac:dyDescent="0.25">
      <c r="A9" s="33" t="s">
        <v>2858</v>
      </c>
      <c r="B9" s="31" t="s">
        <v>4492</v>
      </c>
      <c r="C9" s="150" t="s">
        <v>4638</v>
      </c>
      <c r="D9" s="151" t="str">
        <f t="shared" si="0"/>
        <v>(((SN*6/12)+SN)/30)*150</v>
      </c>
      <c r="E9" s="38"/>
      <c r="F9" s="32">
        <v>6</v>
      </c>
      <c r="G9" s="40">
        <v>6.2E-2</v>
      </c>
      <c r="H9" s="32"/>
      <c r="I9" s="32"/>
      <c r="J9" s="134" t="s">
        <v>2863</v>
      </c>
      <c r="K9" s="130">
        <v>7</v>
      </c>
      <c r="L9" s="130">
        <v>4</v>
      </c>
      <c r="M9" s="18"/>
      <c r="N9" s="18"/>
      <c r="W9" s="578" t="s">
        <v>2863</v>
      </c>
      <c r="X9" s="578">
        <v>6</v>
      </c>
      <c r="Y9" s="578">
        <v>90</v>
      </c>
      <c r="Z9" s="578">
        <v>75</v>
      </c>
    </row>
    <row r="10" spans="1:26" ht="15" x14ac:dyDescent="0.25">
      <c r="A10" s="74"/>
      <c r="B10" s="31" t="s">
        <v>2859</v>
      </c>
      <c r="C10" s="114">
        <f>'TAB EMP'!$B$2*9.612%</f>
        <v>12.4956</v>
      </c>
      <c r="D10" s="32"/>
      <c r="E10" s="38"/>
      <c r="F10" s="32">
        <v>7</v>
      </c>
      <c r="G10" s="40">
        <v>7.3999999999999996E-2</v>
      </c>
      <c r="H10" s="32"/>
      <c r="I10" s="32"/>
      <c r="J10" s="134" t="s">
        <v>2871</v>
      </c>
      <c r="K10" s="130">
        <v>8</v>
      </c>
      <c r="L10" s="130">
        <v>4</v>
      </c>
      <c r="M10" s="18"/>
      <c r="N10" s="18"/>
      <c r="W10" s="578" t="s">
        <v>2871</v>
      </c>
      <c r="X10" s="578">
        <v>5</v>
      </c>
      <c r="Y10" s="578">
        <v>75</v>
      </c>
      <c r="Z10" s="578">
        <v>62.5</v>
      </c>
    </row>
    <row r="11" spans="1:26" ht="15" x14ac:dyDescent="0.25">
      <c r="A11" s="30"/>
      <c r="B11" s="31" t="s">
        <v>2860</v>
      </c>
      <c r="C11" s="117">
        <v>0.09</v>
      </c>
      <c r="D11" s="32"/>
      <c r="E11" s="38"/>
      <c r="F11" s="32">
        <v>8</v>
      </c>
      <c r="G11" s="40">
        <v>8.5999999999999993E-2</v>
      </c>
      <c r="H11" s="32"/>
      <c r="I11" s="32"/>
      <c r="J11" s="134" t="s">
        <v>2872</v>
      </c>
      <c r="K11" s="130">
        <v>9</v>
      </c>
      <c r="L11" s="130">
        <v>5</v>
      </c>
      <c r="M11" s="18"/>
      <c r="N11" s="18"/>
      <c r="W11" s="578" t="s">
        <v>2872</v>
      </c>
      <c r="X11" s="578">
        <v>4</v>
      </c>
      <c r="Y11" s="578">
        <v>60</v>
      </c>
      <c r="Z11" s="578">
        <v>50</v>
      </c>
    </row>
    <row r="12" spans="1:26" ht="15" x14ac:dyDescent="0.25">
      <c r="A12" s="30"/>
      <c r="B12" s="31" t="s">
        <v>2861</v>
      </c>
      <c r="C12" s="117">
        <v>0.02</v>
      </c>
      <c r="D12" s="32"/>
      <c r="E12" s="38"/>
      <c r="F12" s="32">
        <v>9</v>
      </c>
      <c r="G12" s="40">
        <v>9.8000000000000004E-2</v>
      </c>
      <c r="H12" s="32"/>
      <c r="I12" s="32"/>
      <c r="J12" s="134" t="s">
        <v>2873</v>
      </c>
      <c r="K12" s="130">
        <v>10</v>
      </c>
      <c r="L12" s="130">
        <v>4</v>
      </c>
      <c r="M12" s="18"/>
      <c r="N12" s="18"/>
      <c r="W12" s="578" t="s">
        <v>2873</v>
      </c>
      <c r="X12" s="578">
        <v>3</v>
      </c>
      <c r="Y12" s="578">
        <v>45</v>
      </c>
      <c r="Z12" s="578">
        <v>37.5</v>
      </c>
    </row>
    <row r="13" spans="1:26" ht="15" x14ac:dyDescent="0.25">
      <c r="A13" s="30"/>
      <c r="B13" s="52" t="s">
        <v>2900</v>
      </c>
      <c r="C13" s="117">
        <v>0.02</v>
      </c>
      <c r="D13" s="32"/>
      <c r="E13" s="38"/>
      <c r="F13" s="32">
        <v>10</v>
      </c>
      <c r="G13" s="40">
        <v>0.11</v>
      </c>
      <c r="H13" s="32"/>
      <c r="I13" s="32"/>
      <c r="J13" s="134" t="s">
        <v>2895</v>
      </c>
      <c r="K13" s="130">
        <v>11</v>
      </c>
      <c r="L13" s="130">
        <v>4</v>
      </c>
      <c r="M13" s="18"/>
      <c r="N13" s="18"/>
      <c r="W13" s="578" t="s">
        <v>2895</v>
      </c>
      <c r="X13" s="578">
        <v>2</v>
      </c>
      <c r="Y13" s="578">
        <v>30</v>
      </c>
      <c r="Z13" s="578">
        <v>25</v>
      </c>
    </row>
    <row r="14" spans="1:26" ht="15" x14ac:dyDescent="0.25">
      <c r="A14" s="30"/>
      <c r="B14" s="31" t="s">
        <v>11</v>
      </c>
      <c r="C14" s="117">
        <v>0</v>
      </c>
      <c r="D14" s="32"/>
      <c r="E14" s="38"/>
      <c r="F14" s="32">
        <v>11</v>
      </c>
      <c r="G14" s="40">
        <v>0.124</v>
      </c>
      <c r="H14" s="32"/>
      <c r="I14" s="32"/>
      <c r="J14" s="134" t="s">
        <v>2896</v>
      </c>
      <c r="K14" s="130">
        <v>12</v>
      </c>
      <c r="L14" s="130">
        <v>5</v>
      </c>
      <c r="M14" s="18"/>
      <c r="N14" s="18"/>
      <c r="W14" s="578" t="s">
        <v>2896</v>
      </c>
      <c r="X14" s="578">
        <v>1</v>
      </c>
      <c r="Y14" s="578">
        <v>15</v>
      </c>
      <c r="Z14" s="578">
        <v>12.5</v>
      </c>
    </row>
    <row r="15" spans="1:26" ht="15" x14ac:dyDescent="0.25">
      <c r="A15" s="30"/>
      <c r="B15" s="31" t="s">
        <v>12</v>
      </c>
      <c r="C15" s="117">
        <f>'TAB EMP'!$B$2*2</f>
        <v>260</v>
      </c>
      <c r="D15" s="32"/>
      <c r="E15" s="32"/>
      <c r="F15" s="32">
        <v>12</v>
      </c>
      <c r="G15" s="40">
        <v>0.13800000000000001</v>
      </c>
      <c r="H15" s="32"/>
      <c r="I15" s="32"/>
      <c r="J15" s="32"/>
      <c r="K15" s="130"/>
      <c r="L15" s="130"/>
      <c r="M15" s="18"/>
      <c r="N15" s="18"/>
    </row>
    <row r="16" spans="1:26" ht="15" x14ac:dyDescent="0.25">
      <c r="A16" s="30"/>
      <c r="B16" s="31" t="s">
        <v>13</v>
      </c>
      <c r="C16" s="123">
        <f>'TAB EMP'!$B$2*9.612%</f>
        <v>12.4956</v>
      </c>
      <c r="D16" s="32"/>
      <c r="E16" s="32"/>
      <c r="F16" s="32">
        <v>13</v>
      </c>
      <c r="G16" s="40">
        <v>0.152</v>
      </c>
      <c r="H16" s="32"/>
      <c r="I16" s="32"/>
      <c r="J16" s="32"/>
      <c r="K16" s="130"/>
      <c r="L16" s="130"/>
      <c r="M16" s="18"/>
      <c r="N16" s="18"/>
    </row>
    <row r="17" spans="1:14" ht="15" x14ac:dyDescent="0.25">
      <c r="A17" s="30"/>
      <c r="B17" s="31" t="s">
        <v>2876</v>
      </c>
      <c r="C17" s="117">
        <v>0.1</v>
      </c>
      <c r="D17" s="32"/>
      <c r="E17" s="32"/>
      <c r="F17" s="32">
        <v>14</v>
      </c>
      <c r="G17" s="40">
        <v>0.16600000000000001</v>
      </c>
      <c r="H17" s="32"/>
      <c r="I17" s="32"/>
      <c r="J17" s="27"/>
      <c r="K17" s="28"/>
      <c r="L17" s="53"/>
      <c r="M17" s="18"/>
      <c r="N17" s="18"/>
    </row>
    <row r="18" spans="1:14" ht="15" x14ac:dyDescent="0.25">
      <c r="A18" s="74" t="s">
        <v>4487</v>
      </c>
      <c r="B18" s="73" t="s">
        <v>4478</v>
      </c>
      <c r="C18" s="123">
        <v>12.5</v>
      </c>
      <c r="D18" s="32"/>
      <c r="E18" s="32"/>
      <c r="F18" s="32">
        <v>15</v>
      </c>
      <c r="G18" s="40">
        <v>0.18</v>
      </c>
      <c r="H18" s="32"/>
      <c r="I18" s="32"/>
      <c r="J18" s="27"/>
      <c r="K18" s="28"/>
      <c r="L18" s="53"/>
      <c r="M18" s="18"/>
      <c r="N18" s="18"/>
    </row>
    <row r="19" spans="1:14" ht="15" x14ac:dyDescent="0.25">
      <c r="A19" s="74" t="s">
        <v>4488</v>
      </c>
      <c r="B19" s="73" t="s">
        <v>4479</v>
      </c>
      <c r="C19" s="123">
        <v>12.5</v>
      </c>
      <c r="D19" s="32"/>
      <c r="E19" s="32"/>
      <c r="F19" s="32">
        <v>16</v>
      </c>
      <c r="G19" s="40">
        <v>0.19600000000000001</v>
      </c>
      <c r="H19" s="32"/>
      <c r="I19" s="32"/>
      <c r="J19" s="27"/>
      <c r="K19" s="28"/>
      <c r="L19" s="53"/>
      <c r="M19" s="18"/>
      <c r="N19" s="18"/>
    </row>
    <row r="20" spans="1:14" ht="32.25" customHeight="1" x14ac:dyDescent="0.25">
      <c r="A20" s="74" t="s">
        <v>4489</v>
      </c>
      <c r="B20" s="85" t="s">
        <v>4480</v>
      </c>
      <c r="C20" s="123">
        <v>12.5</v>
      </c>
      <c r="D20" s="32"/>
      <c r="E20" s="32"/>
      <c r="F20" s="32">
        <v>17</v>
      </c>
      <c r="G20" s="40">
        <v>0.21199999999999999</v>
      </c>
      <c r="H20" s="32"/>
      <c r="I20" s="32"/>
      <c r="J20" s="27"/>
      <c r="K20" s="28"/>
      <c r="L20" s="53"/>
      <c r="M20" s="18"/>
      <c r="N20" s="18"/>
    </row>
    <row r="21" spans="1:14" ht="15" x14ac:dyDescent="0.25">
      <c r="A21" s="74" t="s">
        <v>4490</v>
      </c>
      <c r="B21" s="73" t="s">
        <v>4481</v>
      </c>
      <c r="C21" s="123">
        <v>12.5</v>
      </c>
      <c r="D21" s="32"/>
      <c r="E21" s="32"/>
      <c r="F21" s="32">
        <v>18</v>
      </c>
      <c r="G21" s="40">
        <v>0.22800000000000001</v>
      </c>
      <c r="H21" s="32"/>
      <c r="I21" s="32"/>
      <c r="J21" s="27"/>
      <c r="K21" s="28"/>
      <c r="L21" s="53"/>
      <c r="M21" s="18"/>
      <c r="N21" s="18"/>
    </row>
    <row r="22" spans="1:14" ht="15" x14ac:dyDescent="0.25">
      <c r="A22" s="30"/>
      <c r="B22" s="73" t="s">
        <v>4482</v>
      </c>
      <c r="C22" s="123">
        <v>12.5</v>
      </c>
      <c r="D22" s="32"/>
      <c r="E22" s="32"/>
      <c r="F22" s="32">
        <v>19</v>
      </c>
      <c r="G22" s="40">
        <v>0.24399999999999999</v>
      </c>
      <c r="H22" s="32"/>
      <c r="I22" s="32"/>
      <c r="J22" s="27"/>
      <c r="K22" s="28"/>
      <c r="L22" s="53"/>
      <c r="M22" s="18"/>
      <c r="N22" s="18"/>
    </row>
    <row r="23" spans="1:14" ht="15" x14ac:dyDescent="0.25">
      <c r="A23" s="30"/>
      <c r="B23" s="73" t="s">
        <v>4483</v>
      </c>
      <c r="C23" s="123">
        <v>12.5</v>
      </c>
      <c r="D23" s="32"/>
      <c r="E23" s="32"/>
      <c r="F23" s="32">
        <v>20</v>
      </c>
      <c r="G23" s="40">
        <v>0.26</v>
      </c>
      <c r="H23" s="32"/>
      <c r="I23" s="32"/>
      <c r="J23" s="27"/>
      <c r="K23" s="28"/>
      <c r="L23" s="53"/>
      <c r="M23" s="18"/>
      <c r="N23" s="18"/>
    </row>
    <row r="24" spans="1:14" ht="15" x14ac:dyDescent="0.25">
      <c r="A24" s="30"/>
      <c r="B24" s="73" t="s">
        <v>4484</v>
      </c>
      <c r="C24" s="123">
        <v>12.5</v>
      </c>
      <c r="D24" s="32"/>
      <c r="E24" s="32"/>
      <c r="F24" s="32">
        <v>21</v>
      </c>
      <c r="G24" s="40">
        <v>0.27800000000000002</v>
      </c>
      <c r="H24" s="32"/>
      <c r="I24" s="32"/>
      <c r="J24" s="27"/>
      <c r="K24" s="28"/>
      <c r="L24" s="53"/>
      <c r="M24" s="18"/>
      <c r="N24" s="18"/>
    </row>
    <row r="25" spans="1:14" ht="15" x14ac:dyDescent="0.25">
      <c r="A25" s="30"/>
      <c r="B25" s="73" t="s">
        <v>4485</v>
      </c>
      <c r="C25" s="123">
        <v>12.5</v>
      </c>
      <c r="D25" s="32"/>
      <c r="E25" s="32"/>
      <c r="F25" s="32">
        <v>22</v>
      </c>
      <c r="G25" s="40">
        <v>0.29599999999999999</v>
      </c>
      <c r="H25" s="32"/>
      <c r="I25" s="32"/>
      <c r="J25" s="27"/>
      <c r="K25" s="28"/>
      <c r="L25" s="53"/>
      <c r="M25" s="18"/>
      <c r="N25" s="18"/>
    </row>
    <row r="26" spans="1:14" ht="15" x14ac:dyDescent="0.25">
      <c r="A26" s="30"/>
      <c r="B26" s="73" t="s">
        <v>4486</v>
      </c>
      <c r="C26" s="123">
        <v>12.5</v>
      </c>
      <c r="D26" s="32"/>
      <c r="E26" s="32"/>
      <c r="F26" s="32">
        <v>23</v>
      </c>
      <c r="G26" s="40">
        <v>0.3</v>
      </c>
      <c r="H26" s="32"/>
      <c r="I26" s="32"/>
      <c r="J26" s="27"/>
      <c r="K26" s="28"/>
      <c r="L26" s="53"/>
      <c r="M26" s="18"/>
      <c r="N26" s="18"/>
    </row>
    <row r="27" spans="1:14" ht="15" x14ac:dyDescent="0.25">
      <c r="A27" s="30"/>
      <c r="B27" s="73" t="s">
        <v>4494</v>
      </c>
      <c r="C27" s="118">
        <v>180</v>
      </c>
      <c r="D27" s="32"/>
      <c r="E27" s="32"/>
      <c r="F27" s="32">
        <v>24</v>
      </c>
      <c r="G27" s="40">
        <v>0.3</v>
      </c>
      <c r="H27" s="32"/>
      <c r="I27" s="32"/>
      <c r="J27" s="27"/>
      <c r="K27" s="28"/>
      <c r="L27" s="53"/>
      <c r="M27" s="18"/>
      <c r="N27" s="18"/>
    </row>
    <row r="28" spans="1:14" ht="15" x14ac:dyDescent="0.25">
      <c r="A28" s="30"/>
      <c r="B28" s="73" t="s">
        <v>4495</v>
      </c>
      <c r="C28" s="118">
        <v>150</v>
      </c>
      <c r="D28" s="32"/>
      <c r="E28" s="32"/>
      <c r="F28" s="32">
        <v>25</v>
      </c>
      <c r="G28" s="40">
        <v>0.3</v>
      </c>
      <c r="H28" s="32"/>
      <c r="I28" s="32"/>
      <c r="J28" s="27"/>
      <c r="K28" s="28"/>
      <c r="L28" s="53"/>
      <c r="M28" s="18"/>
      <c r="N28" s="18"/>
    </row>
    <row r="29" spans="1:14" ht="15" x14ac:dyDescent="0.25">
      <c r="A29" s="30"/>
      <c r="B29" s="73" t="s">
        <v>4564</v>
      </c>
      <c r="C29" s="117">
        <v>22.5</v>
      </c>
      <c r="D29" s="32"/>
      <c r="E29" s="32"/>
      <c r="F29" s="32">
        <v>26</v>
      </c>
      <c r="G29" s="40">
        <v>0.3</v>
      </c>
      <c r="H29" s="32"/>
      <c r="I29" s="32"/>
      <c r="J29" s="27"/>
      <c r="K29" s="28"/>
      <c r="L29" s="53"/>
      <c r="M29" s="18"/>
      <c r="N29" s="18"/>
    </row>
    <row r="30" spans="1:14" ht="15" x14ac:dyDescent="0.25">
      <c r="A30" s="30"/>
      <c r="B30" s="90" t="s">
        <v>4566</v>
      </c>
      <c r="C30" s="123">
        <f>'TAB EMP'!$B$2*9.612%</f>
        <v>12.4956</v>
      </c>
      <c r="D30" s="32"/>
      <c r="E30" s="32"/>
      <c r="F30" s="32">
        <v>27</v>
      </c>
      <c r="G30" s="40">
        <v>0.3</v>
      </c>
      <c r="H30" s="32"/>
      <c r="I30" s="32"/>
      <c r="J30" s="27"/>
      <c r="K30" s="28"/>
      <c r="L30" s="53"/>
      <c r="M30" s="18"/>
      <c r="N30" s="18"/>
    </row>
    <row r="31" spans="1:14" ht="15" x14ac:dyDescent="0.25">
      <c r="A31" s="30"/>
      <c r="B31" s="90" t="s">
        <v>4565</v>
      </c>
      <c r="C31" s="123">
        <f>'TAB EMP'!$B$2*9.612%</f>
        <v>12.4956</v>
      </c>
      <c r="D31" s="32"/>
      <c r="E31" s="32"/>
      <c r="F31" s="32">
        <v>28</v>
      </c>
      <c r="G31" s="40">
        <v>0.3</v>
      </c>
      <c r="H31" s="32"/>
      <c r="I31" s="32"/>
      <c r="J31" s="27"/>
      <c r="K31" s="28"/>
      <c r="L31" s="53"/>
      <c r="M31" s="18"/>
      <c r="N31" s="18"/>
    </row>
    <row r="32" spans="1:14" ht="15" x14ac:dyDescent="0.25">
      <c r="A32" s="89"/>
      <c r="B32" s="90"/>
      <c r="C32" s="123"/>
      <c r="D32" s="91"/>
      <c r="E32" s="91"/>
      <c r="F32" s="32">
        <v>29</v>
      </c>
      <c r="G32" s="40">
        <v>0.3</v>
      </c>
      <c r="H32" s="32"/>
      <c r="I32" s="32"/>
      <c r="J32" s="27"/>
      <c r="K32" s="28"/>
      <c r="L32" s="53"/>
      <c r="M32" s="18"/>
      <c r="N32" s="18"/>
    </row>
    <row r="33" spans="1:14" ht="15" x14ac:dyDescent="0.25">
      <c r="A33" s="89"/>
      <c r="B33" s="90"/>
      <c r="C33" s="123"/>
      <c r="D33" s="91"/>
      <c r="E33" s="91"/>
      <c r="F33" s="32">
        <v>30</v>
      </c>
      <c r="G33" s="40">
        <v>0.3</v>
      </c>
      <c r="H33" s="32"/>
      <c r="I33" s="32"/>
      <c r="J33" s="27"/>
      <c r="K33" s="28"/>
      <c r="L33" s="53"/>
      <c r="M33" s="18"/>
      <c r="N33" s="18"/>
    </row>
    <row r="34" spans="1:14" ht="15.75" thickBot="1" x14ac:dyDescent="0.3">
      <c r="A34" s="34"/>
      <c r="B34" s="36"/>
      <c r="C34" s="119"/>
      <c r="D34" s="36"/>
      <c r="E34" s="36"/>
      <c r="F34" s="32">
        <v>31</v>
      </c>
      <c r="G34" s="40">
        <v>0.3</v>
      </c>
      <c r="H34" s="32"/>
      <c r="I34" s="32"/>
      <c r="J34" s="27"/>
      <c r="K34" s="28"/>
      <c r="L34" s="53"/>
      <c r="M34" s="18"/>
      <c r="N34" s="18"/>
    </row>
    <row r="35" spans="1:14" ht="15.75" thickBot="1" x14ac:dyDescent="0.3">
      <c r="F35" s="32">
        <v>32</v>
      </c>
      <c r="G35" s="40">
        <v>0.3</v>
      </c>
      <c r="H35" s="32"/>
      <c r="I35" s="32"/>
      <c r="J35" s="27"/>
      <c r="K35" s="28"/>
      <c r="L35" s="53"/>
      <c r="M35" s="18"/>
      <c r="N35" s="18"/>
    </row>
    <row r="36" spans="1:14" ht="15.75" thickBot="1" x14ac:dyDescent="0.3">
      <c r="A36" s="1838"/>
      <c r="B36" s="1839"/>
      <c r="C36" s="1840"/>
      <c r="F36" s="32">
        <v>33</v>
      </c>
      <c r="G36" s="40">
        <v>0.3</v>
      </c>
      <c r="H36" s="32"/>
      <c r="I36" s="32"/>
      <c r="J36" s="27"/>
      <c r="K36" s="28"/>
      <c r="L36" s="53"/>
      <c r="M36" s="18"/>
      <c r="N36" s="18"/>
    </row>
    <row r="37" spans="1:14" ht="23.25" customHeight="1" thickBot="1" x14ac:dyDescent="0.3">
      <c r="A37" s="83"/>
      <c r="B37" s="84"/>
      <c r="C37" s="121"/>
      <c r="F37" s="32">
        <v>34</v>
      </c>
      <c r="G37" s="40">
        <v>0.3</v>
      </c>
      <c r="H37" s="32"/>
      <c r="I37" s="32"/>
      <c r="J37" s="27"/>
      <c r="K37" s="28"/>
      <c r="L37" s="53"/>
      <c r="M37" s="18"/>
      <c r="N37" s="18"/>
    </row>
    <row r="38" spans="1:14" ht="15" customHeight="1" thickBot="1" x14ac:dyDescent="0.3">
      <c r="A38" s="77"/>
      <c r="B38" s="82"/>
      <c r="C38" s="124"/>
      <c r="F38" s="32">
        <v>35</v>
      </c>
      <c r="G38" s="40">
        <v>0.3</v>
      </c>
      <c r="H38" s="32"/>
      <c r="I38" s="32"/>
      <c r="J38" s="27"/>
      <c r="K38" s="28"/>
      <c r="L38" s="53"/>
      <c r="M38" s="18"/>
      <c r="N38" s="18"/>
    </row>
    <row r="39" spans="1:14" ht="15" customHeight="1" thickBot="1" x14ac:dyDescent="0.3">
      <c r="A39" s="78"/>
      <c r="B39" s="80"/>
      <c r="C39" s="124"/>
      <c r="F39" s="32">
        <v>0</v>
      </c>
      <c r="G39" s="40"/>
      <c r="H39" s="32"/>
      <c r="I39" s="32"/>
      <c r="J39" s="27"/>
      <c r="K39" s="28"/>
      <c r="L39" s="53"/>
      <c r="M39" s="18"/>
      <c r="N39" s="18"/>
    </row>
    <row r="40" spans="1:14" ht="15.75" thickBot="1" x14ac:dyDescent="0.3">
      <c r="A40" s="78"/>
      <c r="B40" s="76"/>
      <c r="C40" s="124"/>
      <c r="F40" s="32">
        <v>0</v>
      </c>
      <c r="G40" s="40"/>
      <c r="H40" s="32"/>
      <c r="I40" s="32"/>
      <c r="J40" s="27"/>
      <c r="K40" s="28"/>
      <c r="L40" s="53"/>
      <c r="M40" s="18"/>
      <c r="N40" s="18"/>
    </row>
    <row r="41" spans="1:14" ht="15.75" thickBot="1" x14ac:dyDescent="0.3">
      <c r="A41" s="78"/>
      <c r="B41" s="76"/>
      <c r="C41" s="124"/>
      <c r="F41" s="36"/>
      <c r="G41" s="35"/>
      <c r="H41" s="36"/>
      <c r="I41" s="36"/>
      <c r="J41" s="132"/>
      <c r="K41" s="54"/>
      <c r="L41" s="55"/>
      <c r="M41" s="18"/>
      <c r="N41" s="18"/>
    </row>
    <row r="42" spans="1:14" ht="12.75" thickBot="1" x14ac:dyDescent="0.3">
      <c r="A42" s="78"/>
      <c r="B42" s="76"/>
      <c r="C42" s="124"/>
    </row>
    <row r="43" spans="1:14" ht="12.75" thickBot="1" x14ac:dyDescent="0.3">
      <c r="A43" s="78"/>
      <c r="B43" s="76"/>
      <c r="C43" s="124"/>
    </row>
    <row r="44" spans="1:14" ht="12.75" thickBot="1" x14ac:dyDescent="0.3">
      <c r="A44" s="78"/>
      <c r="B44" s="76"/>
      <c r="C44" s="124"/>
    </row>
    <row r="45" spans="1:14" ht="12.75" thickBot="1" x14ac:dyDescent="0.3">
      <c r="A45" s="78"/>
      <c r="B45" s="76"/>
      <c r="C45" s="124"/>
    </row>
    <row r="46" spans="1:14" ht="12" customHeight="1" thickBot="1" x14ac:dyDescent="0.3">
      <c r="A46" s="78"/>
      <c r="B46" s="76"/>
      <c r="C46" s="124"/>
      <c r="E46" s="105"/>
    </row>
    <row r="47" spans="1:14" ht="15" customHeight="1" thickBot="1" x14ac:dyDescent="0.3">
      <c r="A47" s="78"/>
      <c r="B47" s="76"/>
      <c r="C47" s="124"/>
      <c r="E47" s="127"/>
    </row>
    <row r="48" spans="1:14" ht="15.75" customHeight="1" thickBot="1" x14ac:dyDescent="0.3">
      <c r="A48" s="78"/>
      <c r="B48" s="76"/>
      <c r="C48" s="124"/>
      <c r="E48" s="127"/>
    </row>
    <row r="49" spans="1:7" ht="12.75" thickBot="1" x14ac:dyDescent="0.3">
      <c r="A49" s="79"/>
      <c r="B49" s="81"/>
      <c r="C49" s="124"/>
      <c r="E49" s="127"/>
    </row>
    <row r="50" spans="1:7" x14ac:dyDescent="0.25">
      <c r="B50" s="75"/>
      <c r="E50" s="127"/>
    </row>
    <row r="51" spans="1:7" x14ac:dyDescent="0.25">
      <c r="B51" s="75"/>
      <c r="E51" s="127"/>
      <c r="G51" s="105"/>
    </row>
    <row r="52" spans="1:7" x14ac:dyDescent="0.25">
      <c r="A52" s="128"/>
      <c r="B52" s="129"/>
      <c r="E52" s="105"/>
    </row>
    <row r="53" spans="1:7" x14ac:dyDescent="0.25">
      <c r="B53" s="128"/>
    </row>
    <row r="54" spans="1:7" x14ac:dyDescent="0.25">
      <c r="B54" s="128"/>
    </row>
    <row r="55" spans="1:7" x14ac:dyDescent="0.25">
      <c r="B55" s="128"/>
      <c r="C55" s="120">
        <v>6</v>
      </c>
      <c r="D55" s="29">
        <v>6</v>
      </c>
    </row>
    <row r="56" spans="1:7" x14ac:dyDescent="0.25">
      <c r="B56" s="128"/>
    </row>
    <row r="57" spans="1:7" x14ac:dyDescent="0.25">
      <c r="B57" s="128"/>
    </row>
    <row r="58" spans="1:7" x14ac:dyDescent="0.25">
      <c r="B58" s="128"/>
    </row>
    <row r="59" spans="1:7" ht="12.75" x14ac:dyDescent="0.25">
      <c r="A59" s="135">
        <v>0</v>
      </c>
      <c r="B59" s="128"/>
    </row>
    <row r="60" spans="1:7" x14ac:dyDescent="0.25">
      <c r="A60" s="136">
        <v>1</v>
      </c>
      <c r="B60" s="128"/>
    </row>
    <row r="61" spans="1:7" ht="12.75" x14ac:dyDescent="0.25">
      <c r="A61" s="135">
        <v>2</v>
      </c>
      <c r="B61" s="128"/>
    </row>
    <row r="62" spans="1:7" x14ac:dyDescent="0.25">
      <c r="A62" s="128"/>
      <c r="B62" s="128"/>
    </row>
    <row r="63" spans="1:7" x14ac:dyDescent="0.25">
      <c r="A63" s="128"/>
      <c r="B63" s="128"/>
    </row>
    <row r="64" spans="1:7" x14ac:dyDescent="0.25">
      <c r="A64" s="128"/>
      <c r="B64" s="128"/>
    </row>
    <row r="65" spans="1:2" x14ac:dyDescent="0.25">
      <c r="A65" s="128"/>
      <c r="B65" s="128"/>
    </row>
    <row r="66" spans="1:2" x14ac:dyDescent="0.25">
      <c r="A66" s="128"/>
      <c r="B66" s="128"/>
    </row>
    <row r="67" spans="1:2" x14ac:dyDescent="0.25">
      <c r="A67" s="128"/>
      <c r="B67" s="128"/>
    </row>
    <row r="68" spans="1:2" x14ac:dyDescent="0.25">
      <c r="A68" s="128"/>
      <c r="B68" s="128"/>
    </row>
    <row r="69" spans="1:2" x14ac:dyDescent="0.25">
      <c r="A69" s="128"/>
      <c r="B69" s="128"/>
    </row>
    <row r="70" spans="1:2" x14ac:dyDescent="0.25">
      <c r="A70" s="128"/>
      <c r="B70" s="128"/>
    </row>
    <row r="71" spans="1:2" x14ac:dyDescent="0.25">
      <c r="A71" s="128"/>
      <c r="B71" s="128"/>
    </row>
    <row r="73" spans="1:2" x14ac:dyDescent="0.25">
      <c r="A73" s="576" t="s">
        <v>4658</v>
      </c>
    </row>
    <row r="74" spans="1:2" x14ac:dyDescent="0.25">
      <c r="A74" s="32">
        <v>0</v>
      </c>
    </row>
    <row r="75" spans="1:2" x14ac:dyDescent="0.25">
      <c r="A75" s="32">
        <v>1</v>
      </c>
    </row>
    <row r="76" spans="1:2" x14ac:dyDescent="0.25">
      <c r="A76" s="32">
        <v>2</v>
      </c>
    </row>
    <row r="77" spans="1:2" x14ac:dyDescent="0.25">
      <c r="A77" s="32">
        <v>3</v>
      </c>
    </row>
    <row r="78" spans="1:2" x14ac:dyDescent="0.25">
      <c r="A78" s="32">
        <v>4</v>
      </c>
    </row>
    <row r="79" spans="1:2" x14ac:dyDescent="0.25">
      <c r="A79" s="32">
        <v>5</v>
      </c>
    </row>
    <row r="80" spans="1:2" x14ac:dyDescent="0.25">
      <c r="A80" s="32">
        <v>6</v>
      </c>
    </row>
    <row r="81" spans="1:1" x14ac:dyDescent="0.25">
      <c r="A81" s="32">
        <v>7</v>
      </c>
    </row>
    <row r="82" spans="1:1" x14ac:dyDescent="0.25">
      <c r="A82" s="32">
        <v>8</v>
      </c>
    </row>
    <row r="83" spans="1:1" x14ac:dyDescent="0.25">
      <c r="A83" s="32">
        <v>9</v>
      </c>
    </row>
    <row r="84" spans="1:1" x14ac:dyDescent="0.25">
      <c r="A84" s="32">
        <v>10</v>
      </c>
    </row>
    <row r="90" spans="1:1" x14ac:dyDescent="0.25">
      <c r="A90" s="576" t="s">
        <v>4659</v>
      </c>
    </row>
    <row r="91" spans="1:1" x14ac:dyDescent="0.25">
      <c r="A91" s="32">
        <v>0</v>
      </c>
    </row>
    <row r="92" spans="1:1" x14ac:dyDescent="0.25">
      <c r="A92" s="32">
        <v>1</v>
      </c>
    </row>
    <row r="93" spans="1:1" x14ac:dyDescent="0.25">
      <c r="A93" s="32">
        <v>2</v>
      </c>
    </row>
    <row r="94" spans="1:1" x14ac:dyDescent="0.25">
      <c r="A94" s="32">
        <v>3</v>
      </c>
    </row>
    <row r="95" spans="1:1" x14ac:dyDescent="0.25">
      <c r="A95" s="32">
        <v>4</v>
      </c>
    </row>
    <row r="100" spans="1:1" x14ac:dyDescent="0.25">
      <c r="A100" s="577" t="s">
        <v>4663</v>
      </c>
    </row>
    <row r="101" spans="1:1" x14ac:dyDescent="0.25">
      <c r="A101" s="76">
        <v>0</v>
      </c>
    </row>
    <row r="102" spans="1:1" x14ac:dyDescent="0.25">
      <c r="A102" s="208">
        <v>6255</v>
      </c>
    </row>
    <row r="106" spans="1:1" x14ac:dyDescent="0.25">
      <c r="A106" s="576" t="s">
        <v>5079</v>
      </c>
    </row>
    <row r="107" spans="1:1" x14ac:dyDescent="0.25">
      <c r="A107" s="575">
        <v>0</v>
      </c>
    </row>
    <row r="108" spans="1:1" x14ac:dyDescent="0.25">
      <c r="A108" s="575" t="s">
        <v>5080</v>
      </c>
    </row>
  </sheetData>
  <mergeCells count="5">
    <mergeCell ref="J1:L1"/>
    <mergeCell ref="F1:G1"/>
    <mergeCell ref="H1:I1"/>
    <mergeCell ref="A1:E1"/>
    <mergeCell ref="A36:C3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FFFF00"/>
  </sheetPr>
  <dimension ref="A1:I580"/>
  <sheetViews>
    <sheetView topLeftCell="A7" zoomScale="90" zoomScaleNormal="90" workbookViewId="0">
      <pane ySplit="795" activePane="bottomLeft"/>
      <selection activeCell="A4" sqref="A4"/>
      <selection pane="bottomLeft" activeCell="B13" sqref="B13"/>
    </sheetView>
  </sheetViews>
  <sheetFormatPr baseColWidth="10" defaultRowHeight="15" x14ac:dyDescent="0.25"/>
  <cols>
    <col min="1" max="1" width="11.42578125" style="356"/>
    <col min="2" max="2" width="43.140625" customWidth="1"/>
    <col min="3" max="3" width="35" customWidth="1"/>
    <col min="4" max="4" width="10.5703125" style="454" customWidth="1"/>
    <col min="5" max="5" width="43.85546875" customWidth="1"/>
    <col min="6" max="6" width="11.42578125" style="425"/>
    <col min="7" max="7" width="13.7109375" style="427" customWidth="1"/>
    <col min="8" max="8" width="11.42578125" style="425"/>
    <col min="9" max="9" width="16.42578125" customWidth="1"/>
  </cols>
  <sheetData>
    <row r="1" spans="1:9" x14ac:dyDescent="0.25">
      <c r="B1" s="1829" t="s">
        <v>5721</v>
      </c>
      <c r="C1" s="1829"/>
      <c r="D1" s="1829"/>
      <c r="E1" s="1829"/>
    </row>
    <row r="2" spans="1:9" x14ac:dyDescent="0.25">
      <c r="B2" s="1830" t="s">
        <v>5551</v>
      </c>
      <c r="C2" s="1830"/>
      <c r="D2" s="1830"/>
      <c r="E2" s="1830"/>
      <c r="F2" s="1830"/>
    </row>
    <row r="3" spans="1:9" x14ac:dyDescent="0.25">
      <c r="B3" s="1830" t="s">
        <v>5552</v>
      </c>
      <c r="C3" s="1830"/>
      <c r="D3" s="1830"/>
      <c r="E3" s="1830"/>
      <c r="F3" s="1830"/>
    </row>
    <row r="4" spans="1:9" x14ac:dyDescent="0.25">
      <c r="B4" s="1830" t="s">
        <v>5553</v>
      </c>
      <c r="C4" s="1830"/>
      <c r="D4" s="1830"/>
      <c r="E4" s="1830"/>
      <c r="F4" s="1830"/>
    </row>
    <row r="6" spans="1:9" x14ac:dyDescent="0.25">
      <c r="G6" s="427">
        <f>+NOMINA!H10</f>
        <v>45930</v>
      </c>
    </row>
    <row r="7" spans="1:9" x14ac:dyDescent="0.25">
      <c r="A7" s="357" t="s">
        <v>5554</v>
      </c>
      <c r="B7" s="1831" t="s">
        <v>5562</v>
      </c>
      <c r="C7" s="1831" t="s">
        <v>5561</v>
      </c>
      <c r="D7" s="446" t="s">
        <v>5555</v>
      </c>
      <c r="E7" s="355" t="s">
        <v>5556</v>
      </c>
      <c r="F7" s="1831" t="s">
        <v>5557</v>
      </c>
      <c r="G7" s="428" t="s">
        <v>5558</v>
      </c>
      <c r="H7" s="1822" t="s">
        <v>5559</v>
      </c>
      <c r="I7" s="1823"/>
    </row>
    <row r="8" spans="1:9" x14ac:dyDescent="0.25">
      <c r="A8" s="358" t="s">
        <v>5560</v>
      </c>
      <c r="B8" s="1832"/>
      <c r="C8" s="1832"/>
      <c r="D8" s="455" t="s">
        <v>4612</v>
      </c>
      <c r="E8" s="359" t="s">
        <v>5562</v>
      </c>
      <c r="F8" s="1832"/>
      <c r="G8" s="429" t="s">
        <v>5563</v>
      </c>
      <c r="H8" s="1824"/>
      <c r="I8" s="1825"/>
    </row>
    <row r="9" spans="1:9" x14ac:dyDescent="0.25">
      <c r="A9" s="448" t="s">
        <v>4627</v>
      </c>
      <c r="B9" s="449"/>
      <c r="C9" s="361"/>
      <c r="D9" s="456"/>
      <c r="E9" s="361"/>
      <c r="F9" s="435"/>
      <c r="G9" s="430"/>
      <c r="H9" s="435"/>
      <c r="I9" s="361"/>
    </row>
    <row r="10" spans="1:9" s="593" customFormat="1" x14ac:dyDescent="0.25">
      <c r="A10" s="360"/>
      <c r="B10" s="459"/>
      <c r="C10" s="1127"/>
      <c r="D10" s="1128"/>
      <c r="E10" s="1127"/>
      <c r="F10" s="1129"/>
      <c r="G10" s="1130"/>
      <c r="H10" s="435"/>
      <c r="I10" s="1127"/>
    </row>
    <row r="11" spans="1:9" s="364" customFormat="1" x14ac:dyDescent="0.25">
      <c r="A11" s="370"/>
      <c r="B11" s="371"/>
      <c r="C11" s="371"/>
      <c r="D11" s="457"/>
      <c r="E11" s="371"/>
      <c r="F11" s="442"/>
      <c r="G11" s="431"/>
      <c r="H11" s="442"/>
      <c r="I11" s="371"/>
    </row>
    <row r="12" spans="1:9" s="364" customFormat="1" ht="18.75" x14ac:dyDescent="0.3">
      <c r="A12" s="370"/>
      <c r="B12" s="371"/>
      <c r="C12" s="462" t="s">
        <v>5767</v>
      </c>
      <c r="D12" s="451">
        <f>+SUM(D9:D11)</f>
        <v>0</v>
      </c>
      <c r="E12" s="371"/>
      <c r="F12" s="442"/>
      <c r="G12" s="431"/>
      <c r="H12" s="442"/>
      <c r="I12" s="371"/>
    </row>
    <row r="13" spans="1:9" s="364" customFormat="1" x14ac:dyDescent="0.25">
      <c r="A13" s="370"/>
      <c r="B13" s="371"/>
      <c r="C13" s="371"/>
      <c r="D13" s="457"/>
      <c r="E13" s="371"/>
      <c r="F13" s="442"/>
      <c r="G13" s="431"/>
      <c r="H13" s="442"/>
      <c r="I13" s="371"/>
    </row>
    <row r="14" spans="1:9" s="364" customFormat="1" x14ac:dyDescent="0.25">
      <c r="A14" s="448" t="s">
        <v>5503</v>
      </c>
      <c r="B14" s="450"/>
      <c r="C14" s="371"/>
      <c r="D14" s="457"/>
      <c r="E14" s="371"/>
      <c r="F14" s="442"/>
      <c r="G14" s="431"/>
      <c r="H14" s="442"/>
      <c r="I14" s="371"/>
    </row>
    <row r="15" spans="1:9" s="364" customFormat="1" x14ac:dyDescent="0.25">
      <c r="A15" s="360">
        <v>11894534</v>
      </c>
      <c r="B15" s="376" t="s">
        <v>5713</v>
      </c>
      <c r="C15" s="361"/>
      <c r="D15" s="465">
        <v>0</v>
      </c>
      <c r="E15" s="361" t="s">
        <v>5714</v>
      </c>
      <c r="F15" s="435" t="s">
        <v>4620</v>
      </c>
      <c r="G15" s="430">
        <v>38814</v>
      </c>
      <c r="H15" s="435">
        <f>DATEDIF(G15,$G$6,"Y")</f>
        <v>19</v>
      </c>
      <c r="I15" s="361" t="s">
        <v>5771</v>
      </c>
    </row>
    <row r="16" spans="1:9" s="364" customFormat="1" x14ac:dyDescent="0.25">
      <c r="A16" s="360">
        <v>11894534</v>
      </c>
      <c r="B16" s="376" t="s">
        <v>5713</v>
      </c>
      <c r="C16" s="361"/>
      <c r="D16" s="362"/>
      <c r="E16" s="361" t="s">
        <v>5715</v>
      </c>
      <c r="F16" s="435" t="s">
        <v>4620</v>
      </c>
      <c r="G16" s="430">
        <v>36727</v>
      </c>
      <c r="H16" s="435">
        <f>DATEDIF(G16,$G$6,"Y")</f>
        <v>25</v>
      </c>
      <c r="I16" s="361" t="s">
        <v>5771</v>
      </c>
    </row>
    <row r="17" spans="1:9" s="364" customFormat="1" x14ac:dyDescent="0.25">
      <c r="A17" s="370"/>
      <c r="B17" s="459"/>
      <c r="C17" s="371"/>
      <c r="D17" s="457"/>
      <c r="E17" s="371"/>
      <c r="F17" s="442"/>
      <c r="G17" s="431"/>
      <c r="H17" s="442"/>
      <c r="I17" s="371"/>
    </row>
    <row r="18" spans="1:9" s="364" customFormat="1" x14ac:dyDescent="0.25">
      <c r="A18" s="370">
        <v>10404528</v>
      </c>
      <c r="B18" s="459" t="s">
        <v>4669</v>
      </c>
      <c r="C18" s="371" t="s">
        <v>218</v>
      </c>
      <c r="D18" s="457">
        <v>1</v>
      </c>
      <c r="E18" s="371" t="s">
        <v>5701</v>
      </c>
      <c r="F18" s="442" t="s">
        <v>4621</v>
      </c>
      <c r="G18" s="431">
        <v>40647</v>
      </c>
      <c r="H18" s="435">
        <f>DATEDIF(G18,$G$6,"Y")</f>
        <v>14</v>
      </c>
      <c r="I18" s="371"/>
    </row>
    <row r="19" spans="1:9" s="364" customFormat="1" x14ac:dyDescent="0.25">
      <c r="A19" s="370"/>
      <c r="B19" s="459"/>
      <c r="C19" s="371"/>
      <c r="D19" s="457"/>
      <c r="E19" s="371"/>
      <c r="F19" s="442"/>
      <c r="G19" s="431"/>
      <c r="H19" s="442"/>
      <c r="I19" s="371"/>
    </row>
    <row r="20" spans="1:9" s="364" customFormat="1" x14ac:dyDescent="0.25">
      <c r="A20" s="360">
        <v>21592108</v>
      </c>
      <c r="B20" s="364" t="s">
        <v>4682</v>
      </c>
      <c r="C20" s="361" t="s">
        <v>5718</v>
      </c>
      <c r="D20" s="465">
        <v>1</v>
      </c>
      <c r="E20" s="361" t="s">
        <v>5719</v>
      </c>
      <c r="F20" s="435" t="s">
        <v>4620</v>
      </c>
      <c r="G20" s="430">
        <v>42224</v>
      </c>
      <c r="H20" s="435">
        <f>DATEDIF(G20,$G$6,"Y")</f>
        <v>10</v>
      </c>
      <c r="I20" s="361"/>
    </row>
    <row r="21" spans="1:9" s="364" customFormat="1" x14ac:dyDescent="0.25">
      <c r="A21" s="886"/>
      <c r="B21" s="887"/>
      <c r="C21" s="888"/>
      <c r="D21" s="889"/>
      <c r="E21" s="888"/>
      <c r="F21" s="890"/>
      <c r="G21" s="891"/>
      <c r="H21" s="890"/>
      <c r="I21" s="888"/>
    </row>
    <row r="22" spans="1:9" s="364" customFormat="1" x14ac:dyDescent="0.25">
      <c r="A22" s="360">
        <v>13462933</v>
      </c>
      <c r="B22" s="376" t="s">
        <v>5706</v>
      </c>
      <c r="C22" s="361"/>
      <c r="D22" s="465">
        <v>1</v>
      </c>
      <c r="E22" s="361" t="s">
        <v>5707</v>
      </c>
      <c r="F22" s="435" t="s">
        <v>4621</v>
      </c>
      <c r="G22" s="430">
        <v>37985</v>
      </c>
      <c r="H22" s="435">
        <f>DATEDIF(G22,$G$6,"Y")</f>
        <v>21</v>
      </c>
      <c r="I22" s="361" t="s">
        <v>5730</v>
      </c>
    </row>
    <row r="23" spans="1:9" s="364" customFormat="1" x14ac:dyDescent="0.25">
      <c r="A23" s="360">
        <v>13462933</v>
      </c>
      <c r="B23" s="376" t="s">
        <v>5706</v>
      </c>
      <c r="C23" s="361"/>
      <c r="D23" s="362"/>
      <c r="E23" s="361" t="s">
        <v>5708</v>
      </c>
      <c r="F23" s="435" t="s">
        <v>4620</v>
      </c>
      <c r="G23" s="430">
        <v>40894</v>
      </c>
      <c r="H23" s="435">
        <f>DATEDIF(G23,$G$6,"Y")</f>
        <v>13</v>
      </c>
      <c r="I23" s="361"/>
    </row>
    <row r="24" spans="1:9" s="364" customFormat="1" x14ac:dyDescent="0.25">
      <c r="A24" s="370"/>
      <c r="B24" s="459"/>
      <c r="C24" s="371"/>
      <c r="D24" s="457"/>
      <c r="E24" s="371"/>
      <c r="F24" s="442"/>
      <c r="G24" s="431"/>
      <c r="H24" s="442"/>
      <c r="I24" s="371"/>
    </row>
    <row r="25" spans="1:9" s="364" customFormat="1" x14ac:dyDescent="0.25">
      <c r="A25" s="360">
        <v>12542413</v>
      </c>
      <c r="B25" s="376" t="s">
        <v>4675</v>
      </c>
      <c r="C25" s="361"/>
      <c r="D25" s="465">
        <v>0</v>
      </c>
      <c r="E25" s="361" t="s">
        <v>5711</v>
      </c>
      <c r="F25" s="435" t="s">
        <v>4620</v>
      </c>
      <c r="G25" s="430">
        <v>36558</v>
      </c>
      <c r="H25" s="435">
        <f>DATEDIF(G25,$G$6,"Y")</f>
        <v>25</v>
      </c>
      <c r="I25" s="361" t="s">
        <v>5580</v>
      </c>
    </row>
    <row r="26" spans="1:9" s="364" customFormat="1" x14ac:dyDescent="0.25">
      <c r="A26" s="360">
        <v>12542413</v>
      </c>
      <c r="B26" s="376" t="s">
        <v>4675</v>
      </c>
      <c r="C26" s="361"/>
      <c r="D26" s="362"/>
      <c r="E26" s="361" t="s">
        <v>5712</v>
      </c>
      <c r="F26" s="435" t="s">
        <v>4620</v>
      </c>
      <c r="G26" s="430">
        <v>38658</v>
      </c>
      <c r="H26" s="435">
        <f>DATEDIF(G26,$G$6,"Y")</f>
        <v>19</v>
      </c>
      <c r="I26" s="361" t="s">
        <v>5580</v>
      </c>
    </row>
    <row r="27" spans="1:9" s="364" customFormat="1" x14ac:dyDescent="0.25">
      <c r="A27" s="360">
        <v>12542413</v>
      </c>
      <c r="B27" s="376" t="s">
        <v>4675</v>
      </c>
      <c r="C27" s="361"/>
      <c r="D27" s="362"/>
      <c r="E27" s="361" t="s">
        <v>5710</v>
      </c>
      <c r="F27" s="435" t="s">
        <v>4620</v>
      </c>
      <c r="G27" s="430">
        <v>38908</v>
      </c>
      <c r="H27" s="435">
        <f>DATEDIF(G27,$G$6,"Y")</f>
        <v>19</v>
      </c>
      <c r="I27" s="361" t="s">
        <v>5580</v>
      </c>
    </row>
    <row r="28" spans="1:9" s="364" customFormat="1" x14ac:dyDescent="0.25">
      <c r="A28" s="360"/>
      <c r="B28" s="376"/>
      <c r="C28" s="361"/>
      <c r="D28" s="362"/>
      <c r="E28" s="361"/>
      <c r="F28" s="435"/>
      <c r="G28" s="430"/>
      <c r="H28" s="435"/>
      <c r="I28" s="361"/>
    </row>
    <row r="29" spans="1:9" s="364" customFormat="1" x14ac:dyDescent="0.25">
      <c r="A29" s="360">
        <v>18457406</v>
      </c>
      <c r="B29" s="376" t="s">
        <v>4676</v>
      </c>
      <c r="C29" s="361"/>
      <c r="D29" s="465">
        <v>2</v>
      </c>
      <c r="E29" s="361" t="s">
        <v>5665</v>
      </c>
      <c r="F29" s="435" t="s">
        <v>4620</v>
      </c>
      <c r="G29" s="430">
        <v>41659</v>
      </c>
      <c r="H29" s="435">
        <f>DATEDIF(G29,$G$6,"Y")</f>
        <v>11</v>
      </c>
      <c r="I29" s="361"/>
    </row>
    <row r="30" spans="1:9" s="364" customFormat="1" x14ac:dyDescent="0.25">
      <c r="A30" s="1119"/>
      <c r="B30" s="1266"/>
      <c r="C30" s="1120"/>
      <c r="D30" s="1121"/>
      <c r="E30" s="1120" t="s">
        <v>7623</v>
      </c>
      <c r="F30" s="1122" t="s">
        <v>4620</v>
      </c>
      <c r="G30" s="1123">
        <v>45817</v>
      </c>
      <c r="H30" s="435">
        <f>DATEDIF(G30,$G$6,"Y")</f>
        <v>0</v>
      </c>
      <c r="I30" s="1120"/>
    </row>
    <row r="31" spans="1:9" s="364" customFormat="1" x14ac:dyDescent="0.25">
      <c r="A31" s="886"/>
      <c r="B31" s="887"/>
      <c r="C31" s="888"/>
      <c r="D31" s="889"/>
      <c r="E31" s="888"/>
      <c r="F31" s="890"/>
      <c r="G31" s="891"/>
      <c r="H31" s="890"/>
      <c r="I31" s="888"/>
    </row>
    <row r="32" spans="1:9" s="364" customFormat="1" x14ac:dyDescent="0.25">
      <c r="A32" s="370">
        <v>11895772</v>
      </c>
      <c r="B32" s="459" t="s">
        <v>4677</v>
      </c>
      <c r="C32" s="371"/>
      <c r="D32" s="457">
        <v>1</v>
      </c>
      <c r="E32" s="371" t="s">
        <v>5989</v>
      </c>
      <c r="F32" s="442" t="s">
        <v>4621</v>
      </c>
      <c r="G32" s="431">
        <v>39954</v>
      </c>
      <c r="H32" s="435">
        <f>DATEDIF(G32,$G$6,"Y")</f>
        <v>16</v>
      </c>
      <c r="I32" s="371"/>
    </row>
    <row r="33" spans="1:9" s="364" customFormat="1" x14ac:dyDescent="0.25">
      <c r="A33" s="886"/>
      <c r="B33" s="887"/>
      <c r="C33" s="888"/>
      <c r="D33" s="889"/>
      <c r="E33" s="888"/>
      <c r="F33" s="890"/>
      <c r="G33" s="891"/>
      <c r="H33" s="890"/>
      <c r="I33" s="888"/>
    </row>
    <row r="34" spans="1:9" s="364" customFormat="1" x14ac:dyDescent="0.25">
      <c r="A34" s="370">
        <v>5348397</v>
      </c>
      <c r="B34" s="459" t="s">
        <v>4678</v>
      </c>
      <c r="C34" s="371"/>
      <c r="D34" s="457">
        <v>1</v>
      </c>
      <c r="E34" s="371" t="s">
        <v>5990</v>
      </c>
      <c r="F34" s="442" t="s">
        <v>4621</v>
      </c>
      <c r="G34" s="431">
        <v>37449</v>
      </c>
      <c r="H34" s="435">
        <f>DATEDIF(G34,$G$6,"Y")</f>
        <v>23</v>
      </c>
      <c r="I34" s="361" t="s">
        <v>5771</v>
      </c>
    </row>
    <row r="35" spans="1:9" s="364" customFormat="1" x14ac:dyDescent="0.25">
      <c r="A35" s="370">
        <v>5348397</v>
      </c>
      <c r="B35" s="459" t="s">
        <v>4678</v>
      </c>
      <c r="C35" s="371"/>
      <c r="D35" s="457"/>
      <c r="E35" s="371" t="s">
        <v>5991</v>
      </c>
      <c r="F35" s="442" t="s">
        <v>4621</v>
      </c>
      <c r="G35" s="431">
        <v>39396</v>
      </c>
      <c r="H35" s="435">
        <f>DATEDIF(G35,$G$6,"Y")</f>
        <v>17</v>
      </c>
      <c r="I35" s="371"/>
    </row>
    <row r="36" spans="1:9" s="364" customFormat="1" x14ac:dyDescent="0.25">
      <c r="A36" s="370"/>
      <c r="B36" s="459"/>
      <c r="C36" s="371"/>
      <c r="D36" s="457"/>
      <c r="E36" s="371" t="s">
        <v>2904</v>
      </c>
      <c r="F36" s="442"/>
      <c r="G36" s="431"/>
      <c r="H36" s="442"/>
      <c r="I36" s="371"/>
    </row>
    <row r="37" spans="1:9" s="364" customFormat="1" x14ac:dyDescent="0.25">
      <c r="A37" s="360">
        <v>11320533</v>
      </c>
      <c r="B37" s="361" t="s">
        <v>4744</v>
      </c>
      <c r="C37" s="361" t="s">
        <v>5237</v>
      </c>
      <c r="D37" s="465">
        <v>1</v>
      </c>
      <c r="E37" s="361" t="s">
        <v>5568</v>
      </c>
      <c r="F37" s="435" t="s">
        <v>4620</v>
      </c>
      <c r="G37" s="430">
        <v>38598</v>
      </c>
      <c r="H37" s="435">
        <f>DATEDIF(G37,$G$6,"Y")</f>
        <v>20</v>
      </c>
      <c r="I37" s="361" t="s">
        <v>5771</v>
      </c>
    </row>
    <row r="38" spans="1:9" s="364" customFormat="1" x14ac:dyDescent="0.25">
      <c r="A38" s="360">
        <v>11320533</v>
      </c>
      <c r="B38" s="361" t="s">
        <v>4744</v>
      </c>
      <c r="C38" s="361"/>
      <c r="D38" s="362"/>
      <c r="E38" s="361" t="s">
        <v>5569</v>
      </c>
      <c r="F38" s="435" t="s">
        <v>4620</v>
      </c>
      <c r="G38" s="430">
        <v>39374</v>
      </c>
      <c r="H38" s="435">
        <f>DATEDIF(G38,$G$6,"Y")</f>
        <v>17</v>
      </c>
      <c r="I38" s="361"/>
    </row>
    <row r="39" spans="1:9" s="364" customFormat="1" x14ac:dyDescent="0.25">
      <c r="A39" s="886"/>
      <c r="B39" s="887"/>
      <c r="C39" s="888"/>
      <c r="D39" s="889"/>
      <c r="E39" s="888"/>
      <c r="F39" s="890"/>
      <c r="G39" s="891"/>
      <c r="H39" s="890"/>
      <c r="I39" s="888"/>
    </row>
    <row r="40" spans="1:9" s="364" customFormat="1" x14ac:dyDescent="0.25">
      <c r="A40" s="370">
        <v>13568733</v>
      </c>
      <c r="B40" s="459" t="s">
        <v>4685</v>
      </c>
      <c r="C40" s="371"/>
      <c r="D40" s="457">
        <v>1</v>
      </c>
      <c r="E40" s="371" t="s">
        <v>5993</v>
      </c>
      <c r="F40" s="435" t="s">
        <v>4620</v>
      </c>
      <c r="G40" s="431">
        <v>41229</v>
      </c>
      <c r="H40" s="435">
        <f>DATEDIF(G40,$G$6,"Y")</f>
        <v>12</v>
      </c>
      <c r="I40" s="371"/>
    </row>
    <row r="41" spans="1:9" s="364" customFormat="1" x14ac:dyDescent="0.25">
      <c r="A41" s="886"/>
      <c r="B41" s="887"/>
      <c r="C41" s="888"/>
      <c r="D41" s="889"/>
      <c r="E41" s="888"/>
      <c r="F41" s="890"/>
      <c r="G41" s="891"/>
      <c r="H41" s="890"/>
      <c r="I41" s="888"/>
    </row>
    <row r="42" spans="1:9" s="364" customFormat="1" x14ac:dyDescent="0.25">
      <c r="A42" s="360">
        <v>15752183</v>
      </c>
      <c r="B42" s="376" t="s">
        <v>5702</v>
      </c>
      <c r="C42" s="361" t="s">
        <v>218</v>
      </c>
      <c r="D42" s="362">
        <v>2</v>
      </c>
      <c r="E42" s="361" t="s">
        <v>5703</v>
      </c>
      <c r="F42" s="435" t="s">
        <v>4621</v>
      </c>
      <c r="G42" s="430">
        <v>39760</v>
      </c>
      <c r="H42" s="435">
        <f>DATEDIF(G42,$G$6,"Y")</f>
        <v>16</v>
      </c>
      <c r="I42" s="361"/>
    </row>
    <row r="43" spans="1:9" s="364" customFormat="1" x14ac:dyDescent="0.25">
      <c r="A43" s="360">
        <v>15752183</v>
      </c>
      <c r="B43" s="376" t="s">
        <v>5702</v>
      </c>
      <c r="C43" s="361"/>
      <c r="D43" s="465"/>
      <c r="E43" s="361" t="s">
        <v>5704</v>
      </c>
      <c r="F43" s="435" t="s">
        <v>4621</v>
      </c>
      <c r="G43" s="430">
        <v>42488</v>
      </c>
      <c r="H43" s="435">
        <f>DATEDIF(G43,$G$6,"Y")</f>
        <v>9</v>
      </c>
      <c r="I43" s="361"/>
    </row>
    <row r="44" spans="1:9" s="364" customFormat="1" x14ac:dyDescent="0.25">
      <c r="A44" s="1119"/>
      <c r="B44" s="1266"/>
      <c r="C44" s="1120"/>
      <c r="D44" s="1121"/>
      <c r="E44" s="1120"/>
      <c r="F44" s="1122"/>
      <c r="G44" s="1123"/>
      <c r="H44" s="1122"/>
      <c r="I44" s="1120"/>
    </row>
    <row r="45" spans="1:9" s="364" customFormat="1" x14ac:dyDescent="0.25">
      <c r="A45" s="360">
        <v>16066524</v>
      </c>
      <c r="B45" s="361" t="s">
        <v>4814</v>
      </c>
      <c r="C45" s="361" t="s">
        <v>5215</v>
      </c>
      <c r="D45" s="465">
        <v>2</v>
      </c>
      <c r="E45" s="361" t="s">
        <v>5619</v>
      </c>
      <c r="F45" s="435" t="s">
        <v>4620</v>
      </c>
      <c r="G45" s="430">
        <v>40827</v>
      </c>
      <c r="H45" s="435">
        <f>DATEDIF(G45,$G$6,"Y")</f>
        <v>13</v>
      </c>
      <c r="I45" s="361"/>
    </row>
    <row r="46" spans="1:9" s="364" customFormat="1" x14ac:dyDescent="0.25">
      <c r="A46" s="360">
        <v>16066524</v>
      </c>
      <c r="B46" s="361" t="s">
        <v>4814</v>
      </c>
      <c r="C46" s="361"/>
      <c r="D46" s="465"/>
      <c r="E46" s="361" t="s">
        <v>5620</v>
      </c>
      <c r="F46" s="435" t="s">
        <v>4620</v>
      </c>
      <c r="G46" s="430">
        <v>40827</v>
      </c>
      <c r="H46" s="435">
        <f>DATEDIF(G46,$G$6,"Y")</f>
        <v>13</v>
      </c>
      <c r="I46" s="361"/>
    </row>
    <row r="47" spans="1:9" s="364" customFormat="1" x14ac:dyDescent="0.25">
      <c r="A47" s="360">
        <v>16066524</v>
      </c>
      <c r="B47" s="361" t="s">
        <v>4814</v>
      </c>
      <c r="C47" s="361"/>
      <c r="D47" s="465"/>
      <c r="E47" s="361" t="s">
        <v>5621</v>
      </c>
      <c r="F47" s="435" t="s">
        <v>4620</v>
      </c>
      <c r="G47" s="430">
        <v>37378</v>
      </c>
      <c r="H47" s="435">
        <f>DATEDIF(G47,$G$6,"Y")</f>
        <v>23</v>
      </c>
      <c r="I47" s="361" t="s">
        <v>5774</v>
      </c>
    </row>
    <row r="48" spans="1:9" s="364" customFormat="1" x14ac:dyDescent="0.25">
      <c r="A48" s="360">
        <v>16066524</v>
      </c>
      <c r="B48" s="361" t="s">
        <v>4814</v>
      </c>
      <c r="C48" s="361"/>
      <c r="D48" s="465"/>
      <c r="E48" s="361" t="s">
        <v>5622</v>
      </c>
      <c r="F48" s="435" t="s">
        <v>4620</v>
      </c>
      <c r="G48" s="430">
        <v>37951</v>
      </c>
      <c r="H48" s="435">
        <f>DATEDIF(G48,$G$6,"Y")</f>
        <v>21</v>
      </c>
      <c r="I48" s="361" t="s">
        <v>5774</v>
      </c>
    </row>
    <row r="49" spans="1:9" s="364" customFormat="1" x14ac:dyDescent="0.25">
      <c r="A49" s="1119"/>
      <c r="B49" s="1120"/>
      <c r="C49" s="1120"/>
      <c r="D49" s="1121"/>
      <c r="E49" s="1120"/>
      <c r="F49" s="1122"/>
      <c r="G49" s="1123"/>
      <c r="H49" s="1122"/>
      <c r="I49" s="1120"/>
    </row>
    <row r="50" spans="1:9" s="364" customFormat="1" x14ac:dyDescent="0.25">
      <c r="A50" s="360">
        <v>16739081</v>
      </c>
      <c r="B50" s="361" t="s">
        <v>4828</v>
      </c>
      <c r="C50" s="361" t="s">
        <v>5718</v>
      </c>
      <c r="D50" s="1121">
        <v>2</v>
      </c>
      <c r="E50" s="361" t="s">
        <v>5636</v>
      </c>
      <c r="F50" s="435" t="s">
        <v>4620</v>
      </c>
      <c r="G50" s="430">
        <v>40629</v>
      </c>
      <c r="H50" s="435">
        <f t="shared" ref="H50:H51" si="0">DATEDIF(G50,$G$6,"Y")</f>
        <v>14</v>
      </c>
      <c r="I50" s="1120"/>
    </row>
    <row r="51" spans="1:9" s="364" customFormat="1" x14ac:dyDescent="0.25">
      <c r="A51" s="360">
        <v>16739081</v>
      </c>
      <c r="B51" s="361" t="s">
        <v>4828</v>
      </c>
      <c r="C51" s="361"/>
      <c r="D51" s="1121"/>
      <c r="E51" s="361" t="s">
        <v>5637</v>
      </c>
      <c r="F51" s="435" t="s">
        <v>4620</v>
      </c>
      <c r="G51" s="430">
        <v>39951</v>
      </c>
      <c r="H51" s="435">
        <f t="shared" si="0"/>
        <v>16</v>
      </c>
      <c r="I51" s="1120"/>
    </row>
    <row r="52" spans="1:9" s="364" customFormat="1" x14ac:dyDescent="0.25">
      <c r="A52" s="886"/>
      <c r="B52" s="887"/>
      <c r="C52" s="888"/>
      <c r="D52" s="889"/>
      <c r="E52" s="888"/>
      <c r="F52" s="890"/>
      <c r="G52" s="891"/>
      <c r="H52" s="890"/>
      <c r="I52" s="888"/>
    </row>
    <row r="53" spans="1:9" s="364" customFormat="1" x14ac:dyDescent="0.25">
      <c r="A53" s="360">
        <v>20790947</v>
      </c>
      <c r="B53" s="376" t="s">
        <v>4686</v>
      </c>
      <c r="C53" s="361" t="s">
        <v>5050</v>
      </c>
      <c r="D53" s="892">
        <v>1</v>
      </c>
      <c r="E53" s="361" t="s">
        <v>5720</v>
      </c>
      <c r="F53" s="442" t="s">
        <v>4620</v>
      </c>
      <c r="G53" s="430">
        <v>43853</v>
      </c>
      <c r="H53" s="435">
        <f>DATEDIF(G53,$G$6,"Y")</f>
        <v>5</v>
      </c>
      <c r="I53" s="371"/>
    </row>
    <row r="54" spans="1:9" s="364" customFormat="1" x14ac:dyDescent="0.25">
      <c r="A54" s="1119"/>
      <c r="B54" s="1266"/>
      <c r="C54" s="1120"/>
      <c r="D54" s="1121"/>
      <c r="E54" s="1120"/>
      <c r="F54" s="1122"/>
      <c r="G54" s="1123"/>
      <c r="H54" s="1122"/>
      <c r="I54" s="1120"/>
    </row>
    <row r="55" spans="1:9" s="364" customFormat="1" x14ac:dyDescent="0.25">
      <c r="A55" s="360">
        <v>27889180</v>
      </c>
      <c r="B55" s="361" t="s">
        <v>4924</v>
      </c>
      <c r="C55" s="361" t="s">
        <v>5269</v>
      </c>
      <c r="D55" s="465">
        <v>1</v>
      </c>
      <c r="E55" s="361" t="s">
        <v>5699</v>
      </c>
      <c r="F55" s="435" t="s">
        <v>4620</v>
      </c>
      <c r="G55" s="430">
        <v>44883</v>
      </c>
      <c r="H55" s="435">
        <f>DATEDIF(G55,$G$6,"Y")</f>
        <v>2</v>
      </c>
      <c r="I55" s="361"/>
    </row>
    <row r="56" spans="1:9" s="364" customFormat="1" x14ac:dyDescent="0.25">
      <c r="A56" s="1119"/>
      <c r="B56" s="1266"/>
      <c r="C56" s="1120"/>
      <c r="D56" s="1121"/>
      <c r="E56" s="1120"/>
      <c r="F56" s="1122"/>
      <c r="G56" s="1123"/>
      <c r="H56" s="1122"/>
      <c r="I56" s="1120"/>
    </row>
    <row r="57" spans="1:9" s="364" customFormat="1" x14ac:dyDescent="0.25">
      <c r="A57" s="370"/>
      <c r="B57" s="371"/>
      <c r="C57" s="371"/>
      <c r="D57" s="457"/>
      <c r="E57" s="371"/>
      <c r="F57" s="442"/>
      <c r="G57" s="431"/>
      <c r="H57" s="442"/>
      <c r="I57" s="371"/>
    </row>
    <row r="58" spans="1:9" s="364" customFormat="1" ht="18.75" x14ac:dyDescent="0.3">
      <c r="A58" s="370"/>
      <c r="B58" s="371"/>
      <c r="C58" s="462" t="s">
        <v>5768</v>
      </c>
      <c r="D58" s="451">
        <f>+SUM(D15:D57)</f>
        <v>17</v>
      </c>
      <c r="E58" s="1476">
        <f>+NOMINA!Z42-D58</f>
        <v>0</v>
      </c>
      <c r="F58" s="463"/>
      <c r="G58" s="464"/>
      <c r="H58" s="463"/>
      <c r="I58" s="450"/>
    </row>
    <row r="59" spans="1:9" s="364" customFormat="1" x14ac:dyDescent="0.25">
      <c r="A59" s="370"/>
      <c r="B59" s="371"/>
      <c r="C59" s="371"/>
      <c r="D59" s="457"/>
      <c r="E59" s="371"/>
      <c r="F59" s="442"/>
      <c r="G59" s="431"/>
      <c r="H59" s="442"/>
      <c r="I59" s="371"/>
    </row>
    <row r="60" spans="1:9" s="364" customFormat="1" ht="21" x14ac:dyDescent="0.35">
      <c r="A60" s="1636" t="s">
        <v>5054</v>
      </c>
      <c r="B60" s="450"/>
      <c r="C60" s="371"/>
      <c r="D60" s="457"/>
      <c r="E60" s="371"/>
      <c r="F60" s="442"/>
      <c r="G60" s="431"/>
      <c r="H60" s="442"/>
      <c r="I60" s="371"/>
    </row>
    <row r="61" spans="1:9" s="364" customFormat="1" x14ac:dyDescent="0.25">
      <c r="A61" s="370"/>
      <c r="B61" s="371"/>
      <c r="C61" s="371"/>
      <c r="D61" s="457"/>
      <c r="E61" s="371"/>
      <c r="F61" s="442"/>
      <c r="G61" s="431"/>
      <c r="H61" s="442"/>
      <c r="I61" s="371"/>
    </row>
    <row r="62" spans="1:9" s="364" customFormat="1" x14ac:dyDescent="0.25">
      <c r="A62" s="975">
        <v>8266170</v>
      </c>
      <c r="B62" s="976" t="s">
        <v>4938</v>
      </c>
      <c r="C62" s="361" t="s">
        <v>5218</v>
      </c>
      <c r="D62" s="977">
        <v>1</v>
      </c>
      <c r="E62" s="976" t="s">
        <v>5978</v>
      </c>
      <c r="F62" s="435" t="s">
        <v>4621</v>
      </c>
      <c r="G62" s="979">
        <v>41630</v>
      </c>
      <c r="H62" s="435">
        <f>DATEDIF(G62,$G$6,"Y")</f>
        <v>11</v>
      </c>
      <c r="I62" s="976"/>
    </row>
    <row r="63" spans="1:9" s="364" customFormat="1" x14ac:dyDescent="0.25">
      <c r="A63" s="975"/>
      <c r="B63" s="976"/>
      <c r="C63" s="976"/>
      <c r="D63" s="977"/>
      <c r="E63" s="976"/>
      <c r="F63" s="978"/>
      <c r="G63" s="979"/>
      <c r="H63" s="978"/>
      <c r="I63" s="976"/>
    </row>
    <row r="64" spans="1:9" s="364" customFormat="1" x14ac:dyDescent="0.25">
      <c r="A64" s="975">
        <v>9179981</v>
      </c>
      <c r="B64" s="976" t="s">
        <v>4702</v>
      </c>
      <c r="C64" s="361" t="s">
        <v>5258</v>
      </c>
      <c r="D64" s="977">
        <v>0</v>
      </c>
      <c r="E64" s="976" t="s">
        <v>6794</v>
      </c>
      <c r="F64" s="435" t="s">
        <v>4621</v>
      </c>
      <c r="G64" s="979">
        <v>39307</v>
      </c>
      <c r="H64" s="435">
        <f>DATEDIF(G64,$G$6,"Y")</f>
        <v>18</v>
      </c>
      <c r="I64" s="1120" t="s">
        <v>5730</v>
      </c>
    </row>
    <row r="65" spans="1:9" s="364" customFormat="1" x14ac:dyDescent="0.25">
      <c r="A65" s="1119"/>
      <c r="B65" s="1120"/>
      <c r="C65" s="1120"/>
      <c r="D65" s="1265"/>
      <c r="E65" s="1120"/>
      <c r="F65" s="1122"/>
      <c r="G65" s="1123"/>
      <c r="H65" s="1122"/>
      <c r="I65" s="1120"/>
    </row>
    <row r="66" spans="1:9" x14ac:dyDescent="0.25">
      <c r="A66" s="360">
        <v>9327253</v>
      </c>
      <c r="B66" s="361" t="s">
        <v>4707</v>
      </c>
      <c r="C66" s="361" t="s">
        <v>5221</v>
      </c>
      <c r="D66" s="465">
        <v>0</v>
      </c>
      <c r="E66" s="361" t="s">
        <v>5564</v>
      </c>
      <c r="F66" s="435" t="s">
        <v>4620</v>
      </c>
      <c r="G66" s="430">
        <v>38120</v>
      </c>
      <c r="H66" s="435">
        <f>DATEDIF(G66,$G$6,"Y")</f>
        <v>21</v>
      </c>
      <c r="I66" s="361" t="s">
        <v>5772</v>
      </c>
    </row>
    <row r="67" spans="1:9" x14ac:dyDescent="0.25">
      <c r="A67" s="360">
        <v>9327253</v>
      </c>
      <c r="B67" s="361" t="s">
        <v>4707</v>
      </c>
      <c r="C67" s="361"/>
      <c r="D67" s="465"/>
      <c r="E67" s="361" t="s">
        <v>5565</v>
      </c>
      <c r="F67" s="435" t="s">
        <v>4620</v>
      </c>
      <c r="G67" s="430">
        <v>39307</v>
      </c>
      <c r="H67" s="435">
        <f>DATEDIF(G67,$G$6,"Y")</f>
        <v>18</v>
      </c>
      <c r="I67" s="361" t="s">
        <v>5772</v>
      </c>
    </row>
    <row r="68" spans="1:9" x14ac:dyDescent="0.25">
      <c r="A68" s="360"/>
      <c r="B68" s="361"/>
      <c r="C68" s="361"/>
      <c r="D68" s="465"/>
      <c r="E68" s="361"/>
      <c r="F68" s="435"/>
      <c r="G68" s="430"/>
      <c r="H68" s="435"/>
      <c r="I68" s="361"/>
    </row>
    <row r="69" spans="1:9" x14ac:dyDescent="0.25">
      <c r="A69" s="360">
        <v>10319457</v>
      </c>
      <c r="B69" s="361" t="s">
        <v>4718</v>
      </c>
      <c r="C69" s="361" t="s">
        <v>5227</v>
      </c>
      <c r="D69" s="465">
        <v>1</v>
      </c>
      <c r="E69" s="361" t="s">
        <v>5566</v>
      </c>
      <c r="F69" s="435" t="s">
        <v>4620</v>
      </c>
      <c r="G69" s="430">
        <v>40354</v>
      </c>
      <c r="H69" s="435">
        <f>DATEDIF(G69,$G$6,"Y")</f>
        <v>15</v>
      </c>
      <c r="I69" s="361"/>
    </row>
    <row r="70" spans="1:9" x14ac:dyDescent="0.25">
      <c r="A70" s="360"/>
      <c r="B70" s="361"/>
      <c r="C70" s="361"/>
      <c r="D70" s="465"/>
      <c r="E70" s="361"/>
      <c r="F70" s="435"/>
      <c r="G70" s="430"/>
      <c r="H70" s="435"/>
      <c r="I70" s="361"/>
    </row>
    <row r="71" spans="1:9" x14ac:dyDescent="0.25">
      <c r="A71" s="360">
        <v>10906923</v>
      </c>
      <c r="B71" s="361" t="s">
        <v>4727</v>
      </c>
      <c r="C71" s="361" t="s">
        <v>5218</v>
      </c>
      <c r="D71" s="465">
        <v>1</v>
      </c>
      <c r="E71" s="361" t="s">
        <v>5994</v>
      </c>
      <c r="F71" s="435" t="s">
        <v>4621</v>
      </c>
      <c r="G71" s="430">
        <v>41261</v>
      </c>
      <c r="H71" s="435">
        <f>DATEDIF(G71,$G$6,"Y")</f>
        <v>12</v>
      </c>
      <c r="I71" s="361"/>
    </row>
    <row r="72" spans="1:9" x14ac:dyDescent="0.25">
      <c r="A72" s="360"/>
      <c r="B72" s="361"/>
      <c r="C72" s="361"/>
      <c r="D72" s="465"/>
      <c r="E72" s="361" t="s">
        <v>2904</v>
      </c>
      <c r="F72" s="435"/>
      <c r="G72" s="430"/>
      <c r="H72" s="435"/>
      <c r="I72" s="361"/>
    </row>
    <row r="73" spans="1:9" x14ac:dyDescent="0.25">
      <c r="A73" s="370">
        <v>11128954</v>
      </c>
      <c r="B73" s="371" t="s">
        <v>5769</v>
      </c>
      <c r="C73" s="371" t="s">
        <v>3618</v>
      </c>
      <c r="D73" s="892">
        <v>1</v>
      </c>
      <c r="E73" s="371" t="s">
        <v>5776</v>
      </c>
      <c r="F73" s="435" t="s">
        <v>4620</v>
      </c>
      <c r="G73" s="430">
        <v>41771</v>
      </c>
      <c r="H73" s="435">
        <f>DATEDIF(G73,$G$6,"Y")</f>
        <v>11</v>
      </c>
      <c r="I73" s="371"/>
    </row>
    <row r="74" spans="1:9" s="364" customFormat="1" x14ac:dyDescent="0.25">
      <c r="A74" s="1119"/>
      <c r="B74" s="1120"/>
      <c r="C74" s="1120"/>
      <c r="D74" s="1121"/>
      <c r="E74" s="1120" t="s">
        <v>2904</v>
      </c>
      <c r="F74" s="1122"/>
      <c r="G74" s="1123"/>
      <c r="H74" s="1122"/>
      <c r="I74" s="1120"/>
    </row>
    <row r="75" spans="1:9" x14ac:dyDescent="0.25">
      <c r="A75" s="360">
        <v>11132979</v>
      </c>
      <c r="B75" s="361" t="s">
        <v>4739</v>
      </c>
      <c r="C75" s="361" t="s">
        <v>5217</v>
      </c>
      <c r="D75" s="465">
        <v>1</v>
      </c>
      <c r="E75" s="361" t="s">
        <v>5995</v>
      </c>
      <c r="F75" s="435" t="s">
        <v>4620</v>
      </c>
      <c r="G75" s="430">
        <v>40573</v>
      </c>
      <c r="H75" s="435">
        <f>DATEDIF(G75,$G$6,"Y")</f>
        <v>14</v>
      </c>
      <c r="I75" s="361"/>
    </row>
    <row r="76" spans="1:9" x14ac:dyDescent="0.25">
      <c r="A76" s="360"/>
      <c r="B76" s="361"/>
      <c r="C76" s="363"/>
      <c r="D76" s="465"/>
      <c r="E76" s="361"/>
      <c r="F76" s="435"/>
      <c r="G76" s="430"/>
      <c r="H76" s="435"/>
      <c r="I76" s="361"/>
    </row>
    <row r="77" spans="1:9" x14ac:dyDescent="0.25">
      <c r="A77" s="360">
        <v>11257247</v>
      </c>
      <c r="B77" s="361" t="s">
        <v>4740</v>
      </c>
      <c r="C77" s="361" t="s">
        <v>5235</v>
      </c>
      <c r="D77" s="465">
        <v>1</v>
      </c>
      <c r="E77" s="361" t="s">
        <v>5567</v>
      </c>
      <c r="F77" s="435" t="s">
        <v>4620</v>
      </c>
      <c r="G77" s="430">
        <v>40114</v>
      </c>
      <c r="H77" s="435">
        <f>DATEDIF(G77,$G$6,"Y")</f>
        <v>15</v>
      </c>
      <c r="I77" s="361"/>
    </row>
    <row r="78" spans="1:9" x14ac:dyDescent="0.25">
      <c r="A78" s="360"/>
      <c r="B78" s="361"/>
      <c r="C78" s="361"/>
      <c r="D78" s="465"/>
      <c r="E78" s="361"/>
      <c r="F78" s="435"/>
      <c r="G78" s="430"/>
      <c r="H78" s="435"/>
      <c r="I78" s="361"/>
    </row>
    <row r="79" spans="1:9" x14ac:dyDescent="0.25">
      <c r="A79" s="360">
        <v>12040792</v>
      </c>
      <c r="B79" s="361" t="s">
        <v>4751</v>
      </c>
      <c r="C79" s="361" t="s">
        <v>5238</v>
      </c>
      <c r="D79" s="465">
        <v>1</v>
      </c>
      <c r="E79" s="361" t="s">
        <v>5570</v>
      </c>
      <c r="F79" s="435" t="s">
        <v>4620</v>
      </c>
      <c r="G79" s="430">
        <v>40530</v>
      </c>
      <c r="H79" s="435">
        <f>DATEDIF(G79,$G$6,"Y")</f>
        <v>14</v>
      </c>
      <c r="I79" s="361"/>
    </row>
    <row r="80" spans="1:9" x14ac:dyDescent="0.25">
      <c r="A80" s="360"/>
      <c r="B80" s="361"/>
      <c r="C80" s="361"/>
      <c r="D80" s="465"/>
      <c r="E80" s="361"/>
      <c r="F80" s="435"/>
      <c r="G80" s="430"/>
      <c r="H80" s="435"/>
      <c r="I80" s="361"/>
    </row>
    <row r="81" spans="1:9" x14ac:dyDescent="0.25">
      <c r="A81" s="360">
        <v>12045360</v>
      </c>
      <c r="B81" s="361" t="s">
        <v>4754</v>
      </c>
      <c r="C81" s="361" t="s">
        <v>5218</v>
      </c>
      <c r="D81" s="465">
        <v>1</v>
      </c>
      <c r="E81" s="361" t="s">
        <v>5571</v>
      </c>
      <c r="F81" s="435" t="s">
        <v>4620</v>
      </c>
      <c r="G81" s="430">
        <v>40113</v>
      </c>
      <c r="H81" s="435">
        <f>DATEDIF(G81,$G$6,"Y")</f>
        <v>15</v>
      </c>
      <c r="I81" s="361"/>
    </row>
    <row r="82" spans="1:9" x14ac:dyDescent="0.25">
      <c r="A82" s="360"/>
      <c r="B82" s="361"/>
      <c r="C82" s="361"/>
      <c r="D82" s="465"/>
      <c r="E82" s="361"/>
      <c r="F82" s="435"/>
      <c r="G82" s="430"/>
      <c r="H82" s="435"/>
      <c r="I82" s="361"/>
    </row>
    <row r="83" spans="1:9" x14ac:dyDescent="0.25">
      <c r="A83" s="360">
        <v>12045504</v>
      </c>
      <c r="B83" s="361" t="s">
        <v>4755</v>
      </c>
      <c r="C83" s="361" t="s">
        <v>5231</v>
      </c>
      <c r="D83" s="465">
        <v>2</v>
      </c>
      <c r="E83" s="361" t="s">
        <v>5572</v>
      </c>
      <c r="F83" s="435" t="s">
        <v>4620</v>
      </c>
      <c r="G83" s="430">
        <v>40837</v>
      </c>
      <c r="H83" s="435">
        <f>DATEDIF(G83,$G$6,"Y")</f>
        <v>13</v>
      </c>
      <c r="I83" s="361"/>
    </row>
    <row r="84" spans="1:9" x14ac:dyDescent="0.25">
      <c r="A84" s="360">
        <v>12045504</v>
      </c>
      <c r="B84" s="361" t="s">
        <v>4755</v>
      </c>
      <c r="C84" s="361"/>
      <c r="D84" s="465"/>
      <c r="E84" s="361" t="s">
        <v>5573</v>
      </c>
      <c r="F84" s="435" t="s">
        <v>4620</v>
      </c>
      <c r="G84" s="430">
        <v>40154</v>
      </c>
      <c r="H84" s="435">
        <f>DATEDIF(G84,$G$6,"Y")</f>
        <v>15</v>
      </c>
      <c r="I84" s="361"/>
    </row>
    <row r="85" spans="1:9" x14ac:dyDescent="0.25">
      <c r="A85" s="360"/>
      <c r="B85" s="361"/>
      <c r="C85" s="361"/>
      <c r="D85" s="465"/>
      <c r="E85" s="361"/>
      <c r="F85" s="435"/>
      <c r="G85" s="430"/>
      <c r="H85" s="435"/>
      <c r="I85" s="361"/>
    </row>
    <row r="86" spans="1:9" x14ac:dyDescent="0.25">
      <c r="A86" s="360">
        <v>12045934</v>
      </c>
      <c r="B86" s="361" t="s">
        <v>4756</v>
      </c>
      <c r="C86" s="361" t="s">
        <v>5240</v>
      </c>
      <c r="D86" s="465">
        <v>0</v>
      </c>
      <c r="E86" s="361" t="s">
        <v>5574</v>
      </c>
      <c r="F86" s="435" t="s">
        <v>4620</v>
      </c>
      <c r="G86" s="430">
        <v>38604</v>
      </c>
      <c r="H86" s="435">
        <f>DATEDIF(G86,$G$6,"Y")</f>
        <v>20</v>
      </c>
      <c r="I86" s="361" t="s">
        <v>5772</v>
      </c>
    </row>
    <row r="87" spans="1:9" x14ac:dyDescent="0.25">
      <c r="A87" s="360"/>
      <c r="B87" s="361"/>
      <c r="C87" s="361"/>
      <c r="D87" s="465"/>
      <c r="E87" s="361"/>
      <c r="F87" s="435"/>
      <c r="G87" s="430"/>
      <c r="H87" s="435"/>
      <c r="I87" s="361"/>
    </row>
    <row r="88" spans="1:9" x14ac:dyDescent="0.25">
      <c r="A88" s="360">
        <v>12457981</v>
      </c>
      <c r="B88" s="361" t="s">
        <v>4757</v>
      </c>
      <c r="C88" s="361" t="s">
        <v>5241</v>
      </c>
      <c r="D88" s="465">
        <v>1</v>
      </c>
      <c r="E88" s="361" t="s">
        <v>5575</v>
      </c>
      <c r="F88" s="435" t="s">
        <v>4621</v>
      </c>
      <c r="G88" s="430">
        <v>41661</v>
      </c>
      <c r="H88" s="435">
        <f>DATEDIF(G88,$G$6,"Y")</f>
        <v>11</v>
      </c>
      <c r="I88" s="361"/>
    </row>
    <row r="89" spans="1:9" x14ac:dyDescent="0.25">
      <c r="A89" s="360"/>
      <c r="B89" s="361"/>
      <c r="C89" s="361"/>
      <c r="D89" s="465"/>
      <c r="E89" s="361"/>
      <c r="F89" s="435"/>
      <c r="G89" s="430"/>
      <c r="H89" s="435"/>
      <c r="I89" s="361"/>
    </row>
    <row r="90" spans="1:9" x14ac:dyDescent="0.25">
      <c r="A90" s="360">
        <v>12458811</v>
      </c>
      <c r="B90" s="361" t="s">
        <v>4758</v>
      </c>
      <c r="C90" s="361" t="s">
        <v>5242</v>
      </c>
      <c r="D90" s="465">
        <v>1</v>
      </c>
      <c r="E90" s="361" t="s">
        <v>5576</v>
      </c>
      <c r="F90" s="435" t="s">
        <v>4620</v>
      </c>
      <c r="G90" s="430">
        <v>40877</v>
      </c>
      <c r="H90" s="435">
        <f>DATEDIF(G90,$G$6,"Y")</f>
        <v>13</v>
      </c>
      <c r="I90" s="361"/>
    </row>
    <row r="91" spans="1:9" s="364" customFormat="1" x14ac:dyDescent="0.25">
      <c r="A91" s="1119"/>
      <c r="B91" s="1120"/>
      <c r="C91" s="1120"/>
      <c r="D91" s="1121"/>
      <c r="E91" s="1120"/>
      <c r="F91" s="1122"/>
      <c r="G91" s="1123"/>
      <c r="H91" s="1122"/>
      <c r="I91" s="1120"/>
    </row>
    <row r="92" spans="1:9" s="364" customFormat="1" x14ac:dyDescent="0.25">
      <c r="A92" s="360">
        <v>12541044</v>
      </c>
      <c r="B92" s="361" t="s">
        <v>6788</v>
      </c>
      <c r="C92" s="361" t="s">
        <v>5224</v>
      </c>
      <c r="D92" s="465">
        <v>1</v>
      </c>
      <c r="E92" s="361" t="s">
        <v>6790</v>
      </c>
      <c r="F92" s="435" t="s">
        <v>4620</v>
      </c>
      <c r="G92" s="430">
        <v>40540</v>
      </c>
      <c r="H92" s="435">
        <f>DATEDIF(G92,$G$6,"Y")</f>
        <v>14</v>
      </c>
      <c r="I92" s="361"/>
    </row>
    <row r="93" spans="1:9" x14ac:dyDescent="0.25">
      <c r="A93" s="360"/>
      <c r="B93" s="361"/>
      <c r="C93" s="361"/>
      <c r="D93" s="465"/>
      <c r="E93" s="361"/>
      <c r="F93" s="435"/>
      <c r="G93" s="430"/>
      <c r="H93" s="435"/>
      <c r="I93" s="361"/>
    </row>
    <row r="94" spans="1:9" x14ac:dyDescent="0.25">
      <c r="A94" s="360">
        <v>12798604</v>
      </c>
      <c r="B94" s="361" t="s">
        <v>4761</v>
      </c>
      <c r="C94" s="361" t="s">
        <v>5217</v>
      </c>
      <c r="D94" s="465">
        <v>1</v>
      </c>
      <c r="E94" s="361" t="s">
        <v>5577</v>
      </c>
      <c r="F94" s="435" t="s">
        <v>4620</v>
      </c>
      <c r="G94" s="430">
        <v>40280</v>
      </c>
      <c r="H94" s="435">
        <f>DATEDIF(G94,$G$6,"Y")</f>
        <v>15</v>
      </c>
      <c r="I94" s="361"/>
    </row>
    <row r="95" spans="1:9" x14ac:dyDescent="0.25">
      <c r="A95" s="360"/>
      <c r="B95" s="361"/>
      <c r="C95" s="361"/>
      <c r="D95" s="465"/>
      <c r="E95" s="361"/>
      <c r="F95" s="435"/>
      <c r="G95" s="430"/>
      <c r="H95" s="435"/>
      <c r="I95" s="361"/>
    </row>
    <row r="96" spans="1:9" x14ac:dyDescent="0.25">
      <c r="A96" s="360">
        <v>12798736</v>
      </c>
      <c r="B96" s="361" t="s">
        <v>4762</v>
      </c>
      <c r="C96" s="361" t="s">
        <v>5244</v>
      </c>
      <c r="D96" s="465">
        <v>1</v>
      </c>
      <c r="E96" s="361" t="s">
        <v>5578</v>
      </c>
      <c r="F96" s="435" t="s">
        <v>4620</v>
      </c>
      <c r="G96" s="430">
        <v>41108</v>
      </c>
      <c r="H96" s="435">
        <f>DATEDIF(G96,$G$6,"Y")</f>
        <v>13</v>
      </c>
      <c r="I96" s="361"/>
    </row>
    <row r="97" spans="1:9" x14ac:dyDescent="0.25">
      <c r="A97" s="360">
        <v>12798736</v>
      </c>
      <c r="B97" s="361" t="s">
        <v>4762</v>
      </c>
      <c r="C97" s="361"/>
      <c r="D97" s="465"/>
      <c r="E97" s="361" t="s">
        <v>5579</v>
      </c>
      <c r="F97" s="435" t="s">
        <v>4620</v>
      </c>
      <c r="G97" s="430">
        <v>36368</v>
      </c>
      <c r="H97" s="435">
        <f>DATEDIF(G97,$G$6,"Y")</f>
        <v>26</v>
      </c>
      <c r="I97" s="361" t="s">
        <v>5580</v>
      </c>
    </row>
    <row r="98" spans="1:9" x14ac:dyDescent="0.25">
      <c r="A98" s="360"/>
      <c r="B98" s="361"/>
      <c r="C98" s="361"/>
      <c r="D98" s="465"/>
      <c r="E98" s="361"/>
      <c r="F98" s="435"/>
      <c r="G98" s="430"/>
      <c r="H98" s="435"/>
      <c r="I98" s="361"/>
    </row>
    <row r="99" spans="1:9" x14ac:dyDescent="0.25">
      <c r="A99" s="360">
        <v>12939010</v>
      </c>
      <c r="B99" s="361" t="s">
        <v>4764</v>
      </c>
      <c r="C99" s="361" t="s">
        <v>5215</v>
      </c>
      <c r="D99" s="465">
        <v>0</v>
      </c>
      <c r="E99" s="361" t="s">
        <v>5581</v>
      </c>
      <c r="F99" s="435" t="s">
        <v>4620</v>
      </c>
      <c r="G99" s="430">
        <v>40128</v>
      </c>
      <c r="H99" s="435">
        <f>DATEDIF(G99,$G$6,"Y")</f>
        <v>15</v>
      </c>
      <c r="I99" s="361" t="s">
        <v>5773</v>
      </c>
    </row>
    <row r="100" spans="1:9" x14ac:dyDescent="0.25">
      <c r="A100" s="360">
        <v>12939010</v>
      </c>
      <c r="B100" s="361" t="s">
        <v>4764</v>
      </c>
      <c r="C100" s="361"/>
      <c r="D100" s="465"/>
      <c r="E100" s="361" t="s">
        <v>5582</v>
      </c>
      <c r="F100" s="435" t="s">
        <v>4620</v>
      </c>
      <c r="G100" s="430">
        <v>38365</v>
      </c>
      <c r="H100" s="435">
        <f>DATEDIF(G100,$G$6,"Y")</f>
        <v>20</v>
      </c>
      <c r="I100" s="361" t="s">
        <v>5580</v>
      </c>
    </row>
    <row r="101" spans="1:9" x14ac:dyDescent="0.25">
      <c r="A101" s="360"/>
      <c r="B101" s="361"/>
      <c r="C101" s="361"/>
      <c r="D101" s="465"/>
      <c r="E101" s="361"/>
      <c r="F101" s="435"/>
      <c r="G101" s="430"/>
      <c r="H101" s="435"/>
      <c r="I101" s="361"/>
    </row>
    <row r="102" spans="1:9" x14ac:dyDescent="0.25">
      <c r="A102" s="360">
        <v>13117904</v>
      </c>
      <c r="B102" s="361" t="s">
        <v>4766</v>
      </c>
      <c r="C102" s="361" t="s">
        <v>5218</v>
      </c>
      <c r="D102" s="465">
        <v>1</v>
      </c>
      <c r="E102" s="361" t="s">
        <v>5583</v>
      </c>
      <c r="F102" s="435" t="s">
        <v>4620</v>
      </c>
      <c r="G102" s="430">
        <v>39684</v>
      </c>
      <c r="H102" s="435">
        <f>DATEDIF(G102,$G$6,"Y")</f>
        <v>17</v>
      </c>
      <c r="I102" s="361"/>
    </row>
    <row r="103" spans="1:9" x14ac:dyDescent="0.25">
      <c r="A103" s="360"/>
      <c r="B103" s="361"/>
      <c r="C103" s="361"/>
      <c r="D103" s="465"/>
      <c r="E103" s="361"/>
      <c r="F103" s="435"/>
      <c r="G103" s="430"/>
      <c r="H103" s="435"/>
      <c r="I103" s="361"/>
    </row>
    <row r="104" spans="1:9" x14ac:dyDescent="0.25">
      <c r="A104" s="360">
        <v>13207692</v>
      </c>
      <c r="B104" s="361" t="s">
        <v>4768</v>
      </c>
      <c r="C104" s="361" t="s">
        <v>5245</v>
      </c>
      <c r="D104" s="465">
        <v>2</v>
      </c>
      <c r="E104" s="361" t="s">
        <v>5584</v>
      </c>
      <c r="F104" s="435" t="s">
        <v>4620</v>
      </c>
      <c r="G104" s="430">
        <v>40711</v>
      </c>
      <c r="H104" s="435">
        <f>DATEDIF(G104,$G$6,"Y")</f>
        <v>14</v>
      </c>
      <c r="I104" s="361"/>
    </row>
    <row r="105" spans="1:9" x14ac:dyDescent="0.25">
      <c r="A105" s="360">
        <v>13207692</v>
      </c>
      <c r="B105" s="361" t="s">
        <v>4768</v>
      </c>
      <c r="C105" s="361"/>
      <c r="D105" s="465"/>
      <c r="E105" s="361" t="s">
        <v>5585</v>
      </c>
      <c r="F105" s="435" t="s">
        <v>4620</v>
      </c>
      <c r="G105" s="430">
        <v>41457</v>
      </c>
      <c r="H105" s="435">
        <f>DATEDIF(G105,$G$6,"Y")</f>
        <v>12</v>
      </c>
      <c r="I105" s="361"/>
    </row>
    <row r="106" spans="1:9" s="364" customFormat="1" x14ac:dyDescent="0.25">
      <c r="A106" s="1119"/>
      <c r="B106" s="1120"/>
      <c r="C106" s="1120"/>
      <c r="D106" s="1121"/>
      <c r="E106" s="1120"/>
      <c r="F106" s="1122"/>
      <c r="G106" s="1123"/>
      <c r="H106" s="1122"/>
      <c r="I106" s="1120"/>
    </row>
    <row r="107" spans="1:9" s="364" customFormat="1" x14ac:dyDescent="0.25">
      <c r="A107" s="1119">
        <v>13260050</v>
      </c>
      <c r="B107" s="1120" t="s">
        <v>6484</v>
      </c>
      <c r="C107" s="1120" t="s">
        <v>5215</v>
      </c>
      <c r="D107" s="1121">
        <v>0</v>
      </c>
      <c r="E107" s="1120" t="s">
        <v>6601</v>
      </c>
      <c r="F107" s="1122" t="s">
        <v>4620</v>
      </c>
      <c r="G107" s="1123">
        <v>38911</v>
      </c>
      <c r="H107" s="435">
        <f>DATEDIF(G107,$G$6,"Y")</f>
        <v>19</v>
      </c>
      <c r="I107" s="1120" t="s">
        <v>5580</v>
      </c>
    </row>
    <row r="108" spans="1:9" s="364" customFormat="1" x14ac:dyDescent="0.25">
      <c r="A108" s="1119">
        <v>13260050</v>
      </c>
      <c r="B108" s="1120" t="s">
        <v>6484</v>
      </c>
      <c r="C108" s="1120"/>
      <c r="D108" s="1121"/>
      <c r="E108" s="1120" t="s">
        <v>6602</v>
      </c>
      <c r="F108" s="1122" t="s">
        <v>4620</v>
      </c>
      <c r="G108" s="1123">
        <v>38911</v>
      </c>
      <c r="H108" s="435">
        <f>DATEDIF(G108,$G$6,"Y")</f>
        <v>19</v>
      </c>
      <c r="I108" s="1120" t="s">
        <v>5580</v>
      </c>
    </row>
    <row r="109" spans="1:9" s="364" customFormat="1" x14ac:dyDescent="0.25">
      <c r="A109" s="1119"/>
      <c r="B109" s="1120"/>
      <c r="C109" s="1120"/>
      <c r="D109" s="1121"/>
      <c r="E109" s="1120"/>
      <c r="F109" s="1122"/>
      <c r="G109" s="1123"/>
      <c r="H109" s="1122"/>
      <c r="I109" s="1120"/>
    </row>
    <row r="110" spans="1:9" x14ac:dyDescent="0.25">
      <c r="A110" s="360">
        <v>13261229</v>
      </c>
      <c r="B110" s="361" t="s">
        <v>4770</v>
      </c>
      <c r="C110" s="361" t="s">
        <v>5247</v>
      </c>
      <c r="D110" s="465">
        <v>1</v>
      </c>
      <c r="E110" s="361" t="s">
        <v>5586</v>
      </c>
      <c r="F110" s="435" t="s">
        <v>4621</v>
      </c>
      <c r="G110" s="430">
        <v>37868</v>
      </c>
      <c r="H110" s="435">
        <f>DATEDIF(G110,$G$6,"Y")</f>
        <v>22</v>
      </c>
      <c r="I110" s="361" t="s">
        <v>5587</v>
      </c>
    </row>
    <row r="111" spans="1:9" x14ac:dyDescent="0.25">
      <c r="A111" s="360">
        <v>13261229</v>
      </c>
      <c r="B111" s="361" t="s">
        <v>4770</v>
      </c>
      <c r="C111" s="361"/>
      <c r="D111" s="465"/>
      <c r="E111" s="361" t="s">
        <v>5588</v>
      </c>
      <c r="F111" s="435" t="s">
        <v>4621</v>
      </c>
      <c r="G111" s="430">
        <v>40318</v>
      </c>
      <c r="H111" s="435">
        <f>DATEDIF(G111,$G$6,"Y")</f>
        <v>15</v>
      </c>
      <c r="I111" s="361"/>
    </row>
    <row r="112" spans="1:9" s="364" customFormat="1" x14ac:dyDescent="0.25">
      <c r="A112" s="1119"/>
      <c r="B112" s="1120"/>
      <c r="C112" s="1120"/>
      <c r="D112" s="1121"/>
      <c r="E112" s="1120"/>
      <c r="F112" s="1122"/>
      <c r="G112" s="1123"/>
      <c r="H112" s="1122"/>
      <c r="I112" s="1120"/>
    </row>
    <row r="113" spans="1:9" s="364" customFormat="1" x14ac:dyDescent="0.25">
      <c r="A113" s="360">
        <v>13462511</v>
      </c>
      <c r="B113" s="376" t="s">
        <v>4673</v>
      </c>
      <c r="C113" s="361" t="s">
        <v>5212</v>
      </c>
      <c r="D113" s="465">
        <v>1</v>
      </c>
      <c r="E113" s="361" t="s">
        <v>5988</v>
      </c>
      <c r="F113" s="435" t="s">
        <v>4620</v>
      </c>
      <c r="G113" s="430">
        <v>40008</v>
      </c>
      <c r="H113" s="435">
        <f>DATEDIF(G113,$G$6,"Y")</f>
        <v>16</v>
      </c>
      <c r="I113" s="361"/>
    </row>
    <row r="114" spans="1:9" x14ac:dyDescent="0.25">
      <c r="A114" s="360"/>
      <c r="B114" s="361"/>
      <c r="C114" s="361"/>
      <c r="D114" s="465"/>
      <c r="E114" s="361"/>
      <c r="F114" s="435"/>
      <c r="G114" s="430"/>
      <c r="H114" s="435"/>
      <c r="I114" s="361"/>
    </row>
    <row r="115" spans="1:9" x14ac:dyDescent="0.25">
      <c r="A115" s="360">
        <v>13522518</v>
      </c>
      <c r="B115" s="361" t="s">
        <v>4773</v>
      </c>
      <c r="C115" s="361" t="s">
        <v>5236</v>
      </c>
      <c r="D115" s="465">
        <v>1</v>
      </c>
      <c r="E115" s="361" t="s">
        <v>5589</v>
      </c>
      <c r="F115" s="435" t="s">
        <v>4620</v>
      </c>
      <c r="G115" s="430">
        <v>38954</v>
      </c>
      <c r="H115" s="435">
        <f>DATEDIF(G115,$G$6,"Y")</f>
        <v>19</v>
      </c>
      <c r="I115" s="361" t="s">
        <v>5580</v>
      </c>
    </row>
    <row r="116" spans="1:9" x14ac:dyDescent="0.25">
      <c r="A116" s="360">
        <v>13522518</v>
      </c>
      <c r="B116" s="361" t="s">
        <v>4773</v>
      </c>
      <c r="C116" s="361"/>
      <c r="D116" s="465"/>
      <c r="E116" s="361" t="s">
        <v>5590</v>
      </c>
      <c r="F116" s="435" t="s">
        <v>4620</v>
      </c>
      <c r="G116" s="430">
        <v>42671</v>
      </c>
      <c r="H116" s="435">
        <f>DATEDIF(G116,$G$6,"Y")</f>
        <v>8</v>
      </c>
      <c r="I116" s="361"/>
    </row>
    <row r="117" spans="1:9" x14ac:dyDescent="0.25">
      <c r="A117" s="360"/>
      <c r="B117" s="361"/>
      <c r="C117" s="361"/>
      <c r="D117" s="465"/>
      <c r="E117" s="361"/>
      <c r="F117" s="435"/>
      <c r="G117" s="430"/>
      <c r="H117" s="435"/>
      <c r="I117" s="361"/>
    </row>
    <row r="118" spans="1:9" x14ac:dyDescent="0.25">
      <c r="A118" s="360">
        <v>13523075</v>
      </c>
      <c r="B118" s="361" t="s">
        <v>4774</v>
      </c>
      <c r="C118" s="361" t="s">
        <v>5248</v>
      </c>
      <c r="D118" s="465">
        <v>2</v>
      </c>
      <c r="E118" s="361" t="s">
        <v>5591</v>
      </c>
      <c r="F118" s="435" t="s">
        <v>4620</v>
      </c>
      <c r="G118" s="430">
        <v>42143</v>
      </c>
      <c r="H118" s="435">
        <f>DATEDIF(G118,$G$6,"Y")</f>
        <v>10</v>
      </c>
      <c r="I118" s="361"/>
    </row>
    <row r="119" spans="1:9" x14ac:dyDescent="0.25">
      <c r="A119" s="360">
        <v>13523075</v>
      </c>
      <c r="B119" s="361" t="s">
        <v>4774</v>
      </c>
      <c r="C119" s="361"/>
      <c r="D119" s="465"/>
      <c r="E119" s="361" t="s">
        <v>5592</v>
      </c>
      <c r="F119" s="435" t="s">
        <v>4620</v>
      </c>
      <c r="G119" s="430">
        <v>43553</v>
      </c>
      <c r="H119" s="435">
        <f>DATEDIF(G119,$G$6,"Y")</f>
        <v>6</v>
      </c>
      <c r="I119" s="361"/>
    </row>
    <row r="120" spans="1:9" s="364" customFormat="1" x14ac:dyDescent="0.25">
      <c r="A120" s="1119"/>
      <c r="B120" s="1120"/>
      <c r="C120" s="1120"/>
      <c r="D120" s="1121"/>
      <c r="E120" s="1120"/>
      <c r="F120" s="1122"/>
      <c r="G120" s="1123"/>
      <c r="H120" s="1122"/>
      <c r="I120" s="1120"/>
    </row>
    <row r="121" spans="1:9" s="364" customFormat="1" x14ac:dyDescent="0.25">
      <c r="A121" s="1119">
        <v>18733682</v>
      </c>
      <c r="B121" s="364" t="s">
        <v>6644</v>
      </c>
      <c r="C121" s="361" t="s">
        <v>5218</v>
      </c>
      <c r="D121" s="1121">
        <v>1</v>
      </c>
      <c r="E121" s="1120" t="s">
        <v>6648</v>
      </c>
      <c r="F121" s="1122" t="s">
        <v>4621</v>
      </c>
      <c r="G121" s="1123">
        <v>43176</v>
      </c>
      <c r="H121" s="435">
        <f>DATEDIF(G121,$G$6,"Y")</f>
        <v>7</v>
      </c>
      <c r="I121" s="1120"/>
    </row>
    <row r="122" spans="1:9" x14ac:dyDescent="0.25">
      <c r="A122" s="360"/>
      <c r="B122" s="361"/>
      <c r="C122" s="361"/>
      <c r="D122" s="465"/>
      <c r="E122" s="361"/>
      <c r="F122" s="435"/>
      <c r="G122" s="430"/>
      <c r="H122" s="435"/>
      <c r="I122" s="361"/>
    </row>
    <row r="123" spans="1:9" s="364" customFormat="1" x14ac:dyDescent="0.25">
      <c r="A123" s="360">
        <v>13896239</v>
      </c>
      <c r="B123" s="361" t="s">
        <v>4688</v>
      </c>
      <c r="C123" s="361" t="s">
        <v>5259</v>
      </c>
      <c r="D123" s="465">
        <v>1</v>
      </c>
      <c r="E123" s="361" t="s">
        <v>5716</v>
      </c>
      <c r="F123" s="435" t="s">
        <v>4620</v>
      </c>
      <c r="G123" s="430">
        <v>43719</v>
      </c>
      <c r="H123" s="435">
        <f>DATEDIF(G123,$G$6,"Y")</f>
        <v>6</v>
      </c>
      <c r="I123" s="361"/>
    </row>
    <row r="124" spans="1:9" s="364" customFormat="1" x14ac:dyDescent="0.25">
      <c r="A124" s="1119"/>
      <c r="B124" s="1120"/>
      <c r="C124" s="1120"/>
      <c r="D124" s="1121"/>
      <c r="E124" s="1120"/>
      <c r="F124" s="1122"/>
      <c r="G124" s="1123"/>
      <c r="H124" s="1122"/>
      <c r="I124" s="1120"/>
    </row>
    <row r="125" spans="1:9" x14ac:dyDescent="0.25">
      <c r="A125" s="360">
        <v>13897046</v>
      </c>
      <c r="B125" s="361" t="s">
        <v>4780</v>
      </c>
      <c r="C125" s="361" t="s">
        <v>5250</v>
      </c>
      <c r="D125" s="465">
        <v>2</v>
      </c>
      <c r="E125" s="361" t="s">
        <v>5931</v>
      </c>
      <c r="F125" s="435" t="s">
        <v>4620</v>
      </c>
      <c r="G125" s="430">
        <v>40084</v>
      </c>
      <c r="H125" s="435">
        <f>DATEDIF(G125,$G$6,"Y")</f>
        <v>16</v>
      </c>
      <c r="I125" s="361"/>
    </row>
    <row r="126" spans="1:9" x14ac:dyDescent="0.25">
      <c r="A126" s="360">
        <v>13897046</v>
      </c>
      <c r="B126" s="361" t="s">
        <v>4780</v>
      </c>
      <c r="C126" s="361"/>
      <c r="D126" s="465"/>
      <c r="E126" s="361" t="s">
        <v>5932</v>
      </c>
      <c r="F126" s="435" t="s">
        <v>4620</v>
      </c>
      <c r="G126" s="430">
        <v>39560</v>
      </c>
      <c r="H126" s="435">
        <f>DATEDIF(G126,$G$6,"Y")</f>
        <v>17</v>
      </c>
      <c r="I126" s="361"/>
    </row>
    <row r="127" spans="1:9" x14ac:dyDescent="0.25">
      <c r="A127" s="360"/>
      <c r="B127" s="361"/>
      <c r="C127" s="361"/>
      <c r="D127" s="465"/>
      <c r="E127" s="361"/>
      <c r="F127" s="435"/>
      <c r="G127" s="430"/>
      <c r="H127" s="435"/>
      <c r="I127" s="361"/>
    </row>
    <row r="128" spans="1:9" x14ac:dyDescent="0.25">
      <c r="A128" s="360">
        <v>13897695</v>
      </c>
      <c r="B128" s="361" t="s">
        <v>4781</v>
      </c>
      <c r="C128" s="361" t="s">
        <v>5242</v>
      </c>
      <c r="D128" s="465">
        <v>2</v>
      </c>
      <c r="E128" s="361" t="s">
        <v>5593</v>
      </c>
      <c r="F128" s="435" t="s">
        <v>4620</v>
      </c>
      <c r="G128" s="430">
        <v>39639</v>
      </c>
      <c r="H128" s="435">
        <f>DATEDIF(G128,$G$6,"Y")</f>
        <v>17</v>
      </c>
      <c r="I128" s="361"/>
    </row>
    <row r="129" spans="1:9" x14ac:dyDescent="0.25">
      <c r="A129" s="360">
        <v>13897695</v>
      </c>
      <c r="B129" s="361" t="s">
        <v>4781</v>
      </c>
      <c r="C129" s="361"/>
      <c r="D129" s="465"/>
      <c r="E129" s="361" t="s">
        <v>5594</v>
      </c>
      <c r="F129" s="435" t="s">
        <v>4620</v>
      </c>
      <c r="G129" s="430">
        <v>40206</v>
      </c>
      <c r="H129" s="435">
        <f>DATEDIF(G129,$G$6,"Y")</f>
        <v>15</v>
      </c>
      <c r="I129" s="361"/>
    </row>
    <row r="130" spans="1:9" x14ac:dyDescent="0.25">
      <c r="A130" s="360"/>
      <c r="B130" s="361"/>
      <c r="C130" s="361"/>
      <c r="D130" s="465"/>
      <c r="E130" s="361"/>
      <c r="F130" s="435"/>
      <c r="G130" s="430"/>
      <c r="H130" s="435"/>
      <c r="I130" s="361"/>
    </row>
    <row r="131" spans="1:9" x14ac:dyDescent="0.25">
      <c r="A131" s="360">
        <v>13996024</v>
      </c>
      <c r="B131" s="361" t="s">
        <v>4782</v>
      </c>
      <c r="C131" s="361" t="s">
        <v>5251</v>
      </c>
      <c r="D131" s="465">
        <v>1</v>
      </c>
      <c r="E131" s="361" t="s">
        <v>5595</v>
      </c>
      <c r="F131" s="435" t="s">
        <v>4620</v>
      </c>
      <c r="G131" s="430">
        <v>38621</v>
      </c>
      <c r="H131" s="435">
        <f>DATEDIF(G131,$G$6,"Y")</f>
        <v>20</v>
      </c>
      <c r="I131" s="361" t="s">
        <v>5730</v>
      </c>
    </row>
    <row r="132" spans="1:9" x14ac:dyDescent="0.25">
      <c r="A132" s="360">
        <v>13996024</v>
      </c>
      <c r="B132" s="361" t="s">
        <v>4782</v>
      </c>
      <c r="C132" s="361"/>
      <c r="D132" s="465"/>
      <c r="E132" s="361" t="s">
        <v>5596</v>
      </c>
      <c r="F132" s="435" t="s">
        <v>4620</v>
      </c>
      <c r="G132" s="430">
        <v>41677</v>
      </c>
      <c r="H132" s="435">
        <f>DATEDIF(G132,$G$6,"Y")</f>
        <v>11</v>
      </c>
      <c r="I132" s="361"/>
    </row>
    <row r="133" spans="1:9" s="364" customFormat="1" x14ac:dyDescent="0.25">
      <c r="A133" s="1119"/>
      <c r="B133" s="1120"/>
      <c r="C133" s="1120"/>
      <c r="D133" s="1121"/>
      <c r="E133" s="1120"/>
      <c r="F133" s="1122"/>
      <c r="G133" s="1123"/>
      <c r="H133" s="1122"/>
      <c r="I133" s="1120"/>
    </row>
    <row r="134" spans="1:9" s="364" customFormat="1" x14ac:dyDescent="0.25">
      <c r="A134" s="1119">
        <v>13997965</v>
      </c>
      <c r="B134" s="1120" t="s">
        <v>7612</v>
      </c>
      <c r="C134" s="1120" t="s">
        <v>5231</v>
      </c>
      <c r="D134" s="1121">
        <v>2</v>
      </c>
      <c r="E134" s="1120" t="s">
        <v>7606</v>
      </c>
      <c r="F134" s="1122" t="s">
        <v>4620</v>
      </c>
      <c r="G134" s="1123">
        <v>39674</v>
      </c>
      <c r="H134" s="435">
        <f t="shared" ref="H134:H135" si="1">DATEDIF(G134,$G$6,"Y")</f>
        <v>17</v>
      </c>
      <c r="I134" s="1120"/>
    </row>
    <row r="135" spans="1:9" s="364" customFormat="1" x14ac:dyDescent="0.25">
      <c r="A135" s="1119">
        <v>13997965</v>
      </c>
      <c r="B135" s="1120" t="s">
        <v>7612</v>
      </c>
      <c r="C135" s="1120"/>
      <c r="D135" s="1121"/>
      <c r="E135" s="1120" t="s">
        <v>7607</v>
      </c>
      <c r="F135" s="1122" t="s">
        <v>4620</v>
      </c>
      <c r="G135" s="1123">
        <v>41459</v>
      </c>
      <c r="H135" s="435">
        <f t="shared" si="1"/>
        <v>12</v>
      </c>
      <c r="I135" s="1120"/>
    </row>
    <row r="136" spans="1:9" x14ac:dyDescent="0.25">
      <c r="A136" s="360"/>
      <c r="B136" s="361"/>
      <c r="C136" s="361"/>
      <c r="D136" s="465"/>
      <c r="E136" s="361"/>
      <c r="F136" s="435"/>
      <c r="G136" s="430"/>
      <c r="H136" s="435"/>
      <c r="I136" s="361"/>
    </row>
    <row r="137" spans="1:9" x14ac:dyDescent="0.25">
      <c r="A137" s="360">
        <v>14106648</v>
      </c>
      <c r="B137" s="361" t="s">
        <v>4783</v>
      </c>
      <c r="C137" s="361" t="s">
        <v>5219</v>
      </c>
      <c r="D137" s="465">
        <v>1</v>
      </c>
      <c r="E137" s="361" t="s">
        <v>5597</v>
      </c>
      <c r="F137" s="435" t="s">
        <v>4620</v>
      </c>
      <c r="G137" s="430">
        <v>39457</v>
      </c>
      <c r="H137" s="435">
        <f>DATEDIF(G137,$G$6,"Y")</f>
        <v>17</v>
      </c>
      <c r="I137" s="361"/>
    </row>
    <row r="138" spans="1:9" x14ac:dyDescent="0.25">
      <c r="A138" s="360"/>
      <c r="B138" s="361"/>
      <c r="C138" s="361"/>
      <c r="D138" s="465"/>
      <c r="E138" s="361"/>
      <c r="F138" s="435"/>
      <c r="G138" s="430"/>
      <c r="H138" s="435"/>
      <c r="I138" s="361"/>
    </row>
    <row r="139" spans="1:9" x14ac:dyDescent="0.25">
      <c r="A139" s="360">
        <v>14329448</v>
      </c>
      <c r="B139" s="361" t="s">
        <v>4784</v>
      </c>
      <c r="C139" s="361" t="s">
        <v>5224</v>
      </c>
      <c r="D139" s="465">
        <v>1</v>
      </c>
      <c r="E139" s="361" t="s">
        <v>5996</v>
      </c>
      <c r="F139" s="435" t="s">
        <v>4621</v>
      </c>
      <c r="G139" s="430">
        <v>42283</v>
      </c>
      <c r="H139" s="435">
        <f>DATEDIF(G139,$G$6,"Y")</f>
        <v>9</v>
      </c>
      <c r="I139" s="361"/>
    </row>
    <row r="140" spans="1:9" x14ac:dyDescent="0.25">
      <c r="A140" s="360"/>
      <c r="B140" s="361"/>
      <c r="C140" s="361"/>
      <c r="D140" s="465"/>
      <c r="E140" s="361"/>
      <c r="F140" s="435"/>
      <c r="G140" s="430"/>
      <c r="H140" s="435"/>
      <c r="I140" s="361"/>
    </row>
    <row r="141" spans="1:9" x14ac:dyDescent="0.25">
      <c r="A141" s="360">
        <v>14459607</v>
      </c>
      <c r="B141" s="361" t="s">
        <v>4787</v>
      </c>
      <c r="C141" s="361" t="s">
        <v>5220</v>
      </c>
      <c r="D141" s="465">
        <v>2</v>
      </c>
      <c r="E141" s="361" t="s">
        <v>5598</v>
      </c>
      <c r="F141" s="435" t="s">
        <v>4620</v>
      </c>
      <c r="G141" s="430">
        <v>40151</v>
      </c>
      <c r="H141" s="435">
        <f>DATEDIF(G141,$G$6,"Y")</f>
        <v>15</v>
      </c>
      <c r="I141" s="361"/>
    </row>
    <row r="142" spans="1:9" x14ac:dyDescent="0.25">
      <c r="A142" s="360">
        <v>14459607</v>
      </c>
      <c r="B142" s="361" t="s">
        <v>4787</v>
      </c>
      <c r="C142" s="361"/>
      <c r="D142" s="465"/>
      <c r="E142" s="361" t="s">
        <v>5599</v>
      </c>
      <c r="F142" s="435" t="s">
        <v>4620</v>
      </c>
      <c r="G142" s="430">
        <v>40522</v>
      </c>
      <c r="H142" s="435">
        <f>DATEDIF(G142,$G$6,"Y")</f>
        <v>14</v>
      </c>
      <c r="I142" s="361"/>
    </row>
    <row r="143" spans="1:9" x14ac:dyDescent="0.25">
      <c r="A143" s="360"/>
      <c r="B143" s="361"/>
      <c r="C143" s="361"/>
      <c r="D143" s="465"/>
      <c r="E143" s="361"/>
      <c r="F143" s="435"/>
      <c r="G143" s="430"/>
      <c r="H143" s="435"/>
      <c r="I143" s="361"/>
    </row>
    <row r="144" spans="1:9" x14ac:dyDescent="0.25">
      <c r="A144" s="360">
        <v>14598170</v>
      </c>
      <c r="B144" s="361" t="s">
        <v>4788</v>
      </c>
      <c r="C144" s="361" t="s">
        <v>5224</v>
      </c>
      <c r="D144" s="465">
        <v>1</v>
      </c>
      <c r="E144" s="361" t="s">
        <v>5600</v>
      </c>
      <c r="F144" s="435" t="s">
        <v>4621</v>
      </c>
      <c r="G144" s="430">
        <v>37840</v>
      </c>
      <c r="H144" s="435">
        <f>DATEDIF(G144,$G$6,"Y")</f>
        <v>22</v>
      </c>
      <c r="I144" s="361" t="s">
        <v>5772</v>
      </c>
    </row>
    <row r="145" spans="1:9" x14ac:dyDescent="0.25">
      <c r="A145" s="360">
        <v>14598170</v>
      </c>
      <c r="B145" s="361" t="s">
        <v>4788</v>
      </c>
      <c r="C145" s="361"/>
      <c r="D145" s="465"/>
      <c r="E145" s="361" t="s">
        <v>5997</v>
      </c>
      <c r="F145" s="435" t="s">
        <v>4621</v>
      </c>
      <c r="G145" s="430">
        <v>41532</v>
      </c>
      <c r="H145" s="435">
        <f>DATEDIF(G145,$G$6,"Y")</f>
        <v>12</v>
      </c>
      <c r="I145" s="361"/>
    </row>
    <row r="146" spans="1:9" x14ac:dyDescent="0.25">
      <c r="A146" s="360"/>
      <c r="B146" s="361"/>
      <c r="C146" s="361"/>
      <c r="D146" s="465"/>
      <c r="E146" s="361"/>
      <c r="F146" s="435"/>
      <c r="G146" s="430"/>
      <c r="H146" s="435"/>
      <c r="I146" s="361"/>
    </row>
    <row r="147" spans="1:9" x14ac:dyDescent="0.25">
      <c r="A147" s="360">
        <v>14598687</v>
      </c>
      <c r="B147" s="361" t="s">
        <v>4789</v>
      </c>
      <c r="C147" s="361" t="s">
        <v>5243</v>
      </c>
      <c r="D147" s="465">
        <v>1</v>
      </c>
      <c r="E147" s="361" t="s">
        <v>5998</v>
      </c>
      <c r="F147" s="435" t="s">
        <v>4621</v>
      </c>
      <c r="G147" s="430">
        <v>44651</v>
      </c>
      <c r="H147" s="435">
        <f>DATEDIF(G147,$G$6,"Y")</f>
        <v>3</v>
      </c>
      <c r="I147" s="361"/>
    </row>
    <row r="148" spans="1:9" x14ac:dyDescent="0.25">
      <c r="A148" s="360"/>
      <c r="B148" s="361"/>
      <c r="C148" s="361"/>
      <c r="D148" s="465"/>
      <c r="E148" s="361" t="s">
        <v>2904</v>
      </c>
      <c r="F148" s="435"/>
      <c r="G148" s="430"/>
      <c r="H148" s="435"/>
      <c r="I148" s="361"/>
    </row>
    <row r="149" spans="1:9" x14ac:dyDescent="0.25">
      <c r="A149" s="360">
        <v>14719639</v>
      </c>
      <c r="B149" s="361" t="s">
        <v>5253</v>
      </c>
      <c r="C149" s="361" t="s">
        <v>5218</v>
      </c>
      <c r="D149" s="465">
        <v>2</v>
      </c>
      <c r="E149" s="361" t="s">
        <v>5601</v>
      </c>
      <c r="F149" s="435" t="s">
        <v>4621</v>
      </c>
      <c r="G149" s="430">
        <v>40845</v>
      </c>
      <c r="H149" s="435">
        <f>DATEDIF(G149,$G$6,"Y")</f>
        <v>13</v>
      </c>
      <c r="I149" s="361"/>
    </row>
    <row r="150" spans="1:9" x14ac:dyDescent="0.25">
      <c r="A150" s="360">
        <v>14719639</v>
      </c>
      <c r="B150" s="361" t="s">
        <v>5253</v>
      </c>
      <c r="C150" s="361"/>
      <c r="D150" s="465"/>
      <c r="E150" s="361" t="s">
        <v>5602</v>
      </c>
      <c r="F150" s="435" t="s">
        <v>4620</v>
      </c>
      <c r="G150" s="430">
        <v>43088</v>
      </c>
      <c r="H150" s="435">
        <f>DATEDIF(G150,$G$6,"Y")</f>
        <v>7</v>
      </c>
      <c r="I150" s="361"/>
    </row>
    <row r="151" spans="1:9" x14ac:dyDescent="0.25">
      <c r="A151" s="360"/>
      <c r="B151" s="361"/>
      <c r="C151" s="361"/>
      <c r="D151" s="465"/>
      <c r="E151" s="361"/>
      <c r="F151" s="435"/>
      <c r="G151" s="430"/>
      <c r="H151" s="435"/>
      <c r="I151" s="361"/>
    </row>
    <row r="152" spans="1:9" x14ac:dyDescent="0.25">
      <c r="A152" s="360">
        <v>14739168</v>
      </c>
      <c r="B152" s="361" t="s">
        <v>4794</v>
      </c>
      <c r="C152" s="361" t="s">
        <v>5254</v>
      </c>
      <c r="D152" s="465">
        <v>1</v>
      </c>
      <c r="E152" s="361" t="s">
        <v>5603</v>
      </c>
      <c r="F152" s="435" t="s">
        <v>4620</v>
      </c>
      <c r="G152" s="430">
        <v>40506</v>
      </c>
      <c r="H152" s="435">
        <f>DATEDIF(G152,$G$6,"Y")</f>
        <v>14</v>
      </c>
      <c r="I152" s="361"/>
    </row>
    <row r="153" spans="1:9" x14ac:dyDescent="0.25">
      <c r="A153" s="360"/>
      <c r="B153" s="361"/>
      <c r="C153" s="361"/>
      <c r="D153" s="465"/>
      <c r="E153" s="361"/>
      <c r="F153" s="435"/>
      <c r="G153" s="430"/>
      <c r="H153" s="435"/>
      <c r="I153" s="361"/>
    </row>
    <row r="154" spans="1:9" x14ac:dyDescent="0.25">
      <c r="A154" s="360">
        <v>14928260</v>
      </c>
      <c r="B154" s="361" t="s">
        <v>4796</v>
      </c>
      <c r="C154" s="361" t="s">
        <v>5224</v>
      </c>
      <c r="D154" s="465">
        <v>1</v>
      </c>
      <c r="E154" s="361" t="s">
        <v>5604</v>
      </c>
      <c r="F154" s="435" t="s">
        <v>4620</v>
      </c>
      <c r="G154" s="430">
        <v>40064</v>
      </c>
      <c r="H154" s="435">
        <f>DATEDIF(G154,$G$6,"Y")</f>
        <v>16</v>
      </c>
      <c r="I154" s="361"/>
    </row>
    <row r="155" spans="1:9" x14ac:dyDescent="0.25">
      <c r="A155" s="360"/>
      <c r="B155" s="361"/>
      <c r="C155" s="361"/>
      <c r="D155" s="465"/>
      <c r="E155" s="361"/>
      <c r="F155" s="435"/>
      <c r="G155" s="430"/>
      <c r="H155" s="435"/>
      <c r="I155" s="361"/>
    </row>
    <row r="156" spans="1:9" x14ac:dyDescent="0.25">
      <c r="A156" s="360">
        <v>14929642</v>
      </c>
      <c r="B156" s="361" t="s">
        <v>4797</v>
      </c>
      <c r="C156" s="361" t="s">
        <v>5218</v>
      </c>
      <c r="D156" s="465">
        <v>1</v>
      </c>
      <c r="E156" s="361" t="s">
        <v>5605</v>
      </c>
      <c r="F156" s="435" t="s">
        <v>4620</v>
      </c>
      <c r="G156" s="430">
        <v>38087</v>
      </c>
      <c r="H156" s="435">
        <f>DATEDIF(G156,$G$6,"Y")</f>
        <v>21</v>
      </c>
      <c r="I156" s="361" t="s">
        <v>5772</v>
      </c>
    </row>
    <row r="157" spans="1:9" x14ac:dyDescent="0.25">
      <c r="A157" s="360">
        <v>14929642</v>
      </c>
      <c r="B157" s="361" t="s">
        <v>4797</v>
      </c>
      <c r="C157" s="361"/>
      <c r="D157" s="465"/>
      <c r="E157" s="361" t="s">
        <v>5606</v>
      </c>
      <c r="F157" s="435" t="s">
        <v>4620</v>
      </c>
      <c r="G157" s="430">
        <v>40884</v>
      </c>
      <c r="H157" s="435">
        <f>DATEDIF(G157,$G$6,"Y")</f>
        <v>13</v>
      </c>
      <c r="I157" s="361"/>
    </row>
    <row r="158" spans="1:9" s="364" customFormat="1" x14ac:dyDescent="0.25">
      <c r="A158" s="370"/>
      <c r="B158" s="371"/>
      <c r="C158" s="371"/>
      <c r="D158" s="892"/>
      <c r="E158" s="371"/>
      <c r="F158" s="442"/>
      <c r="G158" s="431"/>
      <c r="H158" s="442"/>
      <c r="I158" s="371"/>
    </row>
    <row r="159" spans="1:9" s="364" customFormat="1" x14ac:dyDescent="0.25">
      <c r="A159" s="1119">
        <v>14986675</v>
      </c>
      <c r="B159" s="1120" t="s">
        <v>5020</v>
      </c>
      <c r="C159" s="1120" t="s">
        <v>5224</v>
      </c>
      <c r="D159" s="1121">
        <v>1</v>
      </c>
      <c r="E159" s="1120" t="s">
        <v>5985</v>
      </c>
      <c r="F159" s="1265" t="s">
        <v>4621</v>
      </c>
      <c r="G159" s="1123">
        <v>41627</v>
      </c>
      <c r="H159" s="435">
        <f t="shared" ref="H159:H161" si="2">DATEDIF(G159,$G$6,"Y")</f>
        <v>11</v>
      </c>
      <c r="I159" s="1123"/>
    </row>
    <row r="160" spans="1:9" s="364" customFormat="1" x14ac:dyDescent="0.25">
      <c r="A160" s="1119">
        <v>14986675</v>
      </c>
      <c r="B160" s="1120" t="s">
        <v>5020</v>
      </c>
      <c r="C160" s="1120"/>
      <c r="D160" s="1121"/>
      <c r="E160" s="1120" t="s">
        <v>5986</v>
      </c>
      <c r="F160" s="1265" t="s">
        <v>4621</v>
      </c>
      <c r="G160" s="1123">
        <v>39282</v>
      </c>
      <c r="H160" s="435">
        <f t="shared" si="2"/>
        <v>18</v>
      </c>
      <c r="I160" s="1123" t="s">
        <v>5580</v>
      </c>
    </row>
    <row r="161" spans="1:9" s="364" customFormat="1" x14ac:dyDescent="0.25">
      <c r="A161" s="1119">
        <v>14986675</v>
      </c>
      <c r="B161" s="1120" t="s">
        <v>5020</v>
      </c>
      <c r="C161" s="1120"/>
      <c r="D161" s="1121"/>
      <c r="E161" s="1120" t="s">
        <v>5987</v>
      </c>
      <c r="F161" s="1265" t="s">
        <v>4620</v>
      </c>
      <c r="G161" s="1123">
        <v>38284</v>
      </c>
      <c r="H161" s="435">
        <f t="shared" si="2"/>
        <v>20</v>
      </c>
      <c r="I161" s="1123" t="s">
        <v>5580</v>
      </c>
    </row>
    <row r="162" spans="1:9" s="364" customFormat="1" x14ac:dyDescent="0.25">
      <c r="A162" s="370"/>
      <c r="B162" s="371"/>
      <c r="C162" s="371"/>
      <c r="D162" s="892"/>
      <c r="E162" s="371" t="s">
        <v>2904</v>
      </c>
      <c r="F162" s="442"/>
      <c r="G162" s="431"/>
      <c r="H162" s="442"/>
      <c r="I162" s="371"/>
    </row>
    <row r="163" spans="1:9" x14ac:dyDescent="0.25">
      <c r="A163" s="360">
        <v>15188927</v>
      </c>
      <c r="B163" s="361" t="s">
        <v>4798</v>
      </c>
      <c r="C163" s="361" t="s">
        <v>5217</v>
      </c>
      <c r="D163" s="465">
        <v>2</v>
      </c>
      <c r="E163" s="361" t="s">
        <v>5999</v>
      </c>
      <c r="F163" s="435" t="s">
        <v>4621</v>
      </c>
      <c r="G163" s="430">
        <v>41241</v>
      </c>
      <c r="H163" s="435">
        <f>DATEDIF(G163,$G$6,"Y")</f>
        <v>12</v>
      </c>
      <c r="I163" s="361"/>
    </row>
    <row r="164" spans="1:9" x14ac:dyDescent="0.25">
      <c r="A164" s="360">
        <v>15188927</v>
      </c>
      <c r="B164" s="361" t="s">
        <v>4798</v>
      </c>
      <c r="C164" s="361"/>
      <c r="D164" s="465"/>
      <c r="E164" s="361" t="s">
        <v>6000</v>
      </c>
      <c r="F164" s="435" t="s">
        <v>4621</v>
      </c>
      <c r="G164" s="430">
        <v>42324</v>
      </c>
      <c r="H164" s="435">
        <f>DATEDIF(G164,$G$6,"Y")</f>
        <v>9</v>
      </c>
      <c r="I164" s="361"/>
    </row>
    <row r="165" spans="1:9" x14ac:dyDescent="0.25">
      <c r="A165" s="360"/>
      <c r="B165" s="361"/>
      <c r="C165" s="361"/>
      <c r="D165" s="465"/>
      <c r="E165" s="361"/>
      <c r="F165" s="435"/>
      <c r="G165" s="430"/>
      <c r="H165" s="435"/>
      <c r="I165" s="361"/>
    </row>
    <row r="166" spans="1:9" s="364" customFormat="1" x14ac:dyDescent="0.25">
      <c r="A166" s="1119">
        <v>15560762</v>
      </c>
      <c r="B166" s="1120" t="s">
        <v>6639</v>
      </c>
      <c r="C166" s="361" t="s">
        <v>6642</v>
      </c>
      <c r="D166" s="1121">
        <v>1</v>
      </c>
      <c r="E166" s="1120" t="s">
        <v>6643</v>
      </c>
      <c r="F166" s="1122" t="s">
        <v>4620</v>
      </c>
      <c r="G166" s="1123">
        <v>40540</v>
      </c>
      <c r="H166" s="435">
        <f>DATEDIF(G166,$G$6,"Y")</f>
        <v>14</v>
      </c>
      <c r="I166" s="1120"/>
    </row>
    <row r="167" spans="1:9" x14ac:dyDescent="0.25">
      <c r="A167" s="360"/>
      <c r="B167" s="361"/>
      <c r="C167" s="361"/>
      <c r="D167" s="465"/>
      <c r="E167" s="361"/>
      <c r="F167" s="435"/>
      <c r="G167" s="430"/>
      <c r="H167" s="435"/>
      <c r="I167" s="361"/>
    </row>
    <row r="168" spans="1:9" x14ac:dyDescent="0.25">
      <c r="A168" s="360">
        <v>15588470</v>
      </c>
      <c r="B168" s="361" t="s">
        <v>4804</v>
      </c>
      <c r="C168" s="361" t="s">
        <v>5256</v>
      </c>
      <c r="D168" s="465">
        <v>1</v>
      </c>
      <c r="E168" s="361" t="s">
        <v>5607</v>
      </c>
      <c r="F168" s="435" t="s">
        <v>4620</v>
      </c>
      <c r="G168" s="430">
        <v>39883</v>
      </c>
      <c r="H168" s="435">
        <f>DATEDIF(G168,$G$6,"Y")</f>
        <v>16</v>
      </c>
      <c r="I168" s="361"/>
    </row>
    <row r="169" spans="1:9" x14ac:dyDescent="0.25">
      <c r="A169" s="360">
        <v>15588470</v>
      </c>
      <c r="B169" s="361" t="s">
        <v>4804</v>
      </c>
      <c r="C169" s="361"/>
      <c r="D169" s="465"/>
      <c r="E169" s="361" t="s">
        <v>5608</v>
      </c>
      <c r="F169" s="435" t="s">
        <v>4620</v>
      </c>
      <c r="G169" s="430">
        <v>37789</v>
      </c>
      <c r="H169" s="435">
        <f>DATEDIF(G169,$G$6,"Y")</f>
        <v>22</v>
      </c>
      <c r="I169" s="361" t="s">
        <v>5774</v>
      </c>
    </row>
    <row r="170" spans="1:9" x14ac:dyDescent="0.25">
      <c r="A170" s="360"/>
      <c r="B170" s="361"/>
      <c r="C170" s="361"/>
      <c r="D170" s="465"/>
      <c r="E170" s="361"/>
      <c r="F170" s="435"/>
      <c r="G170" s="430"/>
      <c r="H170" s="435"/>
      <c r="I170" s="361"/>
    </row>
    <row r="171" spans="1:9" s="364" customFormat="1" x14ac:dyDescent="0.25">
      <c r="A171" s="360">
        <v>15752048</v>
      </c>
      <c r="B171" s="361" t="s">
        <v>4674</v>
      </c>
      <c r="C171" s="361" t="s">
        <v>5217</v>
      </c>
      <c r="D171" s="465">
        <v>0</v>
      </c>
      <c r="E171" s="361" t="s">
        <v>5709</v>
      </c>
      <c r="F171" s="435" t="s">
        <v>4620</v>
      </c>
      <c r="G171" s="430">
        <v>38293</v>
      </c>
      <c r="H171" s="435">
        <f>DATEDIF(G171,$G$6,"Y")</f>
        <v>20</v>
      </c>
      <c r="I171" s="361" t="s">
        <v>5772</v>
      </c>
    </row>
    <row r="172" spans="1:9" s="364" customFormat="1" x14ac:dyDescent="0.25">
      <c r="A172" s="360">
        <v>15752048</v>
      </c>
      <c r="B172" s="361" t="s">
        <v>4674</v>
      </c>
      <c r="C172" s="361"/>
      <c r="D172" s="465"/>
      <c r="E172" s="361" t="s">
        <v>5710</v>
      </c>
      <c r="F172" s="435" t="s">
        <v>4620</v>
      </c>
      <c r="G172" s="430">
        <v>38908</v>
      </c>
      <c r="H172" s="435">
        <f>DATEDIF(G172,$G$6,"Y")</f>
        <v>19</v>
      </c>
      <c r="I172" s="361" t="s">
        <v>5772</v>
      </c>
    </row>
    <row r="173" spans="1:9" s="364" customFormat="1" x14ac:dyDescent="0.25">
      <c r="A173" s="370"/>
      <c r="B173" s="371"/>
      <c r="C173" s="371"/>
      <c r="D173" s="892"/>
      <c r="E173" s="371"/>
      <c r="F173" s="442"/>
      <c r="G173" s="431"/>
      <c r="H173" s="442"/>
      <c r="I173" s="371"/>
    </row>
    <row r="174" spans="1:9" x14ac:dyDescent="0.25">
      <c r="A174" s="360">
        <v>15752386</v>
      </c>
      <c r="B174" s="361" t="s">
        <v>4805</v>
      </c>
      <c r="C174" s="361" t="s">
        <v>5217</v>
      </c>
      <c r="D174" s="465">
        <v>2</v>
      </c>
      <c r="E174" s="376" t="s">
        <v>5609</v>
      </c>
      <c r="F174" s="435" t="s">
        <v>4621</v>
      </c>
      <c r="G174" s="430">
        <v>40191</v>
      </c>
      <c r="H174" s="435">
        <f>DATEDIF(G174,$G$6,"Y")</f>
        <v>15</v>
      </c>
      <c r="I174" s="361"/>
    </row>
    <row r="175" spans="1:9" x14ac:dyDescent="0.25">
      <c r="A175" s="360">
        <v>15752386</v>
      </c>
      <c r="B175" s="361" t="s">
        <v>4805</v>
      </c>
      <c r="C175" s="361"/>
      <c r="D175" s="465"/>
      <c r="E175" s="376" t="s">
        <v>5610</v>
      </c>
      <c r="F175" s="435" t="s">
        <v>4621</v>
      </c>
      <c r="G175" s="430">
        <v>39765</v>
      </c>
      <c r="H175" s="435">
        <f>DATEDIF(G175,$G$6,"Y")</f>
        <v>16</v>
      </c>
      <c r="I175" s="361"/>
    </row>
    <row r="176" spans="1:9" s="364" customFormat="1" x14ac:dyDescent="0.25">
      <c r="A176" s="360">
        <v>15752386</v>
      </c>
      <c r="B176" s="361" t="s">
        <v>4805</v>
      </c>
      <c r="C176" s="371"/>
      <c r="D176" s="892"/>
      <c r="E176" s="371" t="s">
        <v>5727</v>
      </c>
      <c r="F176" s="442" t="s">
        <v>4621</v>
      </c>
      <c r="G176" s="431">
        <v>43821</v>
      </c>
      <c r="H176" s="435">
        <f>DATEDIF(G176,$G$6,"Y")</f>
        <v>5</v>
      </c>
      <c r="I176" s="371"/>
    </row>
    <row r="177" spans="1:9" x14ac:dyDescent="0.25">
      <c r="A177" s="360"/>
      <c r="B177" s="361"/>
      <c r="C177" s="361"/>
      <c r="D177" s="465"/>
      <c r="E177" s="361"/>
      <c r="F177" s="435"/>
      <c r="G177" s="430"/>
      <c r="H177" s="435"/>
      <c r="I177" s="361"/>
    </row>
    <row r="178" spans="1:9" s="364" customFormat="1" x14ac:dyDescent="0.25">
      <c r="A178" s="360">
        <v>15752435</v>
      </c>
      <c r="B178" s="361" t="s">
        <v>7033</v>
      </c>
      <c r="C178" s="361" t="s">
        <v>5256</v>
      </c>
      <c r="D178" s="465">
        <v>2</v>
      </c>
      <c r="E178" s="361" t="s">
        <v>5611</v>
      </c>
      <c r="F178" s="435" t="s">
        <v>4620</v>
      </c>
      <c r="G178" s="430">
        <v>39773</v>
      </c>
      <c r="H178" s="435">
        <f>DATEDIF(G178,$G$6,"Y")</f>
        <v>16</v>
      </c>
      <c r="I178" s="361"/>
    </row>
    <row r="179" spans="1:9" s="364" customFormat="1" x14ac:dyDescent="0.25">
      <c r="A179" s="360">
        <v>15752435</v>
      </c>
      <c r="B179" s="361" t="s">
        <v>7033</v>
      </c>
      <c r="C179" s="361"/>
      <c r="D179" s="465"/>
      <c r="E179" s="361" t="s">
        <v>5612</v>
      </c>
      <c r="F179" s="435" t="s">
        <v>4620</v>
      </c>
      <c r="G179" s="430">
        <v>42982</v>
      </c>
      <c r="H179" s="435">
        <f>DATEDIF(G179,$G$6,"Y")</f>
        <v>8</v>
      </c>
      <c r="I179" s="361"/>
    </row>
    <row r="180" spans="1:9" s="364" customFormat="1" x14ac:dyDescent="0.25">
      <c r="A180" s="370"/>
      <c r="B180" s="371"/>
      <c r="C180" s="371"/>
      <c r="D180" s="892"/>
      <c r="E180" s="371"/>
      <c r="F180" s="442"/>
      <c r="G180" s="431"/>
      <c r="H180" s="442"/>
      <c r="I180" s="371"/>
    </row>
    <row r="181" spans="1:9" x14ac:dyDescent="0.25">
      <c r="A181" s="360">
        <v>15824548</v>
      </c>
      <c r="B181" s="361" t="s">
        <v>4809</v>
      </c>
      <c r="C181" s="361" t="s">
        <v>5220</v>
      </c>
      <c r="D181" s="465">
        <v>1</v>
      </c>
      <c r="E181" s="361" t="s">
        <v>6001</v>
      </c>
      <c r="F181" s="435" t="s">
        <v>4621</v>
      </c>
      <c r="G181" s="430">
        <v>38628</v>
      </c>
      <c r="H181" s="435">
        <f>DATEDIF(G181,$G$6,"Y")</f>
        <v>19</v>
      </c>
      <c r="I181" s="361" t="s">
        <v>5774</v>
      </c>
    </row>
    <row r="182" spans="1:9" x14ac:dyDescent="0.25">
      <c r="A182" s="360">
        <v>15824548</v>
      </c>
      <c r="B182" s="361" t="s">
        <v>4809</v>
      </c>
      <c r="C182" s="361"/>
      <c r="D182" s="465"/>
      <c r="E182" s="361" t="s">
        <v>6002</v>
      </c>
      <c r="F182" s="435" t="s">
        <v>4621</v>
      </c>
      <c r="G182" s="430">
        <v>42812</v>
      </c>
      <c r="H182" s="435">
        <f>DATEDIF(G182,$G$6,"Y")</f>
        <v>8</v>
      </c>
      <c r="I182" s="361"/>
    </row>
    <row r="183" spans="1:9" x14ac:dyDescent="0.25">
      <c r="A183" s="360"/>
      <c r="B183" s="361"/>
      <c r="C183" s="361"/>
      <c r="D183" s="465"/>
      <c r="E183" s="361"/>
      <c r="F183" s="435"/>
      <c r="G183" s="430"/>
      <c r="H183" s="435"/>
      <c r="I183" s="361"/>
    </row>
    <row r="184" spans="1:9" x14ac:dyDescent="0.25">
      <c r="A184" s="360">
        <v>15904692</v>
      </c>
      <c r="B184" s="361" t="s">
        <v>4810</v>
      </c>
      <c r="C184" s="361" t="s">
        <v>5217</v>
      </c>
      <c r="D184" s="465">
        <v>2</v>
      </c>
      <c r="E184" s="361" t="s">
        <v>5613</v>
      </c>
      <c r="F184" s="435" t="s">
        <v>4620</v>
      </c>
      <c r="G184" s="430">
        <v>40413</v>
      </c>
      <c r="H184" s="435">
        <f>DATEDIF(G184,$G$6,"Y")</f>
        <v>15</v>
      </c>
      <c r="I184" s="361"/>
    </row>
    <row r="185" spans="1:9" x14ac:dyDescent="0.25">
      <c r="A185" s="360">
        <v>15904692</v>
      </c>
      <c r="B185" s="361" t="s">
        <v>4810</v>
      </c>
      <c r="C185" s="361"/>
      <c r="D185" s="465"/>
      <c r="E185" s="361" t="s">
        <v>5614</v>
      </c>
      <c r="F185" s="435" t="s">
        <v>4620</v>
      </c>
      <c r="G185" s="430">
        <v>41499</v>
      </c>
      <c r="H185" s="435">
        <f>DATEDIF(G185,$G$6,"Y")</f>
        <v>12</v>
      </c>
      <c r="I185" s="361"/>
    </row>
    <row r="186" spans="1:9" x14ac:dyDescent="0.25">
      <c r="A186" s="360">
        <v>15904692</v>
      </c>
      <c r="B186" s="361" t="s">
        <v>4810</v>
      </c>
      <c r="C186" s="361"/>
      <c r="D186" s="465"/>
      <c r="E186" s="361" t="s">
        <v>5615</v>
      </c>
      <c r="F186" s="435" t="s">
        <v>4620</v>
      </c>
      <c r="G186" s="430">
        <v>43361</v>
      </c>
      <c r="H186" s="435">
        <f>DATEDIF(G186,$G$6,"Y")</f>
        <v>7</v>
      </c>
      <c r="I186" s="361"/>
    </row>
    <row r="187" spans="1:9" x14ac:dyDescent="0.25">
      <c r="A187" s="360"/>
      <c r="B187" s="361"/>
      <c r="C187" s="361"/>
      <c r="D187" s="465"/>
      <c r="E187" s="361"/>
      <c r="F187" s="435"/>
      <c r="G187" s="430"/>
      <c r="H187" s="435"/>
      <c r="I187" s="361"/>
    </row>
    <row r="188" spans="1:9" x14ac:dyDescent="0.25">
      <c r="A188" s="360">
        <v>16015833</v>
      </c>
      <c r="B188" s="361" t="s">
        <v>4811</v>
      </c>
      <c r="C188" s="361" t="s">
        <v>5217</v>
      </c>
      <c r="D188" s="465">
        <v>1</v>
      </c>
      <c r="E188" s="361" t="s">
        <v>5616</v>
      </c>
      <c r="F188" s="435" t="s">
        <v>4620</v>
      </c>
      <c r="G188" s="430">
        <v>38878</v>
      </c>
      <c r="H188" s="435">
        <f>DATEDIF(G188,$G$6,"Y")</f>
        <v>19</v>
      </c>
      <c r="I188" s="361" t="s">
        <v>5772</v>
      </c>
    </row>
    <row r="189" spans="1:9" x14ac:dyDescent="0.25">
      <c r="A189" s="360">
        <v>16015833</v>
      </c>
      <c r="B189" s="361" t="s">
        <v>4811</v>
      </c>
      <c r="C189" s="361"/>
      <c r="D189" s="465"/>
      <c r="E189" s="361" t="s">
        <v>5617</v>
      </c>
      <c r="F189" s="435" t="s">
        <v>4620</v>
      </c>
      <c r="G189" s="430">
        <v>41840</v>
      </c>
      <c r="H189" s="435">
        <f>DATEDIF(G189,$G$6,"Y")</f>
        <v>11</v>
      </c>
      <c r="I189" s="361"/>
    </row>
    <row r="190" spans="1:9" x14ac:dyDescent="0.25">
      <c r="A190" s="360"/>
      <c r="B190" s="361"/>
      <c r="C190" s="361"/>
      <c r="D190" s="465"/>
      <c r="E190" s="361"/>
      <c r="F190" s="435"/>
      <c r="G190" s="430"/>
      <c r="H190" s="435"/>
      <c r="I190" s="361"/>
    </row>
    <row r="191" spans="1:9" x14ac:dyDescent="0.25">
      <c r="A191" s="360">
        <v>16065580</v>
      </c>
      <c r="B191" s="361" t="s">
        <v>4812</v>
      </c>
      <c r="C191" s="361" t="s">
        <v>5224</v>
      </c>
      <c r="D191" s="465">
        <v>1</v>
      </c>
      <c r="E191" s="361" t="s">
        <v>5618</v>
      </c>
      <c r="F191" s="435" t="s">
        <v>4621</v>
      </c>
      <c r="G191" s="430">
        <v>41532</v>
      </c>
      <c r="H191" s="435">
        <f>DATEDIF(G191,$G$6,"Y")</f>
        <v>12</v>
      </c>
      <c r="I191" s="361"/>
    </row>
    <row r="192" spans="1:9" x14ac:dyDescent="0.25">
      <c r="A192" s="360"/>
      <c r="B192" s="361"/>
      <c r="C192" s="361"/>
      <c r="D192" s="465"/>
      <c r="E192" s="361"/>
      <c r="F192" s="435"/>
      <c r="G192" s="430"/>
      <c r="H192" s="435"/>
      <c r="I192" s="361"/>
    </row>
    <row r="193" spans="1:9" x14ac:dyDescent="0.25">
      <c r="A193" s="360">
        <v>16066554</v>
      </c>
      <c r="B193" s="361" t="s">
        <v>4815</v>
      </c>
      <c r="C193" s="361" t="s">
        <v>5257</v>
      </c>
      <c r="D193" s="465">
        <v>2</v>
      </c>
      <c r="E193" s="361" t="s">
        <v>5623</v>
      </c>
      <c r="F193" s="435" t="s">
        <v>4620</v>
      </c>
      <c r="G193" s="430">
        <v>41207</v>
      </c>
      <c r="H193" s="435">
        <f>DATEDIF(G193,$G$6,"Y")</f>
        <v>12</v>
      </c>
      <c r="I193" s="361"/>
    </row>
    <row r="194" spans="1:9" x14ac:dyDescent="0.25">
      <c r="A194" s="360">
        <v>16066554</v>
      </c>
      <c r="B194" s="361" t="s">
        <v>4815</v>
      </c>
      <c r="C194" s="361"/>
      <c r="D194" s="465"/>
      <c r="E194" s="361" t="s">
        <v>5624</v>
      </c>
      <c r="F194" s="435" t="s">
        <v>4620</v>
      </c>
      <c r="G194" s="430">
        <v>41941</v>
      </c>
      <c r="H194" s="435">
        <f>DATEDIF(G194,$G$6,"Y")</f>
        <v>10</v>
      </c>
      <c r="I194" s="361"/>
    </row>
    <row r="195" spans="1:9" x14ac:dyDescent="0.25">
      <c r="A195" s="360"/>
      <c r="B195" s="361"/>
      <c r="C195" s="361"/>
      <c r="D195" s="465"/>
      <c r="E195" s="361"/>
      <c r="F195" s="435"/>
      <c r="G195" s="430"/>
      <c r="H195" s="435"/>
      <c r="I195" s="361"/>
    </row>
    <row r="196" spans="1:9" x14ac:dyDescent="0.25">
      <c r="A196" s="360">
        <v>16266033</v>
      </c>
      <c r="B196" s="361" t="s">
        <v>4816</v>
      </c>
      <c r="C196" s="361" t="s">
        <v>5218</v>
      </c>
      <c r="D196" s="465">
        <v>2</v>
      </c>
      <c r="E196" s="361" t="s">
        <v>6003</v>
      </c>
      <c r="F196" s="435" t="s">
        <v>4620</v>
      </c>
      <c r="G196" s="430">
        <v>39184</v>
      </c>
      <c r="H196" s="435">
        <f>DATEDIF(G196,$G$6,"Y")</f>
        <v>18</v>
      </c>
      <c r="I196" s="361" t="s">
        <v>5774</v>
      </c>
    </row>
    <row r="197" spans="1:9" x14ac:dyDescent="0.25">
      <c r="A197" s="360">
        <v>16266033</v>
      </c>
      <c r="B197" s="361" t="s">
        <v>4816</v>
      </c>
      <c r="C197" s="361"/>
      <c r="D197" s="465"/>
      <c r="E197" s="361" t="s">
        <v>6004</v>
      </c>
      <c r="F197" s="435" t="s">
        <v>4620</v>
      </c>
      <c r="G197" s="430">
        <v>39921</v>
      </c>
      <c r="H197" s="435">
        <f>DATEDIF(G197,$G$6,"Y")</f>
        <v>16</v>
      </c>
      <c r="I197" s="361"/>
    </row>
    <row r="198" spans="1:9" x14ac:dyDescent="0.25">
      <c r="A198" s="360">
        <v>16266033</v>
      </c>
      <c r="B198" s="361" t="s">
        <v>4816</v>
      </c>
      <c r="C198" s="361"/>
      <c r="D198" s="465"/>
      <c r="E198" s="361" t="s">
        <v>6005</v>
      </c>
      <c r="F198" s="435" t="s">
        <v>4620</v>
      </c>
      <c r="G198" s="430">
        <v>40546</v>
      </c>
      <c r="H198" s="435">
        <f>DATEDIF(G198,$G$6,"Y")</f>
        <v>14</v>
      </c>
      <c r="I198" s="361"/>
    </row>
    <row r="199" spans="1:9" s="364" customFormat="1" x14ac:dyDescent="0.25">
      <c r="A199" s="1119"/>
      <c r="B199" s="1120"/>
      <c r="C199" s="1120"/>
      <c r="D199" s="1121"/>
      <c r="E199" s="1120"/>
      <c r="F199" s="1122"/>
      <c r="G199" s="1123"/>
      <c r="H199" s="1122"/>
      <c r="I199" s="1120"/>
    </row>
    <row r="200" spans="1:9" x14ac:dyDescent="0.25">
      <c r="A200" s="360">
        <v>16266989</v>
      </c>
      <c r="B200" s="361" t="s">
        <v>4817</v>
      </c>
      <c r="C200" s="361" t="s">
        <v>5217</v>
      </c>
      <c r="D200" s="465">
        <v>2</v>
      </c>
      <c r="E200" s="361" t="s">
        <v>5625</v>
      </c>
      <c r="F200" s="435" t="s">
        <v>4620</v>
      </c>
      <c r="G200" s="430">
        <v>38290</v>
      </c>
      <c r="H200" s="435">
        <f>DATEDIF(G200,$G$6,"Y")</f>
        <v>20</v>
      </c>
      <c r="I200" s="361" t="s">
        <v>5774</v>
      </c>
    </row>
    <row r="201" spans="1:9" x14ac:dyDescent="0.25">
      <c r="A201" s="360">
        <v>16266989</v>
      </c>
      <c r="B201" s="361" t="s">
        <v>4817</v>
      </c>
      <c r="C201" s="361"/>
      <c r="D201" s="465"/>
      <c r="E201" s="361" t="s">
        <v>5626</v>
      </c>
      <c r="F201" s="435" t="s">
        <v>4620</v>
      </c>
      <c r="G201" s="430">
        <v>37344</v>
      </c>
      <c r="H201" s="435">
        <f>DATEDIF(G201,$G$6,"Y")</f>
        <v>23</v>
      </c>
      <c r="I201" s="361" t="s">
        <v>5774</v>
      </c>
    </row>
    <row r="202" spans="1:9" x14ac:dyDescent="0.25">
      <c r="A202" s="360">
        <v>16266989</v>
      </c>
      <c r="B202" s="361" t="s">
        <v>4817</v>
      </c>
      <c r="C202" s="361"/>
      <c r="D202" s="465"/>
      <c r="E202" s="361" t="s">
        <v>5627</v>
      </c>
      <c r="F202" s="435" t="s">
        <v>4620</v>
      </c>
      <c r="G202" s="430">
        <v>40666</v>
      </c>
      <c r="H202" s="435">
        <f>DATEDIF(G202,$G$6,"Y")</f>
        <v>14</v>
      </c>
      <c r="I202" s="361"/>
    </row>
    <row r="203" spans="1:9" s="364" customFormat="1" x14ac:dyDescent="0.25">
      <c r="A203" s="360">
        <v>16266989</v>
      </c>
      <c r="B203" s="361" t="s">
        <v>4817</v>
      </c>
      <c r="C203" s="884"/>
      <c r="D203" s="893"/>
      <c r="E203" s="361" t="s">
        <v>5934</v>
      </c>
      <c r="F203" s="435" t="s">
        <v>4620</v>
      </c>
      <c r="G203" s="430">
        <v>44060</v>
      </c>
      <c r="H203" s="435">
        <f>DATEDIF(G203,$G$6,"Y")</f>
        <v>5</v>
      </c>
      <c r="I203" s="884"/>
    </row>
    <row r="204" spans="1:9" x14ac:dyDescent="0.25">
      <c r="A204" s="360"/>
      <c r="B204" s="361"/>
      <c r="C204" s="361"/>
      <c r="D204" s="465"/>
      <c r="E204" s="361"/>
      <c r="F204" s="435"/>
      <c r="G204" s="430"/>
      <c r="H204" s="435"/>
      <c r="I204" s="361"/>
    </row>
    <row r="205" spans="1:9" x14ac:dyDescent="0.25">
      <c r="A205" s="360">
        <v>16267940</v>
      </c>
      <c r="B205" s="361" t="s">
        <v>4818</v>
      </c>
      <c r="C205" s="361" t="s">
        <v>5220</v>
      </c>
      <c r="D205" s="465">
        <v>1</v>
      </c>
      <c r="E205" s="361" t="s">
        <v>6006</v>
      </c>
      <c r="F205" s="435" t="s">
        <v>4621</v>
      </c>
      <c r="G205" s="430">
        <v>43906</v>
      </c>
      <c r="H205" s="435">
        <f>DATEDIF(G205,$G$6,"Y")</f>
        <v>5</v>
      </c>
      <c r="I205" s="361"/>
    </row>
    <row r="206" spans="1:9" x14ac:dyDescent="0.25">
      <c r="A206" s="360">
        <v>16267940</v>
      </c>
      <c r="B206" s="361" t="s">
        <v>4818</v>
      </c>
      <c r="C206" s="361"/>
      <c r="D206" s="465"/>
      <c r="E206" s="361" t="s">
        <v>5628</v>
      </c>
      <c r="F206" s="435" t="s">
        <v>4620</v>
      </c>
      <c r="G206" s="430">
        <v>39304</v>
      </c>
      <c r="H206" s="435">
        <f>DATEDIF(G206,$G$6,"Y")</f>
        <v>18</v>
      </c>
      <c r="I206" s="361" t="s">
        <v>7621</v>
      </c>
    </row>
    <row r="207" spans="1:9" x14ac:dyDescent="0.25">
      <c r="A207" s="360"/>
      <c r="B207" s="361"/>
      <c r="C207" s="361"/>
      <c r="D207" s="465"/>
      <c r="E207" s="361"/>
      <c r="F207" s="435"/>
      <c r="G207" s="430"/>
      <c r="H207" s="435"/>
      <c r="I207" s="361"/>
    </row>
    <row r="208" spans="1:9" x14ac:dyDescent="0.25">
      <c r="A208" s="360">
        <v>16376534</v>
      </c>
      <c r="B208" s="361" t="s">
        <v>4820</v>
      </c>
      <c r="C208" s="361" t="s">
        <v>5217</v>
      </c>
      <c r="D208" s="465">
        <v>1</v>
      </c>
      <c r="E208" s="361" t="s">
        <v>5629</v>
      </c>
      <c r="F208" s="435" t="s">
        <v>4620</v>
      </c>
      <c r="G208" s="430">
        <v>38250</v>
      </c>
      <c r="H208" s="435">
        <f>DATEDIF(G208,$G$6,"Y")</f>
        <v>21</v>
      </c>
      <c r="I208" s="361" t="s">
        <v>5630</v>
      </c>
    </row>
    <row r="209" spans="1:9" x14ac:dyDescent="0.25">
      <c r="A209" s="360">
        <v>16376534</v>
      </c>
      <c r="B209" s="361" t="s">
        <v>4820</v>
      </c>
      <c r="C209" s="361"/>
      <c r="D209" s="465"/>
      <c r="E209" s="361" t="s">
        <v>5631</v>
      </c>
      <c r="F209" s="435" t="s">
        <v>4620</v>
      </c>
      <c r="G209" s="430">
        <v>39594</v>
      </c>
      <c r="H209" s="435">
        <f>DATEDIF(G209,$G$6,"Y")</f>
        <v>17</v>
      </c>
      <c r="I209" s="361"/>
    </row>
    <row r="210" spans="1:9" x14ac:dyDescent="0.25">
      <c r="A210" s="360"/>
      <c r="B210" s="361"/>
      <c r="C210" s="361"/>
      <c r="D210" s="465"/>
      <c r="E210" s="361"/>
      <c r="F210" s="435"/>
      <c r="G210" s="430"/>
      <c r="H210" s="435"/>
      <c r="I210" s="361"/>
    </row>
    <row r="211" spans="1:9" x14ac:dyDescent="0.25">
      <c r="A211" s="360">
        <v>16376698</v>
      </c>
      <c r="B211" s="361" t="s">
        <v>4821</v>
      </c>
      <c r="C211" s="361" t="s">
        <v>5229</v>
      </c>
      <c r="D211" s="465">
        <v>2</v>
      </c>
      <c r="E211" s="361" t="s">
        <v>6012</v>
      </c>
      <c r="F211" s="435" t="s">
        <v>4621</v>
      </c>
      <c r="G211" s="430">
        <v>39781</v>
      </c>
      <c r="H211" s="435">
        <f>DATEDIF(G211,$G$6,"Y")</f>
        <v>16</v>
      </c>
      <c r="I211" s="361"/>
    </row>
    <row r="212" spans="1:9" x14ac:dyDescent="0.25">
      <c r="A212" s="360">
        <v>16376698</v>
      </c>
      <c r="B212" s="361" t="s">
        <v>4821</v>
      </c>
      <c r="C212" s="361"/>
      <c r="D212" s="465"/>
      <c r="E212" s="361" t="s">
        <v>6007</v>
      </c>
      <c r="F212" s="435" t="s">
        <v>4620</v>
      </c>
      <c r="G212" s="430">
        <v>38227</v>
      </c>
      <c r="H212" s="435">
        <f t="shared" ref="H212:H286" si="3">DATEDIF(G212,$G$6,"Y")</f>
        <v>21</v>
      </c>
      <c r="I212" s="361" t="s">
        <v>5774</v>
      </c>
    </row>
    <row r="213" spans="1:9" x14ac:dyDescent="0.25">
      <c r="A213" s="360">
        <v>16376698</v>
      </c>
      <c r="B213" s="361" t="s">
        <v>4821</v>
      </c>
      <c r="C213" s="361"/>
      <c r="D213" s="465"/>
      <c r="E213" s="361" t="s">
        <v>6008</v>
      </c>
      <c r="F213" s="435" t="s">
        <v>4621</v>
      </c>
      <c r="G213" s="430">
        <v>42613</v>
      </c>
      <c r="H213" s="435">
        <f t="shared" si="3"/>
        <v>9</v>
      </c>
      <c r="I213" s="361"/>
    </row>
    <row r="214" spans="1:9" x14ac:dyDescent="0.25">
      <c r="A214" s="360"/>
      <c r="B214" s="361"/>
      <c r="C214" s="361"/>
      <c r="D214" s="465"/>
      <c r="E214" s="361" t="s">
        <v>2904</v>
      </c>
      <c r="F214" s="435"/>
      <c r="G214" s="430"/>
      <c r="H214" s="435"/>
      <c r="I214" s="361"/>
    </row>
    <row r="215" spans="1:9" x14ac:dyDescent="0.25">
      <c r="A215" s="360">
        <v>16377159</v>
      </c>
      <c r="B215" s="361" t="s">
        <v>4822</v>
      </c>
      <c r="C215" s="361" t="s">
        <v>5218</v>
      </c>
      <c r="D215" s="465">
        <v>2</v>
      </c>
      <c r="E215" s="361" t="s">
        <v>6009</v>
      </c>
      <c r="F215" s="435" t="s">
        <v>4621</v>
      </c>
      <c r="G215" s="430">
        <v>39379</v>
      </c>
      <c r="H215" s="435">
        <f t="shared" si="3"/>
        <v>17</v>
      </c>
      <c r="I215" s="361"/>
    </row>
    <row r="216" spans="1:9" x14ac:dyDescent="0.25">
      <c r="A216" s="360">
        <v>16377159</v>
      </c>
      <c r="B216" s="361" t="s">
        <v>4822</v>
      </c>
      <c r="C216" s="361"/>
      <c r="D216" s="465"/>
      <c r="E216" s="361" t="s">
        <v>6010</v>
      </c>
      <c r="F216" s="435" t="s">
        <v>4621</v>
      </c>
      <c r="G216" s="430">
        <v>40738</v>
      </c>
      <c r="H216" s="435">
        <f t="shared" si="3"/>
        <v>14</v>
      </c>
      <c r="I216" s="361"/>
    </row>
    <row r="217" spans="1:9" x14ac:dyDescent="0.25">
      <c r="A217" s="360">
        <v>16377159</v>
      </c>
      <c r="B217" s="361" t="s">
        <v>4822</v>
      </c>
      <c r="C217" s="361"/>
      <c r="D217" s="465"/>
      <c r="E217" s="361" t="s">
        <v>6011</v>
      </c>
      <c r="F217" s="435" t="s">
        <v>4621</v>
      </c>
      <c r="G217" s="430">
        <v>43664</v>
      </c>
      <c r="H217" s="435">
        <f t="shared" si="3"/>
        <v>6</v>
      </c>
      <c r="I217" s="361"/>
    </row>
    <row r="218" spans="1:9" x14ac:dyDescent="0.25">
      <c r="A218" s="360"/>
      <c r="B218" s="361"/>
      <c r="C218" s="361"/>
      <c r="D218" s="465"/>
      <c r="E218" s="361"/>
      <c r="F218" s="435"/>
      <c r="G218" s="430"/>
      <c r="H218" s="435"/>
      <c r="I218" s="361"/>
    </row>
    <row r="219" spans="1:9" x14ac:dyDescent="0.25">
      <c r="A219" s="360">
        <v>16377588</v>
      </c>
      <c r="B219" s="361" t="s">
        <v>4823</v>
      </c>
      <c r="C219" s="361" t="s">
        <v>5224</v>
      </c>
      <c r="D219" s="465">
        <v>1</v>
      </c>
      <c r="E219" s="361" t="s">
        <v>5632</v>
      </c>
      <c r="F219" s="435" t="s">
        <v>4620</v>
      </c>
      <c r="G219" s="430">
        <v>38427</v>
      </c>
      <c r="H219" s="435">
        <f t="shared" si="3"/>
        <v>20</v>
      </c>
      <c r="I219" s="361" t="s">
        <v>5774</v>
      </c>
    </row>
    <row r="220" spans="1:9" x14ac:dyDescent="0.25">
      <c r="A220" s="360">
        <v>16377588</v>
      </c>
      <c r="B220" s="361" t="s">
        <v>4823</v>
      </c>
      <c r="C220" s="361"/>
      <c r="D220" s="465"/>
      <c r="E220" s="361" t="s">
        <v>5633</v>
      </c>
      <c r="F220" s="435" t="s">
        <v>4620</v>
      </c>
      <c r="G220" s="430">
        <v>40188</v>
      </c>
      <c r="H220" s="435">
        <f t="shared" si="3"/>
        <v>15</v>
      </c>
      <c r="I220" s="361"/>
    </row>
    <row r="221" spans="1:9" x14ac:dyDescent="0.25">
      <c r="A221" s="360"/>
      <c r="B221" s="361"/>
      <c r="C221" s="361"/>
      <c r="D221" s="465"/>
      <c r="E221" s="361"/>
      <c r="F221" s="435"/>
      <c r="G221" s="430"/>
      <c r="H221" s="435"/>
      <c r="I221" s="361"/>
    </row>
    <row r="222" spans="1:9" x14ac:dyDescent="0.25">
      <c r="A222" s="360">
        <v>16377628</v>
      </c>
      <c r="B222" s="361" t="s">
        <v>4824</v>
      </c>
      <c r="C222" s="361" t="s">
        <v>5217</v>
      </c>
      <c r="D222" s="465">
        <v>1</v>
      </c>
      <c r="E222" s="361" t="s">
        <v>6013</v>
      </c>
      <c r="F222" s="435" t="s">
        <v>4621</v>
      </c>
      <c r="G222" s="430">
        <v>43920</v>
      </c>
      <c r="H222" s="435">
        <f t="shared" si="3"/>
        <v>5</v>
      </c>
      <c r="I222" s="361"/>
    </row>
    <row r="223" spans="1:9" x14ac:dyDescent="0.25">
      <c r="A223" s="360">
        <v>16377628</v>
      </c>
      <c r="B223" s="361" t="s">
        <v>4824</v>
      </c>
      <c r="C223" s="361"/>
      <c r="D223" s="465"/>
      <c r="E223" s="361" t="s">
        <v>6014</v>
      </c>
      <c r="F223" s="435" t="s">
        <v>4621</v>
      </c>
      <c r="G223" s="430">
        <v>38833</v>
      </c>
      <c r="H223" s="435">
        <f t="shared" si="3"/>
        <v>19</v>
      </c>
      <c r="I223" s="361" t="s">
        <v>5774</v>
      </c>
    </row>
    <row r="224" spans="1:9" x14ac:dyDescent="0.25">
      <c r="A224" s="360"/>
      <c r="B224" s="361"/>
      <c r="C224" s="361"/>
      <c r="D224" s="465"/>
      <c r="E224" s="361" t="s">
        <v>2904</v>
      </c>
      <c r="F224" s="435"/>
      <c r="G224" s="430"/>
      <c r="H224" s="435"/>
      <c r="I224" s="361"/>
    </row>
    <row r="225" spans="1:9" x14ac:dyDescent="0.25">
      <c r="A225" s="360">
        <v>16533566</v>
      </c>
      <c r="B225" s="361" t="s">
        <v>4826</v>
      </c>
      <c r="C225" s="361" t="s">
        <v>5218</v>
      </c>
      <c r="D225" s="465">
        <v>2</v>
      </c>
      <c r="E225" s="361" t="s">
        <v>6015</v>
      </c>
      <c r="F225" s="435" t="s">
        <v>4620</v>
      </c>
      <c r="G225" s="430">
        <v>40001</v>
      </c>
      <c r="H225" s="435">
        <f t="shared" si="3"/>
        <v>16</v>
      </c>
      <c r="I225" s="361" t="s">
        <v>5634</v>
      </c>
    </row>
    <row r="226" spans="1:9" x14ac:dyDescent="0.25">
      <c r="A226" s="360">
        <v>16533566</v>
      </c>
      <c r="B226" s="361" t="s">
        <v>4826</v>
      </c>
      <c r="C226" s="361"/>
      <c r="D226" s="465"/>
      <c r="E226" s="361" t="s">
        <v>6016</v>
      </c>
      <c r="F226" s="435" t="s">
        <v>4621</v>
      </c>
      <c r="G226" s="430">
        <v>40001</v>
      </c>
      <c r="H226" s="435">
        <f t="shared" si="3"/>
        <v>16</v>
      </c>
      <c r="I226" s="361"/>
    </row>
    <row r="227" spans="1:9" x14ac:dyDescent="0.25">
      <c r="A227" s="360">
        <v>16533566</v>
      </c>
      <c r="B227" s="361" t="s">
        <v>4826</v>
      </c>
      <c r="C227" s="361"/>
      <c r="D227" s="465"/>
      <c r="E227" s="361" t="s">
        <v>6017</v>
      </c>
      <c r="F227" s="435" t="s">
        <v>4620</v>
      </c>
      <c r="G227" s="430">
        <v>42178</v>
      </c>
      <c r="H227" s="435">
        <f t="shared" si="3"/>
        <v>10</v>
      </c>
      <c r="I227" s="361"/>
    </row>
    <row r="228" spans="1:9" x14ac:dyDescent="0.25">
      <c r="A228" s="360">
        <v>16533566</v>
      </c>
      <c r="B228" s="361" t="s">
        <v>4826</v>
      </c>
      <c r="C228" s="361"/>
      <c r="D228" s="465"/>
      <c r="E228" s="361" t="s">
        <v>6018</v>
      </c>
      <c r="F228" s="435" t="s">
        <v>4621</v>
      </c>
      <c r="G228" s="430">
        <v>39231</v>
      </c>
      <c r="H228" s="435">
        <f t="shared" si="3"/>
        <v>18</v>
      </c>
      <c r="I228" s="361" t="s">
        <v>5774</v>
      </c>
    </row>
    <row r="229" spans="1:9" s="364" customFormat="1" x14ac:dyDescent="0.25">
      <c r="A229" s="1119"/>
      <c r="B229" s="1120"/>
      <c r="C229" s="1120"/>
      <c r="D229" s="1121"/>
      <c r="E229" s="1120"/>
      <c r="F229" s="1122"/>
      <c r="G229" s="1123"/>
      <c r="H229" s="1122"/>
      <c r="I229" s="1120"/>
    </row>
    <row r="230" spans="1:9" s="364" customFormat="1" x14ac:dyDescent="0.25">
      <c r="A230" s="1119">
        <v>16533615</v>
      </c>
      <c r="B230" s="1120" t="s">
        <v>6635</v>
      </c>
      <c r="C230" s="361" t="s">
        <v>5218</v>
      </c>
      <c r="D230" s="1121">
        <v>1</v>
      </c>
      <c r="E230" s="1120" t="s">
        <v>6638</v>
      </c>
      <c r="F230" s="1122" t="s">
        <v>4621</v>
      </c>
      <c r="G230" s="1123">
        <v>41368</v>
      </c>
      <c r="H230" s="435">
        <f t="shared" si="3"/>
        <v>12</v>
      </c>
      <c r="I230" s="1120"/>
    </row>
    <row r="231" spans="1:9" s="364" customFormat="1" x14ac:dyDescent="0.25">
      <c r="A231" s="1119"/>
      <c r="B231" s="1120"/>
      <c r="C231" s="1120"/>
      <c r="D231" s="1121"/>
      <c r="E231" s="1120"/>
      <c r="F231" s="1122"/>
      <c r="G231" s="1123"/>
      <c r="H231" s="1122"/>
      <c r="I231" s="1120"/>
    </row>
    <row r="232" spans="1:9" x14ac:dyDescent="0.25">
      <c r="A232" s="360">
        <v>16533986</v>
      </c>
      <c r="B232" s="361" t="s">
        <v>4827</v>
      </c>
      <c r="C232" s="361" t="s">
        <v>5260</v>
      </c>
      <c r="D232" s="465">
        <v>1</v>
      </c>
      <c r="E232" s="361" t="s">
        <v>5635</v>
      </c>
      <c r="F232" s="435" t="s">
        <v>4620</v>
      </c>
      <c r="G232" s="430">
        <v>42515</v>
      </c>
      <c r="H232" s="435">
        <f t="shared" si="3"/>
        <v>9</v>
      </c>
      <c r="I232" s="361"/>
    </row>
    <row r="233" spans="1:9" x14ac:dyDescent="0.25">
      <c r="A233" s="360"/>
      <c r="B233" s="361"/>
      <c r="C233" s="361"/>
      <c r="D233" s="465"/>
      <c r="E233" s="361"/>
      <c r="F233" s="435"/>
      <c r="G233" s="430"/>
      <c r="H233" s="435"/>
      <c r="I233" s="361"/>
    </row>
    <row r="234" spans="1:9" s="364" customFormat="1" x14ac:dyDescent="0.25">
      <c r="A234" s="1119">
        <v>16740261</v>
      </c>
      <c r="B234" s="1120" t="s">
        <v>6674</v>
      </c>
      <c r="C234" s="1120" t="s">
        <v>6676</v>
      </c>
      <c r="D234" s="1121">
        <v>1</v>
      </c>
      <c r="E234" s="1120" t="s">
        <v>6677</v>
      </c>
      <c r="F234" s="1122" t="s">
        <v>4620</v>
      </c>
      <c r="G234" s="1123">
        <v>42913</v>
      </c>
      <c r="H234" s="435">
        <f t="shared" si="3"/>
        <v>8</v>
      </c>
      <c r="I234" s="1120"/>
    </row>
    <row r="235" spans="1:9" x14ac:dyDescent="0.25">
      <c r="A235" s="360"/>
      <c r="B235" s="361"/>
      <c r="C235" s="361"/>
      <c r="D235" s="465"/>
      <c r="E235" s="361"/>
      <c r="F235" s="435"/>
      <c r="G235" s="430"/>
      <c r="H235" s="435"/>
      <c r="I235" s="361"/>
    </row>
    <row r="236" spans="1:9" x14ac:dyDescent="0.25">
      <c r="A236" s="360">
        <v>16882467</v>
      </c>
      <c r="B236" s="361" t="s">
        <v>4830</v>
      </c>
      <c r="C236" s="361" t="s">
        <v>5261</v>
      </c>
      <c r="D236" s="465">
        <v>0</v>
      </c>
      <c r="E236" s="361" t="s">
        <v>5638</v>
      </c>
      <c r="F236" s="435" t="s">
        <v>4620</v>
      </c>
      <c r="G236" s="430">
        <v>39325</v>
      </c>
      <c r="H236" s="435">
        <f t="shared" si="3"/>
        <v>18</v>
      </c>
      <c r="I236" s="361" t="s">
        <v>5730</v>
      </c>
    </row>
    <row r="237" spans="1:9" x14ac:dyDescent="0.25">
      <c r="A237" s="360"/>
      <c r="B237" s="361"/>
      <c r="C237" s="361"/>
      <c r="D237" s="465"/>
      <c r="E237" s="361"/>
      <c r="F237" s="435"/>
      <c r="G237" s="430"/>
      <c r="H237" s="435"/>
      <c r="I237" s="361"/>
    </row>
    <row r="238" spans="1:9" x14ac:dyDescent="0.25">
      <c r="A238" s="360">
        <v>16883267</v>
      </c>
      <c r="B238" s="361" t="s">
        <v>4831</v>
      </c>
      <c r="C238" s="361" t="s">
        <v>4831</v>
      </c>
      <c r="D238" s="465">
        <v>0</v>
      </c>
      <c r="E238" s="458" t="s">
        <v>5639</v>
      </c>
      <c r="F238" s="435" t="s">
        <v>4621</v>
      </c>
      <c r="G238" s="430">
        <v>39723</v>
      </c>
      <c r="H238" s="435">
        <f t="shared" si="3"/>
        <v>16</v>
      </c>
      <c r="I238" s="361" t="s">
        <v>5773</v>
      </c>
    </row>
    <row r="239" spans="1:9" s="364" customFormat="1" x14ac:dyDescent="0.25">
      <c r="A239" s="1119"/>
      <c r="B239" s="1120"/>
      <c r="C239" s="1120"/>
      <c r="D239" s="1121"/>
      <c r="E239" s="1121"/>
      <c r="F239" s="1122"/>
      <c r="G239" s="1123"/>
      <c r="H239" s="1122"/>
      <c r="I239" s="1120"/>
    </row>
    <row r="240" spans="1:9" x14ac:dyDescent="0.25">
      <c r="A240" s="360">
        <v>17037244</v>
      </c>
      <c r="B240" s="361" t="s">
        <v>4832</v>
      </c>
      <c r="C240" s="361" t="s">
        <v>5217</v>
      </c>
      <c r="D240" s="465">
        <v>2</v>
      </c>
      <c r="E240" s="361" t="s">
        <v>5640</v>
      </c>
      <c r="F240" s="435" t="s">
        <v>4620</v>
      </c>
      <c r="G240" s="430">
        <v>40515</v>
      </c>
      <c r="H240" s="435">
        <f t="shared" si="3"/>
        <v>14</v>
      </c>
      <c r="I240" s="361"/>
    </row>
    <row r="241" spans="1:9" x14ac:dyDescent="0.25">
      <c r="A241" s="360">
        <v>17037244</v>
      </c>
      <c r="B241" s="361" t="s">
        <v>4832</v>
      </c>
      <c r="C241" s="361"/>
      <c r="D241" s="465"/>
      <c r="E241" s="361" t="s">
        <v>5641</v>
      </c>
      <c r="F241" s="435" t="s">
        <v>4620</v>
      </c>
      <c r="G241" s="430">
        <v>40883</v>
      </c>
      <c r="H241" s="435">
        <f t="shared" si="3"/>
        <v>13</v>
      </c>
      <c r="I241" s="361"/>
    </row>
    <row r="242" spans="1:9" s="364" customFormat="1" x14ac:dyDescent="0.25">
      <c r="A242" s="1119"/>
      <c r="B242" s="1120"/>
      <c r="C242" s="1120"/>
      <c r="D242" s="1121"/>
      <c r="E242" s="1120"/>
      <c r="F242" s="1122"/>
      <c r="G242" s="1123"/>
      <c r="H242" s="1122"/>
      <c r="I242" s="1120"/>
    </row>
    <row r="243" spans="1:9" s="364" customFormat="1" x14ac:dyDescent="0.25">
      <c r="A243" s="360">
        <v>17038061</v>
      </c>
      <c r="B243" s="364" t="s">
        <v>7601</v>
      </c>
      <c r="C243" s="361" t="s">
        <v>5218</v>
      </c>
      <c r="D243" s="465">
        <v>2</v>
      </c>
      <c r="E243" s="361" t="s">
        <v>7592</v>
      </c>
      <c r="F243" s="435" t="s">
        <v>4620</v>
      </c>
      <c r="G243" s="430">
        <v>43041</v>
      </c>
      <c r="H243" s="435">
        <f t="shared" ref="H243:H244" si="4">DATEDIF(G243,$G$6,"Y")</f>
        <v>7</v>
      </c>
      <c r="I243" s="1120"/>
    </row>
    <row r="244" spans="1:9" s="364" customFormat="1" x14ac:dyDescent="0.25">
      <c r="A244" s="1119"/>
      <c r="B244" s="1120"/>
      <c r="C244" s="1120"/>
      <c r="D244" s="1121"/>
      <c r="E244" s="1120" t="s">
        <v>7591</v>
      </c>
      <c r="F244" s="1122" t="s">
        <v>4621</v>
      </c>
      <c r="G244" s="1123">
        <v>41901</v>
      </c>
      <c r="H244" s="435">
        <f t="shared" si="4"/>
        <v>11</v>
      </c>
      <c r="I244" s="1120"/>
    </row>
    <row r="245" spans="1:9" s="364" customFormat="1" x14ac:dyDescent="0.25">
      <c r="A245" s="1119"/>
      <c r="B245" s="1120"/>
      <c r="C245" s="1120"/>
      <c r="D245" s="1121"/>
      <c r="E245" s="1120"/>
      <c r="F245" s="1122"/>
      <c r="G245" s="1123"/>
      <c r="H245" s="1122"/>
      <c r="I245" s="1120"/>
    </row>
    <row r="246" spans="1:9" x14ac:dyDescent="0.25">
      <c r="A246" s="360">
        <v>17094419</v>
      </c>
      <c r="B246" s="361" t="s">
        <v>4833</v>
      </c>
      <c r="C246" s="361" t="s">
        <v>5218</v>
      </c>
      <c r="D246" s="465">
        <v>1</v>
      </c>
      <c r="E246" s="361" t="s">
        <v>6019</v>
      </c>
      <c r="F246" s="435" t="s">
        <v>4620</v>
      </c>
      <c r="G246" s="430">
        <v>40668</v>
      </c>
      <c r="H246" s="435">
        <f t="shared" si="3"/>
        <v>14</v>
      </c>
      <c r="I246" s="361"/>
    </row>
    <row r="247" spans="1:9" s="364" customFormat="1" x14ac:dyDescent="0.25">
      <c r="A247" s="1119"/>
      <c r="B247" s="1120"/>
      <c r="C247" s="1120"/>
      <c r="D247" s="1121"/>
      <c r="E247" s="1120"/>
      <c r="F247" s="1122"/>
      <c r="G247" s="1123"/>
      <c r="H247" s="1122"/>
      <c r="I247" s="1120"/>
    </row>
    <row r="248" spans="1:9" s="364" customFormat="1" x14ac:dyDescent="0.25">
      <c r="A248" s="1119">
        <v>17094426</v>
      </c>
      <c r="B248" s="1120" t="s">
        <v>4834</v>
      </c>
      <c r="C248" s="1120" t="s">
        <v>5217</v>
      </c>
      <c r="D248" s="1121">
        <v>1</v>
      </c>
      <c r="E248" s="1120" t="s">
        <v>6708</v>
      </c>
      <c r="F248" s="1122" t="s">
        <v>4620</v>
      </c>
      <c r="G248" s="1123">
        <v>45414</v>
      </c>
      <c r="H248" s="435">
        <f t="shared" si="3"/>
        <v>1</v>
      </c>
      <c r="I248" s="1120"/>
    </row>
    <row r="249" spans="1:9" x14ac:dyDescent="0.25">
      <c r="A249" s="360"/>
      <c r="B249" s="361"/>
      <c r="C249" s="361"/>
      <c r="D249" s="465"/>
      <c r="E249" s="361"/>
      <c r="F249" s="435"/>
      <c r="G249" s="430"/>
      <c r="H249" s="435"/>
      <c r="I249" s="361"/>
    </row>
    <row r="250" spans="1:9" x14ac:dyDescent="0.25">
      <c r="A250" s="360">
        <v>17130893</v>
      </c>
      <c r="B250" s="361" t="s">
        <v>4835</v>
      </c>
      <c r="C250" s="361" t="s">
        <v>5226</v>
      </c>
      <c r="D250" s="465">
        <v>2</v>
      </c>
      <c r="E250" s="361" t="s">
        <v>5642</v>
      </c>
      <c r="F250" s="435" t="s">
        <v>4620</v>
      </c>
      <c r="G250" s="430">
        <v>37663</v>
      </c>
      <c r="H250" s="435">
        <f t="shared" si="3"/>
        <v>22</v>
      </c>
      <c r="I250" s="361" t="s">
        <v>5774</v>
      </c>
    </row>
    <row r="251" spans="1:9" x14ac:dyDescent="0.25">
      <c r="A251" s="360">
        <v>17130893</v>
      </c>
      <c r="B251" s="361" t="s">
        <v>4835</v>
      </c>
      <c r="C251" s="361"/>
      <c r="D251" s="465"/>
      <c r="E251" s="361" t="s">
        <v>5643</v>
      </c>
      <c r="F251" s="435" t="s">
        <v>4620</v>
      </c>
      <c r="G251" s="430">
        <v>40878</v>
      </c>
      <c r="H251" s="435">
        <f t="shared" si="3"/>
        <v>13</v>
      </c>
      <c r="I251" s="361"/>
    </row>
    <row r="252" spans="1:9" x14ac:dyDescent="0.25">
      <c r="A252" s="360">
        <v>17130893</v>
      </c>
      <c r="B252" s="361" t="s">
        <v>4835</v>
      </c>
      <c r="C252" s="361"/>
      <c r="D252" s="465"/>
      <c r="E252" s="361" t="s">
        <v>5644</v>
      </c>
      <c r="F252" s="435" t="s">
        <v>4620</v>
      </c>
      <c r="G252" s="430">
        <v>41516</v>
      </c>
      <c r="H252" s="435">
        <f t="shared" si="3"/>
        <v>12</v>
      </c>
      <c r="I252" s="361"/>
    </row>
    <row r="253" spans="1:9" s="364" customFormat="1" x14ac:dyDescent="0.25">
      <c r="A253" s="370"/>
      <c r="B253" s="371"/>
      <c r="C253" s="371"/>
      <c r="D253" s="892"/>
      <c r="E253" s="371"/>
      <c r="F253" s="442"/>
      <c r="G253" s="431"/>
      <c r="H253" s="435"/>
      <c r="I253" s="371"/>
    </row>
    <row r="254" spans="1:9" s="364" customFormat="1" x14ac:dyDescent="0.25">
      <c r="A254" s="370">
        <v>17265578</v>
      </c>
      <c r="B254" s="371" t="s">
        <v>5513</v>
      </c>
      <c r="C254" s="371" t="s">
        <v>5252</v>
      </c>
      <c r="D254" s="892">
        <v>1</v>
      </c>
      <c r="E254" s="371" t="s">
        <v>6020</v>
      </c>
      <c r="F254" s="435" t="s">
        <v>4620</v>
      </c>
      <c r="G254" s="430">
        <v>39149</v>
      </c>
      <c r="H254" s="435">
        <f t="shared" si="3"/>
        <v>18</v>
      </c>
      <c r="I254" s="371" t="s">
        <v>5774</v>
      </c>
    </row>
    <row r="255" spans="1:9" s="364" customFormat="1" x14ac:dyDescent="0.25">
      <c r="A255" s="370">
        <v>17265578</v>
      </c>
      <c r="B255" s="371" t="s">
        <v>5513</v>
      </c>
      <c r="C255" s="371"/>
      <c r="D255" s="892"/>
      <c r="E255" s="371" t="s">
        <v>6021</v>
      </c>
      <c r="F255" s="435" t="s">
        <v>4620</v>
      </c>
      <c r="G255" s="431">
        <v>38043</v>
      </c>
      <c r="H255" s="435">
        <f t="shared" si="3"/>
        <v>21</v>
      </c>
      <c r="I255" s="361" t="s">
        <v>5774</v>
      </c>
    </row>
    <row r="256" spans="1:9" s="364" customFormat="1" x14ac:dyDescent="0.25">
      <c r="A256" s="370">
        <v>17265578</v>
      </c>
      <c r="B256" s="371" t="s">
        <v>5513</v>
      </c>
      <c r="C256" s="371"/>
      <c r="D256" s="892"/>
      <c r="E256" s="371" t="s">
        <v>6022</v>
      </c>
      <c r="F256" s="435" t="s">
        <v>4620</v>
      </c>
      <c r="G256" s="431">
        <v>40503</v>
      </c>
      <c r="H256" s="435">
        <f t="shared" si="3"/>
        <v>14</v>
      </c>
      <c r="I256" s="371"/>
    </row>
    <row r="257" spans="1:9" x14ac:dyDescent="0.25">
      <c r="A257" s="360"/>
      <c r="B257" s="361"/>
      <c r="C257" s="361"/>
      <c r="D257" s="465"/>
      <c r="E257" s="361" t="s">
        <v>2904</v>
      </c>
      <c r="F257" s="435"/>
      <c r="G257" s="430"/>
      <c r="H257" s="435"/>
      <c r="I257" s="361"/>
    </row>
    <row r="258" spans="1:9" x14ac:dyDescent="0.25">
      <c r="A258" s="360">
        <v>17265648</v>
      </c>
      <c r="B258" s="361" t="s">
        <v>4836</v>
      </c>
      <c r="C258" s="361" t="s">
        <v>5217</v>
      </c>
      <c r="D258" s="465">
        <v>2</v>
      </c>
      <c r="E258" s="361" t="s">
        <v>5645</v>
      </c>
      <c r="F258" s="435" t="s">
        <v>4620</v>
      </c>
      <c r="G258" s="430">
        <v>41608</v>
      </c>
      <c r="H258" s="435">
        <f t="shared" si="3"/>
        <v>11</v>
      </c>
      <c r="I258" s="361"/>
    </row>
    <row r="259" spans="1:9" x14ac:dyDescent="0.25">
      <c r="A259" s="360">
        <v>17265648</v>
      </c>
      <c r="B259" s="361" t="s">
        <v>4836</v>
      </c>
      <c r="C259" s="361"/>
      <c r="D259" s="465"/>
      <c r="E259" s="361" t="s">
        <v>5646</v>
      </c>
      <c r="F259" s="435" t="s">
        <v>4620</v>
      </c>
      <c r="G259" s="430">
        <v>40374</v>
      </c>
      <c r="H259" s="435">
        <f t="shared" si="3"/>
        <v>15</v>
      </c>
      <c r="I259" s="361"/>
    </row>
    <row r="260" spans="1:9" x14ac:dyDescent="0.25">
      <c r="A260" s="360"/>
      <c r="B260" s="361"/>
      <c r="C260" s="361"/>
      <c r="D260" s="465"/>
      <c r="E260" s="361" t="s">
        <v>2904</v>
      </c>
      <c r="F260" s="435"/>
      <c r="G260" s="430"/>
      <c r="H260" s="435"/>
      <c r="I260" s="361"/>
    </row>
    <row r="261" spans="1:9" x14ac:dyDescent="0.25">
      <c r="A261" s="360">
        <v>17267324</v>
      </c>
      <c r="B261" s="361" t="s">
        <v>4837</v>
      </c>
      <c r="C261" s="361" t="s">
        <v>5217</v>
      </c>
      <c r="D261" s="465">
        <v>1</v>
      </c>
      <c r="E261" s="361" t="s">
        <v>5647</v>
      </c>
      <c r="F261" s="435" t="s">
        <v>4620</v>
      </c>
      <c r="G261" s="430">
        <v>39210</v>
      </c>
      <c r="H261" s="435">
        <f t="shared" si="3"/>
        <v>18</v>
      </c>
      <c r="I261" s="361" t="s">
        <v>5774</v>
      </c>
    </row>
    <row r="262" spans="1:9" x14ac:dyDescent="0.25">
      <c r="A262" s="360">
        <v>17267324</v>
      </c>
      <c r="B262" s="361" t="s">
        <v>4837</v>
      </c>
      <c r="C262" s="361"/>
      <c r="D262" s="465"/>
      <c r="E262" s="361" t="s">
        <v>5648</v>
      </c>
      <c r="F262" s="435" t="s">
        <v>4620</v>
      </c>
      <c r="G262" s="430">
        <v>41689</v>
      </c>
      <c r="H262" s="435">
        <f t="shared" si="3"/>
        <v>11</v>
      </c>
      <c r="I262" s="361"/>
    </row>
    <row r="263" spans="1:9" x14ac:dyDescent="0.25">
      <c r="A263" s="360">
        <v>17267324</v>
      </c>
      <c r="B263" s="361" t="s">
        <v>4837</v>
      </c>
      <c r="C263" s="361"/>
      <c r="D263" s="465"/>
      <c r="E263" s="361" t="s">
        <v>5649</v>
      </c>
      <c r="F263" s="435" t="s">
        <v>4620</v>
      </c>
      <c r="G263" s="430">
        <v>38133</v>
      </c>
      <c r="H263" s="435">
        <f t="shared" si="3"/>
        <v>21</v>
      </c>
      <c r="I263" s="361" t="s">
        <v>5774</v>
      </c>
    </row>
    <row r="264" spans="1:9" x14ac:dyDescent="0.25">
      <c r="A264" s="360"/>
      <c r="B264" s="361"/>
      <c r="C264" s="361"/>
      <c r="D264" s="465"/>
      <c r="E264" s="361" t="s">
        <v>2904</v>
      </c>
      <c r="F264" s="435"/>
      <c r="G264" s="430"/>
      <c r="H264" s="435"/>
      <c r="I264" s="361"/>
    </row>
    <row r="265" spans="1:9" x14ac:dyDescent="0.25">
      <c r="A265" s="360">
        <v>17391316</v>
      </c>
      <c r="B265" s="361" t="s">
        <v>4838</v>
      </c>
      <c r="C265" s="361" t="s">
        <v>5218</v>
      </c>
      <c r="D265" s="465">
        <v>1</v>
      </c>
      <c r="E265" s="361" t="s">
        <v>6023</v>
      </c>
      <c r="F265" s="435" t="s">
        <v>4620</v>
      </c>
      <c r="G265" s="430">
        <v>41365</v>
      </c>
      <c r="H265" s="435">
        <f t="shared" si="3"/>
        <v>12</v>
      </c>
      <c r="I265" s="361"/>
    </row>
    <row r="266" spans="1:9" x14ac:dyDescent="0.25">
      <c r="A266" s="360">
        <v>17391316</v>
      </c>
      <c r="B266" s="361" t="s">
        <v>4838</v>
      </c>
      <c r="C266" s="361"/>
      <c r="D266" s="465"/>
      <c r="E266" s="361" t="s">
        <v>6024</v>
      </c>
      <c r="F266" s="435" t="s">
        <v>4621</v>
      </c>
      <c r="G266" s="430">
        <v>38833</v>
      </c>
      <c r="H266" s="435">
        <f t="shared" si="3"/>
        <v>19</v>
      </c>
      <c r="I266" s="361" t="s">
        <v>5774</v>
      </c>
    </row>
    <row r="267" spans="1:9" x14ac:dyDescent="0.25">
      <c r="A267" s="360"/>
      <c r="B267" s="361"/>
      <c r="C267" s="361"/>
      <c r="D267" s="465"/>
      <c r="E267" s="361"/>
      <c r="F267" s="435"/>
      <c r="G267" s="430"/>
      <c r="H267" s="435"/>
      <c r="I267" s="361"/>
    </row>
    <row r="268" spans="1:9" s="364" customFormat="1" x14ac:dyDescent="0.25">
      <c r="A268" s="360">
        <v>17391892</v>
      </c>
      <c r="B268" s="361" t="s">
        <v>5965</v>
      </c>
      <c r="C268" s="361" t="s">
        <v>5261</v>
      </c>
      <c r="D268" s="465">
        <v>2</v>
      </c>
      <c r="E268" s="361" t="s">
        <v>5973</v>
      </c>
      <c r="F268" s="435" t="s">
        <v>4620</v>
      </c>
      <c r="G268" s="430">
        <v>41470</v>
      </c>
      <c r="H268" s="435">
        <f t="shared" ref="H268" si="5">DATEDIF(G268,$G$6,"Y")</f>
        <v>12</v>
      </c>
      <c r="I268" s="981"/>
    </row>
    <row r="269" spans="1:9" s="364" customFormat="1" x14ac:dyDescent="0.25">
      <c r="A269" s="360">
        <v>17391892</v>
      </c>
      <c r="B269" s="361" t="s">
        <v>5965</v>
      </c>
      <c r="C269" s="981"/>
      <c r="D269" s="982"/>
      <c r="E269" s="361" t="s">
        <v>5974</v>
      </c>
      <c r="F269" s="435" t="s">
        <v>4620</v>
      </c>
      <c r="G269" s="430">
        <v>42343</v>
      </c>
      <c r="H269" s="435">
        <f t="shared" ref="H269" si="6">DATEDIF(G269,$G$6,"Y")</f>
        <v>9</v>
      </c>
      <c r="I269" s="981"/>
    </row>
    <row r="270" spans="1:9" s="364" customFormat="1" x14ac:dyDescent="0.25">
      <c r="A270" s="980"/>
      <c r="B270" s="981"/>
      <c r="C270" s="981"/>
      <c r="D270" s="982"/>
      <c r="E270" s="981"/>
      <c r="F270" s="983"/>
      <c r="G270" s="984"/>
      <c r="H270" s="983"/>
      <c r="I270" s="981"/>
    </row>
    <row r="271" spans="1:9" x14ac:dyDescent="0.25">
      <c r="A271" s="360">
        <v>17392309</v>
      </c>
      <c r="B271" s="364" t="s">
        <v>7578</v>
      </c>
      <c r="C271" s="361" t="s">
        <v>5219</v>
      </c>
      <c r="D271" s="465">
        <v>1</v>
      </c>
      <c r="E271" s="361" t="s">
        <v>5650</v>
      </c>
      <c r="F271" s="435" t="s">
        <v>4620</v>
      </c>
      <c r="G271" s="430">
        <v>39094</v>
      </c>
      <c r="H271" s="435">
        <f t="shared" si="3"/>
        <v>18</v>
      </c>
      <c r="I271" s="361" t="s">
        <v>5774</v>
      </c>
    </row>
    <row r="272" spans="1:9" x14ac:dyDescent="0.25">
      <c r="A272" s="360">
        <v>17392309</v>
      </c>
      <c r="B272" s="364" t="s">
        <v>7578</v>
      </c>
      <c r="C272" s="361"/>
      <c r="D272" s="465"/>
      <c r="E272" s="361" t="s">
        <v>5651</v>
      </c>
      <c r="F272" s="435" t="s">
        <v>4620</v>
      </c>
      <c r="G272" s="430">
        <v>41283</v>
      </c>
      <c r="H272" s="435">
        <f t="shared" si="3"/>
        <v>12</v>
      </c>
      <c r="I272" s="361"/>
    </row>
    <row r="273" spans="1:9" x14ac:dyDescent="0.25">
      <c r="A273" s="360"/>
      <c r="B273" s="361"/>
      <c r="C273" s="361"/>
      <c r="D273" s="465"/>
      <c r="E273" s="361"/>
      <c r="F273" s="435"/>
      <c r="G273" s="430"/>
      <c r="H273" s="435"/>
      <c r="I273" s="361"/>
    </row>
    <row r="274" spans="1:9" x14ac:dyDescent="0.25">
      <c r="A274" s="360">
        <v>17393693</v>
      </c>
      <c r="B274" s="361" t="s">
        <v>4840</v>
      </c>
      <c r="C274" s="361" t="s">
        <v>5231</v>
      </c>
      <c r="D274" s="465">
        <v>2</v>
      </c>
      <c r="E274" s="361" t="s">
        <v>6025</v>
      </c>
      <c r="F274" s="435" t="s">
        <v>4621</v>
      </c>
      <c r="G274" s="430">
        <v>40896</v>
      </c>
      <c r="H274" s="435">
        <f t="shared" si="3"/>
        <v>13</v>
      </c>
      <c r="I274" s="361"/>
    </row>
    <row r="275" spans="1:9" x14ac:dyDescent="0.25">
      <c r="A275" s="360">
        <v>17393693</v>
      </c>
      <c r="B275" s="361" t="s">
        <v>4840</v>
      </c>
      <c r="C275" s="361"/>
      <c r="D275" s="465"/>
      <c r="E275" s="361" t="s">
        <v>6026</v>
      </c>
      <c r="F275" s="435" t="s">
        <v>4621</v>
      </c>
      <c r="G275" s="430">
        <v>42177</v>
      </c>
      <c r="H275" s="435">
        <f t="shared" si="3"/>
        <v>10</v>
      </c>
      <c r="I275" s="361"/>
    </row>
    <row r="276" spans="1:9" s="364" customFormat="1" x14ac:dyDescent="0.25">
      <c r="A276" s="1119"/>
      <c r="B276" s="1120"/>
      <c r="C276" s="1120"/>
      <c r="D276" s="1121"/>
      <c r="E276" s="1120"/>
      <c r="F276" s="1122"/>
      <c r="G276" s="1123"/>
      <c r="H276" s="1122"/>
      <c r="I276" s="1120"/>
    </row>
    <row r="277" spans="1:9" s="364" customFormat="1" x14ac:dyDescent="0.25">
      <c r="A277" s="1119">
        <v>17596844</v>
      </c>
      <c r="B277" s="1120" t="s">
        <v>6654</v>
      </c>
      <c r="C277" s="1120" t="s">
        <v>5218</v>
      </c>
      <c r="D277" s="1121">
        <v>2</v>
      </c>
      <c r="E277" s="1120" t="s">
        <v>6657</v>
      </c>
      <c r="F277" s="1122" t="s">
        <v>4621</v>
      </c>
      <c r="G277" s="1123">
        <v>42445</v>
      </c>
      <c r="H277" s="435">
        <f t="shared" si="3"/>
        <v>9</v>
      </c>
      <c r="I277" s="1120"/>
    </row>
    <row r="278" spans="1:9" s="364" customFormat="1" x14ac:dyDescent="0.25">
      <c r="A278" s="1119">
        <v>17596844</v>
      </c>
      <c r="B278" s="1120" t="s">
        <v>6654</v>
      </c>
      <c r="C278" s="1120" t="s">
        <v>5218</v>
      </c>
      <c r="D278" s="1121"/>
      <c r="E278" s="1120" t="s">
        <v>6658</v>
      </c>
      <c r="F278" s="1122" t="s">
        <v>4620</v>
      </c>
      <c r="G278" s="1123">
        <v>39912</v>
      </c>
      <c r="H278" s="435">
        <f t="shared" si="3"/>
        <v>16</v>
      </c>
      <c r="I278" s="1120"/>
    </row>
    <row r="279" spans="1:9" s="364" customFormat="1" x14ac:dyDescent="0.25">
      <c r="A279" s="1119"/>
      <c r="B279" s="1120"/>
      <c r="C279" s="1120"/>
      <c r="D279" s="1121"/>
      <c r="E279" s="1120"/>
      <c r="F279" s="1122"/>
      <c r="G279" s="1123"/>
      <c r="H279" s="1122"/>
      <c r="I279" s="1120"/>
    </row>
    <row r="280" spans="1:9" s="364" customFormat="1" x14ac:dyDescent="0.25">
      <c r="A280" s="1119">
        <v>17597257</v>
      </c>
      <c r="B280" s="1120" t="s">
        <v>6706</v>
      </c>
      <c r="C280" s="1120" t="s">
        <v>5218</v>
      </c>
      <c r="D280" s="1121">
        <v>1</v>
      </c>
      <c r="E280" s="1120" t="s">
        <v>7613</v>
      </c>
      <c r="F280" s="1122" t="s">
        <v>4621</v>
      </c>
      <c r="G280" s="1123">
        <v>45817</v>
      </c>
      <c r="H280" s="435">
        <f t="shared" si="3"/>
        <v>0</v>
      </c>
      <c r="I280" s="1120"/>
    </row>
    <row r="281" spans="1:9" x14ac:dyDescent="0.25">
      <c r="A281" s="360"/>
      <c r="B281" s="361"/>
      <c r="C281" s="361"/>
      <c r="D281" s="465"/>
      <c r="E281" s="361"/>
      <c r="F281" s="435"/>
      <c r="G281" s="430"/>
      <c r="H281" s="435"/>
      <c r="I281" s="361"/>
    </row>
    <row r="282" spans="1:9" x14ac:dyDescent="0.25">
      <c r="A282" s="360">
        <v>17604568</v>
      </c>
      <c r="B282" s="361" t="s">
        <v>4842</v>
      </c>
      <c r="C282" s="361" t="s">
        <v>5262</v>
      </c>
      <c r="D282" s="465">
        <v>2</v>
      </c>
      <c r="E282" s="361" t="s">
        <v>5652</v>
      </c>
      <c r="F282" s="435" t="s">
        <v>4620</v>
      </c>
      <c r="G282" s="430">
        <v>43720</v>
      </c>
      <c r="H282" s="435">
        <f t="shared" si="3"/>
        <v>6</v>
      </c>
      <c r="I282" s="361"/>
    </row>
    <row r="283" spans="1:9" x14ac:dyDescent="0.25">
      <c r="A283" s="360">
        <v>17604568</v>
      </c>
      <c r="B283" s="361" t="s">
        <v>4842</v>
      </c>
      <c r="C283" s="361"/>
      <c r="D283" s="465"/>
      <c r="E283" s="361" t="s">
        <v>5653</v>
      </c>
      <c r="F283" s="435" t="s">
        <v>4620</v>
      </c>
      <c r="G283" s="430">
        <v>42998</v>
      </c>
      <c r="H283" s="435">
        <f t="shared" si="3"/>
        <v>8</v>
      </c>
      <c r="I283" s="361"/>
    </row>
    <row r="284" spans="1:9" x14ac:dyDescent="0.25">
      <c r="A284" s="360"/>
      <c r="B284" s="361"/>
      <c r="C284" s="361"/>
      <c r="D284" s="465"/>
      <c r="E284" s="361"/>
      <c r="F284" s="435"/>
      <c r="G284" s="430"/>
      <c r="H284" s="435"/>
      <c r="I284" s="361"/>
    </row>
    <row r="285" spans="1:9" x14ac:dyDescent="0.25">
      <c r="A285" s="360">
        <v>17605492</v>
      </c>
      <c r="B285" s="361" t="s">
        <v>4844</v>
      </c>
      <c r="C285" s="361" t="s">
        <v>5219</v>
      </c>
      <c r="D285" s="465">
        <v>0</v>
      </c>
      <c r="E285" s="361" t="s">
        <v>5654</v>
      </c>
      <c r="F285" s="435" t="s">
        <v>4620</v>
      </c>
      <c r="G285" s="430">
        <v>37896</v>
      </c>
      <c r="H285" s="435">
        <f t="shared" si="3"/>
        <v>21</v>
      </c>
      <c r="I285" s="361" t="s">
        <v>5774</v>
      </c>
    </row>
    <row r="286" spans="1:9" x14ac:dyDescent="0.25">
      <c r="A286" s="360">
        <v>17605492</v>
      </c>
      <c r="B286" s="361" t="s">
        <v>4844</v>
      </c>
      <c r="C286" s="361"/>
      <c r="D286" s="465"/>
      <c r="E286" s="361" t="s">
        <v>5655</v>
      </c>
      <c r="F286" s="435" t="s">
        <v>4620</v>
      </c>
      <c r="G286" s="430">
        <v>38912</v>
      </c>
      <c r="H286" s="435">
        <f t="shared" si="3"/>
        <v>19</v>
      </c>
      <c r="I286" s="361" t="s">
        <v>5774</v>
      </c>
    </row>
    <row r="287" spans="1:9" x14ac:dyDescent="0.25">
      <c r="A287" s="360"/>
      <c r="B287" s="361"/>
      <c r="C287" s="361"/>
      <c r="D287" s="465"/>
      <c r="E287" s="361"/>
      <c r="F287" s="435"/>
      <c r="G287" s="430"/>
      <c r="H287" s="435"/>
      <c r="I287" s="361"/>
    </row>
    <row r="288" spans="1:9" s="364" customFormat="1" x14ac:dyDescent="0.25">
      <c r="A288" s="360">
        <v>17606237</v>
      </c>
      <c r="B288" s="361" t="s">
        <v>5758</v>
      </c>
      <c r="C288" s="361" t="s">
        <v>461</v>
      </c>
      <c r="D288" s="465">
        <v>1</v>
      </c>
      <c r="E288" s="361" t="s">
        <v>5777</v>
      </c>
      <c r="F288" s="435" t="s">
        <v>4621</v>
      </c>
      <c r="G288" s="430">
        <v>43256</v>
      </c>
      <c r="H288" s="435">
        <f t="shared" ref="H288:H290" si="7">DATEDIF(G288,$G$6,"Y")</f>
        <v>7</v>
      </c>
      <c r="I288" s="361"/>
    </row>
    <row r="289" spans="1:9" s="364" customFormat="1" x14ac:dyDescent="0.25">
      <c r="A289" s="1119"/>
      <c r="B289" s="1120"/>
      <c r="C289" s="1120"/>
      <c r="D289" s="1121"/>
      <c r="E289" s="1120"/>
      <c r="F289" s="1122"/>
      <c r="G289" s="1123"/>
      <c r="H289" s="1122"/>
      <c r="I289" s="1120"/>
    </row>
    <row r="290" spans="1:9" s="364" customFormat="1" x14ac:dyDescent="0.25">
      <c r="A290" s="1119">
        <v>17831012</v>
      </c>
      <c r="B290" s="1120" t="s">
        <v>6630</v>
      </c>
      <c r="C290" s="1120" t="s">
        <v>6633</v>
      </c>
      <c r="D290" s="1121">
        <v>1</v>
      </c>
      <c r="E290" s="1120" t="s">
        <v>6634</v>
      </c>
      <c r="F290" s="1122" t="s">
        <v>4621</v>
      </c>
      <c r="G290" s="1123">
        <v>43590</v>
      </c>
      <c r="H290" s="435">
        <f t="shared" si="7"/>
        <v>6</v>
      </c>
      <c r="I290" s="1120"/>
    </row>
    <row r="291" spans="1:9" s="364" customFormat="1" x14ac:dyDescent="0.25">
      <c r="A291" s="1119"/>
      <c r="B291" s="1120"/>
      <c r="C291" s="1120"/>
      <c r="D291" s="1121"/>
      <c r="E291" s="1120"/>
      <c r="F291" s="1122"/>
      <c r="G291" s="1123"/>
      <c r="H291" s="1122"/>
      <c r="I291" s="1120"/>
    </row>
    <row r="292" spans="1:9" x14ac:dyDescent="0.25">
      <c r="A292" s="360">
        <v>17832396</v>
      </c>
      <c r="B292" s="361" t="s">
        <v>4850</v>
      </c>
      <c r="C292" s="361" t="s">
        <v>5239</v>
      </c>
      <c r="D292" s="465">
        <v>2</v>
      </c>
      <c r="E292" s="361" t="s">
        <v>5656</v>
      </c>
      <c r="F292" s="435" t="s">
        <v>4620</v>
      </c>
      <c r="G292" s="430">
        <v>41298</v>
      </c>
      <c r="H292" s="435">
        <f t="shared" ref="H292:H348" si="8">DATEDIF(G292,$G$6,"Y")</f>
        <v>12</v>
      </c>
      <c r="I292" s="361"/>
    </row>
    <row r="293" spans="1:9" x14ac:dyDescent="0.25">
      <c r="A293" s="360">
        <v>17832396</v>
      </c>
      <c r="B293" s="361" t="s">
        <v>4850</v>
      </c>
      <c r="C293" s="361"/>
      <c r="D293" s="465"/>
      <c r="E293" s="361" t="s">
        <v>5657</v>
      </c>
      <c r="F293" s="435" t="s">
        <v>4620</v>
      </c>
      <c r="G293" s="430">
        <v>41731</v>
      </c>
      <c r="H293" s="435">
        <f t="shared" si="8"/>
        <v>11</v>
      </c>
      <c r="I293" s="361"/>
    </row>
    <row r="294" spans="1:9" x14ac:dyDescent="0.25">
      <c r="A294" s="360">
        <v>17832396</v>
      </c>
      <c r="B294" s="361" t="s">
        <v>4850</v>
      </c>
      <c r="C294" s="361"/>
      <c r="D294" s="465"/>
      <c r="E294" s="361" t="s">
        <v>5658</v>
      </c>
      <c r="F294" s="435" t="s">
        <v>4620</v>
      </c>
      <c r="G294" s="430">
        <v>38223</v>
      </c>
      <c r="H294" s="435">
        <f t="shared" si="8"/>
        <v>21</v>
      </c>
      <c r="I294" s="361" t="s">
        <v>5774</v>
      </c>
    </row>
    <row r="295" spans="1:9" s="364" customFormat="1" x14ac:dyDescent="0.25">
      <c r="A295" s="1119"/>
      <c r="B295" s="1120"/>
      <c r="C295" s="1120"/>
      <c r="D295" s="1121"/>
      <c r="E295" s="1120"/>
      <c r="F295" s="1122"/>
      <c r="G295" s="1123"/>
      <c r="H295" s="1122"/>
      <c r="I295" s="1120"/>
    </row>
    <row r="296" spans="1:9" s="364" customFormat="1" x14ac:dyDescent="0.25">
      <c r="A296" s="1119">
        <v>18036203</v>
      </c>
      <c r="B296" s="1120" t="s">
        <v>6680</v>
      </c>
      <c r="C296" s="361" t="s">
        <v>5218</v>
      </c>
      <c r="D296" s="1121">
        <v>2</v>
      </c>
      <c r="E296" s="1120" t="s">
        <v>6682</v>
      </c>
      <c r="F296" s="1122" t="s">
        <v>4621</v>
      </c>
      <c r="G296" s="1123">
        <v>43900</v>
      </c>
      <c r="H296" s="435">
        <f t="shared" si="8"/>
        <v>5</v>
      </c>
      <c r="I296" s="1120"/>
    </row>
    <row r="297" spans="1:9" s="364" customFormat="1" x14ac:dyDescent="0.25">
      <c r="A297" s="1119">
        <v>18036203</v>
      </c>
      <c r="B297" s="1120" t="s">
        <v>6680</v>
      </c>
      <c r="C297" s="1120"/>
      <c r="D297" s="1121"/>
      <c r="E297" s="1120" t="s">
        <v>6683</v>
      </c>
      <c r="F297" s="1122" t="s">
        <v>4621</v>
      </c>
      <c r="G297" s="1123">
        <v>40425</v>
      </c>
      <c r="H297" s="1122">
        <f t="shared" si="8"/>
        <v>15</v>
      </c>
      <c r="I297" s="1120"/>
    </row>
    <row r="298" spans="1:9" x14ac:dyDescent="0.25">
      <c r="A298" s="360"/>
      <c r="B298" s="361"/>
      <c r="C298" s="361"/>
      <c r="D298" s="465"/>
      <c r="E298" s="361"/>
      <c r="F298" s="435"/>
      <c r="G298" s="430"/>
      <c r="H298" s="435"/>
      <c r="I298" s="361"/>
    </row>
    <row r="299" spans="1:9" x14ac:dyDescent="0.25">
      <c r="A299" s="360">
        <v>18095603</v>
      </c>
      <c r="B299" s="361" t="s">
        <v>4853</v>
      </c>
      <c r="C299" s="361" t="s">
        <v>5250</v>
      </c>
      <c r="D299" s="465">
        <v>1</v>
      </c>
      <c r="E299" s="361" t="s">
        <v>5659</v>
      </c>
      <c r="F299" s="435" t="s">
        <v>4620</v>
      </c>
      <c r="G299" s="430">
        <v>44355</v>
      </c>
      <c r="H299" s="435">
        <f t="shared" si="8"/>
        <v>4</v>
      </c>
      <c r="I299" s="361"/>
    </row>
    <row r="300" spans="1:9" x14ac:dyDescent="0.25">
      <c r="A300" s="360"/>
      <c r="B300" s="361"/>
      <c r="C300" s="361"/>
      <c r="D300" s="465"/>
      <c r="E300" s="361"/>
      <c r="F300" s="435"/>
      <c r="G300" s="430"/>
      <c r="H300" s="435"/>
      <c r="I300" s="361"/>
    </row>
    <row r="301" spans="1:9" s="364" customFormat="1" x14ac:dyDescent="0.25">
      <c r="A301" s="1119">
        <v>18096996</v>
      </c>
      <c r="B301" s="1120" t="s">
        <v>4680</v>
      </c>
      <c r="C301" s="1120" t="s">
        <v>6705</v>
      </c>
      <c r="D301" s="1121">
        <v>1</v>
      </c>
      <c r="E301" s="371" t="s">
        <v>5992</v>
      </c>
      <c r="F301" s="1122" t="s">
        <v>4621</v>
      </c>
      <c r="G301" s="1123">
        <v>41887</v>
      </c>
      <c r="H301" s="435">
        <f>DATEDIF(G301,$G$6,"Y")</f>
        <v>11</v>
      </c>
      <c r="I301" s="1120"/>
    </row>
    <row r="302" spans="1:9" s="364" customFormat="1" x14ac:dyDescent="0.25">
      <c r="A302" s="1119"/>
      <c r="B302" s="1120"/>
      <c r="C302" s="1120"/>
      <c r="D302" s="1121"/>
      <c r="E302" s="1120"/>
      <c r="F302" s="1122"/>
      <c r="G302" s="1123"/>
      <c r="H302" s="1122"/>
      <c r="I302" s="1120"/>
    </row>
    <row r="303" spans="1:9" s="364" customFormat="1" x14ac:dyDescent="0.25">
      <c r="A303" s="1119">
        <v>18097528</v>
      </c>
      <c r="B303" s="1120" t="s">
        <v>6693</v>
      </c>
      <c r="C303" s="361" t="s">
        <v>5218</v>
      </c>
      <c r="D303" s="1121">
        <v>2</v>
      </c>
      <c r="E303" s="1120" t="s">
        <v>6696</v>
      </c>
      <c r="F303" s="1122" t="s">
        <v>4620</v>
      </c>
      <c r="G303" s="1123">
        <v>43483</v>
      </c>
      <c r="H303" s="435">
        <f>DATEDIF(G303,$G$6,"Y")</f>
        <v>6</v>
      </c>
      <c r="I303" s="1120"/>
    </row>
    <row r="304" spans="1:9" s="364" customFormat="1" x14ac:dyDescent="0.25">
      <c r="A304" s="1119">
        <v>18097528</v>
      </c>
      <c r="B304" s="1120" t="s">
        <v>6693</v>
      </c>
      <c r="C304" s="1120"/>
      <c r="D304" s="1121"/>
      <c r="E304" s="1120" t="s">
        <v>6697</v>
      </c>
      <c r="F304" s="1122" t="s">
        <v>4620</v>
      </c>
      <c r="G304" s="1123">
        <v>44982</v>
      </c>
      <c r="H304" s="435">
        <f>DATEDIF(G304,$G$6,"Y")</f>
        <v>2</v>
      </c>
      <c r="I304" s="1120"/>
    </row>
    <row r="305" spans="1:9" s="364" customFormat="1" x14ac:dyDescent="0.25">
      <c r="A305" s="360"/>
      <c r="B305" s="361"/>
      <c r="C305" s="361"/>
      <c r="D305" s="465"/>
      <c r="E305" s="361" t="s">
        <v>2904</v>
      </c>
      <c r="F305" s="435"/>
      <c r="G305" s="430"/>
      <c r="H305" s="435"/>
      <c r="I305" s="361"/>
    </row>
    <row r="306" spans="1:9" x14ac:dyDescent="0.25">
      <c r="A306" s="360">
        <v>18097873</v>
      </c>
      <c r="B306" s="361" t="s">
        <v>4855</v>
      </c>
      <c r="C306" s="361" t="s">
        <v>5218</v>
      </c>
      <c r="D306" s="465">
        <v>2</v>
      </c>
      <c r="E306" s="361" t="s">
        <v>5660</v>
      </c>
      <c r="F306" s="435" t="s">
        <v>4620</v>
      </c>
      <c r="G306" s="430">
        <v>39687</v>
      </c>
      <c r="H306" s="435">
        <f t="shared" si="8"/>
        <v>17</v>
      </c>
      <c r="I306" s="361"/>
    </row>
    <row r="307" spans="1:9" x14ac:dyDescent="0.25">
      <c r="A307" s="360">
        <v>18097873</v>
      </c>
      <c r="B307" s="361" t="s">
        <v>4855</v>
      </c>
      <c r="C307" s="361"/>
      <c r="D307" s="465"/>
      <c r="E307" s="361" t="s">
        <v>5661</v>
      </c>
      <c r="F307" s="435" t="s">
        <v>4620</v>
      </c>
      <c r="G307" s="430">
        <v>40358</v>
      </c>
      <c r="H307" s="435">
        <f t="shared" si="8"/>
        <v>15</v>
      </c>
      <c r="I307" s="361"/>
    </row>
    <row r="308" spans="1:9" x14ac:dyDescent="0.25">
      <c r="A308" s="360">
        <v>18097873</v>
      </c>
      <c r="B308" s="361" t="s">
        <v>4855</v>
      </c>
      <c r="C308" s="361"/>
      <c r="D308" s="465"/>
      <c r="E308" s="361" t="s">
        <v>5662</v>
      </c>
      <c r="F308" s="435" t="s">
        <v>4621</v>
      </c>
      <c r="G308" s="430">
        <v>41222</v>
      </c>
      <c r="H308" s="435">
        <f t="shared" si="8"/>
        <v>12</v>
      </c>
      <c r="I308" s="361"/>
    </row>
    <row r="309" spans="1:9" x14ac:dyDescent="0.25">
      <c r="A309" s="360"/>
      <c r="B309" s="361"/>
      <c r="C309" s="361"/>
      <c r="D309" s="465"/>
      <c r="E309" s="361"/>
      <c r="F309" s="435"/>
      <c r="G309" s="430"/>
      <c r="H309" s="435"/>
      <c r="I309" s="361"/>
    </row>
    <row r="310" spans="1:9" x14ac:dyDescent="0.25">
      <c r="A310" s="360">
        <v>18348317</v>
      </c>
      <c r="B310" s="361" t="s">
        <v>4856</v>
      </c>
      <c r="C310" s="361" t="s">
        <v>5224</v>
      </c>
      <c r="D310" s="465">
        <v>1</v>
      </c>
      <c r="E310" s="361" t="s">
        <v>5663</v>
      </c>
      <c r="F310" s="435" t="s">
        <v>4620</v>
      </c>
      <c r="G310" s="430">
        <v>39623</v>
      </c>
      <c r="H310" s="435">
        <f t="shared" si="8"/>
        <v>17</v>
      </c>
      <c r="I310" s="361"/>
    </row>
    <row r="311" spans="1:9" x14ac:dyDescent="0.25">
      <c r="A311" s="360"/>
      <c r="B311" s="361"/>
      <c r="C311" s="361"/>
      <c r="D311" s="465"/>
      <c r="E311" s="361"/>
      <c r="F311" s="435"/>
      <c r="G311" s="430"/>
      <c r="H311" s="435"/>
      <c r="I311" s="361"/>
    </row>
    <row r="312" spans="1:9" x14ac:dyDescent="0.25">
      <c r="A312" s="360">
        <v>18348721</v>
      </c>
      <c r="B312" s="361" t="s">
        <v>4857</v>
      </c>
      <c r="C312" s="361" t="s">
        <v>5250</v>
      </c>
      <c r="D312" s="465">
        <v>2</v>
      </c>
      <c r="E312" s="361" t="s">
        <v>5664</v>
      </c>
      <c r="F312" s="435" t="s">
        <v>4620</v>
      </c>
      <c r="G312" s="430">
        <v>41679</v>
      </c>
      <c r="H312" s="435">
        <f t="shared" si="8"/>
        <v>11</v>
      </c>
      <c r="I312" s="361"/>
    </row>
    <row r="313" spans="1:9" s="364" customFormat="1" x14ac:dyDescent="0.25">
      <c r="A313" s="360">
        <v>18348721</v>
      </c>
      <c r="B313" s="361" t="s">
        <v>4857</v>
      </c>
      <c r="C313" s="371"/>
      <c r="D313" s="465"/>
      <c r="E313" s="361" t="s">
        <v>5958</v>
      </c>
      <c r="F313" s="442" t="s">
        <v>4621</v>
      </c>
      <c r="G313" s="430">
        <v>44105</v>
      </c>
      <c r="H313" s="435">
        <f t="shared" ref="H313" si="9">DATEDIF(G313,$G$6,"Y")</f>
        <v>4</v>
      </c>
      <c r="I313" s="371"/>
    </row>
    <row r="314" spans="1:9" s="364" customFormat="1" x14ac:dyDescent="0.25">
      <c r="A314" s="370"/>
      <c r="B314" s="371"/>
      <c r="C314" s="371"/>
      <c r="D314" s="892"/>
      <c r="E314" s="371"/>
      <c r="F314" s="442"/>
      <c r="G314" s="431"/>
      <c r="H314" s="442"/>
      <c r="I314" s="371"/>
    </row>
    <row r="315" spans="1:9" x14ac:dyDescent="0.25">
      <c r="A315" s="360">
        <v>18349021</v>
      </c>
      <c r="B315" s="361" t="s">
        <v>4858</v>
      </c>
      <c r="C315" s="361" t="s">
        <v>5218</v>
      </c>
      <c r="D315" s="465">
        <v>1</v>
      </c>
      <c r="E315" s="361" t="s">
        <v>6027</v>
      </c>
      <c r="F315" s="435" t="s">
        <v>4621</v>
      </c>
      <c r="G315" s="430">
        <v>41408</v>
      </c>
      <c r="H315" s="435">
        <f t="shared" si="8"/>
        <v>12</v>
      </c>
      <c r="I315" s="361"/>
    </row>
    <row r="316" spans="1:9" s="364" customFormat="1" x14ac:dyDescent="0.25">
      <c r="A316" s="1119"/>
      <c r="B316" s="1120"/>
      <c r="C316" s="1120"/>
      <c r="D316" s="1121"/>
      <c r="E316" s="1120"/>
      <c r="F316" s="1122"/>
      <c r="G316" s="1123"/>
      <c r="H316" s="1122"/>
      <c r="I316" s="1120"/>
    </row>
    <row r="317" spans="1:9" s="364" customFormat="1" x14ac:dyDescent="0.25">
      <c r="A317" s="1119">
        <v>18349409</v>
      </c>
      <c r="B317" s="1120" t="s">
        <v>7608</v>
      </c>
      <c r="C317" s="1120" t="s">
        <v>5218</v>
      </c>
      <c r="D317" s="1121">
        <v>1</v>
      </c>
      <c r="E317" s="1120" t="s">
        <v>7610</v>
      </c>
      <c r="F317" s="435" t="s">
        <v>4620</v>
      </c>
      <c r="G317" s="430">
        <v>43435</v>
      </c>
      <c r="H317" s="435">
        <f>DATEDIF(G317,$G$6,"Y")</f>
        <v>6</v>
      </c>
      <c r="I317" s="1120"/>
    </row>
    <row r="318" spans="1:9" s="364" customFormat="1" x14ac:dyDescent="0.25">
      <c r="A318" s="1119"/>
      <c r="B318" s="1120"/>
      <c r="C318" s="1120"/>
      <c r="D318" s="1121"/>
      <c r="E318" s="1120"/>
      <c r="F318" s="1122"/>
      <c r="G318" s="1123"/>
      <c r="H318" s="1122"/>
      <c r="I318" s="1120"/>
    </row>
    <row r="319" spans="1:9" s="364" customFormat="1" x14ac:dyDescent="0.25">
      <c r="A319" s="1119">
        <v>18349653</v>
      </c>
      <c r="B319" s="1120" t="s">
        <v>7234</v>
      </c>
      <c r="C319" s="361" t="s">
        <v>5218</v>
      </c>
      <c r="D319" s="465">
        <v>2</v>
      </c>
      <c r="E319" s="361" t="s">
        <v>7236</v>
      </c>
      <c r="F319" s="435" t="s">
        <v>4621</v>
      </c>
      <c r="G319" s="430">
        <v>39945</v>
      </c>
      <c r="H319" s="435">
        <f t="shared" ref="H319" si="10">DATEDIF(G319,$G$6,"Y")</f>
        <v>16</v>
      </c>
      <c r="I319" s="1120"/>
    </row>
    <row r="320" spans="1:9" s="364" customFormat="1" x14ac:dyDescent="0.25">
      <c r="A320" s="1119"/>
      <c r="B320" s="1120"/>
      <c r="C320" s="1120"/>
      <c r="D320" s="1121"/>
      <c r="E320" s="361" t="s">
        <v>7237</v>
      </c>
      <c r="F320" s="435" t="s">
        <v>4620</v>
      </c>
      <c r="G320" s="430">
        <v>44147</v>
      </c>
      <c r="H320" s="435">
        <f t="shared" ref="H320" si="11">DATEDIF(G320,$G$6,"Y")</f>
        <v>4</v>
      </c>
      <c r="I320" s="1120"/>
    </row>
    <row r="321" spans="1:9" s="364" customFormat="1" x14ac:dyDescent="0.25">
      <c r="A321" s="1119"/>
      <c r="B321" s="1120"/>
      <c r="C321" s="1120"/>
      <c r="D321" s="1121"/>
      <c r="E321" s="1120"/>
      <c r="F321" s="1122"/>
      <c r="G321" s="1123"/>
      <c r="H321" s="1122"/>
      <c r="I321" s="1120"/>
    </row>
    <row r="322" spans="1:9" s="364" customFormat="1" x14ac:dyDescent="0.25">
      <c r="A322" s="1119">
        <v>18350884</v>
      </c>
      <c r="B322" s="1119" t="s">
        <v>6652</v>
      </c>
      <c r="C322" s="361" t="s">
        <v>5218</v>
      </c>
      <c r="D322" s="1121">
        <v>1</v>
      </c>
      <c r="E322" s="1120" t="s">
        <v>6653</v>
      </c>
      <c r="F322" s="1122" t="s">
        <v>4620</v>
      </c>
      <c r="G322" s="1123">
        <v>41089</v>
      </c>
      <c r="H322" s="435">
        <f t="shared" si="8"/>
        <v>13</v>
      </c>
      <c r="I322" s="1120"/>
    </row>
    <row r="323" spans="1:9" x14ac:dyDescent="0.25">
      <c r="A323" s="360"/>
      <c r="B323" s="361"/>
      <c r="C323" s="361"/>
      <c r="D323" s="465"/>
      <c r="E323" s="361" t="s">
        <v>2904</v>
      </c>
      <c r="F323" s="435"/>
      <c r="G323" s="430"/>
      <c r="H323" s="435"/>
      <c r="I323" s="361"/>
    </row>
    <row r="324" spans="1:9" x14ac:dyDescent="0.25">
      <c r="A324" s="360">
        <v>18378985</v>
      </c>
      <c r="B324" s="361" t="s">
        <v>4860</v>
      </c>
      <c r="C324" s="361" t="s">
        <v>5230</v>
      </c>
      <c r="D324" s="465">
        <v>2</v>
      </c>
      <c r="E324" s="361" t="s">
        <v>5665</v>
      </c>
      <c r="F324" s="435" t="s">
        <v>4620</v>
      </c>
      <c r="G324" s="430">
        <v>41659</v>
      </c>
      <c r="H324" s="435">
        <f t="shared" si="8"/>
        <v>11</v>
      </c>
      <c r="I324" s="361"/>
    </row>
    <row r="325" spans="1:9" s="364" customFormat="1" x14ac:dyDescent="0.25">
      <c r="A325" s="1119"/>
      <c r="B325" s="1120"/>
      <c r="C325" s="1120"/>
      <c r="D325" s="1121"/>
      <c r="E325" s="1120" t="s">
        <v>7623</v>
      </c>
      <c r="F325" s="1122" t="s">
        <v>4620</v>
      </c>
      <c r="G325" s="1123">
        <v>45817</v>
      </c>
      <c r="H325" s="435">
        <f t="shared" si="8"/>
        <v>0</v>
      </c>
      <c r="I325" s="1120"/>
    </row>
    <row r="326" spans="1:9" x14ac:dyDescent="0.25">
      <c r="A326" s="360"/>
      <c r="B326" s="361"/>
      <c r="C326" s="361"/>
      <c r="D326" s="465"/>
      <c r="E326" s="361" t="s">
        <v>2904</v>
      </c>
      <c r="F326" s="435"/>
      <c r="G326" s="430"/>
      <c r="H326" s="435"/>
      <c r="I326" s="361"/>
    </row>
    <row r="327" spans="1:9" x14ac:dyDescent="0.25">
      <c r="A327" s="360">
        <v>18458012</v>
      </c>
      <c r="B327" s="361" t="s">
        <v>4863</v>
      </c>
      <c r="C327" s="361" t="s">
        <v>5215</v>
      </c>
      <c r="D327" s="465">
        <v>2</v>
      </c>
      <c r="E327" s="361" t="s">
        <v>6031</v>
      </c>
      <c r="F327" s="435" t="s">
        <v>4620</v>
      </c>
      <c r="G327" s="430">
        <v>41842</v>
      </c>
      <c r="H327" s="435">
        <f t="shared" si="8"/>
        <v>11</v>
      </c>
      <c r="I327" s="361"/>
    </row>
    <row r="328" spans="1:9" x14ac:dyDescent="0.25">
      <c r="A328" s="360">
        <v>18458012</v>
      </c>
      <c r="B328" s="361" t="s">
        <v>4863</v>
      </c>
      <c r="C328" s="361"/>
      <c r="D328" s="465"/>
      <c r="E328" s="361" t="s">
        <v>6032</v>
      </c>
      <c r="F328" s="435" t="s">
        <v>4620</v>
      </c>
      <c r="G328" s="430">
        <v>41013</v>
      </c>
      <c r="H328" s="435">
        <f t="shared" si="8"/>
        <v>13</v>
      </c>
      <c r="I328" s="361"/>
    </row>
    <row r="329" spans="1:9" s="364" customFormat="1" x14ac:dyDescent="0.25">
      <c r="A329" s="1119"/>
      <c r="B329" s="1120"/>
      <c r="C329" s="1120"/>
      <c r="D329" s="1121"/>
      <c r="E329" s="1120"/>
      <c r="F329" s="1122"/>
      <c r="G329" s="1123"/>
      <c r="H329" s="1122"/>
      <c r="I329" s="1120"/>
    </row>
    <row r="330" spans="1:9" x14ac:dyDescent="0.25">
      <c r="A330" s="360"/>
      <c r="B330" s="361"/>
      <c r="C330" s="361"/>
      <c r="D330" s="465"/>
      <c r="E330" s="361"/>
      <c r="F330" s="435"/>
      <c r="G330" s="430"/>
      <c r="H330" s="435"/>
      <c r="I330" s="361"/>
    </row>
    <row r="331" spans="1:9" x14ac:dyDescent="0.25">
      <c r="A331" s="360">
        <v>18801597</v>
      </c>
      <c r="B331" s="361" t="s">
        <v>4865</v>
      </c>
      <c r="C331" s="361" t="s">
        <v>5224</v>
      </c>
      <c r="D331" s="465">
        <v>2</v>
      </c>
      <c r="E331" s="361" t="s">
        <v>5666</v>
      </c>
      <c r="F331" s="435" t="s">
        <v>4620</v>
      </c>
      <c r="G331" s="430">
        <v>39254</v>
      </c>
      <c r="H331" s="435">
        <f t="shared" si="8"/>
        <v>18</v>
      </c>
      <c r="I331" s="361" t="s">
        <v>5730</v>
      </c>
    </row>
    <row r="332" spans="1:9" x14ac:dyDescent="0.25">
      <c r="A332" s="360">
        <v>18801597</v>
      </c>
      <c r="B332" s="361" t="s">
        <v>4865</v>
      </c>
      <c r="C332" s="361"/>
      <c r="D332" s="465"/>
      <c r="E332" s="361" t="s">
        <v>5667</v>
      </c>
      <c r="F332" s="435" t="s">
        <v>4620</v>
      </c>
      <c r="G332" s="430">
        <v>41366</v>
      </c>
      <c r="H332" s="435">
        <f t="shared" si="8"/>
        <v>12</v>
      </c>
      <c r="I332" s="361"/>
    </row>
    <row r="333" spans="1:9" s="364" customFormat="1" x14ac:dyDescent="0.25">
      <c r="A333" s="1119"/>
      <c r="B333" s="1120"/>
      <c r="C333" s="1120"/>
      <c r="D333" s="1121"/>
      <c r="E333" s="1120" t="s">
        <v>6708</v>
      </c>
      <c r="F333" s="1122" t="s">
        <v>4620</v>
      </c>
      <c r="G333" s="1123">
        <v>45414</v>
      </c>
      <c r="H333" s="435">
        <f t="shared" si="8"/>
        <v>1</v>
      </c>
      <c r="I333" s="1120"/>
    </row>
    <row r="334" spans="1:9" x14ac:dyDescent="0.25">
      <c r="A334" s="360"/>
      <c r="B334" s="361"/>
      <c r="C334" s="361"/>
      <c r="D334" s="465"/>
      <c r="E334" s="361"/>
      <c r="F334" s="435"/>
      <c r="G334" s="430"/>
      <c r="H334" s="435"/>
      <c r="I334" s="361"/>
    </row>
    <row r="335" spans="1:9" x14ac:dyDescent="0.25">
      <c r="A335" s="360">
        <v>18802405</v>
      </c>
      <c r="B335" s="361" t="s">
        <v>4866</v>
      </c>
      <c r="C335" s="361" t="s">
        <v>5218</v>
      </c>
      <c r="D335" s="465">
        <v>2</v>
      </c>
      <c r="E335" s="361" t="s">
        <v>5668</v>
      </c>
      <c r="F335" s="435" t="s">
        <v>4620</v>
      </c>
      <c r="G335" s="430">
        <v>42499</v>
      </c>
      <c r="H335" s="435">
        <f t="shared" si="8"/>
        <v>9</v>
      </c>
      <c r="I335" s="361"/>
    </row>
    <row r="336" spans="1:9" s="364" customFormat="1" x14ac:dyDescent="0.25">
      <c r="A336" s="360">
        <v>18802405</v>
      </c>
      <c r="B336" s="361" t="s">
        <v>4866</v>
      </c>
      <c r="C336" s="916"/>
      <c r="D336" s="917"/>
      <c r="E336" s="361" t="s">
        <v>5966</v>
      </c>
      <c r="F336" s="435" t="s">
        <v>4621</v>
      </c>
      <c r="G336" s="430">
        <v>45238</v>
      </c>
      <c r="H336" s="435">
        <f t="shared" si="8"/>
        <v>1</v>
      </c>
      <c r="I336" s="916"/>
    </row>
    <row r="337" spans="1:9" x14ac:dyDescent="0.25">
      <c r="A337" s="360"/>
      <c r="B337" s="361"/>
      <c r="C337" s="361"/>
      <c r="D337" s="465"/>
      <c r="E337" s="361"/>
      <c r="F337" s="435"/>
      <c r="G337" s="430"/>
      <c r="H337" s="435"/>
      <c r="I337" s="361"/>
    </row>
    <row r="338" spans="1:9" x14ac:dyDescent="0.25">
      <c r="A338" s="360">
        <v>19101647</v>
      </c>
      <c r="B338" s="361" t="s">
        <v>4867</v>
      </c>
      <c r="C338" s="361" t="s">
        <v>5218</v>
      </c>
      <c r="D338" s="465">
        <v>2</v>
      </c>
      <c r="E338" s="361" t="s">
        <v>5669</v>
      </c>
      <c r="F338" s="435" t="s">
        <v>4620</v>
      </c>
      <c r="G338" s="430">
        <v>39633</v>
      </c>
      <c r="H338" s="435">
        <f t="shared" si="8"/>
        <v>17</v>
      </c>
      <c r="I338" s="361"/>
    </row>
    <row r="339" spans="1:9" x14ac:dyDescent="0.25">
      <c r="A339" s="360">
        <v>19101647</v>
      </c>
      <c r="B339" s="361" t="s">
        <v>4867</v>
      </c>
      <c r="C339" s="361"/>
      <c r="D339" s="465"/>
      <c r="E339" s="361" t="s">
        <v>5670</v>
      </c>
      <c r="F339" s="435" t="s">
        <v>4620</v>
      </c>
      <c r="G339" s="430">
        <v>41541</v>
      </c>
      <c r="H339" s="435">
        <f t="shared" si="8"/>
        <v>12</v>
      </c>
      <c r="I339" s="361"/>
    </row>
    <row r="340" spans="1:9" x14ac:dyDescent="0.25">
      <c r="A340" s="360"/>
      <c r="B340" s="361"/>
      <c r="C340" s="361"/>
      <c r="D340" s="465"/>
      <c r="E340" s="361"/>
      <c r="F340" s="435"/>
      <c r="G340" s="430"/>
      <c r="H340" s="435"/>
      <c r="I340" s="361"/>
    </row>
    <row r="341" spans="1:9" x14ac:dyDescent="0.25">
      <c r="A341" s="360">
        <v>19103118</v>
      </c>
      <c r="B341" s="361" t="s">
        <v>4869</v>
      </c>
      <c r="C341" s="361" t="s">
        <v>5220</v>
      </c>
      <c r="D341" s="465">
        <v>1</v>
      </c>
      <c r="E341" s="361" t="s">
        <v>6033</v>
      </c>
      <c r="F341" s="435" t="s">
        <v>4621</v>
      </c>
      <c r="G341" s="430">
        <v>39286</v>
      </c>
      <c r="H341" s="435">
        <f t="shared" si="8"/>
        <v>18</v>
      </c>
      <c r="I341" s="361" t="s">
        <v>5730</v>
      </c>
    </row>
    <row r="342" spans="1:9" x14ac:dyDescent="0.25">
      <c r="A342" s="360">
        <v>19103118</v>
      </c>
      <c r="B342" s="361" t="s">
        <v>4869</v>
      </c>
      <c r="C342" s="361"/>
      <c r="D342" s="465"/>
      <c r="E342" s="361" t="s">
        <v>6034</v>
      </c>
      <c r="F342" s="435" t="s">
        <v>4621</v>
      </c>
      <c r="G342" s="430">
        <v>44153</v>
      </c>
      <c r="H342" s="435">
        <f t="shared" si="8"/>
        <v>4</v>
      </c>
      <c r="I342" s="361"/>
    </row>
    <row r="343" spans="1:9" x14ac:dyDescent="0.25">
      <c r="A343" s="360"/>
      <c r="B343" s="361"/>
      <c r="C343" s="361"/>
      <c r="D343" s="465"/>
      <c r="E343" s="361"/>
      <c r="F343" s="435"/>
      <c r="G343" s="430"/>
      <c r="H343" s="435"/>
      <c r="I343" s="361"/>
    </row>
    <row r="344" spans="1:9" x14ac:dyDescent="0.25">
      <c r="A344" s="360">
        <v>19103604</v>
      </c>
      <c r="B344" s="361" t="s">
        <v>4870</v>
      </c>
      <c r="C344" s="361" t="s">
        <v>5215</v>
      </c>
      <c r="D344" s="465">
        <v>2</v>
      </c>
      <c r="E344" s="361" t="s">
        <v>5671</v>
      </c>
      <c r="F344" s="435" t="s">
        <v>4621</v>
      </c>
      <c r="G344" s="430">
        <v>44130</v>
      </c>
      <c r="H344" s="435">
        <f t="shared" si="8"/>
        <v>4</v>
      </c>
      <c r="I344" s="361"/>
    </row>
    <row r="345" spans="1:9" x14ac:dyDescent="0.25">
      <c r="A345" s="360">
        <v>19103604</v>
      </c>
      <c r="B345" s="361" t="s">
        <v>4870</v>
      </c>
      <c r="C345" s="361"/>
      <c r="D345" s="465"/>
      <c r="E345" s="361" t="s">
        <v>5672</v>
      </c>
      <c r="F345" s="435" t="s">
        <v>4620</v>
      </c>
      <c r="G345" s="430">
        <v>42129</v>
      </c>
      <c r="H345" s="435">
        <f t="shared" si="8"/>
        <v>10</v>
      </c>
      <c r="I345" s="361"/>
    </row>
    <row r="346" spans="1:9" x14ac:dyDescent="0.25">
      <c r="A346" s="360"/>
      <c r="B346" s="361"/>
      <c r="C346" s="361"/>
      <c r="D346" s="465"/>
      <c r="E346" s="361"/>
      <c r="F346" s="435"/>
      <c r="G346" s="430"/>
      <c r="H346" s="435"/>
      <c r="I346" s="361"/>
    </row>
    <row r="347" spans="1:9" x14ac:dyDescent="0.25">
      <c r="A347" s="360">
        <v>19103823</v>
      </c>
      <c r="B347" s="364" t="s">
        <v>7276</v>
      </c>
      <c r="C347" s="361" t="s">
        <v>5224</v>
      </c>
      <c r="D347" s="465">
        <v>1</v>
      </c>
      <c r="E347" s="361" t="s">
        <v>5673</v>
      </c>
      <c r="F347" s="435" t="s">
        <v>4621</v>
      </c>
      <c r="G347" s="430">
        <v>38737</v>
      </c>
      <c r="H347" s="435">
        <f t="shared" si="8"/>
        <v>19</v>
      </c>
      <c r="I347" s="361" t="s">
        <v>5774</v>
      </c>
    </row>
    <row r="348" spans="1:9" x14ac:dyDescent="0.25">
      <c r="A348" s="360">
        <v>19103823</v>
      </c>
      <c r="B348" s="364" t="s">
        <v>7276</v>
      </c>
      <c r="C348" s="361"/>
      <c r="D348" s="465"/>
      <c r="E348" s="361" t="s">
        <v>6035</v>
      </c>
      <c r="F348" s="435" t="s">
        <v>4620</v>
      </c>
      <c r="G348" s="430">
        <v>44701</v>
      </c>
      <c r="H348" s="435">
        <f t="shared" si="8"/>
        <v>3</v>
      </c>
      <c r="I348" s="361"/>
    </row>
    <row r="349" spans="1:9" x14ac:dyDescent="0.25">
      <c r="A349" s="360"/>
      <c r="B349" s="361"/>
      <c r="C349" s="361"/>
      <c r="D349" s="465"/>
      <c r="E349" s="361"/>
      <c r="F349" s="435"/>
      <c r="G349" s="430"/>
      <c r="H349" s="435"/>
      <c r="I349" s="361"/>
    </row>
    <row r="350" spans="1:9" x14ac:dyDescent="0.25">
      <c r="A350" s="360">
        <v>19286780</v>
      </c>
      <c r="B350" s="361" t="s">
        <v>4874</v>
      </c>
      <c r="C350" s="361" t="s">
        <v>5215</v>
      </c>
      <c r="D350" s="465">
        <v>2</v>
      </c>
      <c r="E350" s="361" t="s">
        <v>5674</v>
      </c>
      <c r="F350" s="435" t="s">
        <v>4620</v>
      </c>
      <c r="G350" s="430">
        <v>39096</v>
      </c>
      <c r="H350" s="435">
        <f t="shared" ref="H350:H412" si="12">DATEDIF(G350,$G$6,"Y")</f>
        <v>18</v>
      </c>
      <c r="I350" s="361" t="s">
        <v>5774</v>
      </c>
    </row>
    <row r="351" spans="1:9" x14ac:dyDescent="0.25">
      <c r="A351" s="360">
        <v>19286780</v>
      </c>
      <c r="B351" s="361" t="s">
        <v>4874</v>
      </c>
      <c r="C351" s="361"/>
      <c r="D351" s="465"/>
      <c r="E351" s="361" t="s">
        <v>5675</v>
      </c>
      <c r="F351" s="435" t="s">
        <v>4620</v>
      </c>
      <c r="G351" s="430">
        <v>40681</v>
      </c>
      <c r="H351" s="435">
        <f t="shared" si="12"/>
        <v>14</v>
      </c>
      <c r="I351" s="361"/>
    </row>
    <row r="352" spans="1:9" x14ac:dyDescent="0.25">
      <c r="A352" s="360">
        <v>19286780</v>
      </c>
      <c r="B352" s="361" t="s">
        <v>4874</v>
      </c>
      <c r="C352" s="361"/>
      <c r="D352" s="465"/>
      <c r="E352" s="361" t="s">
        <v>5676</v>
      </c>
      <c r="F352" s="435" t="s">
        <v>4620</v>
      </c>
      <c r="G352" s="430">
        <v>42164</v>
      </c>
      <c r="H352" s="435">
        <f t="shared" si="12"/>
        <v>10</v>
      </c>
      <c r="I352" s="361"/>
    </row>
    <row r="353" spans="1:9" x14ac:dyDescent="0.25">
      <c r="A353" s="360"/>
      <c r="B353" s="361"/>
      <c r="C353" s="361"/>
      <c r="D353" s="465"/>
      <c r="E353" s="361"/>
      <c r="F353" s="435"/>
      <c r="G353" s="430"/>
      <c r="H353" s="435"/>
      <c r="I353" s="361"/>
    </row>
    <row r="354" spans="1:9" x14ac:dyDescent="0.25">
      <c r="A354" s="360">
        <v>19287100</v>
      </c>
      <c r="B354" s="361" t="s">
        <v>4875</v>
      </c>
      <c r="C354" s="361" t="s">
        <v>5220</v>
      </c>
      <c r="D354" s="465">
        <v>2</v>
      </c>
      <c r="E354" s="361" t="s">
        <v>6036</v>
      </c>
      <c r="F354" s="435" t="s">
        <v>4620</v>
      </c>
      <c r="G354" s="430">
        <v>39604</v>
      </c>
      <c r="H354" s="435">
        <f t="shared" si="12"/>
        <v>17</v>
      </c>
      <c r="I354" s="361"/>
    </row>
    <row r="355" spans="1:9" x14ac:dyDescent="0.25">
      <c r="A355" s="360">
        <v>19287100</v>
      </c>
      <c r="B355" s="361" t="s">
        <v>4875</v>
      </c>
      <c r="C355" s="361"/>
      <c r="D355" s="465"/>
      <c r="E355" s="361" t="s">
        <v>6037</v>
      </c>
      <c r="F355" s="435" t="s">
        <v>4621</v>
      </c>
      <c r="G355" s="430">
        <v>40431</v>
      </c>
      <c r="H355" s="435">
        <f t="shared" si="12"/>
        <v>15</v>
      </c>
      <c r="I355" s="361"/>
    </row>
    <row r="356" spans="1:9" s="364" customFormat="1" x14ac:dyDescent="0.25">
      <c r="A356" s="1119"/>
      <c r="B356" s="1120"/>
      <c r="C356" s="1120"/>
      <c r="D356" s="1121"/>
      <c r="E356" s="1120"/>
      <c r="F356" s="1122"/>
      <c r="G356" s="1123"/>
      <c r="H356" s="1122"/>
      <c r="I356" s="1120"/>
    </row>
    <row r="357" spans="1:9" x14ac:dyDescent="0.25">
      <c r="A357" s="360">
        <v>19610534</v>
      </c>
      <c r="B357" s="361" t="s">
        <v>4876</v>
      </c>
      <c r="C357" s="361" t="s">
        <v>5218</v>
      </c>
      <c r="D357" s="465">
        <v>1</v>
      </c>
      <c r="E357" s="361" t="s">
        <v>6038</v>
      </c>
      <c r="F357" s="435" t="s">
        <v>4621</v>
      </c>
      <c r="G357" s="430">
        <v>43351</v>
      </c>
      <c r="H357" s="435">
        <f t="shared" si="12"/>
        <v>7</v>
      </c>
      <c r="I357" s="361"/>
    </row>
    <row r="358" spans="1:9" x14ac:dyDescent="0.25">
      <c r="A358" s="360"/>
      <c r="B358" s="361"/>
      <c r="C358" s="361"/>
      <c r="D358" s="465"/>
      <c r="E358" s="361" t="s">
        <v>2904</v>
      </c>
      <c r="F358" s="435"/>
      <c r="G358" s="430"/>
      <c r="H358" s="435"/>
      <c r="I358" s="361"/>
    </row>
    <row r="359" spans="1:9" x14ac:dyDescent="0.25">
      <c r="A359" s="360">
        <v>19610565</v>
      </c>
      <c r="B359" s="361" t="s">
        <v>4877</v>
      </c>
      <c r="C359" s="361" t="s">
        <v>5218</v>
      </c>
      <c r="D359" s="465">
        <v>2</v>
      </c>
      <c r="E359" s="361" t="s">
        <v>6039</v>
      </c>
      <c r="F359" s="435" t="s">
        <v>4621</v>
      </c>
      <c r="G359" s="430">
        <v>44441</v>
      </c>
      <c r="H359" s="435">
        <f t="shared" si="12"/>
        <v>4</v>
      </c>
      <c r="I359" s="361"/>
    </row>
    <row r="360" spans="1:9" x14ac:dyDescent="0.25">
      <c r="A360" s="360">
        <v>19610565</v>
      </c>
      <c r="B360" s="361" t="s">
        <v>4877</v>
      </c>
      <c r="C360" s="361"/>
      <c r="D360" s="465"/>
      <c r="E360" s="361" t="s">
        <v>6040</v>
      </c>
      <c r="F360" s="435" t="s">
        <v>4620</v>
      </c>
      <c r="G360" s="430">
        <v>43215</v>
      </c>
      <c r="H360" s="435">
        <f t="shared" si="12"/>
        <v>7</v>
      </c>
      <c r="I360" s="361"/>
    </row>
    <row r="361" spans="1:9" x14ac:dyDescent="0.25">
      <c r="A361" s="360"/>
      <c r="B361" s="361"/>
      <c r="C361" s="361"/>
      <c r="D361" s="465"/>
      <c r="E361" s="361"/>
      <c r="F361" s="435"/>
      <c r="G361" s="430"/>
      <c r="H361" s="435"/>
      <c r="I361" s="361"/>
    </row>
    <row r="362" spans="1:9" x14ac:dyDescent="0.25">
      <c r="A362" s="360">
        <v>19643405</v>
      </c>
      <c r="B362" s="361" t="s">
        <v>4879</v>
      </c>
      <c r="C362" s="361" t="s">
        <v>5217</v>
      </c>
      <c r="D362" s="465">
        <v>1</v>
      </c>
      <c r="E362" s="361" t="s">
        <v>5677</v>
      </c>
      <c r="F362" s="435" t="s">
        <v>4620</v>
      </c>
      <c r="G362" s="430">
        <v>40765</v>
      </c>
      <c r="H362" s="435">
        <f t="shared" si="12"/>
        <v>14</v>
      </c>
      <c r="I362" s="361"/>
    </row>
    <row r="363" spans="1:9" s="364" customFormat="1" x14ac:dyDescent="0.25">
      <c r="A363" s="1119"/>
      <c r="B363" s="1120"/>
      <c r="C363" s="1120"/>
      <c r="D363" s="1121"/>
      <c r="E363" s="1120"/>
      <c r="F363" s="1122"/>
      <c r="G363" s="1123"/>
      <c r="H363" s="1122"/>
      <c r="I363" s="1120"/>
    </row>
    <row r="364" spans="1:9" s="364" customFormat="1" x14ac:dyDescent="0.25">
      <c r="A364" s="1119">
        <v>19643806</v>
      </c>
      <c r="B364" s="1120" t="s">
        <v>6670</v>
      </c>
      <c r="C364" s="361" t="s">
        <v>5215</v>
      </c>
      <c r="D364" s="1121">
        <v>2</v>
      </c>
      <c r="E364" s="1120" t="s">
        <v>6672</v>
      </c>
      <c r="F364" s="1122" t="s">
        <v>4621</v>
      </c>
      <c r="G364" s="1123">
        <v>43011</v>
      </c>
      <c r="H364" s="435">
        <f t="shared" si="12"/>
        <v>7</v>
      </c>
      <c r="I364" s="1120"/>
    </row>
    <row r="365" spans="1:9" s="364" customFormat="1" x14ac:dyDescent="0.25">
      <c r="A365" s="1119">
        <v>19643806</v>
      </c>
      <c r="B365" s="1120" t="s">
        <v>6670</v>
      </c>
      <c r="C365" s="361" t="s">
        <v>5215</v>
      </c>
      <c r="D365" s="1121"/>
      <c r="E365" s="1120" t="s">
        <v>6673</v>
      </c>
      <c r="F365" s="1122" t="s">
        <v>4621</v>
      </c>
      <c r="G365" s="1123">
        <v>44043</v>
      </c>
      <c r="H365" s="435">
        <f t="shared" si="12"/>
        <v>5</v>
      </c>
      <c r="I365" s="1120"/>
    </row>
    <row r="366" spans="1:9" x14ac:dyDescent="0.25">
      <c r="A366" s="360"/>
      <c r="B366" s="361"/>
      <c r="C366" s="361"/>
      <c r="D366" s="465"/>
      <c r="E366" s="361"/>
      <c r="F366" s="435"/>
      <c r="G366" s="430"/>
      <c r="H366" s="435"/>
      <c r="I366" s="361"/>
    </row>
    <row r="367" spans="1:9" x14ac:dyDescent="0.25">
      <c r="A367" s="360">
        <v>19644743</v>
      </c>
      <c r="B367" s="361" t="s">
        <v>4880</v>
      </c>
      <c r="C367" s="361" t="s">
        <v>5230</v>
      </c>
      <c r="D367" s="465">
        <v>2</v>
      </c>
      <c r="E367" s="361" t="s">
        <v>5678</v>
      </c>
      <c r="F367" s="435" t="s">
        <v>4620</v>
      </c>
      <c r="G367" s="430">
        <v>41584</v>
      </c>
      <c r="H367" s="435">
        <f t="shared" si="12"/>
        <v>11</v>
      </c>
      <c r="I367" s="361"/>
    </row>
    <row r="368" spans="1:9" x14ac:dyDescent="0.25">
      <c r="A368" s="360">
        <v>19644743</v>
      </c>
      <c r="B368" s="361" t="s">
        <v>4880</v>
      </c>
      <c r="C368" s="361"/>
      <c r="D368" s="465"/>
      <c r="E368" s="361" t="s">
        <v>5679</v>
      </c>
      <c r="F368" s="435" t="s">
        <v>4620</v>
      </c>
      <c r="G368" s="430">
        <v>40683</v>
      </c>
      <c r="H368" s="435">
        <f t="shared" si="12"/>
        <v>14</v>
      </c>
      <c r="I368" s="361"/>
    </row>
    <row r="369" spans="1:9" x14ac:dyDescent="0.25">
      <c r="A369" s="360"/>
      <c r="B369" s="361"/>
      <c r="C369" s="361"/>
      <c r="D369" s="465"/>
      <c r="E369" s="361"/>
      <c r="F369" s="435"/>
      <c r="G369" s="430"/>
      <c r="H369" s="435"/>
      <c r="I369" s="361"/>
    </row>
    <row r="370" spans="1:9" x14ac:dyDescent="0.25">
      <c r="A370" s="360">
        <v>19644756</v>
      </c>
      <c r="B370" s="361" t="s">
        <v>4881</v>
      </c>
      <c r="C370" s="361" t="s">
        <v>5265</v>
      </c>
      <c r="D370" s="465">
        <v>1</v>
      </c>
      <c r="E370" s="361" t="s">
        <v>5680</v>
      </c>
      <c r="F370" s="435" t="s">
        <v>4620</v>
      </c>
      <c r="G370" s="430">
        <v>39097</v>
      </c>
      <c r="H370" s="435">
        <f t="shared" si="12"/>
        <v>18</v>
      </c>
      <c r="I370" s="361" t="s">
        <v>5774</v>
      </c>
    </row>
    <row r="371" spans="1:9" x14ac:dyDescent="0.25">
      <c r="A371" s="360">
        <v>19644756</v>
      </c>
      <c r="B371" s="361" t="s">
        <v>4881</v>
      </c>
      <c r="C371" s="361"/>
      <c r="D371" s="465"/>
      <c r="E371" s="361" t="s">
        <v>5681</v>
      </c>
      <c r="F371" s="435" t="s">
        <v>4621</v>
      </c>
      <c r="G371" s="430">
        <v>41255</v>
      </c>
      <c r="H371" s="435">
        <f t="shared" si="12"/>
        <v>12</v>
      </c>
      <c r="I371" s="361"/>
    </row>
    <row r="372" spans="1:9" x14ac:dyDescent="0.25">
      <c r="A372" s="360"/>
      <c r="B372" s="361"/>
      <c r="C372" s="361"/>
      <c r="D372" s="465"/>
      <c r="E372" s="361"/>
      <c r="F372" s="435"/>
      <c r="G372" s="430"/>
      <c r="H372" s="435"/>
      <c r="I372" s="361"/>
    </row>
    <row r="373" spans="1:9" x14ac:dyDescent="0.25">
      <c r="A373" s="360">
        <v>19794217</v>
      </c>
      <c r="B373" s="361" t="s">
        <v>4882</v>
      </c>
      <c r="C373" s="361" t="s">
        <v>5218</v>
      </c>
      <c r="D373" s="465">
        <v>1</v>
      </c>
      <c r="E373" s="361" t="s">
        <v>6041</v>
      </c>
      <c r="F373" s="435" t="s">
        <v>4620</v>
      </c>
      <c r="G373" s="430">
        <v>42502</v>
      </c>
      <c r="H373" s="435">
        <f t="shared" si="12"/>
        <v>9</v>
      </c>
      <c r="I373" s="361"/>
    </row>
    <row r="374" spans="1:9" x14ac:dyDescent="0.25">
      <c r="A374" s="360"/>
      <c r="B374" s="361"/>
      <c r="C374" s="361"/>
      <c r="D374" s="465"/>
      <c r="E374" s="361" t="s">
        <v>2904</v>
      </c>
      <c r="F374" s="435"/>
      <c r="G374" s="430"/>
      <c r="H374" s="435"/>
      <c r="I374" s="361"/>
    </row>
    <row r="375" spans="1:9" s="593" customFormat="1" x14ac:dyDescent="0.25">
      <c r="A375" s="1471">
        <v>20038162</v>
      </c>
      <c r="B375" s="1472" t="s">
        <v>6796</v>
      </c>
      <c r="C375" s="1472" t="s">
        <v>5218</v>
      </c>
      <c r="D375" s="1460">
        <v>2</v>
      </c>
      <c r="E375" s="1472" t="s">
        <v>6797</v>
      </c>
      <c r="F375" s="1473" t="s">
        <v>4620</v>
      </c>
      <c r="G375" s="1474">
        <v>42389</v>
      </c>
      <c r="H375" s="1473">
        <f t="shared" ref="H375" si="13">DATEDIF(G375,$G$6,"Y")</f>
        <v>9</v>
      </c>
      <c r="I375" s="1472"/>
    </row>
    <row r="376" spans="1:9" s="593" customFormat="1" x14ac:dyDescent="0.25">
      <c r="A376" s="1471">
        <v>20038162</v>
      </c>
      <c r="B376" s="1472" t="s">
        <v>6796</v>
      </c>
      <c r="C376" s="1127"/>
      <c r="D376" s="1475"/>
      <c r="E376" s="1472" t="s">
        <v>7226</v>
      </c>
      <c r="F376" s="1473" t="s">
        <v>4621</v>
      </c>
      <c r="G376" s="1474">
        <v>44649</v>
      </c>
      <c r="H376" s="1473">
        <f t="shared" ref="H376" si="14">DATEDIF(G376,$G$6,"Y")</f>
        <v>3</v>
      </c>
      <c r="I376" s="1127"/>
    </row>
    <row r="377" spans="1:9" s="364" customFormat="1" x14ac:dyDescent="0.25">
      <c r="A377" s="1119"/>
      <c r="B377" s="1120"/>
      <c r="C377" s="1120"/>
      <c r="D377" s="1121"/>
      <c r="E377" s="1120"/>
      <c r="F377" s="1122"/>
      <c r="G377" s="1123"/>
      <c r="H377" s="1122"/>
      <c r="I377" s="1120"/>
    </row>
    <row r="378" spans="1:9" x14ac:dyDescent="0.25">
      <c r="A378" s="360">
        <v>20401711</v>
      </c>
      <c r="B378" s="361" t="s">
        <v>4887</v>
      </c>
      <c r="C378" s="361" t="s">
        <v>5217</v>
      </c>
      <c r="D378" s="465">
        <v>2</v>
      </c>
      <c r="E378" s="361" t="s">
        <v>6042</v>
      </c>
      <c r="F378" s="435" t="s">
        <v>4621</v>
      </c>
      <c r="G378" s="430">
        <v>41431</v>
      </c>
      <c r="H378" s="435">
        <f t="shared" si="12"/>
        <v>12</v>
      </c>
      <c r="I378" s="361"/>
    </row>
    <row r="379" spans="1:9" s="364" customFormat="1" x14ac:dyDescent="0.25">
      <c r="A379" s="360">
        <v>20401711</v>
      </c>
      <c r="B379" s="361" t="s">
        <v>4887</v>
      </c>
      <c r="C379" s="371"/>
      <c r="D379" s="892"/>
      <c r="E379" s="371" t="s">
        <v>6043</v>
      </c>
      <c r="F379" s="435" t="s">
        <v>4621</v>
      </c>
      <c r="G379" s="431">
        <v>45083</v>
      </c>
      <c r="H379" s="435">
        <f t="shared" si="12"/>
        <v>2</v>
      </c>
      <c r="I379" s="371"/>
    </row>
    <row r="380" spans="1:9" s="364" customFormat="1" x14ac:dyDescent="0.25">
      <c r="A380" s="1119"/>
      <c r="B380" s="1120"/>
      <c r="C380" s="1120"/>
      <c r="D380" s="1121"/>
      <c r="E380" s="1120"/>
      <c r="F380" s="1122"/>
      <c r="G380" s="1123"/>
      <c r="H380" s="1122"/>
      <c r="I380" s="1120"/>
    </row>
    <row r="381" spans="1:9" s="364" customFormat="1" x14ac:dyDescent="0.25">
      <c r="A381" s="1119">
        <v>20428039</v>
      </c>
      <c r="B381" s="1120" t="s">
        <v>6759</v>
      </c>
      <c r="C381" s="361" t="s">
        <v>5218</v>
      </c>
      <c r="D381" s="1121">
        <v>2</v>
      </c>
      <c r="E381" s="1120" t="s">
        <v>6762</v>
      </c>
      <c r="F381" s="1122" t="s">
        <v>4620</v>
      </c>
      <c r="G381" s="1123">
        <v>41316</v>
      </c>
      <c r="H381" s="435">
        <f t="shared" si="12"/>
        <v>12</v>
      </c>
      <c r="I381" s="1120"/>
    </row>
    <row r="382" spans="1:9" s="364" customFormat="1" x14ac:dyDescent="0.25">
      <c r="A382" s="1119">
        <v>20428039</v>
      </c>
      <c r="B382" s="1120" t="s">
        <v>6759</v>
      </c>
      <c r="C382" s="1120"/>
      <c r="D382" s="1121"/>
      <c r="E382" s="1120" t="s">
        <v>6763</v>
      </c>
      <c r="F382" s="1122" t="s">
        <v>4621</v>
      </c>
      <c r="G382" s="1123">
        <v>43923</v>
      </c>
      <c r="H382" s="435">
        <f t="shared" si="12"/>
        <v>5</v>
      </c>
      <c r="I382" s="1120"/>
    </row>
    <row r="383" spans="1:9" x14ac:dyDescent="0.25">
      <c r="A383" s="360"/>
      <c r="B383" s="361"/>
      <c r="C383" s="361"/>
      <c r="D383" s="465"/>
      <c r="E383" s="361"/>
      <c r="F383" s="435"/>
      <c r="G383" s="430"/>
      <c r="H383" s="435"/>
      <c r="I383" s="361"/>
    </row>
    <row r="384" spans="1:9" x14ac:dyDescent="0.25">
      <c r="A384" s="360">
        <v>20603227</v>
      </c>
      <c r="B384" s="361" t="s">
        <v>4888</v>
      </c>
      <c r="C384" s="361" t="s">
        <v>5220</v>
      </c>
      <c r="D384" s="465">
        <v>2</v>
      </c>
      <c r="E384" s="361" t="s">
        <v>5682</v>
      </c>
      <c r="F384" s="435" t="s">
        <v>4621</v>
      </c>
      <c r="G384" s="430">
        <v>41888</v>
      </c>
      <c r="H384" s="435">
        <f t="shared" si="12"/>
        <v>11</v>
      </c>
      <c r="I384" s="361"/>
    </row>
    <row r="385" spans="1:9" x14ac:dyDescent="0.25">
      <c r="A385" s="360">
        <v>20603227</v>
      </c>
      <c r="B385" s="361" t="s">
        <v>4888</v>
      </c>
      <c r="C385" s="361"/>
      <c r="D385" s="465"/>
      <c r="E385" s="361" t="s">
        <v>5683</v>
      </c>
      <c r="F385" s="435" t="s">
        <v>4620</v>
      </c>
      <c r="G385" s="430">
        <v>41109</v>
      </c>
      <c r="H385" s="435">
        <f t="shared" si="12"/>
        <v>13</v>
      </c>
      <c r="I385" s="361"/>
    </row>
    <row r="386" spans="1:9" x14ac:dyDescent="0.25">
      <c r="A386" s="360"/>
      <c r="B386" s="361"/>
      <c r="C386" s="361"/>
      <c r="D386" s="465"/>
      <c r="E386" s="361"/>
      <c r="F386" s="435"/>
      <c r="G386" s="430"/>
      <c r="H386" s="435"/>
      <c r="I386" s="361"/>
    </row>
    <row r="387" spans="1:9" s="364" customFormat="1" x14ac:dyDescent="0.25">
      <c r="A387" s="985">
        <v>20655363</v>
      </c>
      <c r="B387" s="986" t="s">
        <v>5967</v>
      </c>
      <c r="C387" s="986" t="s">
        <v>5218</v>
      </c>
      <c r="D387" s="465">
        <v>2</v>
      </c>
      <c r="E387" s="361" t="s">
        <v>5976</v>
      </c>
      <c r="F387" s="435" t="s">
        <v>4620</v>
      </c>
      <c r="G387" s="430">
        <v>40191</v>
      </c>
      <c r="H387" s="435">
        <f t="shared" ref="H387" si="15">DATEDIF(G387,$G$6,"Y")</f>
        <v>15</v>
      </c>
      <c r="I387" s="986"/>
    </row>
    <row r="388" spans="1:9" s="364" customFormat="1" x14ac:dyDescent="0.25">
      <c r="A388" s="985">
        <v>20655363</v>
      </c>
      <c r="B388" s="986" t="s">
        <v>5967</v>
      </c>
      <c r="C388" s="986"/>
      <c r="D388" s="987"/>
      <c r="E388" s="361" t="s">
        <v>5977</v>
      </c>
      <c r="F388" s="435" t="s">
        <v>4620</v>
      </c>
      <c r="G388" s="430">
        <v>41583</v>
      </c>
      <c r="H388" s="435">
        <f t="shared" ref="H388" si="16">DATEDIF(G388,$G$6,"Y")</f>
        <v>11</v>
      </c>
      <c r="I388" s="986"/>
    </row>
    <row r="389" spans="1:9" s="364" customFormat="1" x14ac:dyDescent="0.25">
      <c r="A389" s="985"/>
      <c r="B389" s="986"/>
      <c r="C389" s="986"/>
      <c r="D389" s="987"/>
      <c r="E389" s="986"/>
      <c r="F389" s="988"/>
      <c r="G389" s="989"/>
      <c r="H389" s="988"/>
      <c r="I389" s="986"/>
    </row>
    <row r="390" spans="1:9" x14ac:dyDescent="0.25">
      <c r="A390" s="360">
        <v>20707490</v>
      </c>
      <c r="B390" s="361" t="s">
        <v>4890</v>
      </c>
      <c r="C390" s="361" t="s">
        <v>5224</v>
      </c>
      <c r="D390" s="465">
        <v>2</v>
      </c>
      <c r="E390" s="361" t="s">
        <v>6750</v>
      </c>
      <c r="F390" s="435" t="s">
        <v>4620</v>
      </c>
      <c r="G390" s="430">
        <v>40616</v>
      </c>
      <c r="H390" s="435">
        <f t="shared" si="12"/>
        <v>14</v>
      </c>
      <c r="I390" s="361"/>
    </row>
    <row r="391" spans="1:9" s="364" customFormat="1" x14ac:dyDescent="0.25">
      <c r="A391" s="360">
        <v>20707490</v>
      </c>
      <c r="B391" s="361" t="s">
        <v>4890</v>
      </c>
      <c r="C391" s="1120"/>
      <c r="D391" s="1121"/>
      <c r="E391" s="1120" t="s">
        <v>6751</v>
      </c>
      <c r="F391" s="1122" t="s">
        <v>4620</v>
      </c>
      <c r="G391" s="1123">
        <v>45426</v>
      </c>
      <c r="H391" s="435">
        <f t="shared" si="12"/>
        <v>1</v>
      </c>
      <c r="I391" s="1120"/>
    </row>
    <row r="392" spans="1:9" x14ac:dyDescent="0.25">
      <c r="A392" s="360"/>
      <c r="B392" s="361"/>
      <c r="C392" s="361"/>
      <c r="D392" s="465"/>
      <c r="E392" s="361"/>
      <c r="F392" s="435"/>
      <c r="G392" s="430"/>
      <c r="H392" s="435"/>
      <c r="I392" s="361"/>
    </row>
    <row r="393" spans="1:9" x14ac:dyDescent="0.25">
      <c r="A393" s="360">
        <v>20789286</v>
      </c>
      <c r="B393" s="364" t="s">
        <v>7354</v>
      </c>
      <c r="C393" s="361" t="s">
        <v>5219</v>
      </c>
      <c r="D393" s="465">
        <v>1</v>
      </c>
      <c r="E393" s="361" t="s">
        <v>6044</v>
      </c>
      <c r="F393" s="435" t="s">
        <v>4621</v>
      </c>
      <c r="G393" s="430">
        <v>43527</v>
      </c>
      <c r="H393" s="435">
        <f t="shared" si="12"/>
        <v>6</v>
      </c>
      <c r="I393" s="361"/>
    </row>
    <row r="394" spans="1:9" x14ac:dyDescent="0.25">
      <c r="A394" s="360"/>
      <c r="B394" s="361"/>
      <c r="C394" s="361"/>
      <c r="D394" s="465"/>
      <c r="E394" s="361" t="s">
        <v>2904</v>
      </c>
      <c r="F394" s="435"/>
      <c r="G394" s="430"/>
      <c r="H394" s="435"/>
      <c r="I394" s="361"/>
    </row>
    <row r="395" spans="1:9" x14ac:dyDescent="0.25">
      <c r="A395" s="360">
        <v>22622493</v>
      </c>
      <c r="B395" s="364" t="s">
        <v>7356</v>
      </c>
      <c r="C395" s="361" t="s">
        <v>5218</v>
      </c>
      <c r="D395" s="465">
        <v>2</v>
      </c>
      <c r="E395" s="361" t="s">
        <v>5684</v>
      </c>
      <c r="F395" s="435" t="s">
        <v>4620</v>
      </c>
      <c r="G395" s="430">
        <v>43198</v>
      </c>
      <c r="H395" s="435">
        <f t="shared" si="12"/>
        <v>7</v>
      </c>
      <c r="I395" s="361"/>
    </row>
    <row r="396" spans="1:9" x14ac:dyDescent="0.25">
      <c r="A396" s="360">
        <v>22622493</v>
      </c>
      <c r="B396" s="364" t="s">
        <v>7356</v>
      </c>
      <c r="C396" s="361"/>
      <c r="D396" s="465"/>
      <c r="E396" s="361" t="s">
        <v>5685</v>
      </c>
      <c r="F396" s="435" t="s">
        <v>4620</v>
      </c>
      <c r="G396" s="430">
        <v>41153</v>
      </c>
      <c r="H396" s="435">
        <f t="shared" si="12"/>
        <v>13</v>
      </c>
      <c r="I396" s="361"/>
    </row>
    <row r="397" spans="1:9" x14ac:dyDescent="0.25">
      <c r="A397" s="360"/>
      <c r="B397" s="361"/>
      <c r="C397" s="361"/>
      <c r="D397" s="465"/>
      <c r="E397" s="361"/>
      <c r="F397" s="435"/>
      <c r="G397" s="430"/>
      <c r="H397" s="435"/>
      <c r="I397" s="361"/>
    </row>
    <row r="398" spans="1:9" s="364" customFormat="1" x14ac:dyDescent="0.25">
      <c r="A398" s="360">
        <v>23775734</v>
      </c>
      <c r="B398" s="361" t="s">
        <v>7238</v>
      </c>
      <c r="C398" s="361" t="s">
        <v>5218</v>
      </c>
      <c r="D398" s="465">
        <v>1</v>
      </c>
      <c r="E398" s="361" t="s">
        <v>7240</v>
      </c>
      <c r="F398" s="435" t="s">
        <v>4621</v>
      </c>
      <c r="G398" s="430">
        <v>45246</v>
      </c>
      <c r="H398" s="435">
        <f t="shared" ref="H398" si="17">DATEDIF(G398,$G$6,"Y")</f>
        <v>1</v>
      </c>
      <c r="I398" s="361"/>
    </row>
    <row r="399" spans="1:9" s="364" customFormat="1" x14ac:dyDescent="0.25">
      <c r="A399" s="1119"/>
      <c r="B399" s="1120"/>
      <c r="C399" s="1120"/>
      <c r="D399" s="1121"/>
      <c r="E399" s="1120"/>
      <c r="F399" s="1122"/>
      <c r="G399" s="1123"/>
      <c r="H399" s="1122"/>
      <c r="I399" s="1120"/>
    </row>
    <row r="400" spans="1:9" x14ac:dyDescent="0.25">
      <c r="A400" s="360">
        <v>24135378</v>
      </c>
      <c r="B400" s="361" t="s">
        <v>4903</v>
      </c>
      <c r="C400" s="361" t="s">
        <v>5219</v>
      </c>
      <c r="D400" s="465">
        <v>2</v>
      </c>
      <c r="E400" s="361" t="s">
        <v>5686</v>
      </c>
      <c r="F400" s="435" t="s">
        <v>4620</v>
      </c>
      <c r="G400" s="430">
        <v>41603</v>
      </c>
      <c r="H400" s="435">
        <f t="shared" si="12"/>
        <v>11</v>
      </c>
      <c r="I400" s="361"/>
    </row>
    <row r="401" spans="1:9" x14ac:dyDescent="0.25">
      <c r="A401" s="360">
        <v>24135378</v>
      </c>
      <c r="B401" s="361" t="s">
        <v>4903</v>
      </c>
      <c r="C401" s="361"/>
      <c r="D401" s="465"/>
      <c r="E401" s="361" t="s">
        <v>5687</v>
      </c>
      <c r="F401" s="435" t="s">
        <v>4620</v>
      </c>
      <c r="G401" s="430">
        <v>43081</v>
      </c>
      <c r="H401" s="435">
        <f t="shared" si="12"/>
        <v>7</v>
      </c>
      <c r="I401" s="361"/>
    </row>
    <row r="402" spans="1:9" x14ac:dyDescent="0.25">
      <c r="A402" s="360"/>
      <c r="B402" s="361"/>
      <c r="C402" s="361"/>
      <c r="D402" s="465"/>
      <c r="E402" s="361"/>
      <c r="F402" s="435"/>
      <c r="G402" s="430"/>
      <c r="H402" s="435"/>
      <c r="I402" s="361"/>
    </row>
    <row r="403" spans="1:9" x14ac:dyDescent="0.25">
      <c r="A403" s="360">
        <v>24136795</v>
      </c>
      <c r="B403" s="364" t="s">
        <v>7357</v>
      </c>
      <c r="C403" s="361" t="s">
        <v>5266</v>
      </c>
      <c r="D403" s="465">
        <v>2</v>
      </c>
      <c r="E403" s="361" t="s">
        <v>5688</v>
      </c>
      <c r="F403" s="435" t="s">
        <v>4620</v>
      </c>
      <c r="G403" s="430">
        <v>44446</v>
      </c>
      <c r="H403" s="435">
        <f t="shared" si="12"/>
        <v>4</v>
      </c>
      <c r="I403" s="361"/>
    </row>
    <row r="404" spans="1:9" s="364" customFormat="1" x14ac:dyDescent="0.25">
      <c r="A404" s="360">
        <v>24136795</v>
      </c>
      <c r="B404" s="364" t="s">
        <v>7357</v>
      </c>
      <c r="C404" s="916"/>
      <c r="D404" s="917"/>
      <c r="E404" s="361" t="s">
        <v>5966</v>
      </c>
      <c r="F404" s="435" t="s">
        <v>4621</v>
      </c>
      <c r="G404" s="430">
        <v>45238</v>
      </c>
      <c r="H404" s="435">
        <f t="shared" ref="H404" si="18">DATEDIF(G404,$G$6,"Y")</f>
        <v>1</v>
      </c>
      <c r="I404" s="916"/>
    </row>
    <row r="405" spans="1:9" x14ac:dyDescent="0.25">
      <c r="A405" s="360"/>
      <c r="B405" s="361"/>
      <c r="C405" s="361"/>
      <c r="D405" s="465"/>
      <c r="E405" s="361"/>
      <c r="F405" s="435"/>
      <c r="G405" s="430"/>
      <c r="H405" s="435"/>
      <c r="I405" s="361"/>
    </row>
    <row r="406" spans="1:9" s="364" customFormat="1" x14ac:dyDescent="0.25">
      <c r="A406" s="1119"/>
      <c r="B406" s="1120"/>
      <c r="C406" s="1120"/>
      <c r="D406" s="1121"/>
      <c r="E406" s="1120"/>
      <c r="F406" s="1122"/>
      <c r="G406" s="1123"/>
      <c r="H406" s="1122"/>
      <c r="I406" s="1120"/>
    </row>
    <row r="407" spans="1:9" x14ac:dyDescent="0.25">
      <c r="A407" s="360">
        <v>25006139</v>
      </c>
      <c r="B407" s="361" t="s">
        <v>4908</v>
      </c>
      <c r="C407" s="361" t="s">
        <v>5218</v>
      </c>
      <c r="D407" s="465">
        <v>2</v>
      </c>
      <c r="E407" s="361" t="s">
        <v>5689</v>
      </c>
      <c r="F407" s="435" t="s">
        <v>4621</v>
      </c>
      <c r="G407" s="430">
        <v>44000</v>
      </c>
      <c r="H407" s="435">
        <f t="shared" si="12"/>
        <v>5</v>
      </c>
      <c r="I407" s="361"/>
    </row>
    <row r="408" spans="1:9" s="364" customFormat="1" x14ac:dyDescent="0.25">
      <c r="A408" s="1119"/>
      <c r="B408" s="1120"/>
      <c r="C408" s="1120"/>
      <c r="D408" s="1121"/>
      <c r="E408" s="1120" t="s">
        <v>7622</v>
      </c>
      <c r="F408" s="1122" t="s">
        <v>4620</v>
      </c>
      <c r="G408" s="1123">
        <v>45674</v>
      </c>
      <c r="H408" s="435">
        <f t="shared" si="12"/>
        <v>0</v>
      </c>
      <c r="I408" s="1120"/>
    </row>
    <row r="409" spans="1:9" x14ac:dyDescent="0.25">
      <c r="A409" s="360"/>
      <c r="B409" s="361"/>
      <c r="C409" s="361"/>
      <c r="D409" s="465"/>
      <c r="E409" s="361"/>
      <c r="F409" s="435"/>
      <c r="G409" s="430"/>
      <c r="H409" s="435"/>
      <c r="I409" s="361"/>
    </row>
    <row r="410" spans="1:9" s="364" customFormat="1" x14ac:dyDescent="0.25">
      <c r="A410" s="360">
        <v>25006878</v>
      </c>
      <c r="B410" s="361" t="s">
        <v>5485</v>
      </c>
      <c r="C410" s="361" t="s">
        <v>5218</v>
      </c>
      <c r="D410" s="465">
        <v>1</v>
      </c>
      <c r="E410" s="361" t="s">
        <v>5691</v>
      </c>
      <c r="F410" s="435" t="s">
        <v>4620</v>
      </c>
      <c r="G410" s="430">
        <v>43286</v>
      </c>
      <c r="H410" s="435">
        <f>DATEDIF(G410,$G$6,"Y")</f>
        <v>7</v>
      </c>
      <c r="I410" s="361"/>
    </row>
    <row r="411" spans="1:9" s="364" customFormat="1" x14ac:dyDescent="0.25">
      <c r="A411" s="370"/>
      <c r="B411" s="371"/>
      <c r="C411" s="371"/>
      <c r="D411" s="892"/>
      <c r="E411" s="371"/>
      <c r="F411" s="442"/>
      <c r="G411" s="431"/>
      <c r="H411" s="442"/>
      <c r="I411" s="371"/>
    </row>
    <row r="412" spans="1:9" x14ac:dyDescent="0.25">
      <c r="A412" s="360">
        <v>25096069</v>
      </c>
      <c r="B412" s="361" t="s">
        <v>4909</v>
      </c>
      <c r="C412" s="361" t="s">
        <v>5218</v>
      </c>
      <c r="D412" s="465">
        <v>1</v>
      </c>
      <c r="E412" s="361" t="s">
        <v>5690</v>
      </c>
      <c r="F412" s="435" t="s">
        <v>4620</v>
      </c>
      <c r="G412" s="430">
        <v>43624</v>
      </c>
      <c r="H412" s="435">
        <f t="shared" si="12"/>
        <v>6</v>
      </c>
      <c r="I412" s="361"/>
    </row>
    <row r="413" spans="1:9" s="364" customFormat="1" x14ac:dyDescent="0.25">
      <c r="A413" s="1119"/>
      <c r="B413" s="1120"/>
      <c r="C413" s="1120"/>
      <c r="D413" s="1121"/>
      <c r="E413" s="1120"/>
      <c r="F413" s="1122"/>
      <c r="G413" s="1123"/>
      <c r="H413" s="1122"/>
      <c r="I413" s="1120"/>
    </row>
    <row r="414" spans="1:9" x14ac:dyDescent="0.25">
      <c r="A414" s="360">
        <v>25173983</v>
      </c>
      <c r="B414" s="361" t="s">
        <v>4910</v>
      </c>
      <c r="C414" s="361" t="s">
        <v>5218</v>
      </c>
      <c r="D414" s="465">
        <v>1</v>
      </c>
      <c r="E414" s="361" t="s">
        <v>5692</v>
      </c>
      <c r="F414" s="435" t="s">
        <v>4620</v>
      </c>
      <c r="G414" s="430">
        <v>43827</v>
      </c>
      <c r="H414" s="435">
        <f t="shared" ref="H414:H446" si="19">DATEDIF(G414,$G$6,"Y")</f>
        <v>5</v>
      </c>
      <c r="I414" s="361"/>
    </row>
    <row r="415" spans="1:9" x14ac:dyDescent="0.25">
      <c r="A415" s="360"/>
      <c r="B415" s="361"/>
      <c r="C415" s="361"/>
      <c r="D415" s="465"/>
      <c r="E415" s="361"/>
      <c r="F415" s="435"/>
      <c r="G415" s="430"/>
      <c r="H415" s="435"/>
      <c r="I415" s="361"/>
    </row>
    <row r="416" spans="1:9" x14ac:dyDescent="0.25">
      <c r="A416" s="360">
        <v>25303390</v>
      </c>
      <c r="B416" s="361" t="s">
        <v>4911</v>
      </c>
      <c r="C416" s="361" t="s">
        <v>5218</v>
      </c>
      <c r="D416" s="465">
        <v>2</v>
      </c>
      <c r="E416" s="361" t="s">
        <v>5693</v>
      </c>
      <c r="F416" s="435" t="s">
        <v>4620</v>
      </c>
      <c r="G416" s="430">
        <v>41644</v>
      </c>
      <c r="H416" s="435">
        <f t="shared" si="19"/>
        <v>11</v>
      </c>
      <c r="I416" s="361"/>
    </row>
    <row r="417" spans="1:9" x14ac:dyDescent="0.25">
      <c r="A417" s="360">
        <v>25303390</v>
      </c>
      <c r="B417" s="361" t="s">
        <v>4911</v>
      </c>
      <c r="C417" s="361"/>
      <c r="D417" s="465"/>
      <c r="E417" s="361" t="s">
        <v>5694</v>
      </c>
      <c r="F417" s="435" t="s">
        <v>4620</v>
      </c>
      <c r="G417" s="430">
        <v>43288</v>
      </c>
      <c r="H417" s="435">
        <f t="shared" si="19"/>
        <v>7</v>
      </c>
      <c r="I417" s="361"/>
    </row>
    <row r="418" spans="1:9" s="364" customFormat="1" x14ac:dyDescent="0.25">
      <c r="A418" s="1119"/>
      <c r="B418" s="1120"/>
      <c r="C418" s="1120"/>
      <c r="D418" s="1121"/>
      <c r="E418" s="1120"/>
      <c r="F418" s="1122"/>
      <c r="G418" s="1123"/>
      <c r="H418" s="1122"/>
      <c r="I418" s="1120"/>
    </row>
    <row r="419" spans="1:9" s="364" customFormat="1" x14ac:dyDescent="0.25">
      <c r="A419" s="1119">
        <v>25454143</v>
      </c>
      <c r="B419" s="1120" t="s">
        <v>6698</v>
      </c>
      <c r="C419" s="361" t="s">
        <v>5218</v>
      </c>
      <c r="D419" s="1121">
        <v>1</v>
      </c>
      <c r="E419" s="1120" t="s">
        <v>6701</v>
      </c>
      <c r="F419" s="1122" t="s">
        <v>4620</v>
      </c>
      <c r="G419" s="1123">
        <v>44493</v>
      </c>
      <c r="H419" s="435">
        <f t="shared" si="19"/>
        <v>3</v>
      </c>
      <c r="I419" s="1120"/>
    </row>
    <row r="420" spans="1:9" s="364" customFormat="1" x14ac:dyDescent="0.25">
      <c r="A420" s="1119"/>
      <c r="B420" s="1120"/>
      <c r="C420" s="1120"/>
      <c r="D420" s="1121"/>
      <c r="E420" s="1120"/>
      <c r="F420" s="1122"/>
      <c r="G420" s="1123"/>
      <c r="H420" s="1122"/>
      <c r="I420" s="1120"/>
    </row>
    <row r="421" spans="1:9" x14ac:dyDescent="0.25">
      <c r="A421" s="360">
        <v>25619540</v>
      </c>
      <c r="B421" s="364" t="s">
        <v>7358</v>
      </c>
      <c r="C421" s="361" t="s">
        <v>5218</v>
      </c>
      <c r="D421" s="465">
        <v>2</v>
      </c>
      <c r="E421" s="361" t="s">
        <v>6045</v>
      </c>
      <c r="F421" s="435" t="s">
        <v>4621</v>
      </c>
      <c r="G421" s="430">
        <v>42550</v>
      </c>
      <c r="H421" s="435">
        <f t="shared" si="19"/>
        <v>9</v>
      </c>
      <c r="I421" s="361" t="s">
        <v>5634</v>
      </c>
    </row>
    <row r="422" spans="1:9" x14ac:dyDescent="0.25">
      <c r="A422" s="360">
        <v>25619540</v>
      </c>
      <c r="B422" s="364" t="s">
        <v>7358</v>
      </c>
      <c r="C422" s="361"/>
      <c r="D422" s="465"/>
      <c r="E422" s="361" t="s">
        <v>6046</v>
      </c>
      <c r="F422" s="435" t="s">
        <v>4621</v>
      </c>
      <c r="G422" s="430">
        <v>42550</v>
      </c>
      <c r="H422" s="435">
        <f t="shared" si="19"/>
        <v>9</v>
      </c>
      <c r="I422" s="361"/>
    </row>
    <row r="423" spans="1:9" x14ac:dyDescent="0.25">
      <c r="A423" s="360">
        <v>25619540</v>
      </c>
      <c r="B423" s="364" t="s">
        <v>7358</v>
      </c>
      <c r="C423" s="361"/>
      <c r="D423" s="465"/>
      <c r="E423" s="361" t="s">
        <v>6047</v>
      </c>
      <c r="F423" s="435" t="s">
        <v>4620</v>
      </c>
      <c r="G423" s="430">
        <v>43609</v>
      </c>
      <c r="H423" s="435">
        <f t="shared" si="19"/>
        <v>6</v>
      </c>
      <c r="I423" s="361"/>
    </row>
    <row r="424" spans="1:9" x14ac:dyDescent="0.25">
      <c r="A424" s="360">
        <v>25619540</v>
      </c>
      <c r="B424" s="364" t="s">
        <v>7358</v>
      </c>
      <c r="C424" s="361"/>
      <c r="D424" s="465"/>
      <c r="E424" s="361" t="s">
        <v>6048</v>
      </c>
      <c r="F424" s="435" t="s">
        <v>4621</v>
      </c>
      <c r="G424" s="430">
        <v>41354</v>
      </c>
      <c r="H424" s="435">
        <f t="shared" si="19"/>
        <v>12</v>
      </c>
      <c r="I424" s="361"/>
    </row>
    <row r="425" spans="1:9" x14ac:dyDescent="0.25">
      <c r="A425" s="360"/>
      <c r="B425" s="361"/>
      <c r="C425" s="361"/>
      <c r="D425" s="465"/>
      <c r="E425" s="361"/>
      <c r="F425" s="435"/>
      <c r="G425" s="430"/>
      <c r="H425" s="435"/>
      <c r="I425" s="361"/>
    </row>
    <row r="426" spans="1:9" x14ac:dyDescent="0.25">
      <c r="A426" s="360">
        <v>26094690</v>
      </c>
      <c r="B426" s="361" t="s">
        <v>5511</v>
      </c>
      <c r="C426" s="361" t="s">
        <v>5218</v>
      </c>
      <c r="D426" s="465">
        <v>2</v>
      </c>
      <c r="E426" s="361" t="s">
        <v>5722</v>
      </c>
      <c r="F426" s="435" t="s">
        <v>4621</v>
      </c>
      <c r="G426" s="430">
        <v>44272</v>
      </c>
      <c r="H426" s="435">
        <f t="shared" si="19"/>
        <v>4</v>
      </c>
      <c r="I426" s="361"/>
    </row>
    <row r="427" spans="1:9" s="364" customFormat="1" x14ac:dyDescent="0.25">
      <c r="A427" s="360">
        <v>26094690</v>
      </c>
      <c r="B427" s="361" t="s">
        <v>5511</v>
      </c>
      <c r="C427" s="361"/>
      <c r="D427" s="465"/>
      <c r="E427" s="361" t="s">
        <v>5723</v>
      </c>
      <c r="F427" s="435" t="s">
        <v>4620</v>
      </c>
      <c r="G427" s="430">
        <v>43542</v>
      </c>
      <c r="H427" s="435">
        <f t="shared" si="19"/>
        <v>6</v>
      </c>
      <c r="I427" s="361"/>
    </row>
    <row r="428" spans="1:9" x14ac:dyDescent="0.25">
      <c r="A428" s="360"/>
      <c r="B428" s="361"/>
      <c r="C428" s="361"/>
      <c r="D428" s="465"/>
      <c r="E428" s="361"/>
      <c r="F428" s="435"/>
      <c r="G428" s="430"/>
      <c r="H428" s="435"/>
      <c r="I428" s="361"/>
    </row>
    <row r="429" spans="1:9" x14ac:dyDescent="0.25">
      <c r="A429" s="360">
        <v>26413871</v>
      </c>
      <c r="B429" s="361" t="s">
        <v>4917</v>
      </c>
      <c r="C429" s="361" t="s">
        <v>5218</v>
      </c>
      <c r="D429" s="465">
        <v>2</v>
      </c>
      <c r="E429" s="361" t="s">
        <v>5695</v>
      </c>
      <c r="F429" s="435" t="s">
        <v>4620</v>
      </c>
      <c r="G429" s="430">
        <v>42504</v>
      </c>
      <c r="H429" s="435">
        <f t="shared" si="19"/>
        <v>9</v>
      </c>
      <c r="I429" s="361"/>
    </row>
    <row r="430" spans="1:9" x14ac:dyDescent="0.25">
      <c r="A430" s="360">
        <v>26413871</v>
      </c>
      <c r="B430" s="361" t="s">
        <v>4917</v>
      </c>
      <c r="C430" s="361"/>
      <c r="D430" s="465"/>
      <c r="E430" s="361" t="s">
        <v>5696</v>
      </c>
      <c r="F430" s="435" t="s">
        <v>4620</v>
      </c>
      <c r="G430" s="430">
        <v>43628</v>
      </c>
      <c r="H430" s="435">
        <f t="shared" si="19"/>
        <v>6</v>
      </c>
      <c r="I430" s="361"/>
    </row>
    <row r="431" spans="1:9" x14ac:dyDescent="0.25">
      <c r="A431" s="360"/>
      <c r="B431" s="361"/>
      <c r="C431" s="361"/>
      <c r="D431" s="465"/>
      <c r="E431" s="361"/>
      <c r="F431" s="435"/>
      <c r="G431" s="430"/>
      <c r="H431" s="435"/>
      <c r="I431" s="361"/>
    </row>
    <row r="432" spans="1:9" x14ac:dyDescent="0.25">
      <c r="A432" s="360">
        <v>26591879</v>
      </c>
      <c r="B432" s="361" t="s">
        <v>4918</v>
      </c>
      <c r="C432" s="361" t="s">
        <v>5268</v>
      </c>
      <c r="D432" s="465">
        <v>1</v>
      </c>
      <c r="E432" s="361" t="s">
        <v>6049</v>
      </c>
      <c r="F432" s="435" t="s">
        <v>4621</v>
      </c>
      <c r="G432" s="430">
        <v>44525</v>
      </c>
      <c r="H432" s="435">
        <f t="shared" si="19"/>
        <v>3</v>
      </c>
      <c r="I432" s="361"/>
    </row>
    <row r="433" spans="1:9" x14ac:dyDescent="0.25">
      <c r="A433" s="360"/>
      <c r="B433" s="361"/>
      <c r="C433" s="361"/>
      <c r="D433" s="465"/>
      <c r="E433" s="361"/>
      <c r="F433" s="435"/>
      <c r="G433" s="430"/>
      <c r="H433" s="435"/>
      <c r="I433" s="361"/>
    </row>
    <row r="434" spans="1:9" x14ac:dyDescent="0.25">
      <c r="A434" s="360">
        <v>26690908</v>
      </c>
      <c r="B434" s="361" t="s">
        <v>4919</v>
      </c>
      <c r="C434" s="361" t="s">
        <v>5218</v>
      </c>
      <c r="D434" s="465">
        <v>1</v>
      </c>
      <c r="E434" s="361" t="s">
        <v>5697</v>
      </c>
      <c r="F434" s="435" t="s">
        <v>4620</v>
      </c>
      <c r="G434" s="430">
        <v>42389</v>
      </c>
      <c r="H434" s="435">
        <f t="shared" si="19"/>
        <v>9</v>
      </c>
      <c r="I434" s="361"/>
    </row>
    <row r="435" spans="1:9" x14ac:dyDescent="0.25">
      <c r="A435" s="360"/>
      <c r="B435" s="361"/>
      <c r="C435" s="361"/>
      <c r="D435" s="465"/>
      <c r="E435" s="361"/>
      <c r="F435" s="435"/>
      <c r="G435" s="430"/>
      <c r="H435" s="435"/>
      <c r="I435" s="361"/>
    </row>
    <row r="436" spans="1:9" x14ac:dyDescent="0.25">
      <c r="A436" s="360">
        <v>26962104</v>
      </c>
      <c r="B436" s="361" t="s">
        <v>4920</v>
      </c>
      <c r="C436" s="361" t="s">
        <v>5231</v>
      </c>
      <c r="D436" s="465">
        <v>1</v>
      </c>
      <c r="E436" s="361" t="s">
        <v>5698</v>
      </c>
      <c r="F436" s="435" t="s">
        <v>4621</v>
      </c>
      <c r="G436" s="430">
        <v>44830</v>
      </c>
      <c r="H436" s="435">
        <f t="shared" si="19"/>
        <v>3</v>
      </c>
      <c r="I436" s="361"/>
    </row>
    <row r="437" spans="1:9" s="364" customFormat="1" x14ac:dyDescent="0.25">
      <c r="A437" s="1119"/>
      <c r="B437" s="1120"/>
      <c r="C437" s="1120"/>
      <c r="D437" s="1121"/>
      <c r="E437" s="1120"/>
      <c r="F437" s="1122"/>
      <c r="G437" s="1123"/>
      <c r="H437" s="1122"/>
      <c r="I437" s="1120"/>
    </row>
    <row r="438" spans="1:9" s="364" customFormat="1" x14ac:dyDescent="0.25">
      <c r="A438" s="1119">
        <v>27251885</v>
      </c>
      <c r="B438" s="1120" t="s">
        <v>6626</v>
      </c>
      <c r="C438" s="361" t="s">
        <v>5218</v>
      </c>
      <c r="D438" s="1121">
        <v>1</v>
      </c>
      <c r="E438" s="1120" t="s">
        <v>6629</v>
      </c>
      <c r="F438" s="1122" t="s">
        <v>4620</v>
      </c>
      <c r="G438" s="1123">
        <v>43898</v>
      </c>
      <c r="H438" s="435">
        <f t="shared" si="19"/>
        <v>5</v>
      </c>
      <c r="I438" s="1120"/>
    </row>
    <row r="439" spans="1:9" s="364" customFormat="1" x14ac:dyDescent="0.25">
      <c r="A439" s="1119"/>
      <c r="B439" s="1120"/>
      <c r="C439" s="1120"/>
      <c r="D439" s="1121"/>
      <c r="E439" s="1120"/>
      <c r="F439" s="1122"/>
      <c r="G439" s="1123"/>
      <c r="H439" s="1122"/>
      <c r="I439" s="1120"/>
    </row>
    <row r="440" spans="1:9" s="364" customFormat="1" x14ac:dyDescent="0.25">
      <c r="A440" s="1119">
        <v>27251899</v>
      </c>
      <c r="B440" s="1120" t="s">
        <v>6622</v>
      </c>
      <c r="C440" s="361" t="s">
        <v>5218</v>
      </c>
      <c r="D440" s="1121">
        <v>1</v>
      </c>
      <c r="E440" s="1120" t="s">
        <v>6625</v>
      </c>
      <c r="F440" s="1122" t="s">
        <v>4620</v>
      </c>
      <c r="G440" s="1123">
        <v>44725</v>
      </c>
      <c r="H440" s="435">
        <f t="shared" si="19"/>
        <v>3</v>
      </c>
      <c r="I440" s="1120"/>
    </row>
    <row r="441" spans="1:9" s="364" customFormat="1" x14ac:dyDescent="0.25">
      <c r="A441" s="1119"/>
      <c r="B441" s="1120"/>
      <c r="C441" s="1120"/>
      <c r="D441" s="1121"/>
      <c r="E441" s="1120"/>
      <c r="F441" s="1122"/>
      <c r="G441" s="1123"/>
      <c r="H441" s="1122"/>
      <c r="I441" s="1120"/>
    </row>
    <row r="442" spans="1:9" s="364" customFormat="1" x14ac:dyDescent="0.25">
      <c r="A442" s="1119">
        <v>27415737</v>
      </c>
      <c r="B442" s="1120" t="s">
        <v>4922</v>
      </c>
      <c r="C442" s="361" t="s">
        <v>5231</v>
      </c>
      <c r="D442" s="1121">
        <v>1</v>
      </c>
      <c r="E442" s="1120" t="s">
        <v>6758</v>
      </c>
      <c r="F442" s="1122" t="s">
        <v>4620</v>
      </c>
      <c r="G442" s="1123">
        <v>45541</v>
      </c>
      <c r="H442" s="435">
        <f t="shared" si="19"/>
        <v>1</v>
      </c>
      <c r="I442" s="1120"/>
    </row>
    <row r="443" spans="1:9" x14ac:dyDescent="0.25">
      <c r="A443" s="360"/>
      <c r="B443" s="361"/>
      <c r="C443" s="361"/>
      <c r="D443" s="465"/>
      <c r="E443" s="361"/>
      <c r="F443" s="435"/>
      <c r="G443" s="430"/>
      <c r="H443" s="435"/>
      <c r="I443" s="361"/>
    </row>
    <row r="444" spans="1:9" s="364" customFormat="1" x14ac:dyDescent="0.25">
      <c r="A444" s="360">
        <v>27628603</v>
      </c>
      <c r="B444" s="361" t="s">
        <v>5761</v>
      </c>
      <c r="C444" s="361" t="s">
        <v>5766</v>
      </c>
      <c r="D444" s="465">
        <v>1</v>
      </c>
      <c r="E444" s="361" t="s">
        <v>5778</v>
      </c>
      <c r="F444" s="435" t="s">
        <v>4621</v>
      </c>
      <c r="G444" s="430">
        <v>43813</v>
      </c>
      <c r="H444" s="435">
        <v>3</v>
      </c>
      <c r="I444" s="361"/>
    </row>
    <row r="445" spans="1:9" s="364" customFormat="1" x14ac:dyDescent="0.25">
      <c r="A445" s="370"/>
      <c r="B445" s="371"/>
      <c r="C445" s="371"/>
      <c r="D445" s="892"/>
      <c r="E445" s="371"/>
      <c r="F445" s="442"/>
      <c r="G445" s="431"/>
      <c r="H445" s="442"/>
      <c r="I445" s="371"/>
    </row>
    <row r="446" spans="1:9" x14ac:dyDescent="0.25">
      <c r="A446" s="360">
        <v>29585477</v>
      </c>
      <c r="B446" s="361" t="s">
        <v>4929</v>
      </c>
      <c r="C446" s="361" t="s">
        <v>5228</v>
      </c>
      <c r="D446" s="465">
        <v>1</v>
      </c>
      <c r="E446" s="361" t="s">
        <v>5700</v>
      </c>
      <c r="F446" s="435" t="s">
        <v>4621</v>
      </c>
      <c r="G446" s="430">
        <v>43783</v>
      </c>
      <c r="H446" s="435">
        <f t="shared" si="19"/>
        <v>5</v>
      </c>
      <c r="I446" s="361"/>
    </row>
    <row r="447" spans="1:9" x14ac:dyDescent="0.25">
      <c r="A447" s="360"/>
      <c r="B447" s="361"/>
      <c r="C447" s="361"/>
      <c r="D447" s="465"/>
      <c r="E447" s="361"/>
      <c r="F447" s="435"/>
      <c r="G447" s="430"/>
      <c r="H447" s="435"/>
      <c r="I447" s="361"/>
    </row>
    <row r="448" spans="1:9" x14ac:dyDescent="0.25">
      <c r="A448" s="360">
        <v>19101773</v>
      </c>
      <c r="B448" s="361" t="s">
        <v>5787</v>
      </c>
      <c r="C448" s="361" t="s">
        <v>5218</v>
      </c>
      <c r="D448" s="465">
        <v>0</v>
      </c>
      <c r="E448" s="361" t="s">
        <v>5789</v>
      </c>
      <c r="F448" s="435" t="s">
        <v>4620</v>
      </c>
      <c r="G448" s="430">
        <v>39076</v>
      </c>
      <c r="H448" s="435">
        <f t="shared" ref="H448" si="20">DATEDIF(G448,$G$6,"Y")</f>
        <v>18</v>
      </c>
      <c r="I448" s="361" t="s">
        <v>7288</v>
      </c>
    </row>
    <row r="449" spans="1:9" s="364" customFormat="1" x14ac:dyDescent="0.25">
      <c r="A449" s="360"/>
      <c r="B449" s="361"/>
      <c r="C449" s="361"/>
      <c r="D449" s="465"/>
      <c r="E449" s="361"/>
      <c r="F449" s="435"/>
      <c r="G449" s="430"/>
      <c r="H449" s="435"/>
      <c r="I449" s="361"/>
    </row>
    <row r="450" spans="1:9" s="364" customFormat="1" x14ac:dyDescent="0.25">
      <c r="A450" s="360">
        <v>26235963</v>
      </c>
      <c r="B450" s="361" t="s">
        <v>6112</v>
      </c>
      <c r="C450" s="361" t="s">
        <v>5263</v>
      </c>
      <c r="D450" s="465">
        <v>1</v>
      </c>
      <c r="E450" s="361" t="s">
        <v>6115</v>
      </c>
      <c r="F450" s="435" t="s">
        <v>4621</v>
      </c>
      <c r="G450" s="430">
        <v>42877</v>
      </c>
      <c r="H450" s="435">
        <f t="shared" ref="H450" si="21">DATEDIF(G450,$G$6,"Y")</f>
        <v>8</v>
      </c>
      <c r="I450" s="361"/>
    </row>
    <row r="451" spans="1:9" s="364" customFormat="1" x14ac:dyDescent="0.25">
      <c r="A451" s="360"/>
      <c r="B451" s="361"/>
      <c r="C451" s="361"/>
      <c r="D451" s="465"/>
      <c r="E451" s="361"/>
      <c r="F451" s="435"/>
      <c r="G451" s="430"/>
      <c r="H451" s="435"/>
      <c r="I451" s="361"/>
    </row>
    <row r="452" spans="1:9" s="364" customFormat="1" x14ac:dyDescent="0.25">
      <c r="A452" s="1119">
        <v>27415888</v>
      </c>
      <c r="B452" s="1266" t="s">
        <v>4923</v>
      </c>
      <c r="C452" s="1120" t="s">
        <v>7261</v>
      </c>
      <c r="D452" s="1265">
        <v>1</v>
      </c>
      <c r="E452" s="1120" t="s">
        <v>7286</v>
      </c>
      <c r="F452" s="1122" t="s">
        <v>4620</v>
      </c>
      <c r="G452" s="1123">
        <v>45670</v>
      </c>
      <c r="H452" s="1122">
        <f t="shared" ref="H452" si="22">DATEDIF(G452,$G$6,"Y")</f>
        <v>0</v>
      </c>
      <c r="I452" s="1120"/>
    </row>
    <row r="453" spans="1:9" s="364" customFormat="1" x14ac:dyDescent="0.25">
      <c r="A453" s="1119"/>
      <c r="B453" s="1120"/>
      <c r="C453" s="1120"/>
      <c r="D453" s="1121"/>
      <c r="E453" s="1120"/>
      <c r="F453" s="1122"/>
      <c r="G453" s="1123"/>
      <c r="H453" s="1122"/>
      <c r="I453" s="1120"/>
    </row>
    <row r="454" spans="1:9" s="364" customFormat="1" x14ac:dyDescent="0.25">
      <c r="A454" s="360">
        <v>28096576</v>
      </c>
      <c r="B454" s="364" t="s">
        <v>5726</v>
      </c>
      <c r="C454" s="361" t="s">
        <v>5087</v>
      </c>
      <c r="D454" s="465">
        <v>2</v>
      </c>
      <c r="E454" s="361" t="s">
        <v>6106</v>
      </c>
      <c r="F454" s="435" t="s">
        <v>4621</v>
      </c>
      <c r="G454" s="430">
        <v>42514</v>
      </c>
      <c r="H454" s="435">
        <f t="shared" ref="H454:H456" si="23">DATEDIF(G454,$G$6,"Y")</f>
        <v>9</v>
      </c>
      <c r="I454" s="361"/>
    </row>
    <row r="455" spans="1:9" s="364" customFormat="1" x14ac:dyDescent="0.25">
      <c r="A455" s="360">
        <v>28096576</v>
      </c>
      <c r="B455" s="364" t="s">
        <v>5726</v>
      </c>
      <c r="C455" s="361" t="s">
        <v>5087</v>
      </c>
      <c r="D455" s="465"/>
      <c r="E455" s="361" t="s">
        <v>6107</v>
      </c>
      <c r="F455" s="435" t="s">
        <v>4620</v>
      </c>
      <c r="G455" s="430">
        <v>43335</v>
      </c>
      <c r="H455" s="435">
        <f t="shared" si="23"/>
        <v>7</v>
      </c>
      <c r="I455" s="361"/>
    </row>
    <row r="456" spans="1:9" s="364" customFormat="1" x14ac:dyDescent="0.25">
      <c r="A456" s="360">
        <v>28096576</v>
      </c>
      <c r="B456" s="364" t="s">
        <v>5726</v>
      </c>
      <c r="C456" s="361" t="s">
        <v>5087</v>
      </c>
      <c r="D456" s="361"/>
      <c r="E456" s="361" t="s">
        <v>6108</v>
      </c>
      <c r="F456" s="435" t="s">
        <v>4620</v>
      </c>
      <c r="G456" s="430">
        <v>44356</v>
      </c>
      <c r="H456" s="435">
        <f t="shared" si="23"/>
        <v>4</v>
      </c>
      <c r="I456" s="361"/>
    </row>
    <row r="457" spans="1:9" s="364" customFormat="1" x14ac:dyDescent="0.25">
      <c r="A457" s="360"/>
      <c r="B457" s="361"/>
      <c r="C457" s="361"/>
      <c r="D457" s="362"/>
      <c r="E457" s="361"/>
      <c r="F457" s="435"/>
      <c r="G457" s="430"/>
      <c r="H457" s="435"/>
      <c r="I457" s="361"/>
    </row>
    <row r="458" spans="1:9" s="364" customFormat="1" ht="15.75" thickBot="1" x14ac:dyDescent="0.3">
      <c r="A458" s="360"/>
      <c r="B458" s="361"/>
      <c r="C458" s="361"/>
      <c r="D458" s="362"/>
      <c r="E458" s="361"/>
      <c r="F458" s="435"/>
      <c r="G458" s="430"/>
      <c r="H458" s="435"/>
      <c r="I458" s="361"/>
    </row>
    <row r="459" spans="1:9" ht="19.5" thickBot="1" x14ac:dyDescent="0.35">
      <c r="C459" s="452" t="s">
        <v>5731</v>
      </c>
      <c r="D459" s="453">
        <f>SUM(D61:D458)</f>
        <v>193</v>
      </c>
      <c r="E459" s="1477">
        <f>+NOMINA!Z303-D459</f>
        <v>0</v>
      </c>
    </row>
    <row r="460" spans="1:9" s="364" customFormat="1" ht="15.75" thickBot="1" x14ac:dyDescent="0.3">
      <c r="A460" s="356"/>
      <c r="D460" s="454"/>
      <c r="F460" s="447"/>
      <c r="G460" s="427"/>
      <c r="H460" s="447"/>
    </row>
    <row r="461" spans="1:9" ht="19.5" thickBot="1" x14ac:dyDescent="0.35">
      <c r="A461" s="1826" t="s">
        <v>5732</v>
      </c>
      <c r="B461" s="1827"/>
      <c r="C461" s="1827"/>
      <c r="D461" s="1827"/>
      <c r="E461" s="1827"/>
      <c r="F461" s="1827"/>
      <c r="G461" s="1827"/>
      <c r="H461" s="1827"/>
      <c r="I461" s="1828"/>
    </row>
    <row r="463" spans="1:9" x14ac:dyDescent="0.25">
      <c r="A463" s="432">
        <v>6902701</v>
      </c>
      <c r="B463" s="433" t="s">
        <v>4963</v>
      </c>
      <c r="C463" s="433" t="s">
        <v>5086</v>
      </c>
      <c r="D463" s="894">
        <v>1</v>
      </c>
      <c r="E463" s="433" t="s">
        <v>5753</v>
      </c>
      <c r="F463" s="436" t="s">
        <v>4620</v>
      </c>
      <c r="G463" s="434">
        <v>40983</v>
      </c>
      <c r="H463" s="436">
        <f t="shared" ref="H463" si="24">DATEDIF(G463,$G$6,"Y")</f>
        <v>13</v>
      </c>
      <c r="I463" s="433"/>
    </row>
    <row r="464" spans="1:9" x14ac:dyDescent="0.25">
      <c r="A464" s="432"/>
      <c r="B464" s="433"/>
      <c r="C464" s="433"/>
      <c r="D464" s="894"/>
      <c r="E464" s="433"/>
      <c r="F464" s="436"/>
      <c r="G464" s="434"/>
      <c r="H464" s="436"/>
      <c r="I464" s="433"/>
    </row>
    <row r="465" spans="1:9" x14ac:dyDescent="0.25">
      <c r="A465" s="432">
        <v>12044124</v>
      </c>
      <c r="B465" s="433" t="s">
        <v>5737</v>
      </c>
      <c r="C465" s="433" t="s">
        <v>5747</v>
      </c>
      <c r="D465" s="894">
        <v>0</v>
      </c>
      <c r="E465" s="433" t="s">
        <v>6050</v>
      </c>
      <c r="F465" s="436" t="s">
        <v>4621</v>
      </c>
      <c r="G465" s="434">
        <v>39032</v>
      </c>
      <c r="H465" s="436">
        <f t="shared" ref="H465" si="25">DATEDIF(G465,$G$6,"Y")</f>
        <v>18</v>
      </c>
      <c r="I465" s="433" t="s">
        <v>5774</v>
      </c>
    </row>
    <row r="466" spans="1:9" x14ac:dyDescent="0.25">
      <c r="A466" s="432"/>
      <c r="B466" s="433"/>
      <c r="C466" s="433"/>
      <c r="D466" s="894"/>
      <c r="E466" s="433" t="s">
        <v>2904</v>
      </c>
      <c r="F466" s="436"/>
      <c r="G466" s="434"/>
      <c r="H466" s="436"/>
      <c r="I466" s="433"/>
    </row>
    <row r="467" spans="1:9" x14ac:dyDescent="0.25">
      <c r="A467" s="432">
        <v>12044754</v>
      </c>
      <c r="B467" s="433" t="s">
        <v>4998</v>
      </c>
      <c r="C467" s="433" t="s">
        <v>5750</v>
      </c>
      <c r="D467" s="894">
        <v>0</v>
      </c>
      <c r="E467" s="433" t="s">
        <v>6051</v>
      </c>
      <c r="F467" s="436" t="s">
        <v>4620</v>
      </c>
      <c r="G467" s="434">
        <v>38002</v>
      </c>
      <c r="H467" s="436">
        <f>DATEDIF(G467,$G$6,"Y")</f>
        <v>21</v>
      </c>
      <c r="I467" s="433" t="s">
        <v>5774</v>
      </c>
    </row>
    <row r="468" spans="1:9" x14ac:dyDescent="0.25">
      <c r="D468" s="895"/>
      <c r="E468" s="364"/>
    </row>
    <row r="469" spans="1:9" x14ac:dyDescent="0.25">
      <c r="A469" s="432">
        <v>12046834</v>
      </c>
      <c r="B469" s="433" t="s">
        <v>5745</v>
      </c>
      <c r="C469" s="433" t="s">
        <v>3320</v>
      </c>
      <c r="D469" s="894">
        <v>1</v>
      </c>
      <c r="E469" s="433" t="s">
        <v>6055</v>
      </c>
      <c r="F469" s="436" t="s">
        <v>4620</v>
      </c>
      <c r="G469" s="434">
        <v>41103</v>
      </c>
      <c r="H469" s="436">
        <f t="shared" ref="H469:H470" si="26">DATEDIF(G469,$G$6,"Y")</f>
        <v>13</v>
      </c>
      <c r="I469" s="433"/>
    </row>
    <row r="470" spans="1:9" x14ac:dyDescent="0.25">
      <c r="A470" s="432">
        <v>12046834</v>
      </c>
      <c r="B470" s="433" t="s">
        <v>5745</v>
      </c>
      <c r="C470" s="433" t="s">
        <v>3320</v>
      </c>
      <c r="D470" s="894"/>
      <c r="E470" s="433" t="s">
        <v>6056</v>
      </c>
      <c r="F470" s="436" t="s">
        <v>4620</v>
      </c>
      <c r="G470" s="434">
        <v>38118</v>
      </c>
      <c r="H470" s="436">
        <f t="shared" si="26"/>
        <v>21</v>
      </c>
      <c r="I470" s="433" t="s">
        <v>5774</v>
      </c>
    </row>
    <row r="471" spans="1:9" x14ac:dyDescent="0.25">
      <c r="D471" s="895"/>
      <c r="E471" s="364"/>
    </row>
    <row r="472" spans="1:9" x14ac:dyDescent="0.25">
      <c r="A472" s="432">
        <v>12047016</v>
      </c>
      <c r="B472" s="433" t="s">
        <v>5000</v>
      </c>
      <c r="C472" s="433" t="s">
        <v>5085</v>
      </c>
      <c r="D472" s="894">
        <v>1</v>
      </c>
      <c r="E472" s="433" t="s">
        <v>5756</v>
      </c>
      <c r="F472" s="436" t="s">
        <v>4620</v>
      </c>
      <c r="G472" s="434">
        <v>43021</v>
      </c>
      <c r="H472" s="436">
        <f t="shared" ref="H472" si="27">DATEDIF(G472,$G$6,"Y")</f>
        <v>7</v>
      </c>
      <c r="I472" s="433"/>
    </row>
    <row r="473" spans="1:9" x14ac:dyDescent="0.25">
      <c r="A473" s="432"/>
      <c r="B473" s="433"/>
      <c r="C473" s="433"/>
      <c r="D473" s="894"/>
      <c r="E473" s="433" t="s">
        <v>2904</v>
      </c>
      <c r="F473" s="436"/>
      <c r="G473" s="434"/>
      <c r="H473" s="436"/>
      <c r="I473" s="433"/>
    </row>
    <row r="474" spans="1:9" x14ac:dyDescent="0.25">
      <c r="A474" s="432">
        <v>12457325</v>
      </c>
      <c r="B474" s="433" t="s">
        <v>5001</v>
      </c>
      <c r="C474" s="433" t="s">
        <v>5747</v>
      </c>
      <c r="D474" s="894">
        <v>0</v>
      </c>
      <c r="E474" s="433" t="s">
        <v>6052</v>
      </c>
      <c r="F474" s="436" t="s">
        <v>4621</v>
      </c>
      <c r="G474" s="434">
        <v>38255</v>
      </c>
      <c r="H474" s="436">
        <f t="shared" ref="H474" si="28">DATEDIF(G474,$G$6,"Y")</f>
        <v>21</v>
      </c>
      <c r="I474" s="433" t="s">
        <v>5774</v>
      </c>
    </row>
    <row r="475" spans="1:9" x14ac:dyDescent="0.25">
      <c r="A475" s="432"/>
      <c r="B475" s="433"/>
      <c r="C475" s="433"/>
      <c r="D475" s="894"/>
      <c r="E475" s="433" t="s">
        <v>2904</v>
      </c>
      <c r="F475" s="436"/>
      <c r="G475" s="434"/>
      <c r="H475" s="436"/>
      <c r="I475" s="433"/>
    </row>
    <row r="476" spans="1:9" x14ac:dyDescent="0.25">
      <c r="A476" s="432">
        <v>12797543</v>
      </c>
      <c r="B476" s="433" t="s">
        <v>5743</v>
      </c>
      <c r="C476" s="433" t="s">
        <v>2511</v>
      </c>
      <c r="D476" s="894">
        <v>0</v>
      </c>
      <c r="E476" s="433" t="s">
        <v>6057</v>
      </c>
      <c r="F476" s="436" t="s">
        <v>4621</v>
      </c>
      <c r="G476" s="434">
        <v>37523</v>
      </c>
      <c r="H476" s="436">
        <f t="shared" ref="H476:H477" si="29">DATEDIF(G476,$G$6,"Y")</f>
        <v>23</v>
      </c>
      <c r="I476" s="433" t="s">
        <v>5774</v>
      </c>
    </row>
    <row r="477" spans="1:9" x14ac:dyDescent="0.25">
      <c r="A477" s="432"/>
      <c r="B477" s="433"/>
      <c r="C477" s="433"/>
      <c r="D477" s="894"/>
      <c r="E477" s="433" t="s">
        <v>6058</v>
      </c>
      <c r="F477" s="436" t="s">
        <v>4621</v>
      </c>
      <c r="G477" s="434">
        <v>38546</v>
      </c>
      <c r="H477" s="436">
        <f t="shared" si="29"/>
        <v>20</v>
      </c>
      <c r="I477" s="433" t="s">
        <v>5774</v>
      </c>
    </row>
    <row r="478" spans="1:9" s="364" customFormat="1" x14ac:dyDescent="0.25">
      <c r="A478" s="438"/>
      <c r="B478" s="439"/>
      <c r="C478" s="439"/>
      <c r="D478" s="896"/>
      <c r="E478" s="439" t="s">
        <v>2904</v>
      </c>
      <c r="F478" s="441"/>
      <c r="G478" s="440"/>
      <c r="H478" s="441"/>
      <c r="I478" s="439"/>
    </row>
    <row r="479" spans="1:9" x14ac:dyDescent="0.25">
      <c r="A479" s="432">
        <v>12797598</v>
      </c>
      <c r="B479" s="433" t="s">
        <v>5003</v>
      </c>
      <c r="C479" s="433" t="s">
        <v>5091</v>
      </c>
      <c r="D479" s="894">
        <v>1</v>
      </c>
      <c r="E479" s="433" t="s">
        <v>6053</v>
      </c>
      <c r="F479" s="436" t="s">
        <v>4620</v>
      </c>
      <c r="G479" s="434">
        <v>41148</v>
      </c>
      <c r="H479" s="436">
        <f t="shared" ref="H479" si="30">DATEDIF(G479,$G$6,"Y")</f>
        <v>13</v>
      </c>
      <c r="I479" s="433"/>
    </row>
    <row r="480" spans="1:9" s="364" customFormat="1" x14ac:dyDescent="0.25">
      <c r="A480" s="438"/>
      <c r="B480" s="439"/>
      <c r="C480" s="439"/>
      <c r="D480" s="896"/>
      <c r="E480" s="439" t="s">
        <v>2904</v>
      </c>
      <c r="F480" s="441"/>
      <c r="G480" s="440"/>
      <c r="H480" s="441"/>
      <c r="I480" s="439"/>
    </row>
    <row r="481" spans="1:9" s="364" customFormat="1" x14ac:dyDescent="0.25">
      <c r="A481" s="432">
        <v>13376729</v>
      </c>
      <c r="B481" s="433" t="s">
        <v>5741</v>
      </c>
      <c r="C481" s="433" t="s">
        <v>2830</v>
      </c>
      <c r="D481" s="894">
        <v>1</v>
      </c>
      <c r="E481" s="433" t="s">
        <v>6054</v>
      </c>
      <c r="F481" s="436" t="s">
        <v>4620</v>
      </c>
      <c r="G481" s="434">
        <v>41867</v>
      </c>
      <c r="H481" s="436">
        <f t="shared" ref="H481" si="31">DATEDIF(G481,$G$6,"Y")</f>
        <v>11</v>
      </c>
      <c r="I481" s="433"/>
    </row>
    <row r="482" spans="1:9" s="364" customFormat="1" x14ac:dyDescent="0.25">
      <c r="A482" s="438"/>
      <c r="B482" s="439"/>
      <c r="C482" s="439"/>
      <c r="D482" s="896"/>
      <c r="E482" s="439" t="s">
        <v>2904</v>
      </c>
      <c r="F482" s="441"/>
      <c r="G482" s="440"/>
      <c r="H482" s="441"/>
      <c r="I482" s="439"/>
    </row>
    <row r="483" spans="1:9" s="364" customFormat="1" x14ac:dyDescent="0.25">
      <c r="A483" s="432">
        <v>13745328</v>
      </c>
      <c r="B483" s="433" t="s">
        <v>5008</v>
      </c>
      <c r="C483" s="433" t="s">
        <v>5084</v>
      </c>
      <c r="D483" s="894">
        <v>1</v>
      </c>
      <c r="E483" s="433" t="s">
        <v>6059</v>
      </c>
      <c r="F483" s="436" t="s">
        <v>4621</v>
      </c>
      <c r="G483" s="434">
        <v>39919</v>
      </c>
      <c r="H483" s="436">
        <f t="shared" ref="H483" si="32">DATEDIF(G483,$G$6,"Y")</f>
        <v>16</v>
      </c>
      <c r="I483" s="433"/>
    </row>
    <row r="484" spans="1:9" s="364" customFormat="1" x14ac:dyDescent="0.25">
      <c r="A484" s="438"/>
      <c r="B484" s="439"/>
      <c r="C484" s="439"/>
      <c r="D484" s="896"/>
      <c r="E484" s="439"/>
      <c r="F484" s="441"/>
      <c r="G484" s="440"/>
      <c r="H484" s="441"/>
      <c r="I484" s="439"/>
    </row>
    <row r="485" spans="1:9" s="364" customFormat="1" x14ac:dyDescent="0.25">
      <c r="A485" s="432">
        <v>13996661</v>
      </c>
      <c r="B485" s="433" t="s">
        <v>5009</v>
      </c>
      <c r="C485" s="433" t="s">
        <v>5084</v>
      </c>
      <c r="D485" s="894">
        <v>1</v>
      </c>
      <c r="E485" s="433" t="s">
        <v>5754</v>
      </c>
      <c r="F485" s="436" t="s">
        <v>4620</v>
      </c>
      <c r="G485" s="434">
        <v>40760</v>
      </c>
      <c r="H485" s="436">
        <f t="shared" ref="H485:H486" si="33">DATEDIF(G485,$G$6,"Y")</f>
        <v>14</v>
      </c>
      <c r="I485" s="433"/>
    </row>
    <row r="486" spans="1:9" s="364" customFormat="1" x14ac:dyDescent="0.25">
      <c r="A486" s="432"/>
      <c r="B486" s="433"/>
      <c r="C486" s="433"/>
      <c r="D486" s="894"/>
      <c r="E486" s="433" t="s">
        <v>5755</v>
      </c>
      <c r="F486" s="436" t="s">
        <v>4620</v>
      </c>
      <c r="G486" s="434">
        <v>36733</v>
      </c>
      <c r="H486" s="436">
        <f t="shared" si="33"/>
        <v>25</v>
      </c>
      <c r="I486" s="433" t="s">
        <v>5730</v>
      </c>
    </row>
    <row r="487" spans="1:9" s="364" customFormat="1" x14ac:dyDescent="0.25">
      <c r="A487" s="438"/>
      <c r="B487" s="439"/>
      <c r="C487" s="439"/>
      <c r="D487" s="896"/>
      <c r="E487" s="439"/>
      <c r="F487" s="441"/>
      <c r="G487" s="440"/>
      <c r="H487" s="441"/>
      <c r="I487" s="439"/>
    </row>
    <row r="488" spans="1:9" s="364" customFormat="1" x14ac:dyDescent="0.25">
      <c r="A488" s="432">
        <v>14149971</v>
      </c>
      <c r="B488" s="433" t="s">
        <v>5734</v>
      </c>
      <c r="C488" s="433" t="s">
        <v>5748</v>
      </c>
      <c r="D488" s="894">
        <v>0</v>
      </c>
      <c r="E488" s="433" t="s">
        <v>6060</v>
      </c>
      <c r="F488" s="436" t="s">
        <v>4620</v>
      </c>
      <c r="G488" s="434">
        <v>39088</v>
      </c>
      <c r="H488" s="436">
        <f>DATEDIF(G488,$G$6,"Y")</f>
        <v>18</v>
      </c>
      <c r="I488" s="433" t="s">
        <v>5730</v>
      </c>
    </row>
    <row r="489" spans="1:9" s="364" customFormat="1" x14ac:dyDescent="0.25">
      <c r="A489" s="438"/>
      <c r="B489" s="439"/>
      <c r="C489" s="439"/>
      <c r="D489" s="896"/>
      <c r="E489" s="439" t="s">
        <v>2904</v>
      </c>
      <c r="F489" s="441"/>
      <c r="G489" s="440"/>
      <c r="H489" s="441"/>
      <c r="I489" s="439"/>
    </row>
    <row r="490" spans="1:9" s="364" customFormat="1" x14ac:dyDescent="0.25">
      <c r="A490" s="432">
        <v>14150495</v>
      </c>
      <c r="B490" s="433" t="s">
        <v>5012</v>
      </c>
      <c r="C490" s="433" t="s">
        <v>5087</v>
      </c>
      <c r="D490" s="894">
        <v>0</v>
      </c>
      <c r="E490" s="433" t="s">
        <v>6061</v>
      </c>
      <c r="F490" s="436" t="s">
        <v>4621</v>
      </c>
      <c r="G490" s="434">
        <v>38137</v>
      </c>
      <c r="H490" s="436">
        <f>DATEDIF(G490,$G$6,"Y")</f>
        <v>21</v>
      </c>
      <c r="I490" s="433" t="s">
        <v>5730</v>
      </c>
    </row>
    <row r="491" spans="1:9" s="364" customFormat="1" x14ac:dyDescent="0.25">
      <c r="A491" s="438"/>
      <c r="B491" s="439"/>
      <c r="C491" s="439"/>
      <c r="D491" s="896"/>
      <c r="E491" s="439" t="s">
        <v>2904</v>
      </c>
      <c r="F491" s="441"/>
      <c r="G491" s="440"/>
      <c r="H491" s="441"/>
      <c r="I491" s="439"/>
    </row>
    <row r="492" spans="1:9" s="364" customFormat="1" x14ac:dyDescent="0.25">
      <c r="A492" s="432">
        <v>14718468</v>
      </c>
      <c r="B492" s="364" t="s">
        <v>5015</v>
      </c>
      <c r="C492" s="433" t="s">
        <v>2540</v>
      </c>
      <c r="D492" s="894">
        <v>1</v>
      </c>
      <c r="E492" s="433" t="s">
        <v>6063</v>
      </c>
      <c r="F492" s="436" t="s">
        <v>4620</v>
      </c>
      <c r="G492" s="434">
        <v>37733</v>
      </c>
      <c r="H492" s="436">
        <f t="shared" ref="H492:H493" si="34">DATEDIF(G492,$G$6,"Y")</f>
        <v>22</v>
      </c>
      <c r="I492" s="433" t="s">
        <v>5730</v>
      </c>
    </row>
    <row r="493" spans="1:9" s="364" customFormat="1" x14ac:dyDescent="0.25">
      <c r="A493" s="432">
        <v>14718468</v>
      </c>
      <c r="B493" s="364" t="s">
        <v>5015</v>
      </c>
      <c r="C493" s="433" t="s">
        <v>2540</v>
      </c>
      <c r="D493" s="894"/>
      <c r="E493" s="433" t="s">
        <v>5716</v>
      </c>
      <c r="F493" s="436" t="s">
        <v>4620</v>
      </c>
      <c r="G493" s="434">
        <v>43719</v>
      </c>
      <c r="H493" s="436">
        <f t="shared" si="34"/>
        <v>6</v>
      </c>
      <c r="I493" s="433"/>
    </row>
    <row r="494" spans="1:9" s="364" customFormat="1" x14ac:dyDescent="0.25">
      <c r="A494" s="438"/>
      <c r="B494" s="439"/>
      <c r="C494" s="439"/>
      <c r="D494" s="896"/>
      <c r="E494" s="439" t="s">
        <v>2904</v>
      </c>
      <c r="F494" s="441"/>
      <c r="G494" s="440"/>
      <c r="H494" s="441"/>
      <c r="I494" s="439"/>
    </row>
    <row r="495" spans="1:9" s="364" customFormat="1" x14ac:dyDescent="0.25">
      <c r="A495" s="432">
        <v>14719205</v>
      </c>
      <c r="B495" s="433" t="s">
        <v>5736</v>
      </c>
      <c r="C495" s="433" t="s">
        <v>5747</v>
      </c>
      <c r="D495" s="894">
        <v>0</v>
      </c>
      <c r="E495" s="433" t="s">
        <v>6062</v>
      </c>
      <c r="F495" s="436" t="s">
        <v>4620</v>
      </c>
      <c r="G495" s="434">
        <v>38687</v>
      </c>
      <c r="H495" s="436">
        <f>DATEDIF(G495,$G$6,"Y")</f>
        <v>19</v>
      </c>
      <c r="I495" s="433" t="s">
        <v>5580</v>
      </c>
    </row>
    <row r="496" spans="1:9" s="364" customFormat="1" x14ac:dyDescent="0.25">
      <c r="A496" s="438"/>
      <c r="B496" s="439"/>
      <c r="C496" s="439"/>
      <c r="D496" s="896"/>
      <c r="E496" s="439"/>
      <c r="F496" s="441"/>
      <c r="G496" s="440"/>
      <c r="H496" s="441"/>
      <c r="I496" s="439"/>
    </row>
    <row r="497" spans="1:9" s="364" customFormat="1" x14ac:dyDescent="0.25">
      <c r="A497" s="432">
        <v>14719356</v>
      </c>
      <c r="B497" s="433" t="s">
        <v>5017</v>
      </c>
      <c r="C497" s="433" t="s">
        <v>5084</v>
      </c>
      <c r="D497" s="894">
        <v>2</v>
      </c>
      <c r="E497" s="433" t="s">
        <v>6069</v>
      </c>
      <c r="F497" s="436" t="s">
        <v>4621</v>
      </c>
      <c r="G497" s="434">
        <v>43133</v>
      </c>
      <c r="H497" s="436">
        <f t="shared" ref="H497:H499" si="35">DATEDIF(G497,$G$6,"Y")</f>
        <v>7</v>
      </c>
      <c r="I497" s="433"/>
    </row>
    <row r="498" spans="1:9" s="364" customFormat="1" x14ac:dyDescent="0.25">
      <c r="A498" s="432">
        <v>14719356</v>
      </c>
      <c r="B498" s="433" t="s">
        <v>5017</v>
      </c>
      <c r="C498" s="433" t="s">
        <v>5084</v>
      </c>
      <c r="D498" s="894"/>
      <c r="E498" s="433" t="s">
        <v>6070</v>
      </c>
      <c r="F498" s="436" t="s">
        <v>4620</v>
      </c>
      <c r="G498" s="434">
        <v>42383</v>
      </c>
      <c r="H498" s="436">
        <f t="shared" si="35"/>
        <v>9</v>
      </c>
      <c r="I498" s="433"/>
    </row>
    <row r="499" spans="1:9" s="364" customFormat="1" x14ac:dyDescent="0.25">
      <c r="A499" s="432">
        <v>14719356</v>
      </c>
      <c r="B499" s="433" t="s">
        <v>5017</v>
      </c>
      <c r="C499" s="433" t="s">
        <v>5084</v>
      </c>
      <c r="D499" s="894"/>
      <c r="E499" s="433" t="s">
        <v>6071</v>
      </c>
      <c r="F499" s="436" t="s">
        <v>4620</v>
      </c>
      <c r="G499" s="434">
        <v>40902</v>
      </c>
      <c r="H499" s="436">
        <f t="shared" si="35"/>
        <v>13</v>
      </c>
      <c r="I499" s="433"/>
    </row>
    <row r="500" spans="1:9" s="364" customFormat="1" x14ac:dyDescent="0.25">
      <c r="A500" s="438"/>
      <c r="B500" s="439"/>
      <c r="C500" s="439"/>
      <c r="D500" s="896"/>
      <c r="E500" s="439" t="s">
        <v>2904</v>
      </c>
      <c r="F500" s="441"/>
      <c r="G500" s="440"/>
      <c r="H500" s="441"/>
      <c r="I500" s="439"/>
    </row>
    <row r="501" spans="1:9" s="364" customFormat="1" x14ac:dyDescent="0.25">
      <c r="A501" s="905">
        <v>15042683</v>
      </c>
      <c r="B501" s="906" t="s">
        <v>5959</v>
      </c>
      <c r="C501" s="906" t="s">
        <v>5092</v>
      </c>
      <c r="D501" s="907">
        <v>1</v>
      </c>
      <c r="E501" s="906" t="s">
        <v>5960</v>
      </c>
      <c r="F501" s="436" t="s">
        <v>4621</v>
      </c>
      <c r="G501" s="434">
        <v>39661</v>
      </c>
      <c r="H501" s="436">
        <f t="shared" ref="H501" si="36">DATEDIF(G501,$G$6,"Y")</f>
        <v>17</v>
      </c>
      <c r="I501" s="906"/>
    </row>
    <row r="502" spans="1:9" s="364" customFormat="1" x14ac:dyDescent="0.25">
      <c r="A502" s="905"/>
      <c r="B502" s="906"/>
      <c r="C502" s="906"/>
      <c r="D502" s="907"/>
      <c r="E502" s="906" t="s">
        <v>2904</v>
      </c>
      <c r="F502" s="908"/>
      <c r="G502" s="909"/>
      <c r="H502" s="908"/>
      <c r="I502" s="906"/>
    </row>
    <row r="503" spans="1:9" s="364" customFormat="1" x14ac:dyDescent="0.25">
      <c r="A503" s="432">
        <v>15583194</v>
      </c>
      <c r="B503" s="433" t="s">
        <v>5021</v>
      </c>
      <c r="C503" s="433" t="s">
        <v>3320</v>
      </c>
      <c r="D503" s="894">
        <v>1</v>
      </c>
      <c r="E503" s="433" t="s">
        <v>5650</v>
      </c>
      <c r="F503" s="436" t="s">
        <v>4621</v>
      </c>
      <c r="G503" s="434">
        <v>39094</v>
      </c>
      <c r="H503" s="436">
        <f t="shared" ref="H503:H504" si="37">DATEDIF(G503,$G$6,"Y")</f>
        <v>18</v>
      </c>
      <c r="I503" s="433" t="s">
        <v>5730</v>
      </c>
    </row>
    <row r="504" spans="1:9" s="364" customFormat="1" x14ac:dyDescent="0.25">
      <c r="A504" s="432">
        <v>15583194</v>
      </c>
      <c r="B504" s="433" t="s">
        <v>5021</v>
      </c>
      <c r="C504" s="433" t="s">
        <v>3320</v>
      </c>
      <c r="D504" s="894"/>
      <c r="E504" s="433" t="s">
        <v>5651</v>
      </c>
      <c r="F504" s="436" t="s">
        <v>4620</v>
      </c>
      <c r="G504" s="434">
        <v>41283</v>
      </c>
      <c r="H504" s="436">
        <f t="shared" si="37"/>
        <v>12</v>
      </c>
      <c r="I504" s="433"/>
    </row>
    <row r="505" spans="1:9" s="364" customFormat="1" x14ac:dyDescent="0.25">
      <c r="A505" s="438"/>
      <c r="B505" s="439"/>
      <c r="C505" s="439"/>
      <c r="D505" s="896"/>
      <c r="E505" s="439" t="s">
        <v>2904</v>
      </c>
      <c r="F505" s="441"/>
      <c r="G505" s="440"/>
      <c r="H505" s="441"/>
      <c r="I505" s="439"/>
    </row>
    <row r="506" spans="1:9" s="364" customFormat="1" x14ac:dyDescent="0.25">
      <c r="A506" s="432">
        <v>15953703</v>
      </c>
      <c r="B506" s="364" t="s">
        <v>5023</v>
      </c>
      <c r="C506" s="433" t="s">
        <v>5747</v>
      </c>
      <c r="D506" s="894">
        <v>2</v>
      </c>
      <c r="E506" s="433" t="s">
        <v>6064</v>
      </c>
      <c r="F506" s="436" t="s">
        <v>4621</v>
      </c>
      <c r="G506" s="434">
        <v>43251</v>
      </c>
      <c r="H506" s="436">
        <f t="shared" ref="H506:H508" si="38">DATEDIF(G506,$G$6,"Y")</f>
        <v>7</v>
      </c>
      <c r="I506" s="433"/>
    </row>
    <row r="507" spans="1:9" s="364" customFormat="1" x14ac:dyDescent="0.25">
      <c r="A507" s="432">
        <v>15953703</v>
      </c>
      <c r="B507" s="364" t="s">
        <v>5023</v>
      </c>
      <c r="C507" s="433" t="s">
        <v>5747</v>
      </c>
      <c r="D507" s="894"/>
      <c r="E507" s="433" t="s">
        <v>6065</v>
      </c>
      <c r="F507" s="436" t="s">
        <v>4620</v>
      </c>
      <c r="G507" s="434">
        <v>42244</v>
      </c>
      <c r="H507" s="436">
        <f t="shared" si="38"/>
        <v>10</v>
      </c>
      <c r="I507" s="433"/>
    </row>
    <row r="508" spans="1:9" s="364" customFormat="1" x14ac:dyDescent="0.25">
      <c r="A508" s="432">
        <v>15953703</v>
      </c>
      <c r="B508" s="364" t="s">
        <v>5023</v>
      </c>
      <c r="C508" s="433" t="s">
        <v>5747</v>
      </c>
      <c r="D508" s="894"/>
      <c r="E508" s="433" t="s">
        <v>6066</v>
      </c>
      <c r="F508" s="436" t="s">
        <v>4620</v>
      </c>
      <c r="G508" s="434">
        <v>40520</v>
      </c>
      <c r="H508" s="436">
        <f t="shared" si="38"/>
        <v>14</v>
      </c>
      <c r="I508" s="433"/>
    </row>
    <row r="509" spans="1:9" s="364" customFormat="1" x14ac:dyDescent="0.25">
      <c r="A509" s="438"/>
      <c r="B509" s="439"/>
      <c r="C509" s="439"/>
      <c r="D509" s="896"/>
      <c r="E509" s="439" t="s">
        <v>2904</v>
      </c>
      <c r="F509" s="441"/>
      <c r="G509" s="440"/>
      <c r="H509" s="441"/>
      <c r="I509" s="439"/>
    </row>
    <row r="510" spans="1:9" s="364" customFormat="1" x14ac:dyDescent="0.25">
      <c r="A510" s="432">
        <v>16266801</v>
      </c>
      <c r="B510" s="364" t="s">
        <v>5024</v>
      </c>
      <c r="C510" s="433" t="s">
        <v>5749</v>
      </c>
      <c r="D510" s="894">
        <v>1</v>
      </c>
      <c r="E510" s="433" t="s">
        <v>6067</v>
      </c>
      <c r="F510" s="436" t="s">
        <v>4621</v>
      </c>
      <c r="G510" s="434">
        <v>38167</v>
      </c>
      <c r="H510" s="436">
        <f t="shared" ref="H510:H511" si="39">DATEDIF(G510,$G$6,"Y")</f>
        <v>21</v>
      </c>
      <c r="I510" s="433" t="s">
        <v>5730</v>
      </c>
    </row>
    <row r="511" spans="1:9" s="364" customFormat="1" x14ac:dyDescent="0.25">
      <c r="A511" s="432">
        <v>16266801</v>
      </c>
      <c r="B511" s="364" t="s">
        <v>5024</v>
      </c>
      <c r="C511" s="433" t="s">
        <v>5749</v>
      </c>
      <c r="D511" s="894"/>
      <c r="E511" s="433" t="s">
        <v>6068</v>
      </c>
      <c r="F511" s="436" t="s">
        <v>4620</v>
      </c>
      <c r="G511" s="434">
        <v>42055</v>
      </c>
      <c r="H511" s="436">
        <f t="shared" si="39"/>
        <v>10</v>
      </c>
      <c r="I511" s="433"/>
    </row>
    <row r="512" spans="1:9" s="364" customFormat="1" x14ac:dyDescent="0.25">
      <c r="A512" s="438"/>
      <c r="B512" s="439"/>
      <c r="C512" s="439"/>
      <c r="D512" s="896"/>
      <c r="E512" s="439"/>
      <c r="F512" s="441"/>
      <c r="G512" s="440"/>
      <c r="H512" s="441"/>
      <c r="I512" s="439"/>
    </row>
    <row r="513" spans="1:9" s="364" customFormat="1" x14ac:dyDescent="0.25">
      <c r="A513" s="432">
        <v>16739958</v>
      </c>
      <c r="B513" s="433" t="s">
        <v>5082</v>
      </c>
      <c r="C513" s="433" t="s">
        <v>5096</v>
      </c>
      <c r="D513" s="894">
        <v>2</v>
      </c>
      <c r="E513" s="433" t="s">
        <v>6072</v>
      </c>
      <c r="F513" s="436" t="s">
        <v>4620</v>
      </c>
      <c r="G513" s="434">
        <v>40955</v>
      </c>
      <c r="H513" s="436">
        <f t="shared" ref="H513:H515" si="40">DATEDIF(G513,$G$6,"Y")</f>
        <v>13</v>
      </c>
      <c r="I513" s="433"/>
    </row>
    <row r="514" spans="1:9" s="364" customFormat="1" x14ac:dyDescent="0.25">
      <c r="A514" s="432">
        <v>16739958</v>
      </c>
      <c r="B514" s="433" t="s">
        <v>5082</v>
      </c>
      <c r="C514" s="433" t="s">
        <v>5096</v>
      </c>
      <c r="D514" s="894"/>
      <c r="E514" s="433" t="s">
        <v>6073</v>
      </c>
      <c r="F514" s="436" t="s">
        <v>4621</v>
      </c>
      <c r="G514" s="434">
        <v>38346</v>
      </c>
      <c r="H514" s="436">
        <f t="shared" si="40"/>
        <v>20</v>
      </c>
      <c r="I514" s="433" t="s">
        <v>5730</v>
      </c>
    </row>
    <row r="515" spans="1:9" s="364" customFormat="1" x14ac:dyDescent="0.25">
      <c r="A515" s="432">
        <v>16739958</v>
      </c>
      <c r="B515" s="433" t="s">
        <v>5082</v>
      </c>
      <c r="C515" s="433" t="s">
        <v>5096</v>
      </c>
      <c r="D515" s="894"/>
      <c r="E515" s="433" t="s">
        <v>6074</v>
      </c>
      <c r="F515" s="436" t="s">
        <v>4620</v>
      </c>
      <c r="G515" s="434">
        <v>40384</v>
      </c>
      <c r="H515" s="436">
        <f t="shared" si="40"/>
        <v>15</v>
      </c>
      <c r="I515" s="433"/>
    </row>
    <row r="516" spans="1:9" s="364" customFormat="1" x14ac:dyDescent="0.25">
      <c r="A516" s="438"/>
      <c r="B516" s="439"/>
      <c r="C516" s="439"/>
      <c r="D516" s="896"/>
      <c r="E516" s="439" t="s">
        <v>2904</v>
      </c>
      <c r="F516" s="441"/>
      <c r="G516" s="440"/>
      <c r="H516" s="441"/>
      <c r="I516" s="439"/>
    </row>
    <row r="517" spans="1:9" s="364" customFormat="1" x14ac:dyDescent="0.25">
      <c r="A517" s="432">
        <v>16881526</v>
      </c>
      <c r="B517" s="433" t="s">
        <v>5026</v>
      </c>
      <c r="C517" s="433" t="s">
        <v>5092</v>
      </c>
      <c r="D517" s="894">
        <v>2</v>
      </c>
      <c r="E517" s="433" t="s">
        <v>6075</v>
      </c>
      <c r="F517" s="436" t="s">
        <v>4620</v>
      </c>
      <c r="G517" s="434">
        <v>39127</v>
      </c>
      <c r="H517" s="436">
        <f t="shared" ref="H517:H519" si="41">DATEDIF(G517,$G$6,"Y")</f>
        <v>18</v>
      </c>
      <c r="I517" s="433" t="s">
        <v>5730</v>
      </c>
    </row>
    <row r="518" spans="1:9" s="364" customFormat="1" x14ac:dyDescent="0.25">
      <c r="A518" s="432">
        <v>16881526</v>
      </c>
      <c r="B518" s="433" t="s">
        <v>5026</v>
      </c>
      <c r="C518" s="433" t="s">
        <v>5092</v>
      </c>
      <c r="D518" s="894"/>
      <c r="E518" s="433" t="s">
        <v>6076</v>
      </c>
      <c r="F518" s="436" t="s">
        <v>4620</v>
      </c>
      <c r="G518" s="434">
        <v>41142</v>
      </c>
      <c r="H518" s="436">
        <f t="shared" si="41"/>
        <v>13</v>
      </c>
      <c r="I518" s="433"/>
    </row>
    <row r="519" spans="1:9" s="364" customFormat="1" x14ac:dyDescent="0.25">
      <c r="A519" s="432">
        <v>16881526</v>
      </c>
      <c r="B519" s="433" t="s">
        <v>5026</v>
      </c>
      <c r="C519" s="433" t="s">
        <v>5092</v>
      </c>
      <c r="D519" s="896"/>
      <c r="E519" s="433" t="s">
        <v>6077</v>
      </c>
      <c r="F519" s="436" t="s">
        <v>4620</v>
      </c>
      <c r="G519" s="440">
        <v>45077</v>
      </c>
      <c r="H519" s="436">
        <f t="shared" si="41"/>
        <v>2</v>
      </c>
      <c r="I519" s="439"/>
    </row>
    <row r="520" spans="1:9" s="364" customFormat="1" x14ac:dyDescent="0.25">
      <c r="A520" s="438"/>
      <c r="B520" s="439"/>
      <c r="C520" s="439"/>
      <c r="D520" s="896"/>
      <c r="E520" s="439" t="s">
        <v>2904</v>
      </c>
      <c r="F520" s="441"/>
      <c r="G520" s="440"/>
      <c r="H520" s="441"/>
      <c r="I520" s="439"/>
    </row>
    <row r="521" spans="1:9" s="364" customFormat="1" x14ac:dyDescent="0.25">
      <c r="A521" s="432">
        <v>17093567</v>
      </c>
      <c r="B521" s="433" t="s">
        <v>5738</v>
      </c>
      <c r="C521" s="433" t="s">
        <v>5747</v>
      </c>
      <c r="D521" s="894">
        <v>0</v>
      </c>
      <c r="E521" s="433" t="s">
        <v>6078</v>
      </c>
      <c r="F521" s="436" t="s">
        <v>4621</v>
      </c>
      <c r="G521" s="434">
        <v>38291</v>
      </c>
      <c r="H521" s="436">
        <f t="shared" ref="H521:H522" si="42">DATEDIF(G521,$G$6,"Y")</f>
        <v>20</v>
      </c>
      <c r="I521" s="433" t="s">
        <v>5730</v>
      </c>
    </row>
    <row r="522" spans="1:9" s="364" customFormat="1" x14ac:dyDescent="0.25">
      <c r="A522" s="432">
        <v>17093567</v>
      </c>
      <c r="B522" s="433" t="s">
        <v>5738</v>
      </c>
      <c r="C522" s="433" t="s">
        <v>5747</v>
      </c>
      <c r="D522" s="894"/>
      <c r="E522" s="433" t="s">
        <v>6079</v>
      </c>
      <c r="F522" s="436" t="s">
        <v>4620</v>
      </c>
      <c r="G522" s="434">
        <v>38886</v>
      </c>
      <c r="H522" s="436">
        <f t="shared" si="42"/>
        <v>19</v>
      </c>
      <c r="I522" s="433" t="s">
        <v>5730</v>
      </c>
    </row>
    <row r="523" spans="1:9" s="364" customFormat="1" x14ac:dyDescent="0.25">
      <c r="A523" s="438"/>
      <c r="B523" s="439"/>
      <c r="C523" s="439"/>
      <c r="D523" s="896"/>
      <c r="E523" s="439"/>
      <c r="F523" s="441"/>
      <c r="G523" s="440"/>
      <c r="H523" s="441"/>
      <c r="I523" s="439"/>
    </row>
    <row r="524" spans="1:9" s="364" customFormat="1" x14ac:dyDescent="0.25">
      <c r="A524" s="432">
        <v>17095084</v>
      </c>
      <c r="B524" s="433" t="s">
        <v>5028</v>
      </c>
      <c r="C524" s="433" t="s">
        <v>5085</v>
      </c>
      <c r="D524" s="894">
        <v>2</v>
      </c>
      <c r="E524" s="433" t="s">
        <v>6086</v>
      </c>
      <c r="F524" s="436" t="s">
        <v>4621</v>
      </c>
      <c r="G524" s="434">
        <v>39294</v>
      </c>
      <c r="H524" s="436">
        <f t="shared" ref="H524:H528" si="43">DATEDIF(G524,$G$6,"Y")</f>
        <v>18</v>
      </c>
      <c r="I524" s="433" t="s">
        <v>5730</v>
      </c>
    </row>
    <row r="525" spans="1:9" s="364" customFormat="1" x14ac:dyDescent="0.25">
      <c r="A525" s="432">
        <v>17095084</v>
      </c>
      <c r="B525" s="433" t="s">
        <v>5028</v>
      </c>
      <c r="C525" s="433" t="s">
        <v>5085</v>
      </c>
      <c r="D525" s="894"/>
      <c r="E525" s="433" t="s">
        <v>6087</v>
      </c>
      <c r="F525" s="436" t="s">
        <v>4620</v>
      </c>
      <c r="G525" s="434">
        <v>40106</v>
      </c>
      <c r="H525" s="436">
        <f t="shared" si="43"/>
        <v>15</v>
      </c>
      <c r="I525" s="433"/>
    </row>
    <row r="526" spans="1:9" s="364" customFormat="1" x14ac:dyDescent="0.25">
      <c r="A526" s="432">
        <v>17095084</v>
      </c>
      <c r="B526" s="433" t="s">
        <v>5028</v>
      </c>
      <c r="C526" s="433" t="s">
        <v>5085</v>
      </c>
      <c r="D526" s="894"/>
      <c r="E526" s="433" t="s">
        <v>6088</v>
      </c>
      <c r="F526" s="436" t="s">
        <v>4620</v>
      </c>
      <c r="G526" s="434">
        <v>38730</v>
      </c>
      <c r="H526" s="436">
        <f t="shared" si="43"/>
        <v>19</v>
      </c>
      <c r="I526" s="433" t="s">
        <v>5730</v>
      </c>
    </row>
    <row r="527" spans="1:9" s="364" customFormat="1" x14ac:dyDescent="0.25">
      <c r="A527" s="432">
        <v>17095084</v>
      </c>
      <c r="B527" s="433" t="s">
        <v>5028</v>
      </c>
      <c r="C527" s="433" t="s">
        <v>5085</v>
      </c>
      <c r="D527" s="894"/>
      <c r="E527" s="433" t="s">
        <v>6089</v>
      </c>
      <c r="F527" s="436" t="s">
        <v>4620</v>
      </c>
      <c r="G527" s="434">
        <v>42916</v>
      </c>
      <c r="H527" s="436">
        <f t="shared" si="43"/>
        <v>8</v>
      </c>
      <c r="I527" s="433"/>
    </row>
    <row r="528" spans="1:9" s="364" customFormat="1" x14ac:dyDescent="0.25">
      <c r="A528" s="432">
        <v>17095084</v>
      </c>
      <c r="B528" s="433" t="s">
        <v>5028</v>
      </c>
      <c r="C528" s="433" t="s">
        <v>5085</v>
      </c>
      <c r="D528" s="894"/>
      <c r="E528" s="433" t="s">
        <v>6090</v>
      </c>
      <c r="F528" s="436" t="s">
        <v>4621</v>
      </c>
      <c r="G528" s="434">
        <v>41154</v>
      </c>
      <c r="H528" s="436">
        <f t="shared" si="43"/>
        <v>13</v>
      </c>
      <c r="I528" s="433"/>
    </row>
    <row r="529" spans="1:9" s="364" customFormat="1" x14ac:dyDescent="0.25">
      <c r="A529" s="438"/>
      <c r="B529" s="439"/>
      <c r="C529" s="439"/>
      <c r="D529" s="896"/>
      <c r="E529" s="439" t="s">
        <v>2904</v>
      </c>
      <c r="F529" s="441"/>
      <c r="G529" s="440"/>
      <c r="H529" s="441"/>
      <c r="I529" s="439"/>
    </row>
    <row r="530" spans="1:9" s="364" customFormat="1" x14ac:dyDescent="0.25">
      <c r="A530" s="432">
        <v>17267546</v>
      </c>
      <c r="B530" s="433" t="s">
        <v>5083</v>
      </c>
      <c r="C530" s="433" t="s">
        <v>5084</v>
      </c>
      <c r="D530" s="894">
        <v>1</v>
      </c>
      <c r="E530" s="433" t="s">
        <v>6080</v>
      </c>
      <c r="F530" s="436" t="s">
        <v>4620</v>
      </c>
      <c r="G530" s="434">
        <v>38681</v>
      </c>
      <c r="H530" s="436">
        <f t="shared" ref="H530:H534" si="44">DATEDIF(G530,$G$6,"Y")</f>
        <v>19</v>
      </c>
      <c r="I530" s="433" t="s">
        <v>5580</v>
      </c>
    </row>
    <row r="531" spans="1:9" s="364" customFormat="1" x14ac:dyDescent="0.25">
      <c r="A531" s="432"/>
      <c r="B531" s="433"/>
      <c r="C531" s="433"/>
      <c r="D531" s="894"/>
      <c r="E531" s="433" t="s">
        <v>6081</v>
      </c>
      <c r="F531" s="436" t="s">
        <v>4621</v>
      </c>
      <c r="G531" s="434">
        <v>39991</v>
      </c>
      <c r="H531" s="436">
        <f t="shared" si="44"/>
        <v>16</v>
      </c>
      <c r="I531" s="433"/>
    </row>
    <row r="532" spans="1:9" s="364" customFormat="1" x14ac:dyDescent="0.25">
      <c r="A532" s="1260"/>
      <c r="B532" s="1124"/>
      <c r="C532" s="1124"/>
      <c r="D532" s="1125"/>
      <c r="E532" s="1124"/>
      <c r="F532" s="1155"/>
      <c r="G532" s="1126"/>
      <c r="H532" s="1155"/>
      <c r="I532" s="1124"/>
    </row>
    <row r="533" spans="1:9" s="364" customFormat="1" x14ac:dyDescent="0.25">
      <c r="A533" s="1260">
        <v>18096032</v>
      </c>
      <c r="B533" s="1124" t="s">
        <v>6764</v>
      </c>
      <c r="C533" s="1124" t="s">
        <v>5094</v>
      </c>
      <c r="D533" s="1125">
        <v>2</v>
      </c>
      <c r="E533" s="1124" t="s">
        <v>6767</v>
      </c>
      <c r="F533" s="1155" t="s">
        <v>4620</v>
      </c>
      <c r="G533" s="1126">
        <v>39553</v>
      </c>
      <c r="H533" s="436">
        <f t="shared" si="44"/>
        <v>17</v>
      </c>
      <c r="I533" s="1124"/>
    </row>
    <row r="534" spans="1:9" s="364" customFormat="1" x14ac:dyDescent="0.25">
      <c r="A534" s="1260">
        <v>18096032</v>
      </c>
      <c r="B534" s="1124" t="s">
        <v>6764</v>
      </c>
      <c r="C534" s="1124"/>
      <c r="D534" s="1125"/>
      <c r="E534" s="1124" t="s">
        <v>6768</v>
      </c>
      <c r="F534" s="1155" t="s">
        <v>4621</v>
      </c>
      <c r="G534" s="1126">
        <v>41824</v>
      </c>
      <c r="H534" s="436">
        <f t="shared" si="44"/>
        <v>11</v>
      </c>
      <c r="I534" s="1124"/>
    </row>
    <row r="535" spans="1:9" s="364" customFormat="1" x14ac:dyDescent="0.25">
      <c r="A535" s="438"/>
      <c r="B535" s="439"/>
      <c r="C535" s="439"/>
      <c r="D535" s="896"/>
      <c r="E535" s="439" t="s">
        <v>2904</v>
      </c>
      <c r="F535" s="441"/>
      <c r="G535" s="440"/>
      <c r="H535" s="441"/>
      <c r="I535" s="439"/>
    </row>
    <row r="536" spans="1:9" s="364" customFormat="1" x14ac:dyDescent="0.25">
      <c r="A536" s="432">
        <v>18096338</v>
      </c>
      <c r="B536" s="433" t="s">
        <v>5733</v>
      </c>
      <c r="C536" s="433" t="s">
        <v>5747</v>
      </c>
      <c r="D536" s="894">
        <v>1</v>
      </c>
      <c r="E536" s="433" t="s">
        <v>6082</v>
      </c>
      <c r="F536" s="436" t="s">
        <v>4620</v>
      </c>
      <c r="G536" s="434">
        <v>38021</v>
      </c>
      <c r="H536" s="436">
        <f>DATEDIF(G536,$G$6,"Y")</f>
        <v>21</v>
      </c>
      <c r="I536" s="433" t="s">
        <v>5730</v>
      </c>
    </row>
    <row r="537" spans="1:9" s="364" customFormat="1" x14ac:dyDescent="0.25">
      <c r="A537" s="432"/>
      <c r="B537" s="433"/>
      <c r="C537" s="433"/>
      <c r="D537" s="894"/>
      <c r="E537" s="433" t="s">
        <v>6083</v>
      </c>
      <c r="F537" s="436" t="s">
        <v>4620</v>
      </c>
      <c r="G537" s="434">
        <v>38875</v>
      </c>
      <c r="H537" s="436">
        <f>DATEDIF(G537,$G$6,"Y")</f>
        <v>19</v>
      </c>
      <c r="I537" s="433" t="s">
        <v>5730</v>
      </c>
    </row>
    <row r="538" spans="1:9" s="364" customFormat="1" x14ac:dyDescent="0.25">
      <c r="A538" s="432"/>
      <c r="B538" s="433"/>
      <c r="C538" s="433"/>
      <c r="D538" s="894"/>
      <c r="E538" s="433" t="s">
        <v>6084</v>
      </c>
      <c r="F538" s="436" t="s">
        <v>4620</v>
      </c>
      <c r="G538" s="434">
        <v>39836</v>
      </c>
      <c r="H538" s="436">
        <f>DATEDIF(G538,$G$6,"Y")</f>
        <v>16</v>
      </c>
      <c r="I538" s="433"/>
    </row>
    <row r="539" spans="1:9" s="364" customFormat="1" x14ac:dyDescent="0.25">
      <c r="A539" s="438"/>
      <c r="B539" s="439"/>
      <c r="C539" s="439"/>
      <c r="D539" s="896"/>
      <c r="E539" s="439" t="s">
        <v>2904</v>
      </c>
      <c r="F539" s="441"/>
      <c r="G539" s="440"/>
      <c r="H539" s="441"/>
      <c r="I539" s="439"/>
    </row>
    <row r="540" spans="1:9" s="364" customFormat="1" x14ac:dyDescent="0.25">
      <c r="A540" s="432">
        <v>18350780</v>
      </c>
      <c r="B540" s="364" t="s">
        <v>5032</v>
      </c>
      <c r="C540" s="433" t="s">
        <v>5747</v>
      </c>
      <c r="D540" s="894">
        <v>1</v>
      </c>
      <c r="E540" s="433" t="s">
        <v>6085</v>
      </c>
      <c r="F540" s="436" t="s">
        <v>4620</v>
      </c>
      <c r="G540" s="434">
        <v>43212</v>
      </c>
      <c r="H540" s="436">
        <f>DATEDIF(G540,$G$6,"Y")</f>
        <v>7</v>
      </c>
      <c r="I540" s="433"/>
    </row>
    <row r="541" spans="1:9" s="364" customFormat="1" x14ac:dyDescent="0.25">
      <c r="A541" s="438"/>
      <c r="B541" s="439"/>
      <c r="C541" s="439"/>
      <c r="D541" s="896"/>
      <c r="E541" s="439"/>
      <c r="F541" s="441"/>
      <c r="G541" s="440"/>
      <c r="H541" s="441"/>
      <c r="I541" s="439"/>
    </row>
    <row r="542" spans="1:9" s="364" customFormat="1" x14ac:dyDescent="0.25">
      <c r="A542" s="432">
        <v>18456167</v>
      </c>
      <c r="B542" s="433" t="s">
        <v>5033</v>
      </c>
      <c r="C542" s="433" t="s">
        <v>5751</v>
      </c>
      <c r="D542" s="894">
        <v>2</v>
      </c>
      <c r="E542" s="433" t="s">
        <v>5752</v>
      </c>
      <c r="F542" s="436" t="s">
        <v>4621</v>
      </c>
      <c r="G542" s="434">
        <v>39502</v>
      </c>
      <c r="H542" s="436">
        <f t="shared" ref="H542:H543" si="45">DATEDIF(G542,$G$6,"Y")</f>
        <v>17</v>
      </c>
      <c r="I542" s="433"/>
    </row>
    <row r="543" spans="1:9" s="364" customFormat="1" x14ac:dyDescent="0.25">
      <c r="A543" s="432">
        <v>18456167</v>
      </c>
      <c r="B543" s="433" t="s">
        <v>5033</v>
      </c>
      <c r="C543" s="433" t="s">
        <v>5751</v>
      </c>
      <c r="D543" s="894"/>
      <c r="E543" s="433" t="s">
        <v>6091</v>
      </c>
      <c r="F543" s="436" t="s">
        <v>4620</v>
      </c>
      <c r="G543" s="434">
        <v>43733</v>
      </c>
      <c r="H543" s="436">
        <f t="shared" si="45"/>
        <v>6</v>
      </c>
      <c r="I543" s="433"/>
    </row>
    <row r="544" spans="1:9" s="364" customFormat="1" x14ac:dyDescent="0.25">
      <c r="A544" s="432"/>
      <c r="B544" s="433"/>
      <c r="C544" s="433"/>
      <c r="D544" s="894"/>
      <c r="E544" s="433"/>
      <c r="F544" s="436"/>
      <c r="G544" s="434"/>
      <c r="H544" s="436"/>
      <c r="I544" s="433"/>
    </row>
    <row r="545" spans="1:9" s="364" customFormat="1" x14ac:dyDescent="0.25">
      <c r="A545" s="432">
        <v>18456576</v>
      </c>
      <c r="B545" s="433" t="s">
        <v>4862</v>
      </c>
      <c r="C545" s="433" t="s">
        <v>5236</v>
      </c>
      <c r="D545" s="894">
        <v>2</v>
      </c>
      <c r="E545" s="433" t="s">
        <v>6028</v>
      </c>
      <c r="F545" s="436" t="s">
        <v>4621</v>
      </c>
      <c r="G545" s="434">
        <v>42282</v>
      </c>
      <c r="H545" s="436">
        <f t="shared" ref="H545:H547" si="46">DATEDIF(G545,$G$6,"Y")</f>
        <v>9</v>
      </c>
      <c r="I545" s="434"/>
    </row>
    <row r="546" spans="1:9" s="364" customFormat="1" x14ac:dyDescent="0.25">
      <c r="A546" s="432">
        <v>18456576</v>
      </c>
      <c r="B546" s="433" t="s">
        <v>4862</v>
      </c>
      <c r="C546" s="433"/>
      <c r="D546" s="894"/>
      <c r="E546" s="433" t="s">
        <v>6029</v>
      </c>
      <c r="F546" s="436" t="s">
        <v>4620</v>
      </c>
      <c r="G546" s="434">
        <v>38818</v>
      </c>
      <c r="H546" s="436">
        <f t="shared" si="46"/>
        <v>19</v>
      </c>
      <c r="I546" s="434" t="s">
        <v>5774</v>
      </c>
    </row>
    <row r="547" spans="1:9" s="364" customFormat="1" x14ac:dyDescent="0.25">
      <c r="A547" s="432">
        <v>18456576</v>
      </c>
      <c r="B547" s="433" t="s">
        <v>4862</v>
      </c>
      <c r="C547" s="433"/>
      <c r="D547" s="894"/>
      <c r="E547" s="433" t="s">
        <v>6030</v>
      </c>
      <c r="F547" s="436" t="s">
        <v>4620</v>
      </c>
      <c r="G547" s="434">
        <v>40159</v>
      </c>
      <c r="H547" s="436">
        <f t="shared" si="46"/>
        <v>15</v>
      </c>
      <c r="I547" s="434"/>
    </row>
    <row r="548" spans="1:9" s="364" customFormat="1" x14ac:dyDescent="0.25">
      <c r="A548" s="438"/>
      <c r="B548" s="439"/>
      <c r="C548" s="439"/>
      <c r="D548" s="896"/>
      <c r="E548" s="439"/>
      <c r="F548" s="441"/>
      <c r="G548" s="440"/>
      <c r="H548" s="441"/>
      <c r="I548" s="439"/>
    </row>
    <row r="549" spans="1:9" s="364" customFormat="1" x14ac:dyDescent="0.25">
      <c r="A549" s="432">
        <v>20039961</v>
      </c>
      <c r="B549" s="433" t="s">
        <v>5735</v>
      </c>
      <c r="C549" s="433" t="s">
        <v>5748</v>
      </c>
      <c r="D549" s="894">
        <v>2</v>
      </c>
      <c r="E549" s="433" t="s">
        <v>6092</v>
      </c>
      <c r="F549" s="436" t="s">
        <v>4620</v>
      </c>
      <c r="G549" s="434">
        <v>40378</v>
      </c>
      <c r="H549" s="436">
        <f t="shared" ref="H549:H550" si="47">DATEDIF(G549,$G$6,"Y")</f>
        <v>15</v>
      </c>
      <c r="I549" s="433"/>
    </row>
    <row r="550" spans="1:9" s="364" customFormat="1" x14ac:dyDescent="0.25">
      <c r="A550" s="432">
        <v>20039961</v>
      </c>
      <c r="B550" s="433" t="s">
        <v>5735</v>
      </c>
      <c r="C550" s="433" t="s">
        <v>5748</v>
      </c>
      <c r="D550" s="894"/>
      <c r="E550" s="433" t="s">
        <v>6093</v>
      </c>
      <c r="F550" s="436" t="s">
        <v>4620</v>
      </c>
      <c r="G550" s="434">
        <v>39636</v>
      </c>
      <c r="H550" s="436">
        <f t="shared" si="47"/>
        <v>17</v>
      </c>
      <c r="I550" s="433"/>
    </row>
    <row r="551" spans="1:9" s="364" customFormat="1" x14ac:dyDescent="0.25">
      <c r="A551" s="432"/>
      <c r="B551" s="433"/>
      <c r="C551" s="433"/>
      <c r="D551" s="894"/>
      <c r="E551" s="433" t="s">
        <v>2904</v>
      </c>
      <c r="F551" s="436"/>
      <c r="G551" s="434"/>
      <c r="H551" s="436"/>
      <c r="I551" s="433"/>
    </row>
    <row r="552" spans="1:9" s="364" customFormat="1" x14ac:dyDescent="0.25">
      <c r="A552" s="432">
        <v>20040649</v>
      </c>
      <c r="B552" s="433" t="s">
        <v>5036</v>
      </c>
      <c r="C552" s="433" t="s">
        <v>2619</v>
      </c>
      <c r="D552" s="894">
        <v>2</v>
      </c>
      <c r="E552" s="433" t="s">
        <v>6097</v>
      </c>
      <c r="F552" s="436" t="s">
        <v>4620</v>
      </c>
      <c r="G552" s="434">
        <v>42379</v>
      </c>
      <c r="H552" s="436">
        <f t="shared" ref="H552:H559" si="48">DATEDIF(G552,$G$6,"Y")</f>
        <v>9</v>
      </c>
      <c r="I552" s="433"/>
    </row>
    <row r="553" spans="1:9" s="364" customFormat="1" x14ac:dyDescent="0.25">
      <c r="A553" s="432">
        <v>20040649</v>
      </c>
      <c r="B553" s="433" t="s">
        <v>5036</v>
      </c>
      <c r="C553" s="433" t="s">
        <v>2619</v>
      </c>
      <c r="D553" s="894"/>
      <c r="E553" s="433" t="s">
        <v>6098</v>
      </c>
      <c r="F553" s="436" t="s">
        <v>4621</v>
      </c>
      <c r="G553" s="434">
        <v>41894</v>
      </c>
      <c r="H553" s="436">
        <f t="shared" si="48"/>
        <v>11</v>
      </c>
      <c r="I553" s="433"/>
    </row>
    <row r="554" spans="1:9" s="364" customFormat="1" x14ac:dyDescent="0.25">
      <c r="A554" s="432">
        <v>20040649</v>
      </c>
      <c r="B554" s="433" t="s">
        <v>5036</v>
      </c>
      <c r="C554" s="433" t="s">
        <v>2619</v>
      </c>
      <c r="D554" s="894"/>
      <c r="E554" s="433" t="s">
        <v>6099</v>
      </c>
      <c r="F554" s="436" t="s">
        <v>4621</v>
      </c>
      <c r="G554" s="434">
        <v>41803</v>
      </c>
      <c r="H554" s="436">
        <f t="shared" si="48"/>
        <v>11</v>
      </c>
      <c r="I554" s="433"/>
    </row>
    <row r="555" spans="1:9" s="364" customFormat="1" x14ac:dyDescent="0.25">
      <c r="A555" s="432">
        <v>20040649</v>
      </c>
      <c r="B555" s="433" t="s">
        <v>5036</v>
      </c>
      <c r="C555" s="433" t="s">
        <v>2619</v>
      </c>
      <c r="D555" s="894"/>
      <c r="E555" s="433" t="s">
        <v>6100</v>
      </c>
      <c r="F555" s="436" t="s">
        <v>4620</v>
      </c>
      <c r="G555" s="434">
        <v>43027</v>
      </c>
      <c r="H555" s="436">
        <f t="shared" si="48"/>
        <v>7</v>
      </c>
      <c r="I555" s="433"/>
    </row>
    <row r="556" spans="1:9" s="364" customFormat="1" x14ac:dyDescent="0.25">
      <c r="A556" s="432">
        <v>20040649</v>
      </c>
      <c r="B556" s="433" t="s">
        <v>5036</v>
      </c>
      <c r="C556" s="433" t="s">
        <v>2619</v>
      </c>
      <c r="D556" s="894"/>
      <c r="E556" s="433" t="s">
        <v>6101</v>
      </c>
      <c r="F556" s="436" t="s">
        <v>4620</v>
      </c>
      <c r="G556" s="434">
        <v>44434</v>
      </c>
      <c r="H556" s="436">
        <f t="shared" si="48"/>
        <v>4</v>
      </c>
      <c r="I556" s="433"/>
    </row>
    <row r="557" spans="1:9" s="364" customFormat="1" x14ac:dyDescent="0.25">
      <c r="A557" s="438"/>
      <c r="B557" s="439"/>
      <c r="C557" s="439"/>
      <c r="D557" s="896"/>
      <c r="E557" s="439" t="s">
        <v>2904</v>
      </c>
      <c r="F557" s="441"/>
      <c r="G557" s="440"/>
      <c r="H557" s="441"/>
      <c r="I557" s="439"/>
    </row>
    <row r="558" spans="1:9" s="364" customFormat="1" x14ac:dyDescent="0.25">
      <c r="A558" s="1260">
        <v>20788036</v>
      </c>
      <c r="B558" s="1124" t="s">
        <v>7361</v>
      </c>
      <c r="C558" s="1124" t="s">
        <v>5093</v>
      </c>
      <c r="D558" s="1125">
        <v>2</v>
      </c>
      <c r="E558" s="1124" t="s">
        <v>7373</v>
      </c>
      <c r="F558" s="436" t="s">
        <v>4620</v>
      </c>
      <c r="G558" s="1126">
        <v>43168</v>
      </c>
      <c r="H558" s="436">
        <f t="shared" si="48"/>
        <v>7</v>
      </c>
      <c r="I558" s="1124"/>
    </row>
    <row r="559" spans="1:9" s="364" customFormat="1" x14ac:dyDescent="0.25">
      <c r="A559" s="1260"/>
      <c r="B559" s="1124"/>
      <c r="C559" s="1124"/>
      <c r="D559" s="1125"/>
      <c r="E559" s="1124" t="s">
        <v>7374</v>
      </c>
      <c r="F559" s="436" t="s">
        <v>4620</v>
      </c>
      <c r="G559" s="1126">
        <v>43770</v>
      </c>
      <c r="H559" s="436">
        <f t="shared" si="48"/>
        <v>5</v>
      </c>
      <c r="I559" s="1124"/>
    </row>
    <row r="560" spans="1:9" s="364" customFormat="1" x14ac:dyDescent="0.25">
      <c r="A560" s="1260"/>
      <c r="B560" s="1124"/>
      <c r="C560" s="1124"/>
      <c r="D560" s="1125"/>
      <c r="E560" s="1124"/>
      <c r="F560" s="1155"/>
      <c r="G560" s="1126"/>
      <c r="H560" s="1155"/>
      <c r="I560" s="1124"/>
    </row>
    <row r="561" spans="1:9" s="364" customFormat="1" x14ac:dyDescent="0.25">
      <c r="A561" s="432">
        <v>21366579</v>
      </c>
      <c r="B561" s="433" t="s">
        <v>5037</v>
      </c>
      <c r="C561" s="433" t="s">
        <v>5086</v>
      </c>
      <c r="D561" s="894">
        <v>1</v>
      </c>
      <c r="E561" s="433" t="s">
        <v>6094</v>
      </c>
      <c r="F561" s="436" t="s">
        <v>4620</v>
      </c>
      <c r="G561" s="434">
        <v>44804</v>
      </c>
      <c r="H561" s="436">
        <f>DATEDIF(G561,$G$6,"Y")</f>
        <v>3</v>
      </c>
      <c r="I561" s="433"/>
    </row>
    <row r="562" spans="1:9" s="364" customFormat="1" x14ac:dyDescent="0.25">
      <c r="A562" s="432"/>
      <c r="B562" s="433"/>
      <c r="C562" s="433"/>
      <c r="D562" s="894"/>
      <c r="E562" s="433"/>
      <c r="F562" s="436"/>
      <c r="G562" s="434"/>
      <c r="H562" s="436"/>
      <c r="I562" s="433"/>
    </row>
    <row r="563" spans="1:9" s="364" customFormat="1" x14ac:dyDescent="0.25">
      <c r="A563" s="432">
        <v>25173228</v>
      </c>
      <c r="B563" s="433" t="s">
        <v>5039</v>
      </c>
      <c r="C563" s="433" t="s">
        <v>5084</v>
      </c>
      <c r="D563" s="894">
        <v>2</v>
      </c>
      <c r="E563" s="433" t="s">
        <v>6095</v>
      </c>
      <c r="F563" s="436" t="s">
        <v>4621</v>
      </c>
      <c r="G563" s="434">
        <v>42580</v>
      </c>
      <c r="H563" s="436">
        <f t="shared" ref="H563:H564" si="49">DATEDIF(G563,$G$6,"Y")</f>
        <v>9</v>
      </c>
      <c r="I563" s="433"/>
    </row>
    <row r="564" spans="1:9" s="364" customFormat="1" x14ac:dyDescent="0.25">
      <c r="A564" s="432">
        <v>25173228</v>
      </c>
      <c r="B564" s="433" t="s">
        <v>5039</v>
      </c>
      <c r="C564" s="433" t="s">
        <v>5084</v>
      </c>
      <c r="D564" s="894"/>
      <c r="E564" s="433" t="s">
        <v>6096</v>
      </c>
      <c r="F564" s="436" t="s">
        <v>4620</v>
      </c>
      <c r="G564" s="434">
        <v>42946</v>
      </c>
      <c r="H564" s="436">
        <f t="shared" si="49"/>
        <v>8</v>
      </c>
      <c r="I564" s="433"/>
    </row>
    <row r="565" spans="1:9" s="364" customFormat="1" x14ac:dyDescent="0.25">
      <c r="A565" s="438"/>
      <c r="B565" s="439"/>
      <c r="C565" s="439"/>
      <c r="D565" s="896"/>
      <c r="E565" s="439"/>
      <c r="F565" s="441"/>
      <c r="G565" s="440"/>
      <c r="H565" s="441"/>
      <c r="I565" s="439"/>
    </row>
    <row r="566" spans="1:9" s="364" customFormat="1" x14ac:dyDescent="0.25">
      <c r="A566" s="432">
        <v>25919888</v>
      </c>
      <c r="B566" s="433" t="s">
        <v>5041</v>
      </c>
      <c r="C566" s="433" t="s">
        <v>5087</v>
      </c>
      <c r="D566" s="894">
        <v>2</v>
      </c>
      <c r="E566" s="444" t="s">
        <v>6102</v>
      </c>
      <c r="F566" s="436" t="s">
        <v>4620</v>
      </c>
      <c r="G566" s="434">
        <v>43342</v>
      </c>
      <c r="H566" s="436">
        <f t="shared" ref="H566:H568" si="50">DATEDIF(G566,$G$6,"Y")</f>
        <v>7</v>
      </c>
      <c r="I566" s="433"/>
    </row>
    <row r="567" spans="1:9" s="364" customFormat="1" x14ac:dyDescent="0.25">
      <c r="A567" s="432">
        <v>25919888</v>
      </c>
      <c r="B567" s="433" t="s">
        <v>5041</v>
      </c>
      <c r="C567" s="433" t="s">
        <v>5087</v>
      </c>
      <c r="D567" s="894"/>
      <c r="E567" s="444" t="s">
        <v>6103</v>
      </c>
      <c r="F567" s="436" t="s">
        <v>4620</v>
      </c>
      <c r="G567" s="434">
        <v>42410</v>
      </c>
      <c r="H567" s="436">
        <f t="shared" si="50"/>
        <v>9</v>
      </c>
      <c r="I567" s="433"/>
    </row>
    <row r="568" spans="1:9" s="364" customFormat="1" x14ac:dyDescent="0.25">
      <c r="A568" s="432">
        <v>25919888</v>
      </c>
      <c r="B568" s="433" t="s">
        <v>5041</v>
      </c>
      <c r="C568" s="433" t="s">
        <v>5087</v>
      </c>
      <c r="D568" s="894"/>
      <c r="E568" s="444" t="s">
        <v>6104</v>
      </c>
      <c r="F568" s="436" t="s">
        <v>4621</v>
      </c>
      <c r="G568" s="434">
        <v>41793</v>
      </c>
      <c r="H568" s="436">
        <f t="shared" si="50"/>
        <v>11</v>
      </c>
      <c r="I568" s="433"/>
    </row>
    <row r="569" spans="1:9" s="364" customFormat="1" x14ac:dyDescent="0.25">
      <c r="A569" s="1260"/>
      <c r="B569" s="1124"/>
      <c r="C569" s="1124"/>
      <c r="D569" s="1125"/>
      <c r="E569" s="1431"/>
      <c r="F569" s="1155"/>
      <c r="G569" s="1126"/>
      <c r="H569" s="1155"/>
      <c r="I569" s="1124"/>
    </row>
    <row r="570" spans="1:9" s="364" customFormat="1" x14ac:dyDescent="0.25">
      <c r="A570" s="1260">
        <v>26235670</v>
      </c>
      <c r="B570" s="1124" t="s">
        <v>6782</v>
      </c>
      <c r="C570" s="433" t="s">
        <v>5084</v>
      </c>
      <c r="D570" s="1125">
        <v>1</v>
      </c>
      <c r="E570" s="1431" t="s">
        <v>6784</v>
      </c>
      <c r="F570" s="436" t="s">
        <v>4621</v>
      </c>
      <c r="G570" s="434">
        <v>44583</v>
      </c>
      <c r="H570" s="436">
        <f t="shared" ref="H570" si="51">DATEDIF(G570,$G$6,"Y")</f>
        <v>3</v>
      </c>
      <c r="I570" s="1124"/>
    </row>
    <row r="571" spans="1:9" s="364" customFormat="1" x14ac:dyDescent="0.25">
      <c r="A571" s="438"/>
      <c r="B571" s="439"/>
      <c r="C571" s="439"/>
      <c r="D571" s="896"/>
      <c r="E571" s="445"/>
      <c r="F571" s="441"/>
      <c r="G571" s="440"/>
      <c r="H571" s="441"/>
      <c r="I571" s="439"/>
    </row>
    <row r="572" spans="1:9" s="364" customFormat="1" x14ac:dyDescent="0.25">
      <c r="A572" s="432">
        <v>27470077</v>
      </c>
      <c r="B572" s="433" t="s">
        <v>5043</v>
      </c>
      <c r="C572" s="433" t="s">
        <v>5087</v>
      </c>
      <c r="D572" s="894">
        <v>1</v>
      </c>
      <c r="E572" s="433" t="s">
        <v>6105</v>
      </c>
      <c r="F572" s="436" t="s">
        <v>4620</v>
      </c>
      <c r="G572" s="434">
        <v>43194</v>
      </c>
      <c r="H572" s="436">
        <f>DATEDIF(G572,$G$6,"Y")</f>
        <v>7</v>
      </c>
      <c r="I572" s="433"/>
    </row>
    <row r="573" spans="1:9" s="364" customFormat="1" x14ac:dyDescent="0.25">
      <c r="A573" s="1260"/>
      <c r="B573" s="1124"/>
      <c r="C573" s="1124"/>
      <c r="D573" s="1125"/>
      <c r="E573" s="1124"/>
      <c r="F573" s="1155"/>
      <c r="G573" s="1126"/>
      <c r="H573" s="1155"/>
      <c r="I573" s="1124"/>
    </row>
    <row r="574" spans="1:9" s="364" customFormat="1" x14ac:dyDescent="0.25">
      <c r="A574" s="1260">
        <v>32084560</v>
      </c>
      <c r="B574" s="1124" t="s">
        <v>5046</v>
      </c>
      <c r="C574" s="1124" t="s">
        <v>5085</v>
      </c>
      <c r="D574" s="1125">
        <v>1</v>
      </c>
      <c r="E574" s="1124" t="s">
        <v>7598</v>
      </c>
      <c r="F574" s="1155" t="s">
        <v>4620</v>
      </c>
      <c r="G574" s="1126">
        <v>45419</v>
      </c>
      <c r="H574" s="436">
        <f t="shared" ref="H574" si="52">DATEDIF(G574,$G$6,"Y")</f>
        <v>1</v>
      </c>
      <c r="I574" s="1124"/>
    </row>
    <row r="575" spans="1:9" s="364" customFormat="1" x14ac:dyDescent="0.25">
      <c r="A575" s="438"/>
      <c r="B575" s="439"/>
      <c r="C575" s="439"/>
      <c r="D575" s="896"/>
      <c r="E575" s="439"/>
      <c r="F575" s="441"/>
      <c r="G575" s="440"/>
      <c r="H575" s="441"/>
      <c r="I575" s="439"/>
    </row>
    <row r="576" spans="1:9" ht="15.75" thickBot="1" x14ac:dyDescent="0.3"/>
    <row r="577" spans="3:5" ht="15.75" thickBot="1" x14ac:dyDescent="0.3">
      <c r="C577" s="426" t="s">
        <v>5757</v>
      </c>
      <c r="D577" s="437">
        <f>+SUM(D463:D576)</f>
        <v>44</v>
      </c>
      <c r="E577" s="1477">
        <f>+NOMINA!Z397-D577</f>
        <v>0</v>
      </c>
    </row>
    <row r="580" spans="3:5" ht="21" x14ac:dyDescent="0.35">
      <c r="C580" s="460" t="s">
        <v>5770</v>
      </c>
      <c r="D580" s="461">
        <f>+D577+D459+D58+D12</f>
        <v>254</v>
      </c>
      <c r="E580" s="1477">
        <f>+NOMINA!Z400-D580</f>
        <v>0</v>
      </c>
    </row>
  </sheetData>
  <mergeCells count="9">
    <mergeCell ref="A461:I461"/>
    <mergeCell ref="H7:I8"/>
    <mergeCell ref="B1:E1"/>
    <mergeCell ref="B2:F2"/>
    <mergeCell ref="B3:F3"/>
    <mergeCell ref="B4:F4"/>
    <mergeCell ref="B7:B8"/>
    <mergeCell ref="C7:C8"/>
    <mergeCell ref="F7:F8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84"/>
  <sheetViews>
    <sheetView workbookViewId="0">
      <selection activeCell="A4" sqref="A4"/>
    </sheetView>
  </sheetViews>
  <sheetFormatPr baseColWidth="10" defaultRowHeight="15" x14ac:dyDescent="0.25"/>
  <cols>
    <col min="1" max="1" width="14.7109375" bestFit="1" customWidth="1"/>
    <col min="2" max="2" width="32.5703125" bestFit="1" customWidth="1"/>
    <col min="4" max="4" width="22.42578125" bestFit="1" customWidth="1"/>
    <col min="5" max="5" width="64.7109375" bestFit="1" customWidth="1"/>
  </cols>
  <sheetData>
    <row r="2" spans="1:7" x14ac:dyDescent="0.25">
      <c r="A2" s="1841" t="s">
        <v>2845</v>
      </c>
      <c r="B2" s="1842"/>
      <c r="D2" s="877" t="s">
        <v>1</v>
      </c>
    </row>
    <row r="3" spans="1:7" x14ac:dyDescent="0.25">
      <c r="A3" s="877" t="s">
        <v>5849</v>
      </c>
      <c r="B3" s="877" t="s">
        <v>5850</v>
      </c>
      <c r="D3" s="877" t="s">
        <v>5849</v>
      </c>
      <c r="F3" s="877" t="s">
        <v>5850</v>
      </c>
    </row>
    <row r="4" spans="1:7" x14ac:dyDescent="0.25">
      <c r="A4" t="s">
        <v>2884</v>
      </c>
      <c r="B4" t="s">
        <v>2884</v>
      </c>
      <c r="D4" t="s">
        <v>5470</v>
      </c>
      <c r="E4" t="s">
        <v>4464</v>
      </c>
      <c r="F4" t="s">
        <v>5858</v>
      </c>
      <c r="G4" s="364" t="s">
        <v>4464</v>
      </c>
    </row>
    <row r="5" spans="1:7" x14ac:dyDescent="0.25">
      <c r="A5" t="s">
        <v>2844</v>
      </c>
      <c r="B5" t="s">
        <v>5851</v>
      </c>
      <c r="F5" t="s">
        <v>5859</v>
      </c>
      <c r="G5" s="364" t="s">
        <v>4465</v>
      </c>
    </row>
    <row r="6" spans="1:7" x14ac:dyDescent="0.25">
      <c r="A6" t="s">
        <v>2885</v>
      </c>
      <c r="B6" t="s">
        <v>5852</v>
      </c>
      <c r="F6" t="s">
        <v>5860</v>
      </c>
      <c r="G6" s="364" t="s">
        <v>4466</v>
      </c>
    </row>
    <row r="7" spans="1:7" s="364" customFormat="1" x14ac:dyDescent="0.25">
      <c r="A7" s="364" t="s">
        <v>2886</v>
      </c>
      <c r="B7" s="364" t="s">
        <v>2886</v>
      </c>
      <c r="F7" s="364" t="s">
        <v>5861</v>
      </c>
      <c r="G7" s="364" t="s">
        <v>4467</v>
      </c>
    </row>
    <row r="8" spans="1:7" x14ac:dyDescent="0.25">
      <c r="A8" t="s">
        <v>2887</v>
      </c>
      <c r="B8" t="s">
        <v>5853</v>
      </c>
      <c r="F8" t="s">
        <v>5862</v>
      </c>
      <c r="G8" s="364" t="s">
        <v>4468</v>
      </c>
    </row>
    <row r="9" spans="1:7" x14ac:dyDescent="0.25">
      <c r="A9" t="s">
        <v>2888</v>
      </c>
      <c r="B9" t="s">
        <v>5854</v>
      </c>
      <c r="F9" t="s">
        <v>5863</v>
      </c>
      <c r="G9" s="364" t="s">
        <v>4469</v>
      </c>
    </row>
    <row r="10" spans="1:7" x14ac:dyDescent="0.25">
      <c r="F10" t="s">
        <v>5864</v>
      </c>
      <c r="G10" s="364" t="s">
        <v>4470</v>
      </c>
    </row>
    <row r="11" spans="1:7" x14ac:dyDescent="0.25">
      <c r="A11" s="364"/>
      <c r="F11" t="s">
        <v>5865</v>
      </c>
      <c r="G11" s="364" t="s">
        <v>4464</v>
      </c>
    </row>
    <row r="12" spans="1:7" x14ac:dyDescent="0.25">
      <c r="D12" t="s">
        <v>5477</v>
      </c>
      <c r="E12" t="s">
        <v>4465</v>
      </c>
      <c r="F12" t="s">
        <v>5866</v>
      </c>
      <c r="G12" s="364" t="s">
        <v>4465</v>
      </c>
    </row>
    <row r="13" spans="1:7" x14ac:dyDescent="0.25">
      <c r="F13" t="s">
        <v>5867</v>
      </c>
      <c r="G13" s="364" t="s">
        <v>4466</v>
      </c>
    </row>
    <row r="14" spans="1:7" x14ac:dyDescent="0.25">
      <c r="F14" t="s">
        <v>5868</v>
      </c>
      <c r="G14" s="364" t="s">
        <v>4467</v>
      </c>
    </row>
    <row r="15" spans="1:7" x14ac:dyDescent="0.25">
      <c r="F15" t="s">
        <v>5869</v>
      </c>
      <c r="G15" s="364" t="s">
        <v>4468</v>
      </c>
    </row>
    <row r="16" spans="1:7" x14ac:dyDescent="0.25">
      <c r="F16" t="s">
        <v>5870</v>
      </c>
      <c r="G16" s="364" t="s">
        <v>4469</v>
      </c>
    </row>
    <row r="17" spans="4:7" x14ac:dyDescent="0.25">
      <c r="F17" t="s">
        <v>5871</v>
      </c>
      <c r="G17" s="364" t="s">
        <v>4470</v>
      </c>
    </row>
    <row r="18" spans="4:7" x14ac:dyDescent="0.25">
      <c r="F18" t="s">
        <v>5872</v>
      </c>
      <c r="G18" s="364" t="s">
        <v>4464</v>
      </c>
    </row>
    <row r="19" spans="4:7" x14ac:dyDescent="0.25">
      <c r="F19" t="s">
        <v>5873</v>
      </c>
      <c r="G19" s="364" t="s">
        <v>4465</v>
      </c>
    </row>
    <row r="20" spans="4:7" x14ac:dyDescent="0.25">
      <c r="D20" t="s">
        <v>5480</v>
      </c>
      <c r="E20" t="s">
        <v>4466</v>
      </c>
      <c r="F20" t="s">
        <v>5874</v>
      </c>
      <c r="G20" s="364" t="s">
        <v>4466</v>
      </c>
    </row>
    <row r="21" spans="4:7" x14ac:dyDescent="0.25">
      <c r="D21" t="s">
        <v>5465</v>
      </c>
      <c r="E21" s="364" t="s">
        <v>4467</v>
      </c>
      <c r="F21" t="s">
        <v>5875</v>
      </c>
      <c r="G21" s="364" t="s">
        <v>4467</v>
      </c>
    </row>
    <row r="22" spans="4:7" x14ac:dyDescent="0.25">
      <c r="D22" s="364" t="s">
        <v>5464</v>
      </c>
      <c r="E22" t="s">
        <v>4468</v>
      </c>
      <c r="F22" t="s">
        <v>5876</v>
      </c>
      <c r="G22" s="364" t="s">
        <v>4468</v>
      </c>
    </row>
    <row r="23" spans="4:7" x14ac:dyDescent="0.25">
      <c r="D23" t="s">
        <v>5457</v>
      </c>
      <c r="E23" t="s">
        <v>4469</v>
      </c>
      <c r="F23" t="s">
        <v>5877</v>
      </c>
      <c r="G23" s="364" t="s">
        <v>4469</v>
      </c>
    </row>
    <row r="24" spans="4:7" x14ac:dyDescent="0.25">
      <c r="D24" t="s">
        <v>5463</v>
      </c>
      <c r="E24" t="s">
        <v>4470</v>
      </c>
      <c r="F24" t="s">
        <v>5878</v>
      </c>
      <c r="G24" s="364" t="s">
        <v>4470</v>
      </c>
    </row>
    <row r="25" spans="4:7" x14ac:dyDescent="0.25">
      <c r="D25" t="s">
        <v>5462</v>
      </c>
      <c r="E25" t="s">
        <v>4464</v>
      </c>
      <c r="F25" t="s">
        <v>5879</v>
      </c>
      <c r="G25" s="364" t="s">
        <v>4464</v>
      </c>
    </row>
    <row r="26" spans="4:7" x14ac:dyDescent="0.25">
      <c r="F26" t="s">
        <v>5880</v>
      </c>
      <c r="G26" s="364" t="s">
        <v>4465</v>
      </c>
    </row>
    <row r="27" spans="4:7" x14ac:dyDescent="0.25">
      <c r="F27" t="s">
        <v>5881</v>
      </c>
      <c r="G27" s="364" t="s">
        <v>4466</v>
      </c>
    </row>
    <row r="28" spans="4:7" x14ac:dyDescent="0.25">
      <c r="F28" t="s">
        <v>5882</v>
      </c>
      <c r="G28" s="364" t="s">
        <v>4467</v>
      </c>
    </row>
    <row r="29" spans="4:7" x14ac:dyDescent="0.25">
      <c r="F29" t="s">
        <v>5883</v>
      </c>
      <c r="G29" s="364" t="s">
        <v>4468</v>
      </c>
    </row>
    <row r="30" spans="4:7" x14ac:dyDescent="0.25">
      <c r="F30" t="s">
        <v>5884</v>
      </c>
      <c r="G30" s="364" t="s">
        <v>4469</v>
      </c>
    </row>
    <row r="31" spans="4:7" x14ac:dyDescent="0.25">
      <c r="F31" t="s">
        <v>5885</v>
      </c>
      <c r="G31" s="364" t="s">
        <v>4470</v>
      </c>
    </row>
    <row r="32" spans="4:7" x14ac:dyDescent="0.25">
      <c r="F32" t="s">
        <v>5886</v>
      </c>
      <c r="G32" s="364" t="s">
        <v>4464</v>
      </c>
    </row>
    <row r="33" spans="4:7" x14ac:dyDescent="0.25">
      <c r="D33" t="s">
        <v>5468</v>
      </c>
      <c r="E33" t="s">
        <v>4465</v>
      </c>
      <c r="F33" t="s">
        <v>5887</v>
      </c>
      <c r="G33" s="364" t="s">
        <v>4465</v>
      </c>
    </row>
    <row r="34" spans="4:7" x14ac:dyDescent="0.25">
      <c r="D34" t="s">
        <v>5478</v>
      </c>
      <c r="E34" t="s">
        <v>4466</v>
      </c>
      <c r="F34" t="s">
        <v>5888</v>
      </c>
      <c r="G34" s="364" t="s">
        <v>4466</v>
      </c>
    </row>
    <row r="35" spans="4:7" x14ac:dyDescent="0.25">
      <c r="D35" t="s">
        <v>5472</v>
      </c>
      <c r="E35" t="s">
        <v>4467</v>
      </c>
      <c r="F35" t="s">
        <v>5889</v>
      </c>
      <c r="G35" s="364" t="s">
        <v>4467</v>
      </c>
    </row>
    <row r="36" spans="4:7" x14ac:dyDescent="0.25">
      <c r="D36" t="s">
        <v>5459</v>
      </c>
      <c r="E36" t="s">
        <v>4468</v>
      </c>
      <c r="F36" t="s">
        <v>5890</v>
      </c>
      <c r="G36" s="364" t="s">
        <v>4468</v>
      </c>
    </row>
    <row r="37" spans="4:7" x14ac:dyDescent="0.25">
      <c r="D37" t="s">
        <v>5461</v>
      </c>
      <c r="E37" t="s">
        <v>4469</v>
      </c>
      <c r="F37" t="s">
        <v>5891</v>
      </c>
      <c r="G37" s="364" t="s">
        <v>4469</v>
      </c>
    </row>
    <row r="38" spans="4:7" x14ac:dyDescent="0.25">
      <c r="D38" t="s">
        <v>5471</v>
      </c>
      <c r="E38" t="s">
        <v>4470</v>
      </c>
      <c r="F38" t="s">
        <v>5892</v>
      </c>
      <c r="G38" s="364" t="s">
        <v>4470</v>
      </c>
    </row>
    <row r="39" spans="4:7" x14ac:dyDescent="0.25">
      <c r="D39" t="s">
        <v>5456</v>
      </c>
      <c r="E39" t="s">
        <v>4464</v>
      </c>
      <c r="F39" t="s">
        <v>5857</v>
      </c>
      <c r="G39" s="364" t="s">
        <v>4464</v>
      </c>
    </row>
    <row r="40" spans="4:7" x14ac:dyDescent="0.25">
      <c r="F40" t="s">
        <v>5893</v>
      </c>
      <c r="G40" s="364" t="s">
        <v>4465</v>
      </c>
    </row>
    <row r="41" spans="4:7" x14ac:dyDescent="0.25">
      <c r="F41" t="s">
        <v>5894</v>
      </c>
      <c r="G41" s="364" t="s">
        <v>4466</v>
      </c>
    </row>
    <row r="42" spans="4:7" x14ac:dyDescent="0.25">
      <c r="F42" t="s">
        <v>5895</v>
      </c>
      <c r="G42" s="364" t="s">
        <v>4467</v>
      </c>
    </row>
    <row r="43" spans="4:7" x14ac:dyDescent="0.25">
      <c r="F43" t="s">
        <v>5896</v>
      </c>
      <c r="G43" s="364" t="s">
        <v>4468</v>
      </c>
    </row>
    <row r="44" spans="4:7" x14ac:dyDescent="0.25">
      <c r="F44" t="s">
        <v>5897</v>
      </c>
      <c r="G44" s="364" t="s">
        <v>4469</v>
      </c>
    </row>
    <row r="45" spans="4:7" x14ac:dyDescent="0.25">
      <c r="F45" t="s">
        <v>5898</v>
      </c>
      <c r="G45" s="364" t="s">
        <v>4470</v>
      </c>
    </row>
    <row r="46" spans="4:7" x14ac:dyDescent="0.25">
      <c r="F46" t="s">
        <v>5076</v>
      </c>
      <c r="G46" s="364" t="s">
        <v>4464</v>
      </c>
    </row>
    <row r="47" spans="4:7" x14ac:dyDescent="0.25">
      <c r="D47" t="s">
        <v>5467</v>
      </c>
      <c r="E47" t="s">
        <v>4465</v>
      </c>
      <c r="F47" t="s">
        <v>5899</v>
      </c>
      <c r="G47" s="364" t="s">
        <v>4465</v>
      </c>
    </row>
    <row r="48" spans="4:7" x14ac:dyDescent="0.25">
      <c r="D48" t="s">
        <v>5475</v>
      </c>
      <c r="E48" t="s">
        <v>4466</v>
      </c>
      <c r="F48" t="s">
        <v>5900</v>
      </c>
      <c r="G48" s="364" t="s">
        <v>4466</v>
      </c>
    </row>
    <row r="49" spans="4:7" x14ac:dyDescent="0.25">
      <c r="D49" t="s">
        <v>5473</v>
      </c>
      <c r="E49" t="s">
        <v>4467</v>
      </c>
      <c r="F49" t="s">
        <v>5901</v>
      </c>
      <c r="G49" s="364" t="s">
        <v>4467</v>
      </c>
    </row>
    <row r="50" spans="4:7" x14ac:dyDescent="0.25">
      <c r="D50" t="s">
        <v>5466</v>
      </c>
      <c r="E50" t="s">
        <v>4468</v>
      </c>
      <c r="F50" t="s">
        <v>5902</v>
      </c>
      <c r="G50" s="364" t="s">
        <v>4468</v>
      </c>
    </row>
    <row r="51" spans="4:7" x14ac:dyDescent="0.25">
      <c r="D51" t="s">
        <v>5460</v>
      </c>
      <c r="E51" t="s">
        <v>4469</v>
      </c>
      <c r="F51" t="s">
        <v>5903</v>
      </c>
      <c r="G51" s="364" t="s">
        <v>4469</v>
      </c>
    </row>
    <row r="52" spans="4:7" x14ac:dyDescent="0.25">
      <c r="D52" t="s">
        <v>5458</v>
      </c>
      <c r="E52" t="s">
        <v>4470</v>
      </c>
      <c r="F52" t="s">
        <v>5904</v>
      </c>
      <c r="G52" s="364" t="s">
        <v>4470</v>
      </c>
    </row>
    <row r="53" spans="4:7" x14ac:dyDescent="0.25">
      <c r="D53" t="s">
        <v>5469</v>
      </c>
      <c r="E53" t="s">
        <v>4464</v>
      </c>
      <c r="F53" t="s">
        <v>5078</v>
      </c>
      <c r="G53" s="364" t="s">
        <v>4464</v>
      </c>
    </row>
    <row r="54" spans="4:7" x14ac:dyDescent="0.25">
      <c r="D54" t="s">
        <v>5476</v>
      </c>
      <c r="E54" t="s">
        <v>4465</v>
      </c>
      <c r="F54" t="s">
        <v>5905</v>
      </c>
      <c r="G54" s="364" t="s">
        <v>4465</v>
      </c>
    </row>
    <row r="55" spans="4:7" x14ac:dyDescent="0.25">
      <c r="D55" t="s">
        <v>5481</v>
      </c>
      <c r="E55" t="s">
        <v>4466</v>
      </c>
      <c r="F55" t="s">
        <v>5906</v>
      </c>
      <c r="G55" s="364" t="s">
        <v>4466</v>
      </c>
    </row>
    <row r="56" spans="4:7" x14ac:dyDescent="0.25">
      <c r="D56" t="s">
        <v>5855</v>
      </c>
      <c r="E56" t="s">
        <v>4467</v>
      </c>
      <c r="F56" t="s">
        <v>5907</v>
      </c>
      <c r="G56" s="364" t="s">
        <v>4467</v>
      </c>
    </row>
    <row r="57" spans="4:7" x14ac:dyDescent="0.25">
      <c r="D57" t="s">
        <v>5856</v>
      </c>
      <c r="E57" t="s">
        <v>4468</v>
      </c>
      <c r="F57" t="s">
        <v>5908</v>
      </c>
      <c r="G57" s="364" t="s">
        <v>4468</v>
      </c>
    </row>
    <row r="58" spans="4:7" x14ac:dyDescent="0.25">
      <c r="D58" t="s">
        <v>5479</v>
      </c>
      <c r="E58" t="s">
        <v>4469</v>
      </c>
      <c r="F58" t="s">
        <v>5909</v>
      </c>
      <c r="G58" s="364" t="s">
        <v>4469</v>
      </c>
    </row>
    <row r="59" spans="4:7" x14ac:dyDescent="0.25">
      <c r="D59" t="s">
        <v>5474</v>
      </c>
      <c r="E59" t="s">
        <v>4470</v>
      </c>
      <c r="F59" t="s">
        <v>5910</v>
      </c>
      <c r="G59" s="364" t="s">
        <v>4470</v>
      </c>
    </row>
    <row r="60" spans="4:7" x14ac:dyDescent="0.25">
      <c r="D60" t="s">
        <v>2835</v>
      </c>
      <c r="E60" t="s">
        <v>2890</v>
      </c>
      <c r="F60" s="364" t="s">
        <v>5921</v>
      </c>
    </row>
    <row r="61" spans="4:7" x14ac:dyDescent="0.25">
      <c r="D61" t="s">
        <v>2836</v>
      </c>
      <c r="E61" t="s">
        <v>2892</v>
      </c>
      <c r="F61" s="364" t="s">
        <v>5920</v>
      </c>
    </row>
    <row r="62" spans="4:7" x14ac:dyDescent="0.25">
      <c r="D62" t="s">
        <v>2837</v>
      </c>
      <c r="E62" t="s">
        <v>3085</v>
      </c>
      <c r="F62" s="364"/>
    </row>
    <row r="63" spans="4:7" x14ac:dyDescent="0.25">
      <c r="D63" t="s">
        <v>2838</v>
      </c>
      <c r="E63" t="s">
        <v>2891</v>
      </c>
    </row>
    <row r="64" spans="4:7" x14ac:dyDescent="0.25">
      <c r="D64" t="s">
        <v>2839</v>
      </c>
      <c r="E64" t="s">
        <v>2893</v>
      </c>
    </row>
    <row r="65" spans="4:6" x14ac:dyDescent="0.25">
      <c r="D65" t="s">
        <v>2842</v>
      </c>
      <c r="E65" t="s">
        <v>2894</v>
      </c>
    </row>
    <row r="66" spans="4:6" x14ac:dyDescent="0.25">
      <c r="D66" t="s">
        <v>2843</v>
      </c>
      <c r="E66" t="s">
        <v>1154</v>
      </c>
    </row>
    <row r="67" spans="4:6" x14ac:dyDescent="0.25">
      <c r="D67">
        <v>1</v>
      </c>
      <c r="F67" s="364" t="s">
        <v>5923</v>
      </c>
    </row>
    <row r="68" spans="4:6" x14ac:dyDescent="0.25">
      <c r="D68" s="364">
        <v>2</v>
      </c>
      <c r="F68" s="364" t="s">
        <v>5911</v>
      </c>
    </row>
    <row r="69" spans="4:6" x14ac:dyDescent="0.25">
      <c r="D69" s="364">
        <v>3</v>
      </c>
      <c r="F69" s="364" t="s">
        <v>5912</v>
      </c>
    </row>
    <row r="70" spans="4:6" x14ac:dyDescent="0.25">
      <c r="D70" s="364">
        <v>4</v>
      </c>
      <c r="F70" s="364" t="s">
        <v>5913</v>
      </c>
    </row>
    <row r="71" spans="4:6" x14ac:dyDescent="0.25">
      <c r="D71" s="364">
        <v>5</v>
      </c>
      <c r="F71" s="364" t="s">
        <v>5914</v>
      </c>
    </row>
    <row r="72" spans="4:6" x14ac:dyDescent="0.25">
      <c r="D72" s="364">
        <v>6</v>
      </c>
      <c r="F72" s="364" t="s">
        <v>5915</v>
      </c>
    </row>
    <row r="73" spans="4:6" x14ac:dyDescent="0.25">
      <c r="D73" s="364">
        <v>7</v>
      </c>
      <c r="F73" s="364" t="s">
        <v>5916</v>
      </c>
    </row>
    <row r="74" spans="4:6" x14ac:dyDescent="0.25">
      <c r="D74" s="364">
        <v>8</v>
      </c>
      <c r="F74" s="364" t="s">
        <v>5917</v>
      </c>
    </row>
    <row r="75" spans="4:6" x14ac:dyDescent="0.25">
      <c r="D75" s="364">
        <v>9</v>
      </c>
      <c r="F75" s="364" t="s">
        <v>5918</v>
      </c>
    </row>
    <row r="76" spans="4:6" x14ac:dyDescent="0.25">
      <c r="D76" s="364">
        <v>10</v>
      </c>
      <c r="F76" s="364" t="s">
        <v>5919</v>
      </c>
    </row>
    <row r="77" spans="4:6" x14ac:dyDescent="0.25">
      <c r="F77" s="364"/>
    </row>
    <row r="84" spans="6:6" x14ac:dyDescent="0.25">
      <c r="F84" s="364"/>
    </row>
  </sheetData>
  <mergeCells count="1">
    <mergeCell ref="A2:B2"/>
  </mergeCells>
  <pageMargins left="0.7" right="0.7" top="0.75" bottom="0.75" header="0.3" footer="0.3"/>
  <pageSetup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36"/>
  <sheetViews>
    <sheetView zoomScale="110" zoomScaleNormal="110" workbookViewId="0">
      <pane ySplit="1" topLeftCell="A2" activePane="bottomLeft" state="frozen"/>
      <selection activeCell="A4" sqref="A4"/>
      <selection pane="bottomLeft" activeCell="C55" sqref="C55"/>
    </sheetView>
  </sheetViews>
  <sheetFormatPr baseColWidth="10" defaultRowHeight="15" x14ac:dyDescent="0.25"/>
  <cols>
    <col min="1" max="1" width="19.140625" style="102" customWidth="1"/>
    <col min="2" max="2" width="16.28515625" style="63" bestFit="1" customWidth="1"/>
    <col min="3" max="3" width="58.140625" style="97" customWidth="1"/>
    <col min="4" max="4" width="10" style="338" customWidth="1"/>
    <col min="5" max="5" width="11.42578125" style="61"/>
    <col min="6" max="6" width="8.5703125" style="61" customWidth="1"/>
    <col min="7" max="7" width="11.42578125" style="61"/>
    <col min="8" max="8" width="12.5703125" style="61" customWidth="1"/>
    <col min="9" max="9" width="8.5703125" style="61" customWidth="1"/>
    <col min="10" max="16384" width="11.42578125" style="61"/>
  </cols>
  <sheetData>
    <row r="1" spans="1:9" ht="52.5" customHeight="1" thickBot="1" x14ac:dyDescent="0.3">
      <c r="A1" s="335" t="s">
        <v>1</v>
      </c>
      <c r="B1" s="336" t="s">
        <v>2889</v>
      </c>
      <c r="C1" s="335" t="s">
        <v>2897</v>
      </c>
    </row>
    <row r="2" spans="1:9" ht="20.100000000000001" customHeight="1" x14ac:dyDescent="0.25">
      <c r="A2" s="331" t="s">
        <v>4588</v>
      </c>
      <c r="B2" s="325">
        <v>130</v>
      </c>
      <c r="C2" s="332" t="s">
        <v>4464</v>
      </c>
      <c r="D2" s="1843" t="s">
        <v>5065</v>
      </c>
      <c r="F2" s="110"/>
      <c r="H2" s="109"/>
      <c r="I2" s="110"/>
    </row>
    <row r="3" spans="1:9" s="62" customFormat="1" ht="20.100000000000001" customHeight="1" x14ac:dyDescent="0.25">
      <c r="A3" s="95" t="s">
        <v>4589</v>
      </c>
      <c r="B3" s="122">
        <v>150</v>
      </c>
      <c r="C3" s="318" t="s">
        <v>4465</v>
      </c>
      <c r="D3" s="1844"/>
      <c r="F3" s="110"/>
      <c r="H3" s="109"/>
      <c r="I3" s="110"/>
    </row>
    <row r="4" spans="1:9" ht="20.100000000000001" customHeight="1" x14ac:dyDescent="0.25">
      <c r="A4" s="95" t="s">
        <v>4590</v>
      </c>
      <c r="B4" s="122">
        <v>170</v>
      </c>
      <c r="C4" s="319" t="s">
        <v>4466</v>
      </c>
      <c r="D4" s="1844"/>
      <c r="F4" s="110"/>
      <c r="H4" s="109"/>
      <c r="I4" s="110"/>
    </row>
    <row r="5" spans="1:9" ht="20.100000000000001" customHeight="1" x14ac:dyDescent="0.25">
      <c r="A5" s="98" t="s">
        <v>4591</v>
      </c>
      <c r="B5" s="122">
        <v>172</v>
      </c>
      <c r="C5" s="319" t="s">
        <v>4467</v>
      </c>
      <c r="D5" s="1844"/>
      <c r="F5" s="110"/>
      <c r="H5" s="109"/>
      <c r="I5" s="110"/>
    </row>
    <row r="6" spans="1:9" ht="20.100000000000001" customHeight="1" x14ac:dyDescent="0.25">
      <c r="A6" s="98" t="s">
        <v>4592</v>
      </c>
      <c r="B6" s="122">
        <v>174</v>
      </c>
      <c r="C6" s="319" t="s">
        <v>4468</v>
      </c>
      <c r="D6" s="1844"/>
      <c r="F6" s="110"/>
      <c r="H6" s="109"/>
      <c r="I6" s="110"/>
    </row>
    <row r="7" spans="1:9" ht="20.100000000000001" customHeight="1" x14ac:dyDescent="0.25">
      <c r="A7" s="98" t="s">
        <v>4593</v>
      </c>
      <c r="B7" s="122">
        <v>176</v>
      </c>
      <c r="C7" s="319" t="s">
        <v>4469</v>
      </c>
      <c r="D7" s="1844"/>
      <c r="F7" s="110"/>
      <c r="H7" s="109"/>
      <c r="I7" s="110"/>
    </row>
    <row r="8" spans="1:9" ht="20.100000000000001" customHeight="1" thickBot="1" x14ac:dyDescent="0.3">
      <c r="A8" s="337" t="s">
        <v>4587</v>
      </c>
      <c r="B8" s="327">
        <v>177</v>
      </c>
      <c r="C8" s="334" t="s">
        <v>4470</v>
      </c>
      <c r="D8" s="1845"/>
      <c r="F8" s="110"/>
      <c r="H8" s="109"/>
      <c r="I8" s="110"/>
    </row>
    <row r="9" spans="1:9" ht="20.100000000000001" customHeight="1" x14ac:dyDescent="0.25">
      <c r="A9" s="331" t="s">
        <v>4594</v>
      </c>
      <c r="B9" s="325">
        <v>192</v>
      </c>
      <c r="C9" s="332" t="s">
        <v>4464</v>
      </c>
      <c r="D9" s="1843" t="s">
        <v>5070</v>
      </c>
      <c r="F9" s="110"/>
      <c r="H9" s="109"/>
      <c r="I9" s="110"/>
    </row>
    <row r="10" spans="1:9" ht="20.100000000000001" customHeight="1" x14ac:dyDescent="0.25">
      <c r="A10" s="99" t="s">
        <v>4595</v>
      </c>
      <c r="B10" s="122">
        <v>219</v>
      </c>
      <c r="C10" s="318" t="s">
        <v>4465</v>
      </c>
      <c r="D10" s="1844"/>
      <c r="F10" s="110"/>
      <c r="H10" s="109"/>
      <c r="I10" s="110"/>
    </row>
    <row r="11" spans="1:9" ht="20.100000000000001" customHeight="1" x14ac:dyDescent="0.25">
      <c r="A11" s="99" t="s">
        <v>4596</v>
      </c>
      <c r="B11" s="122">
        <v>221</v>
      </c>
      <c r="C11" s="319" t="s">
        <v>4466</v>
      </c>
      <c r="D11" s="1844"/>
      <c r="F11" s="110"/>
      <c r="H11" s="109"/>
      <c r="I11" s="110"/>
    </row>
    <row r="12" spans="1:9" ht="20.100000000000001" customHeight="1" x14ac:dyDescent="0.25">
      <c r="A12" s="99" t="s">
        <v>4597</v>
      </c>
      <c r="B12" s="122">
        <v>223</v>
      </c>
      <c r="C12" s="319" t="s">
        <v>4467</v>
      </c>
      <c r="D12" s="1844"/>
      <c r="F12" s="110"/>
      <c r="H12" s="109"/>
      <c r="I12" s="110"/>
    </row>
    <row r="13" spans="1:9" ht="20.100000000000001" customHeight="1" x14ac:dyDescent="0.25">
      <c r="A13" s="99" t="s">
        <v>4598</v>
      </c>
      <c r="B13" s="122">
        <v>225</v>
      </c>
      <c r="C13" s="319" t="s">
        <v>4468</v>
      </c>
      <c r="D13" s="1844"/>
      <c r="F13" s="110"/>
      <c r="H13" s="109"/>
      <c r="I13" s="110"/>
    </row>
    <row r="14" spans="1:9" ht="20.100000000000001" customHeight="1" x14ac:dyDescent="0.25">
      <c r="A14" s="99" t="s">
        <v>4599</v>
      </c>
      <c r="B14" s="122">
        <v>226</v>
      </c>
      <c r="C14" s="319" t="s">
        <v>4469</v>
      </c>
      <c r="D14" s="1844"/>
      <c r="F14" s="110"/>
      <c r="H14" s="109"/>
      <c r="I14" s="110"/>
    </row>
    <row r="15" spans="1:9" ht="20.100000000000001" customHeight="1" thickBot="1" x14ac:dyDescent="0.3">
      <c r="A15" s="333" t="s">
        <v>4586</v>
      </c>
      <c r="B15" s="327">
        <v>228</v>
      </c>
      <c r="C15" s="334" t="s">
        <v>4470</v>
      </c>
      <c r="D15" s="1845"/>
      <c r="F15" s="110"/>
      <c r="H15" s="109"/>
      <c r="I15" s="110"/>
    </row>
    <row r="16" spans="1:9" x14ac:dyDescent="0.25">
      <c r="A16" s="324" t="s">
        <v>4600</v>
      </c>
      <c r="B16" s="325">
        <v>246</v>
      </c>
      <c r="C16" s="329" t="s">
        <v>4464</v>
      </c>
      <c r="D16" s="1843" t="s">
        <v>5074</v>
      </c>
      <c r="F16" s="110"/>
      <c r="H16" s="109"/>
      <c r="I16" s="110"/>
    </row>
    <row r="17" spans="1:9" x14ac:dyDescent="0.25">
      <c r="A17" s="100" t="s">
        <v>4601</v>
      </c>
      <c r="B17" s="122">
        <v>277</v>
      </c>
      <c r="C17" s="96" t="s">
        <v>4465</v>
      </c>
      <c r="D17" s="1844"/>
      <c r="F17" s="110"/>
      <c r="H17" s="109"/>
      <c r="I17" s="110"/>
    </row>
    <row r="18" spans="1:9" x14ac:dyDescent="0.25">
      <c r="A18" s="100" t="s">
        <v>4602</v>
      </c>
      <c r="B18" s="122">
        <v>279</v>
      </c>
      <c r="C18" s="96" t="s">
        <v>4466</v>
      </c>
      <c r="D18" s="1844"/>
      <c r="F18" s="110"/>
      <c r="H18" s="109"/>
      <c r="I18" s="110"/>
    </row>
    <row r="19" spans="1:9" x14ac:dyDescent="0.25">
      <c r="A19" s="100" t="s">
        <v>4603</v>
      </c>
      <c r="B19" s="122">
        <v>281</v>
      </c>
      <c r="C19" s="96" t="s">
        <v>4467</v>
      </c>
      <c r="D19" s="1844"/>
      <c r="F19" s="110"/>
      <c r="H19" s="109"/>
      <c r="I19" s="110"/>
    </row>
    <row r="20" spans="1:9" x14ac:dyDescent="0.25">
      <c r="A20" s="100" t="s">
        <v>4604</v>
      </c>
      <c r="B20" s="122">
        <v>283</v>
      </c>
      <c r="C20" s="96" t="s">
        <v>4468</v>
      </c>
      <c r="D20" s="1844"/>
      <c r="F20" s="110"/>
      <c r="H20" s="109"/>
      <c r="I20" s="110"/>
    </row>
    <row r="21" spans="1:9" x14ac:dyDescent="0.25">
      <c r="A21" s="100" t="s">
        <v>4605</v>
      </c>
      <c r="B21" s="122">
        <v>285</v>
      </c>
      <c r="C21" s="96" t="s">
        <v>4469</v>
      </c>
      <c r="D21" s="1844"/>
      <c r="F21" s="110"/>
      <c r="H21" s="109"/>
      <c r="I21" s="110"/>
    </row>
    <row r="22" spans="1:9" ht="15.75" thickBot="1" x14ac:dyDescent="0.3">
      <c r="A22" s="101" t="s">
        <v>4585</v>
      </c>
      <c r="B22" s="327">
        <v>287</v>
      </c>
      <c r="C22" s="330" t="s">
        <v>4470</v>
      </c>
      <c r="D22" s="1845"/>
      <c r="F22" s="110"/>
      <c r="H22" s="109"/>
      <c r="I22" s="110"/>
    </row>
    <row r="23" spans="1:9" x14ac:dyDescent="0.25">
      <c r="A23" s="324" t="s">
        <v>4606</v>
      </c>
      <c r="B23" s="325">
        <v>305</v>
      </c>
      <c r="C23" s="326" t="s">
        <v>4464</v>
      </c>
      <c r="D23" s="1843" t="s">
        <v>5077</v>
      </c>
      <c r="F23" s="110"/>
      <c r="H23" s="109"/>
      <c r="I23" s="110"/>
    </row>
    <row r="24" spans="1:9" x14ac:dyDescent="0.25">
      <c r="A24" s="100" t="s">
        <v>4607</v>
      </c>
      <c r="B24" s="122">
        <v>307</v>
      </c>
      <c r="C24" s="320" t="s">
        <v>4465</v>
      </c>
      <c r="D24" s="1844"/>
      <c r="F24" s="110"/>
      <c r="H24" s="109"/>
      <c r="I24" s="110"/>
    </row>
    <row r="25" spans="1:9" x14ac:dyDescent="0.25">
      <c r="A25" s="100" t="s">
        <v>4608</v>
      </c>
      <c r="B25" s="122">
        <v>308</v>
      </c>
      <c r="C25" s="320" t="s">
        <v>4466</v>
      </c>
      <c r="D25" s="1844"/>
      <c r="F25" s="110"/>
      <c r="H25" s="109"/>
      <c r="I25" s="110"/>
    </row>
    <row r="26" spans="1:9" x14ac:dyDescent="0.25">
      <c r="A26" s="100" t="s">
        <v>4609</v>
      </c>
      <c r="B26" s="122">
        <v>310</v>
      </c>
      <c r="C26" s="320" t="s">
        <v>4467</v>
      </c>
      <c r="D26" s="1844"/>
      <c r="F26" s="110"/>
      <c r="H26" s="109"/>
      <c r="I26" s="110"/>
    </row>
    <row r="27" spans="1:9" x14ac:dyDescent="0.25">
      <c r="A27" s="100" t="s">
        <v>4610</v>
      </c>
      <c r="B27" s="122">
        <v>312</v>
      </c>
      <c r="C27" s="320" t="s">
        <v>4468</v>
      </c>
      <c r="D27" s="1844"/>
      <c r="F27" s="110"/>
      <c r="H27" s="109"/>
      <c r="I27" s="110"/>
    </row>
    <row r="28" spans="1:9" x14ac:dyDescent="0.25">
      <c r="A28" s="100" t="s">
        <v>4611</v>
      </c>
      <c r="B28" s="122">
        <v>314</v>
      </c>
      <c r="C28" s="320" t="s">
        <v>4469</v>
      </c>
      <c r="D28" s="1844"/>
      <c r="F28" s="110"/>
      <c r="H28" s="109"/>
      <c r="I28" s="110"/>
    </row>
    <row r="29" spans="1:9" ht="15.75" thickBot="1" x14ac:dyDescent="0.3">
      <c r="A29" s="101" t="s">
        <v>4584</v>
      </c>
      <c r="B29" s="327">
        <v>316</v>
      </c>
      <c r="C29" s="328" t="s">
        <v>4470</v>
      </c>
      <c r="D29" s="1845"/>
      <c r="F29" s="110"/>
      <c r="H29" s="109"/>
      <c r="I29" s="110"/>
    </row>
    <row r="30" spans="1:9" x14ac:dyDescent="0.25">
      <c r="A30" s="321" t="s">
        <v>2835</v>
      </c>
      <c r="B30" s="322">
        <v>348</v>
      </c>
      <c r="C30" s="323" t="s">
        <v>2890</v>
      </c>
      <c r="F30" s="110"/>
      <c r="H30" s="109"/>
      <c r="I30" s="110"/>
    </row>
    <row r="31" spans="1:9" x14ac:dyDescent="0.25">
      <c r="A31" s="100" t="s">
        <v>2836</v>
      </c>
      <c r="B31" s="122">
        <v>363</v>
      </c>
      <c r="C31" s="103" t="s">
        <v>2892</v>
      </c>
      <c r="F31" s="110"/>
      <c r="H31" s="109"/>
      <c r="I31" s="110"/>
    </row>
    <row r="32" spans="1:9" x14ac:dyDescent="0.25">
      <c r="A32" s="100" t="s">
        <v>2837</v>
      </c>
      <c r="B32" s="122">
        <v>376</v>
      </c>
      <c r="C32" s="103" t="s">
        <v>3085</v>
      </c>
      <c r="F32" s="110"/>
      <c r="H32" s="109"/>
      <c r="I32" s="110"/>
    </row>
    <row r="33" spans="1:9" x14ac:dyDescent="0.25">
      <c r="A33" s="100" t="s">
        <v>2838</v>
      </c>
      <c r="B33" s="122">
        <v>391</v>
      </c>
      <c r="C33" s="103" t="s">
        <v>2891</v>
      </c>
      <c r="F33" s="110"/>
      <c r="H33" s="109"/>
      <c r="I33" s="110"/>
    </row>
    <row r="34" spans="1:9" x14ac:dyDescent="0.25">
      <c r="A34" s="100" t="s">
        <v>2839</v>
      </c>
      <c r="B34" s="122">
        <v>409</v>
      </c>
      <c r="C34" s="103" t="s">
        <v>2893</v>
      </c>
      <c r="F34" s="110"/>
      <c r="H34" s="109"/>
      <c r="I34" s="110"/>
    </row>
    <row r="35" spans="1:9" x14ac:dyDescent="0.25">
      <c r="A35" s="100" t="s">
        <v>2842</v>
      </c>
      <c r="B35" s="122">
        <v>427</v>
      </c>
      <c r="C35" s="103" t="s">
        <v>2894</v>
      </c>
      <c r="F35" s="110"/>
      <c r="H35" s="109"/>
      <c r="I35" s="110"/>
    </row>
    <row r="36" spans="1:9" ht="15.75" thickBot="1" x14ac:dyDescent="0.3">
      <c r="A36" s="101" t="s">
        <v>2843</v>
      </c>
      <c r="B36" s="122">
        <v>447</v>
      </c>
      <c r="C36" s="104" t="s">
        <v>1154</v>
      </c>
      <c r="F36" s="110"/>
      <c r="H36" s="109"/>
      <c r="I36" s="110"/>
    </row>
  </sheetData>
  <mergeCells count="4">
    <mergeCell ref="D2:D8"/>
    <mergeCell ref="D9:D15"/>
    <mergeCell ref="D16:D22"/>
    <mergeCell ref="D23:D29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baseColWidth="10" defaultRowHeight="12" x14ac:dyDescent="0.2"/>
  <cols>
    <col min="1" max="1" width="11.5703125" style="49" customWidth="1"/>
    <col min="2" max="2" width="19.140625" style="19" customWidth="1"/>
    <col min="3" max="16384" width="11.42578125" style="19"/>
  </cols>
  <sheetData>
    <row r="1" spans="1:2" s="22" customFormat="1" ht="22.5" customHeight="1" thickBot="1" x14ac:dyDescent="0.3">
      <c r="A1" s="1846" t="s">
        <v>2841</v>
      </c>
      <c r="B1" s="1847"/>
    </row>
    <row r="2" spans="1:2" s="22" customFormat="1" ht="22.5" customHeight="1" thickBot="1" x14ac:dyDescent="0.3">
      <c r="A2" s="48" t="s">
        <v>1</v>
      </c>
      <c r="B2" s="23" t="s">
        <v>2889</v>
      </c>
    </row>
    <row r="3" spans="1:2" ht="15.75" customHeight="1" x14ac:dyDescent="0.2">
      <c r="A3" s="50">
        <v>1</v>
      </c>
      <c r="B3" s="152">
        <v>130</v>
      </c>
    </row>
    <row r="4" spans="1:2" ht="15.75" customHeight="1" x14ac:dyDescent="0.2">
      <c r="A4" s="50">
        <v>2</v>
      </c>
      <c r="B4" s="152">
        <v>142</v>
      </c>
    </row>
    <row r="5" spans="1:2" ht="15.75" customHeight="1" x14ac:dyDescent="0.2">
      <c r="A5" s="50">
        <v>3</v>
      </c>
      <c r="B5" s="152">
        <v>152</v>
      </c>
    </row>
    <row r="6" spans="1:2" ht="15.75" customHeight="1" x14ac:dyDescent="0.2">
      <c r="A6" s="50">
        <v>4</v>
      </c>
      <c r="B6" s="152">
        <v>161</v>
      </c>
    </row>
    <row r="7" spans="1:2" ht="15.75" customHeight="1" x14ac:dyDescent="0.2">
      <c r="A7" s="50">
        <v>5</v>
      </c>
      <c r="B7" s="152">
        <v>171</v>
      </c>
    </row>
    <row r="8" spans="1:2" ht="15.75" customHeight="1" x14ac:dyDescent="0.2">
      <c r="A8" s="50">
        <v>6</v>
      </c>
      <c r="B8" s="152">
        <v>181</v>
      </c>
    </row>
    <row r="9" spans="1:2" ht="15.75" customHeight="1" x14ac:dyDescent="0.2">
      <c r="A9" s="50">
        <v>7</v>
      </c>
      <c r="B9" s="152">
        <v>190</v>
      </c>
    </row>
    <row r="10" spans="1:2" ht="15.75" customHeight="1" x14ac:dyDescent="0.2">
      <c r="A10" s="50">
        <v>8</v>
      </c>
      <c r="B10" s="152">
        <v>200</v>
      </c>
    </row>
    <row r="11" spans="1:2" ht="15.75" customHeight="1" x14ac:dyDescent="0.2">
      <c r="A11" s="50">
        <v>9</v>
      </c>
      <c r="B11" s="152">
        <v>210</v>
      </c>
    </row>
    <row r="12" spans="1:2" ht="15.75" customHeight="1" thickBot="1" x14ac:dyDescent="0.25">
      <c r="A12" s="51">
        <v>10</v>
      </c>
      <c r="B12" s="153">
        <v>219</v>
      </c>
    </row>
    <row r="15" spans="1:2" x14ac:dyDescent="0.2">
      <c r="A15" s="20"/>
      <c r="B15" s="21"/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2221"/>
  <sheetViews>
    <sheetView workbookViewId="0">
      <pane ySplit="1" topLeftCell="A2060" activePane="bottomLeft" state="frozen"/>
      <selection activeCell="A4" sqref="A4"/>
      <selection pane="bottomLeft" activeCell="A2072" sqref="A2072"/>
    </sheetView>
  </sheetViews>
  <sheetFormatPr baseColWidth="10" defaultColWidth="37.5703125" defaultRowHeight="12" x14ac:dyDescent="0.25"/>
  <cols>
    <col min="1" max="1" width="70.140625" style="3" bestFit="1" customWidth="1"/>
    <col min="2" max="2" width="13.7109375" style="13" bestFit="1" customWidth="1"/>
    <col min="3" max="3" width="14" style="3" bestFit="1" customWidth="1"/>
    <col min="4" max="4" width="15.85546875" style="3" bestFit="1" customWidth="1"/>
    <col min="5" max="5" width="8.85546875" style="13" bestFit="1" customWidth="1"/>
    <col min="6" max="6" width="11.42578125" style="3" customWidth="1"/>
    <col min="7" max="16384" width="37.5703125" style="3"/>
  </cols>
  <sheetData>
    <row r="1" spans="1:5" s="2" customFormat="1" ht="33" customHeight="1" thickBot="1" x14ac:dyDescent="0.3">
      <c r="A1" s="14" t="s">
        <v>18</v>
      </c>
      <c r="B1" s="15" t="s">
        <v>17</v>
      </c>
      <c r="C1" s="16" t="s">
        <v>19</v>
      </c>
      <c r="D1" s="16" t="s">
        <v>20</v>
      </c>
      <c r="E1" s="17" t="s">
        <v>1</v>
      </c>
    </row>
    <row r="2" spans="1:5" x14ac:dyDescent="0.25">
      <c r="A2" s="4">
        <v>0</v>
      </c>
      <c r="B2" s="108" t="s">
        <v>4615</v>
      </c>
      <c r="C2" s="6" t="s">
        <v>4443</v>
      </c>
      <c r="D2" s="6" t="s">
        <v>4443</v>
      </c>
      <c r="E2" s="7" t="s">
        <v>4443</v>
      </c>
    </row>
    <row r="3" spans="1:5" x14ac:dyDescent="0.25">
      <c r="A3" s="4" t="s">
        <v>3566</v>
      </c>
      <c r="B3" s="5" t="s">
        <v>4342</v>
      </c>
      <c r="C3" s="6" t="s">
        <v>4443</v>
      </c>
      <c r="D3" s="6" t="s">
        <v>4443</v>
      </c>
      <c r="E3" s="7" t="s">
        <v>4443</v>
      </c>
    </row>
    <row r="4" spans="1:5" x14ac:dyDescent="0.25">
      <c r="A4" s="65" t="s">
        <v>22</v>
      </c>
      <c r="B4" s="66" t="s">
        <v>21</v>
      </c>
      <c r="C4" s="67" t="s">
        <v>23</v>
      </c>
      <c r="D4" s="67" t="s">
        <v>24</v>
      </c>
      <c r="E4" s="68" t="s">
        <v>4455</v>
      </c>
    </row>
    <row r="5" spans="1:5" x14ac:dyDescent="0.25">
      <c r="A5" s="69" t="s">
        <v>26</v>
      </c>
      <c r="B5" s="70" t="s">
        <v>25</v>
      </c>
      <c r="C5" s="71" t="s">
        <v>23</v>
      </c>
      <c r="D5" s="71" t="s">
        <v>24</v>
      </c>
      <c r="E5" s="72" t="s">
        <v>4449</v>
      </c>
    </row>
    <row r="6" spans="1:5" x14ac:dyDescent="0.25">
      <c r="A6" s="4" t="s">
        <v>28</v>
      </c>
      <c r="B6" s="5" t="s">
        <v>27</v>
      </c>
      <c r="C6" s="6" t="s">
        <v>23</v>
      </c>
      <c r="D6" s="6" t="s">
        <v>24</v>
      </c>
      <c r="E6" s="7" t="s">
        <v>4450</v>
      </c>
    </row>
    <row r="7" spans="1:5" x14ac:dyDescent="0.25">
      <c r="A7" s="65" t="s">
        <v>30</v>
      </c>
      <c r="B7" s="66" t="s">
        <v>29</v>
      </c>
      <c r="C7" s="67" t="s">
        <v>23</v>
      </c>
      <c r="D7" s="67" t="s">
        <v>24</v>
      </c>
      <c r="E7" s="68" t="s">
        <v>4451</v>
      </c>
    </row>
    <row r="8" spans="1:5" x14ac:dyDescent="0.25">
      <c r="A8" s="4" t="s">
        <v>32</v>
      </c>
      <c r="B8" s="5" t="s">
        <v>31</v>
      </c>
      <c r="C8" s="6" t="s">
        <v>23</v>
      </c>
      <c r="D8" s="6" t="s">
        <v>24</v>
      </c>
      <c r="E8" s="7" t="s">
        <v>4453</v>
      </c>
    </row>
    <row r="9" spans="1:5" x14ac:dyDescent="0.25">
      <c r="A9" s="4" t="s">
        <v>34</v>
      </c>
      <c r="B9" s="5" t="s">
        <v>33</v>
      </c>
      <c r="C9" s="6" t="s">
        <v>23</v>
      </c>
      <c r="D9" s="6" t="s">
        <v>24</v>
      </c>
      <c r="E9" s="7" t="s">
        <v>4447</v>
      </c>
    </row>
    <row r="10" spans="1:5" x14ac:dyDescent="0.25">
      <c r="A10" s="4" t="s">
        <v>36</v>
      </c>
      <c r="B10" s="5" t="s">
        <v>35</v>
      </c>
      <c r="C10" s="6" t="s">
        <v>23</v>
      </c>
      <c r="D10" s="6" t="s">
        <v>24</v>
      </c>
      <c r="E10" s="7" t="s">
        <v>4448</v>
      </c>
    </row>
    <row r="11" spans="1:5" x14ac:dyDescent="0.25">
      <c r="A11" s="4" t="s">
        <v>38</v>
      </c>
      <c r="B11" s="5" t="s">
        <v>37</v>
      </c>
      <c r="C11" s="6" t="s">
        <v>23</v>
      </c>
      <c r="D11" s="6" t="s">
        <v>24</v>
      </c>
      <c r="E11" s="7" t="s">
        <v>4450</v>
      </c>
    </row>
    <row r="12" spans="1:5" x14ac:dyDescent="0.25">
      <c r="A12" s="4" t="s">
        <v>40</v>
      </c>
      <c r="B12" s="5" t="s">
        <v>39</v>
      </c>
      <c r="C12" s="6" t="s">
        <v>23</v>
      </c>
      <c r="D12" s="6" t="s">
        <v>24</v>
      </c>
      <c r="E12" s="7" t="s">
        <v>4451</v>
      </c>
    </row>
    <row r="13" spans="1:5" x14ac:dyDescent="0.25">
      <c r="A13" s="11" t="s">
        <v>42</v>
      </c>
      <c r="B13" s="5" t="s">
        <v>41</v>
      </c>
      <c r="C13" s="12" t="s">
        <v>23</v>
      </c>
      <c r="D13" s="12" t="s">
        <v>24</v>
      </c>
      <c r="E13" s="7" t="s">
        <v>4453</v>
      </c>
    </row>
    <row r="14" spans="1:5" x14ac:dyDescent="0.25">
      <c r="A14" s="4" t="s">
        <v>44</v>
      </c>
      <c r="B14" s="5" t="s">
        <v>43</v>
      </c>
      <c r="C14" s="6" t="s">
        <v>23</v>
      </c>
      <c r="D14" s="6" t="s">
        <v>24</v>
      </c>
      <c r="E14" s="7" t="s">
        <v>4448</v>
      </c>
    </row>
    <row r="15" spans="1:5" x14ac:dyDescent="0.25">
      <c r="A15" s="4" t="s">
        <v>46</v>
      </c>
      <c r="B15" s="5" t="s">
        <v>45</v>
      </c>
      <c r="C15" s="6" t="s">
        <v>23</v>
      </c>
      <c r="D15" s="6" t="s">
        <v>24</v>
      </c>
      <c r="E15" s="7" t="s">
        <v>4450</v>
      </c>
    </row>
    <row r="16" spans="1:5" x14ac:dyDescent="0.25">
      <c r="A16" s="4" t="s">
        <v>48</v>
      </c>
      <c r="B16" s="5" t="s">
        <v>47</v>
      </c>
      <c r="C16" s="6" t="s">
        <v>23</v>
      </c>
      <c r="D16" s="6" t="s">
        <v>24</v>
      </c>
      <c r="E16" s="7" t="s">
        <v>4451</v>
      </c>
    </row>
    <row r="17" spans="1:5" x14ac:dyDescent="0.25">
      <c r="A17" s="4" t="s">
        <v>50</v>
      </c>
      <c r="B17" s="5" t="s">
        <v>49</v>
      </c>
      <c r="C17" s="12" t="s">
        <v>23</v>
      </c>
      <c r="D17" s="12" t="s">
        <v>24</v>
      </c>
      <c r="E17" s="7" t="s">
        <v>4453</v>
      </c>
    </row>
    <row r="18" spans="1:5" x14ac:dyDescent="0.25">
      <c r="A18" s="4" t="s">
        <v>52</v>
      </c>
      <c r="B18" s="5" t="s">
        <v>51</v>
      </c>
      <c r="C18" s="6" t="s">
        <v>23</v>
      </c>
      <c r="D18" s="6" t="s">
        <v>24</v>
      </c>
      <c r="E18" s="7" t="s">
        <v>4447</v>
      </c>
    </row>
    <row r="19" spans="1:5" x14ac:dyDescent="0.25">
      <c r="A19" s="4" t="s">
        <v>54</v>
      </c>
      <c r="B19" s="5" t="s">
        <v>53</v>
      </c>
      <c r="C19" s="12" t="s">
        <v>23</v>
      </c>
      <c r="D19" s="12" t="s">
        <v>24</v>
      </c>
      <c r="E19" s="7" t="s">
        <v>4448</v>
      </c>
    </row>
    <row r="20" spans="1:5" x14ac:dyDescent="0.25">
      <c r="A20" s="4" t="s">
        <v>56</v>
      </c>
      <c r="B20" s="5" t="s">
        <v>55</v>
      </c>
      <c r="C20" s="6" t="s">
        <v>23</v>
      </c>
      <c r="D20" s="6" t="s">
        <v>24</v>
      </c>
      <c r="E20" s="7" t="s">
        <v>4450</v>
      </c>
    </row>
    <row r="21" spans="1:5" x14ac:dyDescent="0.25">
      <c r="A21" s="4" t="s">
        <v>58</v>
      </c>
      <c r="B21" s="5" t="s">
        <v>57</v>
      </c>
      <c r="C21" s="6" t="s">
        <v>23</v>
      </c>
      <c r="D21" s="6" t="s">
        <v>24</v>
      </c>
      <c r="E21" s="7" t="s">
        <v>4451</v>
      </c>
    </row>
    <row r="22" spans="1:5" x14ac:dyDescent="0.25">
      <c r="A22" s="4" t="s">
        <v>60</v>
      </c>
      <c r="B22" s="5" t="s">
        <v>59</v>
      </c>
      <c r="C22" s="6" t="s">
        <v>23</v>
      </c>
      <c r="D22" s="6" t="s">
        <v>24</v>
      </c>
      <c r="E22" s="7" t="s">
        <v>4452</v>
      </c>
    </row>
    <row r="23" spans="1:5" x14ac:dyDescent="0.25">
      <c r="A23" s="4" t="s">
        <v>62</v>
      </c>
      <c r="B23" s="5" t="s">
        <v>61</v>
      </c>
      <c r="C23" s="6" t="s">
        <v>23</v>
      </c>
      <c r="D23" s="6" t="s">
        <v>63</v>
      </c>
      <c r="E23" s="7" t="s">
        <v>64</v>
      </c>
    </row>
    <row r="24" spans="1:5" x14ac:dyDescent="0.25">
      <c r="A24" s="4" t="s">
        <v>66</v>
      </c>
      <c r="B24" s="5" t="s">
        <v>65</v>
      </c>
      <c r="C24" s="6" t="s">
        <v>23</v>
      </c>
      <c r="D24" s="6" t="s">
        <v>63</v>
      </c>
      <c r="E24" s="7" t="s">
        <v>67</v>
      </c>
    </row>
    <row r="25" spans="1:5" x14ac:dyDescent="0.25">
      <c r="A25" s="4" t="s">
        <v>69</v>
      </c>
      <c r="B25" s="5" t="s">
        <v>68</v>
      </c>
      <c r="C25" s="6" t="s">
        <v>23</v>
      </c>
      <c r="D25" s="6" t="s">
        <v>24</v>
      </c>
      <c r="E25" s="7" t="s">
        <v>4446</v>
      </c>
    </row>
    <row r="26" spans="1:5" x14ac:dyDescent="0.25">
      <c r="A26" s="4" t="s">
        <v>71</v>
      </c>
      <c r="B26" s="5" t="s">
        <v>70</v>
      </c>
      <c r="C26" s="6" t="s">
        <v>23</v>
      </c>
      <c r="D26" s="6" t="s">
        <v>24</v>
      </c>
      <c r="E26" s="7" t="s">
        <v>4447</v>
      </c>
    </row>
    <row r="27" spans="1:5" x14ac:dyDescent="0.25">
      <c r="A27" s="4" t="s">
        <v>73</v>
      </c>
      <c r="B27" s="5" t="s">
        <v>72</v>
      </c>
      <c r="C27" s="6" t="s">
        <v>23</v>
      </c>
      <c r="D27" s="6" t="s">
        <v>24</v>
      </c>
      <c r="E27" s="7" t="s">
        <v>4447</v>
      </c>
    </row>
    <row r="28" spans="1:5" x14ac:dyDescent="0.25">
      <c r="A28" s="4" t="s">
        <v>75</v>
      </c>
      <c r="B28" s="5" t="s">
        <v>74</v>
      </c>
      <c r="C28" s="6" t="s">
        <v>23</v>
      </c>
      <c r="D28" s="6" t="s">
        <v>24</v>
      </c>
      <c r="E28" s="7" t="s">
        <v>4448</v>
      </c>
    </row>
    <row r="29" spans="1:5" x14ac:dyDescent="0.25">
      <c r="A29" s="4" t="s">
        <v>77</v>
      </c>
      <c r="B29" s="5" t="s">
        <v>76</v>
      </c>
      <c r="C29" s="6" t="s">
        <v>23</v>
      </c>
      <c r="D29" s="6" t="s">
        <v>24</v>
      </c>
      <c r="E29" s="7" t="s">
        <v>4450</v>
      </c>
    </row>
    <row r="30" spans="1:5" x14ac:dyDescent="0.25">
      <c r="A30" s="4" t="s">
        <v>79</v>
      </c>
      <c r="B30" s="5" t="s">
        <v>78</v>
      </c>
      <c r="C30" s="6" t="s">
        <v>23</v>
      </c>
      <c r="D30" s="6" t="s">
        <v>24</v>
      </c>
      <c r="E30" s="7" t="s">
        <v>4451</v>
      </c>
    </row>
    <row r="31" spans="1:5" x14ac:dyDescent="0.25">
      <c r="A31" s="11" t="s">
        <v>81</v>
      </c>
      <c r="B31" s="5" t="s">
        <v>80</v>
      </c>
      <c r="C31" s="12" t="s">
        <v>23</v>
      </c>
      <c r="D31" s="12" t="s">
        <v>24</v>
      </c>
      <c r="E31" s="7" t="s">
        <v>4453</v>
      </c>
    </row>
    <row r="32" spans="1:5" x14ac:dyDescent="0.25">
      <c r="A32" s="11" t="s">
        <v>3317</v>
      </c>
      <c r="B32" s="5" t="s">
        <v>4090</v>
      </c>
      <c r="C32" s="12" t="s">
        <v>23</v>
      </c>
      <c r="D32" s="12" t="s">
        <v>63</v>
      </c>
      <c r="E32" s="7" t="s">
        <v>4452</v>
      </c>
    </row>
    <row r="33" spans="1:5" x14ac:dyDescent="0.25">
      <c r="A33" s="4" t="s">
        <v>83</v>
      </c>
      <c r="B33" s="5" t="s">
        <v>82</v>
      </c>
      <c r="C33" s="6" t="s">
        <v>23</v>
      </c>
      <c r="D33" s="6" t="s">
        <v>63</v>
      </c>
      <c r="E33" s="7" t="s">
        <v>64</v>
      </c>
    </row>
    <row r="34" spans="1:5" x14ac:dyDescent="0.25">
      <c r="A34" s="4" t="s">
        <v>85</v>
      </c>
      <c r="B34" s="5" t="s">
        <v>84</v>
      </c>
      <c r="C34" s="6" t="s">
        <v>23</v>
      </c>
      <c r="D34" s="6" t="s">
        <v>63</v>
      </c>
      <c r="E34" s="7" t="s">
        <v>86</v>
      </c>
    </row>
    <row r="35" spans="1:5" x14ac:dyDescent="0.25">
      <c r="A35" s="4" t="s">
        <v>88</v>
      </c>
      <c r="B35" s="5" t="s">
        <v>87</v>
      </c>
      <c r="C35" s="6" t="s">
        <v>23</v>
      </c>
      <c r="D35" s="6" t="s">
        <v>63</v>
      </c>
      <c r="E35" s="7" t="s">
        <v>89</v>
      </c>
    </row>
    <row r="36" spans="1:5" x14ac:dyDescent="0.25">
      <c r="A36" s="4" t="s">
        <v>91</v>
      </c>
      <c r="B36" s="5" t="s">
        <v>90</v>
      </c>
      <c r="C36" s="6" t="s">
        <v>23</v>
      </c>
      <c r="D36" s="6" t="s">
        <v>63</v>
      </c>
      <c r="E36" s="7" t="s">
        <v>92</v>
      </c>
    </row>
    <row r="37" spans="1:5" x14ac:dyDescent="0.25">
      <c r="A37" s="4" t="s">
        <v>94</v>
      </c>
      <c r="B37" s="5" t="s">
        <v>93</v>
      </c>
      <c r="C37" s="6" t="s">
        <v>23</v>
      </c>
      <c r="D37" s="6" t="s">
        <v>63</v>
      </c>
      <c r="E37" s="7" t="s">
        <v>95</v>
      </c>
    </row>
    <row r="38" spans="1:5" x14ac:dyDescent="0.25">
      <c r="A38" s="4" t="s">
        <v>97</v>
      </c>
      <c r="B38" s="5" t="s">
        <v>96</v>
      </c>
      <c r="C38" s="6" t="s">
        <v>23</v>
      </c>
      <c r="D38" s="6" t="s">
        <v>63</v>
      </c>
      <c r="E38" s="7" t="s">
        <v>98</v>
      </c>
    </row>
    <row r="39" spans="1:5" x14ac:dyDescent="0.25">
      <c r="A39" s="4" t="s">
        <v>100</v>
      </c>
      <c r="B39" s="5" t="s">
        <v>99</v>
      </c>
      <c r="C39" s="6" t="s">
        <v>23</v>
      </c>
      <c r="D39" s="6" t="s">
        <v>63</v>
      </c>
      <c r="E39" s="7" t="s">
        <v>67</v>
      </c>
    </row>
    <row r="40" spans="1:5" x14ac:dyDescent="0.25">
      <c r="A40" s="4" t="s">
        <v>102</v>
      </c>
      <c r="B40" s="5" t="s">
        <v>101</v>
      </c>
      <c r="C40" s="6" t="s">
        <v>23</v>
      </c>
      <c r="D40" s="6" t="s">
        <v>63</v>
      </c>
      <c r="E40" s="7" t="s">
        <v>98</v>
      </c>
    </row>
    <row r="41" spans="1:5" x14ac:dyDescent="0.25">
      <c r="A41" s="4" t="s">
        <v>3601</v>
      </c>
      <c r="B41" s="5" t="s">
        <v>4378</v>
      </c>
      <c r="C41" s="6" t="s">
        <v>23</v>
      </c>
      <c r="D41" s="6" t="s">
        <v>4463</v>
      </c>
      <c r="E41" s="7" t="s">
        <v>67</v>
      </c>
    </row>
    <row r="42" spans="1:5" x14ac:dyDescent="0.25">
      <c r="A42" s="4" t="s">
        <v>104</v>
      </c>
      <c r="B42" s="5" t="s">
        <v>103</v>
      </c>
      <c r="C42" s="6" t="s">
        <v>23</v>
      </c>
      <c r="D42" s="6" t="s">
        <v>63</v>
      </c>
      <c r="E42" s="7" t="s">
        <v>64</v>
      </c>
    </row>
    <row r="43" spans="1:5" x14ac:dyDescent="0.25">
      <c r="A43" s="4" t="s">
        <v>106</v>
      </c>
      <c r="B43" s="5" t="s">
        <v>105</v>
      </c>
      <c r="C43" s="6" t="s">
        <v>23</v>
      </c>
      <c r="D43" s="6" t="s">
        <v>63</v>
      </c>
      <c r="E43" s="7" t="s">
        <v>86</v>
      </c>
    </row>
    <row r="44" spans="1:5" x14ac:dyDescent="0.25">
      <c r="A44" s="4" t="s">
        <v>108</v>
      </c>
      <c r="B44" s="5" t="s">
        <v>107</v>
      </c>
      <c r="C44" s="6" t="s">
        <v>23</v>
      </c>
      <c r="D44" s="6" t="s">
        <v>63</v>
      </c>
      <c r="E44" s="7" t="s">
        <v>64</v>
      </c>
    </row>
    <row r="45" spans="1:5" x14ac:dyDescent="0.25">
      <c r="A45" s="4" t="s">
        <v>110</v>
      </c>
      <c r="B45" s="5" t="s">
        <v>109</v>
      </c>
      <c r="C45" s="6" t="s">
        <v>23</v>
      </c>
      <c r="D45" s="6" t="s">
        <v>63</v>
      </c>
      <c r="E45" s="7" t="s">
        <v>67</v>
      </c>
    </row>
    <row r="46" spans="1:5" x14ac:dyDescent="0.25">
      <c r="A46" s="4" t="s">
        <v>112</v>
      </c>
      <c r="B46" s="5" t="s">
        <v>111</v>
      </c>
      <c r="C46" s="6" t="s">
        <v>23</v>
      </c>
      <c r="D46" s="6" t="s">
        <v>24</v>
      </c>
      <c r="E46" s="7" t="s">
        <v>4446</v>
      </c>
    </row>
    <row r="47" spans="1:5" x14ac:dyDescent="0.25">
      <c r="A47" s="4" t="s">
        <v>114</v>
      </c>
      <c r="B47" s="5" t="s">
        <v>113</v>
      </c>
      <c r="C47" s="6" t="s">
        <v>23</v>
      </c>
      <c r="D47" s="6" t="s">
        <v>24</v>
      </c>
      <c r="E47" s="7" t="s">
        <v>4447</v>
      </c>
    </row>
    <row r="48" spans="1:5" x14ac:dyDescent="0.25">
      <c r="A48" s="4" t="s">
        <v>116</v>
      </c>
      <c r="B48" s="5" t="s">
        <v>115</v>
      </c>
      <c r="C48" s="6" t="s">
        <v>23</v>
      </c>
      <c r="D48" s="6" t="s">
        <v>24</v>
      </c>
      <c r="E48" s="7" t="s">
        <v>4448</v>
      </c>
    </row>
    <row r="49" spans="1:5" x14ac:dyDescent="0.25">
      <c r="A49" s="4" t="s">
        <v>118</v>
      </c>
      <c r="B49" s="5" t="s">
        <v>117</v>
      </c>
      <c r="C49" s="6" t="s">
        <v>23</v>
      </c>
      <c r="D49" s="6" t="s">
        <v>63</v>
      </c>
      <c r="E49" s="7" t="s">
        <v>64</v>
      </c>
    </row>
    <row r="50" spans="1:5" x14ac:dyDescent="0.25">
      <c r="A50" s="4" t="s">
        <v>120</v>
      </c>
      <c r="B50" s="5" t="s">
        <v>119</v>
      </c>
      <c r="C50" s="6" t="s">
        <v>23</v>
      </c>
      <c r="D50" s="6" t="s">
        <v>24</v>
      </c>
      <c r="E50" s="7" t="s">
        <v>4446</v>
      </c>
    </row>
    <row r="51" spans="1:5" x14ac:dyDescent="0.25">
      <c r="A51" s="4" t="s">
        <v>122</v>
      </c>
      <c r="B51" s="5" t="s">
        <v>121</v>
      </c>
      <c r="C51" s="6" t="s">
        <v>23</v>
      </c>
      <c r="D51" s="6" t="s">
        <v>24</v>
      </c>
      <c r="E51" s="7" t="s">
        <v>4447</v>
      </c>
    </row>
    <row r="52" spans="1:5" x14ac:dyDescent="0.25">
      <c r="A52" s="4" t="s">
        <v>3603</v>
      </c>
      <c r="B52" s="5" t="s">
        <v>4380</v>
      </c>
      <c r="C52" s="6" t="s">
        <v>23</v>
      </c>
      <c r="D52" s="6" t="s">
        <v>4463</v>
      </c>
      <c r="E52" s="7" t="s">
        <v>4443</v>
      </c>
    </row>
    <row r="53" spans="1:5" x14ac:dyDescent="0.25">
      <c r="A53" s="4" t="s">
        <v>124</v>
      </c>
      <c r="B53" s="5" t="s">
        <v>123</v>
      </c>
      <c r="C53" s="6" t="s">
        <v>23</v>
      </c>
      <c r="D53" s="6" t="s">
        <v>24</v>
      </c>
      <c r="E53" s="7" t="s">
        <v>4447</v>
      </c>
    </row>
    <row r="54" spans="1:5" x14ac:dyDescent="0.25">
      <c r="A54" s="4" t="s">
        <v>126</v>
      </c>
      <c r="B54" s="5" t="s">
        <v>125</v>
      </c>
      <c r="C54" s="6" t="s">
        <v>23</v>
      </c>
      <c r="D54" s="6" t="s">
        <v>24</v>
      </c>
      <c r="E54" s="7" t="s">
        <v>4455</v>
      </c>
    </row>
    <row r="55" spans="1:5" x14ac:dyDescent="0.25">
      <c r="A55" s="4" t="s">
        <v>128</v>
      </c>
      <c r="B55" s="5" t="s">
        <v>127</v>
      </c>
      <c r="C55" s="6" t="s">
        <v>23</v>
      </c>
      <c r="D55" s="6" t="s">
        <v>24</v>
      </c>
      <c r="E55" s="7" t="s">
        <v>4448</v>
      </c>
    </row>
    <row r="56" spans="1:5" x14ac:dyDescent="0.25">
      <c r="A56" s="4" t="s">
        <v>130</v>
      </c>
      <c r="B56" s="5" t="s">
        <v>129</v>
      </c>
      <c r="C56" s="6" t="s">
        <v>23</v>
      </c>
      <c r="D56" s="6" t="s">
        <v>24</v>
      </c>
      <c r="E56" s="7" t="s">
        <v>4450</v>
      </c>
    </row>
    <row r="57" spans="1:5" x14ac:dyDescent="0.25">
      <c r="A57" s="4" t="s">
        <v>2938</v>
      </c>
      <c r="B57" s="5" t="s">
        <v>3700</v>
      </c>
      <c r="C57" s="6" t="s">
        <v>23</v>
      </c>
      <c r="D57" s="6" t="s">
        <v>4445</v>
      </c>
      <c r="E57" s="7" t="s">
        <v>4443</v>
      </c>
    </row>
    <row r="58" spans="1:5" x14ac:dyDescent="0.25">
      <c r="A58" s="11" t="s">
        <v>3094</v>
      </c>
      <c r="B58" s="5" t="s">
        <v>3863</v>
      </c>
      <c r="C58" s="12" t="s">
        <v>23</v>
      </c>
      <c r="D58" s="12" t="s">
        <v>4445</v>
      </c>
      <c r="E58" s="7" t="s">
        <v>4443</v>
      </c>
    </row>
    <row r="59" spans="1:5" x14ac:dyDescent="0.25">
      <c r="A59" s="4" t="s">
        <v>3088</v>
      </c>
      <c r="B59" s="5" t="s">
        <v>3857</v>
      </c>
      <c r="C59" s="6" t="s">
        <v>23</v>
      </c>
      <c r="D59" s="6" t="s">
        <v>4445</v>
      </c>
      <c r="E59" s="7" t="s">
        <v>4443</v>
      </c>
    </row>
    <row r="60" spans="1:5" x14ac:dyDescent="0.25">
      <c r="A60" s="4" t="s">
        <v>3335</v>
      </c>
      <c r="B60" s="5" t="s">
        <v>4105</v>
      </c>
      <c r="C60" s="6" t="s">
        <v>23</v>
      </c>
      <c r="D60" s="6" t="s">
        <v>4445</v>
      </c>
      <c r="E60" s="7" t="s">
        <v>4443</v>
      </c>
    </row>
    <row r="61" spans="1:5" x14ac:dyDescent="0.25">
      <c r="A61" s="4" t="s">
        <v>3095</v>
      </c>
      <c r="B61" s="5" t="s">
        <v>3864</v>
      </c>
      <c r="C61" s="6" t="s">
        <v>23</v>
      </c>
      <c r="D61" s="6" t="s">
        <v>4445</v>
      </c>
      <c r="E61" s="7" t="s">
        <v>4443</v>
      </c>
    </row>
    <row r="62" spans="1:5" x14ac:dyDescent="0.25">
      <c r="A62" s="4" t="s">
        <v>3089</v>
      </c>
      <c r="B62" s="5" t="s">
        <v>3858</v>
      </c>
      <c r="C62" s="6" t="s">
        <v>23</v>
      </c>
      <c r="D62" s="6" t="s">
        <v>4445</v>
      </c>
      <c r="E62" s="7" t="s">
        <v>4443</v>
      </c>
    </row>
    <row r="63" spans="1:5" x14ac:dyDescent="0.25">
      <c r="A63" s="4" t="s">
        <v>3336</v>
      </c>
      <c r="B63" s="5" t="s">
        <v>4106</v>
      </c>
      <c r="C63" s="6" t="s">
        <v>23</v>
      </c>
      <c r="D63" s="6" t="s">
        <v>4445</v>
      </c>
      <c r="E63" s="7" t="s">
        <v>4443</v>
      </c>
    </row>
    <row r="64" spans="1:5" x14ac:dyDescent="0.25">
      <c r="A64" s="4" t="s">
        <v>3096</v>
      </c>
      <c r="B64" s="5" t="s">
        <v>3865</v>
      </c>
      <c r="C64" s="6" t="s">
        <v>23</v>
      </c>
      <c r="D64" s="6" t="s">
        <v>4445</v>
      </c>
      <c r="E64" s="7" t="s">
        <v>4443</v>
      </c>
    </row>
    <row r="65" spans="1:5" x14ac:dyDescent="0.25">
      <c r="A65" s="4" t="s">
        <v>3090</v>
      </c>
      <c r="B65" s="5" t="s">
        <v>3859</v>
      </c>
      <c r="C65" s="6" t="s">
        <v>23</v>
      </c>
      <c r="D65" s="6" t="s">
        <v>4445</v>
      </c>
      <c r="E65" s="7" t="s">
        <v>4443</v>
      </c>
    </row>
    <row r="66" spans="1:5" x14ac:dyDescent="0.25">
      <c r="A66" s="4" t="s">
        <v>3337</v>
      </c>
      <c r="B66" s="5" t="s">
        <v>4107</v>
      </c>
      <c r="C66" s="6" t="s">
        <v>23</v>
      </c>
      <c r="D66" s="6" t="s">
        <v>4445</v>
      </c>
      <c r="E66" s="7" t="s">
        <v>4443</v>
      </c>
    </row>
    <row r="67" spans="1:5" x14ac:dyDescent="0.25">
      <c r="A67" s="4" t="s">
        <v>3097</v>
      </c>
      <c r="B67" s="5" t="s">
        <v>3866</v>
      </c>
      <c r="C67" s="6" t="s">
        <v>23</v>
      </c>
      <c r="D67" s="6" t="s">
        <v>4445</v>
      </c>
      <c r="E67" s="7" t="s">
        <v>4443</v>
      </c>
    </row>
    <row r="68" spans="1:5" x14ac:dyDescent="0.25">
      <c r="A68" s="4" t="s">
        <v>3091</v>
      </c>
      <c r="B68" s="5" t="s">
        <v>3860</v>
      </c>
      <c r="C68" s="6" t="s">
        <v>23</v>
      </c>
      <c r="D68" s="6" t="s">
        <v>4445</v>
      </c>
      <c r="E68" s="7" t="s">
        <v>4443</v>
      </c>
    </row>
    <row r="69" spans="1:5" x14ac:dyDescent="0.25">
      <c r="A69" s="4" t="s">
        <v>3338</v>
      </c>
      <c r="B69" s="5" t="s">
        <v>4108</v>
      </c>
      <c r="C69" s="6" t="s">
        <v>23</v>
      </c>
      <c r="D69" s="6" t="s">
        <v>4445</v>
      </c>
      <c r="E69" s="7" t="s">
        <v>4443</v>
      </c>
    </row>
    <row r="70" spans="1:5" x14ac:dyDescent="0.25">
      <c r="A70" s="4" t="s">
        <v>3251</v>
      </c>
      <c r="B70" s="5" t="s">
        <v>4021</v>
      </c>
      <c r="C70" s="6" t="s">
        <v>23</v>
      </c>
      <c r="D70" s="6" t="s">
        <v>4445</v>
      </c>
      <c r="E70" s="7" t="s">
        <v>4443</v>
      </c>
    </row>
    <row r="71" spans="1:5" x14ac:dyDescent="0.25">
      <c r="A71" s="4" t="s">
        <v>3334</v>
      </c>
      <c r="B71" s="5" t="s">
        <v>4104</v>
      </c>
      <c r="C71" s="6" t="s">
        <v>23</v>
      </c>
      <c r="D71" s="6" t="s">
        <v>4445</v>
      </c>
      <c r="E71" s="7" t="s">
        <v>4443</v>
      </c>
    </row>
    <row r="72" spans="1:5" x14ac:dyDescent="0.25">
      <c r="A72" s="4" t="s">
        <v>3098</v>
      </c>
      <c r="B72" s="5" t="s">
        <v>3867</v>
      </c>
      <c r="C72" s="6" t="s">
        <v>23</v>
      </c>
      <c r="D72" s="6" t="s">
        <v>4445</v>
      </c>
      <c r="E72" s="7" t="s">
        <v>4443</v>
      </c>
    </row>
    <row r="73" spans="1:5" x14ac:dyDescent="0.25">
      <c r="A73" s="4" t="s">
        <v>3092</v>
      </c>
      <c r="B73" s="5" t="s">
        <v>3861</v>
      </c>
      <c r="C73" s="6" t="s">
        <v>23</v>
      </c>
      <c r="D73" s="6" t="s">
        <v>4445</v>
      </c>
      <c r="E73" s="7" t="s">
        <v>4443</v>
      </c>
    </row>
    <row r="74" spans="1:5" x14ac:dyDescent="0.25">
      <c r="A74" s="4" t="s">
        <v>3339</v>
      </c>
      <c r="B74" s="5" t="s">
        <v>4109</v>
      </c>
      <c r="C74" s="6" t="s">
        <v>23</v>
      </c>
      <c r="D74" s="6" t="s">
        <v>4445</v>
      </c>
      <c r="E74" s="7" t="s">
        <v>4443</v>
      </c>
    </row>
    <row r="75" spans="1:5" x14ac:dyDescent="0.25">
      <c r="A75" s="4" t="s">
        <v>3099</v>
      </c>
      <c r="B75" s="5" t="s">
        <v>3868</v>
      </c>
      <c r="C75" s="6" t="s">
        <v>23</v>
      </c>
      <c r="D75" s="6" t="s">
        <v>4445</v>
      </c>
      <c r="E75" s="7" t="s">
        <v>4443</v>
      </c>
    </row>
    <row r="76" spans="1:5" x14ac:dyDescent="0.25">
      <c r="A76" s="4" t="s">
        <v>3093</v>
      </c>
      <c r="B76" s="5" t="s">
        <v>3862</v>
      </c>
      <c r="C76" s="6" t="s">
        <v>23</v>
      </c>
      <c r="D76" s="6" t="s">
        <v>4445</v>
      </c>
      <c r="E76" s="7" t="s">
        <v>4443</v>
      </c>
    </row>
    <row r="77" spans="1:5" x14ac:dyDescent="0.25">
      <c r="A77" s="4" t="s">
        <v>3340</v>
      </c>
      <c r="B77" s="5" t="s">
        <v>4110</v>
      </c>
      <c r="C77" s="6" t="s">
        <v>23</v>
      </c>
      <c r="D77" s="6" t="s">
        <v>4445</v>
      </c>
      <c r="E77" s="7" t="s">
        <v>4443</v>
      </c>
    </row>
    <row r="78" spans="1:5" x14ac:dyDescent="0.25">
      <c r="A78" s="11" t="s">
        <v>132</v>
      </c>
      <c r="B78" s="5" t="s">
        <v>131</v>
      </c>
      <c r="C78" s="12" t="s">
        <v>23</v>
      </c>
      <c r="D78" s="12" t="s">
        <v>63</v>
      </c>
      <c r="E78" s="7" t="s">
        <v>98</v>
      </c>
    </row>
    <row r="79" spans="1:5" x14ac:dyDescent="0.25">
      <c r="A79" s="4" t="s">
        <v>134</v>
      </c>
      <c r="B79" s="5" t="s">
        <v>133</v>
      </c>
      <c r="C79" s="6" t="s">
        <v>23</v>
      </c>
      <c r="D79" s="6" t="s">
        <v>63</v>
      </c>
      <c r="E79" s="7" t="s">
        <v>67</v>
      </c>
    </row>
    <row r="80" spans="1:5" x14ac:dyDescent="0.25">
      <c r="A80" s="4" t="s">
        <v>136</v>
      </c>
      <c r="B80" s="5" t="s">
        <v>135</v>
      </c>
      <c r="C80" s="6" t="s">
        <v>23</v>
      </c>
      <c r="D80" s="6" t="s">
        <v>24</v>
      </c>
      <c r="E80" s="7" t="s">
        <v>4448</v>
      </c>
    </row>
    <row r="81" spans="1:5" x14ac:dyDescent="0.25">
      <c r="A81" s="11" t="s">
        <v>138</v>
      </c>
      <c r="B81" s="5" t="s">
        <v>137</v>
      </c>
      <c r="C81" s="12" t="s">
        <v>23</v>
      </c>
      <c r="D81" s="12" t="s">
        <v>24</v>
      </c>
      <c r="E81" s="7" t="s">
        <v>4450</v>
      </c>
    </row>
    <row r="82" spans="1:5" x14ac:dyDescent="0.25">
      <c r="A82" s="4" t="s">
        <v>140</v>
      </c>
      <c r="B82" s="5" t="s">
        <v>139</v>
      </c>
      <c r="C82" s="6" t="s">
        <v>23</v>
      </c>
      <c r="D82" s="6" t="s">
        <v>24</v>
      </c>
      <c r="E82" s="7" t="s">
        <v>4451</v>
      </c>
    </row>
    <row r="83" spans="1:5" x14ac:dyDescent="0.25">
      <c r="A83" s="4" t="s">
        <v>142</v>
      </c>
      <c r="B83" s="5" t="s">
        <v>141</v>
      </c>
      <c r="C83" s="6" t="s">
        <v>23</v>
      </c>
      <c r="D83" s="6" t="s">
        <v>24</v>
      </c>
      <c r="E83" s="7" t="s">
        <v>4452</v>
      </c>
    </row>
    <row r="84" spans="1:5" x14ac:dyDescent="0.25">
      <c r="A84" s="4" t="s">
        <v>144</v>
      </c>
      <c r="B84" s="5" t="s">
        <v>143</v>
      </c>
      <c r="C84" s="6" t="s">
        <v>23</v>
      </c>
      <c r="D84" s="6" t="s">
        <v>24</v>
      </c>
      <c r="E84" s="7" t="s">
        <v>4456</v>
      </c>
    </row>
    <row r="85" spans="1:5" x14ac:dyDescent="0.25">
      <c r="A85" s="4" t="s">
        <v>146</v>
      </c>
      <c r="B85" s="5" t="s">
        <v>145</v>
      </c>
      <c r="C85" s="6" t="s">
        <v>23</v>
      </c>
      <c r="D85" s="6" t="s">
        <v>24</v>
      </c>
      <c r="E85" s="7" t="s">
        <v>4448</v>
      </c>
    </row>
    <row r="86" spans="1:5" x14ac:dyDescent="0.25">
      <c r="A86" s="4" t="s">
        <v>148</v>
      </c>
      <c r="B86" s="5" t="s">
        <v>147</v>
      </c>
      <c r="C86" s="6" t="s">
        <v>23</v>
      </c>
      <c r="D86" s="6" t="s">
        <v>24</v>
      </c>
      <c r="E86" s="7" t="s">
        <v>4450</v>
      </c>
    </row>
    <row r="87" spans="1:5" x14ac:dyDescent="0.25">
      <c r="A87" s="4" t="s">
        <v>150</v>
      </c>
      <c r="B87" s="5" t="s">
        <v>149</v>
      </c>
      <c r="C87" s="6" t="s">
        <v>23</v>
      </c>
      <c r="D87" s="6" t="s">
        <v>24</v>
      </c>
      <c r="E87" s="7" t="s">
        <v>4451</v>
      </c>
    </row>
    <row r="88" spans="1:5" x14ac:dyDescent="0.25">
      <c r="A88" s="4" t="s">
        <v>152</v>
      </c>
      <c r="B88" s="5" t="s">
        <v>151</v>
      </c>
      <c r="C88" s="6" t="s">
        <v>23</v>
      </c>
      <c r="D88" s="6" t="s">
        <v>24</v>
      </c>
      <c r="E88" s="7" t="s">
        <v>4452</v>
      </c>
    </row>
    <row r="89" spans="1:5" x14ac:dyDescent="0.25">
      <c r="A89" s="11" t="s">
        <v>154</v>
      </c>
      <c r="B89" s="5" t="s">
        <v>153</v>
      </c>
      <c r="C89" s="12" t="s">
        <v>23</v>
      </c>
      <c r="D89" s="12" t="s">
        <v>24</v>
      </c>
      <c r="E89" s="7" t="s">
        <v>4456</v>
      </c>
    </row>
    <row r="90" spans="1:5" x14ac:dyDescent="0.25">
      <c r="A90" s="11" t="s">
        <v>156</v>
      </c>
      <c r="B90" s="5" t="s">
        <v>155</v>
      </c>
      <c r="C90" s="12" t="s">
        <v>23</v>
      </c>
      <c r="D90" s="12" t="s">
        <v>24</v>
      </c>
      <c r="E90" s="7" t="s">
        <v>4455</v>
      </c>
    </row>
    <row r="91" spans="1:5" x14ac:dyDescent="0.25">
      <c r="A91" s="4" t="s">
        <v>158</v>
      </c>
      <c r="B91" s="5" t="s">
        <v>157</v>
      </c>
      <c r="C91" s="6" t="s">
        <v>23</v>
      </c>
      <c r="D91" s="6" t="s">
        <v>24</v>
      </c>
      <c r="E91" s="7" t="s">
        <v>4449</v>
      </c>
    </row>
    <row r="92" spans="1:5" x14ac:dyDescent="0.25">
      <c r="A92" s="4" t="s">
        <v>160</v>
      </c>
      <c r="B92" s="5" t="s">
        <v>159</v>
      </c>
      <c r="C92" s="6" t="s">
        <v>23</v>
      </c>
      <c r="D92" s="6" t="s">
        <v>24</v>
      </c>
      <c r="E92" s="7" t="s">
        <v>4454</v>
      </c>
    </row>
    <row r="93" spans="1:5" x14ac:dyDescent="0.25">
      <c r="A93" s="4" t="s">
        <v>162</v>
      </c>
      <c r="B93" s="5" t="s">
        <v>161</v>
      </c>
      <c r="C93" s="6" t="s">
        <v>23</v>
      </c>
      <c r="D93" s="6" t="s">
        <v>24</v>
      </c>
      <c r="E93" s="7" t="s">
        <v>4452</v>
      </c>
    </row>
    <row r="94" spans="1:5" x14ac:dyDescent="0.25">
      <c r="A94" s="4" t="s">
        <v>164</v>
      </c>
      <c r="B94" s="5" t="s">
        <v>163</v>
      </c>
      <c r="C94" s="6" t="s">
        <v>23</v>
      </c>
      <c r="D94" s="6" t="s">
        <v>24</v>
      </c>
      <c r="E94" s="7" t="s">
        <v>4453</v>
      </c>
    </row>
    <row r="95" spans="1:5" x14ac:dyDescent="0.25">
      <c r="A95" s="4" t="s">
        <v>3318</v>
      </c>
      <c r="B95" s="5" t="s">
        <v>4091</v>
      </c>
      <c r="C95" s="6" t="s">
        <v>23</v>
      </c>
      <c r="D95" s="6" t="s">
        <v>24</v>
      </c>
      <c r="E95" s="7" t="s">
        <v>4453</v>
      </c>
    </row>
    <row r="96" spans="1:5" x14ac:dyDescent="0.25">
      <c r="A96" s="4" t="s">
        <v>166</v>
      </c>
      <c r="B96" s="5" t="s">
        <v>165</v>
      </c>
      <c r="C96" s="6" t="s">
        <v>23</v>
      </c>
      <c r="D96" s="6" t="s">
        <v>24</v>
      </c>
      <c r="E96" s="7" t="s">
        <v>4447</v>
      </c>
    </row>
    <row r="97" spans="1:5" x14ac:dyDescent="0.25">
      <c r="A97" s="4" t="s">
        <v>168</v>
      </c>
      <c r="B97" s="5" t="s">
        <v>167</v>
      </c>
      <c r="C97" s="6" t="s">
        <v>23</v>
      </c>
      <c r="D97" s="6" t="s">
        <v>24</v>
      </c>
      <c r="E97" s="7" t="s">
        <v>4447</v>
      </c>
    </row>
    <row r="98" spans="1:5" x14ac:dyDescent="0.25">
      <c r="A98" s="4" t="s">
        <v>170</v>
      </c>
      <c r="B98" s="8" t="s">
        <v>169</v>
      </c>
      <c r="C98" s="6" t="s">
        <v>23</v>
      </c>
      <c r="D98" s="6" t="s">
        <v>24</v>
      </c>
      <c r="E98" s="9" t="s">
        <v>4446</v>
      </c>
    </row>
    <row r="99" spans="1:5" x14ac:dyDescent="0.25">
      <c r="A99" s="4" t="s">
        <v>172</v>
      </c>
      <c r="B99" s="8" t="s">
        <v>171</v>
      </c>
      <c r="C99" s="6" t="s">
        <v>23</v>
      </c>
      <c r="D99" s="6" t="s">
        <v>24</v>
      </c>
      <c r="E99" s="7" t="s">
        <v>4447</v>
      </c>
    </row>
    <row r="100" spans="1:5" x14ac:dyDescent="0.25">
      <c r="A100" s="4" t="s">
        <v>174</v>
      </c>
      <c r="B100" s="5" t="s">
        <v>173</v>
      </c>
      <c r="C100" s="6" t="s">
        <v>23</v>
      </c>
      <c r="D100" s="6" t="s">
        <v>24</v>
      </c>
      <c r="E100" s="7" t="s">
        <v>4455</v>
      </c>
    </row>
    <row r="101" spans="1:5" x14ac:dyDescent="0.25">
      <c r="A101" s="11" t="s">
        <v>176</v>
      </c>
      <c r="B101" s="5" t="s">
        <v>175</v>
      </c>
      <c r="C101" s="12" t="s">
        <v>23</v>
      </c>
      <c r="D101" s="12" t="s">
        <v>24</v>
      </c>
      <c r="E101" s="7" t="s">
        <v>4449</v>
      </c>
    </row>
    <row r="102" spans="1:5" x14ac:dyDescent="0.25">
      <c r="A102" s="4" t="s">
        <v>178</v>
      </c>
      <c r="B102" s="5" t="s">
        <v>177</v>
      </c>
      <c r="C102" s="6" t="s">
        <v>23</v>
      </c>
      <c r="D102" s="6" t="s">
        <v>24</v>
      </c>
      <c r="E102" s="7" t="s">
        <v>4454</v>
      </c>
    </row>
    <row r="103" spans="1:5" x14ac:dyDescent="0.25">
      <c r="A103" s="11" t="s">
        <v>180</v>
      </c>
      <c r="B103" s="5" t="s">
        <v>179</v>
      </c>
      <c r="C103" s="12" t="s">
        <v>23</v>
      </c>
      <c r="D103" s="12" t="s">
        <v>24</v>
      </c>
      <c r="E103" s="7" t="s">
        <v>4451</v>
      </c>
    </row>
    <row r="104" spans="1:5" x14ac:dyDescent="0.25">
      <c r="A104" s="4" t="s">
        <v>182</v>
      </c>
      <c r="B104" s="5" t="s">
        <v>181</v>
      </c>
      <c r="C104" s="6" t="s">
        <v>23</v>
      </c>
      <c r="D104" s="6" t="s">
        <v>24</v>
      </c>
      <c r="E104" s="7" t="s">
        <v>4456</v>
      </c>
    </row>
    <row r="105" spans="1:5" x14ac:dyDescent="0.25">
      <c r="A105" s="4" t="s">
        <v>3327</v>
      </c>
      <c r="B105" s="5" t="s">
        <v>4098</v>
      </c>
      <c r="C105" s="6" t="s">
        <v>23</v>
      </c>
      <c r="D105" s="6" t="s">
        <v>24</v>
      </c>
      <c r="E105" s="7" t="s">
        <v>4459</v>
      </c>
    </row>
    <row r="106" spans="1:5" x14ac:dyDescent="0.25">
      <c r="A106" s="4" t="s">
        <v>184</v>
      </c>
      <c r="B106" s="5" t="s">
        <v>183</v>
      </c>
      <c r="C106" s="6" t="s">
        <v>23</v>
      </c>
      <c r="D106" s="6" t="s">
        <v>24</v>
      </c>
      <c r="E106" s="7" t="s">
        <v>4453</v>
      </c>
    </row>
    <row r="107" spans="1:5" x14ac:dyDescent="0.25">
      <c r="A107" s="4" t="s">
        <v>186</v>
      </c>
      <c r="B107" s="5" t="s">
        <v>185</v>
      </c>
      <c r="C107" s="6" t="s">
        <v>23</v>
      </c>
      <c r="D107" s="6" t="s">
        <v>24</v>
      </c>
      <c r="E107" s="7" t="s">
        <v>4454</v>
      </c>
    </row>
    <row r="108" spans="1:5" x14ac:dyDescent="0.25">
      <c r="A108" s="4" t="s">
        <v>188</v>
      </c>
      <c r="B108" s="5" t="s">
        <v>187</v>
      </c>
      <c r="C108" s="6" t="s">
        <v>23</v>
      </c>
      <c r="D108" s="6" t="s">
        <v>24</v>
      </c>
      <c r="E108" s="7" t="s">
        <v>4448</v>
      </c>
    </row>
    <row r="109" spans="1:5" x14ac:dyDescent="0.25">
      <c r="A109" s="11" t="s">
        <v>190</v>
      </c>
      <c r="B109" s="10" t="s">
        <v>189</v>
      </c>
      <c r="C109" s="12" t="s">
        <v>23</v>
      </c>
      <c r="D109" s="12" t="s">
        <v>24</v>
      </c>
      <c r="E109" s="7" t="s">
        <v>4450</v>
      </c>
    </row>
    <row r="110" spans="1:5" x14ac:dyDescent="0.25">
      <c r="A110" s="4" t="s">
        <v>192</v>
      </c>
      <c r="B110" s="5" t="s">
        <v>191</v>
      </c>
      <c r="C110" s="6" t="s">
        <v>23</v>
      </c>
      <c r="D110" s="6" t="s">
        <v>24</v>
      </c>
      <c r="E110" s="7" t="s">
        <v>4452</v>
      </c>
    </row>
    <row r="111" spans="1:5" x14ac:dyDescent="0.25">
      <c r="A111" s="4" t="s">
        <v>194</v>
      </c>
      <c r="B111" s="5" t="s">
        <v>193</v>
      </c>
      <c r="C111" s="6" t="s">
        <v>23</v>
      </c>
      <c r="D111" s="6" t="s">
        <v>24</v>
      </c>
      <c r="E111" s="7" t="s">
        <v>4446</v>
      </c>
    </row>
    <row r="112" spans="1:5" x14ac:dyDescent="0.25">
      <c r="A112" s="4" t="s">
        <v>196</v>
      </c>
      <c r="B112" s="5" t="s">
        <v>195</v>
      </c>
      <c r="C112" s="6" t="s">
        <v>23</v>
      </c>
      <c r="D112" s="6" t="s">
        <v>24</v>
      </c>
      <c r="E112" s="7" t="s">
        <v>4447</v>
      </c>
    </row>
    <row r="113" spans="1:5" x14ac:dyDescent="0.25">
      <c r="A113" s="4" t="s">
        <v>198</v>
      </c>
      <c r="B113" s="5" t="s">
        <v>197</v>
      </c>
      <c r="C113" s="6" t="s">
        <v>23</v>
      </c>
      <c r="D113" s="6" t="s">
        <v>24</v>
      </c>
      <c r="E113" s="7" t="s">
        <v>4448</v>
      </c>
    </row>
    <row r="114" spans="1:5" x14ac:dyDescent="0.25">
      <c r="A114" s="4" t="s">
        <v>200</v>
      </c>
      <c r="B114" s="5" t="s">
        <v>199</v>
      </c>
      <c r="C114" s="6" t="s">
        <v>23</v>
      </c>
      <c r="D114" s="6" t="s">
        <v>24</v>
      </c>
      <c r="E114" s="7" t="s">
        <v>4450</v>
      </c>
    </row>
    <row r="115" spans="1:5" x14ac:dyDescent="0.25">
      <c r="A115" s="4" t="s">
        <v>202</v>
      </c>
      <c r="B115" s="5" t="s">
        <v>201</v>
      </c>
      <c r="C115" s="6" t="s">
        <v>23</v>
      </c>
      <c r="D115" s="6" t="s">
        <v>24</v>
      </c>
      <c r="E115" s="7" t="s">
        <v>4451</v>
      </c>
    </row>
    <row r="116" spans="1:5" x14ac:dyDescent="0.25">
      <c r="A116" s="4" t="s">
        <v>204</v>
      </c>
      <c r="B116" s="5" t="s">
        <v>203</v>
      </c>
      <c r="C116" s="6" t="s">
        <v>23</v>
      </c>
      <c r="D116" s="6" t="s">
        <v>24</v>
      </c>
      <c r="E116" s="7" t="s">
        <v>4447</v>
      </c>
    </row>
    <row r="117" spans="1:5" x14ac:dyDescent="0.25">
      <c r="A117" s="4" t="s">
        <v>206</v>
      </c>
      <c r="B117" s="5" t="s">
        <v>205</v>
      </c>
      <c r="C117" s="6" t="s">
        <v>23</v>
      </c>
      <c r="D117" s="6" t="s">
        <v>24</v>
      </c>
      <c r="E117" s="7" t="s">
        <v>4448</v>
      </c>
    </row>
    <row r="118" spans="1:5" x14ac:dyDescent="0.25">
      <c r="A118" s="4" t="s">
        <v>208</v>
      </c>
      <c r="B118" s="5" t="s">
        <v>207</v>
      </c>
      <c r="C118" s="6" t="s">
        <v>23</v>
      </c>
      <c r="D118" s="6" t="s">
        <v>24</v>
      </c>
      <c r="E118" s="7" t="s">
        <v>4450</v>
      </c>
    </row>
    <row r="119" spans="1:5" x14ac:dyDescent="0.25">
      <c r="A119" s="4" t="s">
        <v>210</v>
      </c>
      <c r="B119" s="5" t="s">
        <v>209</v>
      </c>
      <c r="C119" s="6" t="s">
        <v>23</v>
      </c>
      <c r="D119" s="6" t="s">
        <v>24</v>
      </c>
      <c r="E119" s="7" t="s">
        <v>4454</v>
      </c>
    </row>
    <row r="120" spans="1:5" x14ac:dyDescent="0.25">
      <c r="A120" s="4" t="s">
        <v>212</v>
      </c>
      <c r="B120" s="5" t="s">
        <v>211</v>
      </c>
      <c r="C120" s="6" t="s">
        <v>23</v>
      </c>
      <c r="D120" s="6" t="s">
        <v>24</v>
      </c>
      <c r="E120" s="7" t="s">
        <v>4451</v>
      </c>
    </row>
    <row r="121" spans="1:5" x14ac:dyDescent="0.25">
      <c r="A121" s="4" t="s">
        <v>214</v>
      </c>
      <c r="B121" s="5" t="s">
        <v>213</v>
      </c>
      <c r="C121" s="6" t="s">
        <v>23</v>
      </c>
      <c r="D121" s="6" t="s">
        <v>24</v>
      </c>
      <c r="E121" s="7" t="s">
        <v>4453</v>
      </c>
    </row>
    <row r="122" spans="1:5" x14ac:dyDescent="0.25">
      <c r="A122" s="4" t="s">
        <v>216</v>
      </c>
      <c r="B122" s="5" t="s">
        <v>215</v>
      </c>
      <c r="C122" s="6" t="s">
        <v>23</v>
      </c>
      <c r="D122" s="6" t="s">
        <v>24</v>
      </c>
      <c r="E122" s="7" t="s">
        <v>4446</v>
      </c>
    </row>
    <row r="123" spans="1:5" x14ac:dyDescent="0.25">
      <c r="A123" s="4" t="s">
        <v>218</v>
      </c>
      <c r="B123" s="5" t="s">
        <v>217</v>
      </c>
      <c r="C123" s="6" t="s">
        <v>23</v>
      </c>
      <c r="D123" s="6" t="s">
        <v>24</v>
      </c>
      <c r="E123" s="7" t="s">
        <v>4447</v>
      </c>
    </row>
    <row r="124" spans="1:5" x14ac:dyDescent="0.25">
      <c r="A124" s="4" t="s">
        <v>220</v>
      </c>
      <c r="B124" s="5" t="s">
        <v>219</v>
      </c>
      <c r="C124" s="6" t="s">
        <v>23</v>
      </c>
      <c r="D124" s="6" t="s">
        <v>24</v>
      </c>
      <c r="E124" s="7" t="s">
        <v>4448</v>
      </c>
    </row>
    <row r="125" spans="1:5" x14ac:dyDescent="0.25">
      <c r="A125" s="11" t="s">
        <v>222</v>
      </c>
      <c r="B125" s="5" t="s">
        <v>221</v>
      </c>
      <c r="C125" s="12" t="s">
        <v>23</v>
      </c>
      <c r="D125" s="12" t="s">
        <v>24</v>
      </c>
      <c r="E125" s="7" t="s">
        <v>4450</v>
      </c>
    </row>
    <row r="126" spans="1:5" x14ac:dyDescent="0.25">
      <c r="A126" s="4" t="s">
        <v>224</v>
      </c>
      <c r="B126" s="5" t="s">
        <v>223</v>
      </c>
      <c r="C126" s="6" t="s">
        <v>23</v>
      </c>
      <c r="D126" s="6" t="s">
        <v>24</v>
      </c>
      <c r="E126" s="7" t="s">
        <v>4451</v>
      </c>
    </row>
    <row r="127" spans="1:5" x14ac:dyDescent="0.25">
      <c r="A127" s="4" t="s">
        <v>226</v>
      </c>
      <c r="B127" s="5" t="s">
        <v>225</v>
      </c>
      <c r="C127" s="6" t="s">
        <v>23</v>
      </c>
      <c r="D127" s="6" t="s">
        <v>24</v>
      </c>
      <c r="E127" s="7" t="s">
        <v>4448</v>
      </c>
    </row>
    <row r="128" spans="1:5" x14ac:dyDescent="0.25">
      <c r="A128" s="4" t="s">
        <v>228</v>
      </c>
      <c r="B128" s="5" t="s">
        <v>227</v>
      </c>
      <c r="C128" s="6" t="s">
        <v>23</v>
      </c>
      <c r="D128" s="6" t="s">
        <v>24</v>
      </c>
      <c r="E128" s="7" t="s">
        <v>4450</v>
      </c>
    </row>
    <row r="129" spans="1:5" x14ac:dyDescent="0.25">
      <c r="A129" s="4" t="s">
        <v>230</v>
      </c>
      <c r="B129" s="5" t="s">
        <v>229</v>
      </c>
      <c r="C129" s="6" t="s">
        <v>23</v>
      </c>
      <c r="D129" s="6" t="s">
        <v>24</v>
      </c>
      <c r="E129" s="7" t="s">
        <v>4451</v>
      </c>
    </row>
    <row r="130" spans="1:5" x14ac:dyDescent="0.25">
      <c r="A130" s="4" t="s">
        <v>3324</v>
      </c>
      <c r="B130" s="5" t="s">
        <v>4095</v>
      </c>
      <c r="C130" s="6" t="s">
        <v>23</v>
      </c>
      <c r="D130" s="6" t="s">
        <v>24</v>
      </c>
      <c r="E130" s="7" t="s">
        <v>4452</v>
      </c>
    </row>
    <row r="131" spans="1:5" x14ac:dyDescent="0.25">
      <c r="A131" s="4" t="s">
        <v>3325</v>
      </c>
      <c r="B131" s="5" t="s">
        <v>4096</v>
      </c>
      <c r="C131" s="6" t="s">
        <v>23</v>
      </c>
      <c r="D131" s="6" t="s">
        <v>24</v>
      </c>
      <c r="E131" s="7" t="s">
        <v>4453</v>
      </c>
    </row>
    <row r="132" spans="1:5" x14ac:dyDescent="0.25">
      <c r="A132" s="4" t="s">
        <v>232</v>
      </c>
      <c r="B132" s="5" t="s">
        <v>231</v>
      </c>
      <c r="C132" s="6" t="s">
        <v>23</v>
      </c>
      <c r="D132" s="6" t="s">
        <v>24</v>
      </c>
      <c r="E132" s="7" t="s">
        <v>4448</v>
      </c>
    </row>
    <row r="133" spans="1:5" x14ac:dyDescent="0.25">
      <c r="A133" s="4" t="s">
        <v>234</v>
      </c>
      <c r="B133" s="5" t="s">
        <v>233</v>
      </c>
      <c r="C133" s="6" t="s">
        <v>23</v>
      </c>
      <c r="D133" s="6" t="s">
        <v>24</v>
      </c>
      <c r="E133" s="7" t="s">
        <v>4450</v>
      </c>
    </row>
    <row r="134" spans="1:5" x14ac:dyDescent="0.25">
      <c r="A134" s="4" t="s">
        <v>236</v>
      </c>
      <c r="B134" s="5" t="s">
        <v>235</v>
      </c>
      <c r="C134" s="6" t="s">
        <v>23</v>
      </c>
      <c r="D134" s="6" t="s">
        <v>24</v>
      </c>
      <c r="E134" s="7" t="s">
        <v>4454</v>
      </c>
    </row>
    <row r="135" spans="1:5" x14ac:dyDescent="0.25">
      <c r="A135" s="4" t="s">
        <v>238</v>
      </c>
      <c r="B135" s="5" t="s">
        <v>237</v>
      </c>
      <c r="C135" s="6" t="s">
        <v>23</v>
      </c>
      <c r="D135" s="6" t="s">
        <v>24</v>
      </c>
      <c r="E135" s="7" t="s">
        <v>4447</v>
      </c>
    </row>
    <row r="136" spans="1:5" x14ac:dyDescent="0.25">
      <c r="A136" s="4" t="s">
        <v>240</v>
      </c>
      <c r="B136" s="5" t="s">
        <v>239</v>
      </c>
      <c r="C136" s="6" t="s">
        <v>23</v>
      </c>
      <c r="D136" s="6" t="s">
        <v>24</v>
      </c>
      <c r="E136" s="7" t="s">
        <v>4448</v>
      </c>
    </row>
    <row r="137" spans="1:5" x14ac:dyDescent="0.25">
      <c r="A137" s="4" t="s">
        <v>3319</v>
      </c>
      <c r="B137" s="5" t="s">
        <v>4092</v>
      </c>
      <c r="C137" s="6" t="s">
        <v>23</v>
      </c>
      <c r="D137" s="6" t="s">
        <v>24</v>
      </c>
      <c r="E137" s="7" t="s">
        <v>4449</v>
      </c>
    </row>
    <row r="138" spans="1:5" x14ac:dyDescent="0.25">
      <c r="A138" s="4" t="s">
        <v>242</v>
      </c>
      <c r="B138" s="5" t="s">
        <v>241</v>
      </c>
      <c r="C138" s="6" t="s">
        <v>23</v>
      </c>
      <c r="D138" s="6" t="s">
        <v>24</v>
      </c>
      <c r="E138" s="7" t="s">
        <v>4447</v>
      </c>
    </row>
    <row r="139" spans="1:5" x14ac:dyDescent="0.25">
      <c r="A139" s="4" t="s">
        <v>244</v>
      </c>
      <c r="B139" s="5" t="s">
        <v>243</v>
      </c>
      <c r="C139" s="6" t="s">
        <v>23</v>
      </c>
      <c r="D139" s="6" t="s">
        <v>24</v>
      </c>
      <c r="E139" s="7" t="s">
        <v>4454</v>
      </c>
    </row>
    <row r="140" spans="1:5" x14ac:dyDescent="0.25">
      <c r="A140" s="4" t="s">
        <v>246</v>
      </c>
      <c r="B140" s="5" t="s">
        <v>245</v>
      </c>
      <c r="C140" s="6" t="s">
        <v>23</v>
      </c>
      <c r="D140" s="6" t="s">
        <v>24</v>
      </c>
      <c r="E140" s="7" t="s">
        <v>4452</v>
      </c>
    </row>
    <row r="141" spans="1:5" x14ac:dyDescent="0.25">
      <c r="A141" s="4" t="s">
        <v>248</v>
      </c>
      <c r="B141" s="5" t="s">
        <v>247</v>
      </c>
      <c r="C141" s="6" t="s">
        <v>23</v>
      </c>
      <c r="D141" s="6" t="s">
        <v>24</v>
      </c>
      <c r="E141" s="7" t="s">
        <v>4456</v>
      </c>
    </row>
    <row r="142" spans="1:5" x14ac:dyDescent="0.25">
      <c r="A142" s="4" t="s">
        <v>250</v>
      </c>
      <c r="B142" s="5" t="s">
        <v>249</v>
      </c>
      <c r="C142" s="6" t="s">
        <v>23</v>
      </c>
      <c r="D142" s="6" t="s">
        <v>24</v>
      </c>
      <c r="E142" s="7" t="s">
        <v>4449</v>
      </c>
    </row>
    <row r="143" spans="1:5" x14ac:dyDescent="0.25">
      <c r="A143" s="4" t="s">
        <v>252</v>
      </c>
      <c r="B143" s="5" t="s">
        <v>251</v>
      </c>
      <c r="C143" s="6" t="s">
        <v>23</v>
      </c>
      <c r="D143" s="6" t="s">
        <v>24</v>
      </c>
      <c r="E143" s="7" t="s">
        <v>4450</v>
      </c>
    </row>
    <row r="144" spans="1:5" x14ac:dyDescent="0.25">
      <c r="A144" s="4" t="s">
        <v>254</v>
      </c>
      <c r="B144" s="5" t="s">
        <v>253</v>
      </c>
      <c r="C144" s="6" t="s">
        <v>23</v>
      </c>
      <c r="D144" s="6" t="s">
        <v>24</v>
      </c>
      <c r="E144" s="7" t="s">
        <v>4451</v>
      </c>
    </row>
    <row r="145" spans="1:5" x14ac:dyDescent="0.25">
      <c r="A145" s="4" t="s">
        <v>256</v>
      </c>
      <c r="B145" s="5" t="s">
        <v>255</v>
      </c>
      <c r="C145" s="6" t="s">
        <v>23</v>
      </c>
      <c r="D145" s="6" t="s">
        <v>24</v>
      </c>
      <c r="E145" s="7" t="s">
        <v>4448</v>
      </c>
    </row>
    <row r="146" spans="1:5" x14ac:dyDescent="0.25">
      <c r="A146" s="4" t="s">
        <v>258</v>
      </c>
      <c r="B146" s="5" t="s">
        <v>257</v>
      </c>
      <c r="C146" s="6" t="s">
        <v>23</v>
      </c>
      <c r="D146" s="6" t="s">
        <v>24</v>
      </c>
      <c r="E146" s="7" t="s">
        <v>4447</v>
      </c>
    </row>
    <row r="147" spans="1:5" x14ac:dyDescent="0.25">
      <c r="A147" s="4" t="s">
        <v>260</v>
      </c>
      <c r="B147" s="5" t="s">
        <v>259</v>
      </c>
      <c r="C147" s="6" t="s">
        <v>23</v>
      </c>
      <c r="D147" s="6" t="s">
        <v>24</v>
      </c>
      <c r="E147" s="7" t="s">
        <v>4448</v>
      </c>
    </row>
    <row r="148" spans="1:5" x14ac:dyDescent="0.25">
      <c r="A148" s="4" t="s">
        <v>262</v>
      </c>
      <c r="B148" s="5" t="s">
        <v>261</v>
      </c>
      <c r="C148" s="6" t="s">
        <v>23</v>
      </c>
      <c r="D148" s="6" t="s">
        <v>24</v>
      </c>
      <c r="E148" s="7" t="s">
        <v>4450</v>
      </c>
    </row>
    <row r="149" spans="1:5" x14ac:dyDescent="0.25">
      <c r="A149" s="4" t="s">
        <v>264</v>
      </c>
      <c r="B149" s="5" t="s">
        <v>263</v>
      </c>
      <c r="C149" s="6" t="s">
        <v>23</v>
      </c>
      <c r="D149" s="6" t="s">
        <v>24</v>
      </c>
      <c r="E149" s="7" t="s">
        <v>4454</v>
      </c>
    </row>
    <row r="150" spans="1:5" x14ac:dyDescent="0.25">
      <c r="A150" s="4" t="s">
        <v>266</v>
      </c>
      <c r="B150" s="5" t="s">
        <v>265</v>
      </c>
      <c r="C150" s="6" t="s">
        <v>23</v>
      </c>
      <c r="D150" s="6" t="s">
        <v>24</v>
      </c>
      <c r="E150" s="7" t="s">
        <v>4452</v>
      </c>
    </row>
    <row r="151" spans="1:5" x14ac:dyDescent="0.25">
      <c r="A151" s="4" t="s">
        <v>268</v>
      </c>
      <c r="B151" s="5" t="s">
        <v>267</v>
      </c>
      <c r="C151" s="6" t="s">
        <v>23</v>
      </c>
      <c r="D151" s="6" t="s">
        <v>24</v>
      </c>
      <c r="E151" s="7" t="s">
        <v>4451</v>
      </c>
    </row>
    <row r="152" spans="1:5" x14ac:dyDescent="0.25">
      <c r="A152" s="4" t="s">
        <v>270</v>
      </c>
      <c r="B152" s="5" t="s">
        <v>269</v>
      </c>
      <c r="C152" s="6" t="s">
        <v>23</v>
      </c>
      <c r="D152" s="6" t="s">
        <v>24</v>
      </c>
      <c r="E152" s="7" t="s">
        <v>4450</v>
      </c>
    </row>
    <row r="153" spans="1:5" x14ac:dyDescent="0.25">
      <c r="A153" s="4" t="s">
        <v>272</v>
      </c>
      <c r="B153" s="5" t="s">
        <v>271</v>
      </c>
      <c r="C153" s="6" t="s">
        <v>23</v>
      </c>
      <c r="D153" s="6" t="s">
        <v>24</v>
      </c>
      <c r="E153" s="7" t="s">
        <v>4447</v>
      </c>
    </row>
    <row r="154" spans="1:5" x14ac:dyDescent="0.25">
      <c r="A154" s="4" t="s">
        <v>274</v>
      </c>
      <c r="B154" s="5" t="s">
        <v>273</v>
      </c>
      <c r="C154" s="6" t="s">
        <v>23</v>
      </c>
      <c r="D154" s="6" t="s">
        <v>24</v>
      </c>
      <c r="E154" s="7" t="s">
        <v>4448</v>
      </c>
    </row>
    <row r="155" spans="1:5" x14ac:dyDescent="0.25">
      <c r="A155" s="4" t="s">
        <v>276</v>
      </c>
      <c r="B155" s="5" t="s">
        <v>275</v>
      </c>
      <c r="C155" s="6" t="s">
        <v>23</v>
      </c>
      <c r="D155" s="6" t="s">
        <v>24</v>
      </c>
      <c r="E155" s="7" t="s">
        <v>4447</v>
      </c>
    </row>
    <row r="156" spans="1:5" x14ac:dyDescent="0.25">
      <c r="A156" s="4" t="s">
        <v>278</v>
      </c>
      <c r="B156" s="5" t="s">
        <v>277</v>
      </c>
      <c r="C156" s="6" t="s">
        <v>23</v>
      </c>
      <c r="D156" s="6" t="s">
        <v>24</v>
      </c>
      <c r="E156" s="7" t="s">
        <v>4448</v>
      </c>
    </row>
    <row r="157" spans="1:5" x14ac:dyDescent="0.25">
      <c r="A157" s="4" t="s">
        <v>280</v>
      </c>
      <c r="B157" s="5" t="s">
        <v>279</v>
      </c>
      <c r="C157" s="6" t="s">
        <v>23</v>
      </c>
      <c r="D157" s="6" t="s">
        <v>24</v>
      </c>
      <c r="E157" s="7" t="s">
        <v>4450</v>
      </c>
    </row>
    <row r="158" spans="1:5" x14ac:dyDescent="0.25">
      <c r="A158" s="4" t="s">
        <v>282</v>
      </c>
      <c r="B158" s="5" t="s">
        <v>281</v>
      </c>
      <c r="C158" s="6" t="s">
        <v>23</v>
      </c>
      <c r="D158" s="6" t="s">
        <v>63</v>
      </c>
      <c r="E158" s="7" t="s">
        <v>98</v>
      </c>
    </row>
    <row r="159" spans="1:5" x14ac:dyDescent="0.25">
      <c r="A159" s="4" t="s">
        <v>284</v>
      </c>
      <c r="B159" s="5" t="s">
        <v>283</v>
      </c>
      <c r="C159" s="6" t="s">
        <v>23</v>
      </c>
      <c r="D159" s="6" t="s">
        <v>63</v>
      </c>
      <c r="E159" s="7" t="s">
        <v>67</v>
      </c>
    </row>
    <row r="160" spans="1:5" x14ac:dyDescent="0.25">
      <c r="A160" s="4" t="s">
        <v>286</v>
      </c>
      <c r="B160" s="5" t="s">
        <v>285</v>
      </c>
      <c r="C160" s="6" t="s">
        <v>23</v>
      </c>
      <c r="D160" s="6" t="s">
        <v>63</v>
      </c>
      <c r="E160" s="7" t="s">
        <v>287</v>
      </c>
    </row>
    <row r="161" spans="1:5" x14ac:dyDescent="0.25">
      <c r="A161" s="4" t="s">
        <v>289</v>
      </c>
      <c r="B161" s="5" t="s">
        <v>288</v>
      </c>
      <c r="C161" s="6" t="s">
        <v>23</v>
      </c>
      <c r="D161" s="6" t="s">
        <v>24</v>
      </c>
      <c r="E161" s="7" t="s">
        <v>4447</v>
      </c>
    </row>
    <row r="162" spans="1:5" x14ac:dyDescent="0.25">
      <c r="A162" s="4" t="s">
        <v>291</v>
      </c>
      <c r="B162" s="5" t="s">
        <v>290</v>
      </c>
      <c r="C162" s="6" t="s">
        <v>23</v>
      </c>
      <c r="D162" s="6" t="s">
        <v>24</v>
      </c>
      <c r="E162" s="7" t="s">
        <v>4448</v>
      </c>
    </row>
    <row r="163" spans="1:5" x14ac:dyDescent="0.25">
      <c r="A163" s="4" t="s">
        <v>293</v>
      </c>
      <c r="B163" s="5" t="s">
        <v>292</v>
      </c>
      <c r="C163" s="6" t="s">
        <v>23</v>
      </c>
      <c r="D163" s="6" t="s">
        <v>24</v>
      </c>
      <c r="E163" s="7" t="s">
        <v>4450</v>
      </c>
    </row>
    <row r="164" spans="1:5" x14ac:dyDescent="0.25">
      <c r="A164" s="4" t="s">
        <v>295</v>
      </c>
      <c r="B164" s="5" t="s">
        <v>294</v>
      </c>
      <c r="C164" s="6" t="s">
        <v>23</v>
      </c>
      <c r="D164" s="6" t="s">
        <v>24</v>
      </c>
      <c r="E164" s="7" t="s">
        <v>4451</v>
      </c>
    </row>
    <row r="165" spans="1:5" x14ac:dyDescent="0.25">
      <c r="A165" s="4" t="s">
        <v>3296</v>
      </c>
      <c r="B165" s="5" t="s">
        <v>4066</v>
      </c>
      <c r="C165" s="6" t="s">
        <v>23</v>
      </c>
      <c r="D165" s="6" t="s">
        <v>4445</v>
      </c>
      <c r="E165" s="7" t="s">
        <v>4443</v>
      </c>
    </row>
    <row r="166" spans="1:5" x14ac:dyDescent="0.25">
      <c r="A166" s="4" t="s">
        <v>297</v>
      </c>
      <c r="B166" s="5" t="s">
        <v>296</v>
      </c>
      <c r="C166" s="6" t="s">
        <v>23</v>
      </c>
      <c r="D166" s="6" t="s">
        <v>24</v>
      </c>
      <c r="E166" s="7" t="s">
        <v>4455</v>
      </c>
    </row>
    <row r="167" spans="1:5" x14ac:dyDescent="0.25">
      <c r="A167" s="4" t="s">
        <v>299</v>
      </c>
      <c r="B167" s="5" t="s">
        <v>298</v>
      </c>
      <c r="C167" s="6" t="s">
        <v>23</v>
      </c>
      <c r="D167" s="6" t="s">
        <v>24</v>
      </c>
      <c r="E167" s="7" t="s">
        <v>4448</v>
      </c>
    </row>
    <row r="168" spans="1:5" x14ac:dyDescent="0.25">
      <c r="A168" s="4" t="s">
        <v>301</v>
      </c>
      <c r="B168" s="5" t="s">
        <v>300</v>
      </c>
      <c r="C168" s="6" t="s">
        <v>23</v>
      </c>
      <c r="D168" s="6" t="s">
        <v>24</v>
      </c>
      <c r="E168" s="7" t="s">
        <v>4450</v>
      </c>
    </row>
    <row r="169" spans="1:5" x14ac:dyDescent="0.25">
      <c r="A169" s="4" t="s">
        <v>303</v>
      </c>
      <c r="B169" s="5" t="s">
        <v>302</v>
      </c>
      <c r="C169" s="6" t="s">
        <v>23</v>
      </c>
      <c r="D169" s="6" t="s">
        <v>24</v>
      </c>
      <c r="E169" s="7" t="s">
        <v>4454</v>
      </c>
    </row>
    <row r="170" spans="1:5" x14ac:dyDescent="0.25">
      <c r="A170" s="4" t="s">
        <v>305</v>
      </c>
      <c r="B170" s="5" t="s">
        <v>304</v>
      </c>
      <c r="C170" s="6" t="s">
        <v>23</v>
      </c>
      <c r="D170" s="6" t="s">
        <v>24</v>
      </c>
      <c r="E170" s="7" t="s">
        <v>4452</v>
      </c>
    </row>
    <row r="171" spans="1:5" x14ac:dyDescent="0.25">
      <c r="A171" s="4" t="s">
        <v>307</v>
      </c>
      <c r="B171" s="5" t="s">
        <v>306</v>
      </c>
      <c r="C171" s="6" t="s">
        <v>23</v>
      </c>
      <c r="D171" s="6" t="s">
        <v>24</v>
      </c>
      <c r="E171" s="7" t="s">
        <v>4455</v>
      </c>
    </row>
    <row r="172" spans="1:5" x14ac:dyDescent="0.25">
      <c r="A172" s="11" t="s">
        <v>309</v>
      </c>
      <c r="B172" s="5" t="s">
        <v>308</v>
      </c>
      <c r="C172" s="12" t="s">
        <v>23</v>
      </c>
      <c r="D172" s="12" t="s">
        <v>24</v>
      </c>
      <c r="E172" s="7" t="s">
        <v>4448</v>
      </c>
    </row>
    <row r="173" spans="1:5" x14ac:dyDescent="0.25">
      <c r="A173" s="11" t="s">
        <v>311</v>
      </c>
      <c r="B173" s="5" t="s">
        <v>310</v>
      </c>
      <c r="C173" s="12" t="s">
        <v>23</v>
      </c>
      <c r="D173" s="12" t="s">
        <v>24</v>
      </c>
      <c r="E173" s="7" t="s">
        <v>4450</v>
      </c>
    </row>
    <row r="174" spans="1:5" x14ac:dyDescent="0.25">
      <c r="A174" s="11" t="s">
        <v>313</v>
      </c>
      <c r="B174" s="5" t="s">
        <v>312</v>
      </c>
      <c r="C174" s="12" t="s">
        <v>23</v>
      </c>
      <c r="D174" s="12" t="s">
        <v>24</v>
      </c>
      <c r="E174" s="7" t="s">
        <v>4454</v>
      </c>
    </row>
    <row r="175" spans="1:5" x14ac:dyDescent="0.25">
      <c r="A175" s="11" t="s">
        <v>315</v>
      </c>
      <c r="B175" s="5" t="s">
        <v>314</v>
      </c>
      <c r="C175" s="12" t="s">
        <v>23</v>
      </c>
      <c r="D175" s="12" t="s">
        <v>24</v>
      </c>
      <c r="E175" s="7" t="s">
        <v>4452</v>
      </c>
    </row>
    <row r="176" spans="1:5" x14ac:dyDescent="0.25">
      <c r="A176" s="4" t="s">
        <v>3102</v>
      </c>
      <c r="B176" s="5" t="s">
        <v>3871</v>
      </c>
      <c r="C176" s="6" t="s">
        <v>23</v>
      </c>
      <c r="D176" s="6" t="s">
        <v>4445</v>
      </c>
      <c r="E176" s="7" t="s">
        <v>4443</v>
      </c>
    </row>
    <row r="177" spans="1:5" x14ac:dyDescent="0.25">
      <c r="A177" s="4" t="s">
        <v>2914</v>
      </c>
      <c r="B177" s="5" t="s">
        <v>3676</v>
      </c>
      <c r="C177" s="6" t="s">
        <v>23</v>
      </c>
      <c r="D177" s="6" t="s">
        <v>4445</v>
      </c>
      <c r="E177" s="7" t="s">
        <v>4443</v>
      </c>
    </row>
    <row r="178" spans="1:5" x14ac:dyDescent="0.25">
      <c r="A178" s="4" t="s">
        <v>2915</v>
      </c>
      <c r="B178" s="5" t="s">
        <v>3677</v>
      </c>
      <c r="C178" s="6" t="s">
        <v>23</v>
      </c>
      <c r="D178" s="6" t="s">
        <v>4445</v>
      </c>
      <c r="E178" s="7" t="s">
        <v>4443</v>
      </c>
    </row>
    <row r="179" spans="1:5" x14ac:dyDescent="0.25">
      <c r="A179" s="4" t="s">
        <v>3263</v>
      </c>
      <c r="B179" s="5" t="s">
        <v>4033</v>
      </c>
      <c r="C179" s="6" t="s">
        <v>23</v>
      </c>
      <c r="D179" s="6" t="s">
        <v>4445</v>
      </c>
      <c r="E179" s="7" t="s">
        <v>4443</v>
      </c>
    </row>
    <row r="180" spans="1:5" x14ac:dyDescent="0.25">
      <c r="A180" s="4" t="s">
        <v>3101</v>
      </c>
      <c r="B180" s="5" t="s">
        <v>3870</v>
      </c>
      <c r="C180" s="6" t="s">
        <v>23</v>
      </c>
      <c r="D180" s="6" t="s">
        <v>4445</v>
      </c>
      <c r="E180" s="7" t="s">
        <v>4443</v>
      </c>
    </row>
    <row r="181" spans="1:5" x14ac:dyDescent="0.25">
      <c r="A181" s="4" t="s">
        <v>3264</v>
      </c>
      <c r="B181" s="5" t="s">
        <v>4034</v>
      </c>
      <c r="C181" s="6" t="s">
        <v>23</v>
      </c>
      <c r="D181" s="6" t="s">
        <v>4445</v>
      </c>
      <c r="E181" s="7" t="s">
        <v>4443</v>
      </c>
    </row>
    <row r="182" spans="1:5" x14ac:dyDescent="0.25">
      <c r="A182" s="4" t="s">
        <v>317</v>
      </c>
      <c r="B182" s="5" t="s">
        <v>316</v>
      </c>
      <c r="C182" s="6" t="s">
        <v>23</v>
      </c>
      <c r="D182" s="6" t="s">
        <v>24</v>
      </c>
      <c r="E182" s="7" t="s">
        <v>4457</v>
      </c>
    </row>
    <row r="183" spans="1:5" x14ac:dyDescent="0.25">
      <c r="A183" s="4" t="s">
        <v>319</v>
      </c>
      <c r="B183" s="5" t="s">
        <v>318</v>
      </c>
      <c r="C183" s="6" t="s">
        <v>23</v>
      </c>
      <c r="D183" s="6" t="s">
        <v>320</v>
      </c>
      <c r="E183" s="7" t="s">
        <v>4444</v>
      </c>
    </row>
    <row r="184" spans="1:5" x14ac:dyDescent="0.25">
      <c r="A184" s="4" t="s">
        <v>322</v>
      </c>
      <c r="B184" s="5" t="s">
        <v>321</v>
      </c>
      <c r="C184" s="6" t="s">
        <v>23</v>
      </c>
      <c r="D184" s="6" t="s">
        <v>63</v>
      </c>
      <c r="E184" s="7" t="s">
        <v>98</v>
      </c>
    </row>
    <row r="185" spans="1:5" x14ac:dyDescent="0.25">
      <c r="A185" s="4" t="s">
        <v>324</v>
      </c>
      <c r="B185" s="5" t="s">
        <v>323</v>
      </c>
      <c r="C185" s="6" t="s">
        <v>23</v>
      </c>
      <c r="D185" s="6" t="s">
        <v>63</v>
      </c>
      <c r="E185" s="7" t="s">
        <v>67</v>
      </c>
    </row>
    <row r="186" spans="1:5" x14ac:dyDescent="0.25">
      <c r="A186" s="4" t="s">
        <v>326</v>
      </c>
      <c r="B186" s="5" t="s">
        <v>325</v>
      </c>
      <c r="C186" s="6" t="s">
        <v>23</v>
      </c>
      <c r="D186" s="6" t="s">
        <v>24</v>
      </c>
      <c r="E186" s="7" t="s">
        <v>4446</v>
      </c>
    </row>
    <row r="187" spans="1:5" x14ac:dyDescent="0.25">
      <c r="A187" s="4" t="s">
        <v>328</v>
      </c>
      <c r="B187" s="5" t="s">
        <v>327</v>
      </c>
      <c r="C187" s="6" t="s">
        <v>23</v>
      </c>
      <c r="D187" s="6" t="s">
        <v>24</v>
      </c>
      <c r="E187" s="7" t="s">
        <v>4447</v>
      </c>
    </row>
    <row r="188" spans="1:5" x14ac:dyDescent="0.25">
      <c r="A188" s="11" t="s">
        <v>330</v>
      </c>
      <c r="B188" s="5" t="s">
        <v>329</v>
      </c>
      <c r="C188" s="12" t="s">
        <v>23</v>
      </c>
      <c r="D188" s="12" t="s">
        <v>24</v>
      </c>
      <c r="E188" s="7" t="s">
        <v>4448</v>
      </c>
    </row>
    <row r="189" spans="1:5" x14ac:dyDescent="0.25">
      <c r="A189" s="4" t="s">
        <v>3316</v>
      </c>
      <c r="B189" s="5" t="s">
        <v>4089</v>
      </c>
      <c r="C189" s="6" t="s">
        <v>23</v>
      </c>
      <c r="D189" s="6" t="s">
        <v>24</v>
      </c>
      <c r="E189" s="7" t="s">
        <v>4449</v>
      </c>
    </row>
    <row r="190" spans="1:5" x14ac:dyDescent="0.25">
      <c r="A190" s="4" t="s">
        <v>332</v>
      </c>
      <c r="B190" s="5" t="s">
        <v>331</v>
      </c>
      <c r="C190" s="6" t="s">
        <v>23</v>
      </c>
      <c r="D190" s="6" t="s">
        <v>63</v>
      </c>
      <c r="E190" s="7" t="s">
        <v>98</v>
      </c>
    </row>
    <row r="191" spans="1:5" x14ac:dyDescent="0.25">
      <c r="A191" s="11" t="s">
        <v>334</v>
      </c>
      <c r="B191" s="5" t="s">
        <v>333</v>
      </c>
      <c r="C191" s="12" t="s">
        <v>23</v>
      </c>
      <c r="D191" s="12" t="s">
        <v>63</v>
      </c>
      <c r="E191" s="9" t="s">
        <v>64</v>
      </c>
    </row>
    <row r="192" spans="1:5" x14ac:dyDescent="0.25">
      <c r="A192" s="11" t="s">
        <v>336</v>
      </c>
      <c r="B192" s="5" t="s">
        <v>335</v>
      </c>
      <c r="C192" s="12" t="s">
        <v>23</v>
      </c>
      <c r="D192" s="12" t="s">
        <v>24</v>
      </c>
      <c r="E192" s="7" t="s">
        <v>4446</v>
      </c>
    </row>
    <row r="193" spans="1:5" x14ac:dyDescent="0.25">
      <c r="A193" s="4" t="s">
        <v>338</v>
      </c>
      <c r="B193" s="5" t="s">
        <v>337</v>
      </c>
      <c r="C193" s="6" t="s">
        <v>23</v>
      </c>
      <c r="D193" s="6" t="s">
        <v>63</v>
      </c>
      <c r="E193" s="7" t="s">
        <v>98</v>
      </c>
    </row>
    <row r="194" spans="1:5" x14ac:dyDescent="0.25">
      <c r="A194" s="4" t="s">
        <v>340</v>
      </c>
      <c r="B194" s="5" t="s">
        <v>339</v>
      </c>
      <c r="C194" s="6" t="s">
        <v>23</v>
      </c>
      <c r="D194" s="6" t="s">
        <v>63</v>
      </c>
      <c r="E194" s="7" t="s">
        <v>67</v>
      </c>
    </row>
    <row r="195" spans="1:5" x14ac:dyDescent="0.25">
      <c r="A195" s="4" t="s">
        <v>342</v>
      </c>
      <c r="B195" s="5" t="s">
        <v>341</v>
      </c>
      <c r="C195" s="6" t="s">
        <v>23</v>
      </c>
      <c r="D195" s="6" t="s">
        <v>320</v>
      </c>
      <c r="E195" s="7" t="s">
        <v>4444</v>
      </c>
    </row>
    <row r="196" spans="1:5" x14ac:dyDescent="0.25">
      <c r="A196" s="4" t="s">
        <v>344</v>
      </c>
      <c r="B196" s="5" t="s">
        <v>343</v>
      </c>
      <c r="C196" s="6" t="s">
        <v>23</v>
      </c>
      <c r="D196" s="6" t="s">
        <v>320</v>
      </c>
      <c r="E196" s="7" t="s">
        <v>4444</v>
      </c>
    </row>
    <row r="197" spans="1:5" x14ac:dyDescent="0.25">
      <c r="A197" s="4" t="s">
        <v>346</v>
      </c>
      <c r="B197" s="5" t="s">
        <v>345</v>
      </c>
      <c r="C197" s="6" t="s">
        <v>23</v>
      </c>
      <c r="D197" s="6" t="s">
        <v>24</v>
      </c>
      <c r="E197" s="7" t="s">
        <v>4454</v>
      </c>
    </row>
    <row r="198" spans="1:5" x14ac:dyDescent="0.25">
      <c r="A198" s="4" t="s">
        <v>4476</v>
      </c>
      <c r="B198" s="5" t="s">
        <v>4477</v>
      </c>
      <c r="C198" s="6" t="s">
        <v>23</v>
      </c>
      <c r="D198" s="6" t="s">
        <v>320</v>
      </c>
      <c r="E198" s="7" t="s">
        <v>4444</v>
      </c>
    </row>
    <row r="199" spans="1:5" x14ac:dyDescent="0.25">
      <c r="A199" s="4" t="s">
        <v>348</v>
      </c>
      <c r="B199" s="5" t="s">
        <v>347</v>
      </c>
      <c r="C199" s="6" t="s">
        <v>23</v>
      </c>
      <c r="D199" s="6" t="s">
        <v>320</v>
      </c>
      <c r="E199" s="7" t="s">
        <v>4444</v>
      </c>
    </row>
    <row r="200" spans="1:5" x14ac:dyDescent="0.25">
      <c r="A200" s="4" t="s">
        <v>350</v>
      </c>
      <c r="B200" s="5" t="s">
        <v>349</v>
      </c>
      <c r="C200" s="6" t="s">
        <v>23</v>
      </c>
      <c r="D200" s="6" t="s">
        <v>63</v>
      </c>
      <c r="E200" s="7" t="s">
        <v>98</v>
      </c>
    </row>
    <row r="201" spans="1:5" x14ac:dyDescent="0.25">
      <c r="A201" s="4" t="s">
        <v>352</v>
      </c>
      <c r="B201" s="5" t="s">
        <v>351</v>
      </c>
      <c r="C201" s="6" t="s">
        <v>23</v>
      </c>
      <c r="D201" s="6" t="s">
        <v>24</v>
      </c>
      <c r="E201" s="7" t="s">
        <v>4446</v>
      </c>
    </row>
    <row r="202" spans="1:5" x14ac:dyDescent="0.25">
      <c r="A202" s="4" t="s">
        <v>354</v>
      </c>
      <c r="B202" s="5" t="s">
        <v>353</v>
      </c>
      <c r="C202" s="6" t="s">
        <v>23</v>
      </c>
      <c r="D202" s="6" t="s">
        <v>63</v>
      </c>
      <c r="E202" s="7" t="s">
        <v>86</v>
      </c>
    </row>
    <row r="203" spans="1:5" x14ac:dyDescent="0.25">
      <c r="A203" s="4" t="s">
        <v>356</v>
      </c>
      <c r="B203" s="5" t="s">
        <v>355</v>
      </c>
      <c r="C203" s="6" t="s">
        <v>23</v>
      </c>
      <c r="D203" s="6" t="s">
        <v>63</v>
      </c>
      <c r="E203" s="7" t="s">
        <v>98</v>
      </c>
    </row>
    <row r="204" spans="1:5" x14ac:dyDescent="0.25">
      <c r="A204" s="4" t="s">
        <v>358</v>
      </c>
      <c r="B204" s="5" t="s">
        <v>357</v>
      </c>
      <c r="C204" s="6" t="s">
        <v>23</v>
      </c>
      <c r="D204" s="6" t="s">
        <v>63</v>
      </c>
      <c r="E204" s="7" t="s">
        <v>98</v>
      </c>
    </row>
    <row r="205" spans="1:5" x14ac:dyDescent="0.25">
      <c r="A205" s="4" t="s">
        <v>360</v>
      </c>
      <c r="B205" s="5" t="s">
        <v>359</v>
      </c>
      <c r="C205" s="6" t="s">
        <v>23</v>
      </c>
      <c r="D205" s="6" t="s">
        <v>63</v>
      </c>
      <c r="E205" s="7" t="s">
        <v>287</v>
      </c>
    </row>
    <row r="206" spans="1:5" x14ac:dyDescent="0.25">
      <c r="A206" s="4" t="s">
        <v>362</v>
      </c>
      <c r="B206" s="5" t="s">
        <v>361</v>
      </c>
      <c r="C206" s="6" t="s">
        <v>23</v>
      </c>
      <c r="D206" s="6" t="s">
        <v>63</v>
      </c>
      <c r="E206" s="7" t="s">
        <v>98</v>
      </c>
    </row>
    <row r="207" spans="1:5" x14ac:dyDescent="0.25">
      <c r="A207" s="4" t="s">
        <v>364</v>
      </c>
      <c r="B207" s="5" t="s">
        <v>363</v>
      </c>
      <c r="C207" s="6" t="s">
        <v>23</v>
      </c>
      <c r="D207" s="6" t="s">
        <v>63</v>
      </c>
      <c r="E207" s="7" t="s">
        <v>67</v>
      </c>
    </row>
    <row r="208" spans="1:5" x14ac:dyDescent="0.25">
      <c r="A208" s="4" t="s">
        <v>366</v>
      </c>
      <c r="B208" s="5" t="s">
        <v>365</v>
      </c>
      <c r="C208" s="6" t="s">
        <v>23</v>
      </c>
      <c r="D208" s="6" t="s">
        <v>24</v>
      </c>
      <c r="E208" s="7" t="s">
        <v>4446</v>
      </c>
    </row>
    <row r="209" spans="1:5" x14ac:dyDescent="0.25">
      <c r="A209" s="4" t="s">
        <v>368</v>
      </c>
      <c r="B209" s="5" t="s">
        <v>367</v>
      </c>
      <c r="C209" s="6" t="s">
        <v>23</v>
      </c>
      <c r="D209" s="6" t="s">
        <v>63</v>
      </c>
      <c r="E209" s="7" t="s">
        <v>64</v>
      </c>
    </row>
    <row r="210" spans="1:5" x14ac:dyDescent="0.25">
      <c r="A210" s="4" t="s">
        <v>370</v>
      </c>
      <c r="B210" s="5" t="s">
        <v>369</v>
      </c>
      <c r="C210" s="6" t="s">
        <v>23</v>
      </c>
      <c r="D210" s="6" t="s">
        <v>63</v>
      </c>
      <c r="E210" s="7" t="s">
        <v>67</v>
      </c>
    </row>
    <row r="211" spans="1:5" x14ac:dyDescent="0.25">
      <c r="A211" s="4" t="s">
        <v>372</v>
      </c>
      <c r="B211" s="5" t="s">
        <v>371</v>
      </c>
      <c r="C211" s="6" t="s">
        <v>23</v>
      </c>
      <c r="D211" s="6" t="s">
        <v>63</v>
      </c>
      <c r="E211" s="7" t="s">
        <v>287</v>
      </c>
    </row>
    <row r="212" spans="1:5" x14ac:dyDescent="0.25">
      <c r="A212" s="4" t="s">
        <v>374</v>
      </c>
      <c r="B212" s="5" t="s">
        <v>373</v>
      </c>
      <c r="C212" s="6" t="s">
        <v>23</v>
      </c>
      <c r="D212" s="6" t="s">
        <v>63</v>
      </c>
      <c r="E212" s="7" t="s">
        <v>98</v>
      </c>
    </row>
    <row r="213" spans="1:5" x14ac:dyDescent="0.25">
      <c r="A213" s="4" t="s">
        <v>376</v>
      </c>
      <c r="B213" s="5" t="s">
        <v>375</v>
      </c>
      <c r="C213" s="6" t="s">
        <v>23</v>
      </c>
      <c r="D213" s="6" t="s">
        <v>63</v>
      </c>
      <c r="E213" s="7" t="s">
        <v>64</v>
      </c>
    </row>
    <row r="214" spans="1:5" x14ac:dyDescent="0.25">
      <c r="A214" s="4" t="s">
        <v>378</v>
      </c>
      <c r="B214" s="5" t="s">
        <v>377</v>
      </c>
      <c r="C214" s="6" t="s">
        <v>23</v>
      </c>
      <c r="D214" s="6" t="s">
        <v>24</v>
      </c>
      <c r="E214" s="7" t="s">
        <v>4446</v>
      </c>
    </row>
    <row r="215" spans="1:5" x14ac:dyDescent="0.25">
      <c r="A215" s="4" t="s">
        <v>380</v>
      </c>
      <c r="B215" s="5" t="s">
        <v>379</v>
      </c>
      <c r="C215" s="6" t="s">
        <v>23</v>
      </c>
      <c r="D215" s="6" t="s">
        <v>63</v>
      </c>
      <c r="E215" s="7" t="s">
        <v>98</v>
      </c>
    </row>
    <row r="216" spans="1:5" x14ac:dyDescent="0.25">
      <c r="A216" s="4" t="s">
        <v>382</v>
      </c>
      <c r="B216" s="5" t="s">
        <v>381</v>
      </c>
      <c r="C216" s="6" t="s">
        <v>23</v>
      </c>
      <c r="D216" s="6" t="s">
        <v>63</v>
      </c>
      <c r="E216" s="7" t="s">
        <v>86</v>
      </c>
    </row>
    <row r="217" spans="1:5" x14ac:dyDescent="0.25">
      <c r="A217" s="4" t="s">
        <v>384</v>
      </c>
      <c r="B217" s="5" t="s">
        <v>383</v>
      </c>
      <c r="C217" s="6" t="s">
        <v>23</v>
      </c>
      <c r="D217" s="6" t="s">
        <v>24</v>
      </c>
      <c r="E217" s="7" t="s">
        <v>4455</v>
      </c>
    </row>
    <row r="218" spans="1:5" x14ac:dyDescent="0.25">
      <c r="A218" s="4" t="s">
        <v>386</v>
      </c>
      <c r="B218" s="5" t="s">
        <v>385</v>
      </c>
      <c r="C218" s="6" t="s">
        <v>23</v>
      </c>
      <c r="D218" s="6" t="s">
        <v>24</v>
      </c>
      <c r="E218" s="7" t="s">
        <v>4448</v>
      </c>
    </row>
    <row r="219" spans="1:5" x14ac:dyDescent="0.25">
      <c r="A219" s="4" t="s">
        <v>388</v>
      </c>
      <c r="B219" s="5" t="s">
        <v>387</v>
      </c>
      <c r="C219" s="6" t="s">
        <v>23</v>
      </c>
      <c r="D219" s="6" t="s">
        <v>63</v>
      </c>
      <c r="E219" s="7" t="s">
        <v>64</v>
      </c>
    </row>
    <row r="220" spans="1:5" x14ac:dyDescent="0.25">
      <c r="A220" s="4" t="s">
        <v>390</v>
      </c>
      <c r="B220" s="5" t="s">
        <v>389</v>
      </c>
      <c r="C220" s="6" t="s">
        <v>23</v>
      </c>
      <c r="D220" s="6" t="s">
        <v>63</v>
      </c>
      <c r="E220" s="7" t="s">
        <v>86</v>
      </c>
    </row>
    <row r="221" spans="1:5" x14ac:dyDescent="0.25">
      <c r="A221" s="4" t="s">
        <v>392</v>
      </c>
      <c r="B221" s="5" t="s">
        <v>391</v>
      </c>
      <c r="C221" s="6" t="s">
        <v>23</v>
      </c>
      <c r="D221" s="6" t="s">
        <v>63</v>
      </c>
      <c r="E221" s="7" t="s">
        <v>287</v>
      </c>
    </row>
    <row r="222" spans="1:5" x14ac:dyDescent="0.25">
      <c r="A222" s="4" t="s">
        <v>394</v>
      </c>
      <c r="B222" s="5" t="s">
        <v>393</v>
      </c>
      <c r="C222" s="6" t="s">
        <v>23</v>
      </c>
      <c r="D222" s="6" t="s">
        <v>63</v>
      </c>
      <c r="E222" s="7" t="s">
        <v>98</v>
      </c>
    </row>
    <row r="223" spans="1:5" x14ac:dyDescent="0.25">
      <c r="A223" s="4" t="s">
        <v>396</v>
      </c>
      <c r="B223" s="5" t="s">
        <v>395</v>
      </c>
      <c r="C223" s="6" t="s">
        <v>23</v>
      </c>
      <c r="D223" s="6" t="s">
        <v>63</v>
      </c>
      <c r="E223" s="7" t="s">
        <v>98</v>
      </c>
    </row>
    <row r="224" spans="1:5" x14ac:dyDescent="0.25">
      <c r="A224" s="4" t="s">
        <v>398</v>
      </c>
      <c r="B224" s="5" t="s">
        <v>397</v>
      </c>
      <c r="C224" s="6" t="s">
        <v>23</v>
      </c>
      <c r="D224" s="6" t="s">
        <v>63</v>
      </c>
      <c r="E224" s="7" t="s">
        <v>67</v>
      </c>
    </row>
    <row r="225" spans="1:5" x14ac:dyDescent="0.25">
      <c r="A225" s="4" t="s">
        <v>400</v>
      </c>
      <c r="B225" s="5" t="s">
        <v>399</v>
      </c>
      <c r="C225" s="6" t="s">
        <v>23</v>
      </c>
      <c r="D225" s="6" t="s">
        <v>63</v>
      </c>
      <c r="E225" s="7" t="s">
        <v>98</v>
      </c>
    </row>
    <row r="226" spans="1:5" x14ac:dyDescent="0.25">
      <c r="A226" s="4" t="s">
        <v>402</v>
      </c>
      <c r="B226" s="5" t="s">
        <v>401</v>
      </c>
      <c r="C226" s="6" t="s">
        <v>23</v>
      </c>
      <c r="D226" s="6" t="s">
        <v>63</v>
      </c>
      <c r="E226" s="7" t="s">
        <v>98</v>
      </c>
    </row>
    <row r="227" spans="1:5" x14ac:dyDescent="0.25">
      <c r="A227" s="4" t="s">
        <v>404</v>
      </c>
      <c r="B227" s="5" t="s">
        <v>403</v>
      </c>
      <c r="C227" s="6" t="s">
        <v>23</v>
      </c>
      <c r="D227" s="6" t="s">
        <v>63</v>
      </c>
      <c r="E227" s="7" t="s">
        <v>64</v>
      </c>
    </row>
    <row r="228" spans="1:5" x14ac:dyDescent="0.25">
      <c r="A228" s="11" t="s">
        <v>406</v>
      </c>
      <c r="B228" s="5" t="s">
        <v>405</v>
      </c>
      <c r="C228" s="12" t="s">
        <v>23</v>
      </c>
      <c r="D228" s="12" t="s">
        <v>24</v>
      </c>
      <c r="E228" s="7" t="s">
        <v>4446</v>
      </c>
    </row>
    <row r="229" spans="1:5" x14ac:dyDescent="0.25">
      <c r="A229" s="4" t="s">
        <v>408</v>
      </c>
      <c r="B229" s="5" t="s">
        <v>407</v>
      </c>
      <c r="C229" s="6" t="s">
        <v>23</v>
      </c>
      <c r="D229" s="6" t="s">
        <v>63</v>
      </c>
      <c r="E229" s="7" t="s">
        <v>64</v>
      </c>
    </row>
    <row r="230" spans="1:5" x14ac:dyDescent="0.25">
      <c r="A230" s="4" t="s">
        <v>410</v>
      </c>
      <c r="B230" s="5" t="s">
        <v>409</v>
      </c>
      <c r="C230" s="6" t="s">
        <v>23</v>
      </c>
      <c r="D230" s="6" t="s">
        <v>24</v>
      </c>
      <c r="E230" s="7" t="s">
        <v>4446</v>
      </c>
    </row>
    <row r="231" spans="1:5" x14ac:dyDescent="0.25">
      <c r="A231" s="4" t="s">
        <v>412</v>
      </c>
      <c r="B231" s="5" t="s">
        <v>411</v>
      </c>
      <c r="C231" s="6" t="s">
        <v>23</v>
      </c>
      <c r="D231" s="6" t="s">
        <v>63</v>
      </c>
      <c r="E231" s="7" t="s">
        <v>98</v>
      </c>
    </row>
    <row r="232" spans="1:5" x14ac:dyDescent="0.25">
      <c r="A232" s="4" t="s">
        <v>414</v>
      </c>
      <c r="B232" s="5" t="s">
        <v>413</v>
      </c>
      <c r="C232" s="6" t="s">
        <v>23</v>
      </c>
      <c r="D232" s="6" t="s">
        <v>63</v>
      </c>
      <c r="E232" s="7" t="s">
        <v>67</v>
      </c>
    </row>
    <row r="233" spans="1:5" x14ac:dyDescent="0.25">
      <c r="A233" s="4" t="s">
        <v>416</v>
      </c>
      <c r="B233" s="5" t="s">
        <v>415</v>
      </c>
      <c r="C233" s="6" t="s">
        <v>23</v>
      </c>
      <c r="D233" s="6" t="s">
        <v>63</v>
      </c>
      <c r="E233" s="7" t="s">
        <v>64</v>
      </c>
    </row>
    <row r="234" spans="1:5" x14ac:dyDescent="0.25">
      <c r="A234" s="4" t="s">
        <v>418</v>
      </c>
      <c r="B234" s="5" t="s">
        <v>417</v>
      </c>
      <c r="C234" s="6" t="s">
        <v>23</v>
      </c>
      <c r="D234" s="6" t="s">
        <v>63</v>
      </c>
      <c r="E234" s="7" t="s">
        <v>86</v>
      </c>
    </row>
    <row r="235" spans="1:5" x14ac:dyDescent="0.25">
      <c r="A235" s="4" t="s">
        <v>420</v>
      </c>
      <c r="B235" s="5" t="s">
        <v>419</v>
      </c>
      <c r="C235" s="6" t="s">
        <v>23</v>
      </c>
      <c r="D235" s="6" t="s">
        <v>63</v>
      </c>
      <c r="E235" s="7" t="s">
        <v>67</v>
      </c>
    </row>
    <row r="236" spans="1:5" x14ac:dyDescent="0.25">
      <c r="A236" s="4" t="s">
        <v>422</v>
      </c>
      <c r="B236" s="5" t="s">
        <v>421</v>
      </c>
      <c r="C236" s="6" t="s">
        <v>23</v>
      </c>
      <c r="D236" s="6" t="s">
        <v>63</v>
      </c>
      <c r="E236" s="7" t="s">
        <v>287</v>
      </c>
    </row>
    <row r="237" spans="1:5" x14ac:dyDescent="0.25">
      <c r="A237" s="4" t="s">
        <v>424</v>
      </c>
      <c r="B237" s="5" t="s">
        <v>423</v>
      </c>
      <c r="C237" s="6" t="s">
        <v>23</v>
      </c>
      <c r="D237" s="6" t="s">
        <v>63</v>
      </c>
      <c r="E237" s="7" t="s">
        <v>425</v>
      </c>
    </row>
    <row r="238" spans="1:5" x14ac:dyDescent="0.25">
      <c r="A238" s="4" t="s">
        <v>427</v>
      </c>
      <c r="B238" s="5" t="s">
        <v>426</v>
      </c>
      <c r="C238" s="6" t="s">
        <v>23</v>
      </c>
      <c r="D238" s="6" t="s">
        <v>63</v>
      </c>
      <c r="E238" s="7" t="s">
        <v>98</v>
      </c>
    </row>
    <row r="239" spans="1:5" x14ac:dyDescent="0.25">
      <c r="A239" s="4" t="s">
        <v>429</v>
      </c>
      <c r="B239" s="5" t="s">
        <v>428</v>
      </c>
      <c r="C239" s="6" t="s">
        <v>23</v>
      </c>
      <c r="D239" s="6" t="s">
        <v>63</v>
      </c>
      <c r="E239" s="7" t="s">
        <v>64</v>
      </c>
    </row>
    <row r="240" spans="1:5" x14ac:dyDescent="0.25">
      <c r="A240" s="4" t="s">
        <v>431</v>
      </c>
      <c r="B240" s="5" t="s">
        <v>430</v>
      </c>
      <c r="C240" s="6" t="s">
        <v>23</v>
      </c>
      <c r="D240" s="6" t="s">
        <v>63</v>
      </c>
      <c r="E240" s="7" t="s">
        <v>98</v>
      </c>
    </row>
    <row r="241" spans="1:5" x14ac:dyDescent="0.25">
      <c r="A241" s="4" t="s">
        <v>433</v>
      </c>
      <c r="B241" s="5" t="s">
        <v>432</v>
      </c>
      <c r="C241" s="6" t="s">
        <v>23</v>
      </c>
      <c r="D241" s="6" t="s">
        <v>24</v>
      </c>
      <c r="E241" s="7" t="s">
        <v>4446</v>
      </c>
    </row>
    <row r="242" spans="1:5" x14ac:dyDescent="0.25">
      <c r="A242" s="11" t="s">
        <v>435</v>
      </c>
      <c r="B242" s="5" t="s">
        <v>434</v>
      </c>
      <c r="C242" s="12" t="s">
        <v>23</v>
      </c>
      <c r="D242" s="12" t="s">
        <v>63</v>
      </c>
      <c r="E242" s="7" t="s">
        <v>98</v>
      </c>
    </row>
    <row r="243" spans="1:5" x14ac:dyDescent="0.25">
      <c r="A243" s="4" t="s">
        <v>437</v>
      </c>
      <c r="B243" s="5" t="s">
        <v>436</v>
      </c>
      <c r="C243" s="6" t="s">
        <v>23</v>
      </c>
      <c r="D243" s="6" t="s">
        <v>63</v>
      </c>
      <c r="E243" s="7" t="s">
        <v>67</v>
      </c>
    </row>
    <row r="244" spans="1:5" x14ac:dyDescent="0.25">
      <c r="A244" s="4" t="s">
        <v>439</v>
      </c>
      <c r="B244" s="5" t="s">
        <v>438</v>
      </c>
      <c r="C244" s="6" t="s">
        <v>23</v>
      </c>
      <c r="D244" s="6" t="s">
        <v>24</v>
      </c>
      <c r="E244" s="7" t="s">
        <v>4446</v>
      </c>
    </row>
    <row r="245" spans="1:5" x14ac:dyDescent="0.25">
      <c r="A245" s="4" t="s">
        <v>441</v>
      </c>
      <c r="B245" s="5" t="s">
        <v>440</v>
      </c>
      <c r="C245" s="6" t="s">
        <v>23</v>
      </c>
      <c r="D245" s="6" t="s">
        <v>63</v>
      </c>
      <c r="E245" s="7" t="s">
        <v>98</v>
      </c>
    </row>
    <row r="246" spans="1:5" x14ac:dyDescent="0.25">
      <c r="A246" s="4" t="s">
        <v>443</v>
      </c>
      <c r="B246" s="5" t="s">
        <v>442</v>
      </c>
      <c r="C246" s="6" t="s">
        <v>23</v>
      </c>
      <c r="D246" s="6" t="s">
        <v>63</v>
      </c>
      <c r="E246" s="7" t="s">
        <v>67</v>
      </c>
    </row>
    <row r="247" spans="1:5" x14ac:dyDescent="0.25">
      <c r="A247" s="4" t="s">
        <v>445</v>
      </c>
      <c r="B247" s="5" t="s">
        <v>444</v>
      </c>
      <c r="C247" s="6" t="s">
        <v>23</v>
      </c>
      <c r="D247" s="6" t="s">
        <v>63</v>
      </c>
      <c r="E247" s="7" t="s">
        <v>98</v>
      </c>
    </row>
    <row r="248" spans="1:5" x14ac:dyDescent="0.25">
      <c r="A248" s="4" t="s">
        <v>447</v>
      </c>
      <c r="B248" s="5" t="s">
        <v>446</v>
      </c>
      <c r="C248" s="6" t="s">
        <v>23</v>
      </c>
      <c r="D248" s="6" t="s">
        <v>63</v>
      </c>
      <c r="E248" s="7" t="s">
        <v>98</v>
      </c>
    </row>
    <row r="249" spans="1:5" x14ac:dyDescent="0.25">
      <c r="A249" s="4" t="s">
        <v>449</v>
      </c>
      <c r="B249" s="5" t="s">
        <v>448</v>
      </c>
      <c r="C249" s="6" t="s">
        <v>23</v>
      </c>
      <c r="D249" s="6" t="s">
        <v>63</v>
      </c>
      <c r="E249" s="7" t="s">
        <v>98</v>
      </c>
    </row>
    <row r="250" spans="1:5" x14ac:dyDescent="0.25">
      <c r="A250" s="4" t="s">
        <v>451</v>
      </c>
      <c r="B250" s="5" t="s">
        <v>450</v>
      </c>
      <c r="C250" s="6" t="s">
        <v>23</v>
      </c>
      <c r="D250" s="6" t="s">
        <v>24</v>
      </c>
      <c r="E250" s="7" t="s">
        <v>4446</v>
      </c>
    </row>
    <row r="251" spans="1:5" x14ac:dyDescent="0.25">
      <c r="A251" s="4" t="s">
        <v>453</v>
      </c>
      <c r="B251" s="5" t="s">
        <v>452</v>
      </c>
      <c r="C251" s="6" t="s">
        <v>23</v>
      </c>
      <c r="D251" s="6" t="s">
        <v>63</v>
      </c>
      <c r="E251" s="7" t="s">
        <v>98</v>
      </c>
    </row>
    <row r="252" spans="1:5" x14ac:dyDescent="0.25">
      <c r="A252" s="4" t="s">
        <v>455</v>
      </c>
      <c r="B252" s="5" t="s">
        <v>454</v>
      </c>
      <c r="C252" s="6" t="s">
        <v>23</v>
      </c>
      <c r="D252" s="6" t="s">
        <v>63</v>
      </c>
      <c r="E252" s="7" t="s">
        <v>64</v>
      </c>
    </row>
    <row r="253" spans="1:5" x14ac:dyDescent="0.25">
      <c r="A253" s="4" t="s">
        <v>457</v>
      </c>
      <c r="B253" s="5" t="s">
        <v>456</v>
      </c>
      <c r="C253" s="6" t="s">
        <v>23</v>
      </c>
      <c r="D253" s="6" t="s">
        <v>63</v>
      </c>
      <c r="E253" s="7" t="s">
        <v>64</v>
      </c>
    </row>
    <row r="254" spans="1:5" x14ac:dyDescent="0.25">
      <c r="A254" s="4" t="s">
        <v>459</v>
      </c>
      <c r="B254" s="5" t="s">
        <v>458</v>
      </c>
      <c r="C254" s="6" t="s">
        <v>23</v>
      </c>
      <c r="D254" s="6" t="s">
        <v>24</v>
      </c>
      <c r="E254" s="7" t="s">
        <v>4446</v>
      </c>
    </row>
    <row r="255" spans="1:5" x14ac:dyDescent="0.25">
      <c r="A255" s="74" t="s">
        <v>461</v>
      </c>
      <c r="B255" s="5" t="s">
        <v>460</v>
      </c>
      <c r="C255" s="6" t="s">
        <v>23</v>
      </c>
      <c r="D255" s="6" t="s">
        <v>63</v>
      </c>
      <c r="E255" s="7" t="s">
        <v>287</v>
      </c>
    </row>
    <row r="256" spans="1:5" x14ac:dyDescent="0.25">
      <c r="A256" s="4" t="s">
        <v>463</v>
      </c>
      <c r="B256" s="5" t="s">
        <v>462</v>
      </c>
      <c r="C256" s="6" t="s">
        <v>23</v>
      </c>
      <c r="D256" s="6" t="s">
        <v>63</v>
      </c>
      <c r="E256" s="7" t="s">
        <v>64</v>
      </c>
    </row>
    <row r="257" spans="1:5" x14ac:dyDescent="0.25">
      <c r="A257" s="11" t="s">
        <v>465</v>
      </c>
      <c r="B257" s="5" t="s">
        <v>464</v>
      </c>
      <c r="C257" s="12" t="s">
        <v>23</v>
      </c>
      <c r="D257" s="12" t="s">
        <v>63</v>
      </c>
      <c r="E257" s="7" t="s">
        <v>86</v>
      </c>
    </row>
    <row r="258" spans="1:5" x14ac:dyDescent="0.25">
      <c r="A258" s="4" t="s">
        <v>467</v>
      </c>
      <c r="B258" s="5" t="s">
        <v>466</v>
      </c>
      <c r="C258" s="6" t="s">
        <v>23</v>
      </c>
      <c r="D258" s="6" t="s">
        <v>63</v>
      </c>
      <c r="E258" s="7" t="s">
        <v>64</v>
      </c>
    </row>
    <row r="259" spans="1:5" x14ac:dyDescent="0.25">
      <c r="A259" s="4" t="s">
        <v>469</v>
      </c>
      <c r="B259" s="5" t="s">
        <v>468</v>
      </c>
      <c r="C259" s="6" t="s">
        <v>23</v>
      </c>
      <c r="D259" s="6" t="s">
        <v>63</v>
      </c>
      <c r="E259" s="7" t="s">
        <v>98</v>
      </c>
    </row>
    <row r="260" spans="1:5" x14ac:dyDescent="0.25">
      <c r="A260" s="4" t="s">
        <v>471</v>
      </c>
      <c r="B260" s="5" t="s">
        <v>470</v>
      </c>
      <c r="C260" s="6" t="s">
        <v>23</v>
      </c>
      <c r="D260" s="6" t="s">
        <v>24</v>
      </c>
      <c r="E260" s="7" t="s">
        <v>4446</v>
      </c>
    </row>
    <row r="261" spans="1:5" x14ac:dyDescent="0.25">
      <c r="A261" s="4" t="s">
        <v>473</v>
      </c>
      <c r="B261" s="5" t="s">
        <v>472</v>
      </c>
      <c r="C261" s="6" t="s">
        <v>23</v>
      </c>
      <c r="D261" s="6" t="s">
        <v>63</v>
      </c>
      <c r="E261" s="7" t="s">
        <v>98</v>
      </c>
    </row>
    <row r="262" spans="1:5" x14ac:dyDescent="0.25">
      <c r="A262" s="4" t="s">
        <v>475</v>
      </c>
      <c r="B262" s="5" t="s">
        <v>474</v>
      </c>
      <c r="C262" s="6" t="s">
        <v>23</v>
      </c>
      <c r="D262" s="6" t="s">
        <v>63</v>
      </c>
      <c r="E262" s="7" t="s">
        <v>64</v>
      </c>
    </row>
    <row r="263" spans="1:5" x14ac:dyDescent="0.25">
      <c r="A263" s="4" t="s">
        <v>477</v>
      </c>
      <c r="B263" s="5" t="s">
        <v>476</v>
      </c>
      <c r="C263" s="6" t="s">
        <v>23</v>
      </c>
      <c r="D263" s="6" t="s">
        <v>63</v>
      </c>
      <c r="E263" s="7" t="s">
        <v>67</v>
      </c>
    </row>
    <row r="264" spans="1:5" x14ac:dyDescent="0.25">
      <c r="A264" s="4" t="s">
        <v>3256</v>
      </c>
      <c r="B264" s="5" t="s">
        <v>4026</v>
      </c>
      <c r="C264" s="6" t="s">
        <v>23</v>
      </c>
      <c r="D264" s="6" t="s">
        <v>4445</v>
      </c>
      <c r="E264" s="7" t="s">
        <v>4443</v>
      </c>
    </row>
    <row r="265" spans="1:5" x14ac:dyDescent="0.25">
      <c r="A265" s="4" t="s">
        <v>3100</v>
      </c>
      <c r="B265" s="5" t="s">
        <v>3869</v>
      </c>
      <c r="C265" s="6" t="s">
        <v>23</v>
      </c>
      <c r="D265" s="6" t="s">
        <v>4445</v>
      </c>
      <c r="E265" s="7" t="s">
        <v>4443</v>
      </c>
    </row>
    <row r="266" spans="1:5" x14ac:dyDescent="0.25">
      <c r="A266" s="4" t="s">
        <v>479</v>
      </c>
      <c r="B266" s="5" t="s">
        <v>478</v>
      </c>
      <c r="C266" s="6" t="s">
        <v>23</v>
      </c>
      <c r="D266" s="6" t="s">
        <v>63</v>
      </c>
      <c r="E266" s="7" t="s">
        <v>98</v>
      </c>
    </row>
    <row r="267" spans="1:5" x14ac:dyDescent="0.25">
      <c r="A267" s="4" t="s">
        <v>481</v>
      </c>
      <c r="B267" s="5" t="s">
        <v>480</v>
      </c>
      <c r="C267" s="6" t="s">
        <v>23</v>
      </c>
      <c r="D267" s="6" t="s">
        <v>63</v>
      </c>
      <c r="E267" s="7" t="s">
        <v>64</v>
      </c>
    </row>
    <row r="268" spans="1:5" x14ac:dyDescent="0.25">
      <c r="A268" s="4" t="s">
        <v>483</v>
      </c>
      <c r="B268" s="5" t="s">
        <v>482</v>
      </c>
      <c r="C268" s="6" t="s">
        <v>23</v>
      </c>
      <c r="D268" s="6" t="s">
        <v>63</v>
      </c>
      <c r="E268" s="7" t="s">
        <v>98</v>
      </c>
    </row>
    <row r="269" spans="1:5" x14ac:dyDescent="0.25">
      <c r="A269" s="4" t="s">
        <v>485</v>
      </c>
      <c r="B269" s="5" t="s">
        <v>484</v>
      </c>
      <c r="C269" s="6" t="s">
        <v>23</v>
      </c>
      <c r="D269" s="6" t="s">
        <v>63</v>
      </c>
      <c r="E269" s="7" t="s">
        <v>64</v>
      </c>
    </row>
    <row r="270" spans="1:5" x14ac:dyDescent="0.25">
      <c r="A270" s="4" t="s">
        <v>487</v>
      </c>
      <c r="B270" s="5" t="s">
        <v>486</v>
      </c>
      <c r="C270" s="6" t="s">
        <v>23</v>
      </c>
      <c r="D270" s="6" t="s">
        <v>24</v>
      </c>
      <c r="E270" s="7" t="s">
        <v>4446</v>
      </c>
    </row>
    <row r="271" spans="1:5" x14ac:dyDescent="0.25">
      <c r="A271" s="4" t="s">
        <v>489</v>
      </c>
      <c r="B271" s="5" t="s">
        <v>488</v>
      </c>
      <c r="C271" s="6" t="s">
        <v>23</v>
      </c>
      <c r="D271" s="6" t="s">
        <v>63</v>
      </c>
      <c r="E271" s="7" t="s">
        <v>98</v>
      </c>
    </row>
    <row r="272" spans="1:5" x14ac:dyDescent="0.25">
      <c r="A272" s="4" t="s">
        <v>491</v>
      </c>
      <c r="B272" s="5" t="s">
        <v>490</v>
      </c>
      <c r="C272" s="6" t="s">
        <v>23</v>
      </c>
      <c r="D272" s="6" t="s">
        <v>63</v>
      </c>
      <c r="E272" s="7" t="s">
        <v>64</v>
      </c>
    </row>
    <row r="273" spans="1:5" x14ac:dyDescent="0.25">
      <c r="A273" s="4" t="s">
        <v>493</v>
      </c>
      <c r="B273" s="5" t="s">
        <v>492</v>
      </c>
      <c r="C273" s="6" t="s">
        <v>23</v>
      </c>
      <c r="D273" s="6" t="s">
        <v>24</v>
      </c>
      <c r="E273" s="7" t="s">
        <v>4446</v>
      </c>
    </row>
    <row r="274" spans="1:5" x14ac:dyDescent="0.25">
      <c r="A274" s="4" t="s">
        <v>495</v>
      </c>
      <c r="B274" s="5" t="s">
        <v>494</v>
      </c>
      <c r="C274" s="6" t="s">
        <v>23</v>
      </c>
      <c r="D274" s="6" t="s">
        <v>63</v>
      </c>
      <c r="E274" s="7" t="s">
        <v>98</v>
      </c>
    </row>
    <row r="275" spans="1:5" x14ac:dyDescent="0.25">
      <c r="A275" s="4" t="s">
        <v>497</v>
      </c>
      <c r="B275" s="5" t="s">
        <v>496</v>
      </c>
      <c r="C275" s="6" t="s">
        <v>23</v>
      </c>
      <c r="D275" s="6" t="s">
        <v>63</v>
      </c>
      <c r="E275" s="7" t="s">
        <v>67</v>
      </c>
    </row>
    <row r="276" spans="1:5" x14ac:dyDescent="0.25">
      <c r="A276" s="4" t="s">
        <v>499</v>
      </c>
      <c r="B276" s="5" t="s">
        <v>498</v>
      </c>
      <c r="C276" s="6" t="s">
        <v>23</v>
      </c>
      <c r="D276" s="6" t="s">
        <v>24</v>
      </c>
      <c r="E276" s="7" t="s">
        <v>4457</v>
      </c>
    </row>
    <row r="277" spans="1:5" x14ac:dyDescent="0.25">
      <c r="A277" s="4" t="s">
        <v>501</v>
      </c>
      <c r="B277" s="5" t="s">
        <v>500</v>
      </c>
      <c r="C277" s="6" t="s">
        <v>23</v>
      </c>
      <c r="D277" s="6" t="s">
        <v>24</v>
      </c>
      <c r="E277" s="7" t="s">
        <v>4446</v>
      </c>
    </row>
    <row r="278" spans="1:5" x14ac:dyDescent="0.25">
      <c r="A278" s="4" t="s">
        <v>503</v>
      </c>
      <c r="B278" s="5" t="s">
        <v>502</v>
      </c>
      <c r="C278" s="6" t="s">
        <v>23</v>
      </c>
      <c r="D278" s="6" t="s">
        <v>24</v>
      </c>
      <c r="E278" s="7" t="s">
        <v>4447</v>
      </c>
    </row>
    <row r="279" spans="1:5" x14ac:dyDescent="0.25">
      <c r="A279" s="4" t="s">
        <v>3576</v>
      </c>
      <c r="B279" s="5" t="s">
        <v>4352</v>
      </c>
      <c r="C279" s="6" t="s">
        <v>23</v>
      </c>
      <c r="D279" s="6" t="s">
        <v>24</v>
      </c>
      <c r="E279" s="7" t="s">
        <v>4448</v>
      </c>
    </row>
    <row r="280" spans="1:5" x14ac:dyDescent="0.25">
      <c r="A280" s="4" t="s">
        <v>505</v>
      </c>
      <c r="B280" s="5" t="s">
        <v>504</v>
      </c>
      <c r="C280" s="6" t="s">
        <v>23</v>
      </c>
      <c r="D280" s="6" t="s">
        <v>63</v>
      </c>
      <c r="E280" s="7" t="s">
        <v>64</v>
      </c>
    </row>
    <row r="281" spans="1:5" x14ac:dyDescent="0.25">
      <c r="A281" s="4" t="s">
        <v>507</v>
      </c>
      <c r="B281" s="5" t="s">
        <v>506</v>
      </c>
      <c r="C281" s="6" t="s">
        <v>23</v>
      </c>
      <c r="D281" s="6" t="s">
        <v>24</v>
      </c>
      <c r="E281" s="7" t="s">
        <v>4455</v>
      </c>
    </row>
    <row r="282" spans="1:5" x14ac:dyDescent="0.25">
      <c r="A282" s="11" t="s">
        <v>509</v>
      </c>
      <c r="B282" s="5" t="s">
        <v>508</v>
      </c>
      <c r="C282" s="12" t="s">
        <v>23</v>
      </c>
      <c r="D282" s="12" t="s">
        <v>24</v>
      </c>
      <c r="E282" s="7" t="s">
        <v>4447</v>
      </c>
    </row>
    <row r="283" spans="1:5" x14ac:dyDescent="0.25">
      <c r="A283" s="4" t="s">
        <v>511</v>
      </c>
      <c r="B283" s="5" t="s">
        <v>510</v>
      </c>
      <c r="C283" s="6" t="s">
        <v>23</v>
      </c>
      <c r="D283" s="6" t="s">
        <v>24</v>
      </c>
      <c r="E283" s="7" t="s">
        <v>4448</v>
      </c>
    </row>
    <row r="284" spans="1:5" x14ac:dyDescent="0.25">
      <c r="A284" s="4" t="s">
        <v>513</v>
      </c>
      <c r="B284" s="5" t="s">
        <v>512</v>
      </c>
      <c r="C284" s="6" t="s">
        <v>23</v>
      </c>
      <c r="D284" s="6" t="s">
        <v>24</v>
      </c>
      <c r="E284" s="7" t="s">
        <v>4450</v>
      </c>
    </row>
    <row r="285" spans="1:5" x14ac:dyDescent="0.25">
      <c r="A285" s="4" t="s">
        <v>515</v>
      </c>
      <c r="B285" s="5" t="s">
        <v>514</v>
      </c>
      <c r="C285" s="6" t="s">
        <v>23</v>
      </c>
      <c r="D285" s="6" t="s">
        <v>24</v>
      </c>
      <c r="E285" s="7" t="s">
        <v>4451</v>
      </c>
    </row>
    <row r="286" spans="1:5" x14ac:dyDescent="0.25">
      <c r="A286" s="4" t="s">
        <v>517</v>
      </c>
      <c r="B286" s="5" t="s">
        <v>516</v>
      </c>
      <c r="C286" s="6" t="s">
        <v>23</v>
      </c>
      <c r="D286" s="6" t="s">
        <v>24</v>
      </c>
      <c r="E286" s="7" t="s">
        <v>4453</v>
      </c>
    </row>
    <row r="287" spans="1:5" x14ac:dyDescent="0.25">
      <c r="A287" s="4" t="s">
        <v>519</v>
      </c>
      <c r="B287" s="5" t="s">
        <v>518</v>
      </c>
      <c r="C287" s="6" t="s">
        <v>23</v>
      </c>
      <c r="D287" s="6" t="s">
        <v>63</v>
      </c>
      <c r="E287" s="7" t="s">
        <v>64</v>
      </c>
    </row>
    <row r="288" spans="1:5" x14ac:dyDescent="0.25">
      <c r="A288" s="4" t="s">
        <v>3109</v>
      </c>
      <c r="B288" s="5" t="s">
        <v>3879</v>
      </c>
      <c r="C288" s="6" t="s">
        <v>23</v>
      </c>
      <c r="D288" s="6" t="s">
        <v>4445</v>
      </c>
      <c r="E288" s="7" t="s">
        <v>4443</v>
      </c>
    </row>
    <row r="289" spans="1:5" x14ac:dyDescent="0.25">
      <c r="A289" s="4" t="s">
        <v>3103</v>
      </c>
      <c r="B289" s="5" t="s">
        <v>3873</v>
      </c>
      <c r="C289" s="6" t="s">
        <v>23</v>
      </c>
      <c r="D289" s="6" t="s">
        <v>4445</v>
      </c>
      <c r="E289" s="7" t="s">
        <v>4443</v>
      </c>
    </row>
    <row r="290" spans="1:5" x14ac:dyDescent="0.25">
      <c r="A290" s="4" t="s">
        <v>3110</v>
      </c>
      <c r="B290" s="5" t="s">
        <v>3880</v>
      </c>
      <c r="C290" s="6" t="s">
        <v>23</v>
      </c>
      <c r="D290" s="6" t="s">
        <v>4445</v>
      </c>
      <c r="E290" s="7" t="s">
        <v>4443</v>
      </c>
    </row>
    <row r="291" spans="1:5" x14ac:dyDescent="0.25">
      <c r="A291" s="4" t="s">
        <v>3104</v>
      </c>
      <c r="B291" s="5" t="s">
        <v>3874</v>
      </c>
      <c r="C291" s="6" t="s">
        <v>23</v>
      </c>
      <c r="D291" s="6" t="s">
        <v>4445</v>
      </c>
      <c r="E291" s="7" t="s">
        <v>4443</v>
      </c>
    </row>
    <row r="292" spans="1:5" x14ac:dyDescent="0.25">
      <c r="A292" s="4" t="s">
        <v>3111</v>
      </c>
      <c r="B292" s="5" t="s">
        <v>3881</v>
      </c>
      <c r="C292" s="6" t="s">
        <v>23</v>
      </c>
      <c r="D292" s="6" t="s">
        <v>4445</v>
      </c>
      <c r="E292" s="7" t="s">
        <v>4443</v>
      </c>
    </row>
    <row r="293" spans="1:5" x14ac:dyDescent="0.25">
      <c r="A293" s="4" t="s">
        <v>3112</v>
      </c>
      <c r="B293" s="5" t="s">
        <v>3882</v>
      </c>
      <c r="C293" s="6" t="s">
        <v>23</v>
      </c>
      <c r="D293" s="6" t="s">
        <v>4445</v>
      </c>
      <c r="E293" s="7" t="s">
        <v>4443</v>
      </c>
    </row>
    <row r="294" spans="1:5" x14ac:dyDescent="0.25">
      <c r="A294" s="4" t="s">
        <v>3106</v>
      </c>
      <c r="B294" s="5" t="s">
        <v>3876</v>
      </c>
      <c r="C294" s="6" t="s">
        <v>23</v>
      </c>
      <c r="D294" s="6" t="s">
        <v>4445</v>
      </c>
      <c r="E294" s="7" t="s">
        <v>4443</v>
      </c>
    </row>
    <row r="295" spans="1:5" x14ac:dyDescent="0.25">
      <c r="A295" s="4" t="s">
        <v>3260</v>
      </c>
      <c r="B295" s="5" t="s">
        <v>4030</v>
      </c>
      <c r="C295" s="6" t="s">
        <v>23</v>
      </c>
      <c r="D295" s="6" t="s">
        <v>4445</v>
      </c>
      <c r="E295" s="7" t="s">
        <v>4443</v>
      </c>
    </row>
    <row r="296" spans="1:5" x14ac:dyDescent="0.25">
      <c r="A296" s="4" t="s">
        <v>3113</v>
      </c>
      <c r="B296" s="5" t="s">
        <v>3883</v>
      </c>
      <c r="C296" s="6" t="s">
        <v>23</v>
      </c>
      <c r="D296" s="6" t="s">
        <v>4445</v>
      </c>
      <c r="E296" s="7" t="s">
        <v>4443</v>
      </c>
    </row>
    <row r="297" spans="1:5" x14ac:dyDescent="0.25">
      <c r="A297" s="4" t="s">
        <v>3107</v>
      </c>
      <c r="B297" s="5" t="s">
        <v>3877</v>
      </c>
      <c r="C297" s="6" t="s">
        <v>23</v>
      </c>
      <c r="D297" s="6" t="s">
        <v>4445</v>
      </c>
      <c r="E297" s="7" t="s">
        <v>4443</v>
      </c>
    </row>
    <row r="298" spans="1:5" x14ac:dyDescent="0.25">
      <c r="A298" s="4" t="s">
        <v>3114</v>
      </c>
      <c r="B298" s="5" t="s">
        <v>3884</v>
      </c>
      <c r="C298" s="6" t="s">
        <v>23</v>
      </c>
      <c r="D298" s="6" t="s">
        <v>4445</v>
      </c>
      <c r="E298" s="7" t="s">
        <v>4443</v>
      </c>
    </row>
    <row r="299" spans="1:5" x14ac:dyDescent="0.25">
      <c r="A299" s="4" t="s">
        <v>3108</v>
      </c>
      <c r="B299" s="5" t="s">
        <v>3878</v>
      </c>
      <c r="C299" s="6" t="s">
        <v>23</v>
      </c>
      <c r="D299" s="6" t="s">
        <v>4445</v>
      </c>
      <c r="E299" s="7" t="s">
        <v>4443</v>
      </c>
    </row>
    <row r="300" spans="1:5" x14ac:dyDescent="0.25">
      <c r="A300" s="4" t="s">
        <v>3105</v>
      </c>
      <c r="B300" s="5" t="s">
        <v>3875</v>
      </c>
      <c r="C300" s="6" t="s">
        <v>23</v>
      </c>
      <c r="D300" s="6" t="s">
        <v>4445</v>
      </c>
      <c r="E300" s="7" t="s">
        <v>4443</v>
      </c>
    </row>
    <row r="301" spans="1:5" x14ac:dyDescent="0.25">
      <c r="A301" s="4" t="s">
        <v>2912</v>
      </c>
      <c r="B301" s="5" t="s">
        <v>3673</v>
      </c>
      <c r="C301" s="6" t="s">
        <v>23</v>
      </c>
      <c r="D301" s="6" t="s">
        <v>4445</v>
      </c>
      <c r="E301" s="7" t="s">
        <v>4443</v>
      </c>
    </row>
    <row r="302" spans="1:5" x14ac:dyDescent="0.25">
      <c r="A302" s="4" t="s">
        <v>4498</v>
      </c>
      <c r="B302" s="5" t="s">
        <v>3674</v>
      </c>
      <c r="C302" s="6" t="s">
        <v>23</v>
      </c>
      <c r="D302" s="6" t="s">
        <v>4445</v>
      </c>
      <c r="E302" s="7" t="s">
        <v>4443</v>
      </c>
    </row>
    <row r="303" spans="1:5" x14ac:dyDescent="0.25">
      <c r="A303" s="4" t="s">
        <v>2913</v>
      </c>
      <c r="B303" s="5" t="s">
        <v>3675</v>
      </c>
      <c r="C303" s="6" t="s">
        <v>23</v>
      </c>
      <c r="D303" s="6" t="s">
        <v>4445</v>
      </c>
      <c r="E303" s="7" t="s">
        <v>4443</v>
      </c>
    </row>
    <row r="304" spans="1:5" x14ac:dyDescent="0.25">
      <c r="A304" s="4" t="s">
        <v>4502</v>
      </c>
      <c r="B304" s="5" t="s">
        <v>4503</v>
      </c>
      <c r="C304" s="6" t="s">
        <v>23</v>
      </c>
      <c r="D304" s="6" t="s">
        <v>63</v>
      </c>
      <c r="E304" s="7" t="s">
        <v>98</v>
      </c>
    </row>
    <row r="305" spans="1:5" x14ac:dyDescent="0.25">
      <c r="A305" s="4" t="s">
        <v>4504</v>
      </c>
      <c r="B305" s="5" t="s">
        <v>3672</v>
      </c>
      <c r="C305" s="6" t="s">
        <v>23</v>
      </c>
      <c r="D305" s="6" t="s">
        <v>4445</v>
      </c>
      <c r="E305" s="7" t="s">
        <v>4443</v>
      </c>
    </row>
    <row r="306" spans="1:5" x14ac:dyDescent="0.25">
      <c r="A306" s="4" t="s">
        <v>2874</v>
      </c>
      <c r="B306" s="5" t="s">
        <v>3872</v>
      </c>
      <c r="C306" s="6" t="s">
        <v>23</v>
      </c>
      <c r="D306" s="6" t="s">
        <v>4445</v>
      </c>
      <c r="E306" s="7" t="s">
        <v>4443</v>
      </c>
    </row>
    <row r="307" spans="1:5" x14ac:dyDescent="0.25">
      <c r="A307" s="4" t="s">
        <v>4507</v>
      </c>
      <c r="B307" s="5" t="s">
        <v>520</v>
      </c>
      <c r="C307" s="6" t="s">
        <v>23</v>
      </c>
      <c r="D307" s="6" t="s">
        <v>63</v>
      </c>
      <c r="E307" s="7" t="s">
        <v>4443</v>
      </c>
    </row>
    <row r="308" spans="1:5" x14ac:dyDescent="0.25">
      <c r="A308" s="4" t="s">
        <v>4508</v>
      </c>
      <c r="B308" s="5" t="s">
        <v>4338</v>
      </c>
      <c r="C308" s="6" t="s">
        <v>23</v>
      </c>
      <c r="D308" s="6" t="s">
        <v>4445</v>
      </c>
      <c r="E308" s="7" t="s">
        <v>4443</v>
      </c>
    </row>
    <row r="309" spans="1:5" x14ac:dyDescent="0.25">
      <c r="A309" s="4" t="s">
        <v>522</v>
      </c>
      <c r="B309" s="5" t="s">
        <v>521</v>
      </c>
      <c r="C309" s="6" t="s">
        <v>23</v>
      </c>
      <c r="D309" s="6" t="s">
        <v>63</v>
      </c>
      <c r="E309" s="7" t="s">
        <v>64</v>
      </c>
    </row>
    <row r="310" spans="1:5" x14ac:dyDescent="0.25">
      <c r="A310" s="4" t="s">
        <v>524</v>
      </c>
      <c r="B310" s="5" t="s">
        <v>523</v>
      </c>
      <c r="C310" s="6" t="s">
        <v>23</v>
      </c>
      <c r="D310" s="6" t="s">
        <v>63</v>
      </c>
      <c r="E310" s="7" t="s">
        <v>86</v>
      </c>
    </row>
    <row r="311" spans="1:5" x14ac:dyDescent="0.25">
      <c r="A311" s="4" t="s">
        <v>526</v>
      </c>
      <c r="B311" s="5" t="s">
        <v>525</v>
      </c>
      <c r="C311" s="6" t="s">
        <v>23</v>
      </c>
      <c r="D311" s="6" t="s">
        <v>24</v>
      </c>
      <c r="E311" s="7" t="s">
        <v>4455</v>
      </c>
    </row>
    <row r="312" spans="1:5" x14ac:dyDescent="0.25">
      <c r="A312" s="4" t="s">
        <v>528</v>
      </c>
      <c r="B312" s="5" t="s">
        <v>527</v>
      </c>
      <c r="C312" s="6" t="s">
        <v>23</v>
      </c>
      <c r="D312" s="6" t="s">
        <v>24</v>
      </c>
      <c r="E312" s="7" t="s">
        <v>4448</v>
      </c>
    </row>
    <row r="313" spans="1:5" x14ac:dyDescent="0.25">
      <c r="A313" s="4" t="s">
        <v>3341</v>
      </c>
      <c r="B313" s="5" t="s">
        <v>4111</v>
      </c>
      <c r="C313" s="6" t="s">
        <v>23</v>
      </c>
      <c r="D313" s="6" t="s">
        <v>4445</v>
      </c>
      <c r="E313" s="7" t="s">
        <v>4443</v>
      </c>
    </row>
    <row r="314" spans="1:5" x14ac:dyDescent="0.25">
      <c r="A314" s="11" t="s">
        <v>530</v>
      </c>
      <c r="B314" s="5" t="s">
        <v>529</v>
      </c>
      <c r="C314" s="12" t="s">
        <v>23</v>
      </c>
      <c r="D314" s="12" t="s">
        <v>24</v>
      </c>
      <c r="E314" s="7" t="s">
        <v>4447</v>
      </c>
    </row>
    <row r="315" spans="1:5" x14ac:dyDescent="0.25">
      <c r="A315" s="4" t="s">
        <v>532</v>
      </c>
      <c r="B315" s="5" t="s">
        <v>531</v>
      </c>
      <c r="C315" s="6" t="s">
        <v>23</v>
      </c>
      <c r="D315" s="6" t="s">
        <v>24</v>
      </c>
      <c r="E315" s="7" t="s">
        <v>4448</v>
      </c>
    </row>
    <row r="316" spans="1:5" x14ac:dyDescent="0.25">
      <c r="A316" s="4" t="s">
        <v>534</v>
      </c>
      <c r="B316" s="5" t="s">
        <v>533</v>
      </c>
      <c r="C316" s="6" t="s">
        <v>23</v>
      </c>
      <c r="D316" s="6" t="s">
        <v>24</v>
      </c>
      <c r="E316" s="7" t="s">
        <v>4450</v>
      </c>
    </row>
    <row r="317" spans="1:5" x14ac:dyDescent="0.25">
      <c r="A317" s="4" t="s">
        <v>536</v>
      </c>
      <c r="B317" s="5" t="s">
        <v>535</v>
      </c>
      <c r="C317" s="6" t="s">
        <v>23</v>
      </c>
      <c r="D317" s="6" t="s">
        <v>24</v>
      </c>
      <c r="E317" s="7" t="s">
        <v>4451</v>
      </c>
    </row>
    <row r="318" spans="1:5" x14ac:dyDescent="0.25">
      <c r="A318" s="4" t="s">
        <v>538</v>
      </c>
      <c r="B318" s="5" t="s">
        <v>537</v>
      </c>
      <c r="C318" s="6" t="s">
        <v>23</v>
      </c>
      <c r="D318" s="6" t="s">
        <v>24</v>
      </c>
      <c r="E318" s="7" t="s">
        <v>4447</v>
      </c>
    </row>
    <row r="319" spans="1:5" x14ac:dyDescent="0.25">
      <c r="A319" s="4" t="s">
        <v>540</v>
      </c>
      <c r="B319" s="5" t="s">
        <v>539</v>
      </c>
      <c r="C319" s="6" t="s">
        <v>23</v>
      </c>
      <c r="D319" s="6" t="s">
        <v>24</v>
      </c>
      <c r="E319" s="7" t="s">
        <v>4448</v>
      </c>
    </row>
    <row r="320" spans="1:5" x14ac:dyDescent="0.25">
      <c r="A320" s="4" t="s">
        <v>542</v>
      </c>
      <c r="B320" s="5" t="s">
        <v>541</v>
      </c>
      <c r="C320" s="6" t="s">
        <v>23</v>
      </c>
      <c r="D320" s="6" t="s">
        <v>24</v>
      </c>
      <c r="E320" s="7" t="s">
        <v>4450</v>
      </c>
    </row>
    <row r="321" spans="1:5" x14ac:dyDescent="0.25">
      <c r="A321" s="4" t="s">
        <v>544</v>
      </c>
      <c r="B321" s="5" t="s">
        <v>543</v>
      </c>
      <c r="C321" s="6" t="s">
        <v>23</v>
      </c>
      <c r="D321" s="6" t="s">
        <v>24</v>
      </c>
      <c r="E321" s="7" t="s">
        <v>4451</v>
      </c>
    </row>
    <row r="322" spans="1:5" x14ac:dyDescent="0.25">
      <c r="A322" s="4" t="s">
        <v>546</v>
      </c>
      <c r="B322" s="5" t="s">
        <v>545</v>
      </c>
      <c r="C322" s="6" t="s">
        <v>23</v>
      </c>
      <c r="D322" s="6" t="s">
        <v>24</v>
      </c>
      <c r="E322" s="7" t="s">
        <v>4452</v>
      </c>
    </row>
    <row r="323" spans="1:5" x14ac:dyDescent="0.25">
      <c r="A323" s="4" t="s">
        <v>548</v>
      </c>
      <c r="B323" s="5" t="s">
        <v>547</v>
      </c>
      <c r="C323" s="6" t="s">
        <v>23</v>
      </c>
      <c r="D323" s="6" t="s">
        <v>24</v>
      </c>
      <c r="E323" s="7" t="s">
        <v>4453</v>
      </c>
    </row>
    <row r="324" spans="1:5" x14ac:dyDescent="0.25">
      <c r="A324" s="4" t="s">
        <v>550</v>
      </c>
      <c r="B324" s="5" t="s">
        <v>549</v>
      </c>
      <c r="C324" s="6" t="s">
        <v>23</v>
      </c>
      <c r="D324" s="6" t="s">
        <v>24</v>
      </c>
      <c r="E324" s="7" t="s">
        <v>4447</v>
      </c>
    </row>
    <row r="325" spans="1:5" x14ac:dyDescent="0.25">
      <c r="A325" s="11" t="s">
        <v>552</v>
      </c>
      <c r="B325" s="5" t="s">
        <v>551</v>
      </c>
      <c r="C325" s="12" t="s">
        <v>23</v>
      </c>
      <c r="D325" s="12" t="s">
        <v>24</v>
      </c>
      <c r="E325" s="7" t="s">
        <v>4448</v>
      </c>
    </row>
    <row r="326" spans="1:5" x14ac:dyDescent="0.25">
      <c r="A326" s="11" t="s">
        <v>554</v>
      </c>
      <c r="B326" s="5" t="s">
        <v>553</v>
      </c>
      <c r="C326" s="12" t="s">
        <v>23</v>
      </c>
      <c r="D326" s="12" t="s">
        <v>24</v>
      </c>
      <c r="E326" s="7" t="s">
        <v>4450</v>
      </c>
    </row>
    <row r="327" spans="1:5" x14ac:dyDescent="0.25">
      <c r="A327" s="4" t="s">
        <v>556</v>
      </c>
      <c r="B327" s="5" t="s">
        <v>555</v>
      </c>
      <c r="C327" s="6" t="s">
        <v>23</v>
      </c>
      <c r="D327" s="6" t="s">
        <v>24</v>
      </c>
      <c r="E327" s="7" t="s">
        <v>4454</v>
      </c>
    </row>
    <row r="328" spans="1:5" x14ac:dyDescent="0.25">
      <c r="A328" s="11" t="s">
        <v>558</v>
      </c>
      <c r="B328" s="5" t="s">
        <v>557</v>
      </c>
      <c r="C328" s="12" t="s">
        <v>23</v>
      </c>
      <c r="D328" s="12" t="s">
        <v>63</v>
      </c>
      <c r="E328" s="7" t="s">
        <v>98</v>
      </c>
    </row>
    <row r="329" spans="1:5" x14ac:dyDescent="0.25">
      <c r="A329" s="4" t="s">
        <v>560</v>
      </c>
      <c r="B329" s="5" t="s">
        <v>559</v>
      </c>
      <c r="C329" s="6" t="s">
        <v>23</v>
      </c>
      <c r="D329" s="6" t="s">
        <v>561</v>
      </c>
      <c r="E329" s="7" t="s">
        <v>64</v>
      </c>
    </row>
    <row r="330" spans="1:5" x14ac:dyDescent="0.25">
      <c r="A330" s="4" t="s">
        <v>563</v>
      </c>
      <c r="B330" s="5" t="s">
        <v>562</v>
      </c>
      <c r="C330" s="6" t="s">
        <v>23</v>
      </c>
      <c r="D330" s="6" t="s">
        <v>561</v>
      </c>
      <c r="E330" s="7" t="s">
        <v>98</v>
      </c>
    </row>
    <row r="331" spans="1:5" x14ac:dyDescent="0.25">
      <c r="A331" s="4" t="s">
        <v>565</v>
      </c>
      <c r="B331" s="5" t="s">
        <v>564</v>
      </c>
      <c r="C331" s="6" t="s">
        <v>23</v>
      </c>
      <c r="D331" s="6" t="s">
        <v>561</v>
      </c>
      <c r="E331" s="7" t="s">
        <v>67</v>
      </c>
    </row>
    <row r="332" spans="1:5" x14ac:dyDescent="0.25">
      <c r="A332" s="4" t="s">
        <v>567</v>
      </c>
      <c r="B332" s="5" t="s">
        <v>566</v>
      </c>
      <c r="C332" s="6" t="s">
        <v>23</v>
      </c>
      <c r="D332" s="6" t="s">
        <v>561</v>
      </c>
      <c r="E332" s="7" t="s">
        <v>287</v>
      </c>
    </row>
    <row r="333" spans="1:5" x14ac:dyDescent="0.25">
      <c r="A333" s="4" t="s">
        <v>569</v>
      </c>
      <c r="B333" s="5" t="s">
        <v>568</v>
      </c>
      <c r="C333" s="6" t="s">
        <v>23</v>
      </c>
      <c r="D333" s="6" t="s">
        <v>561</v>
      </c>
      <c r="E333" s="7" t="s">
        <v>425</v>
      </c>
    </row>
    <row r="334" spans="1:5" x14ac:dyDescent="0.25">
      <c r="A334" s="4" t="s">
        <v>571</v>
      </c>
      <c r="B334" s="5" t="s">
        <v>570</v>
      </c>
      <c r="C334" s="6" t="s">
        <v>23</v>
      </c>
      <c r="D334" s="6" t="s">
        <v>561</v>
      </c>
      <c r="E334" s="7" t="s">
        <v>572</v>
      </c>
    </row>
    <row r="335" spans="1:5" x14ac:dyDescent="0.25">
      <c r="A335" s="4" t="s">
        <v>574</v>
      </c>
      <c r="B335" s="5" t="s">
        <v>573</v>
      </c>
      <c r="C335" s="6" t="s">
        <v>23</v>
      </c>
      <c r="D335" s="6" t="s">
        <v>561</v>
      </c>
      <c r="E335" s="7" t="s">
        <v>95</v>
      </c>
    </row>
    <row r="336" spans="1:5" x14ac:dyDescent="0.25">
      <c r="A336" s="4" t="s">
        <v>576</v>
      </c>
      <c r="B336" s="5" t="s">
        <v>575</v>
      </c>
      <c r="C336" s="6" t="s">
        <v>23</v>
      </c>
      <c r="D336" s="6" t="s">
        <v>63</v>
      </c>
      <c r="E336" s="7" t="s">
        <v>98</v>
      </c>
    </row>
    <row r="337" spans="1:5" x14ac:dyDescent="0.25">
      <c r="A337" s="11" t="s">
        <v>578</v>
      </c>
      <c r="B337" s="5" t="s">
        <v>577</v>
      </c>
      <c r="C337" s="12" t="s">
        <v>23</v>
      </c>
      <c r="D337" s="12" t="s">
        <v>24</v>
      </c>
      <c r="E337" s="7" t="s">
        <v>4447</v>
      </c>
    </row>
    <row r="338" spans="1:5" x14ac:dyDescent="0.25">
      <c r="A338" s="4" t="s">
        <v>580</v>
      </c>
      <c r="B338" s="5" t="s">
        <v>579</v>
      </c>
      <c r="C338" s="6" t="s">
        <v>23</v>
      </c>
      <c r="D338" s="6" t="s">
        <v>24</v>
      </c>
      <c r="E338" s="7" t="s">
        <v>4448</v>
      </c>
    </row>
    <row r="339" spans="1:5" x14ac:dyDescent="0.25">
      <c r="A339" s="4" t="s">
        <v>582</v>
      </c>
      <c r="B339" s="5" t="s">
        <v>581</v>
      </c>
      <c r="C339" s="6" t="s">
        <v>23</v>
      </c>
      <c r="D339" s="6" t="s">
        <v>24</v>
      </c>
      <c r="E339" s="7" t="s">
        <v>4450</v>
      </c>
    </row>
    <row r="340" spans="1:5" x14ac:dyDescent="0.25">
      <c r="A340" s="4" t="s">
        <v>584</v>
      </c>
      <c r="B340" s="5" t="s">
        <v>583</v>
      </c>
      <c r="C340" s="6" t="s">
        <v>23</v>
      </c>
      <c r="D340" s="6" t="s">
        <v>24</v>
      </c>
      <c r="E340" s="7" t="s">
        <v>4451</v>
      </c>
    </row>
    <row r="341" spans="1:5" x14ac:dyDescent="0.25">
      <c r="A341" s="4" t="s">
        <v>3605</v>
      </c>
      <c r="B341" s="5" t="s">
        <v>4382</v>
      </c>
      <c r="C341" s="6" t="s">
        <v>23</v>
      </c>
      <c r="D341" s="6" t="s">
        <v>4463</v>
      </c>
      <c r="E341" s="7" t="s">
        <v>89</v>
      </c>
    </row>
    <row r="342" spans="1:5" x14ac:dyDescent="0.25">
      <c r="A342" s="4" t="s">
        <v>586</v>
      </c>
      <c r="B342" s="5" t="s">
        <v>585</v>
      </c>
      <c r="C342" s="6" t="s">
        <v>23</v>
      </c>
      <c r="D342" s="6" t="s">
        <v>561</v>
      </c>
      <c r="E342" s="7" t="s">
        <v>287</v>
      </c>
    </row>
    <row r="343" spans="1:5" x14ac:dyDescent="0.25">
      <c r="A343" s="4" t="s">
        <v>3606</v>
      </c>
      <c r="B343" s="5" t="s">
        <v>4383</v>
      </c>
      <c r="C343" s="6" t="s">
        <v>23</v>
      </c>
      <c r="D343" s="6" t="s">
        <v>4463</v>
      </c>
      <c r="E343" s="7" t="s">
        <v>287</v>
      </c>
    </row>
    <row r="344" spans="1:5" x14ac:dyDescent="0.25">
      <c r="A344" s="4" t="s">
        <v>588</v>
      </c>
      <c r="B344" s="5" t="s">
        <v>587</v>
      </c>
      <c r="C344" s="6" t="s">
        <v>23</v>
      </c>
      <c r="D344" s="6" t="s">
        <v>561</v>
      </c>
      <c r="E344" s="7" t="s">
        <v>86</v>
      </c>
    </row>
    <row r="345" spans="1:5" x14ac:dyDescent="0.25">
      <c r="A345" s="4" t="s">
        <v>590</v>
      </c>
      <c r="B345" s="5" t="s">
        <v>589</v>
      </c>
      <c r="C345" s="6" t="s">
        <v>23</v>
      </c>
      <c r="D345" s="6" t="s">
        <v>63</v>
      </c>
      <c r="E345" s="7" t="s">
        <v>98</v>
      </c>
    </row>
    <row r="346" spans="1:5" x14ac:dyDescent="0.25">
      <c r="A346" s="11" t="s">
        <v>592</v>
      </c>
      <c r="B346" s="5" t="s">
        <v>591</v>
      </c>
      <c r="C346" s="12" t="s">
        <v>23</v>
      </c>
      <c r="D346" s="12" t="s">
        <v>63</v>
      </c>
      <c r="E346" s="7" t="s">
        <v>67</v>
      </c>
    </row>
    <row r="347" spans="1:5" x14ac:dyDescent="0.25">
      <c r="A347" s="11" t="s">
        <v>594</v>
      </c>
      <c r="B347" s="5" t="s">
        <v>593</v>
      </c>
      <c r="C347" s="12" t="s">
        <v>23</v>
      </c>
      <c r="D347" s="12" t="s">
        <v>63</v>
      </c>
      <c r="E347" s="7" t="s">
        <v>86</v>
      </c>
    </row>
    <row r="348" spans="1:5" x14ac:dyDescent="0.25">
      <c r="A348" s="11" t="s">
        <v>596</v>
      </c>
      <c r="B348" s="5" t="s">
        <v>595</v>
      </c>
      <c r="C348" s="12" t="s">
        <v>23</v>
      </c>
      <c r="D348" s="12" t="s">
        <v>63</v>
      </c>
      <c r="E348" s="7" t="s">
        <v>89</v>
      </c>
    </row>
    <row r="349" spans="1:5" x14ac:dyDescent="0.25">
      <c r="A349" s="4" t="s">
        <v>598</v>
      </c>
      <c r="B349" s="5" t="s">
        <v>597</v>
      </c>
      <c r="C349" s="6" t="s">
        <v>23</v>
      </c>
      <c r="D349" s="6" t="s">
        <v>63</v>
      </c>
      <c r="E349" s="7" t="s">
        <v>64</v>
      </c>
    </row>
    <row r="350" spans="1:5" x14ac:dyDescent="0.25">
      <c r="A350" s="4" t="s">
        <v>600</v>
      </c>
      <c r="B350" s="5" t="s">
        <v>599</v>
      </c>
      <c r="C350" s="6" t="s">
        <v>23</v>
      </c>
      <c r="D350" s="6" t="s">
        <v>63</v>
      </c>
      <c r="E350" s="7" t="s">
        <v>67</v>
      </c>
    </row>
    <row r="351" spans="1:5" x14ac:dyDescent="0.25">
      <c r="A351" s="4" t="s">
        <v>602</v>
      </c>
      <c r="B351" s="5" t="s">
        <v>601</v>
      </c>
      <c r="C351" s="6" t="s">
        <v>23</v>
      </c>
      <c r="D351" s="6" t="s">
        <v>63</v>
      </c>
      <c r="E351" s="7" t="s">
        <v>86</v>
      </c>
    </row>
    <row r="352" spans="1:5" x14ac:dyDescent="0.25">
      <c r="A352" s="4" t="s">
        <v>604</v>
      </c>
      <c r="B352" s="5" t="s">
        <v>603</v>
      </c>
      <c r="C352" s="6" t="s">
        <v>23</v>
      </c>
      <c r="D352" s="6" t="s">
        <v>63</v>
      </c>
      <c r="E352" s="7" t="s">
        <v>67</v>
      </c>
    </row>
    <row r="353" spans="1:5" x14ac:dyDescent="0.25">
      <c r="A353" s="4" t="s">
        <v>606</v>
      </c>
      <c r="B353" s="5" t="s">
        <v>605</v>
      </c>
      <c r="C353" s="6" t="s">
        <v>23</v>
      </c>
      <c r="D353" s="6" t="s">
        <v>24</v>
      </c>
      <c r="E353" s="7" t="s">
        <v>4446</v>
      </c>
    </row>
    <row r="354" spans="1:5" x14ac:dyDescent="0.25">
      <c r="A354" s="4" t="s">
        <v>608</v>
      </c>
      <c r="B354" s="5" t="s">
        <v>607</v>
      </c>
      <c r="C354" s="6" t="s">
        <v>23</v>
      </c>
      <c r="D354" s="6" t="s">
        <v>24</v>
      </c>
      <c r="E354" s="7" t="s">
        <v>4447</v>
      </c>
    </row>
    <row r="355" spans="1:5" x14ac:dyDescent="0.25">
      <c r="A355" s="4" t="s">
        <v>610</v>
      </c>
      <c r="B355" s="5" t="s">
        <v>609</v>
      </c>
      <c r="C355" s="6" t="s">
        <v>23</v>
      </c>
      <c r="D355" s="6" t="s">
        <v>561</v>
      </c>
      <c r="E355" s="7" t="s">
        <v>4460</v>
      </c>
    </row>
    <row r="356" spans="1:5" x14ac:dyDescent="0.25">
      <c r="A356" s="4" t="s">
        <v>612</v>
      </c>
      <c r="B356" s="5" t="s">
        <v>611</v>
      </c>
      <c r="C356" s="6" t="s">
        <v>23</v>
      </c>
      <c r="D356" s="6" t="s">
        <v>63</v>
      </c>
      <c r="E356" s="7" t="s">
        <v>95</v>
      </c>
    </row>
    <row r="357" spans="1:5" x14ac:dyDescent="0.25">
      <c r="A357" s="4" t="s">
        <v>614</v>
      </c>
      <c r="B357" s="5" t="s">
        <v>613</v>
      </c>
      <c r="C357" s="6" t="s">
        <v>23</v>
      </c>
      <c r="D357" s="6" t="s">
        <v>63</v>
      </c>
      <c r="E357" s="7" t="s">
        <v>4460</v>
      </c>
    </row>
    <row r="358" spans="1:5" x14ac:dyDescent="0.25">
      <c r="A358" s="4" t="s">
        <v>616</v>
      </c>
      <c r="B358" s="5" t="s">
        <v>615</v>
      </c>
      <c r="C358" s="6" t="s">
        <v>23</v>
      </c>
      <c r="D358" s="6" t="s">
        <v>63</v>
      </c>
      <c r="E358" s="7" t="s">
        <v>95</v>
      </c>
    </row>
    <row r="359" spans="1:5" x14ac:dyDescent="0.25">
      <c r="A359" s="4" t="s">
        <v>618</v>
      </c>
      <c r="B359" s="5" t="s">
        <v>617</v>
      </c>
      <c r="C359" s="12" t="s">
        <v>23</v>
      </c>
      <c r="D359" s="12" t="s">
        <v>24</v>
      </c>
      <c r="E359" s="7" t="s">
        <v>4449</v>
      </c>
    </row>
    <row r="360" spans="1:5" x14ac:dyDescent="0.25">
      <c r="A360" s="4" t="s">
        <v>620</v>
      </c>
      <c r="B360" s="5" t="s">
        <v>619</v>
      </c>
      <c r="C360" s="6" t="s">
        <v>23</v>
      </c>
      <c r="D360" s="6" t="s">
        <v>24</v>
      </c>
      <c r="E360" s="7" t="s">
        <v>4450</v>
      </c>
    </row>
    <row r="361" spans="1:5" x14ac:dyDescent="0.25">
      <c r="A361" s="4" t="s">
        <v>622</v>
      </c>
      <c r="B361" s="5" t="s">
        <v>621</v>
      </c>
      <c r="C361" s="6" t="s">
        <v>23</v>
      </c>
      <c r="D361" s="6" t="s">
        <v>63</v>
      </c>
      <c r="E361" s="7" t="s">
        <v>98</v>
      </c>
    </row>
    <row r="362" spans="1:5" x14ac:dyDescent="0.25">
      <c r="A362" s="4" t="s">
        <v>624</v>
      </c>
      <c r="B362" s="5" t="s">
        <v>623</v>
      </c>
      <c r="C362" s="6" t="s">
        <v>23</v>
      </c>
      <c r="D362" s="6" t="s">
        <v>24</v>
      </c>
      <c r="E362" s="7" t="s">
        <v>4448</v>
      </c>
    </row>
    <row r="363" spans="1:5" x14ac:dyDescent="0.25">
      <c r="A363" s="4" t="s">
        <v>626</v>
      </c>
      <c r="B363" s="5" t="s">
        <v>625</v>
      </c>
      <c r="C363" s="6" t="s">
        <v>23</v>
      </c>
      <c r="D363" s="6" t="s">
        <v>24</v>
      </c>
      <c r="E363" s="7" t="s">
        <v>4449</v>
      </c>
    </row>
    <row r="364" spans="1:5" x14ac:dyDescent="0.25">
      <c r="A364" s="4" t="s">
        <v>628</v>
      </c>
      <c r="B364" s="5" t="s">
        <v>627</v>
      </c>
      <c r="C364" s="6" t="s">
        <v>23</v>
      </c>
      <c r="D364" s="6" t="s">
        <v>24</v>
      </c>
      <c r="E364" s="7" t="s">
        <v>4450</v>
      </c>
    </row>
    <row r="365" spans="1:5" x14ac:dyDescent="0.25">
      <c r="A365" s="4" t="s">
        <v>630</v>
      </c>
      <c r="B365" s="5" t="s">
        <v>629</v>
      </c>
      <c r="C365" s="6" t="s">
        <v>23</v>
      </c>
      <c r="D365" s="6" t="s">
        <v>24</v>
      </c>
      <c r="E365" s="7" t="s">
        <v>4454</v>
      </c>
    </row>
    <row r="366" spans="1:5" x14ac:dyDescent="0.25">
      <c r="A366" s="4" t="s">
        <v>632</v>
      </c>
      <c r="B366" s="5" t="s">
        <v>631</v>
      </c>
      <c r="C366" s="6" t="s">
        <v>23</v>
      </c>
      <c r="D366" s="6" t="s">
        <v>24</v>
      </c>
      <c r="E366" s="7" t="s">
        <v>4447</v>
      </c>
    </row>
    <row r="367" spans="1:5" x14ac:dyDescent="0.25">
      <c r="A367" s="4" t="s">
        <v>634</v>
      </c>
      <c r="B367" s="5" t="s">
        <v>633</v>
      </c>
      <c r="C367" s="6" t="s">
        <v>23</v>
      </c>
      <c r="D367" s="6" t="s">
        <v>24</v>
      </c>
      <c r="E367" s="7" t="s">
        <v>4448</v>
      </c>
    </row>
    <row r="368" spans="1:5" x14ac:dyDescent="0.25">
      <c r="A368" s="4" t="s">
        <v>636</v>
      </c>
      <c r="B368" s="5" t="s">
        <v>635</v>
      </c>
      <c r="C368" s="6" t="s">
        <v>23</v>
      </c>
      <c r="D368" s="6" t="s">
        <v>24</v>
      </c>
      <c r="E368" s="7" t="s">
        <v>4446</v>
      </c>
    </row>
    <row r="369" spans="1:5" x14ac:dyDescent="0.25">
      <c r="A369" s="4" t="s">
        <v>638</v>
      </c>
      <c r="B369" s="5" t="s">
        <v>637</v>
      </c>
      <c r="C369" s="6" t="s">
        <v>23</v>
      </c>
      <c r="D369" s="6" t="s">
        <v>24</v>
      </c>
      <c r="E369" s="7" t="s">
        <v>4447</v>
      </c>
    </row>
    <row r="370" spans="1:5" x14ac:dyDescent="0.25">
      <c r="A370" s="4" t="s">
        <v>640</v>
      </c>
      <c r="B370" s="5" t="s">
        <v>639</v>
      </c>
      <c r="C370" s="6" t="s">
        <v>23</v>
      </c>
      <c r="D370" s="6" t="s">
        <v>63</v>
      </c>
      <c r="E370" s="7" t="s">
        <v>98</v>
      </c>
    </row>
    <row r="371" spans="1:5" x14ac:dyDescent="0.25">
      <c r="A371" s="4" t="s">
        <v>642</v>
      </c>
      <c r="B371" s="5" t="s">
        <v>641</v>
      </c>
      <c r="C371" s="6" t="s">
        <v>23</v>
      </c>
      <c r="D371" s="6" t="s">
        <v>63</v>
      </c>
      <c r="E371" s="7" t="s">
        <v>98</v>
      </c>
    </row>
    <row r="372" spans="1:5" x14ac:dyDescent="0.25">
      <c r="A372" s="4" t="s">
        <v>644</v>
      </c>
      <c r="B372" s="5" t="s">
        <v>643</v>
      </c>
      <c r="C372" s="6" t="s">
        <v>23</v>
      </c>
      <c r="D372" s="6" t="s">
        <v>63</v>
      </c>
      <c r="E372" s="7" t="s">
        <v>98</v>
      </c>
    </row>
    <row r="373" spans="1:5" x14ac:dyDescent="0.25">
      <c r="A373" s="4" t="s">
        <v>3288</v>
      </c>
      <c r="B373" s="5" t="s">
        <v>4058</v>
      </c>
      <c r="C373" s="6" t="s">
        <v>23</v>
      </c>
      <c r="D373" s="6" t="s">
        <v>4445</v>
      </c>
      <c r="E373" s="7" t="s">
        <v>4443</v>
      </c>
    </row>
    <row r="374" spans="1:5" x14ac:dyDescent="0.25">
      <c r="A374" s="4" t="s">
        <v>3295</v>
      </c>
      <c r="B374" s="5" t="s">
        <v>4065</v>
      </c>
      <c r="C374" s="6" t="s">
        <v>23</v>
      </c>
      <c r="D374" s="6" t="s">
        <v>4445</v>
      </c>
      <c r="E374" s="7" t="s">
        <v>4443</v>
      </c>
    </row>
    <row r="375" spans="1:5" x14ac:dyDescent="0.25">
      <c r="A375" s="11" t="s">
        <v>646</v>
      </c>
      <c r="B375" s="5" t="s">
        <v>645</v>
      </c>
      <c r="C375" s="12" t="s">
        <v>23</v>
      </c>
      <c r="D375" s="12" t="s">
        <v>63</v>
      </c>
      <c r="E375" s="7" t="s">
        <v>98</v>
      </c>
    </row>
    <row r="376" spans="1:5" x14ac:dyDescent="0.25">
      <c r="A376" s="4" t="s">
        <v>648</v>
      </c>
      <c r="B376" s="5" t="s">
        <v>647</v>
      </c>
      <c r="C376" s="6" t="s">
        <v>23</v>
      </c>
      <c r="D376" s="6" t="s">
        <v>63</v>
      </c>
      <c r="E376" s="7" t="s">
        <v>64</v>
      </c>
    </row>
    <row r="377" spans="1:5" x14ac:dyDescent="0.25">
      <c r="A377" s="11" t="s">
        <v>650</v>
      </c>
      <c r="B377" s="5" t="s">
        <v>649</v>
      </c>
      <c r="C377" s="12" t="s">
        <v>23</v>
      </c>
      <c r="D377" s="12" t="s">
        <v>24</v>
      </c>
      <c r="E377" s="7" t="s">
        <v>4446</v>
      </c>
    </row>
    <row r="378" spans="1:5" x14ac:dyDescent="0.25">
      <c r="A378" s="4" t="s">
        <v>652</v>
      </c>
      <c r="B378" s="5" t="s">
        <v>651</v>
      </c>
      <c r="C378" s="6" t="s">
        <v>23</v>
      </c>
      <c r="D378" s="6" t="s">
        <v>63</v>
      </c>
      <c r="E378" s="7" t="s">
        <v>98</v>
      </c>
    </row>
    <row r="379" spans="1:5" x14ac:dyDescent="0.25">
      <c r="A379" s="4" t="s">
        <v>654</v>
      </c>
      <c r="B379" s="5" t="s">
        <v>653</v>
      </c>
      <c r="C379" s="6" t="s">
        <v>23</v>
      </c>
      <c r="D379" s="6" t="s">
        <v>320</v>
      </c>
      <c r="E379" s="7" t="s">
        <v>4444</v>
      </c>
    </row>
    <row r="380" spans="1:5" x14ac:dyDescent="0.25">
      <c r="A380" s="4" t="s">
        <v>656</v>
      </c>
      <c r="B380" s="5" t="s">
        <v>655</v>
      </c>
      <c r="C380" s="6" t="s">
        <v>23</v>
      </c>
      <c r="D380" s="6" t="s">
        <v>63</v>
      </c>
      <c r="E380" s="7" t="s">
        <v>4461</v>
      </c>
    </row>
    <row r="381" spans="1:5" x14ac:dyDescent="0.25">
      <c r="A381" s="4" t="s">
        <v>658</v>
      </c>
      <c r="B381" s="5" t="s">
        <v>657</v>
      </c>
      <c r="C381" s="6" t="s">
        <v>23</v>
      </c>
      <c r="D381" s="6" t="s">
        <v>63</v>
      </c>
      <c r="E381" s="7" t="s">
        <v>4462</v>
      </c>
    </row>
    <row r="382" spans="1:5" x14ac:dyDescent="0.25">
      <c r="A382" s="4" t="s">
        <v>660</v>
      </c>
      <c r="B382" s="5" t="s">
        <v>659</v>
      </c>
      <c r="C382" s="6" t="s">
        <v>23</v>
      </c>
      <c r="D382" s="6" t="s">
        <v>63</v>
      </c>
      <c r="E382" s="7" t="s">
        <v>4461</v>
      </c>
    </row>
    <row r="383" spans="1:5" x14ac:dyDescent="0.25">
      <c r="A383" s="4" t="s">
        <v>3595</v>
      </c>
      <c r="B383" s="5" t="s">
        <v>4372</v>
      </c>
      <c r="C383" s="6" t="s">
        <v>23</v>
      </c>
      <c r="D383" s="6" t="s">
        <v>4463</v>
      </c>
      <c r="E383" s="7" t="s">
        <v>4444</v>
      </c>
    </row>
    <row r="384" spans="1:5" x14ac:dyDescent="0.25">
      <c r="A384" s="4" t="s">
        <v>3614</v>
      </c>
      <c r="B384" s="5" t="s">
        <v>4391</v>
      </c>
      <c r="C384" s="6" t="s">
        <v>23</v>
      </c>
      <c r="D384" s="6" t="s">
        <v>4463</v>
      </c>
      <c r="E384" s="7" t="s">
        <v>4450</v>
      </c>
    </row>
    <row r="385" spans="1:5" x14ac:dyDescent="0.25">
      <c r="A385" s="4" t="s">
        <v>3616</v>
      </c>
      <c r="B385" s="5" t="s">
        <v>4393</v>
      </c>
      <c r="C385" s="6" t="s">
        <v>23</v>
      </c>
      <c r="D385" s="6" t="s">
        <v>4463</v>
      </c>
      <c r="E385" s="7" t="s">
        <v>4451</v>
      </c>
    </row>
    <row r="386" spans="1:5" x14ac:dyDescent="0.25">
      <c r="A386" s="4" t="s">
        <v>3615</v>
      </c>
      <c r="B386" s="5" t="s">
        <v>4392</v>
      </c>
      <c r="C386" s="6" t="s">
        <v>23</v>
      </c>
      <c r="D386" s="6" t="s">
        <v>4463</v>
      </c>
      <c r="E386" s="7" t="s">
        <v>4454</v>
      </c>
    </row>
    <row r="387" spans="1:5" x14ac:dyDescent="0.25">
      <c r="A387" s="4" t="s">
        <v>670</v>
      </c>
      <c r="B387" s="5" t="s">
        <v>4411</v>
      </c>
      <c r="C387" s="6" t="s">
        <v>23</v>
      </c>
      <c r="D387" s="6" t="s">
        <v>4463</v>
      </c>
      <c r="E387" s="7" t="s">
        <v>4443</v>
      </c>
    </row>
    <row r="388" spans="1:5" x14ac:dyDescent="0.25">
      <c r="A388" s="4" t="s">
        <v>3656</v>
      </c>
      <c r="B388" s="5" t="s">
        <v>4433</v>
      </c>
      <c r="C388" s="6" t="s">
        <v>23</v>
      </c>
      <c r="D388" s="6" t="s">
        <v>4463</v>
      </c>
      <c r="E388" s="7" t="s">
        <v>4443</v>
      </c>
    </row>
    <row r="389" spans="1:5" x14ac:dyDescent="0.25">
      <c r="A389" s="4" t="s">
        <v>3657</v>
      </c>
      <c r="B389" s="5" t="s">
        <v>4434</v>
      </c>
      <c r="C389" s="6" t="s">
        <v>23</v>
      </c>
      <c r="D389" s="6" t="s">
        <v>4463</v>
      </c>
      <c r="E389" s="7" t="s">
        <v>4443</v>
      </c>
    </row>
    <row r="390" spans="1:5" x14ac:dyDescent="0.25">
      <c r="A390" s="4" t="s">
        <v>3658</v>
      </c>
      <c r="B390" s="5" t="s">
        <v>4435</v>
      </c>
      <c r="C390" s="6" t="s">
        <v>23</v>
      </c>
      <c r="D390" s="6" t="s">
        <v>4463</v>
      </c>
      <c r="E390" s="7" t="s">
        <v>4443</v>
      </c>
    </row>
    <row r="391" spans="1:5" x14ac:dyDescent="0.25">
      <c r="A391" s="4" t="s">
        <v>3635</v>
      </c>
      <c r="B391" s="5" t="s">
        <v>4412</v>
      </c>
      <c r="C391" s="6" t="s">
        <v>23</v>
      </c>
      <c r="D391" s="6" t="s">
        <v>4463</v>
      </c>
      <c r="E391" s="7" t="s">
        <v>4443</v>
      </c>
    </row>
    <row r="392" spans="1:5" x14ac:dyDescent="0.25">
      <c r="A392" s="4" t="s">
        <v>3659</v>
      </c>
      <c r="B392" s="5" t="s">
        <v>4436</v>
      </c>
      <c r="C392" s="6" t="s">
        <v>23</v>
      </c>
      <c r="D392" s="6" t="s">
        <v>4463</v>
      </c>
      <c r="E392" s="7" t="s">
        <v>4443</v>
      </c>
    </row>
    <row r="393" spans="1:5" x14ac:dyDescent="0.25">
      <c r="A393" s="4" t="s">
        <v>3660</v>
      </c>
      <c r="B393" s="5" t="s">
        <v>4437</v>
      </c>
      <c r="C393" s="6" t="s">
        <v>23</v>
      </c>
      <c r="D393" s="6" t="s">
        <v>4463</v>
      </c>
      <c r="E393" s="7" t="s">
        <v>4443</v>
      </c>
    </row>
    <row r="394" spans="1:5" x14ac:dyDescent="0.25">
      <c r="A394" s="4" t="s">
        <v>3661</v>
      </c>
      <c r="B394" s="5" t="s">
        <v>4438</v>
      </c>
      <c r="C394" s="6" t="s">
        <v>23</v>
      </c>
      <c r="D394" s="6" t="s">
        <v>4463</v>
      </c>
      <c r="E394" s="7" t="s">
        <v>4443</v>
      </c>
    </row>
    <row r="395" spans="1:5" x14ac:dyDescent="0.25">
      <c r="A395" s="4" t="s">
        <v>662</v>
      </c>
      <c r="B395" s="5" t="s">
        <v>661</v>
      </c>
      <c r="C395" s="6" t="s">
        <v>23</v>
      </c>
      <c r="D395" s="6" t="s">
        <v>320</v>
      </c>
      <c r="E395" s="7" t="s">
        <v>4444</v>
      </c>
    </row>
    <row r="396" spans="1:5" x14ac:dyDescent="0.25">
      <c r="A396" s="4" t="s">
        <v>664</v>
      </c>
      <c r="B396" s="5" t="s">
        <v>663</v>
      </c>
      <c r="C396" s="6" t="s">
        <v>23</v>
      </c>
      <c r="D396" s="6" t="s">
        <v>63</v>
      </c>
      <c r="E396" s="7" t="s">
        <v>98</v>
      </c>
    </row>
    <row r="397" spans="1:5" x14ac:dyDescent="0.25">
      <c r="A397" s="4" t="s">
        <v>666</v>
      </c>
      <c r="B397" s="5" t="s">
        <v>665</v>
      </c>
      <c r="C397" s="6" t="s">
        <v>23</v>
      </c>
      <c r="D397" s="6" t="s">
        <v>63</v>
      </c>
      <c r="E397" s="7" t="s">
        <v>64</v>
      </c>
    </row>
    <row r="398" spans="1:5" x14ac:dyDescent="0.25">
      <c r="A398" s="4" t="s">
        <v>668</v>
      </c>
      <c r="B398" s="5" t="s">
        <v>667</v>
      </c>
      <c r="C398" s="6" t="s">
        <v>23</v>
      </c>
      <c r="D398" s="6" t="s">
        <v>63</v>
      </c>
      <c r="E398" s="7" t="s">
        <v>67</v>
      </c>
    </row>
    <row r="399" spans="1:5" x14ac:dyDescent="0.25">
      <c r="A399" s="4" t="s">
        <v>3637</v>
      </c>
      <c r="B399" s="5" t="s">
        <v>4414</v>
      </c>
      <c r="C399" s="6" t="s">
        <v>23</v>
      </c>
      <c r="D399" s="6" t="s">
        <v>4463</v>
      </c>
      <c r="E399" s="7" t="s">
        <v>4444</v>
      </c>
    </row>
    <row r="400" spans="1:5" x14ac:dyDescent="0.25">
      <c r="A400" s="4" t="s">
        <v>3662</v>
      </c>
      <c r="B400" s="5" t="s">
        <v>4439</v>
      </c>
      <c r="C400" s="6" t="s">
        <v>23</v>
      </c>
      <c r="D400" s="6" t="s">
        <v>4463</v>
      </c>
      <c r="E400" s="7" t="s">
        <v>4443</v>
      </c>
    </row>
    <row r="401" spans="1:5" x14ac:dyDescent="0.25">
      <c r="A401" s="4" t="s">
        <v>3663</v>
      </c>
      <c r="B401" s="5" t="s">
        <v>4440</v>
      </c>
      <c r="C401" s="6" t="s">
        <v>23</v>
      </c>
      <c r="D401" s="6" t="s">
        <v>4463</v>
      </c>
      <c r="E401" s="7" t="s">
        <v>4443</v>
      </c>
    </row>
    <row r="402" spans="1:5" x14ac:dyDescent="0.25">
      <c r="A402" s="4" t="s">
        <v>3664</v>
      </c>
      <c r="B402" s="5" t="s">
        <v>4441</v>
      </c>
      <c r="C402" s="6" t="s">
        <v>23</v>
      </c>
      <c r="D402" s="6" t="s">
        <v>4463</v>
      </c>
      <c r="E402" s="7" t="s">
        <v>4443</v>
      </c>
    </row>
    <row r="403" spans="1:5" x14ac:dyDescent="0.25">
      <c r="A403" s="4" t="s">
        <v>3665</v>
      </c>
      <c r="B403" s="5" t="s">
        <v>4442</v>
      </c>
      <c r="C403" s="6" t="s">
        <v>23</v>
      </c>
      <c r="D403" s="6" t="s">
        <v>4463</v>
      </c>
      <c r="E403" s="7" t="s">
        <v>4443</v>
      </c>
    </row>
    <row r="404" spans="1:5" x14ac:dyDescent="0.25">
      <c r="A404" s="4" t="s">
        <v>2905</v>
      </c>
      <c r="B404" s="5" t="s">
        <v>669</v>
      </c>
      <c r="C404" s="6" t="s">
        <v>23</v>
      </c>
      <c r="D404" s="6" t="s">
        <v>320</v>
      </c>
      <c r="E404" s="7" t="s">
        <v>4444</v>
      </c>
    </row>
    <row r="405" spans="1:5" x14ac:dyDescent="0.25">
      <c r="A405" s="11" t="s">
        <v>672</v>
      </c>
      <c r="B405" s="5" t="s">
        <v>671</v>
      </c>
      <c r="C405" s="12" t="s">
        <v>23</v>
      </c>
      <c r="D405" s="12" t="s">
        <v>63</v>
      </c>
      <c r="E405" s="7" t="s">
        <v>98</v>
      </c>
    </row>
    <row r="406" spans="1:5" x14ac:dyDescent="0.25">
      <c r="A406" s="4" t="s">
        <v>674</v>
      </c>
      <c r="B406" s="5" t="s">
        <v>673</v>
      </c>
      <c r="C406" s="6" t="s">
        <v>23</v>
      </c>
      <c r="D406" s="6" t="s">
        <v>63</v>
      </c>
      <c r="E406" s="7" t="s">
        <v>67</v>
      </c>
    </row>
    <row r="407" spans="1:5" x14ac:dyDescent="0.25">
      <c r="A407" s="4" t="s">
        <v>676</v>
      </c>
      <c r="B407" s="5" t="s">
        <v>675</v>
      </c>
      <c r="C407" s="6" t="s">
        <v>23</v>
      </c>
      <c r="D407" s="6" t="s">
        <v>24</v>
      </c>
      <c r="E407" s="7" t="s">
        <v>4446</v>
      </c>
    </row>
    <row r="408" spans="1:5" x14ac:dyDescent="0.25">
      <c r="A408" s="4" t="s">
        <v>678</v>
      </c>
      <c r="B408" s="5" t="s">
        <v>677</v>
      </c>
      <c r="C408" s="6" t="s">
        <v>23</v>
      </c>
      <c r="D408" s="6" t="s">
        <v>24</v>
      </c>
      <c r="E408" s="7" t="s">
        <v>4447</v>
      </c>
    </row>
    <row r="409" spans="1:5" x14ac:dyDescent="0.25">
      <c r="A409" s="4" t="s">
        <v>680</v>
      </c>
      <c r="B409" s="5" t="s">
        <v>679</v>
      </c>
      <c r="C409" s="6" t="s">
        <v>23</v>
      </c>
      <c r="D409" s="6" t="s">
        <v>24</v>
      </c>
      <c r="E409" s="7" t="s">
        <v>4448</v>
      </c>
    </row>
    <row r="410" spans="1:5" x14ac:dyDescent="0.25">
      <c r="A410" s="4" t="s">
        <v>682</v>
      </c>
      <c r="B410" s="5" t="s">
        <v>681</v>
      </c>
      <c r="C410" s="6" t="s">
        <v>23</v>
      </c>
      <c r="D410" s="6" t="s">
        <v>24</v>
      </c>
      <c r="E410" s="7" t="s">
        <v>4447</v>
      </c>
    </row>
    <row r="411" spans="1:5" x14ac:dyDescent="0.25">
      <c r="A411" s="4" t="s">
        <v>684</v>
      </c>
      <c r="B411" s="5" t="s">
        <v>683</v>
      </c>
      <c r="C411" s="6" t="s">
        <v>23</v>
      </c>
      <c r="D411" s="6" t="s">
        <v>24</v>
      </c>
      <c r="E411" s="7" t="s">
        <v>4448</v>
      </c>
    </row>
    <row r="412" spans="1:5" x14ac:dyDescent="0.25">
      <c r="A412" s="4" t="s">
        <v>686</v>
      </c>
      <c r="B412" s="5" t="s">
        <v>685</v>
      </c>
      <c r="C412" s="6" t="s">
        <v>23</v>
      </c>
      <c r="D412" s="6" t="s">
        <v>24</v>
      </c>
      <c r="E412" s="7" t="s">
        <v>4450</v>
      </c>
    </row>
    <row r="413" spans="1:5" x14ac:dyDescent="0.25">
      <c r="A413" s="4" t="s">
        <v>3598</v>
      </c>
      <c r="B413" s="5" t="s">
        <v>4375</v>
      </c>
      <c r="C413" s="6" t="s">
        <v>23</v>
      </c>
      <c r="D413" s="6" t="s">
        <v>4463</v>
      </c>
      <c r="E413" s="7" t="s">
        <v>4443</v>
      </c>
    </row>
    <row r="414" spans="1:5" x14ac:dyDescent="0.25">
      <c r="A414" s="4" t="s">
        <v>3597</v>
      </c>
      <c r="B414" s="5" t="s">
        <v>4374</v>
      </c>
      <c r="C414" s="6" t="s">
        <v>23</v>
      </c>
      <c r="D414" s="6" t="s">
        <v>4463</v>
      </c>
      <c r="E414" s="7" t="s">
        <v>4443</v>
      </c>
    </row>
    <row r="415" spans="1:5" x14ac:dyDescent="0.25">
      <c r="A415" s="4" t="s">
        <v>3596</v>
      </c>
      <c r="B415" s="5" t="s">
        <v>4373</v>
      </c>
      <c r="C415" s="6" t="s">
        <v>23</v>
      </c>
      <c r="D415" s="6" t="s">
        <v>4463</v>
      </c>
      <c r="E415" s="7" t="s">
        <v>4443</v>
      </c>
    </row>
    <row r="416" spans="1:5" x14ac:dyDescent="0.25">
      <c r="A416" s="4" t="s">
        <v>688</v>
      </c>
      <c r="B416" s="5" t="s">
        <v>687</v>
      </c>
      <c r="C416" s="6" t="s">
        <v>23</v>
      </c>
      <c r="D416" s="6" t="s">
        <v>320</v>
      </c>
      <c r="E416" s="7" t="s">
        <v>4444</v>
      </c>
    </row>
    <row r="417" spans="1:5" x14ac:dyDescent="0.25">
      <c r="A417" s="4" t="s">
        <v>690</v>
      </c>
      <c r="B417" s="5" t="s">
        <v>689</v>
      </c>
      <c r="C417" s="6" t="s">
        <v>23</v>
      </c>
      <c r="D417" s="6" t="s">
        <v>63</v>
      </c>
      <c r="E417" s="7" t="s">
        <v>98</v>
      </c>
    </row>
    <row r="418" spans="1:5" x14ac:dyDescent="0.25">
      <c r="A418" s="4" t="s">
        <v>692</v>
      </c>
      <c r="B418" s="5" t="s">
        <v>691</v>
      </c>
      <c r="C418" s="6" t="s">
        <v>23</v>
      </c>
      <c r="D418" s="6" t="s">
        <v>63</v>
      </c>
      <c r="E418" s="7" t="s">
        <v>67</v>
      </c>
    </row>
    <row r="419" spans="1:5" x14ac:dyDescent="0.25">
      <c r="A419" s="4" t="s">
        <v>694</v>
      </c>
      <c r="B419" s="5" t="s">
        <v>693</v>
      </c>
      <c r="C419" s="6" t="s">
        <v>23</v>
      </c>
      <c r="D419" s="6" t="s">
        <v>24</v>
      </c>
      <c r="E419" s="7" t="s">
        <v>4446</v>
      </c>
    </row>
    <row r="420" spans="1:5" x14ac:dyDescent="0.25">
      <c r="A420" s="4" t="s">
        <v>696</v>
      </c>
      <c r="B420" s="5" t="s">
        <v>695</v>
      </c>
      <c r="C420" s="6" t="s">
        <v>23</v>
      </c>
      <c r="D420" s="6" t="s">
        <v>24</v>
      </c>
      <c r="E420" s="7" t="s">
        <v>4447</v>
      </c>
    </row>
    <row r="421" spans="1:5" x14ac:dyDescent="0.25">
      <c r="A421" s="4" t="s">
        <v>698</v>
      </c>
      <c r="B421" s="5" t="s">
        <v>697</v>
      </c>
      <c r="C421" s="6" t="s">
        <v>23</v>
      </c>
      <c r="D421" s="6" t="s">
        <v>24</v>
      </c>
      <c r="E421" s="7" t="s">
        <v>4448</v>
      </c>
    </row>
    <row r="422" spans="1:5" x14ac:dyDescent="0.25">
      <c r="A422" s="4" t="s">
        <v>700</v>
      </c>
      <c r="B422" s="5" t="s">
        <v>699</v>
      </c>
      <c r="C422" s="6" t="s">
        <v>23</v>
      </c>
      <c r="D422" s="6" t="s">
        <v>24</v>
      </c>
      <c r="E422" s="7" t="s">
        <v>4450</v>
      </c>
    </row>
    <row r="423" spans="1:5" x14ac:dyDescent="0.25">
      <c r="A423" s="4" t="s">
        <v>702</v>
      </c>
      <c r="B423" s="5" t="s">
        <v>701</v>
      </c>
      <c r="C423" s="6" t="s">
        <v>23</v>
      </c>
      <c r="D423" s="6" t="s">
        <v>24</v>
      </c>
      <c r="E423" s="7" t="s">
        <v>4451</v>
      </c>
    </row>
    <row r="424" spans="1:5" x14ac:dyDescent="0.25">
      <c r="A424" s="4" t="s">
        <v>704</v>
      </c>
      <c r="B424" s="5" t="s">
        <v>703</v>
      </c>
      <c r="C424" s="6" t="s">
        <v>23</v>
      </c>
      <c r="D424" s="6" t="s">
        <v>24</v>
      </c>
      <c r="E424" s="7" t="s">
        <v>4453</v>
      </c>
    </row>
    <row r="425" spans="1:5" x14ac:dyDescent="0.25">
      <c r="A425" s="4" t="s">
        <v>706</v>
      </c>
      <c r="B425" s="5" t="s">
        <v>705</v>
      </c>
      <c r="C425" s="6" t="s">
        <v>23</v>
      </c>
      <c r="D425" s="6" t="s">
        <v>63</v>
      </c>
      <c r="E425" s="7" t="s">
        <v>98</v>
      </c>
    </row>
    <row r="426" spans="1:5" x14ac:dyDescent="0.25">
      <c r="A426" s="4" t="s">
        <v>706</v>
      </c>
      <c r="B426" s="5" t="s">
        <v>4075</v>
      </c>
      <c r="C426" s="6" t="s">
        <v>23</v>
      </c>
      <c r="D426" s="6" t="s">
        <v>63</v>
      </c>
      <c r="E426" s="7" t="s">
        <v>98</v>
      </c>
    </row>
    <row r="427" spans="1:5" x14ac:dyDescent="0.25">
      <c r="A427" s="4" t="s">
        <v>708</v>
      </c>
      <c r="B427" s="5" t="s">
        <v>707</v>
      </c>
      <c r="C427" s="6" t="s">
        <v>23</v>
      </c>
      <c r="D427" s="6" t="s">
        <v>63</v>
      </c>
      <c r="E427" s="7" t="s">
        <v>98</v>
      </c>
    </row>
    <row r="428" spans="1:5" x14ac:dyDescent="0.25">
      <c r="A428" s="4" t="s">
        <v>3555</v>
      </c>
      <c r="B428" s="5" t="s">
        <v>4330</v>
      </c>
      <c r="C428" s="6" t="s">
        <v>23</v>
      </c>
      <c r="D428" s="6" t="s">
        <v>4445</v>
      </c>
      <c r="E428" s="7" t="s">
        <v>4443</v>
      </c>
    </row>
    <row r="429" spans="1:5" x14ac:dyDescent="0.25">
      <c r="A429" s="4" t="s">
        <v>710</v>
      </c>
      <c r="B429" s="5" t="s">
        <v>709</v>
      </c>
      <c r="C429" s="6" t="s">
        <v>23</v>
      </c>
      <c r="D429" s="6" t="s">
        <v>63</v>
      </c>
      <c r="E429" s="7" t="s">
        <v>98</v>
      </c>
    </row>
    <row r="430" spans="1:5" x14ac:dyDescent="0.25">
      <c r="A430" s="4" t="s">
        <v>4511</v>
      </c>
      <c r="B430" s="5" t="s">
        <v>4512</v>
      </c>
      <c r="C430" s="6" t="s">
        <v>23</v>
      </c>
      <c r="D430" s="6" t="s">
        <v>24</v>
      </c>
      <c r="E430" s="7" t="s">
        <v>4448</v>
      </c>
    </row>
    <row r="431" spans="1:5" x14ac:dyDescent="0.25">
      <c r="A431" s="4" t="s">
        <v>712</v>
      </c>
      <c r="B431" s="5" t="s">
        <v>711</v>
      </c>
      <c r="C431" s="6" t="s">
        <v>23</v>
      </c>
      <c r="D431" s="6" t="s">
        <v>63</v>
      </c>
      <c r="E431" s="7" t="s">
        <v>86</v>
      </c>
    </row>
    <row r="432" spans="1:5" x14ac:dyDescent="0.25">
      <c r="A432" s="4" t="s">
        <v>714</v>
      </c>
      <c r="B432" s="5" t="s">
        <v>713</v>
      </c>
      <c r="C432" s="6" t="s">
        <v>23</v>
      </c>
      <c r="D432" s="6" t="s">
        <v>63</v>
      </c>
      <c r="E432" s="7" t="s">
        <v>89</v>
      </c>
    </row>
    <row r="433" spans="1:5" x14ac:dyDescent="0.25">
      <c r="A433" s="4" t="s">
        <v>716</v>
      </c>
      <c r="B433" s="5" t="s">
        <v>715</v>
      </c>
      <c r="C433" s="6" t="s">
        <v>23</v>
      </c>
      <c r="D433" s="6" t="s">
        <v>63</v>
      </c>
      <c r="E433" s="7" t="s">
        <v>92</v>
      </c>
    </row>
    <row r="434" spans="1:5" x14ac:dyDescent="0.25">
      <c r="A434" s="4" t="s">
        <v>718</v>
      </c>
      <c r="B434" s="5" t="s">
        <v>717</v>
      </c>
      <c r="C434" s="6" t="s">
        <v>23</v>
      </c>
      <c r="D434" s="6" t="s">
        <v>63</v>
      </c>
      <c r="E434" s="7" t="s">
        <v>67</v>
      </c>
    </row>
    <row r="435" spans="1:5" x14ac:dyDescent="0.25">
      <c r="A435" s="4" t="s">
        <v>720</v>
      </c>
      <c r="B435" s="5" t="s">
        <v>719</v>
      </c>
      <c r="C435" s="6" t="s">
        <v>23</v>
      </c>
      <c r="D435" s="6" t="s">
        <v>63</v>
      </c>
      <c r="E435" s="7" t="s">
        <v>287</v>
      </c>
    </row>
    <row r="436" spans="1:5" x14ac:dyDescent="0.25">
      <c r="A436" s="4" t="s">
        <v>722</v>
      </c>
      <c r="B436" s="5" t="s">
        <v>721</v>
      </c>
      <c r="C436" s="6" t="s">
        <v>23</v>
      </c>
      <c r="D436" s="6" t="s">
        <v>63</v>
      </c>
      <c r="E436" s="7" t="s">
        <v>425</v>
      </c>
    </row>
    <row r="437" spans="1:5" x14ac:dyDescent="0.25">
      <c r="A437" s="4" t="s">
        <v>724</v>
      </c>
      <c r="B437" s="5" t="s">
        <v>723</v>
      </c>
      <c r="C437" s="6" t="s">
        <v>23</v>
      </c>
      <c r="D437" s="6" t="s">
        <v>63</v>
      </c>
      <c r="E437" s="7" t="s">
        <v>92</v>
      </c>
    </row>
    <row r="438" spans="1:5" x14ac:dyDescent="0.25">
      <c r="A438" s="4" t="s">
        <v>726</v>
      </c>
      <c r="B438" s="5" t="s">
        <v>725</v>
      </c>
      <c r="C438" s="6" t="s">
        <v>23</v>
      </c>
      <c r="D438" s="6" t="s">
        <v>63</v>
      </c>
      <c r="E438" s="7" t="s">
        <v>4458</v>
      </c>
    </row>
    <row r="439" spans="1:5" x14ac:dyDescent="0.25">
      <c r="A439" s="4" t="s">
        <v>728</v>
      </c>
      <c r="B439" s="5" t="s">
        <v>727</v>
      </c>
      <c r="C439" s="6" t="s">
        <v>23</v>
      </c>
      <c r="D439" s="6" t="s">
        <v>63</v>
      </c>
      <c r="E439" s="7" t="s">
        <v>4461</v>
      </c>
    </row>
    <row r="440" spans="1:5" x14ac:dyDescent="0.25">
      <c r="A440" s="4" t="s">
        <v>730</v>
      </c>
      <c r="B440" s="5" t="s">
        <v>729</v>
      </c>
      <c r="C440" s="6" t="s">
        <v>23</v>
      </c>
      <c r="D440" s="6" t="s">
        <v>63</v>
      </c>
      <c r="E440" s="7" t="s">
        <v>4460</v>
      </c>
    </row>
    <row r="441" spans="1:5" x14ac:dyDescent="0.25">
      <c r="A441" s="4" t="s">
        <v>732</v>
      </c>
      <c r="B441" s="5" t="s">
        <v>731</v>
      </c>
      <c r="C441" s="6" t="s">
        <v>23</v>
      </c>
      <c r="D441" s="6" t="s">
        <v>63</v>
      </c>
      <c r="E441" s="7" t="s">
        <v>572</v>
      </c>
    </row>
    <row r="442" spans="1:5" x14ac:dyDescent="0.25">
      <c r="A442" s="4" t="s">
        <v>734</v>
      </c>
      <c r="B442" s="5" t="s">
        <v>733</v>
      </c>
      <c r="C442" s="6" t="s">
        <v>23</v>
      </c>
      <c r="D442" s="6" t="s">
        <v>63</v>
      </c>
      <c r="E442" s="7" t="s">
        <v>95</v>
      </c>
    </row>
    <row r="443" spans="1:5" x14ac:dyDescent="0.25">
      <c r="A443" s="4" t="s">
        <v>3342</v>
      </c>
      <c r="B443" s="5" t="s">
        <v>4112</v>
      </c>
      <c r="C443" s="6" t="s">
        <v>23</v>
      </c>
      <c r="D443" s="6" t="s">
        <v>4445</v>
      </c>
      <c r="E443" s="7" t="s">
        <v>4443</v>
      </c>
    </row>
    <row r="444" spans="1:5" x14ac:dyDescent="0.25">
      <c r="A444" s="11" t="s">
        <v>3115</v>
      </c>
      <c r="B444" s="5" t="s">
        <v>3885</v>
      </c>
      <c r="C444" s="12" t="s">
        <v>23</v>
      </c>
      <c r="D444" s="12" t="s">
        <v>4445</v>
      </c>
      <c r="E444" s="7" t="s">
        <v>4443</v>
      </c>
    </row>
    <row r="445" spans="1:5" x14ac:dyDescent="0.25">
      <c r="A445" s="4" t="s">
        <v>3116</v>
      </c>
      <c r="B445" s="5" t="s">
        <v>3886</v>
      </c>
      <c r="C445" s="6" t="s">
        <v>23</v>
      </c>
      <c r="D445" s="6" t="s">
        <v>4445</v>
      </c>
      <c r="E445" s="7" t="s">
        <v>4443</v>
      </c>
    </row>
    <row r="446" spans="1:5" x14ac:dyDescent="0.25">
      <c r="A446" s="4" t="s">
        <v>3117</v>
      </c>
      <c r="B446" s="5" t="s">
        <v>3887</v>
      </c>
      <c r="C446" s="6" t="s">
        <v>23</v>
      </c>
      <c r="D446" s="6" t="s">
        <v>4445</v>
      </c>
      <c r="E446" s="7" t="s">
        <v>4443</v>
      </c>
    </row>
    <row r="447" spans="1:5" x14ac:dyDescent="0.25">
      <c r="A447" s="11" t="s">
        <v>3118</v>
      </c>
      <c r="B447" s="5" t="s">
        <v>3888</v>
      </c>
      <c r="C447" s="12" t="s">
        <v>23</v>
      </c>
      <c r="D447" s="12" t="s">
        <v>4445</v>
      </c>
      <c r="E447" s="7" t="s">
        <v>4443</v>
      </c>
    </row>
    <row r="448" spans="1:5" x14ac:dyDescent="0.25">
      <c r="A448" s="11" t="s">
        <v>3119</v>
      </c>
      <c r="B448" s="5" t="s">
        <v>3889</v>
      </c>
      <c r="C448" s="12" t="s">
        <v>23</v>
      </c>
      <c r="D448" s="12" t="s">
        <v>4445</v>
      </c>
      <c r="E448" s="7" t="s">
        <v>4443</v>
      </c>
    </row>
    <row r="449" spans="1:5" x14ac:dyDescent="0.25">
      <c r="A449" s="4" t="s">
        <v>3120</v>
      </c>
      <c r="B449" s="5" t="s">
        <v>3890</v>
      </c>
      <c r="C449" s="6" t="s">
        <v>23</v>
      </c>
      <c r="D449" s="6" t="s">
        <v>4445</v>
      </c>
      <c r="E449" s="7" t="s">
        <v>4443</v>
      </c>
    </row>
    <row r="450" spans="1:5" x14ac:dyDescent="0.25">
      <c r="A450" s="11" t="s">
        <v>3121</v>
      </c>
      <c r="B450" s="5" t="s">
        <v>3891</v>
      </c>
      <c r="C450" s="12" t="s">
        <v>23</v>
      </c>
      <c r="D450" s="12" t="s">
        <v>4445</v>
      </c>
      <c r="E450" s="7" t="s">
        <v>4443</v>
      </c>
    </row>
    <row r="451" spans="1:5" x14ac:dyDescent="0.25">
      <c r="A451" s="11" t="s">
        <v>3087</v>
      </c>
      <c r="B451" s="5" t="s">
        <v>3856</v>
      </c>
      <c r="C451" s="12" t="s">
        <v>23</v>
      </c>
      <c r="D451" s="12" t="s">
        <v>4445</v>
      </c>
      <c r="E451" s="7" t="s">
        <v>4443</v>
      </c>
    </row>
    <row r="452" spans="1:5" x14ac:dyDescent="0.25">
      <c r="A452" s="4" t="s">
        <v>739</v>
      </c>
      <c r="B452" s="5" t="s">
        <v>738</v>
      </c>
      <c r="C452" s="6" t="s">
        <v>23</v>
      </c>
      <c r="D452" s="6" t="s">
        <v>320</v>
      </c>
      <c r="E452" s="7" t="s">
        <v>4444</v>
      </c>
    </row>
    <row r="453" spans="1:5" x14ac:dyDescent="0.25">
      <c r="A453" s="4" t="s">
        <v>741</v>
      </c>
      <c r="B453" s="5" t="s">
        <v>740</v>
      </c>
      <c r="C453" s="6" t="s">
        <v>23</v>
      </c>
      <c r="D453" s="6" t="s">
        <v>320</v>
      </c>
      <c r="E453" s="7" t="s">
        <v>4444</v>
      </c>
    </row>
    <row r="454" spans="1:5" x14ac:dyDescent="0.25">
      <c r="A454" s="4" t="s">
        <v>744</v>
      </c>
      <c r="B454" s="5" t="s">
        <v>743</v>
      </c>
      <c r="C454" s="6" t="s">
        <v>23</v>
      </c>
      <c r="D454" s="6" t="s">
        <v>24</v>
      </c>
      <c r="E454" s="7" t="s">
        <v>4449</v>
      </c>
    </row>
    <row r="455" spans="1:5" x14ac:dyDescent="0.25">
      <c r="A455" s="4" t="s">
        <v>3129</v>
      </c>
      <c r="B455" s="5" t="s">
        <v>3899</v>
      </c>
      <c r="C455" s="6" t="s">
        <v>23</v>
      </c>
      <c r="D455" s="6" t="s">
        <v>4445</v>
      </c>
      <c r="E455" s="7" t="s">
        <v>4443</v>
      </c>
    </row>
    <row r="456" spans="1:5" x14ac:dyDescent="0.25">
      <c r="A456" s="4" t="s">
        <v>3130</v>
      </c>
      <c r="B456" s="5" t="s">
        <v>3900</v>
      </c>
      <c r="C456" s="6" t="s">
        <v>23</v>
      </c>
      <c r="D456" s="6" t="s">
        <v>4445</v>
      </c>
      <c r="E456" s="7" t="s">
        <v>4443</v>
      </c>
    </row>
    <row r="457" spans="1:5" x14ac:dyDescent="0.25">
      <c r="A457" s="4" t="s">
        <v>3131</v>
      </c>
      <c r="B457" s="5" t="s">
        <v>3901</v>
      </c>
      <c r="C457" s="6" t="s">
        <v>23</v>
      </c>
      <c r="D457" s="6" t="s">
        <v>4445</v>
      </c>
      <c r="E457" s="7" t="s">
        <v>4443</v>
      </c>
    </row>
    <row r="458" spans="1:5" x14ac:dyDescent="0.25">
      <c r="A458" s="4" t="s">
        <v>3132</v>
      </c>
      <c r="B458" s="5" t="s">
        <v>3902</v>
      </c>
      <c r="C458" s="6" t="s">
        <v>23</v>
      </c>
      <c r="D458" s="6" t="s">
        <v>4445</v>
      </c>
      <c r="E458" s="7" t="s">
        <v>4443</v>
      </c>
    </row>
    <row r="459" spans="1:5" x14ac:dyDescent="0.25">
      <c r="A459" s="11" t="s">
        <v>3133</v>
      </c>
      <c r="B459" s="5" t="s">
        <v>3903</v>
      </c>
      <c r="C459" s="12" t="s">
        <v>23</v>
      </c>
      <c r="D459" s="12" t="s">
        <v>4445</v>
      </c>
      <c r="E459" s="7" t="s">
        <v>4443</v>
      </c>
    </row>
    <row r="460" spans="1:5" x14ac:dyDescent="0.25">
      <c r="A460" s="11" t="s">
        <v>3545</v>
      </c>
      <c r="B460" s="5" t="s">
        <v>4319</v>
      </c>
      <c r="C460" s="12" t="s">
        <v>23</v>
      </c>
      <c r="D460" s="12" t="s">
        <v>4445</v>
      </c>
      <c r="E460" s="7" t="s">
        <v>4443</v>
      </c>
    </row>
    <row r="461" spans="1:5" x14ac:dyDescent="0.25">
      <c r="A461" s="11" t="s">
        <v>3134</v>
      </c>
      <c r="B461" s="5" t="s">
        <v>3904</v>
      </c>
      <c r="C461" s="12" t="s">
        <v>23</v>
      </c>
      <c r="D461" s="12" t="s">
        <v>4445</v>
      </c>
      <c r="E461" s="7" t="s">
        <v>4443</v>
      </c>
    </row>
    <row r="462" spans="1:5" x14ac:dyDescent="0.25">
      <c r="A462" s="11" t="s">
        <v>3135</v>
      </c>
      <c r="B462" s="5" t="s">
        <v>3905</v>
      </c>
      <c r="C462" s="12" t="s">
        <v>23</v>
      </c>
      <c r="D462" s="12" t="s">
        <v>4445</v>
      </c>
      <c r="E462" s="7" t="s">
        <v>4443</v>
      </c>
    </row>
    <row r="463" spans="1:5" x14ac:dyDescent="0.25">
      <c r="A463" s="4" t="s">
        <v>746</v>
      </c>
      <c r="B463" s="5" t="s">
        <v>745</v>
      </c>
      <c r="C463" s="6" t="s">
        <v>23</v>
      </c>
      <c r="D463" s="6" t="s">
        <v>320</v>
      </c>
      <c r="E463" s="7" t="s">
        <v>4444</v>
      </c>
    </row>
    <row r="464" spans="1:5" x14ac:dyDescent="0.25">
      <c r="A464" s="4" t="s">
        <v>3122</v>
      </c>
      <c r="B464" s="5" t="s">
        <v>3892</v>
      </c>
      <c r="C464" s="6" t="s">
        <v>23</v>
      </c>
      <c r="D464" s="6" t="s">
        <v>4445</v>
      </c>
      <c r="E464" s="7" t="s">
        <v>4443</v>
      </c>
    </row>
    <row r="465" spans="1:5" x14ac:dyDescent="0.25">
      <c r="A465" s="4" t="s">
        <v>3123</v>
      </c>
      <c r="B465" s="5" t="s">
        <v>3893</v>
      </c>
      <c r="C465" s="6" t="s">
        <v>23</v>
      </c>
      <c r="D465" s="6" t="s">
        <v>4445</v>
      </c>
      <c r="E465" s="7" t="s">
        <v>4443</v>
      </c>
    </row>
    <row r="466" spans="1:5" x14ac:dyDescent="0.25">
      <c r="A466" s="4" t="s">
        <v>3124</v>
      </c>
      <c r="B466" s="5" t="s">
        <v>3894</v>
      </c>
      <c r="C466" s="6" t="s">
        <v>23</v>
      </c>
      <c r="D466" s="6" t="s">
        <v>4445</v>
      </c>
      <c r="E466" s="7" t="s">
        <v>4443</v>
      </c>
    </row>
    <row r="467" spans="1:5" x14ac:dyDescent="0.25">
      <c r="A467" s="4" t="s">
        <v>3291</v>
      </c>
      <c r="B467" s="5" t="s">
        <v>4061</v>
      </c>
      <c r="C467" s="6" t="s">
        <v>23</v>
      </c>
      <c r="D467" s="6" t="s">
        <v>4445</v>
      </c>
      <c r="E467" s="7" t="s">
        <v>4443</v>
      </c>
    </row>
    <row r="468" spans="1:5" x14ac:dyDescent="0.25">
      <c r="A468" s="11" t="s">
        <v>3125</v>
      </c>
      <c r="B468" s="5" t="s">
        <v>3895</v>
      </c>
      <c r="C468" s="12" t="s">
        <v>23</v>
      </c>
      <c r="D468" s="12" t="s">
        <v>4445</v>
      </c>
      <c r="E468" s="7" t="s">
        <v>4443</v>
      </c>
    </row>
    <row r="469" spans="1:5" x14ac:dyDescent="0.25">
      <c r="A469" s="11" t="s">
        <v>748</v>
      </c>
      <c r="B469" s="5" t="s">
        <v>747</v>
      </c>
      <c r="C469" s="12" t="s">
        <v>23</v>
      </c>
      <c r="D469" s="12" t="s">
        <v>24</v>
      </c>
      <c r="E469" s="7" t="s">
        <v>4456</v>
      </c>
    </row>
    <row r="470" spans="1:5" x14ac:dyDescent="0.25">
      <c r="A470" s="11" t="s">
        <v>750</v>
      </c>
      <c r="B470" s="5" t="s">
        <v>749</v>
      </c>
      <c r="C470" s="12" t="s">
        <v>23</v>
      </c>
      <c r="D470" s="12" t="s">
        <v>24</v>
      </c>
      <c r="E470" s="7" t="s">
        <v>4449</v>
      </c>
    </row>
    <row r="471" spans="1:5" x14ac:dyDescent="0.25">
      <c r="A471" s="11" t="s">
        <v>3126</v>
      </c>
      <c r="B471" s="5" t="s">
        <v>3896</v>
      </c>
      <c r="C471" s="12" t="s">
        <v>23</v>
      </c>
      <c r="D471" s="12" t="s">
        <v>4445</v>
      </c>
      <c r="E471" s="7" t="s">
        <v>4443</v>
      </c>
    </row>
    <row r="472" spans="1:5" x14ac:dyDescent="0.25">
      <c r="A472" s="11" t="s">
        <v>3127</v>
      </c>
      <c r="B472" s="5" t="s">
        <v>3897</v>
      </c>
      <c r="C472" s="12" t="s">
        <v>23</v>
      </c>
      <c r="D472" s="12" t="s">
        <v>4445</v>
      </c>
      <c r="E472" s="7" t="s">
        <v>4443</v>
      </c>
    </row>
    <row r="473" spans="1:5" x14ac:dyDescent="0.25">
      <c r="A473" s="4" t="s">
        <v>3136</v>
      </c>
      <c r="B473" s="5" t="s">
        <v>3906</v>
      </c>
      <c r="C473" s="12" t="s">
        <v>23</v>
      </c>
      <c r="D473" s="12" t="s">
        <v>4445</v>
      </c>
      <c r="E473" s="7" t="s">
        <v>4443</v>
      </c>
    </row>
    <row r="474" spans="1:5" x14ac:dyDescent="0.25">
      <c r="A474" s="4" t="s">
        <v>3290</v>
      </c>
      <c r="B474" s="5" t="s">
        <v>4060</v>
      </c>
      <c r="C474" s="6" t="s">
        <v>23</v>
      </c>
      <c r="D474" s="6" t="s">
        <v>4445</v>
      </c>
      <c r="E474" s="7" t="s">
        <v>4443</v>
      </c>
    </row>
    <row r="475" spans="1:5" x14ac:dyDescent="0.25">
      <c r="A475" s="11" t="s">
        <v>3289</v>
      </c>
      <c r="B475" s="5" t="s">
        <v>4059</v>
      </c>
      <c r="C475" s="12" t="s">
        <v>23</v>
      </c>
      <c r="D475" s="12" t="s">
        <v>4445</v>
      </c>
      <c r="E475" s="7" t="s">
        <v>4443</v>
      </c>
    </row>
    <row r="476" spans="1:5" x14ac:dyDescent="0.25">
      <c r="A476" s="11" t="s">
        <v>3244</v>
      </c>
      <c r="B476" s="5" t="s">
        <v>4014</v>
      </c>
      <c r="C476" s="12" t="s">
        <v>23</v>
      </c>
      <c r="D476" s="12" t="s">
        <v>4445</v>
      </c>
      <c r="E476" s="7" t="s">
        <v>4443</v>
      </c>
    </row>
    <row r="477" spans="1:5" x14ac:dyDescent="0.25">
      <c r="A477" s="4" t="s">
        <v>3128</v>
      </c>
      <c r="B477" s="5" t="s">
        <v>3898</v>
      </c>
      <c r="C477" s="6" t="s">
        <v>23</v>
      </c>
      <c r="D477" s="6" t="s">
        <v>4445</v>
      </c>
      <c r="E477" s="7" t="s">
        <v>4443</v>
      </c>
    </row>
    <row r="478" spans="1:5" x14ac:dyDescent="0.25">
      <c r="A478" s="4" t="s">
        <v>3292</v>
      </c>
      <c r="B478" s="5" t="s">
        <v>4062</v>
      </c>
      <c r="C478" s="6" t="s">
        <v>23</v>
      </c>
      <c r="D478" s="6" t="s">
        <v>4445</v>
      </c>
      <c r="E478" s="7" t="s">
        <v>4443</v>
      </c>
    </row>
    <row r="479" spans="1:5" x14ac:dyDescent="0.25">
      <c r="A479" s="4" t="s">
        <v>752</v>
      </c>
      <c r="B479" s="5" t="s">
        <v>751</v>
      </c>
      <c r="C479" s="6" t="s">
        <v>23</v>
      </c>
      <c r="D479" s="6" t="s">
        <v>320</v>
      </c>
      <c r="E479" s="7" t="s">
        <v>4444</v>
      </c>
    </row>
    <row r="480" spans="1:5" x14ac:dyDescent="0.25">
      <c r="A480" s="4" t="s">
        <v>752</v>
      </c>
      <c r="B480" s="5" t="s">
        <v>4323</v>
      </c>
      <c r="C480" s="6" t="s">
        <v>23</v>
      </c>
      <c r="D480" s="6" t="s">
        <v>4445</v>
      </c>
      <c r="E480" s="7" t="s">
        <v>4443</v>
      </c>
    </row>
    <row r="481" spans="1:5" x14ac:dyDescent="0.25">
      <c r="A481" s="11" t="s">
        <v>754</v>
      </c>
      <c r="B481" s="5" t="s">
        <v>753</v>
      </c>
      <c r="C481" s="12" t="s">
        <v>23</v>
      </c>
      <c r="D481" s="12" t="s">
        <v>320</v>
      </c>
      <c r="E481" s="7" t="s">
        <v>4444</v>
      </c>
    </row>
    <row r="482" spans="1:5" x14ac:dyDescent="0.25">
      <c r="A482" s="11" t="s">
        <v>760</v>
      </c>
      <c r="B482" s="5" t="s">
        <v>759</v>
      </c>
      <c r="C482" s="12" t="s">
        <v>23</v>
      </c>
      <c r="D482" s="12" t="s">
        <v>320</v>
      </c>
      <c r="E482" s="7" t="s">
        <v>4444</v>
      </c>
    </row>
    <row r="483" spans="1:5" x14ac:dyDescent="0.25">
      <c r="A483" s="4" t="s">
        <v>762</v>
      </c>
      <c r="B483" s="5" t="s">
        <v>761</v>
      </c>
      <c r="C483" s="6" t="s">
        <v>23</v>
      </c>
      <c r="D483" s="6" t="s">
        <v>63</v>
      </c>
      <c r="E483" s="7" t="s">
        <v>64</v>
      </c>
    </row>
    <row r="484" spans="1:5" x14ac:dyDescent="0.25">
      <c r="A484" s="4" t="s">
        <v>4513</v>
      </c>
      <c r="B484" s="5" t="s">
        <v>736</v>
      </c>
      <c r="C484" s="6" t="s">
        <v>23</v>
      </c>
      <c r="D484" s="6" t="s">
        <v>24</v>
      </c>
      <c r="E484" s="7" t="s">
        <v>4446</v>
      </c>
    </row>
    <row r="485" spans="1:5" x14ac:dyDescent="0.25">
      <c r="A485" s="4" t="s">
        <v>4514</v>
      </c>
      <c r="B485" s="5" t="s">
        <v>735</v>
      </c>
      <c r="C485" s="6" t="s">
        <v>23</v>
      </c>
      <c r="D485" s="6" t="s">
        <v>24</v>
      </c>
      <c r="E485" s="7" t="s">
        <v>4447</v>
      </c>
    </row>
    <row r="486" spans="1:5" x14ac:dyDescent="0.25">
      <c r="A486" s="4" t="s">
        <v>4515</v>
      </c>
      <c r="B486" s="5" t="s">
        <v>737</v>
      </c>
      <c r="C486" s="6" t="s">
        <v>23</v>
      </c>
      <c r="D486" s="6" t="s">
        <v>24</v>
      </c>
      <c r="E486" s="7" t="s">
        <v>4448</v>
      </c>
    </row>
    <row r="487" spans="1:5" x14ac:dyDescent="0.25">
      <c r="A487" s="4" t="s">
        <v>764</v>
      </c>
      <c r="B487" s="5" t="s">
        <v>763</v>
      </c>
      <c r="C487" s="6" t="s">
        <v>23</v>
      </c>
      <c r="D487" s="6" t="s">
        <v>24</v>
      </c>
      <c r="E487" s="7" t="s">
        <v>4447</v>
      </c>
    </row>
    <row r="488" spans="1:5" x14ac:dyDescent="0.25">
      <c r="A488" s="4" t="s">
        <v>4516</v>
      </c>
      <c r="B488" s="5" t="s">
        <v>755</v>
      </c>
      <c r="C488" s="6" t="s">
        <v>23</v>
      </c>
      <c r="D488" s="6" t="s">
        <v>24</v>
      </c>
      <c r="E488" s="7" t="s">
        <v>4448</v>
      </c>
    </row>
    <row r="489" spans="1:5" x14ac:dyDescent="0.25">
      <c r="A489" s="4" t="s">
        <v>4517</v>
      </c>
      <c r="B489" s="5" t="s">
        <v>756</v>
      </c>
      <c r="C489" s="6" t="s">
        <v>23</v>
      </c>
      <c r="D489" s="6" t="s">
        <v>24</v>
      </c>
      <c r="E489" s="7" t="s">
        <v>4450</v>
      </c>
    </row>
    <row r="490" spans="1:5" x14ac:dyDescent="0.25">
      <c r="A490" s="4" t="s">
        <v>4518</v>
      </c>
      <c r="B490" s="5" t="s">
        <v>758</v>
      </c>
      <c r="C490" s="6" t="s">
        <v>23</v>
      </c>
      <c r="D490" s="6" t="s">
        <v>24</v>
      </c>
      <c r="E490" s="7" t="s">
        <v>4448</v>
      </c>
    </row>
    <row r="491" spans="1:5" x14ac:dyDescent="0.25">
      <c r="A491" s="4" t="s">
        <v>4519</v>
      </c>
      <c r="B491" s="5" t="s">
        <v>765</v>
      </c>
      <c r="C491" s="6" t="s">
        <v>23</v>
      </c>
      <c r="D491" s="6" t="s">
        <v>24</v>
      </c>
      <c r="E491" s="7" t="s">
        <v>4450</v>
      </c>
    </row>
    <row r="492" spans="1:5" x14ac:dyDescent="0.25">
      <c r="A492" s="4" t="s">
        <v>767</v>
      </c>
      <c r="B492" s="5" t="s">
        <v>766</v>
      </c>
      <c r="C492" s="6" t="s">
        <v>23</v>
      </c>
      <c r="D492" s="6" t="s">
        <v>24</v>
      </c>
      <c r="E492" s="7" t="s">
        <v>4448</v>
      </c>
    </row>
    <row r="493" spans="1:5" x14ac:dyDescent="0.25">
      <c r="A493" s="4" t="s">
        <v>769</v>
      </c>
      <c r="B493" s="5" t="s">
        <v>768</v>
      </c>
      <c r="C493" s="6" t="s">
        <v>23</v>
      </c>
      <c r="D493" s="6" t="s">
        <v>63</v>
      </c>
      <c r="E493" s="7" t="s">
        <v>287</v>
      </c>
    </row>
    <row r="494" spans="1:5" x14ac:dyDescent="0.25">
      <c r="A494" s="4" t="s">
        <v>771</v>
      </c>
      <c r="B494" s="5" t="s">
        <v>770</v>
      </c>
      <c r="C494" s="6" t="s">
        <v>23</v>
      </c>
      <c r="D494" s="6" t="s">
        <v>24</v>
      </c>
      <c r="E494" s="7" t="s">
        <v>4454</v>
      </c>
    </row>
    <row r="495" spans="1:5" x14ac:dyDescent="0.25">
      <c r="A495" s="4" t="s">
        <v>773</v>
      </c>
      <c r="B495" s="5" t="s">
        <v>772</v>
      </c>
      <c r="C495" s="6" t="s">
        <v>23</v>
      </c>
      <c r="D495" s="6" t="s">
        <v>24</v>
      </c>
      <c r="E495" s="7" t="s">
        <v>4452</v>
      </c>
    </row>
    <row r="496" spans="1:5" x14ac:dyDescent="0.25">
      <c r="A496" s="4" t="s">
        <v>775</v>
      </c>
      <c r="B496" s="5" t="s">
        <v>774</v>
      </c>
      <c r="C496" s="6" t="s">
        <v>23</v>
      </c>
      <c r="D496" s="6" t="s">
        <v>320</v>
      </c>
      <c r="E496" s="7" t="s">
        <v>4444</v>
      </c>
    </row>
    <row r="497" spans="1:5" x14ac:dyDescent="0.25">
      <c r="A497" s="4" t="s">
        <v>4520</v>
      </c>
      <c r="B497" s="5" t="s">
        <v>742</v>
      </c>
      <c r="C497" s="6" t="s">
        <v>23</v>
      </c>
      <c r="D497" s="6" t="s">
        <v>24</v>
      </c>
      <c r="E497" s="7" t="s">
        <v>4455</v>
      </c>
    </row>
    <row r="498" spans="1:5" x14ac:dyDescent="0.25">
      <c r="A498" s="4" t="s">
        <v>777</v>
      </c>
      <c r="B498" s="5" t="s">
        <v>776</v>
      </c>
      <c r="C498" s="6" t="s">
        <v>23</v>
      </c>
      <c r="D498" s="6" t="s">
        <v>24</v>
      </c>
      <c r="E498" s="7" t="s">
        <v>4448</v>
      </c>
    </row>
    <row r="499" spans="1:5" x14ac:dyDescent="0.25">
      <c r="A499" s="4" t="s">
        <v>779</v>
      </c>
      <c r="B499" s="5" t="s">
        <v>778</v>
      </c>
      <c r="C499" s="6" t="s">
        <v>23</v>
      </c>
      <c r="D499" s="6" t="s">
        <v>320</v>
      </c>
      <c r="E499" s="7" t="s">
        <v>4444</v>
      </c>
    </row>
    <row r="500" spans="1:5" x14ac:dyDescent="0.25">
      <c r="A500" s="4" t="s">
        <v>781</v>
      </c>
      <c r="B500" s="5" t="s">
        <v>780</v>
      </c>
      <c r="C500" s="6" t="s">
        <v>23</v>
      </c>
      <c r="D500" s="6" t="s">
        <v>63</v>
      </c>
      <c r="E500" s="7" t="s">
        <v>95</v>
      </c>
    </row>
    <row r="501" spans="1:5" x14ac:dyDescent="0.25">
      <c r="A501" s="4" t="s">
        <v>783</v>
      </c>
      <c r="B501" s="5" t="s">
        <v>782</v>
      </c>
      <c r="C501" s="6" t="s">
        <v>23</v>
      </c>
      <c r="D501" s="6" t="s">
        <v>63</v>
      </c>
      <c r="E501" s="7" t="s">
        <v>4458</v>
      </c>
    </row>
    <row r="502" spans="1:5" x14ac:dyDescent="0.25">
      <c r="A502" s="4" t="s">
        <v>785</v>
      </c>
      <c r="B502" s="5" t="s">
        <v>784</v>
      </c>
      <c r="C502" s="6" t="s">
        <v>23</v>
      </c>
      <c r="D502" s="6" t="s">
        <v>24</v>
      </c>
      <c r="E502" s="7" t="s">
        <v>4449</v>
      </c>
    </row>
    <row r="503" spans="1:5" x14ac:dyDescent="0.25">
      <c r="A503" s="4" t="s">
        <v>787</v>
      </c>
      <c r="B503" s="5" t="s">
        <v>786</v>
      </c>
      <c r="C503" s="6" t="s">
        <v>23</v>
      </c>
      <c r="D503" s="6" t="s">
        <v>63</v>
      </c>
      <c r="E503" s="7" t="s">
        <v>86</v>
      </c>
    </row>
    <row r="504" spans="1:5" x14ac:dyDescent="0.25">
      <c r="A504" s="4" t="s">
        <v>3086</v>
      </c>
      <c r="B504" s="5" t="s">
        <v>3855</v>
      </c>
      <c r="C504" s="6" t="s">
        <v>23</v>
      </c>
      <c r="D504" s="6" t="s">
        <v>320</v>
      </c>
      <c r="E504" s="7" t="s">
        <v>4444</v>
      </c>
    </row>
    <row r="505" spans="1:5" x14ac:dyDescent="0.25">
      <c r="A505" s="4" t="s">
        <v>3618</v>
      </c>
      <c r="B505" s="5" t="s">
        <v>4395</v>
      </c>
      <c r="C505" s="6" t="s">
        <v>23</v>
      </c>
      <c r="D505" s="6" t="s">
        <v>24</v>
      </c>
      <c r="E505" s="7" t="s">
        <v>4454</v>
      </c>
    </row>
    <row r="506" spans="1:5" x14ac:dyDescent="0.25">
      <c r="A506" s="4" t="s">
        <v>789</v>
      </c>
      <c r="B506" s="5" t="s">
        <v>788</v>
      </c>
      <c r="C506" s="6" t="s">
        <v>23</v>
      </c>
      <c r="D506" s="6" t="s">
        <v>24</v>
      </c>
      <c r="E506" s="7" t="s">
        <v>4454</v>
      </c>
    </row>
    <row r="507" spans="1:5" x14ac:dyDescent="0.25">
      <c r="A507" s="4" t="s">
        <v>791</v>
      </c>
      <c r="B507" s="5" t="s">
        <v>790</v>
      </c>
      <c r="C507" s="6" t="s">
        <v>23</v>
      </c>
      <c r="D507" s="6" t="s">
        <v>24</v>
      </c>
      <c r="E507" s="7" t="s">
        <v>4452</v>
      </c>
    </row>
    <row r="508" spans="1:5" x14ac:dyDescent="0.25">
      <c r="A508" s="4" t="s">
        <v>793</v>
      </c>
      <c r="B508" s="5" t="s">
        <v>792</v>
      </c>
      <c r="C508" s="6" t="s">
        <v>23</v>
      </c>
      <c r="D508" s="6" t="s">
        <v>63</v>
      </c>
      <c r="E508" s="7" t="s">
        <v>86</v>
      </c>
    </row>
    <row r="509" spans="1:5" x14ac:dyDescent="0.25">
      <c r="A509" s="4" t="s">
        <v>795</v>
      </c>
      <c r="B509" s="5" t="s">
        <v>794</v>
      </c>
      <c r="C509" s="6" t="s">
        <v>23</v>
      </c>
      <c r="D509" s="6" t="s">
        <v>24</v>
      </c>
      <c r="E509" s="7" t="s">
        <v>4448</v>
      </c>
    </row>
    <row r="510" spans="1:5" x14ac:dyDescent="0.25">
      <c r="A510" s="4" t="s">
        <v>797</v>
      </c>
      <c r="B510" s="8" t="s">
        <v>796</v>
      </c>
      <c r="C510" s="6" t="s">
        <v>23</v>
      </c>
      <c r="D510" s="6" t="s">
        <v>320</v>
      </c>
      <c r="E510" s="9" t="s">
        <v>4444</v>
      </c>
    </row>
    <row r="511" spans="1:5" x14ac:dyDescent="0.25">
      <c r="A511" s="4" t="s">
        <v>799</v>
      </c>
      <c r="B511" s="5" t="s">
        <v>798</v>
      </c>
      <c r="C511" s="6" t="s">
        <v>23</v>
      </c>
      <c r="D511" s="6" t="s">
        <v>24</v>
      </c>
      <c r="E511" s="7" t="s">
        <v>4449</v>
      </c>
    </row>
    <row r="512" spans="1:5" x14ac:dyDescent="0.25">
      <c r="A512" s="4" t="s">
        <v>801</v>
      </c>
      <c r="B512" s="5" t="s">
        <v>800</v>
      </c>
      <c r="C512" s="12" t="s">
        <v>23</v>
      </c>
      <c r="D512" s="12" t="s">
        <v>24</v>
      </c>
      <c r="E512" s="7" t="s">
        <v>4454</v>
      </c>
    </row>
    <row r="513" spans="1:5" x14ac:dyDescent="0.25">
      <c r="A513" s="4" t="s">
        <v>4523</v>
      </c>
      <c r="B513" s="5" t="s">
        <v>757</v>
      </c>
      <c r="C513" s="6" t="s">
        <v>23</v>
      </c>
      <c r="D513" s="6" t="s">
        <v>24</v>
      </c>
      <c r="E513" s="7" t="s">
        <v>4451</v>
      </c>
    </row>
    <row r="514" spans="1:5" x14ac:dyDescent="0.25">
      <c r="A514" s="4" t="s">
        <v>803</v>
      </c>
      <c r="B514" s="5" t="s">
        <v>802</v>
      </c>
      <c r="C514" s="6" t="s">
        <v>23</v>
      </c>
      <c r="D514" s="6" t="s">
        <v>320</v>
      </c>
      <c r="E514" s="7" t="s">
        <v>4444</v>
      </c>
    </row>
    <row r="515" spans="1:5" x14ac:dyDescent="0.25">
      <c r="A515" s="11" t="s">
        <v>3343</v>
      </c>
      <c r="B515" s="5" t="s">
        <v>4113</v>
      </c>
      <c r="C515" s="12" t="s">
        <v>23</v>
      </c>
      <c r="D515" s="12" t="s">
        <v>4445</v>
      </c>
      <c r="E515" s="7" t="s">
        <v>4443</v>
      </c>
    </row>
    <row r="516" spans="1:5" x14ac:dyDescent="0.25">
      <c r="A516" s="4" t="s">
        <v>3344</v>
      </c>
      <c r="B516" s="5" t="s">
        <v>4114</v>
      </c>
      <c r="C516" s="6" t="s">
        <v>23</v>
      </c>
      <c r="D516" s="6" t="s">
        <v>4445</v>
      </c>
      <c r="E516" s="7" t="s">
        <v>4443</v>
      </c>
    </row>
    <row r="517" spans="1:5" x14ac:dyDescent="0.25">
      <c r="A517" s="4" t="s">
        <v>3572</v>
      </c>
      <c r="B517" s="5" t="s">
        <v>4348</v>
      </c>
      <c r="C517" s="6" t="s">
        <v>23</v>
      </c>
      <c r="D517" s="6" t="s">
        <v>4445</v>
      </c>
      <c r="E517" s="7" t="s">
        <v>4443</v>
      </c>
    </row>
    <row r="518" spans="1:5" x14ac:dyDescent="0.25">
      <c r="A518" s="4" t="s">
        <v>4524</v>
      </c>
      <c r="B518" s="5" t="s">
        <v>4525</v>
      </c>
      <c r="C518" s="6" t="s">
        <v>23</v>
      </c>
      <c r="D518" s="6" t="s">
        <v>24</v>
      </c>
      <c r="E518" s="7" t="s">
        <v>4447</v>
      </c>
    </row>
    <row r="519" spans="1:5" x14ac:dyDescent="0.25">
      <c r="A519" s="4" t="s">
        <v>805</v>
      </c>
      <c r="B519" s="5" t="s">
        <v>804</v>
      </c>
      <c r="C519" s="6" t="s">
        <v>23</v>
      </c>
      <c r="D519" s="6" t="s">
        <v>24</v>
      </c>
      <c r="E519" s="7" t="s">
        <v>4448</v>
      </c>
    </row>
    <row r="520" spans="1:5" x14ac:dyDescent="0.25">
      <c r="A520" s="4" t="s">
        <v>807</v>
      </c>
      <c r="B520" s="5" t="s">
        <v>806</v>
      </c>
      <c r="C520" s="6" t="s">
        <v>23</v>
      </c>
      <c r="D520" s="6" t="s">
        <v>24</v>
      </c>
      <c r="E520" s="7" t="s">
        <v>4446</v>
      </c>
    </row>
    <row r="521" spans="1:5" x14ac:dyDescent="0.25">
      <c r="A521" s="4" t="s">
        <v>809</v>
      </c>
      <c r="B521" s="5" t="s">
        <v>808</v>
      </c>
      <c r="C521" s="6" t="s">
        <v>23</v>
      </c>
      <c r="D521" s="6" t="s">
        <v>320</v>
      </c>
      <c r="E521" s="7" t="s">
        <v>4444</v>
      </c>
    </row>
    <row r="522" spans="1:5" x14ac:dyDescent="0.25">
      <c r="A522" s="4" t="s">
        <v>3345</v>
      </c>
      <c r="B522" s="5" t="s">
        <v>4115</v>
      </c>
      <c r="C522" s="6" t="s">
        <v>23</v>
      </c>
      <c r="D522" s="6" t="s">
        <v>4445</v>
      </c>
      <c r="E522" s="7" t="s">
        <v>4443</v>
      </c>
    </row>
    <row r="523" spans="1:5" x14ac:dyDescent="0.25">
      <c r="A523" s="4" t="s">
        <v>811</v>
      </c>
      <c r="B523" s="5" t="s">
        <v>810</v>
      </c>
      <c r="C523" s="6" t="s">
        <v>23</v>
      </c>
      <c r="D523" s="6" t="s">
        <v>63</v>
      </c>
      <c r="E523" s="7" t="s">
        <v>89</v>
      </c>
    </row>
    <row r="524" spans="1:5" x14ac:dyDescent="0.25">
      <c r="A524" s="4" t="s">
        <v>813</v>
      </c>
      <c r="B524" s="5" t="s">
        <v>812</v>
      </c>
      <c r="C524" s="6" t="s">
        <v>23</v>
      </c>
      <c r="D524" s="6" t="s">
        <v>63</v>
      </c>
      <c r="E524" s="7" t="s">
        <v>92</v>
      </c>
    </row>
    <row r="525" spans="1:5" x14ac:dyDescent="0.25">
      <c r="A525" s="4" t="s">
        <v>815</v>
      </c>
      <c r="B525" s="5" t="s">
        <v>814</v>
      </c>
      <c r="C525" s="6" t="s">
        <v>23</v>
      </c>
      <c r="D525" s="6" t="s">
        <v>63</v>
      </c>
      <c r="E525" s="7" t="s">
        <v>89</v>
      </c>
    </row>
    <row r="526" spans="1:5" x14ac:dyDescent="0.25">
      <c r="A526" s="4" t="s">
        <v>817</v>
      </c>
      <c r="B526" s="5" t="s">
        <v>816</v>
      </c>
      <c r="C526" s="6" t="s">
        <v>23</v>
      </c>
      <c r="D526" s="6" t="s">
        <v>63</v>
      </c>
      <c r="E526" s="7" t="s">
        <v>92</v>
      </c>
    </row>
    <row r="527" spans="1:5" x14ac:dyDescent="0.25">
      <c r="A527" s="4" t="s">
        <v>819</v>
      </c>
      <c r="B527" s="5" t="s">
        <v>818</v>
      </c>
      <c r="C527" s="6" t="s">
        <v>23</v>
      </c>
      <c r="D527" s="6" t="s">
        <v>63</v>
      </c>
      <c r="E527" s="7" t="s">
        <v>92</v>
      </c>
    </row>
    <row r="528" spans="1:5" x14ac:dyDescent="0.25">
      <c r="A528" s="4" t="s">
        <v>821</v>
      </c>
      <c r="B528" s="5" t="s">
        <v>820</v>
      </c>
      <c r="C528" s="6" t="s">
        <v>23</v>
      </c>
      <c r="D528" s="6" t="s">
        <v>63</v>
      </c>
      <c r="E528" s="7" t="s">
        <v>98</v>
      </c>
    </row>
    <row r="529" spans="1:5" x14ac:dyDescent="0.25">
      <c r="A529" s="11" t="s">
        <v>823</v>
      </c>
      <c r="B529" s="5" t="s">
        <v>822</v>
      </c>
      <c r="C529" s="12" t="s">
        <v>23</v>
      </c>
      <c r="D529" s="12" t="s">
        <v>320</v>
      </c>
      <c r="E529" s="7" t="s">
        <v>4444</v>
      </c>
    </row>
    <row r="530" spans="1:5" x14ac:dyDescent="0.25">
      <c r="A530" s="4" t="s">
        <v>825</v>
      </c>
      <c r="B530" s="5" t="s">
        <v>824</v>
      </c>
      <c r="C530" s="6" t="s">
        <v>23</v>
      </c>
      <c r="D530" s="6" t="s">
        <v>63</v>
      </c>
      <c r="E530" s="7" t="s">
        <v>98</v>
      </c>
    </row>
    <row r="531" spans="1:5" x14ac:dyDescent="0.25">
      <c r="A531" s="4" t="s">
        <v>827</v>
      </c>
      <c r="B531" s="5" t="s">
        <v>826</v>
      </c>
      <c r="C531" s="6" t="s">
        <v>23</v>
      </c>
      <c r="D531" s="6" t="s">
        <v>63</v>
      </c>
      <c r="E531" s="7" t="s">
        <v>98</v>
      </c>
    </row>
    <row r="532" spans="1:5" x14ac:dyDescent="0.25">
      <c r="A532" s="4" t="s">
        <v>829</v>
      </c>
      <c r="B532" s="5" t="s">
        <v>828</v>
      </c>
      <c r="C532" s="6" t="s">
        <v>23</v>
      </c>
      <c r="D532" s="6" t="s">
        <v>63</v>
      </c>
      <c r="E532" s="7" t="s">
        <v>98</v>
      </c>
    </row>
    <row r="533" spans="1:5" x14ac:dyDescent="0.25">
      <c r="A533" s="4" t="s">
        <v>831</v>
      </c>
      <c r="B533" s="5" t="s">
        <v>830</v>
      </c>
      <c r="C533" s="6" t="s">
        <v>23</v>
      </c>
      <c r="D533" s="6" t="s">
        <v>561</v>
      </c>
      <c r="E533" s="7" t="s">
        <v>4443</v>
      </c>
    </row>
    <row r="534" spans="1:5" x14ac:dyDescent="0.25">
      <c r="A534" s="4" t="s">
        <v>833</v>
      </c>
      <c r="B534" s="5" t="s">
        <v>832</v>
      </c>
      <c r="C534" s="6" t="s">
        <v>23</v>
      </c>
      <c r="D534" s="6" t="s">
        <v>63</v>
      </c>
      <c r="E534" s="7" t="s">
        <v>86</v>
      </c>
    </row>
    <row r="535" spans="1:5" x14ac:dyDescent="0.25">
      <c r="A535" s="4" t="s">
        <v>3628</v>
      </c>
      <c r="B535" s="5" t="s">
        <v>4404</v>
      </c>
      <c r="C535" s="6" t="s">
        <v>23</v>
      </c>
      <c r="D535" s="6" t="s">
        <v>24</v>
      </c>
      <c r="E535" s="7" t="s">
        <v>4455</v>
      </c>
    </row>
    <row r="536" spans="1:5" x14ac:dyDescent="0.25">
      <c r="A536" s="4" t="s">
        <v>3299</v>
      </c>
      <c r="B536" s="5" t="s">
        <v>4070</v>
      </c>
      <c r="C536" s="6" t="s">
        <v>23</v>
      </c>
      <c r="D536" s="6" t="s">
        <v>63</v>
      </c>
      <c r="E536" s="7" t="s">
        <v>98</v>
      </c>
    </row>
    <row r="537" spans="1:5" x14ac:dyDescent="0.25">
      <c r="A537" s="4" t="s">
        <v>835</v>
      </c>
      <c r="B537" s="5" t="s">
        <v>834</v>
      </c>
      <c r="C537" s="6" t="s">
        <v>23</v>
      </c>
      <c r="D537" s="6" t="s">
        <v>24</v>
      </c>
      <c r="E537" s="7" t="s">
        <v>4447</v>
      </c>
    </row>
    <row r="538" spans="1:5" x14ac:dyDescent="0.25">
      <c r="A538" s="4" t="s">
        <v>837</v>
      </c>
      <c r="B538" s="5" t="s">
        <v>836</v>
      </c>
      <c r="C538" s="6" t="s">
        <v>23</v>
      </c>
      <c r="D538" s="6" t="s">
        <v>24</v>
      </c>
      <c r="E538" s="7" t="s">
        <v>4448</v>
      </c>
    </row>
    <row r="539" spans="1:5" x14ac:dyDescent="0.25">
      <c r="A539" s="4" t="s">
        <v>839</v>
      </c>
      <c r="B539" s="5" t="s">
        <v>838</v>
      </c>
      <c r="C539" s="6" t="s">
        <v>23</v>
      </c>
      <c r="D539" s="6" t="s">
        <v>24</v>
      </c>
      <c r="E539" s="7" t="s">
        <v>4450</v>
      </c>
    </row>
    <row r="540" spans="1:5" x14ac:dyDescent="0.25">
      <c r="A540" s="4" t="s">
        <v>841</v>
      </c>
      <c r="B540" s="5" t="s">
        <v>840</v>
      </c>
      <c r="C540" s="6" t="s">
        <v>23</v>
      </c>
      <c r="D540" s="6" t="s">
        <v>24</v>
      </c>
      <c r="E540" s="7" t="s">
        <v>4451</v>
      </c>
    </row>
    <row r="541" spans="1:5" x14ac:dyDescent="0.25">
      <c r="A541" s="4" t="s">
        <v>843</v>
      </c>
      <c r="B541" s="5" t="s">
        <v>842</v>
      </c>
      <c r="C541" s="6" t="s">
        <v>23</v>
      </c>
      <c r="D541" s="6" t="s">
        <v>24</v>
      </c>
      <c r="E541" s="7" t="s">
        <v>4453</v>
      </c>
    </row>
    <row r="542" spans="1:5" x14ac:dyDescent="0.25">
      <c r="A542" s="4" t="s">
        <v>845</v>
      </c>
      <c r="B542" s="5" t="s">
        <v>844</v>
      </c>
      <c r="C542" s="6" t="s">
        <v>23</v>
      </c>
      <c r="D542" s="6" t="s">
        <v>63</v>
      </c>
      <c r="E542" s="7" t="s">
        <v>64</v>
      </c>
    </row>
    <row r="543" spans="1:5" x14ac:dyDescent="0.25">
      <c r="A543" s="4" t="s">
        <v>847</v>
      </c>
      <c r="B543" s="5" t="s">
        <v>846</v>
      </c>
      <c r="C543" s="6" t="s">
        <v>23</v>
      </c>
      <c r="D543" s="6" t="s">
        <v>63</v>
      </c>
      <c r="E543" s="7" t="s">
        <v>67</v>
      </c>
    </row>
    <row r="544" spans="1:5" x14ac:dyDescent="0.25">
      <c r="A544" s="4" t="s">
        <v>849</v>
      </c>
      <c r="B544" s="5" t="s">
        <v>848</v>
      </c>
      <c r="C544" s="6" t="s">
        <v>23</v>
      </c>
      <c r="D544" s="6" t="s">
        <v>63</v>
      </c>
      <c r="E544" s="7" t="s">
        <v>287</v>
      </c>
    </row>
    <row r="545" spans="1:5" x14ac:dyDescent="0.25">
      <c r="A545" s="11" t="s">
        <v>851</v>
      </c>
      <c r="B545" s="5" t="s">
        <v>850</v>
      </c>
      <c r="C545" s="12" t="s">
        <v>23</v>
      </c>
      <c r="D545" s="12" t="s">
        <v>63</v>
      </c>
      <c r="E545" s="7" t="s">
        <v>89</v>
      </c>
    </row>
    <row r="546" spans="1:5" x14ac:dyDescent="0.25">
      <c r="A546" s="4" t="s">
        <v>853</v>
      </c>
      <c r="B546" s="5" t="s">
        <v>852</v>
      </c>
      <c r="C546" s="6" t="s">
        <v>23</v>
      </c>
      <c r="D546" s="6" t="s">
        <v>24</v>
      </c>
      <c r="E546" s="7" t="s">
        <v>4446</v>
      </c>
    </row>
    <row r="547" spans="1:5" x14ac:dyDescent="0.25">
      <c r="A547" s="4" t="s">
        <v>855</v>
      </c>
      <c r="B547" s="5" t="s">
        <v>854</v>
      </c>
      <c r="C547" s="6" t="s">
        <v>23</v>
      </c>
      <c r="D547" s="6" t="s">
        <v>24</v>
      </c>
      <c r="E547" s="7" t="s">
        <v>4447</v>
      </c>
    </row>
    <row r="548" spans="1:5" x14ac:dyDescent="0.25">
      <c r="A548" s="4" t="s">
        <v>857</v>
      </c>
      <c r="B548" s="5" t="s">
        <v>856</v>
      </c>
      <c r="C548" s="6" t="s">
        <v>23</v>
      </c>
      <c r="D548" s="6" t="s">
        <v>63</v>
      </c>
      <c r="E548" s="7" t="s">
        <v>64</v>
      </c>
    </row>
    <row r="549" spans="1:5" x14ac:dyDescent="0.25">
      <c r="A549" s="4" t="s">
        <v>859</v>
      </c>
      <c r="B549" s="5" t="s">
        <v>858</v>
      </c>
      <c r="C549" s="6" t="s">
        <v>23</v>
      </c>
      <c r="D549" s="6" t="s">
        <v>63</v>
      </c>
      <c r="E549" s="7" t="s">
        <v>64</v>
      </c>
    </row>
    <row r="550" spans="1:5" x14ac:dyDescent="0.25">
      <c r="A550" s="4" t="s">
        <v>861</v>
      </c>
      <c r="B550" s="5" t="s">
        <v>860</v>
      </c>
      <c r="C550" s="6" t="s">
        <v>23</v>
      </c>
      <c r="D550" s="6" t="s">
        <v>63</v>
      </c>
      <c r="E550" s="7" t="s">
        <v>86</v>
      </c>
    </row>
    <row r="551" spans="1:5" x14ac:dyDescent="0.25">
      <c r="A551" s="4" t="s">
        <v>863</v>
      </c>
      <c r="B551" s="5" t="s">
        <v>862</v>
      </c>
      <c r="C551" s="6" t="s">
        <v>23</v>
      </c>
      <c r="D551" s="6" t="s">
        <v>63</v>
      </c>
      <c r="E551" s="7" t="s">
        <v>89</v>
      </c>
    </row>
    <row r="552" spans="1:5" x14ac:dyDescent="0.25">
      <c r="A552" s="4" t="s">
        <v>865</v>
      </c>
      <c r="B552" s="5" t="s">
        <v>864</v>
      </c>
      <c r="C552" s="6" t="s">
        <v>23</v>
      </c>
      <c r="D552" s="6" t="s">
        <v>63</v>
      </c>
      <c r="E552" s="7" t="s">
        <v>92</v>
      </c>
    </row>
    <row r="553" spans="1:5" x14ac:dyDescent="0.25">
      <c r="A553" s="4" t="s">
        <v>867</v>
      </c>
      <c r="B553" s="5" t="s">
        <v>866</v>
      </c>
      <c r="C553" s="6" t="s">
        <v>23</v>
      </c>
      <c r="D553" s="6" t="s">
        <v>63</v>
      </c>
      <c r="E553" s="7" t="s">
        <v>95</v>
      </c>
    </row>
    <row r="554" spans="1:5" x14ac:dyDescent="0.25">
      <c r="A554" s="4" t="s">
        <v>869</v>
      </c>
      <c r="B554" s="5" t="s">
        <v>868</v>
      </c>
      <c r="C554" s="6" t="s">
        <v>23</v>
      </c>
      <c r="D554" s="6" t="s">
        <v>63</v>
      </c>
      <c r="E554" s="7" t="s">
        <v>98</v>
      </c>
    </row>
    <row r="555" spans="1:5" x14ac:dyDescent="0.25">
      <c r="A555" s="4" t="s">
        <v>871</v>
      </c>
      <c r="B555" s="5" t="s">
        <v>870</v>
      </c>
      <c r="C555" s="6" t="s">
        <v>23</v>
      </c>
      <c r="D555" s="6" t="s">
        <v>63</v>
      </c>
      <c r="E555" s="7" t="s">
        <v>67</v>
      </c>
    </row>
    <row r="556" spans="1:5" x14ac:dyDescent="0.25">
      <c r="A556" s="4" t="s">
        <v>873</v>
      </c>
      <c r="B556" s="5" t="s">
        <v>872</v>
      </c>
      <c r="C556" s="6" t="s">
        <v>23</v>
      </c>
      <c r="D556" s="6" t="s">
        <v>63</v>
      </c>
      <c r="E556" s="7" t="s">
        <v>287</v>
      </c>
    </row>
    <row r="557" spans="1:5" x14ac:dyDescent="0.25">
      <c r="A557" s="4" t="s">
        <v>875</v>
      </c>
      <c r="B557" s="5" t="s">
        <v>874</v>
      </c>
      <c r="C557" s="6" t="s">
        <v>23</v>
      </c>
      <c r="D557" s="6" t="s">
        <v>63</v>
      </c>
      <c r="E557" s="7" t="s">
        <v>86</v>
      </c>
    </row>
    <row r="558" spans="1:5" x14ac:dyDescent="0.25">
      <c r="A558" s="4" t="s">
        <v>877</v>
      </c>
      <c r="B558" s="5" t="s">
        <v>876</v>
      </c>
      <c r="C558" s="6" t="s">
        <v>23</v>
      </c>
      <c r="D558" s="6" t="s">
        <v>63</v>
      </c>
      <c r="E558" s="7" t="s">
        <v>89</v>
      </c>
    </row>
    <row r="559" spans="1:5" x14ac:dyDescent="0.25">
      <c r="A559" s="4" t="s">
        <v>879</v>
      </c>
      <c r="B559" s="5" t="s">
        <v>878</v>
      </c>
      <c r="C559" s="6" t="s">
        <v>23</v>
      </c>
      <c r="D559" s="6" t="s">
        <v>63</v>
      </c>
      <c r="E559" s="7" t="s">
        <v>95</v>
      </c>
    </row>
    <row r="560" spans="1:5" x14ac:dyDescent="0.25">
      <c r="A560" s="4" t="s">
        <v>881</v>
      </c>
      <c r="B560" s="5" t="s">
        <v>880</v>
      </c>
      <c r="C560" s="6" t="s">
        <v>23</v>
      </c>
      <c r="D560" s="6" t="s">
        <v>63</v>
      </c>
      <c r="E560" s="7" t="s">
        <v>89</v>
      </c>
    </row>
    <row r="561" spans="1:5" x14ac:dyDescent="0.25">
      <c r="A561" s="4" t="s">
        <v>883</v>
      </c>
      <c r="B561" s="5" t="s">
        <v>882</v>
      </c>
      <c r="C561" s="6" t="s">
        <v>23</v>
      </c>
      <c r="D561" s="6" t="s">
        <v>24</v>
      </c>
      <c r="E561" s="7" t="s">
        <v>4447</v>
      </c>
    </row>
    <row r="562" spans="1:5" x14ac:dyDescent="0.25">
      <c r="A562" s="4" t="s">
        <v>885</v>
      </c>
      <c r="B562" s="5" t="s">
        <v>884</v>
      </c>
      <c r="C562" s="6" t="s">
        <v>23</v>
      </c>
      <c r="D562" s="6" t="s">
        <v>24</v>
      </c>
      <c r="E562" s="7" t="s">
        <v>4448</v>
      </c>
    </row>
    <row r="563" spans="1:5" x14ac:dyDescent="0.25">
      <c r="A563" s="4" t="s">
        <v>887</v>
      </c>
      <c r="B563" s="5" t="s">
        <v>886</v>
      </c>
      <c r="C563" s="6" t="s">
        <v>23</v>
      </c>
      <c r="D563" s="6" t="s">
        <v>24</v>
      </c>
      <c r="E563" s="7" t="s">
        <v>4450</v>
      </c>
    </row>
    <row r="564" spans="1:5" x14ac:dyDescent="0.25">
      <c r="A564" s="4" t="s">
        <v>889</v>
      </c>
      <c r="B564" s="5" t="s">
        <v>888</v>
      </c>
      <c r="C564" s="6" t="s">
        <v>23</v>
      </c>
      <c r="D564" s="6" t="s">
        <v>24</v>
      </c>
      <c r="E564" s="7" t="s">
        <v>4451</v>
      </c>
    </row>
    <row r="565" spans="1:5" x14ac:dyDescent="0.25">
      <c r="A565" s="4" t="s">
        <v>891</v>
      </c>
      <c r="B565" s="5" t="s">
        <v>890</v>
      </c>
      <c r="C565" s="6" t="s">
        <v>23</v>
      </c>
      <c r="D565" s="6" t="s">
        <v>24</v>
      </c>
      <c r="E565" s="7" t="s">
        <v>4452</v>
      </c>
    </row>
    <row r="566" spans="1:5" x14ac:dyDescent="0.25">
      <c r="A566" s="4" t="s">
        <v>893</v>
      </c>
      <c r="B566" s="5" t="s">
        <v>892</v>
      </c>
      <c r="C566" s="6" t="s">
        <v>23</v>
      </c>
      <c r="D566" s="6" t="s">
        <v>320</v>
      </c>
      <c r="E566" s="7" t="s">
        <v>4444</v>
      </c>
    </row>
    <row r="567" spans="1:5" x14ac:dyDescent="0.25">
      <c r="A567" s="4" t="s">
        <v>893</v>
      </c>
      <c r="B567" s="5" t="s">
        <v>4116</v>
      </c>
      <c r="C567" s="6" t="s">
        <v>23</v>
      </c>
      <c r="D567" s="6" t="s">
        <v>4445</v>
      </c>
      <c r="E567" s="7" t="s">
        <v>4443</v>
      </c>
    </row>
    <row r="568" spans="1:5" x14ac:dyDescent="0.25">
      <c r="A568" s="4" t="s">
        <v>3346</v>
      </c>
      <c r="B568" s="5" t="s">
        <v>4117</v>
      </c>
      <c r="C568" s="6" t="s">
        <v>23</v>
      </c>
      <c r="D568" s="6" t="s">
        <v>4445</v>
      </c>
      <c r="E568" s="7" t="s">
        <v>4443</v>
      </c>
    </row>
    <row r="569" spans="1:5" x14ac:dyDescent="0.25">
      <c r="A569" s="4" t="s">
        <v>3333</v>
      </c>
      <c r="B569" s="5" t="s">
        <v>4103</v>
      </c>
      <c r="C569" s="6" t="s">
        <v>23</v>
      </c>
      <c r="D569" s="6" t="s">
        <v>4445</v>
      </c>
      <c r="E569" s="7" t="s">
        <v>4443</v>
      </c>
    </row>
    <row r="570" spans="1:5" x14ac:dyDescent="0.25">
      <c r="A570" s="4" t="s">
        <v>895</v>
      </c>
      <c r="B570" s="5" t="s">
        <v>894</v>
      </c>
      <c r="C570" s="6" t="s">
        <v>23</v>
      </c>
      <c r="D570" s="6" t="s">
        <v>63</v>
      </c>
      <c r="E570" s="7" t="s">
        <v>67</v>
      </c>
    </row>
    <row r="571" spans="1:5" x14ac:dyDescent="0.25">
      <c r="A571" s="4" t="s">
        <v>3546</v>
      </c>
      <c r="B571" s="5" t="s">
        <v>4320</v>
      </c>
      <c r="C571" s="6" t="s">
        <v>23</v>
      </c>
      <c r="D571" s="6" t="s">
        <v>4445</v>
      </c>
      <c r="E571" s="7" t="s">
        <v>4443</v>
      </c>
    </row>
    <row r="572" spans="1:5" x14ac:dyDescent="0.25">
      <c r="A572" s="4" t="s">
        <v>3347</v>
      </c>
      <c r="B572" s="5" t="s">
        <v>4118</v>
      </c>
      <c r="C572" s="6" t="s">
        <v>23</v>
      </c>
      <c r="D572" s="6" t="s">
        <v>4445</v>
      </c>
      <c r="E572" s="7" t="s">
        <v>4443</v>
      </c>
    </row>
    <row r="573" spans="1:5" x14ac:dyDescent="0.25">
      <c r="A573" s="4" t="s">
        <v>3261</v>
      </c>
      <c r="B573" s="5" t="s">
        <v>4031</v>
      </c>
      <c r="C573" s="6" t="s">
        <v>23</v>
      </c>
      <c r="D573" s="6" t="s">
        <v>4445</v>
      </c>
      <c r="E573" s="7" t="s">
        <v>4443</v>
      </c>
    </row>
    <row r="574" spans="1:5" x14ac:dyDescent="0.25">
      <c r="A574" s="4" t="s">
        <v>897</v>
      </c>
      <c r="B574" s="5" t="s">
        <v>896</v>
      </c>
      <c r="C574" s="6" t="s">
        <v>23</v>
      </c>
      <c r="D574" s="6" t="s">
        <v>24</v>
      </c>
      <c r="E574" s="7" t="s">
        <v>4449</v>
      </c>
    </row>
    <row r="575" spans="1:5" x14ac:dyDescent="0.25">
      <c r="A575" s="11" t="s">
        <v>899</v>
      </c>
      <c r="B575" s="5" t="s">
        <v>898</v>
      </c>
      <c r="C575" s="12" t="s">
        <v>23</v>
      </c>
      <c r="D575" s="12" t="s">
        <v>24</v>
      </c>
      <c r="E575" s="7" t="s">
        <v>4448</v>
      </c>
    </row>
    <row r="576" spans="1:5" x14ac:dyDescent="0.25">
      <c r="A576" s="11" t="s">
        <v>901</v>
      </c>
      <c r="B576" s="5" t="s">
        <v>900</v>
      </c>
      <c r="C576" s="12" t="s">
        <v>23</v>
      </c>
      <c r="D576" s="12" t="s">
        <v>63</v>
      </c>
      <c r="E576" s="7" t="s">
        <v>287</v>
      </c>
    </row>
    <row r="577" spans="1:5" x14ac:dyDescent="0.25">
      <c r="A577" s="4" t="s">
        <v>3242</v>
      </c>
      <c r="B577" s="5" t="s">
        <v>4012</v>
      </c>
      <c r="C577" s="6" t="s">
        <v>23</v>
      </c>
      <c r="D577" s="6" t="s">
        <v>4445</v>
      </c>
      <c r="E577" s="7" t="s">
        <v>4443</v>
      </c>
    </row>
    <row r="578" spans="1:5" x14ac:dyDescent="0.25">
      <c r="A578" s="11" t="s">
        <v>3248</v>
      </c>
      <c r="B578" s="5" t="s">
        <v>4018</v>
      </c>
      <c r="C578" s="12" t="s">
        <v>23</v>
      </c>
      <c r="D578" s="12" t="s">
        <v>4445</v>
      </c>
      <c r="E578" s="7" t="s">
        <v>4443</v>
      </c>
    </row>
    <row r="579" spans="1:5" x14ac:dyDescent="0.25">
      <c r="A579" s="11" t="s">
        <v>3636</v>
      </c>
      <c r="B579" s="5" t="s">
        <v>4413</v>
      </c>
      <c r="C579" s="12" t="s">
        <v>23</v>
      </c>
      <c r="D579" s="12" t="s">
        <v>4463</v>
      </c>
      <c r="E579" s="7" t="s">
        <v>4444</v>
      </c>
    </row>
    <row r="580" spans="1:5" x14ac:dyDescent="0.25">
      <c r="A580" s="11" t="s">
        <v>3137</v>
      </c>
      <c r="B580" s="5" t="s">
        <v>3907</v>
      </c>
      <c r="C580" s="12" t="s">
        <v>23</v>
      </c>
      <c r="D580" s="12" t="s">
        <v>4445</v>
      </c>
      <c r="E580" s="7" t="s">
        <v>4443</v>
      </c>
    </row>
    <row r="581" spans="1:5" x14ac:dyDescent="0.25">
      <c r="A581" s="11" t="s">
        <v>3143</v>
      </c>
      <c r="B581" s="5" t="s">
        <v>3913</v>
      </c>
      <c r="C581" s="12" t="s">
        <v>23</v>
      </c>
      <c r="D581" s="12" t="s">
        <v>4445</v>
      </c>
      <c r="E581" s="7" t="s">
        <v>4443</v>
      </c>
    </row>
    <row r="582" spans="1:5" x14ac:dyDescent="0.25">
      <c r="A582" s="11" t="s">
        <v>3138</v>
      </c>
      <c r="B582" s="5" t="s">
        <v>3908</v>
      </c>
      <c r="C582" s="12" t="s">
        <v>23</v>
      </c>
      <c r="D582" s="12" t="s">
        <v>4445</v>
      </c>
      <c r="E582" s="7" t="s">
        <v>4443</v>
      </c>
    </row>
    <row r="583" spans="1:5" x14ac:dyDescent="0.25">
      <c r="A583" s="11" t="s">
        <v>3144</v>
      </c>
      <c r="B583" s="5" t="s">
        <v>3914</v>
      </c>
      <c r="C583" s="12" t="s">
        <v>23</v>
      </c>
      <c r="D583" s="12" t="s">
        <v>4445</v>
      </c>
      <c r="E583" s="7" t="s">
        <v>4443</v>
      </c>
    </row>
    <row r="584" spans="1:5" x14ac:dyDescent="0.25">
      <c r="A584" s="11" t="s">
        <v>3139</v>
      </c>
      <c r="B584" s="5" t="s">
        <v>3909</v>
      </c>
      <c r="C584" s="12" t="s">
        <v>23</v>
      </c>
      <c r="D584" s="12" t="s">
        <v>4445</v>
      </c>
      <c r="E584" s="7" t="s">
        <v>4443</v>
      </c>
    </row>
    <row r="585" spans="1:5" x14ac:dyDescent="0.25">
      <c r="A585" s="11" t="s">
        <v>3145</v>
      </c>
      <c r="B585" s="5" t="s">
        <v>3915</v>
      </c>
      <c r="C585" s="12" t="s">
        <v>23</v>
      </c>
      <c r="D585" s="12" t="s">
        <v>4445</v>
      </c>
      <c r="E585" s="7" t="s">
        <v>4443</v>
      </c>
    </row>
    <row r="586" spans="1:5" x14ac:dyDescent="0.25">
      <c r="A586" s="11" t="s">
        <v>3140</v>
      </c>
      <c r="B586" s="5" t="s">
        <v>3910</v>
      </c>
      <c r="C586" s="12" t="s">
        <v>23</v>
      </c>
      <c r="D586" s="12" t="s">
        <v>4445</v>
      </c>
      <c r="E586" s="7" t="s">
        <v>4443</v>
      </c>
    </row>
    <row r="587" spans="1:5" x14ac:dyDescent="0.25">
      <c r="A587" s="11" t="s">
        <v>3146</v>
      </c>
      <c r="B587" s="5" t="s">
        <v>3916</v>
      </c>
      <c r="C587" s="12" t="s">
        <v>23</v>
      </c>
      <c r="D587" s="12" t="s">
        <v>4445</v>
      </c>
      <c r="E587" s="7" t="s">
        <v>4443</v>
      </c>
    </row>
    <row r="588" spans="1:5" x14ac:dyDescent="0.25">
      <c r="A588" s="11" t="s">
        <v>4526</v>
      </c>
      <c r="B588" s="5" t="s">
        <v>4527</v>
      </c>
      <c r="C588" s="12" t="s">
        <v>23</v>
      </c>
      <c r="D588" s="12" t="s">
        <v>63</v>
      </c>
      <c r="E588" s="7" t="s">
        <v>64</v>
      </c>
    </row>
    <row r="589" spans="1:5" x14ac:dyDescent="0.25">
      <c r="A589" s="11" t="s">
        <v>3141</v>
      </c>
      <c r="B589" s="5" t="s">
        <v>3911</v>
      </c>
      <c r="C589" s="12" t="s">
        <v>23</v>
      </c>
      <c r="D589" s="12" t="s">
        <v>4445</v>
      </c>
      <c r="E589" s="7" t="s">
        <v>4443</v>
      </c>
    </row>
    <row r="590" spans="1:5" x14ac:dyDescent="0.25">
      <c r="A590" s="4" t="s">
        <v>3147</v>
      </c>
      <c r="B590" s="5" t="s">
        <v>3917</v>
      </c>
      <c r="C590" s="6" t="s">
        <v>23</v>
      </c>
      <c r="D590" s="6" t="s">
        <v>4445</v>
      </c>
      <c r="E590" s="7" t="s">
        <v>4443</v>
      </c>
    </row>
    <row r="591" spans="1:5" x14ac:dyDescent="0.25">
      <c r="A591" s="4" t="s">
        <v>3142</v>
      </c>
      <c r="B591" s="5" t="s">
        <v>3912</v>
      </c>
      <c r="C591" s="6" t="s">
        <v>23</v>
      </c>
      <c r="D591" s="6" t="s">
        <v>4445</v>
      </c>
      <c r="E591" s="7" t="s">
        <v>4443</v>
      </c>
    </row>
    <row r="592" spans="1:5" x14ac:dyDescent="0.25">
      <c r="A592" s="4" t="s">
        <v>3148</v>
      </c>
      <c r="B592" s="5" t="s">
        <v>3918</v>
      </c>
      <c r="C592" s="6" t="s">
        <v>23</v>
      </c>
      <c r="D592" s="6" t="s">
        <v>4445</v>
      </c>
      <c r="E592" s="7" t="s">
        <v>4443</v>
      </c>
    </row>
    <row r="593" spans="1:5" x14ac:dyDescent="0.25">
      <c r="A593" s="4" t="s">
        <v>3348</v>
      </c>
      <c r="B593" s="5" t="s">
        <v>4119</v>
      </c>
      <c r="C593" s="6" t="s">
        <v>23</v>
      </c>
      <c r="D593" s="6" t="s">
        <v>4445</v>
      </c>
      <c r="E593" s="7" t="s">
        <v>4443</v>
      </c>
    </row>
    <row r="594" spans="1:5" x14ac:dyDescent="0.25">
      <c r="A594" s="4" t="s">
        <v>3349</v>
      </c>
      <c r="B594" s="5" t="s">
        <v>4120</v>
      </c>
      <c r="C594" s="6" t="s">
        <v>23</v>
      </c>
      <c r="D594" s="6" t="s">
        <v>4445</v>
      </c>
      <c r="E594" s="7" t="s">
        <v>4443</v>
      </c>
    </row>
    <row r="595" spans="1:5" x14ac:dyDescent="0.25">
      <c r="A595" s="4" t="s">
        <v>3577</v>
      </c>
      <c r="B595" s="5" t="s">
        <v>902</v>
      </c>
      <c r="C595" s="6" t="s">
        <v>23</v>
      </c>
      <c r="D595" s="6" t="s">
        <v>24</v>
      </c>
      <c r="E595" s="7" t="s">
        <v>4446</v>
      </c>
    </row>
    <row r="596" spans="1:5" x14ac:dyDescent="0.25">
      <c r="A596" s="4" t="s">
        <v>3577</v>
      </c>
      <c r="B596" s="5" t="s">
        <v>903</v>
      </c>
      <c r="C596" s="6" t="s">
        <v>23</v>
      </c>
      <c r="D596" s="6" t="s">
        <v>24</v>
      </c>
      <c r="E596" s="7" t="s">
        <v>4446</v>
      </c>
    </row>
    <row r="597" spans="1:5" x14ac:dyDescent="0.25">
      <c r="A597" s="4" t="s">
        <v>3578</v>
      </c>
      <c r="B597" s="5" t="s">
        <v>4353</v>
      </c>
      <c r="C597" s="6" t="s">
        <v>23</v>
      </c>
      <c r="D597" s="6" t="s">
        <v>24</v>
      </c>
      <c r="E597" s="7" t="s">
        <v>4447</v>
      </c>
    </row>
    <row r="598" spans="1:5" x14ac:dyDescent="0.25">
      <c r="A598" s="4" t="s">
        <v>3579</v>
      </c>
      <c r="B598" s="5" t="s">
        <v>4354</v>
      </c>
      <c r="C598" s="6" t="s">
        <v>23</v>
      </c>
      <c r="D598" s="6" t="s">
        <v>24</v>
      </c>
      <c r="E598" s="7" t="s">
        <v>4448</v>
      </c>
    </row>
    <row r="599" spans="1:5" x14ac:dyDescent="0.25">
      <c r="A599" s="4" t="s">
        <v>3580</v>
      </c>
      <c r="B599" s="5" t="s">
        <v>4355</v>
      </c>
      <c r="C599" s="6" t="s">
        <v>23</v>
      </c>
      <c r="D599" s="6" t="s">
        <v>24</v>
      </c>
      <c r="E599" s="7" t="s">
        <v>4450</v>
      </c>
    </row>
    <row r="600" spans="1:5" x14ac:dyDescent="0.25">
      <c r="A600" s="4" t="s">
        <v>3604</v>
      </c>
      <c r="B600" s="5" t="s">
        <v>4381</v>
      </c>
      <c r="C600" s="6" t="s">
        <v>23</v>
      </c>
      <c r="D600" s="6" t="s">
        <v>4463</v>
      </c>
      <c r="E600" s="7" t="s">
        <v>86</v>
      </c>
    </row>
    <row r="601" spans="1:5" x14ac:dyDescent="0.25">
      <c r="A601" s="4" t="s">
        <v>905</v>
      </c>
      <c r="B601" s="5" t="s">
        <v>904</v>
      </c>
      <c r="C601" s="6" t="s">
        <v>23</v>
      </c>
      <c r="D601" s="6" t="s">
        <v>561</v>
      </c>
      <c r="E601" s="7" t="s">
        <v>67</v>
      </c>
    </row>
    <row r="602" spans="1:5" x14ac:dyDescent="0.25">
      <c r="A602" s="4" t="s">
        <v>2939</v>
      </c>
      <c r="B602" s="5" t="s">
        <v>3701</v>
      </c>
      <c r="C602" s="6" t="s">
        <v>23</v>
      </c>
      <c r="D602" s="6" t="s">
        <v>4445</v>
      </c>
      <c r="E602" s="7" t="s">
        <v>4443</v>
      </c>
    </row>
    <row r="603" spans="1:5" x14ac:dyDescent="0.25">
      <c r="A603" s="4" t="s">
        <v>3009</v>
      </c>
      <c r="B603" s="5" t="s">
        <v>3777</v>
      </c>
      <c r="C603" s="6" t="s">
        <v>23</v>
      </c>
      <c r="D603" s="6" t="s">
        <v>4445</v>
      </c>
      <c r="E603" s="7" t="s">
        <v>4443</v>
      </c>
    </row>
    <row r="604" spans="1:5" x14ac:dyDescent="0.25">
      <c r="A604" s="11" t="s">
        <v>3008</v>
      </c>
      <c r="B604" s="5" t="s">
        <v>3776</v>
      </c>
      <c r="C604" s="12" t="s">
        <v>23</v>
      </c>
      <c r="D604" s="12" t="s">
        <v>4445</v>
      </c>
      <c r="E604" s="7" t="s">
        <v>4443</v>
      </c>
    </row>
    <row r="605" spans="1:5" x14ac:dyDescent="0.25">
      <c r="A605" s="4" t="s">
        <v>3564</v>
      </c>
      <c r="B605" s="5" t="s">
        <v>4340</v>
      </c>
      <c r="C605" s="6" t="s">
        <v>23</v>
      </c>
      <c r="D605" s="6" t="s">
        <v>4445</v>
      </c>
      <c r="E605" s="7" t="s">
        <v>4443</v>
      </c>
    </row>
    <row r="606" spans="1:5" x14ac:dyDescent="0.25">
      <c r="A606" s="4" t="s">
        <v>3563</v>
      </c>
      <c r="B606" s="5" t="s">
        <v>4339</v>
      </c>
      <c r="C606" s="6" t="s">
        <v>23</v>
      </c>
      <c r="D606" s="6" t="s">
        <v>4445</v>
      </c>
      <c r="E606" s="7" t="s">
        <v>4443</v>
      </c>
    </row>
    <row r="607" spans="1:5" x14ac:dyDescent="0.25">
      <c r="A607" s="4" t="s">
        <v>3529</v>
      </c>
      <c r="B607" s="5" t="s">
        <v>4303</v>
      </c>
      <c r="C607" s="6" t="s">
        <v>23</v>
      </c>
      <c r="D607" s="6" t="s">
        <v>4445</v>
      </c>
      <c r="E607" s="7" t="s">
        <v>4443</v>
      </c>
    </row>
    <row r="608" spans="1:5" x14ac:dyDescent="0.25">
      <c r="A608" s="4" t="s">
        <v>2930</v>
      </c>
      <c r="B608" s="5" t="s">
        <v>3692</v>
      </c>
      <c r="C608" s="6" t="s">
        <v>23</v>
      </c>
      <c r="D608" s="6" t="s">
        <v>4445</v>
      </c>
      <c r="E608" s="7" t="s">
        <v>4443</v>
      </c>
    </row>
    <row r="609" spans="1:5" x14ac:dyDescent="0.25">
      <c r="A609" s="4" t="s">
        <v>3007</v>
      </c>
      <c r="B609" s="5" t="s">
        <v>3775</v>
      </c>
      <c r="C609" s="6" t="s">
        <v>23</v>
      </c>
      <c r="D609" s="6" t="s">
        <v>4445</v>
      </c>
      <c r="E609" s="7" t="s">
        <v>4443</v>
      </c>
    </row>
    <row r="610" spans="1:5" x14ac:dyDescent="0.25">
      <c r="A610" s="4" t="s">
        <v>3506</v>
      </c>
      <c r="B610" s="5" t="s">
        <v>4280</v>
      </c>
      <c r="C610" s="6" t="s">
        <v>23</v>
      </c>
      <c r="D610" s="6" t="s">
        <v>4445</v>
      </c>
      <c r="E610" s="7" t="s">
        <v>4443</v>
      </c>
    </row>
    <row r="611" spans="1:5" x14ac:dyDescent="0.25">
      <c r="A611" s="4" t="s">
        <v>3004</v>
      </c>
      <c r="B611" s="5" t="s">
        <v>3772</v>
      </c>
      <c r="C611" s="6" t="s">
        <v>23</v>
      </c>
      <c r="D611" s="6" t="s">
        <v>4445</v>
      </c>
      <c r="E611" s="7" t="s">
        <v>4443</v>
      </c>
    </row>
    <row r="612" spans="1:5" x14ac:dyDescent="0.25">
      <c r="A612" s="4" t="s">
        <v>3005</v>
      </c>
      <c r="B612" s="5" t="s">
        <v>3773</v>
      </c>
      <c r="C612" s="6" t="s">
        <v>23</v>
      </c>
      <c r="D612" s="6" t="s">
        <v>4445</v>
      </c>
      <c r="E612" s="7" t="s">
        <v>4443</v>
      </c>
    </row>
    <row r="613" spans="1:5" x14ac:dyDescent="0.25">
      <c r="A613" s="4" t="s">
        <v>2996</v>
      </c>
      <c r="B613" s="5" t="s">
        <v>3758</v>
      </c>
      <c r="C613" s="6" t="s">
        <v>23</v>
      </c>
      <c r="D613" s="6" t="s">
        <v>4445</v>
      </c>
      <c r="E613" s="7" t="s">
        <v>4443</v>
      </c>
    </row>
    <row r="614" spans="1:5" x14ac:dyDescent="0.25">
      <c r="A614" s="4" t="s">
        <v>3523</v>
      </c>
      <c r="B614" s="5" t="s">
        <v>4297</v>
      </c>
      <c r="C614" s="6" t="s">
        <v>23</v>
      </c>
      <c r="D614" s="6" t="s">
        <v>4445</v>
      </c>
      <c r="E614" s="7" t="s">
        <v>4443</v>
      </c>
    </row>
    <row r="615" spans="1:5" x14ac:dyDescent="0.25">
      <c r="A615" s="4" t="s">
        <v>3518</v>
      </c>
      <c r="B615" s="5" t="s">
        <v>4292</v>
      </c>
      <c r="C615" s="6" t="s">
        <v>23</v>
      </c>
      <c r="D615" s="6" t="s">
        <v>4445</v>
      </c>
      <c r="E615" s="7" t="s">
        <v>4443</v>
      </c>
    </row>
    <row r="616" spans="1:5" x14ac:dyDescent="0.25">
      <c r="A616" s="4" t="s">
        <v>3511</v>
      </c>
      <c r="B616" s="5" t="s">
        <v>4285</v>
      </c>
      <c r="C616" s="6" t="s">
        <v>23</v>
      </c>
      <c r="D616" s="6" t="s">
        <v>4445</v>
      </c>
      <c r="E616" s="7" t="s">
        <v>4443</v>
      </c>
    </row>
    <row r="617" spans="1:5" x14ac:dyDescent="0.25">
      <c r="A617" s="4" t="s">
        <v>3567</v>
      </c>
      <c r="B617" s="5" t="s">
        <v>4343</v>
      </c>
      <c r="C617" s="6" t="s">
        <v>23</v>
      </c>
      <c r="D617" s="6" t="s">
        <v>4445</v>
      </c>
      <c r="E617" s="7" t="s">
        <v>4443</v>
      </c>
    </row>
    <row r="618" spans="1:5" x14ac:dyDescent="0.25">
      <c r="A618" s="4" t="s">
        <v>2943</v>
      </c>
      <c r="B618" s="5" t="s">
        <v>3705</v>
      </c>
      <c r="C618" s="6" t="s">
        <v>23</v>
      </c>
      <c r="D618" s="6" t="s">
        <v>4445</v>
      </c>
      <c r="E618" s="7" t="s">
        <v>4443</v>
      </c>
    </row>
    <row r="619" spans="1:5" x14ac:dyDescent="0.25">
      <c r="A619" s="4" t="s">
        <v>3540</v>
      </c>
      <c r="B619" s="5" t="s">
        <v>4314</v>
      </c>
      <c r="C619" s="6" t="s">
        <v>23</v>
      </c>
      <c r="D619" s="6" t="s">
        <v>4445</v>
      </c>
      <c r="E619" s="7" t="s">
        <v>4443</v>
      </c>
    </row>
    <row r="620" spans="1:5" x14ac:dyDescent="0.25">
      <c r="A620" s="11" t="s">
        <v>3537</v>
      </c>
      <c r="B620" s="5" t="s">
        <v>4311</v>
      </c>
      <c r="C620" s="12" t="s">
        <v>23</v>
      </c>
      <c r="D620" s="12" t="s">
        <v>4445</v>
      </c>
      <c r="E620" s="7" t="s">
        <v>4443</v>
      </c>
    </row>
    <row r="621" spans="1:5" x14ac:dyDescent="0.25">
      <c r="A621" s="4" t="s">
        <v>3525</v>
      </c>
      <c r="B621" s="5" t="s">
        <v>4299</v>
      </c>
      <c r="C621" s="6" t="s">
        <v>23</v>
      </c>
      <c r="D621" s="6" t="s">
        <v>4445</v>
      </c>
      <c r="E621" s="7" t="s">
        <v>4443</v>
      </c>
    </row>
    <row r="622" spans="1:5" x14ac:dyDescent="0.25">
      <c r="A622" s="4" t="s">
        <v>3539</v>
      </c>
      <c r="B622" s="5" t="s">
        <v>4313</v>
      </c>
      <c r="C622" s="6" t="s">
        <v>23</v>
      </c>
      <c r="D622" s="6" t="s">
        <v>4445</v>
      </c>
      <c r="E622" s="7" t="s">
        <v>4443</v>
      </c>
    </row>
    <row r="623" spans="1:5" x14ac:dyDescent="0.25">
      <c r="A623" s="11" t="s">
        <v>3514</v>
      </c>
      <c r="B623" s="5" t="s">
        <v>4288</v>
      </c>
      <c r="C623" s="12" t="s">
        <v>23</v>
      </c>
      <c r="D623" s="12" t="s">
        <v>4445</v>
      </c>
      <c r="E623" s="7" t="s">
        <v>4443</v>
      </c>
    </row>
    <row r="624" spans="1:5" x14ac:dyDescent="0.25">
      <c r="A624" s="4" t="s">
        <v>3509</v>
      </c>
      <c r="B624" s="5" t="s">
        <v>4283</v>
      </c>
      <c r="C624" s="6" t="s">
        <v>23</v>
      </c>
      <c r="D624" s="6" t="s">
        <v>4445</v>
      </c>
      <c r="E624" s="7" t="s">
        <v>4443</v>
      </c>
    </row>
    <row r="625" spans="1:5" x14ac:dyDescent="0.25">
      <c r="A625" s="4" t="s">
        <v>3513</v>
      </c>
      <c r="B625" s="5" t="s">
        <v>4287</v>
      </c>
      <c r="C625" s="6" t="s">
        <v>23</v>
      </c>
      <c r="D625" s="6" t="s">
        <v>4445</v>
      </c>
      <c r="E625" s="7" t="s">
        <v>4443</v>
      </c>
    </row>
    <row r="626" spans="1:5" x14ac:dyDescent="0.25">
      <c r="A626" s="11" t="s">
        <v>3528</v>
      </c>
      <c r="B626" s="5" t="s">
        <v>4302</v>
      </c>
      <c r="C626" s="12" t="s">
        <v>23</v>
      </c>
      <c r="D626" s="12" t="s">
        <v>4445</v>
      </c>
      <c r="E626" s="7" t="s">
        <v>4443</v>
      </c>
    </row>
    <row r="627" spans="1:5" x14ac:dyDescent="0.25">
      <c r="A627" s="4" t="s">
        <v>2942</v>
      </c>
      <c r="B627" s="5" t="s">
        <v>3704</v>
      </c>
      <c r="C627" s="6" t="s">
        <v>23</v>
      </c>
      <c r="D627" s="6" t="s">
        <v>4445</v>
      </c>
      <c r="E627" s="7" t="s">
        <v>4443</v>
      </c>
    </row>
    <row r="628" spans="1:5" x14ac:dyDescent="0.25">
      <c r="A628" s="4" t="s">
        <v>3512</v>
      </c>
      <c r="B628" s="5" t="s">
        <v>4286</v>
      </c>
      <c r="C628" s="6" t="s">
        <v>23</v>
      </c>
      <c r="D628" s="6" t="s">
        <v>4445</v>
      </c>
      <c r="E628" s="7" t="s">
        <v>4443</v>
      </c>
    </row>
    <row r="629" spans="1:5" x14ac:dyDescent="0.25">
      <c r="A629" s="4" t="s">
        <v>3224</v>
      </c>
      <c r="B629" s="5" t="s">
        <v>3994</v>
      </c>
      <c r="C629" s="6" t="s">
        <v>23</v>
      </c>
      <c r="D629" s="6" t="s">
        <v>4445</v>
      </c>
      <c r="E629" s="7" t="s">
        <v>4443</v>
      </c>
    </row>
    <row r="630" spans="1:5" x14ac:dyDescent="0.25">
      <c r="A630" s="4" t="s">
        <v>3207</v>
      </c>
      <c r="B630" s="5" t="s">
        <v>3977</v>
      </c>
      <c r="C630" s="6" t="s">
        <v>23</v>
      </c>
      <c r="D630" s="6" t="s">
        <v>4445</v>
      </c>
      <c r="E630" s="7" t="s">
        <v>4443</v>
      </c>
    </row>
    <row r="631" spans="1:5" x14ac:dyDescent="0.25">
      <c r="A631" s="4" t="s">
        <v>3214</v>
      </c>
      <c r="B631" s="5" t="s">
        <v>3984</v>
      </c>
      <c r="C631" s="6" t="s">
        <v>23</v>
      </c>
      <c r="D631" s="6" t="s">
        <v>4445</v>
      </c>
      <c r="E631" s="7" t="s">
        <v>4443</v>
      </c>
    </row>
    <row r="632" spans="1:5" x14ac:dyDescent="0.25">
      <c r="A632" s="4" t="s">
        <v>3215</v>
      </c>
      <c r="B632" s="5" t="s">
        <v>3985</v>
      </c>
      <c r="C632" s="6" t="s">
        <v>23</v>
      </c>
      <c r="D632" s="6" t="s">
        <v>4445</v>
      </c>
      <c r="E632" s="7" t="s">
        <v>4443</v>
      </c>
    </row>
    <row r="633" spans="1:5" x14ac:dyDescent="0.25">
      <c r="A633" s="11" t="s">
        <v>3216</v>
      </c>
      <c r="B633" s="5" t="s">
        <v>3986</v>
      </c>
      <c r="C633" s="12" t="s">
        <v>23</v>
      </c>
      <c r="D633" s="12" t="s">
        <v>4445</v>
      </c>
      <c r="E633" s="7" t="s">
        <v>4443</v>
      </c>
    </row>
    <row r="634" spans="1:5" x14ac:dyDescent="0.25">
      <c r="A634" s="4" t="s">
        <v>3217</v>
      </c>
      <c r="B634" s="5" t="s">
        <v>3987</v>
      </c>
      <c r="C634" s="6" t="s">
        <v>23</v>
      </c>
      <c r="D634" s="6" t="s">
        <v>4445</v>
      </c>
      <c r="E634" s="7" t="s">
        <v>4443</v>
      </c>
    </row>
    <row r="635" spans="1:5" x14ac:dyDescent="0.25">
      <c r="A635" s="11" t="s">
        <v>3218</v>
      </c>
      <c r="B635" s="5" t="s">
        <v>3988</v>
      </c>
      <c r="C635" s="12" t="s">
        <v>23</v>
      </c>
      <c r="D635" s="12" t="s">
        <v>4445</v>
      </c>
      <c r="E635" s="7" t="s">
        <v>4443</v>
      </c>
    </row>
    <row r="636" spans="1:5" x14ac:dyDescent="0.25">
      <c r="A636" s="11" t="s">
        <v>3219</v>
      </c>
      <c r="B636" s="5" t="s">
        <v>3989</v>
      </c>
      <c r="C636" s="12" t="s">
        <v>23</v>
      </c>
      <c r="D636" s="12" t="s">
        <v>4445</v>
      </c>
      <c r="E636" s="7" t="s">
        <v>4443</v>
      </c>
    </row>
    <row r="637" spans="1:5" x14ac:dyDescent="0.25">
      <c r="A637" s="4" t="s">
        <v>3202</v>
      </c>
      <c r="B637" s="5" t="s">
        <v>3972</v>
      </c>
      <c r="C637" s="6" t="s">
        <v>23</v>
      </c>
      <c r="D637" s="6" t="s">
        <v>4445</v>
      </c>
      <c r="E637" s="7" t="s">
        <v>4443</v>
      </c>
    </row>
    <row r="638" spans="1:5" x14ac:dyDescent="0.25">
      <c r="A638" s="4" t="s">
        <v>3203</v>
      </c>
      <c r="B638" s="5" t="s">
        <v>3973</v>
      </c>
      <c r="C638" s="6" t="s">
        <v>23</v>
      </c>
      <c r="D638" s="6" t="s">
        <v>4445</v>
      </c>
      <c r="E638" s="7" t="s">
        <v>4443</v>
      </c>
    </row>
    <row r="639" spans="1:5" x14ac:dyDescent="0.25">
      <c r="A639" s="4" t="s">
        <v>3204</v>
      </c>
      <c r="B639" s="5" t="s">
        <v>3974</v>
      </c>
      <c r="C639" s="6" t="s">
        <v>23</v>
      </c>
      <c r="D639" s="6" t="s">
        <v>4445</v>
      </c>
      <c r="E639" s="7" t="s">
        <v>4443</v>
      </c>
    </row>
    <row r="640" spans="1:5" x14ac:dyDescent="0.25">
      <c r="A640" s="4" t="s">
        <v>3205</v>
      </c>
      <c r="B640" s="5" t="s">
        <v>3975</v>
      </c>
      <c r="C640" s="6" t="s">
        <v>23</v>
      </c>
      <c r="D640" s="6" t="s">
        <v>4445</v>
      </c>
      <c r="E640" s="7" t="s">
        <v>4443</v>
      </c>
    </row>
    <row r="641" spans="1:5" x14ac:dyDescent="0.25">
      <c r="A641" s="4" t="s">
        <v>3206</v>
      </c>
      <c r="B641" s="5" t="s">
        <v>3976</v>
      </c>
      <c r="C641" s="6" t="s">
        <v>23</v>
      </c>
      <c r="D641" s="6" t="s">
        <v>4445</v>
      </c>
      <c r="E641" s="7" t="s">
        <v>4443</v>
      </c>
    </row>
    <row r="642" spans="1:5" x14ac:dyDescent="0.25">
      <c r="A642" s="4" t="s">
        <v>2987</v>
      </c>
      <c r="B642" s="5" t="s">
        <v>3749</v>
      </c>
      <c r="C642" s="6" t="s">
        <v>23</v>
      </c>
      <c r="D642" s="6" t="s">
        <v>4445</v>
      </c>
      <c r="E642" s="7" t="s">
        <v>4443</v>
      </c>
    </row>
    <row r="643" spans="1:5" x14ac:dyDescent="0.25">
      <c r="A643" s="11" t="s">
        <v>2959</v>
      </c>
      <c r="B643" s="5" t="s">
        <v>3721</v>
      </c>
      <c r="C643" s="12" t="s">
        <v>23</v>
      </c>
      <c r="D643" s="12" t="s">
        <v>4445</v>
      </c>
      <c r="E643" s="7" t="s">
        <v>4443</v>
      </c>
    </row>
    <row r="644" spans="1:5" x14ac:dyDescent="0.25">
      <c r="A644" s="4" t="s">
        <v>3208</v>
      </c>
      <c r="B644" s="5" t="s">
        <v>3978</v>
      </c>
      <c r="C644" s="6" t="s">
        <v>23</v>
      </c>
      <c r="D644" s="6" t="s">
        <v>4445</v>
      </c>
      <c r="E644" s="7" t="s">
        <v>4443</v>
      </c>
    </row>
    <row r="645" spans="1:5" x14ac:dyDescent="0.25">
      <c r="A645" s="4" t="s">
        <v>3209</v>
      </c>
      <c r="B645" s="5" t="s">
        <v>3979</v>
      </c>
      <c r="C645" s="6" t="s">
        <v>23</v>
      </c>
      <c r="D645" s="6" t="s">
        <v>4445</v>
      </c>
      <c r="E645" s="7" t="s">
        <v>4443</v>
      </c>
    </row>
    <row r="646" spans="1:5" x14ac:dyDescent="0.25">
      <c r="A646" s="4" t="s">
        <v>3210</v>
      </c>
      <c r="B646" s="5" t="s">
        <v>3980</v>
      </c>
      <c r="C646" s="6" t="s">
        <v>23</v>
      </c>
      <c r="D646" s="6" t="s">
        <v>4445</v>
      </c>
      <c r="E646" s="7" t="s">
        <v>4443</v>
      </c>
    </row>
    <row r="647" spans="1:5" x14ac:dyDescent="0.25">
      <c r="A647" s="4" t="s">
        <v>3211</v>
      </c>
      <c r="B647" s="5" t="s">
        <v>3981</v>
      </c>
      <c r="C647" s="6" t="s">
        <v>23</v>
      </c>
      <c r="D647" s="6" t="s">
        <v>4445</v>
      </c>
      <c r="E647" s="7" t="s">
        <v>4443</v>
      </c>
    </row>
    <row r="648" spans="1:5" x14ac:dyDescent="0.25">
      <c r="A648" s="4" t="s">
        <v>3212</v>
      </c>
      <c r="B648" s="5" t="s">
        <v>3982</v>
      </c>
      <c r="C648" s="6" t="s">
        <v>23</v>
      </c>
      <c r="D648" s="6" t="s">
        <v>4445</v>
      </c>
      <c r="E648" s="7" t="s">
        <v>4443</v>
      </c>
    </row>
    <row r="649" spans="1:5" x14ac:dyDescent="0.25">
      <c r="A649" s="4" t="s">
        <v>3213</v>
      </c>
      <c r="B649" s="5" t="s">
        <v>3983</v>
      </c>
      <c r="C649" s="6" t="s">
        <v>23</v>
      </c>
      <c r="D649" s="6" t="s">
        <v>4445</v>
      </c>
      <c r="E649" s="7" t="s">
        <v>4443</v>
      </c>
    </row>
    <row r="650" spans="1:5" x14ac:dyDescent="0.25">
      <c r="A650" s="4" t="s">
        <v>2973</v>
      </c>
      <c r="B650" s="5" t="s">
        <v>3735</v>
      </c>
      <c r="C650" s="6" t="s">
        <v>23</v>
      </c>
      <c r="D650" s="6" t="s">
        <v>4445</v>
      </c>
      <c r="E650" s="7" t="s">
        <v>4443</v>
      </c>
    </row>
    <row r="651" spans="1:5" x14ac:dyDescent="0.25">
      <c r="A651" s="4" t="s">
        <v>2973</v>
      </c>
      <c r="B651" s="5" t="s">
        <v>3765</v>
      </c>
      <c r="C651" s="6" t="s">
        <v>23</v>
      </c>
      <c r="D651" s="6" t="s">
        <v>4445</v>
      </c>
      <c r="E651" s="7" t="s">
        <v>4443</v>
      </c>
    </row>
    <row r="652" spans="1:5" x14ac:dyDescent="0.25">
      <c r="A652" s="4" t="s">
        <v>2997</v>
      </c>
      <c r="B652" s="5" t="s">
        <v>3759</v>
      </c>
      <c r="C652" s="6" t="s">
        <v>23</v>
      </c>
      <c r="D652" s="6" t="s">
        <v>4445</v>
      </c>
      <c r="E652" s="7" t="s">
        <v>4443</v>
      </c>
    </row>
    <row r="653" spans="1:5" x14ac:dyDescent="0.25">
      <c r="A653" s="4" t="s">
        <v>2979</v>
      </c>
      <c r="B653" s="5" t="s">
        <v>3741</v>
      </c>
      <c r="C653" s="6" t="s">
        <v>23</v>
      </c>
      <c r="D653" s="6" t="s">
        <v>4445</v>
      </c>
      <c r="E653" s="7" t="s">
        <v>4443</v>
      </c>
    </row>
    <row r="654" spans="1:5" x14ac:dyDescent="0.25">
      <c r="A654" s="4" t="s">
        <v>2966</v>
      </c>
      <c r="B654" s="5" t="s">
        <v>3728</v>
      </c>
      <c r="C654" s="6" t="s">
        <v>23</v>
      </c>
      <c r="D654" s="6" t="s">
        <v>4445</v>
      </c>
      <c r="E654" s="7" t="s">
        <v>4443</v>
      </c>
    </row>
    <row r="655" spans="1:5" x14ac:dyDescent="0.25">
      <c r="A655" s="4" t="s">
        <v>2988</v>
      </c>
      <c r="B655" s="5" t="s">
        <v>3750</v>
      </c>
      <c r="C655" s="6" t="s">
        <v>23</v>
      </c>
      <c r="D655" s="6" t="s">
        <v>4445</v>
      </c>
      <c r="E655" s="7" t="s">
        <v>4443</v>
      </c>
    </row>
    <row r="656" spans="1:5" x14ac:dyDescent="0.25">
      <c r="A656" s="4" t="s">
        <v>2931</v>
      </c>
      <c r="B656" s="5" t="s">
        <v>3693</v>
      </c>
      <c r="C656" s="6" t="s">
        <v>23</v>
      </c>
      <c r="D656" s="6" t="s">
        <v>4445</v>
      </c>
      <c r="E656" s="7" t="s">
        <v>4443</v>
      </c>
    </row>
    <row r="657" spans="1:5" x14ac:dyDescent="0.25">
      <c r="A657" s="4" t="s">
        <v>2960</v>
      </c>
      <c r="B657" s="5" t="s">
        <v>3722</v>
      </c>
      <c r="C657" s="6" t="s">
        <v>23</v>
      </c>
      <c r="D657" s="6" t="s">
        <v>4445</v>
      </c>
      <c r="E657" s="7" t="s">
        <v>4443</v>
      </c>
    </row>
    <row r="658" spans="1:5" x14ac:dyDescent="0.25">
      <c r="A658" s="4" t="s">
        <v>2998</v>
      </c>
      <c r="B658" s="5" t="s">
        <v>3760</v>
      </c>
      <c r="C658" s="6" t="s">
        <v>23</v>
      </c>
      <c r="D658" s="6" t="s">
        <v>4445</v>
      </c>
      <c r="E658" s="7" t="s">
        <v>4443</v>
      </c>
    </row>
    <row r="659" spans="1:5" x14ac:dyDescent="0.25">
      <c r="A659" s="4" t="s">
        <v>2980</v>
      </c>
      <c r="B659" s="5" t="s">
        <v>3742</v>
      </c>
      <c r="C659" s="6" t="s">
        <v>23</v>
      </c>
      <c r="D659" s="6" t="s">
        <v>4445</v>
      </c>
      <c r="E659" s="7" t="s">
        <v>4443</v>
      </c>
    </row>
    <row r="660" spans="1:5" x14ac:dyDescent="0.25">
      <c r="A660" s="4" t="s">
        <v>2967</v>
      </c>
      <c r="B660" s="5" t="s">
        <v>3729</v>
      </c>
      <c r="C660" s="6" t="s">
        <v>23</v>
      </c>
      <c r="D660" s="6" t="s">
        <v>4445</v>
      </c>
      <c r="E660" s="7" t="s">
        <v>4443</v>
      </c>
    </row>
    <row r="661" spans="1:5" x14ac:dyDescent="0.25">
      <c r="A661" s="4" t="s">
        <v>2961</v>
      </c>
      <c r="B661" s="5" t="s">
        <v>3723</v>
      </c>
      <c r="C661" s="6" t="s">
        <v>23</v>
      </c>
      <c r="D661" s="6" t="s">
        <v>4445</v>
      </c>
      <c r="E661" s="7" t="s">
        <v>4443</v>
      </c>
    </row>
    <row r="662" spans="1:5" x14ac:dyDescent="0.25">
      <c r="A662" s="4" t="s">
        <v>2932</v>
      </c>
      <c r="B662" s="5" t="s">
        <v>3694</v>
      </c>
      <c r="C662" s="6" t="s">
        <v>23</v>
      </c>
      <c r="D662" s="6" t="s">
        <v>4445</v>
      </c>
      <c r="E662" s="7" t="s">
        <v>4443</v>
      </c>
    </row>
    <row r="663" spans="1:5" x14ac:dyDescent="0.25">
      <c r="A663" s="4" t="s">
        <v>2995</v>
      </c>
      <c r="B663" s="5" t="s">
        <v>3757</v>
      </c>
      <c r="C663" s="6" t="s">
        <v>23</v>
      </c>
      <c r="D663" s="6" t="s">
        <v>4445</v>
      </c>
      <c r="E663" s="7" t="s">
        <v>4443</v>
      </c>
    </row>
    <row r="664" spans="1:5" x14ac:dyDescent="0.25">
      <c r="A664" s="4" t="s">
        <v>2989</v>
      </c>
      <c r="B664" s="5" t="s">
        <v>3751</v>
      </c>
      <c r="C664" s="6" t="s">
        <v>23</v>
      </c>
      <c r="D664" s="6" t="s">
        <v>4445</v>
      </c>
      <c r="E664" s="7" t="s">
        <v>4443</v>
      </c>
    </row>
    <row r="665" spans="1:5" x14ac:dyDescent="0.25">
      <c r="A665" s="4" t="s">
        <v>2974</v>
      </c>
      <c r="B665" s="5" t="s">
        <v>3736</v>
      </c>
      <c r="C665" s="6" t="s">
        <v>23</v>
      </c>
      <c r="D665" s="6" t="s">
        <v>4445</v>
      </c>
      <c r="E665" s="7" t="s">
        <v>4443</v>
      </c>
    </row>
    <row r="666" spans="1:5" x14ac:dyDescent="0.25">
      <c r="A666" s="4" t="s">
        <v>2974</v>
      </c>
      <c r="B666" s="5" t="s">
        <v>3766</v>
      </c>
      <c r="C666" s="6" t="s">
        <v>23</v>
      </c>
      <c r="D666" s="6" t="s">
        <v>4445</v>
      </c>
      <c r="E666" s="7" t="s">
        <v>4443</v>
      </c>
    </row>
    <row r="667" spans="1:5" x14ac:dyDescent="0.25">
      <c r="A667" s="4" t="s">
        <v>2975</v>
      </c>
      <c r="B667" s="5" t="s">
        <v>3737</v>
      </c>
      <c r="C667" s="6" t="s">
        <v>23</v>
      </c>
      <c r="D667" s="6" t="s">
        <v>4445</v>
      </c>
      <c r="E667" s="7" t="s">
        <v>4443</v>
      </c>
    </row>
    <row r="668" spans="1:5" x14ac:dyDescent="0.25">
      <c r="A668" s="4" t="s">
        <v>2975</v>
      </c>
      <c r="B668" s="5" t="s">
        <v>3767</v>
      </c>
      <c r="C668" s="6" t="s">
        <v>23</v>
      </c>
      <c r="D668" s="6" t="s">
        <v>4445</v>
      </c>
      <c r="E668" s="7" t="s">
        <v>4443</v>
      </c>
    </row>
    <row r="669" spans="1:5" x14ac:dyDescent="0.25">
      <c r="A669" s="4" t="s">
        <v>2999</v>
      </c>
      <c r="B669" s="5" t="s">
        <v>3761</v>
      </c>
      <c r="C669" s="6" t="s">
        <v>23</v>
      </c>
      <c r="D669" s="6" t="s">
        <v>4445</v>
      </c>
      <c r="E669" s="7" t="s">
        <v>4443</v>
      </c>
    </row>
    <row r="670" spans="1:5" x14ac:dyDescent="0.25">
      <c r="A670" s="4" t="s">
        <v>2981</v>
      </c>
      <c r="B670" s="5" t="s">
        <v>3743</v>
      </c>
      <c r="C670" s="6" t="s">
        <v>23</v>
      </c>
      <c r="D670" s="6" t="s">
        <v>4445</v>
      </c>
      <c r="E670" s="7" t="s">
        <v>4443</v>
      </c>
    </row>
    <row r="671" spans="1:5" x14ac:dyDescent="0.25">
      <c r="A671" s="4" t="s">
        <v>2968</v>
      </c>
      <c r="B671" s="5" t="s">
        <v>3730</v>
      </c>
      <c r="C671" s="6" t="s">
        <v>23</v>
      </c>
      <c r="D671" s="6" t="s">
        <v>4445</v>
      </c>
      <c r="E671" s="7" t="s">
        <v>4443</v>
      </c>
    </row>
    <row r="672" spans="1:5" x14ac:dyDescent="0.25">
      <c r="A672" s="4" t="s">
        <v>2990</v>
      </c>
      <c r="B672" s="5" t="s">
        <v>3752</v>
      </c>
      <c r="C672" s="6" t="s">
        <v>23</v>
      </c>
      <c r="D672" s="6" t="s">
        <v>4445</v>
      </c>
      <c r="E672" s="7" t="s">
        <v>4443</v>
      </c>
    </row>
    <row r="673" spans="1:5" x14ac:dyDescent="0.25">
      <c r="A673" s="4" t="s">
        <v>2962</v>
      </c>
      <c r="B673" s="5" t="s">
        <v>3724</v>
      </c>
      <c r="C673" s="6" t="s">
        <v>23</v>
      </c>
      <c r="D673" s="6" t="s">
        <v>4445</v>
      </c>
      <c r="E673" s="7" t="s">
        <v>4443</v>
      </c>
    </row>
    <row r="674" spans="1:5" x14ac:dyDescent="0.25">
      <c r="A674" s="4" t="s">
        <v>3315</v>
      </c>
      <c r="B674" s="5" t="s">
        <v>4088</v>
      </c>
      <c r="C674" s="6" t="s">
        <v>23</v>
      </c>
      <c r="D674" s="6" t="s">
        <v>4445</v>
      </c>
      <c r="E674" s="7" t="s">
        <v>4443</v>
      </c>
    </row>
    <row r="675" spans="1:5" x14ac:dyDescent="0.25">
      <c r="A675" s="4" t="s">
        <v>2976</v>
      </c>
      <c r="B675" s="5" t="s">
        <v>3738</v>
      </c>
      <c r="C675" s="6" t="s">
        <v>23</v>
      </c>
      <c r="D675" s="6" t="s">
        <v>4445</v>
      </c>
      <c r="E675" s="7" t="s">
        <v>4443</v>
      </c>
    </row>
    <row r="676" spans="1:5" x14ac:dyDescent="0.25">
      <c r="A676" s="4" t="s">
        <v>2976</v>
      </c>
      <c r="B676" s="5" t="s">
        <v>3768</v>
      </c>
      <c r="C676" s="6" t="s">
        <v>23</v>
      </c>
      <c r="D676" s="6" t="s">
        <v>4445</v>
      </c>
      <c r="E676" s="7" t="s">
        <v>4443</v>
      </c>
    </row>
    <row r="677" spans="1:5" x14ac:dyDescent="0.25">
      <c r="A677" s="4" t="s">
        <v>3000</v>
      </c>
      <c r="B677" s="5" t="s">
        <v>3762</v>
      </c>
      <c r="C677" s="6" t="s">
        <v>23</v>
      </c>
      <c r="D677" s="6" t="s">
        <v>4445</v>
      </c>
      <c r="E677" s="7" t="s">
        <v>4443</v>
      </c>
    </row>
    <row r="678" spans="1:5" x14ac:dyDescent="0.25">
      <c r="A678" s="4" t="s">
        <v>2982</v>
      </c>
      <c r="B678" s="5" t="s">
        <v>3744</v>
      </c>
      <c r="C678" s="6" t="s">
        <v>23</v>
      </c>
      <c r="D678" s="6" t="s">
        <v>4445</v>
      </c>
      <c r="E678" s="7" t="s">
        <v>4443</v>
      </c>
    </row>
    <row r="679" spans="1:5" x14ac:dyDescent="0.25">
      <c r="A679" s="4" t="s">
        <v>2969</v>
      </c>
      <c r="B679" s="5" t="s">
        <v>3731</v>
      </c>
      <c r="C679" s="6" t="s">
        <v>23</v>
      </c>
      <c r="D679" s="6" t="s">
        <v>4445</v>
      </c>
      <c r="E679" s="7" t="s">
        <v>4443</v>
      </c>
    </row>
    <row r="680" spans="1:5" x14ac:dyDescent="0.25">
      <c r="A680" s="4" t="s">
        <v>2991</v>
      </c>
      <c r="B680" s="5" t="s">
        <v>3753</v>
      </c>
      <c r="C680" s="6" t="s">
        <v>23</v>
      </c>
      <c r="D680" s="6" t="s">
        <v>4445</v>
      </c>
      <c r="E680" s="7" t="s">
        <v>4443</v>
      </c>
    </row>
    <row r="681" spans="1:5" x14ac:dyDescent="0.25">
      <c r="A681" s="11" t="s">
        <v>2963</v>
      </c>
      <c r="B681" s="5" t="s">
        <v>3725</v>
      </c>
      <c r="C681" s="12" t="s">
        <v>23</v>
      </c>
      <c r="D681" s="12" t="s">
        <v>4445</v>
      </c>
      <c r="E681" s="7" t="s">
        <v>4443</v>
      </c>
    </row>
    <row r="682" spans="1:5" x14ac:dyDescent="0.25">
      <c r="A682" s="11" t="s">
        <v>3535</v>
      </c>
      <c r="B682" s="5" t="s">
        <v>4309</v>
      </c>
      <c r="C682" s="12" t="s">
        <v>23</v>
      </c>
      <c r="D682" s="12" t="s">
        <v>4445</v>
      </c>
      <c r="E682" s="7" t="s">
        <v>4443</v>
      </c>
    </row>
    <row r="683" spans="1:5" x14ac:dyDescent="0.25">
      <c r="A683" s="4" t="s">
        <v>2985</v>
      </c>
      <c r="B683" s="5" t="s">
        <v>3747</v>
      </c>
      <c r="C683" s="6" t="s">
        <v>23</v>
      </c>
      <c r="D683" s="6" t="s">
        <v>4445</v>
      </c>
      <c r="E683" s="7" t="s">
        <v>4443</v>
      </c>
    </row>
    <row r="684" spans="1:5" x14ac:dyDescent="0.25">
      <c r="A684" s="4" t="s">
        <v>3515</v>
      </c>
      <c r="B684" s="5" t="s">
        <v>4289</v>
      </c>
      <c r="C684" s="6" t="s">
        <v>23</v>
      </c>
      <c r="D684" s="6" t="s">
        <v>4445</v>
      </c>
      <c r="E684" s="7" t="s">
        <v>4443</v>
      </c>
    </row>
    <row r="685" spans="1:5" x14ac:dyDescent="0.25">
      <c r="A685" s="4" t="s">
        <v>2919</v>
      </c>
      <c r="B685" s="5" t="s">
        <v>3681</v>
      </c>
      <c r="C685" s="6" t="s">
        <v>23</v>
      </c>
      <c r="D685" s="6" t="s">
        <v>4445</v>
      </c>
      <c r="E685" s="7" t="s">
        <v>4443</v>
      </c>
    </row>
    <row r="686" spans="1:5" x14ac:dyDescent="0.25">
      <c r="A686" s="4" t="s">
        <v>2917</v>
      </c>
      <c r="B686" s="5" t="s">
        <v>3679</v>
      </c>
      <c r="C686" s="6" t="s">
        <v>23</v>
      </c>
      <c r="D686" s="6" t="s">
        <v>4445</v>
      </c>
      <c r="E686" s="7" t="s">
        <v>4443</v>
      </c>
    </row>
    <row r="687" spans="1:5" x14ac:dyDescent="0.25">
      <c r="A687" s="4" t="s">
        <v>2926</v>
      </c>
      <c r="B687" s="5" t="s">
        <v>3688</v>
      </c>
      <c r="C687" s="6" t="s">
        <v>23</v>
      </c>
      <c r="D687" s="6" t="s">
        <v>4445</v>
      </c>
      <c r="E687" s="7" t="s">
        <v>4443</v>
      </c>
    </row>
    <row r="688" spans="1:5" x14ac:dyDescent="0.25">
      <c r="A688" s="4" t="s">
        <v>2920</v>
      </c>
      <c r="B688" s="5" t="s">
        <v>3682</v>
      </c>
      <c r="C688" s="6" t="s">
        <v>23</v>
      </c>
      <c r="D688" s="6" t="s">
        <v>4445</v>
      </c>
      <c r="E688" s="7" t="s">
        <v>4443</v>
      </c>
    </row>
    <row r="689" spans="1:5" x14ac:dyDescent="0.25">
      <c r="A689" s="4" t="s">
        <v>2923</v>
      </c>
      <c r="B689" s="5" t="s">
        <v>3685</v>
      </c>
      <c r="C689" s="6" t="s">
        <v>23</v>
      </c>
      <c r="D689" s="6" t="s">
        <v>4445</v>
      </c>
      <c r="E689" s="7" t="s">
        <v>4443</v>
      </c>
    </row>
    <row r="690" spans="1:5" x14ac:dyDescent="0.25">
      <c r="A690" s="4" t="s">
        <v>2918</v>
      </c>
      <c r="B690" s="5" t="s">
        <v>3680</v>
      </c>
      <c r="C690" s="6" t="s">
        <v>23</v>
      </c>
      <c r="D690" s="6" t="s">
        <v>4445</v>
      </c>
      <c r="E690" s="7" t="s">
        <v>4443</v>
      </c>
    </row>
    <row r="691" spans="1:5" x14ac:dyDescent="0.25">
      <c r="A691" s="4" t="s">
        <v>2977</v>
      </c>
      <c r="B691" s="5" t="s">
        <v>3739</v>
      </c>
      <c r="C691" s="6" t="s">
        <v>23</v>
      </c>
      <c r="D691" s="6" t="s">
        <v>4445</v>
      </c>
      <c r="E691" s="7" t="s">
        <v>4443</v>
      </c>
    </row>
    <row r="692" spans="1:5" x14ac:dyDescent="0.25">
      <c r="A692" s="4" t="s">
        <v>2977</v>
      </c>
      <c r="B692" s="5" t="s">
        <v>3769</v>
      </c>
      <c r="C692" s="6" t="s">
        <v>23</v>
      </c>
      <c r="D692" s="6" t="s">
        <v>4445</v>
      </c>
      <c r="E692" s="7" t="s">
        <v>4443</v>
      </c>
    </row>
    <row r="693" spans="1:5" x14ac:dyDescent="0.25">
      <c r="A693" s="4" t="s">
        <v>3001</v>
      </c>
      <c r="B693" s="5" t="s">
        <v>3763</v>
      </c>
      <c r="C693" s="6" t="s">
        <v>23</v>
      </c>
      <c r="D693" s="6" t="s">
        <v>4445</v>
      </c>
      <c r="E693" s="7" t="s">
        <v>4443</v>
      </c>
    </row>
    <row r="694" spans="1:5" x14ac:dyDescent="0.25">
      <c r="A694" s="4" t="s">
        <v>2983</v>
      </c>
      <c r="B694" s="5" t="s">
        <v>3745</v>
      </c>
      <c r="C694" s="6" t="s">
        <v>23</v>
      </c>
      <c r="D694" s="6" t="s">
        <v>4445</v>
      </c>
      <c r="E694" s="7" t="s">
        <v>4443</v>
      </c>
    </row>
    <row r="695" spans="1:5" x14ac:dyDescent="0.25">
      <c r="A695" s="4" t="s">
        <v>2970</v>
      </c>
      <c r="B695" s="5" t="s">
        <v>3732</v>
      </c>
      <c r="C695" s="6" t="s">
        <v>23</v>
      </c>
      <c r="D695" s="6" t="s">
        <v>4445</v>
      </c>
      <c r="E695" s="7" t="s">
        <v>4443</v>
      </c>
    </row>
    <row r="696" spans="1:5" x14ac:dyDescent="0.25">
      <c r="A696" s="4" t="s">
        <v>2992</v>
      </c>
      <c r="B696" s="5" t="s">
        <v>3754</v>
      </c>
      <c r="C696" s="6" t="s">
        <v>23</v>
      </c>
      <c r="D696" s="6" t="s">
        <v>4445</v>
      </c>
      <c r="E696" s="7" t="s">
        <v>4443</v>
      </c>
    </row>
    <row r="697" spans="1:5" x14ac:dyDescent="0.25">
      <c r="A697" s="4" t="s">
        <v>2964</v>
      </c>
      <c r="B697" s="5" t="s">
        <v>3726</v>
      </c>
      <c r="C697" s="6" t="s">
        <v>23</v>
      </c>
      <c r="D697" s="6" t="s">
        <v>4445</v>
      </c>
      <c r="E697" s="7" t="s">
        <v>4443</v>
      </c>
    </row>
    <row r="698" spans="1:5" x14ac:dyDescent="0.25">
      <c r="A698" s="4" t="s">
        <v>3503</v>
      </c>
      <c r="B698" s="5" t="s">
        <v>4277</v>
      </c>
      <c r="C698" s="6" t="s">
        <v>23</v>
      </c>
      <c r="D698" s="6" t="s">
        <v>4445</v>
      </c>
      <c r="E698" s="7" t="s">
        <v>4443</v>
      </c>
    </row>
    <row r="699" spans="1:5" x14ac:dyDescent="0.25">
      <c r="A699" s="4" t="s">
        <v>3519</v>
      </c>
      <c r="B699" s="5" t="s">
        <v>4293</v>
      </c>
      <c r="C699" s="6" t="s">
        <v>23</v>
      </c>
      <c r="D699" s="6" t="s">
        <v>4445</v>
      </c>
      <c r="E699" s="7" t="s">
        <v>4443</v>
      </c>
    </row>
    <row r="700" spans="1:5" x14ac:dyDescent="0.25">
      <c r="A700" s="4" t="s">
        <v>2986</v>
      </c>
      <c r="B700" s="5" t="s">
        <v>3748</v>
      </c>
      <c r="C700" s="6" t="s">
        <v>23</v>
      </c>
      <c r="D700" s="6" t="s">
        <v>4445</v>
      </c>
      <c r="E700" s="7" t="s">
        <v>4443</v>
      </c>
    </row>
    <row r="701" spans="1:5" x14ac:dyDescent="0.25">
      <c r="A701" s="4" t="s">
        <v>2972</v>
      </c>
      <c r="B701" s="5" t="s">
        <v>3734</v>
      </c>
      <c r="C701" s="6" t="s">
        <v>23</v>
      </c>
      <c r="D701" s="6" t="s">
        <v>4445</v>
      </c>
      <c r="E701" s="7" t="s">
        <v>4443</v>
      </c>
    </row>
    <row r="702" spans="1:5" x14ac:dyDescent="0.25">
      <c r="A702" s="4" t="s">
        <v>3401</v>
      </c>
      <c r="B702" s="5" t="s">
        <v>4174</v>
      </c>
      <c r="C702" s="6" t="s">
        <v>23</v>
      </c>
      <c r="D702" s="6" t="s">
        <v>4445</v>
      </c>
      <c r="E702" s="7" t="s">
        <v>4443</v>
      </c>
    </row>
    <row r="703" spans="1:5" x14ac:dyDescent="0.25">
      <c r="A703" s="4" t="s">
        <v>3568</v>
      </c>
      <c r="B703" s="5" t="s">
        <v>4344</v>
      </c>
      <c r="C703" s="6" t="s">
        <v>23</v>
      </c>
      <c r="D703" s="6" t="s">
        <v>4445</v>
      </c>
      <c r="E703" s="7" t="s">
        <v>4443</v>
      </c>
    </row>
    <row r="704" spans="1:5" x14ac:dyDescent="0.25">
      <c r="A704" s="4" t="s">
        <v>3510</v>
      </c>
      <c r="B704" s="5" t="s">
        <v>4284</v>
      </c>
      <c r="C704" s="6" t="s">
        <v>23</v>
      </c>
      <c r="D704" s="6" t="s">
        <v>4445</v>
      </c>
      <c r="E704" s="7" t="s">
        <v>4443</v>
      </c>
    </row>
    <row r="705" spans="1:5" x14ac:dyDescent="0.25">
      <c r="A705" s="4" t="s">
        <v>2941</v>
      </c>
      <c r="B705" s="5" t="s">
        <v>3703</v>
      </c>
      <c r="C705" s="6" t="s">
        <v>23</v>
      </c>
      <c r="D705" s="6" t="s">
        <v>4445</v>
      </c>
      <c r="E705" s="7" t="s">
        <v>4443</v>
      </c>
    </row>
    <row r="706" spans="1:5" x14ac:dyDescent="0.25">
      <c r="A706" s="4" t="s">
        <v>2994</v>
      </c>
      <c r="B706" s="5" t="s">
        <v>3756</v>
      </c>
      <c r="C706" s="6" t="s">
        <v>23</v>
      </c>
      <c r="D706" s="6" t="s">
        <v>4445</v>
      </c>
      <c r="E706" s="7" t="s">
        <v>4443</v>
      </c>
    </row>
    <row r="707" spans="1:5" x14ac:dyDescent="0.25">
      <c r="A707" s="4" t="s">
        <v>2978</v>
      </c>
      <c r="B707" s="5" t="s">
        <v>3740</v>
      </c>
      <c r="C707" s="6" t="s">
        <v>23</v>
      </c>
      <c r="D707" s="6" t="s">
        <v>4445</v>
      </c>
      <c r="E707" s="7" t="s">
        <v>4443</v>
      </c>
    </row>
    <row r="708" spans="1:5" x14ac:dyDescent="0.25">
      <c r="A708" s="4" t="s">
        <v>2978</v>
      </c>
      <c r="B708" s="5" t="s">
        <v>3770</v>
      </c>
      <c r="C708" s="6" t="s">
        <v>23</v>
      </c>
      <c r="D708" s="6" t="s">
        <v>4445</v>
      </c>
      <c r="E708" s="7" t="s">
        <v>4443</v>
      </c>
    </row>
    <row r="709" spans="1:5" x14ac:dyDescent="0.25">
      <c r="A709" s="4" t="s">
        <v>3002</v>
      </c>
      <c r="B709" s="5" t="s">
        <v>3764</v>
      </c>
      <c r="C709" s="6" t="s">
        <v>23</v>
      </c>
      <c r="D709" s="6" t="s">
        <v>4445</v>
      </c>
      <c r="E709" s="7" t="s">
        <v>4443</v>
      </c>
    </row>
    <row r="710" spans="1:5" x14ac:dyDescent="0.25">
      <c r="A710" s="4" t="s">
        <v>2984</v>
      </c>
      <c r="B710" s="5" t="s">
        <v>3746</v>
      </c>
      <c r="C710" s="6" t="s">
        <v>23</v>
      </c>
      <c r="D710" s="6" t="s">
        <v>4445</v>
      </c>
      <c r="E710" s="7" t="s">
        <v>4443</v>
      </c>
    </row>
    <row r="711" spans="1:5" x14ac:dyDescent="0.25">
      <c r="A711" s="4" t="s">
        <v>2971</v>
      </c>
      <c r="B711" s="5" t="s">
        <v>3733</v>
      </c>
      <c r="C711" s="6" t="s">
        <v>23</v>
      </c>
      <c r="D711" s="6" t="s">
        <v>4445</v>
      </c>
      <c r="E711" s="7" t="s">
        <v>4443</v>
      </c>
    </row>
    <row r="712" spans="1:5" x14ac:dyDescent="0.25">
      <c r="A712" s="4" t="s">
        <v>2993</v>
      </c>
      <c r="B712" s="5" t="s">
        <v>3755</v>
      </c>
      <c r="C712" s="6" t="s">
        <v>23</v>
      </c>
      <c r="D712" s="6" t="s">
        <v>4445</v>
      </c>
      <c r="E712" s="7" t="s">
        <v>4443</v>
      </c>
    </row>
    <row r="713" spans="1:5" x14ac:dyDescent="0.25">
      <c r="A713" s="11" t="s">
        <v>2965</v>
      </c>
      <c r="B713" s="5" t="s">
        <v>3727</v>
      </c>
      <c r="C713" s="12" t="s">
        <v>23</v>
      </c>
      <c r="D713" s="12" t="s">
        <v>4445</v>
      </c>
      <c r="E713" s="7" t="s">
        <v>4443</v>
      </c>
    </row>
    <row r="714" spans="1:5" x14ac:dyDescent="0.25">
      <c r="A714" s="11" t="s">
        <v>3541</v>
      </c>
      <c r="B714" s="5" t="s">
        <v>4315</v>
      </c>
      <c r="C714" s="12" t="s">
        <v>23</v>
      </c>
      <c r="D714" s="12" t="s">
        <v>4445</v>
      </c>
      <c r="E714" s="7" t="s">
        <v>4443</v>
      </c>
    </row>
    <row r="715" spans="1:5" x14ac:dyDescent="0.25">
      <c r="A715" s="11" t="s">
        <v>3533</v>
      </c>
      <c r="B715" s="5" t="s">
        <v>4307</v>
      </c>
      <c r="C715" s="12" t="s">
        <v>23</v>
      </c>
      <c r="D715" s="12" t="s">
        <v>4445</v>
      </c>
      <c r="E715" s="7" t="s">
        <v>4443</v>
      </c>
    </row>
    <row r="716" spans="1:5" x14ac:dyDescent="0.25">
      <c r="A716" s="4" t="s">
        <v>3225</v>
      </c>
      <c r="B716" s="5" t="s">
        <v>3995</v>
      </c>
      <c r="C716" s="6" t="s">
        <v>23</v>
      </c>
      <c r="D716" s="6" t="s">
        <v>4445</v>
      </c>
      <c r="E716" s="7" t="s">
        <v>4443</v>
      </c>
    </row>
    <row r="717" spans="1:5" x14ac:dyDescent="0.25">
      <c r="A717" s="11" t="s">
        <v>3220</v>
      </c>
      <c r="B717" s="5" t="s">
        <v>3990</v>
      </c>
      <c r="C717" s="12" t="s">
        <v>23</v>
      </c>
      <c r="D717" s="12" t="s">
        <v>4445</v>
      </c>
      <c r="E717" s="7" t="s">
        <v>4443</v>
      </c>
    </row>
    <row r="718" spans="1:5" x14ac:dyDescent="0.25">
      <c r="A718" s="4" t="s">
        <v>3221</v>
      </c>
      <c r="B718" s="5" t="s">
        <v>3991</v>
      </c>
      <c r="C718" s="6" t="s">
        <v>23</v>
      </c>
      <c r="D718" s="6" t="s">
        <v>4445</v>
      </c>
      <c r="E718" s="7" t="s">
        <v>4443</v>
      </c>
    </row>
    <row r="719" spans="1:5" x14ac:dyDescent="0.25">
      <c r="A719" s="4" t="s">
        <v>3222</v>
      </c>
      <c r="B719" s="5" t="s">
        <v>3992</v>
      </c>
      <c r="C719" s="6" t="s">
        <v>23</v>
      </c>
      <c r="D719" s="6" t="s">
        <v>4445</v>
      </c>
      <c r="E719" s="7" t="s">
        <v>4443</v>
      </c>
    </row>
    <row r="720" spans="1:5" x14ac:dyDescent="0.25">
      <c r="A720" s="4" t="s">
        <v>3223</v>
      </c>
      <c r="B720" s="5" t="s">
        <v>3993</v>
      </c>
      <c r="C720" s="6" t="s">
        <v>23</v>
      </c>
      <c r="D720" s="6" t="s">
        <v>4445</v>
      </c>
      <c r="E720" s="7" t="s">
        <v>4443</v>
      </c>
    </row>
    <row r="721" spans="1:5" x14ac:dyDescent="0.25">
      <c r="A721" s="4" t="s">
        <v>3558</v>
      </c>
      <c r="B721" s="5" t="s">
        <v>4333</v>
      </c>
      <c r="C721" s="6" t="s">
        <v>23</v>
      </c>
      <c r="D721" s="6" t="s">
        <v>4445</v>
      </c>
      <c r="E721" s="7" t="s">
        <v>4443</v>
      </c>
    </row>
    <row r="722" spans="1:5" x14ac:dyDescent="0.25">
      <c r="A722" s="4" t="s">
        <v>3072</v>
      </c>
      <c r="B722" s="5" t="s">
        <v>3841</v>
      </c>
      <c r="C722" s="6" t="s">
        <v>23</v>
      </c>
      <c r="D722" s="6" t="s">
        <v>4445</v>
      </c>
      <c r="E722" s="7" t="s">
        <v>4443</v>
      </c>
    </row>
    <row r="723" spans="1:5" x14ac:dyDescent="0.25">
      <c r="A723" s="4" t="s">
        <v>2925</v>
      </c>
      <c r="B723" s="5" t="s">
        <v>3687</v>
      </c>
      <c r="C723" s="6" t="s">
        <v>23</v>
      </c>
      <c r="D723" s="6" t="s">
        <v>4445</v>
      </c>
      <c r="E723" s="7" t="s">
        <v>4443</v>
      </c>
    </row>
    <row r="724" spans="1:5" x14ac:dyDescent="0.25">
      <c r="A724" s="4" t="s">
        <v>2921</v>
      </c>
      <c r="B724" s="5" t="s">
        <v>3683</v>
      </c>
      <c r="C724" s="6" t="s">
        <v>23</v>
      </c>
      <c r="D724" s="6" t="s">
        <v>4445</v>
      </c>
      <c r="E724" s="7" t="s">
        <v>4443</v>
      </c>
    </row>
    <row r="725" spans="1:5" x14ac:dyDescent="0.25">
      <c r="A725" s="4" t="s">
        <v>2922</v>
      </c>
      <c r="B725" s="5" t="s">
        <v>3684</v>
      </c>
      <c r="C725" s="6" t="s">
        <v>23</v>
      </c>
      <c r="D725" s="6" t="s">
        <v>4445</v>
      </c>
      <c r="E725" s="7" t="s">
        <v>4443</v>
      </c>
    </row>
    <row r="726" spans="1:5" x14ac:dyDescent="0.25">
      <c r="A726" s="4" t="s">
        <v>3068</v>
      </c>
      <c r="B726" s="5" t="s">
        <v>3837</v>
      </c>
      <c r="C726" s="6" t="s">
        <v>23</v>
      </c>
      <c r="D726" s="6" t="s">
        <v>4445</v>
      </c>
      <c r="E726" s="7" t="s">
        <v>4443</v>
      </c>
    </row>
    <row r="727" spans="1:5" x14ac:dyDescent="0.25">
      <c r="A727" s="4" t="s">
        <v>3066</v>
      </c>
      <c r="B727" s="5" t="s">
        <v>3835</v>
      </c>
      <c r="C727" s="6" t="s">
        <v>23</v>
      </c>
      <c r="D727" s="6" t="s">
        <v>4445</v>
      </c>
      <c r="E727" s="7" t="s">
        <v>4443</v>
      </c>
    </row>
    <row r="728" spans="1:5" x14ac:dyDescent="0.25">
      <c r="A728" s="4" t="s">
        <v>3070</v>
      </c>
      <c r="B728" s="5" t="s">
        <v>3839</v>
      </c>
      <c r="C728" s="6" t="s">
        <v>23</v>
      </c>
      <c r="D728" s="6" t="s">
        <v>4445</v>
      </c>
      <c r="E728" s="7" t="s">
        <v>4443</v>
      </c>
    </row>
    <row r="729" spans="1:5" x14ac:dyDescent="0.25">
      <c r="A729" s="4" t="s">
        <v>3227</v>
      </c>
      <c r="B729" s="5" t="s">
        <v>3997</v>
      </c>
      <c r="C729" s="6" t="s">
        <v>23</v>
      </c>
      <c r="D729" s="6" t="s">
        <v>4445</v>
      </c>
      <c r="E729" s="7" t="s">
        <v>4443</v>
      </c>
    </row>
    <row r="730" spans="1:5" x14ac:dyDescent="0.25">
      <c r="A730" s="4" t="s">
        <v>3052</v>
      </c>
      <c r="B730" s="5" t="s">
        <v>3821</v>
      </c>
      <c r="C730" s="6" t="s">
        <v>23</v>
      </c>
      <c r="D730" s="6" t="s">
        <v>4445</v>
      </c>
      <c r="E730" s="7" t="s">
        <v>4443</v>
      </c>
    </row>
    <row r="731" spans="1:5" x14ac:dyDescent="0.25">
      <c r="A731" s="4" t="s">
        <v>3549</v>
      </c>
      <c r="B731" s="5" t="s">
        <v>4324</v>
      </c>
      <c r="C731" s="6" t="s">
        <v>23</v>
      </c>
      <c r="D731" s="6" t="s">
        <v>4445</v>
      </c>
      <c r="E731" s="7" t="s">
        <v>4443</v>
      </c>
    </row>
    <row r="732" spans="1:5" x14ac:dyDescent="0.25">
      <c r="A732" s="4" t="s">
        <v>3053</v>
      </c>
      <c r="B732" s="5" t="s">
        <v>3822</v>
      </c>
      <c r="C732" s="6" t="s">
        <v>23</v>
      </c>
      <c r="D732" s="6" t="s">
        <v>4445</v>
      </c>
      <c r="E732" s="7" t="s">
        <v>4443</v>
      </c>
    </row>
    <row r="733" spans="1:5" x14ac:dyDescent="0.25">
      <c r="A733" s="4" t="s">
        <v>3063</v>
      </c>
      <c r="B733" s="5" t="s">
        <v>3832</v>
      </c>
      <c r="C733" s="6" t="s">
        <v>23</v>
      </c>
      <c r="D733" s="6" t="s">
        <v>4445</v>
      </c>
      <c r="E733" s="7" t="s">
        <v>4443</v>
      </c>
    </row>
    <row r="734" spans="1:5" x14ac:dyDescent="0.25">
      <c r="A734" s="4" t="s">
        <v>3054</v>
      </c>
      <c r="B734" s="5" t="s">
        <v>3823</v>
      </c>
      <c r="C734" s="6" t="s">
        <v>23</v>
      </c>
      <c r="D734" s="6" t="s">
        <v>4445</v>
      </c>
      <c r="E734" s="7" t="s">
        <v>4443</v>
      </c>
    </row>
    <row r="735" spans="1:5" x14ac:dyDescent="0.25">
      <c r="A735" s="4" t="s">
        <v>3059</v>
      </c>
      <c r="B735" s="5" t="s">
        <v>3828</v>
      </c>
      <c r="C735" s="6" t="s">
        <v>23</v>
      </c>
      <c r="D735" s="6" t="s">
        <v>4445</v>
      </c>
      <c r="E735" s="7" t="s">
        <v>4443</v>
      </c>
    </row>
    <row r="736" spans="1:5" x14ac:dyDescent="0.25">
      <c r="A736" s="4" t="s">
        <v>3055</v>
      </c>
      <c r="B736" s="5" t="s">
        <v>3824</v>
      </c>
      <c r="C736" s="6" t="s">
        <v>23</v>
      </c>
      <c r="D736" s="6" t="s">
        <v>4445</v>
      </c>
      <c r="E736" s="7" t="s">
        <v>4443</v>
      </c>
    </row>
    <row r="737" spans="1:5" x14ac:dyDescent="0.25">
      <c r="A737" s="4" t="s">
        <v>3065</v>
      </c>
      <c r="B737" s="5" t="s">
        <v>3834</v>
      </c>
      <c r="C737" s="6" t="s">
        <v>23</v>
      </c>
      <c r="D737" s="6" t="s">
        <v>4445</v>
      </c>
      <c r="E737" s="7" t="s">
        <v>4443</v>
      </c>
    </row>
    <row r="738" spans="1:5" x14ac:dyDescent="0.25">
      <c r="A738" s="11" t="s">
        <v>3056</v>
      </c>
      <c r="B738" s="5" t="s">
        <v>3825</v>
      </c>
      <c r="C738" s="12" t="s">
        <v>23</v>
      </c>
      <c r="D738" s="12" t="s">
        <v>4445</v>
      </c>
      <c r="E738" s="7" t="s">
        <v>4443</v>
      </c>
    </row>
    <row r="739" spans="1:5" x14ac:dyDescent="0.25">
      <c r="A739" s="4" t="s">
        <v>3069</v>
      </c>
      <c r="B739" s="5" t="s">
        <v>3838</v>
      </c>
      <c r="C739" s="6" t="s">
        <v>23</v>
      </c>
      <c r="D739" s="6" t="s">
        <v>4445</v>
      </c>
      <c r="E739" s="7" t="s">
        <v>4443</v>
      </c>
    </row>
    <row r="740" spans="1:5" x14ac:dyDescent="0.25">
      <c r="A740" s="4" t="s">
        <v>3060</v>
      </c>
      <c r="B740" s="5" t="s">
        <v>3829</v>
      </c>
      <c r="C740" s="6" t="s">
        <v>23</v>
      </c>
      <c r="D740" s="6" t="s">
        <v>4445</v>
      </c>
      <c r="E740" s="7" t="s">
        <v>4443</v>
      </c>
    </row>
    <row r="741" spans="1:5" x14ac:dyDescent="0.25">
      <c r="A741" s="4" t="s">
        <v>3226</v>
      </c>
      <c r="B741" s="5" t="s">
        <v>3996</v>
      </c>
      <c r="C741" s="6" t="s">
        <v>23</v>
      </c>
      <c r="D741" s="6" t="s">
        <v>4445</v>
      </c>
      <c r="E741" s="7" t="s">
        <v>4443</v>
      </c>
    </row>
    <row r="742" spans="1:5" x14ac:dyDescent="0.25">
      <c r="A742" s="4" t="s">
        <v>3057</v>
      </c>
      <c r="B742" s="5" t="s">
        <v>3826</v>
      </c>
      <c r="C742" s="6" t="s">
        <v>23</v>
      </c>
      <c r="D742" s="6" t="s">
        <v>4445</v>
      </c>
      <c r="E742" s="7" t="s">
        <v>4443</v>
      </c>
    </row>
    <row r="743" spans="1:5" x14ac:dyDescent="0.25">
      <c r="A743" s="4" t="s">
        <v>3061</v>
      </c>
      <c r="B743" s="5" t="s">
        <v>3830</v>
      </c>
      <c r="C743" s="6" t="s">
        <v>23</v>
      </c>
      <c r="D743" s="6" t="s">
        <v>4445</v>
      </c>
      <c r="E743" s="7" t="s">
        <v>4443</v>
      </c>
    </row>
    <row r="744" spans="1:5" x14ac:dyDescent="0.25">
      <c r="A744" s="4" t="s">
        <v>3067</v>
      </c>
      <c r="B744" s="5" t="s">
        <v>3836</v>
      </c>
      <c r="C744" s="6" t="s">
        <v>23</v>
      </c>
      <c r="D744" s="6" t="s">
        <v>4445</v>
      </c>
      <c r="E744" s="7" t="s">
        <v>4443</v>
      </c>
    </row>
    <row r="745" spans="1:5" x14ac:dyDescent="0.25">
      <c r="A745" s="4" t="s">
        <v>3058</v>
      </c>
      <c r="B745" s="5" t="s">
        <v>3827</v>
      </c>
      <c r="C745" s="6" t="s">
        <v>23</v>
      </c>
      <c r="D745" s="6" t="s">
        <v>4445</v>
      </c>
      <c r="E745" s="7" t="s">
        <v>4443</v>
      </c>
    </row>
    <row r="746" spans="1:5" x14ac:dyDescent="0.25">
      <c r="A746" s="11" t="s">
        <v>3073</v>
      </c>
      <c r="B746" s="5" t="s">
        <v>3842</v>
      </c>
      <c r="C746" s="12" t="s">
        <v>23</v>
      </c>
      <c r="D746" s="12" t="s">
        <v>4445</v>
      </c>
      <c r="E746" s="7" t="s">
        <v>4443</v>
      </c>
    </row>
    <row r="747" spans="1:5" x14ac:dyDescent="0.25">
      <c r="A747" s="4" t="s">
        <v>3071</v>
      </c>
      <c r="B747" s="5" t="s">
        <v>3840</v>
      </c>
      <c r="C747" s="6" t="s">
        <v>23</v>
      </c>
      <c r="D747" s="6" t="s">
        <v>4445</v>
      </c>
      <c r="E747" s="7" t="s">
        <v>4443</v>
      </c>
    </row>
    <row r="748" spans="1:5" x14ac:dyDescent="0.25">
      <c r="A748" s="4" t="s">
        <v>3062</v>
      </c>
      <c r="B748" s="5" t="s">
        <v>3831</v>
      </c>
      <c r="C748" s="6" t="s">
        <v>23</v>
      </c>
      <c r="D748" s="6" t="s">
        <v>4445</v>
      </c>
      <c r="E748" s="7" t="s">
        <v>4443</v>
      </c>
    </row>
    <row r="749" spans="1:5" x14ac:dyDescent="0.25">
      <c r="A749" s="4" t="s">
        <v>3191</v>
      </c>
      <c r="B749" s="5" t="s">
        <v>3961</v>
      </c>
      <c r="C749" s="6" t="s">
        <v>23</v>
      </c>
      <c r="D749" s="6" t="s">
        <v>4445</v>
      </c>
      <c r="E749" s="7" t="s">
        <v>4443</v>
      </c>
    </row>
    <row r="750" spans="1:5" x14ac:dyDescent="0.25">
      <c r="A750" s="4" t="s">
        <v>3192</v>
      </c>
      <c r="B750" s="5" t="s">
        <v>3962</v>
      </c>
      <c r="C750" s="6" t="s">
        <v>23</v>
      </c>
      <c r="D750" s="6" t="s">
        <v>4445</v>
      </c>
      <c r="E750" s="7" t="s">
        <v>4443</v>
      </c>
    </row>
    <row r="751" spans="1:5" x14ac:dyDescent="0.25">
      <c r="A751" s="4" t="s">
        <v>3193</v>
      </c>
      <c r="B751" s="5" t="s">
        <v>3963</v>
      </c>
      <c r="C751" s="6" t="s">
        <v>23</v>
      </c>
      <c r="D751" s="6" t="s">
        <v>4445</v>
      </c>
      <c r="E751" s="7" t="s">
        <v>4443</v>
      </c>
    </row>
    <row r="752" spans="1:5" x14ac:dyDescent="0.25">
      <c r="A752" s="4" t="s">
        <v>3194</v>
      </c>
      <c r="B752" s="5" t="s">
        <v>3964</v>
      </c>
      <c r="C752" s="6" t="s">
        <v>23</v>
      </c>
      <c r="D752" s="6" t="s">
        <v>4445</v>
      </c>
      <c r="E752" s="7" t="s">
        <v>4443</v>
      </c>
    </row>
    <row r="753" spans="1:5" x14ac:dyDescent="0.25">
      <c r="A753" s="4" t="s">
        <v>3195</v>
      </c>
      <c r="B753" s="5" t="s">
        <v>3965</v>
      </c>
      <c r="C753" s="6" t="s">
        <v>23</v>
      </c>
      <c r="D753" s="6" t="s">
        <v>4445</v>
      </c>
      <c r="E753" s="7" t="s">
        <v>4443</v>
      </c>
    </row>
    <row r="754" spans="1:5" x14ac:dyDescent="0.25">
      <c r="A754" s="4" t="s">
        <v>3196</v>
      </c>
      <c r="B754" s="5" t="s">
        <v>3966</v>
      </c>
      <c r="C754" s="6" t="s">
        <v>23</v>
      </c>
      <c r="D754" s="6" t="s">
        <v>4445</v>
      </c>
      <c r="E754" s="7" t="s">
        <v>4443</v>
      </c>
    </row>
    <row r="755" spans="1:5" x14ac:dyDescent="0.25">
      <c r="A755" s="11" t="s">
        <v>2928</v>
      </c>
      <c r="B755" s="5" t="s">
        <v>3690</v>
      </c>
      <c r="C755" s="12" t="s">
        <v>23</v>
      </c>
      <c r="D755" s="12" t="s">
        <v>4445</v>
      </c>
      <c r="E755" s="7" t="s">
        <v>4443</v>
      </c>
    </row>
    <row r="756" spans="1:5" x14ac:dyDescent="0.25">
      <c r="A756" s="4" t="s">
        <v>3042</v>
      </c>
      <c r="B756" s="5" t="s">
        <v>3811</v>
      </c>
      <c r="C756" s="6" t="s">
        <v>23</v>
      </c>
      <c r="D756" s="6" t="s">
        <v>4445</v>
      </c>
      <c r="E756" s="7" t="s">
        <v>4443</v>
      </c>
    </row>
    <row r="757" spans="1:5" x14ac:dyDescent="0.25">
      <c r="A757" s="4" t="s">
        <v>3041</v>
      </c>
      <c r="B757" s="5" t="s">
        <v>3810</v>
      </c>
      <c r="C757" s="6" t="s">
        <v>23</v>
      </c>
      <c r="D757" s="6" t="s">
        <v>4445</v>
      </c>
      <c r="E757" s="7" t="s">
        <v>4443</v>
      </c>
    </row>
    <row r="758" spans="1:5" x14ac:dyDescent="0.25">
      <c r="A758" s="11" t="s">
        <v>3043</v>
      </c>
      <c r="B758" s="5" t="s">
        <v>3812</v>
      </c>
      <c r="C758" s="12" t="s">
        <v>23</v>
      </c>
      <c r="D758" s="12" t="s">
        <v>4445</v>
      </c>
      <c r="E758" s="7" t="s">
        <v>4443</v>
      </c>
    </row>
    <row r="759" spans="1:5" x14ac:dyDescent="0.25">
      <c r="A759" s="4" t="s">
        <v>3048</v>
      </c>
      <c r="B759" s="5" t="s">
        <v>3817</v>
      </c>
      <c r="C759" s="6" t="s">
        <v>23</v>
      </c>
      <c r="D759" s="6" t="s">
        <v>4445</v>
      </c>
      <c r="E759" s="7" t="s">
        <v>4443</v>
      </c>
    </row>
    <row r="760" spans="1:5" x14ac:dyDescent="0.25">
      <c r="A760" s="11" t="s">
        <v>3049</v>
      </c>
      <c r="B760" s="10" t="s">
        <v>3818</v>
      </c>
      <c r="C760" s="12" t="s">
        <v>23</v>
      </c>
      <c r="D760" s="12" t="s">
        <v>4445</v>
      </c>
      <c r="E760" s="7" t="s">
        <v>4443</v>
      </c>
    </row>
    <row r="761" spans="1:5" x14ac:dyDescent="0.25">
      <c r="A761" s="4" t="s">
        <v>3044</v>
      </c>
      <c r="B761" s="5" t="s">
        <v>3813</v>
      </c>
      <c r="C761" s="6" t="s">
        <v>23</v>
      </c>
      <c r="D761" s="6" t="s">
        <v>4445</v>
      </c>
      <c r="E761" s="7" t="s">
        <v>4443</v>
      </c>
    </row>
    <row r="762" spans="1:5" x14ac:dyDescent="0.25">
      <c r="A762" s="4" t="s">
        <v>3050</v>
      </c>
      <c r="B762" s="5" t="s">
        <v>3819</v>
      </c>
      <c r="C762" s="12" t="s">
        <v>23</v>
      </c>
      <c r="D762" s="12" t="s">
        <v>4445</v>
      </c>
      <c r="E762" s="7" t="s">
        <v>4443</v>
      </c>
    </row>
    <row r="763" spans="1:5" x14ac:dyDescent="0.25">
      <c r="A763" s="4" t="s">
        <v>3045</v>
      </c>
      <c r="B763" s="5" t="s">
        <v>3814</v>
      </c>
      <c r="C763" s="6" t="s">
        <v>23</v>
      </c>
      <c r="D763" s="6" t="s">
        <v>4445</v>
      </c>
      <c r="E763" s="7" t="s">
        <v>4443</v>
      </c>
    </row>
    <row r="764" spans="1:5" x14ac:dyDescent="0.25">
      <c r="A764" s="4" t="s">
        <v>3051</v>
      </c>
      <c r="B764" s="5" t="s">
        <v>3820</v>
      </c>
      <c r="C764" s="6" t="s">
        <v>23</v>
      </c>
      <c r="D764" s="6" t="s">
        <v>4445</v>
      </c>
      <c r="E764" s="7" t="s">
        <v>4443</v>
      </c>
    </row>
    <row r="765" spans="1:5" x14ac:dyDescent="0.25">
      <c r="A765" s="4" t="s">
        <v>3046</v>
      </c>
      <c r="B765" s="5" t="s">
        <v>3815</v>
      </c>
      <c r="C765" s="6" t="s">
        <v>23</v>
      </c>
      <c r="D765" s="6" t="s">
        <v>4445</v>
      </c>
      <c r="E765" s="7" t="s">
        <v>4443</v>
      </c>
    </row>
    <row r="766" spans="1:5" x14ac:dyDescent="0.25">
      <c r="A766" s="4" t="s">
        <v>3064</v>
      </c>
      <c r="B766" s="5" t="s">
        <v>3833</v>
      </c>
      <c r="C766" s="6" t="s">
        <v>23</v>
      </c>
      <c r="D766" s="6" t="s">
        <v>4445</v>
      </c>
      <c r="E766" s="7" t="s">
        <v>4443</v>
      </c>
    </row>
    <row r="767" spans="1:5" x14ac:dyDescent="0.25">
      <c r="A767" s="4" t="s">
        <v>2934</v>
      </c>
      <c r="B767" s="5" t="s">
        <v>3696</v>
      </c>
      <c r="C767" s="6" t="s">
        <v>23</v>
      </c>
      <c r="D767" s="6" t="s">
        <v>4445</v>
      </c>
      <c r="E767" s="7" t="s">
        <v>4443</v>
      </c>
    </row>
    <row r="768" spans="1:5" x14ac:dyDescent="0.25">
      <c r="A768" s="4" t="s">
        <v>2929</v>
      </c>
      <c r="B768" s="5" t="s">
        <v>3691</v>
      </c>
      <c r="C768" s="6" t="s">
        <v>23</v>
      </c>
      <c r="D768" s="6" t="s">
        <v>4445</v>
      </c>
      <c r="E768" s="7" t="s">
        <v>4443</v>
      </c>
    </row>
    <row r="769" spans="1:5" x14ac:dyDescent="0.25">
      <c r="A769" s="4" t="s">
        <v>3508</v>
      </c>
      <c r="B769" s="5" t="s">
        <v>4282</v>
      </c>
      <c r="C769" s="6" t="s">
        <v>23</v>
      </c>
      <c r="D769" s="6" t="s">
        <v>4445</v>
      </c>
      <c r="E769" s="7" t="s">
        <v>4443</v>
      </c>
    </row>
    <row r="770" spans="1:5" x14ac:dyDescent="0.25">
      <c r="A770" s="4" t="s">
        <v>3080</v>
      </c>
      <c r="B770" s="5" t="s">
        <v>3849</v>
      </c>
      <c r="C770" s="6" t="s">
        <v>23</v>
      </c>
      <c r="D770" s="6" t="s">
        <v>4445</v>
      </c>
      <c r="E770" s="7" t="s">
        <v>4443</v>
      </c>
    </row>
    <row r="771" spans="1:5" x14ac:dyDescent="0.25">
      <c r="A771" s="11" t="s">
        <v>2944</v>
      </c>
      <c r="B771" s="5" t="s">
        <v>3706</v>
      </c>
      <c r="C771" s="12" t="s">
        <v>23</v>
      </c>
      <c r="D771" s="12" t="s">
        <v>4445</v>
      </c>
      <c r="E771" s="7" t="s">
        <v>4443</v>
      </c>
    </row>
    <row r="772" spans="1:5" x14ac:dyDescent="0.25">
      <c r="A772" s="4" t="s">
        <v>2945</v>
      </c>
      <c r="B772" s="5" t="s">
        <v>3707</v>
      </c>
      <c r="C772" s="6" t="s">
        <v>23</v>
      </c>
      <c r="D772" s="6" t="s">
        <v>4445</v>
      </c>
      <c r="E772" s="7" t="s">
        <v>4443</v>
      </c>
    </row>
    <row r="773" spans="1:5" x14ac:dyDescent="0.25">
      <c r="A773" s="4" t="s">
        <v>2940</v>
      </c>
      <c r="B773" s="5" t="s">
        <v>3702</v>
      </c>
      <c r="C773" s="6" t="s">
        <v>23</v>
      </c>
      <c r="D773" s="6" t="s">
        <v>4445</v>
      </c>
      <c r="E773" s="7" t="s">
        <v>4443</v>
      </c>
    </row>
    <row r="774" spans="1:5" x14ac:dyDescent="0.25">
      <c r="A774" s="4" t="s">
        <v>3162</v>
      </c>
      <c r="B774" s="5" t="s">
        <v>3932</v>
      </c>
      <c r="C774" s="6" t="s">
        <v>23</v>
      </c>
      <c r="D774" s="6" t="s">
        <v>4445</v>
      </c>
      <c r="E774" s="7" t="s">
        <v>4443</v>
      </c>
    </row>
    <row r="775" spans="1:5" x14ac:dyDescent="0.25">
      <c r="A775" s="4" t="s">
        <v>3163</v>
      </c>
      <c r="B775" s="5" t="s">
        <v>3933</v>
      </c>
      <c r="C775" s="6" t="s">
        <v>23</v>
      </c>
      <c r="D775" s="6" t="s">
        <v>4445</v>
      </c>
      <c r="E775" s="7" t="s">
        <v>4443</v>
      </c>
    </row>
    <row r="776" spans="1:5" x14ac:dyDescent="0.25">
      <c r="A776" s="4" t="s">
        <v>3079</v>
      </c>
      <c r="B776" s="5" t="s">
        <v>3848</v>
      </c>
      <c r="C776" s="6" t="s">
        <v>23</v>
      </c>
      <c r="D776" s="6" t="s">
        <v>4445</v>
      </c>
      <c r="E776" s="7" t="s">
        <v>4443</v>
      </c>
    </row>
    <row r="777" spans="1:5" x14ac:dyDescent="0.25">
      <c r="A777" s="4" t="s">
        <v>2936</v>
      </c>
      <c r="B777" s="5" t="s">
        <v>3698</v>
      </c>
      <c r="C777" s="6" t="s">
        <v>23</v>
      </c>
      <c r="D777" s="6" t="s">
        <v>4445</v>
      </c>
      <c r="E777" s="7" t="s">
        <v>4443</v>
      </c>
    </row>
    <row r="778" spans="1:5" x14ac:dyDescent="0.25">
      <c r="A778" s="4" t="s">
        <v>2935</v>
      </c>
      <c r="B778" s="5" t="s">
        <v>3697</v>
      </c>
      <c r="C778" s="6" t="s">
        <v>23</v>
      </c>
      <c r="D778" s="6" t="s">
        <v>4445</v>
      </c>
      <c r="E778" s="7" t="s">
        <v>4443</v>
      </c>
    </row>
    <row r="779" spans="1:5" x14ac:dyDescent="0.25">
      <c r="A779" s="4" t="s">
        <v>2937</v>
      </c>
      <c r="B779" s="5" t="s">
        <v>3699</v>
      </c>
      <c r="C779" s="6" t="s">
        <v>23</v>
      </c>
      <c r="D779" s="6" t="s">
        <v>4445</v>
      </c>
      <c r="E779" s="7" t="s">
        <v>4443</v>
      </c>
    </row>
    <row r="780" spans="1:5" x14ac:dyDescent="0.25">
      <c r="A780" s="4" t="s">
        <v>2946</v>
      </c>
      <c r="B780" s="5" t="s">
        <v>3708</v>
      </c>
      <c r="C780" s="6" t="s">
        <v>23</v>
      </c>
      <c r="D780" s="6" t="s">
        <v>4445</v>
      </c>
      <c r="E780" s="7" t="s">
        <v>4443</v>
      </c>
    </row>
    <row r="781" spans="1:5" x14ac:dyDescent="0.25">
      <c r="A781" s="4" t="s">
        <v>3003</v>
      </c>
      <c r="B781" s="5" t="s">
        <v>3771</v>
      </c>
      <c r="C781" s="6" t="s">
        <v>23</v>
      </c>
      <c r="D781" s="6" t="s">
        <v>4445</v>
      </c>
      <c r="E781" s="7" t="s">
        <v>4443</v>
      </c>
    </row>
    <row r="782" spans="1:5" x14ac:dyDescent="0.25">
      <c r="A782" s="4" t="s">
        <v>3006</v>
      </c>
      <c r="B782" s="5" t="s">
        <v>3774</v>
      </c>
      <c r="C782" s="6" t="s">
        <v>23</v>
      </c>
      <c r="D782" s="6" t="s">
        <v>4445</v>
      </c>
      <c r="E782" s="7" t="s">
        <v>4443</v>
      </c>
    </row>
    <row r="783" spans="1:5" x14ac:dyDescent="0.25">
      <c r="A783" s="4" t="s">
        <v>3185</v>
      </c>
      <c r="B783" s="5" t="s">
        <v>3955</v>
      </c>
      <c r="C783" s="6" t="s">
        <v>23</v>
      </c>
      <c r="D783" s="6" t="s">
        <v>4445</v>
      </c>
      <c r="E783" s="7" t="s">
        <v>4443</v>
      </c>
    </row>
    <row r="784" spans="1:5" x14ac:dyDescent="0.25">
      <c r="A784" s="4" t="s">
        <v>3186</v>
      </c>
      <c r="B784" s="5" t="s">
        <v>3956</v>
      </c>
      <c r="C784" s="6" t="s">
        <v>23</v>
      </c>
      <c r="D784" s="6" t="s">
        <v>4445</v>
      </c>
      <c r="E784" s="7" t="s">
        <v>4443</v>
      </c>
    </row>
    <row r="785" spans="1:5" x14ac:dyDescent="0.25">
      <c r="A785" s="11" t="s">
        <v>3187</v>
      </c>
      <c r="B785" s="5" t="s">
        <v>3957</v>
      </c>
      <c r="C785" s="12" t="s">
        <v>23</v>
      </c>
      <c r="D785" s="12" t="s">
        <v>4445</v>
      </c>
      <c r="E785" s="7" t="s">
        <v>4443</v>
      </c>
    </row>
    <row r="786" spans="1:5" x14ac:dyDescent="0.25">
      <c r="A786" s="4" t="s">
        <v>3188</v>
      </c>
      <c r="B786" s="5" t="s">
        <v>3958</v>
      </c>
      <c r="C786" s="6" t="s">
        <v>23</v>
      </c>
      <c r="D786" s="6" t="s">
        <v>4445</v>
      </c>
      <c r="E786" s="7" t="s">
        <v>4443</v>
      </c>
    </row>
    <row r="787" spans="1:5" x14ac:dyDescent="0.25">
      <c r="A787" s="4" t="s">
        <v>3189</v>
      </c>
      <c r="B787" s="5" t="s">
        <v>3959</v>
      </c>
      <c r="C787" s="6" t="s">
        <v>23</v>
      </c>
      <c r="D787" s="6" t="s">
        <v>4445</v>
      </c>
      <c r="E787" s="7" t="s">
        <v>4443</v>
      </c>
    </row>
    <row r="788" spans="1:5" x14ac:dyDescent="0.25">
      <c r="A788" s="4" t="s">
        <v>3190</v>
      </c>
      <c r="B788" s="5" t="s">
        <v>3960</v>
      </c>
      <c r="C788" s="6" t="s">
        <v>23</v>
      </c>
      <c r="D788" s="6" t="s">
        <v>4445</v>
      </c>
      <c r="E788" s="7" t="s">
        <v>4443</v>
      </c>
    </row>
    <row r="789" spans="1:5" x14ac:dyDescent="0.25">
      <c r="A789" s="4" t="s">
        <v>2953</v>
      </c>
      <c r="B789" s="5" t="s">
        <v>3715</v>
      </c>
      <c r="C789" s="6" t="s">
        <v>23</v>
      </c>
      <c r="D789" s="6" t="s">
        <v>4445</v>
      </c>
      <c r="E789" s="7" t="s">
        <v>4443</v>
      </c>
    </row>
    <row r="790" spans="1:5" x14ac:dyDescent="0.25">
      <c r="A790" s="4" t="s">
        <v>2947</v>
      </c>
      <c r="B790" s="5" t="s">
        <v>3709</v>
      </c>
      <c r="C790" s="6" t="s">
        <v>23</v>
      </c>
      <c r="D790" s="6" t="s">
        <v>4445</v>
      </c>
      <c r="E790" s="7" t="s">
        <v>4443</v>
      </c>
    </row>
    <row r="791" spans="1:5" x14ac:dyDescent="0.25">
      <c r="A791" s="4" t="s">
        <v>2954</v>
      </c>
      <c r="B791" s="5" t="s">
        <v>3716</v>
      </c>
      <c r="C791" s="6" t="s">
        <v>23</v>
      </c>
      <c r="D791" s="6" t="s">
        <v>4445</v>
      </c>
      <c r="E791" s="7" t="s">
        <v>4443</v>
      </c>
    </row>
    <row r="792" spans="1:5" x14ac:dyDescent="0.25">
      <c r="A792" s="11" t="s">
        <v>2948</v>
      </c>
      <c r="B792" s="5" t="s">
        <v>3710</v>
      </c>
      <c r="C792" s="12" t="s">
        <v>23</v>
      </c>
      <c r="D792" s="12" t="s">
        <v>4445</v>
      </c>
      <c r="E792" s="7" t="s">
        <v>4443</v>
      </c>
    </row>
    <row r="793" spans="1:5" x14ac:dyDescent="0.25">
      <c r="A793" s="4" t="s">
        <v>2955</v>
      </c>
      <c r="B793" s="5" t="s">
        <v>3717</v>
      </c>
      <c r="C793" s="6" t="s">
        <v>23</v>
      </c>
      <c r="D793" s="6" t="s">
        <v>4445</v>
      </c>
      <c r="E793" s="7" t="s">
        <v>4443</v>
      </c>
    </row>
    <row r="794" spans="1:5" x14ac:dyDescent="0.25">
      <c r="A794" s="4" t="s">
        <v>2949</v>
      </c>
      <c r="B794" s="5" t="s">
        <v>3711</v>
      </c>
      <c r="C794" s="6" t="s">
        <v>23</v>
      </c>
      <c r="D794" s="6" t="s">
        <v>4445</v>
      </c>
      <c r="E794" s="7" t="s">
        <v>4443</v>
      </c>
    </row>
    <row r="795" spans="1:5" x14ac:dyDescent="0.25">
      <c r="A795" s="4" t="s">
        <v>2956</v>
      </c>
      <c r="B795" s="5" t="s">
        <v>3718</v>
      </c>
      <c r="C795" s="6" t="s">
        <v>23</v>
      </c>
      <c r="D795" s="6" t="s">
        <v>4445</v>
      </c>
      <c r="E795" s="7" t="s">
        <v>4443</v>
      </c>
    </row>
    <row r="796" spans="1:5" x14ac:dyDescent="0.25">
      <c r="A796" s="4" t="s">
        <v>2950</v>
      </c>
      <c r="B796" s="5" t="s">
        <v>3712</v>
      </c>
      <c r="C796" s="6" t="s">
        <v>23</v>
      </c>
      <c r="D796" s="6" t="s">
        <v>4445</v>
      </c>
      <c r="E796" s="7" t="s">
        <v>4443</v>
      </c>
    </row>
    <row r="797" spans="1:5" x14ac:dyDescent="0.25">
      <c r="A797" s="4" t="s">
        <v>2957</v>
      </c>
      <c r="B797" s="5" t="s">
        <v>3719</v>
      </c>
      <c r="C797" s="6" t="s">
        <v>23</v>
      </c>
      <c r="D797" s="6" t="s">
        <v>4445</v>
      </c>
      <c r="E797" s="7" t="s">
        <v>4443</v>
      </c>
    </row>
    <row r="798" spans="1:5" x14ac:dyDescent="0.25">
      <c r="A798" s="4" t="s">
        <v>2951</v>
      </c>
      <c r="B798" s="5" t="s">
        <v>3713</v>
      </c>
      <c r="C798" s="6" t="s">
        <v>23</v>
      </c>
      <c r="D798" s="6" t="s">
        <v>4445</v>
      </c>
      <c r="E798" s="7" t="s">
        <v>4443</v>
      </c>
    </row>
    <row r="799" spans="1:5" x14ac:dyDescent="0.25">
      <c r="A799" s="4" t="s">
        <v>2958</v>
      </c>
      <c r="B799" s="5" t="s">
        <v>3720</v>
      </c>
      <c r="C799" s="6" t="s">
        <v>23</v>
      </c>
      <c r="D799" s="6" t="s">
        <v>4445</v>
      </c>
      <c r="E799" s="7" t="s">
        <v>4443</v>
      </c>
    </row>
    <row r="800" spans="1:5" x14ac:dyDescent="0.25">
      <c r="A800" s="11" t="s">
        <v>2952</v>
      </c>
      <c r="B800" s="5" t="s">
        <v>3714</v>
      </c>
      <c r="C800" s="12" t="s">
        <v>23</v>
      </c>
      <c r="D800" s="12" t="s">
        <v>4445</v>
      </c>
      <c r="E800" s="7" t="s">
        <v>4443</v>
      </c>
    </row>
    <row r="801" spans="1:5" x14ac:dyDescent="0.25">
      <c r="A801" s="4" t="s">
        <v>2927</v>
      </c>
      <c r="B801" s="5" t="s">
        <v>3689</v>
      </c>
      <c r="C801" s="6" t="s">
        <v>23</v>
      </c>
      <c r="D801" s="6" t="s">
        <v>4445</v>
      </c>
      <c r="E801" s="7" t="s">
        <v>4443</v>
      </c>
    </row>
    <row r="802" spans="1:5" x14ac:dyDescent="0.25">
      <c r="A802" s="4" t="s">
        <v>3505</v>
      </c>
      <c r="B802" s="5" t="s">
        <v>4279</v>
      </c>
      <c r="C802" s="6" t="s">
        <v>23</v>
      </c>
      <c r="D802" s="6" t="s">
        <v>4445</v>
      </c>
      <c r="E802" s="7" t="s">
        <v>4443</v>
      </c>
    </row>
    <row r="803" spans="1:5" x14ac:dyDescent="0.25">
      <c r="A803" s="4" t="s">
        <v>3032</v>
      </c>
      <c r="B803" s="5" t="s">
        <v>3801</v>
      </c>
      <c r="C803" s="6" t="s">
        <v>23</v>
      </c>
      <c r="D803" s="6" t="s">
        <v>4445</v>
      </c>
      <c r="E803" s="7" t="s">
        <v>4443</v>
      </c>
    </row>
    <row r="804" spans="1:5" x14ac:dyDescent="0.25">
      <c r="A804" s="4" t="s">
        <v>3033</v>
      </c>
      <c r="B804" s="5" t="s">
        <v>3802</v>
      </c>
      <c r="C804" s="6" t="s">
        <v>23</v>
      </c>
      <c r="D804" s="6" t="s">
        <v>4445</v>
      </c>
      <c r="E804" s="7" t="s">
        <v>4443</v>
      </c>
    </row>
    <row r="805" spans="1:5" x14ac:dyDescent="0.25">
      <c r="A805" s="4" t="s">
        <v>3025</v>
      </c>
      <c r="B805" s="5" t="s">
        <v>3794</v>
      </c>
      <c r="C805" s="6" t="s">
        <v>23</v>
      </c>
      <c r="D805" s="6" t="s">
        <v>4445</v>
      </c>
      <c r="E805" s="7" t="s">
        <v>4443</v>
      </c>
    </row>
    <row r="806" spans="1:5" x14ac:dyDescent="0.25">
      <c r="A806" s="4" t="s">
        <v>3026</v>
      </c>
      <c r="B806" s="5" t="s">
        <v>3795</v>
      </c>
      <c r="C806" s="6" t="s">
        <v>23</v>
      </c>
      <c r="D806" s="6" t="s">
        <v>4445</v>
      </c>
      <c r="E806" s="7" t="s">
        <v>4443</v>
      </c>
    </row>
    <row r="807" spans="1:5" x14ac:dyDescent="0.25">
      <c r="A807" s="4" t="s">
        <v>3027</v>
      </c>
      <c r="B807" s="5" t="s">
        <v>3796</v>
      </c>
      <c r="C807" s="6" t="s">
        <v>23</v>
      </c>
      <c r="D807" s="6" t="s">
        <v>4445</v>
      </c>
      <c r="E807" s="7" t="s">
        <v>4443</v>
      </c>
    </row>
    <row r="808" spans="1:5" x14ac:dyDescent="0.25">
      <c r="A808" s="4" t="s">
        <v>3028</v>
      </c>
      <c r="B808" s="5" t="s">
        <v>3797</v>
      </c>
      <c r="C808" s="6" t="s">
        <v>23</v>
      </c>
      <c r="D808" s="6" t="s">
        <v>4445</v>
      </c>
      <c r="E808" s="7" t="s">
        <v>4443</v>
      </c>
    </row>
    <row r="809" spans="1:5" x14ac:dyDescent="0.25">
      <c r="A809" s="4" t="s">
        <v>3034</v>
      </c>
      <c r="B809" s="5" t="s">
        <v>3803</v>
      </c>
      <c r="C809" s="6" t="s">
        <v>23</v>
      </c>
      <c r="D809" s="6" t="s">
        <v>4445</v>
      </c>
      <c r="E809" s="7" t="s">
        <v>4443</v>
      </c>
    </row>
    <row r="810" spans="1:5" x14ac:dyDescent="0.25">
      <c r="A810" s="4" t="s">
        <v>3029</v>
      </c>
      <c r="B810" s="5" t="s">
        <v>3798</v>
      </c>
      <c r="C810" s="6" t="s">
        <v>23</v>
      </c>
      <c r="D810" s="6" t="s">
        <v>4445</v>
      </c>
      <c r="E810" s="7" t="s">
        <v>4443</v>
      </c>
    </row>
    <row r="811" spans="1:5" x14ac:dyDescent="0.25">
      <c r="A811" s="4" t="s">
        <v>3200</v>
      </c>
      <c r="B811" s="5" t="s">
        <v>3970</v>
      </c>
      <c r="C811" s="6" t="s">
        <v>23</v>
      </c>
      <c r="D811" s="6" t="s">
        <v>4445</v>
      </c>
      <c r="E811" s="7" t="s">
        <v>4443</v>
      </c>
    </row>
    <row r="812" spans="1:5" x14ac:dyDescent="0.25">
      <c r="A812" s="4" t="s">
        <v>3022</v>
      </c>
      <c r="B812" s="5" t="s">
        <v>3791</v>
      </c>
      <c r="C812" s="6" t="s">
        <v>23</v>
      </c>
      <c r="D812" s="6" t="s">
        <v>4445</v>
      </c>
      <c r="E812" s="7" t="s">
        <v>4443</v>
      </c>
    </row>
    <row r="813" spans="1:5" x14ac:dyDescent="0.25">
      <c r="A813" s="4" t="s">
        <v>3035</v>
      </c>
      <c r="B813" s="5" t="s">
        <v>3804</v>
      </c>
      <c r="C813" s="6" t="s">
        <v>23</v>
      </c>
      <c r="D813" s="6" t="s">
        <v>4445</v>
      </c>
      <c r="E813" s="7" t="s">
        <v>4443</v>
      </c>
    </row>
    <row r="814" spans="1:5" x14ac:dyDescent="0.25">
      <c r="A814" s="4" t="s">
        <v>3030</v>
      </c>
      <c r="B814" s="5" t="s">
        <v>3799</v>
      </c>
      <c r="C814" s="6" t="s">
        <v>23</v>
      </c>
      <c r="D814" s="6" t="s">
        <v>4445</v>
      </c>
      <c r="E814" s="7" t="s">
        <v>4443</v>
      </c>
    </row>
    <row r="815" spans="1:5" x14ac:dyDescent="0.25">
      <c r="A815" s="4" t="s">
        <v>3036</v>
      </c>
      <c r="B815" s="5" t="s">
        <v>3805</v>
      </c>
      <c r="C815" s="6" t="s">
        <v>23</v>
      </c>
      <c r="D815" s="6" t="s">
        <v>4445</v>
      </c>
      <c r="E815" s="7" t="s">
        <v>4443</v>
      </c>
    </row>
    <row r="816" spans="1:5" x14ac:dyDescent="0.25">
      <c r="A816" s="4" t="s">
        <v>3038</v>
      </c>
      <c r="B816" s="5" t="s">
        <v>3807</v>
      </c>
      <c r="C816" s="6" t="s">
        <v>23</v>
      </c>
      <c r="D816" s="6" t="s">
        <v>4445</v>
      </c>
      <c r="E816" s="7" t="s">
        <v>4443</v>
      </c>
    </row>
    <row r="817" spans="1:5" x14ac:dyDescent="0.25">
      <c r="A817" s="11" t="s">
        <v>3031</v>
      </c>
      <c r="B817" s="5" t="s">
        <v>3800</v>
      </c>
      <c r="C817" s="12" t="s">
        <v>23</v>
      </c>
      <c r="D817" s="12" t="s">
        <v>4445</v>
      </c>
      <c r="E817" s="7" t="s">
        <v>4443</v>
      </c>
    </row>
    <row r="818" spans="1:5" x14ac:dyDescent="0.25">
      <c r="A818" s="4" t="s">
        <v>3037</v>
      </c>
      <c r="B818" s="5" t="s">
        <v>3806</v>
      </c>
      <c r="C818" s="6" t="s">
        <v>23</v>
      </c>
      <c r="D818" s="6" t="s">
        <v>4445</v>
      </c>
      <c r="E818" s="7" t="s">
        <v>4443</v>
      </c>
    </row>
    <row r="819" spans="1:5" x14ac:dyDescent="0.25">
      <c r="A819" s="4" t="s">
        <v>3197</v>
      </c>
      <c r="B819" s="5" t="s">
        <v>3967</v>
      </c>
      <c r="C819" s="6" t="s">
        <v>23</v>
      </c>
      <c r="D819" s="6" t="s">
        <v>4445</v>
      </c>
      <c r="E819" s="7" t="s">
        <v>4443</v>
      </c>
    </row>
    <row r="820" spans="1:5" x14ac:dyDescent="0.25">
      <c r="A820" s="4" t="s">
        <v>3198</v>
      </c>
      <c r="B820" s="5" t="s">
        <v>3968</v>
      </c>
      <c r="C820" s="6" t="s">
        <v>23</v>
      </c>
      <c r="D820" s="6" t="s">
        <v>4445</v>
      </c>
      <c r="E820" s="7" t="s">
        <v>4443</v>
      </c>
    </row>
    <row r="821" spans="1:5" x14ac:dyDescent="0.25">
      <c r="A821" s="4" t="s">
        <v>3199</v>
      </c>
      <c r="B821" s="5" t="s">
        <v>3969</v>
      </c>
      <c r="C821" s="6" t="s">
        <v>23</v>
      </c>
      <c r="D821" s="6" t="s">
        <v>4445</v>
      </c>
      <c r="E821" s="7" t="s">
        <v>4443</v>
      </c>
    </row>
    <row r="822" spans="1:5" x14ac:dyDescent="0.25">
      <c r="A822" s="4" t="s">
        <v>3201</v>
      </c>
      <c r="B822" s="5" t="s">
        <v>3971</v>
      </c>
      <c r="C822" s="6" t="s">
        <v>23</v>
      </c>
      <c r="D822" s="6" t="s">
        <v>4445</v>
      </c>
      <c r="E822" s="7" t="s">
        <v>4443</v>
      </c>
    </row>
    <row r="823" spans="1:5" x14ac:dyDescent="0.25">
      <c r="A823" s="4" t="s">
        <v>2924</v>
      </c>
      <c r="B823" s="5" t="s">
        <v>3686</v>
      </c>
      <c r="C823" s="6" t="s">
        <v>23</v>
      </c>
      <c r="D823" s="6" t="s">
        <v>4445</v>
      </c>
      <c r="E823" s="7" t="s">
        <v>4443</v>
      </c>
    </row>
    <row r="824" spans="1:5" x14ac:dyDescent="0.25">
      <c r="A824" s="4" t="s">
        <v>3017</v>
      </c>
      <c r="B824" s="5" t="s">
        <v>3785</v>
      </c>
      <c r="C824" s="6" t="s">
        <v>23</v>
      </c>
      <c r="D824" s="6" t="s">
        <v>4445</v>
      </c>
      <c r="E824" s="7" t="s">
        <v>4443</v>
      </c>
    </row>
    <row r="825" spans="1:5" x14ac:dyDescent="0.25">
      <c r="A825" s="4" t="s">
        <v>3017</v>
      </c>
      <c r="B825" s="5" t="s">
        <v>3786</v>
      </c>
      <c r="C825" s="6" t="s">
        <v>23</v>
      </c>
      <c r="D825" s="6" t="s">
        <v>4445</v>
      </c>
      <c r="E825" s="7" t="s">
        <v>4443</v>
      </c>
    </row>
    <row r="826" spans="1:5" x14ac:dyDescent="0.25">
      <c r="A826" s="4" t="s">
        <v>3018</v>
      </c>
      <c r="B826" s="5" t="s">
        <v>3787</v>
      </c>
      <c r="C826" s="6" t="s">
        <v>23</v>
      </c>
      <c r="D826" s="6" t="s">
        <v>4445</v>
      </c>
      <c r="E826" s="7" t="s">
        <v>4443</v>
      </c>
    </row>
    <row r="827" spans="1:5" x14ac:dyDescent="0.25">
      <c r="A827" s="4" t="s">
        <v>3019</v>
      </c>
      <c r="B827" s="5" t="s">
        <v>3788</v>
      </c>
      <c r="C827" s="6" t="s">
        <v>23</v>
      </c>
      <c r="D827" s="6" t="s">
        <v>4445</v>
      </c>
      <c r="E827" s="7" t="s">
        <v>4443</v>
      </c>
    </row>
    <row r="828" spans="1:5" x14ac:dyDescent="0.25">
      <c r="A828" s="4" t="s">
        <v>3020</v>
      </c>
      <c r="B828" s="5" t="s">
        <v>3789</v>
      </c>
      <c r="C828" s="6" t="s">
        <v>23</v>
      </c>
      <c r="D828" s="6" t="s">
        <v>4445</v>
      </c>
      <c r="E828" s="7" t="s">
        <v>4443</v>
      </c>
    </row>
    <row r="829" spans="1:5" x14ac:dyDescent="0.25">
      <c r="A829" s="4" t="s">
        <v>3021</v>
      </c>
      <c r="B829" s="5" t="s">
        <v>3790</v>
      </c>
      <c r="C829" s="6" t="s">
        <v>23</v>
      </c>
      <c r="D829" s="6" t="s">
        <v>4445</v>
      </c>
      <c r="E829" s="7" t="s">
        <v>4443</v>
      </c>
    </row>
    <row r="830" spans="1:5" x14ac:dyDescent="0.25">
      <c r="A830" s="4" t="s">
        <v>3012</v>
      </c>
      <c r="B830" s="5" t="s">
        <v>3780</v>
      </c>
      <c r="C830" s="6" t="s">
        <v>23</v>
      </c>
      <c r="D830" s="6" t="s">
        <v>4445</v>
      </c>
      <c r="E830" s="7" t="s">
        <v>4443</v>
      </c>
    </row>
    <row r="831" spans="1:5" x14ac:dyDescent="0.25">
      <c r="A831" s="4" t="s">
        <v>3013</v>
      </c>
      <c r="B831" s="5" t="s">
        <v>3781</v>
      </c>
      <c r="C831" s="6" t="s">
        <v>23</v>
      </c>
      <c r="D831" s="6" t="s">
        <v>4445</v>
      </c>
      <c r="E831" s="7" t="s">
        <v>4443</v>
      </c>
    </row>
    <row r="832" spans="1:5" x14ac:dyDescent="0.25">
      <c r="A832" s="4" t="s">
        <v>3014</v>
      </c>
      <c r="B832" s="5" t="s">
        <v>3782</v>
      </c>
      <c r="C832" s="6" t="s">
        <v>23</v>
      </c>
      <c r="D832" s="6" t="s">
        <v>4445</v>
      </c>
      <c r="E832" s="7" t="s">
        <v>4443</v>
      </c>
    </row>
    <row r="833" spans="1:5" x14ac:dyDescent="0.25">
      <c r="A833" s="4" t="s">
        <v>3023</v>
      </c>
      <c r="B833" s="5" t="s">
        <v>3792</v>
      </c>
      <c r="C833" s="6" t="s">
        <v>23</v>
      </c>
      <c r="D833" s="6" t="s">
        <v>4445</v>
      </c>
      <c r="E833" s="7" t="s">
        <v>4443</v>
      </c>
    </row>
    <row r="834" spans="1:5" x14ac:dyDescent="0.25">
      <c r="A834" s="4" t="s">
        <v>3015</v>
      </c>
      <c r="B834" s="5" t="s">
        <v>3783</v>
      </c>
      <c r="C834" s="6" t="s">
        <v>23</v>
      </c>
      <c r="D834" s="6" t="s">
        <v>4445</v>
      </c>
      <c r="E834" s="7" t="s">
        <v>4443</v>
      </c>
    </row>
    <row r="835" spans="1:5" x14ac:dyDescent="0.25">
      <c r="A835" s="4" t="s">
        <v>3024</v>
      </c>
      <c r="B835" s="5" t="s">
        <v>3793</v>
      </c>
      <c r="C835" s="6" t="s">
        <v>23</v>
      </c>
      <c r="D835" s="6" t="s">
        <v>4445</v>
      </c>
      <c r="E835" s="7" t="s">
        <v>4443</v>
      </c>
    </row>
    <row r="836" spans="1:5" x14ac:dyDescent="0.25">
      <c r="A836" s="4" t="s">
        <v>3016</v>
      </c>
      <c r="B836" s="5" t="s">
        <v>3784</v>
      </c>
      <c r="C836" s="6" t="s">
        <v>23</v>
      </c>
      <c r="D836" s="6" t="s">
        <v>4445</v>
      </c>
      <c r="E836" s="7" t="s">
        <v>4443</v>
      </c>
    </row>
    <row r="837" spans="1:5" x14ac:dyDescent="0.25">
      <c r="A837" s="4" t="s">
        <v>3536</v>
      </c>
      <c r="B837" s="5" t="s">
        <v>4310</v>
      </c>
      <c r="C837" s="6" t="s">
        <v>23</v>
      </c>
      <c r="D837" s="6" t="s">
        <v>4445</v>
      </c>
      <c r="E837" s="7" t="s">
        <v>4443</v>
      </c>
    </row>
    <row r="838" spans="1:5" x14ac:dyDescent="0.25">
      <c r="A838" s="4" t="s">
        <v>3559</v>
      </c>
      <c r="B838" s="5" t="s">
        <v>4334</v>
      </c>
      <c r="C838" s="6" t="s">
        <v>23</v>
      </c>
      <c r="D838" s="6" t="s">
        <v>4445</v>
      </c>
      <c r="E838" s="7" t="s">
        <v>4443</v>
      </c>
    </row>
    <row r="839" spans="1:5" x14ac:dyDescent="0.25">
      <c r="A839" s="4" t="s">
        <v>3507</v>
      </c>
      <c r="B839" s="5" t="s">
        <v>4281</v>
      </c>
      <c r="C839" s="6" t="s">
        <v>23</v>
      </c>
      <c r="D839" s="6" t="s">
        <v>4445</v>
      </c>
      <c r="E839" s="7" t="s">
        <v>4443</v>
      </c>
    </row>
    <row r="840" spans="1:5" x14ac:dyDescent="0.25">
      <c r="A840" s="4" t="s">
        <v>3075</v>
      </c>
      <c r="B840" s="5" t="s">
        <v>3844</v>
      </c>
      <c r="C840" s="6" t="s">
        <v>23</v>
      </c>
      <c r="D840" s="6" t="s">
        <v>4445</v>
      </c>
      <c r="E840" s="7" t="s">
        <v>4443</v>
      </c>
    </row>
    <row r="841" spans="1:5" x14ac:dyDescent="0.25">
      <c r="A841" s="4" t="s">
        <v>3078</v>
      </c>
      <c r="B841" s="5" t="s">
        <v>3847</v>
      </c>
      <c r="C841" s="6" t="s">
        <v>23</v>
      </c>
      <c r="D841" s="6" t="s">
        <v>4445</v>
      </c>
      <c r="E841" s="7" t="s">
        <v>4443</v>
      </c>
    </row>
    <row r="842" spans="1:5" x14ac:dyDescent="0.25">
      <c r="A842" s="4" t="s">
        <v>3074</v>
      </c>
      <c r="B842" s="5" t="s">
        <v>3843</v>
      </c>
      <c r="C842" s="6" t="s">
        <v>23</v>
      </c>
      <c r="D842" s="6" t="s">
        <v>4445</v>
      </c>
      <c r="E842" s="7" t="s">
        <v>4443</v>
      </c>
    </row>
    <row r="843" spans="1:5" x14ac:dyDescent="0.25">
      <c r="A843" s="4" t="s">
        <v>3081</v>
      </c>
      <c r="B843" s="5" t="s">
        <v>3850</v>
      </c>
      <c r="C843" s="6" t="s">
        <v>23</v>
      </c>
      <c r="D843" s="6" t="s">
        <v>4445</v>
      </c>
      <c r="E843" s="7" t="s">
        <v>4443</v>
      </c>
    </row>
    <row r="844" spans="1:5" x14ac:dyDescent="0.25">
      <c r="A844" s="4" t="s">
        <v>3076</v>
      </c>
      <c r="B844" s="5" t="s">
        <v>3845</v>
      </c>
      <c r="C844" s="6" t="s">
        <v>23</v>
      </c>
      <c r="D844" s="6" t="s">
        <v>4445</v>
      </c>
      <c r="E844" s="7" t="s">
        <v>4443</v>
      </c>
    </row>
    <row r="845" spans="1:5" x14ac:dyDescent="0.25">
      <c r="A845" s="4" t="s">
        <v>3082</v>
      </c>
      <c r="B845" s="5" t="s">
        <v>3851</v>
      </c>
      <c r="C845" s="6" t="s">
        <v>23</v>
      </c>
      <c r="D845" s="6" t="s">
        <v>4445</v>
      </c>
      <c r="E845" s="7" t="s">
        <v>4443</v>
      </c>
    </row>
    <row r="846" spans="1:5" x14ac:dyDescent="0.25">
      <c r="A846" s="4" t="s">
        <v>3077</v>
      </c>
      <c r="B846" s="5" t="s">
        <v>3846</v>
      </c>
      <c r="C846" s="6" t="s">
        <v>23</v>
      </c>
      <c r="D846" s="6" t="s">
        <v>4445</v>
      </c>
      <c r="E846" s="7" t="s">
        <v>4443</v>
      </c>
    </row>
    <row r="847" spans="1:5" x14ac:dyDescent="0.25">
      <c r="A847" s="4" t="s">
        <v>3083</v>
      </c>
      <c r="B847" s="5" t="s">
        <v>3852</v>
      </c>
      <c r="C847" s="6" t="s">
        <v>23</v>
      </c>
      <c r="D847" s="6" t="s">
        <v>4445</v>
      </c>
      <c r="E847" s="7" t="s">
        <v>4443</v>
      </c>
    </row>
    <row r="848" spans="1:5" x14ac:dyDescent="0.25">
      <c r="A848" s="4" t="s">
        <v>2933</v>
      </c>
      <c r="B848" s="5" t="s">
        <v>3695</v>
      </c>
      <c r="C848" s="6" t="s">
        <v>23</v>
      </c>
      <c r="D848" s="6" t="s">
        <v>4445</v>
      </c>
      <c r="E848" s="7" t="s">
        <v>4443</v>
      </c>
    </row>
    <row r="849" spans="1:5" x14ac:dyDescent="0.25">
      <c r="A849" s="4" t="s">
        <v>3527</v>
      </c>
      <c r="B849" s="5" t="s">
        <v>4301</v>
      </c>
      <c r="C849" s="6" t="s">
        <v>23</v>
      </c>
      <c r="D849" s="6" t="s">
        <v>4445</v>
      </c>
      <c r="E849" s="7" t="s">
        <v>4443</v>
      </c>
    </row>
    <row r="850" spans="1:5" x14ac:dyDescent="0.25">
      <c r="A850" s="4" t="s">
        <v>3521</v>
      </c>
      <c r="B850" s="5" t="s">
        <v>4295</v>
      </c>
      <c r="C850" s="6" t="s">
        <v>23</v>
      </c>
      <c r="D850" s="6" t="s">
        <v>4445</v>
      </c>
      <c r="E850" s="7" t="s">
        <v>4443</v>
      </c>
    </row>
    <row r="851" spans="1:5" x14ac:dyDescent="0.25">
      <c r="A851" s="11" t="s">
        <v>3522</v>
      </c>
      <c r="B851" s="5" t="s">
        <v>4296</v>
      </c>
      <c r="C851" s="12" t="s">
        <v>23</v>
      </c>
      <c r="D851" s="12" t="s">
        <v>4445</v>
      </c>
      <c r="E851" s="7" t="s">
        <v>4443</v>
      </c>
    </row>
    <row r="852" spans="1:5" x14ac:dyDescent="0.25">
      <c r="A852" s="4" t="s">
        <v>3516</v>
      </c>
      <c r="B852" s="5" t="s">
        <v>4290</v>
      </c>
      <c r="C852" s="6" t="s">
        <v>23</v>
      </c>
      <c r="D852" s="6" t="s">
        <v>4445</v>
      </c>
      <c r="E852" s="7" t="s">
        <v>4443</v>
      </c>
    </row>
    <row r="853" spans="1:5" x14ac:dyDescent="0.25">
      <c r="A853" s="4" t="s">
        <v>3538</v>
      </c>
      <c r="B853" s="5" t="s">
        <v>4312</v>
      </c>
      <c r="C853" s="6" t="s">
        <v>23</v>
      </c>
      <c r="D853" s="6" t="s">
        <v>4445</v>
      </c>
      <c r="E853" s="7" t="s">
        <v>4443</v>
      </c>
    </row>
    <row r="854" spans="1:5" x14ac:dyDescent="0.25">
      <c r="A854" s="4" t="s">
        <v>3530</v>
      </c>
      <c r="B854" s="5" t="s">
        <v>4304</v>
      </c>
      <c r="C854" s="6" t="s">
        <v>23</v>
      </c>
      <c r="D854" s="6" t="s">
        <v>4445</v>
      </c>
      <c r="E854" s="7" t="s">
        <v>4443</v>
      </c>
    </row>
    <row r="855" spans="1:5" x14ac:dyDescent="0.25">
      <c r="A855" s="4" t="s">
        <v>3504</v>
      </c>
      <c r="B855" s="5" t="s">
        <v>4278</v>
      </c>
      <c r="C855" s="6" t="s">
        <v>23</v>
      </c>
      <c r="D855" s="6" t="s">
        <v>4445</v>
      </c>
      <c r="E855" s="7" t="s">
        <v>4443</v>
      </c>
    </row>
    <row r="856" spans="1:5" x14ac:dyDescent="0.25">
      <c r="A856" s="4" t="s">
        <v>3532</v>
      </c>
      <c r="B856" s="5" t="s">
        <v>4306</v>
      </c>
      <c r="C856" s="6" t="s">
        <v>23</v>
      </c>
      <c r="D856" s="6" t="s">
        <v>4445</v>
      </c>
      <c r="E856" s="7" t="s">
        <v>4443</v>
      </c>
    </row>
    <row r="857" spans="1:5" x14ac:dyDescent="0.25">
      <c r="A857" s="4" t="s">
        <v>3524</v>
      </c>
      <c r="B857" s="5" t="s">
        <v>4298</v>
      </c>
      <c r="C857" s="6" t="s">
        <v>23</v>
      </c>
      <c r="D857" s="6" t="s">
        <v>4445</v>
      </c>
      <c r="E857" s="7" t="s">
        <v>4443</v>
      </c>
    </row>
    <row r="858" spans="1:5" x14ac:dyDescent="0.25">
      <c r="A858" s="4" t="s">
        <v>3534</v>
      </c>
      <c r="B858" s="5" t="s">
        <v>4308</v>
      </c>
      <c r="C858" s="6" t="s">
        <v>23</v>
      </c>
      <c r="D858" s="6" t="s">
        <v>4445</v>
      </c>
      <c r="E858" s="7" t="s">
        <v>4443</v>
      </c>
    </row>
    <row r="859" spans="1:5" x14ac:dyDescent="0.25">
      <c r="A859" s="4" t="s">
        <v>3531</v>
      </c>
      <c r="B859" s="5" t="s">
        <v>4305</v>
      </c>
      <c r="C859" s="6" t="s">
        <v>23</v>
      </c>
      <c r="D859" s="6" t="s">
        <v>4445</v>
      </c>
      <c r="E859" s="7" t="s">
        <v>4443</v>
      </c>
    </row>
    <row r="860" spans="1:5" x14ac:dyDescent="0.25">
      <c r="A860" s="4" t="s">
        <v>3350</v>
      </c>
      <c r="B860" s="5" t="s">
        <v>4121</v>
      </c>
      <c r="C860" s="6" t="s">
        <v>23</v>
      </c>
      <c r="D860" s="6" t="s">
        <v>4445</v>
      </c>
      <c r="E860" s="7" t="s">
        <v>4443</v>
      </c>
    </row>
    <row r="861" spans="1:5" x14ac:dyDescent="0.25">
      <c r="A861" s="4" t="s">
        <v>3520</v>
      </c>
      <c r="B861" s="5" t="s">
        <v>4294</v>
      </c>
      <c r="C861" s="6" t="s">
        <v>23</v>
      </c>
      <c r="D861" s="6" t="s">
        <v>4445</v>
      </c>
      <c r="E861" s="7" t="s">
        <v>4443</v>
      </c>
    </row>
    <row r="862" spans="1:5" x14ac:dyDescent="0.25">
      <c r="A862" s="4" t="s">
        <v>3517</v>
      </c>
      <c r="B862" s="5" t="s">
        <v>4291</v>
      </c>
      <c r="C862" s="6" t="s">
        <v>23</v>
      </c>
      <c r="D862" s="6" t="s">
        <v>4445</v>
      </c>
      <c r="E862" s="7" t="s">
        <v>4443</v>
      </c>
    </row>
    <row r="863" spans="1:5" x14ac:dyDescent="0.25">
      <c r="A863" s="4" t="s">
        <v>2910</v>
      </c>
      <c r="B863" s="5" t="s">
        <v>3670</v>
      </c>
      <c r="C863" s="6" t="s">
        <v>23</v>
      </c>
      <c r="D863" s="6" t="s">
        <v>4445</v>
      </c>
      <c r="E863" s="7" t="s">
        <v>4443</v>
      </c>
    </row>
    <row r="864" spans="1:5" x14ac:dyDescent="0.25">
      <c r="A864" s="11" t="s">
        <v>3351</v>
      </c>
      <c r="B864" s="5" t="s">
        <v>4122</v>
      </c>
      <c r="C864" s="12" t="s">
        <v>23</v>
      </c>
      <c r="D864" s="12" t="s">
        <v>4445</v>
      </c>
      <c r="E864" s="7" t="s">
        <v>4443</v>
      </c>
    </row>
    <row r="865" spans="1:5" x14ac:dyDescent="0.25">
      <c r="A865" s="4" t="s">
        <v>3352</v>
      </c>
      <c r="B865" s="5" t="s">
        <v>4123</v>
      </c>
      <c r="C865" s="6" t="s">
        <v>23</v>
      </c>
      <c r="D865" s="6" t="s">
        <v>4445</v>
      </c>
      <c r="E865" s="7" t="s">
        <v>4443</v>
      </c>
    </row>
    <row r="866" spans="1:5" x14ac:dyDescent="0.25">
      <c r="A866" s="4" t="s">
        <v>3353</v>
      </c>
      <c r="B866" s="5" t="s">
        <v>4124</v>
      </c>
      <c r="C866" s="6" t="s">
        <v>23</v>
      </c>
      <c r="D866" s="6" t="s">
        <v>4445</v>
      </c>
      <c r="E866" s="7" t="s">
        <v>4443</v>
      </c>
    </row>
    <row r="867" spans="1:5" x14ac:dyDescent="0.25">
      <c r="A867" s="11" t="s">
        <v>3354</v>
      </c>
      <c r="B867" s="5" t="s">
        <v>4125</v>
      </c>
      <c r="C867" s="12" t="s">
        <v>23</v>
      </c>
      <c r="D867" s="12" t="s">
        <v>4445</v>
      </c>
      <c r="E867" s="7" t="s">
        <v>4443</v>
      </c>
    </row>
    <row r="868" spans="1:5" x14ac:dyDescent="0.25">
      <c r="A868" s="4" t="s">
        <v>3365</v>
      </c>
      <c r="B868" s="5" t="s">
        <v>4136</v>
      </c>
      <c r="C868" s="6" t="s">
        <v>23</v>
      </c>
      <c r="D868" s="6" t="s">
        <v>4445</v>
      </c>
      <c r="E868" s="7" t="s">
        <v>4443</v>
      </c>
    </row>
    <row r="869" spans="1:5" x14ac:dyDescent="0.25">
      <c r="A869" s="4" t="s">
        <v>3366</v>
      </c>
      <c r="B869" s="5" t="s">
        <v>4137</v>
      </c>
      <c r="C869" s="6" t="s">
        <v>23</v>
      </c>
      <c r="D869" s="6" t="s">
        <v>4445</v>
      </c>
      <c r="E869" s="7" t="s">
        <v>4443</v>
      </c>
    </row>
    <row r="870" spans="1:5" x14ac:dyDescent="0.25">
      <c r="A870" s="4" t="s">
        <v>3355</v>
      </c>
      <c r="B870" s="5" t="s">
        <v>4126</v>
      </c>
      <c r="C870" s="6" t="s">
        <v>23</v>
      </c>
      <c r="D870" s="6" t="s">
        <v>4445</v>
      </c>
      <c r="E870" s="7" t="s">
        <v>4443</v>
      </c>
    </row>
    <row r="871" spans="1:5" x14ac:dyDescent="0.25">
      <c r="A871" s="11" t="s">
        <v>3356</v>
      </c>
      <c r="B871" s="5" t="s">
        <v>4127</v>
      </c>
      <c r="C871" s="12" t="s">
        <v>23</v>
      </c>
      <c r="D871" s="12" t="s">
        <v>4445</v>
      </c>
      <c r="E871" s="7" t="s">
        <v>4443</v>
      </c>
    </row>
    <row r="872" spans="1:5" x14ac:dyDescent="0.25">
      <c r="A872" s="4" t="s">
        <v>3357</v>
      </c>
      <c r="B872" s="5" t="s">
        <v>4128</v>
      </c>
      <c r="C872" s="12" t="s">
        <v>23</v>
      </c>
      <c r="D872" s="12" t="s">
        <v>4445</v>
      </c>
      <c r="E872" s="60" t="s">
        <v>4443</v>
      </c>
    </row>
    <row r="873" spans="1:5" x14ac:dyDescent="0.25">
      <c r="A873" s="4" t="s">
        <v>3358</v>
      </c>
      <c r="B873" s="5" t="s">
        <v>4129</v>
      </c>
      <c r="C873" s="6" t="s">
        <v>23</v>
      </c>
      <c r="D873" s="6" t="s">
        <v>4445</v>
      </c>
      <c r="E873" s="7" t="s">
        <v>4443</v>
      </c>
    </row>
    <row r="874" spans="1:5" x14ac:dyDescent="0.25">
      <c r="A874" s="4" t="s">
        <v>3359</v>
      </c>
      <c r="B874" s="5" t="s">
        <v>4130</v>
      </c>
      <c r="C874" s="6" t="s">
        <v>23</v>
      </c>
      <c r="D874" s="6" t="s">
        <v>4445</v>
      </c>
      <c r="E874" s="7" t="s">
        <v>4443</v>
      </c>
    </row>
    <row r="875" spans="1:5" x14ac:dyDescent="0.25">
      <c r="A875" s="11" t="s">
        <v>3360</v>
      </c>
      <c r="B875" s="5" t="s">
        <v>4131</v>
      </c>
      <c r="C875" s="12" t="s">
        <v>23</v>
      </c>
      <c r="D875" s="12" t="s">
        <v>4445</v>
      </c>
      <c r="E875" s="7" t="s">
        <v>4443</v>
      </c>
    </row>
    <row r="876" spans="1:5" x14ac:dyDescent="0.25">
      <c r="A876" s="11" t="s">
        <v>3361</v>
      </c>
      <c r="B876" s="5" t="s">
        <v>4132</v>
      </c>
      <c r="C876" s="12" t="s">
        <v>23</v>
      </c>
      <c r="D876" s="12" t="s">
        <v>4445</v>
      </c>
      <c r="E876" s="7" t="s">
        <v>4443</v>
      </c>
    </row>
    <row r="877" spans="1:5" x14ac:dyDescent="0.25">
      <c r="A877" s="4" t="s">
        <v>3362</v>
      </c>
      <c r="B877" s="5" t="s">
        <v>4133</v>
      </c>
      <c r="C877" s="6" t="s">
        <v>23</v>
      </c>
      <c r="D877" s="6" t="s">
        <v>4445</v>
      </c>
      <c r="E877" s="7" t="s">
        <v>4443</v>
      </c>
    </row>
    <row r="878" spans="1:5" x14ac:dyDescent="0.25">
      <c r="A878" s="11" t="s">
        <v>3367</v>
      </c>
      <c r="B878" s="5" t="s">
        <v>4138</v>
      </c>
      <c r="C878" s="12" t="s">
        <v>23</v>
      </c>
      <c r="D878" s="12" t="s">
        <v>4445</v>
      </c>
      <c r="E878" s="7" t="s">
        <v>4443</v>
      </c>
    </row>
    <row r="879" spans="1:5" x14ac:dyDescent="0.25">
      <c r="A879" s="11" t="s">
        <v>3363</v>
      </c>
      <c r="B879" s="5" t="s">
        <v>4134</v>
      </c>
      <c r="C879" s="12" t="s">
        <v>23</v>
      </c>
      <c r="D879" s="12" t="s">
        <v>4445</v>
      </c>
      <c r="E879" s="7" t="s">
        <v>4443</v>
      </c>
    </row>
    <row r="880" spans="1:5" x14ac:dyDescent="0.25">
      <c r="A880" s="11" t="s">
        <v>3364</v>
      </c>
      <c r="B880" s="5" t="s">
        <v>4135</v>
      </c>
      <c r="C880" s="12" t="s">
        <v>23</v>
      </c>
      <c r="D880" s="12" t="s">
        <v>4445</v>
      </c>
      <c r="E880" s="7" t="s">
        <v>4443</v>
      </c>
    </row>
    <row r="881" spans="1:5" x14ac:dyDescent="0.25">
      <c r="A881" s="11" t="s">
        <v>3369</v>
      </c>
      <c r="B881" s="5" t="s">
        <v>4140</v>
      </c>
      <c r="C881" s="12" t="s">
        <v>23</v>
      </c>
      <c r="D881" s="12" t="s">
        <v>4445</v>
      </c>
      <c r="E881" s="7" t="s">
        <v>4443</v>
      </c>
    </row>
    <row r="882" spans="1:5" x14ac:dyDescent="0.25">
      <c r="A882" s="11" t="s">
        <v>3370</v>
      </c>
      <c r="B882" s="5" t="s">
        <v>4141</v>
      </c>
      <c r="C882" s="12" t="s">
        <v>23</v>
      </c>
      <c r="D882" s="12" t="s">
        <v>4445</v>
      </c>
      <c r="E882" s="7" t="s">
        <v>4443</v>
      </c>
    </row>
    <row r="883" spans="1:5" x14ac:dyDescent="0.25">
      <c r="A883" s="11" t="s">
        <v>3371</v>
      </c>
      <c r="B883" s="5" t="s">
        <v>4142</v>
      </c>
      <c r="C883" s="12" t="s">
        <v>23</v>
      </c>
      <c r="D883" s="12" t="s">
        <v>4445</v>
      </c>
      <c r="E883" s="7" t="s">
        <v>4443</v>
      </c>
    </row>
    <row r="884" spans="1:5" x14ac:dyDescent="0.25">
      <c r="A884" s="11" t="s">
        <v>3368</v>
      </c>
      <c r="B884" s="5" t="s">
        <v>4139</v>
      </c>
      <c r="C884" s="12" t="s">
        <v>23</v>
      </c>
      <c r="D884" s="12" t="s">
        <v>4445</v>
      </c>
      <c r="E884" s="7" t="s">
        <v>4443</v>
      </c>
    </row>
    <row r="885" spans="1:5" x14ac:dyDescent="0.25">
      <c r="A885" s="4" t="s">
        <v>3372</v>
      </c>
      <c r="B885" s="5" t="s">
        <v>4143</v>
      </c>
      <c r="C885" s="6" t="s">
        <v>23</v>
      </c>
      <c r="D885" s="6" t="s">
        <v>4445</v>
      </c>
      <c r="E885" s="7" t="s">
        <v>4443</v>
      </c>
    </row>
    <row r="886" spans="1:5" x14ac:dyDescent="0.25">
      <c r="A886" s="4" t="s">
        <v>3373</v>
      </c>
      <c r="B886" s="5" t="s">
        <v>4144</v>
      </c>
      <c r="C886" s="6" t="s">
        <v>23</v>
      </c>
      <c r="D886" s="6" t="s">
        <v>4445</v>
      </c>
      <c r="E886" s="7" t="s">
        <v>4443</v>
      </c>
    </row>
    <row r="887" spans="1:5" x14ac:dyDescent="0.25">
      <c r="A887" s="4" t="s">
        <v>3374</v>
      </c>
      <c r="B887" s="5" t="s">
        <v>4145</v>
      </c>
      <c r="C887" s="6" t="s">
        <v>23</v>
      </c>
      <c r="D887" s="6" t="s">
        <v>4445</v>
      </c>
      <c r="E887" s="7" t="s">
        <v>4443</v>
      </c>
    </row>
    <row r="888" spans="1:5" x14ac:dyDescent="0.25">
      <c r="A888" s="4" t="s">
        <v>3375</v>
      </c>
      <c r="B888" s="5" t="s">
        <v>4146</v>
      </c>
      <c r="C888" s="6" t="s">
        <v>23</v>
      </c>
      <c r="D888" s="6" t="s">
        <v>4445</v>
      </c>
      <c r="E888" s="7" t="s">
        <v>4443</v>
      </c>
    </row>
    <row r="889" spans="1:5" x14ac:dyDescent="0.25">
      <c r="A889" s="4" t="s">
        <v>3376</v>
      </c>
      <c r="B889" s="5" t="s">
        <v>4147</v>
      </c>
      <c r="C889" s="6" t="s">
        <v>23</v>
      </c>
      <c r="D889" s="6" t="s">
        <v>4445</v>
      </c>
      <c r="E889" s="7" t="s">
        <v>4443</v>
      </c>
    </row>
    <row r="890" spans="1:5" x14ac:dyDescent="0.25">
      <c r="A890" s="4" t="s">
        <v>3377</v>
      </c>
      <c r="B890" s="5" t="s">
        <v>4148</v>
      </c>
      <c r="C890" s="6" t="s">
        <v>23</v>
      </c>
      <c r="D890" s="6" t="s">
        <v>4445</v>
      </c>
      <c r="E890" s="7" t="s">
        <v>4443</v>
      </c>
    </row>
    <row r="891" spans="1:5" x14ac:dyDescent="0.25">
      <c r="A891" s="4" t="s">
        <v>3378</v>
      </c>
      <c r="B891" s="5" t="s">
        <v>4149</v>
      </c>
      <c r="C891" s="6" t="s">
        <v>23</v>
      </c>
      <c r="D891" s="6" t="s">
        <v>4445</v>
      </c>
      <c r="E891" s="7" t="s">
        <v>4443</v>
      </c>
    </row>
    <row r="892" spans="1:5" x14ac:dyDescent="0.25">
      <c r="A892" s="4" t="s">
        <v>3379</v>
      </c>
      <c r="B892" s="5" t="s">
        <v>4150</v>
      </c>
      <c r="C892" s="6" t="s">
        <v>23</v>
      </c>
      <c r="D892" s="6" t="s">
        <v>4445</v>
      </c>
      <c r="E892" s="7" t="s">
        <v>4443</v>
      </c>
    </row>
    <row r="893" spans="1:5" x14ac:dyDescent="0.25">
      <c r="A893" s="4" t="s">
        <v>3380</v>
      </c>
      <c r="B893" s="5" t="s">
        <v>4151</v>
      </c>
      <c r="C893" s="6" t="s">
        <v>23</v>
      </c>
      <c r="D893" s="6" t="s">
        <v>4445</v>
      </c>
      <c r="E893" s="7" t="s">
        <v>4443</v>
      </c>
    </row>
    <row r="894" spans="1:5" x14ac:dyDescent="0.25">
      <c r="A894" s="4" t="s">
        <v>3381</v>
      </c>
      <c r="B894" s="5" t="s">
        <v>4152</v>
      </c>
      <c r="C894" s="6" t="s">
        <v>23</v>
      </c>
      <c r="D894" s="6" t="s">
        <v>4445</v>
      </c>
      <c r="E894" s="7" t="s">
        <v>4443</v>
      </c>
    </row>
    <row r="895" spans="1:5" x14ac:dyDescent="0.25">
      <c r="A895" s="4" t="s">
        <v>3382</v>
      </c>
      <c r="B895" s="5" t="s">
        <v>4153</v>
      </c>
      <c r="C895" s="6" t="s">
        <v>23</v>
      </c>
      <c r="D895" s="6" t="s">
        <v>4445</v>
      </c>
      <c r="E895" s="7" t="s">
        <v>4443</v>
      </c>
    </row>
    <row r="896" spans="1:5" x14ac:dyDescent="0.25">
      <c r="A896" s="4" t="s">
        <v>3383</v>
      </c>
      <c r="B896" s="5" t="s">
        <v>4154</v>
      </c>
      <c r="C896" s="6" t="s">
        <v>23</v>
      </c>
      <c r="D896" s="6" t="s">
        <v>4445</v>
      </c>
      <c r="E896" s="7" t="s">
        <v>4443</v>
      </c>
    </row>
    <row r="897" spans="1:5" x14ac:dyDescent="0.25">
      <c r="A897" s="4" t="s">
        <v>3384</v>
      </c>
      <c r="B897" s="5" t="s">
        <v>4155</v>
      </c>
      <c r="C897" s="6" t="s">
        <v>23</v>
      </c>
      <c r="D897" s="6" t="s">
        <v>4445</v>
      </c>
      <c r="E897" s="7" t="s">
        <v>4443</v>
      </c>
    </row>
    <row r="898" spans="1:5" x14ac:dyDescent="0.25">
      <c r="A898" s="4" t="s">
        <v>3385</v>
      </c>
      <c r="B898" s="5" t="s">
        <v>4156</v>
      </c>
      <c r="C898" s="6" t="s">
        <v>23</v>
      </c>
      <c r="D898" s="6" t="s">
        <v>4445</v>
      </c>
      <c r="E898" s="7" t="s">
        <v>4443</v>
      </c>
    </row>
    <row r="899" spans="1:5" x14ac:dyDescent="0.25">
      <c r="A899" s="4" t="s">
        <v>3386</v>
      </c>
      <c r="B899" s="5" t="s">
        <v>4157</v>
      </c>
      <c r="C899" s="6" t="s">
        <v>23</v>
      </c>
      <c r="D899" s="6" t="s">
        <v>4445</v>
      </c>
      <c r="E899" s="7" t="s">
        <v>4443</v>
      </c>
    </row>
    <row r="900" spans="1:5" x14ac:dyDescent="0.25">
      <c r="A900" s="4" t="s">
        <v>3387</v>
      </c>
      <c r="B900" s="5" t="s">
        <v>4158</v>
      </c>
      <c r="C900" s="6" t="s">
        <v>23</v>
      </c>
      <c r="D900" s="6" t="s">
        <v>4445</v>
      </c>
      <c r="E900" s="7" t="s">
        <v>4443</v>
      </c>
    </row>
    <row r="901" spans="1:5" x14ac:dyDescent="0.25">
      <c r="A901" s="4" t="s">
        <v>3388</v>
      </c>
      <c r="B901" s="5" t="s">
        <v>4159</v>
      </c>
      <c r="C901" s="6" t="s">
        <v>23</v>
      </c>
      <c r="D901" s="6" t="s">
        <v>4445</v>
      </c>
      <c r="E901" s="7" t="s">
        <v>4443</v>
      </c>
    </row>
    <row r="902" spans="1:5" x14ac:dyDescent="0.25">
      <c r="A902" s="4" t="s">
        <v>3389</v>
      </c>
      <c r="B902" s="5" t="s">
        <v>4160</v>
      </c>
      <c r="C902" s="6" t="s">
        <v>23</v>
      </c>
      <c r="D902" s="6" t="s">
        <v>4445</v>
      </c>
      <c r="E902" s="7" t="s">
        <v>4443</v>
      </c>
    </row>
    <row r="903" spans="1:5" x14ac:dyDescent="0.25">
      <c r="A903" s="4" t="s">
        <v>3390</v>
      </c>
      <c r="B903" s="5" t="s">
        <v>4161</v>
      </c>
      <c r="C903" s="6" t="s">
        <v>23</v>
      </c>
      <c r="D903" s="6" t="s">
        <v>4445</v>
      </c>
      <c r="E903" s="7" t="s">
        <v>4443</v>
      </c>
    </row>
    <row r="904" spans="1:5" x14ac:dyDescent="0.25">
      <c r="A904" s="4" t="s">
        <v>3391</v>
      </c>
      <c r="B904" s="5" t="s">
        <v>4162</v>
      </c>
      <c r="C904" s="6" t="s">
        <v>23</v>
      </c>
      <c r="D904" s="6" t="s">
        <v>4445</v>
      </c>
      <c r="E904" s="7" t="s">
        <v>4443</v>
      </c>
    </row>
    <row r="905" spans="1:5" x14ac:dyDescent="0.25">
      <c r="A905" s="4" t="s">
        <v>3392</v>
      </c>
      <c r="B905" s="5" t="s">
        <v>4163</v>
      </c>
      <c r="C905" s="6" t="s">
        <v>23</v>
      </c>
      <c r="D905" s="6" t="s">
        <v>4445</v>
      </c>
      <c r="E905" s="7" t="s">
        <v>4443</v>
      </c>
    </row>
    <row r="906" spans="1:5" x14ac:dyDescent="0.25">
      <c r="A906" s="4" t="s">
        <v>3393</v>
      </c>
      <c r="B906" s="5" t="s">
        <v>4164</v>
      </c>
      <c r="C906" s="6" t="s">
        <v>23</v>
      </c>
      <c r="D906" s="6" t="s">
        <v>4445</v>
      </c>
      <c r="E906" s="7" t="s">
        <v>4443</v>
      </c>
    </row>
    <row r="907" spans="1:5" x14ac:dyDescent="0.25">
      <c r="A907" s="4" t="s">
        <v>3394</v>
      </c>
      <c r="B907" s="5" t="s">
        <v>4165</v>
      </c>
      <c r="C907" s="6" t="s">
        <v>23</v>
      </c>
      <c r="D907" s="6" t="s">
        <v>4445</v>
      </c>
      <c r="E907" s="7" t="s">
        <v>4443</v>
      </c>
    </row>
    <row r="908" spans="1:5" x14ac:dyDescent="0.25">
      <c r="A908" s="4" t="s">
        <v>3395</v>
      </c>
      <c r="B908" s="5" t="s">
        <v>4166</v>
      </c>
      <c r="C908" s="6" t="s">
        <v>23</v>
      </c>
      <c r="D908" s="6" t="s">
        <v>4445</v>
      </c>
      <c r="E908" s="7" t="s">
        <v>4443</v>
      </c>
    </row>
    <row r="909" spans="1:5" x14ac:dyDescent="0.25">
      <c r="A909" s="4" t="s">
        <v>3396</v>
      </c>
      <c r="B909" s="5" t="s">
        <v>4167</v>
      </c>
      <c r="C909" s="6" t="s">
        <v>23</v>
      </c>
      <c r="D909" s="6" t="s">
        <v>4445</v>
      </c>
      <c r="E909" s="7" t="s">
        <v>4443</v>
      </c>
    </row>
    <row r="910" spans="1:5" x14ac:dyDescent="0.25">
      <c r="A910" s="11" t="s">
        <v>3397</v>
      </c>
      <c r="B910" s="5" t="s">
        <v>4168</v>
      </c>
      <c r="C910" s="12" t="s">
        <v>23</v>
      </c>
      <c r="D910" s="12" t="s">
        <v>4445</v>
      </c>
      <c r="E910" s="7" t="s">
        <v>4443</v>
      </c>
    </row>
    <row r="911" spans="1:5" x14ac:dyDescent="0.25">
      <c r="A911" s="11" t="s">
        <v>3398</v>
      </c>
      <c r="B911" s="5" t="s">
        <v>4169</v>
      </c>
      <c r="C911" s="12" t="s">
        <v>23</v>
      </c>
      <c r="D911" s="12" t="s">
        <v>4445</v>
      </c>
      <c r="E911" s="7" t="s">
        <v>4443</v>
      </c>
    </row>
    <row r="912" spans="1:5" x14ac:dyDescent="0.25">
      <c r="A912" s="11" t="s">
        <v>3398</v>
      </c>
      <c r="B912" s="5" t="s">
        <v>4170</v>
      </c>
      <c r="C912" s="12" t="s">
        <v>23</v>
      </c>
      <c r="D912" s="12" t="s">
        <v>4445</v>
      </c>
      <c r="E912" s="7" t="s">
        <v>4443</v>
      </c>
    </row>
    <row r="913" spans="1:5" x14ac:dyDescent="0.25">
      <c r="A913" s="4" t="s">
        <v>3398</v>
      </c>
      <c r="B913" s="5" t="s">
        <v>4171</v>
      </c>
      <c r="C913" s="6" t="s">
        <v>23</v>
      </c>
      <c r="D913" s="6" t="s">
        <v>4445</v>
      </c>
      <c r="E913" s="7" t="s">
        <v>4443</v>
      </c>
    </row>
    <row r="914" spans="1:5" x14ac:dyDescent="0.25">
      <c r="A914" s="4" t="s">
        <v>3399</v>
      </c>
      <c r="B914" s="5" t="s">
        <v>4172</v>
      </c>
      <c r="C914" s="6" t="s">
        <v>23</v>
      </c>
      <c r="D914" s="6" t="s">
        <v>4445</v>
      </c>
      <c r="E914" s="7" t="s">
        <v>4443</v>
      </c>
    </row>
    <row r="915" spans="1:5" x14ac:dyDescent="0.25">
      <c r="A915" s="4" t="s">
        <v>3400</v>
      </c>
      <c r="B915" s="5" t="s">
        <v>4173</v>
      </c>
      <c r="C915" s="6" t="s">
        <v>23</v>
      </c>
      <c r="D915" s="6" t="s">
        <v>4445</v>
      </c>
      <c r="E915" s="7" t="s">
        <v>4443</v>
      </c>
    </row>
    <row r="916" spans="1:5" x14ac:dyDescent="0.25">
      <c r="A916" s="4" t="s">
        <v>3402</v>
      </c>
      <c r="B916" s="5" t="s">
        <v>4175</v>
      </c>
      <c r="C916" s="6" t="s">
        <v>23</v>
      </c>
      <c r="D916" s="6" t="s">
        <v>4445</v>
      </c>
      <c r="E916" s="7" t="s">
        <v>4443</v>
      </c>
    </row>
    <row r="917" spans="1:5" x14ac:dyDescent="0.25">
      <c r="A917" s="4" t="s">
        <v>3403</v>
      </c>
      <c r="B917" s="5" t="s">
        <v>4176</v>
      </c>
      <c r="C917" s="6" t="s">
        <v>23</v>
      </c>
      <c r="D917" s="6" t="s">
        <v>4445</v>
      </c>
      <c r="E917" s="7" t="s">
        <v>4443</v>
      </c>
    </row>
    <row r="918" spans="1:5" x14ac:dyDescent="0.25">
      <c r="A918" s="4" t="s">
        <v>3404</v>
      </c>
      <c r="B918" s="5" t="s">
        <v>4177</v>
      </c>
      <c r="C918" s="6" t="s">
        <v>23</v>
      </c>
      <c r="D918" s="6" t="s">
        <v>4445</v>
      </c>
      <c r="E918" s="7" t="s">
        <v>4443</v>
      </c>
    </row>
    <row r="919" spans="1:5" x14ac:dyDescent="0.25">
      <c r="A919" s="4" t="s">
        <v>3405</v>
      </c>
      <c r="B919" s="5" t="s">
        <v>4178</v>
      </c>
      <c r="C919" s="6" t="s">
        <v>23</v>
      </c>
      <c r="D919" s="6" t="s">
        <v>4445</v>
      </c>
      <c r="E919" s="7" t="s">
        <v>4443</v>
      </c>
    </row>
    <row r="920" spans="1:5" x14ac:dyDescent="0.25">
      <c r="A920" s="4" t="s">
        <v>3406</v>
      </c>
      <c r="B920" s="5" t="s">
        <v>4179</v>
      </c>
      <c r="C920" s="6" t="s">
        <v>23</v>
      </c>
      <c r="D920" s="6" t="s">
        <v>4445</v>
      </c>
      <c r="E920" s="7" t="s">
        <v>4443</v>
      </c>
    </row>
    <row r="921" spans="1:5" x14ac:dyDescent="0.25">
      <c r="A921" s="4" t="s">
        <v>3407</v>
      </c>
      <c r="B921" s="5" t="s">
        <v>4180</v>
      </c>
      <c r="C921" s="6" t="s">
        <v>23</v>
      </c>
      <c r="D921" s="6" t="s">
        <v>4445</v>
      </c>
      <c r="E921" s="7" t="s">
        <v>4443</v>
      </c>
    </row>
    <row r="922" spans="1:5" x14ac:dyDescent="0.25">
      <c r="A922" s="4" t="s">
        <v>3408</v>
      </c>
      <c r="B922" s="5" t="s">
        <v>4181</v>
      </c>
      <c r="C922" s="6" t="s">
        <v>23</v>
      </c>
      <c r="D922" s="6" t="s">
        <v>4445</v>
      </c>
      <c r="E922" s="7" t="s">
        <v>4443</v>
      </c>
    </row>
    <row r="923" spans="1:5" x14ac:dyDescent="0.25">
      <c r="A923" s="4" t="s">
        <v>3409</v>
      </c>
      <c r="B923" s="5" t="s">
        <v>4182</v>
      </c>
      <c r="C923" s="6" t="s">
        <v>23</v>
      </c>
      <c r="D923" s="6" t="s">
        <v>4445</v>
      </c>
      <c r="E923" s="7" t="s">
        <v>4443</v>
      </c>
    </row>
    <row r="924" spans="1:5" x14ac:dyDescent="0.25">
      <c r="A924" s="4" t="s">
        <v>3548</v>
      </c>
      <c r="B924" s="5" t="s">
        <v>4322</v>
      </c>
      <c r="C924" s="6" t="s">
        <v>23</v>
      </c>
      <c r="D924" s="6" t="s">
        <v>4445</v>
      </c>
      <c r="E924" s="7" t="s">
        <v>4443</v>
      </c>
    </row>
    <row r="925" spans="1:5" x14ac:dyDescent="0.25">
      <c r="A925" s="4" t="s">
        <v>3410</v>
      </c>
      <c r="B925" s="5" t="s">
        <v>4183</v>
      </c>
      <c r="C925" s="6" t="s">
        <v>23</v>
      </c>
      <c r="D925" s="6" t="s">
        <v>4445</v>
      </c>
      <c r="E925" s="7" t="s">
        <v>4443</v>
      </c>
    </row>
    <row r="926" spans="1:5" x14ac:dyDescent="0.25">
      <c r="A926" s="4" t="s">
        <v>3411</v>
      </c>
      <c r="B926" s="5" t="s">
        <v>4184</v>
      </c>
      <c r="C926" s="6" t="s">
        <v>23</v>
      </c>
      <c r="D926" s="6" t="s">
        <v>4445</v>
      </c>
      <c r="E926" s="7" t="s">
        <v>4443</v>
      </c>
    </row>
    <row r="927" spans="1:5" x14ac:dyDescent="0.25">
      <c r="A927" s="4" t="s">
        <v>3557</v>
      </c>
      <c r="B927" s="5" t="s">
        <v>4332</v>
      </c>
      <c r="C927" s="6" t="s">
        <v>23</v>
      </c>
      <c r="D927" s="6" t="s">
        <v>4445</v>
      </c>
      <c r="E927" s="7" t="s">
        <v>4443</v>
      </c>
    </row>
    <row r="928" spans="1:5" x14ac:dyDescent="0.25">
      <c r="A928" s="11" t="s">
        <v>3496</v>
      </c>
      <c r="B928" s="5" t="s">
        <v>4270</v>
      </c>
      <c r="C928" s="12" t="s">
        <v>23</v>
      </c>
      <c r="D928" s="12" t="s">
        <v>4445</v>
      </c>
      <c r="E928" s="7" t="s">
        <v>4443</v>
      </c>
    </row>
    <row r="929" spans="1:5" x14ac:dyDescent="0.25">
      <c r="A929" s="4" t="s">
        <v>3412</v>
      </c>
      <c r="B929" s="5" t="s">
        <v>4185</v>
      </c>
      <c r="C929" s="6" t="s">
        <v>23</v>
      </c>
      <c r="D929" s="6" t="s">
        <v>4445</v>
      </c>
      <c r="E929" s="7" t="s">
        <v>4443</v>
      </c>
    </row>
    <row r="930" spans="1:5" x14ac:dyDescent="0.25">
      <c r="A930" s="4" t="s">
        <v>3412</v>
      </c>
      <c r="B930" s="5" t="s">
        <v>4186</v>
      </c>
      <c r="C930" s="6" t="s">
        <v>23</v>
      </c>
      <c r="D930" s="6" t="s">
        <v>4445</v>
      </c>
      <c r="E930" s="7" t="s">
        <v>4443</v>
      </c>
    </row>
    <row r="931" spans="1:5" x14ac:dyDescent="0.25">
      <c r="A931" s="4" t="s">
        <v>3413</v>
      </c>
      <c r="B931" s="5" t="s">
        <v>4187</v>
      </c>
      <c r="C931" s="6" t="s">
        <v>23</v>
      </c>
      <c r="D931" s="6" t="s">
        <v>4445</v>
      </c>
      <c r="E931" s="7" t="s">
        <v>4443</v>
      </c>
    </row>
    <row r="932" spans="1:5" x14ac:dyDescent="0.25">
      <c r="A932" s="4" t="s">
        <v>3414</v>
      </c>
      <c r="B932" s="5" t="s">
        <v>4188</v>
      </c>
      <c r="C932" s="6" t="s">
        <v>23</v>
      </c>
      <c r="D932" s="6" t="s">
        <v>4445</v>
      </c>
      <c r="E932" s="7" t="s">
        <v>4443</v>
      </c>
    </row>
    <row r="933" spans="1:5" x14ac:dyDescent="0.25">
      <c r="A933" s="4" t="s">
        <v>3415</v>
      </c>
      <c r="B933" s="5" t="s">
        <v>4189</v>
      </c>
      <c r="C933" s="6" t="s">
        <v>23</v>
      </c>
      <c r="D933" s="6" t="s">
        <v>4445</v>
      </c>
      <c r="E933" s="7" t="s">
        <v>4443</v>
      </c>
    </row>
    <row r="934" spans="1:5" x14ac:dyDescent="0.25">
      <c r="A934" s="4" t="s">
        <v>3416</v>
      </c>
      <c r="B934" s="5" t="s">
        <v>4190</v>
      </c>
      <c r="C934" s="6" t="s">
        <v>23</v>
      </c>
      <c r="D934" s="6" t="s">
        <v>4445</v>
      </c>
      <c r="E934" s="7" t="s">
        <v>4443</v>
      </c>
    </row>
    <row r="935" spans="1:5" x14ac:dyDescent="0.25">
      <c r="A935" s="4" t="s">
        <v>3417</v>
      </c>
      <c r="B935" s="5" t="s">
        <v>4191</v>
      </c>
      <c r="C935" s="6" t="s">
        <v>23</v>
      </c>
      <c r="D935" s="6" t="s">
        <v>4445</v>
      </c>
      <c r="E935" s="7" t="s">
        <v>4443</v>
      </c>
    </row>
    <row r="936" spans="1:5" x14ac:dyDescent="0.25">
      <c r="A936" s="4" t="s">
        <v>3497</v>
      </c>
      <c r="B936" s="5" t="s">
        <v>4271</v>
      </c>
      <c r="C936" s="6" t="s">
        <v>23</v>
      </c>
      <c r="D936" s="6" t="s">
        <v>4445</v>
      </c>
      <c r="E936" s="7" t="s">
        <v>4443</v>
      </c>
    </row>
    <row r="937" spans="1:5" x14ac:dyDescent="0.25">
      <c r="A937" s="4" t="s">
        <v>3553</v>
      </c>
      <c r="B937" s="5" t="s">
        <v>4328</v>
      </c>
      <c r="C937" s="6" t="s">
        <v>23</v>
      </c>
      <c r="D937" s="6" t="s">
        <v>4445</v>
      </c>
      <c r="E937" s="7" t="s">
        <v>4443</v>
      </c>
    </row>
    <row r="938" spans="1:5" x14ac:dyDescent="0.25">
      <c r="A938" s="11" t="s">
        <v>3418</v>
      </c>
      <c r="B938" s="5" t="s">
        <v>4192</v>
      </c>
      <c r="C938" s="12" t="s">
        <v>23</v>
      </c>
      <c r="D938" s="12" t="s">
        <v>4445</v>
      </c>
      <c r="E938" s="7" t="s">
        <v>4443</v>
      </c>
    </row>
    <row r="939" spans="1:5" x14ac:dyDescent="0.25">
      <c r="A939" s="4" t="s">
        <v>3419</v>
      </c>
      <c r="B939" s="5" t="s">
        <v>4193</v>
      </c>
      <c r="C939" s="6" t="s">
        <v>23</v>
      </c>
      <c r="D939" s="6" t="s">
        <v>4445</v>
      </c>
      <c r="E939" s="7" t="s">
        <v>4443</v>
      </c>
    </row>
    <row r="940" spans="1:5" x14ac:dyDescent="0.25">
      <c r="A940" s="4" t="s">
        <v>3420</v>
      </c>
      <c r="B940" s="5" t="s">
        <v>4194</v>
      </c>
      <c r="C940" s="6" t="s">
        <v>23</v>
      </c>
      <c r="D940" s="6" t="s">
        <v>4445</v>
      </c>
      <c r="E940" s="7" t="s">
        <v>4443</v>
      </c>
    </row>
    <row r="941" spans="1:5" x14ac:dyDescent="0.25">
      <c r="A941" s="11" t="s">
        <v>3421</v>
      </c>
      <c r="B941" s="5" t="s">
        <v>4195</v>
      </c>
      <c r="C941" s="12" t="s">
        <v>23</v>
      </c>
      <c r="D941" s="12" t="s">
        <v>4445</v>
      </c>
      <c r="E941" s="7" t="s">
        <v>4443</v>
      </c>
    </row>
    <row r="942" spans="1:5" x14ac:dyDescent="0.25">
      <c r="A942" s="11" t="s">
        <v>3422</v>
      </c>
      <c r="B942" s="5" t="s">
        <v>4196</v>
      </c>
      <c r="C942" s="12" t="s">
        <v>23</v>
      </c>
      <c r="D942" s="12" t="s">
        <v>4445</v>
      </c>
      <c r="E942" s="7" t="s">
        <v>4443</v>
      </c>
    </row>
    <row r="943" spans="1:5" x14ac:dyDescent="0.25">
      <c r="A943" s="4" t="s">
        <v>3423</v>
      </c>
      <c r="B943" s="5" t="s">
        <v>4197</v>
      </c>
      <c r="C943" s="6" t="s">
        <v>23</v>
      </c>
      <c r="D943" s="6" t="s">
        <v>4445</v>
      </c>
      <c r="E943" s="7" t="s">
        <v>4443</v>
      </c>
    </row>
    <row r="944" spans="1:5" x14ac:dyDescent="0.25">
      <c r="A944" s="4" t="s">
        <v>3424</v>
      </c>
      <c r="B944" s="5" t="s">
        <v>4198</v>
      </c>
      <c r="C944" s="6" t="s">
        <v>23</v>
      </c>
      <c r="D944" s="6" t="s">
        <v>4445</v>
      </c>
      <c r="E944" s="7" t="s">
        <v>4443</v>
      </c>
    </row>
    <row r="945" spans="1:5" x14ac:dyDescent="0.25">
      <c r="A945" s="4" t="s">
        <v>3425</v>
      </c>
      <c r="B945" s="5" t="s">
        <v>4199</v>
      </c>
      <c r="C945" s="6" t="s">
        <v>23</v>
      </c>
      <c r="D945" s="6" t="s">
        <v>4445</v>
      </c>
      <c r="E945" s="7" t="s">
        <v>4443</v>
      </c>
    </row>
    <row r="946" spans="1:5" x14ac:dyDescent="0.25">
      <c r="A946" s="4" t="s">
        <v>3426</v>
      </c>
      <c r="B946" s="5" t="s">
        <v>4200</v>
      </c>
      <c r="C946" s="6" t="s">
        <v>23</v>
      </c>
      <c r="D946" s="6" t="s">
        <v>4445</v>
      </c>
      <c r="E946" s="7" t="s">
        <v>4443</v>
      </c>
    </row>
    <row r="947" spans="1:5" x14ac:dyDescent="0.25">
      <c r="A947" s="4" t="s">
        <v>3427</v>
      </c>
      <c r="B947" s="5" t="s">
        <v>4201</v>
      </c>
      <c r="C947" s="6" t="s">
        <v>23</v>
      </c>
      <c r="D947" s="6" t="s">
        <v>4445</v>
      </c>
      <c r="E947" s="7" t="s">
        <v>4443</v>
      </c>
    </row>
    <row r="948" spans="1:5" x14ac:dyDescent="0.25">
      <c r="A948" s="11" t="s">
        <v>3428</v>
      </c>
      <c r="B948" s="5" t="s">
        <v>4202</v>
      </c>
      <c r="C948" s="12" t="s">
        <v>23</v>
      </c>
      <c r="D948" s="12" t="s">
        <v>4445</v>
      </c>
      <c r="E948" s="7" t="s">
        <v>4443</v>
      </c>
    </row>
    <row r="949" spans="1:5" x14ac:dyDescent="0.25">
      <c r="A949" s="4" t="s">
        <v>3429</v>
      </c>
      <c r="B949" s="5" t="s">
        <v>4203</v>
      </c>
      <c r="C949" s="6" t="s">
        <v>23</v>
      </c>
      <c r="D949" s="6" t="s">
        <v>4445</v>
      </c>
      <c r="E949" s="7" t="s">
        <v>4443</v>
      </c>
    </row>
    <row r="950" spans="1:5" x14ac:dyDescent="0.25">
      <c r="A950" s="4" t="s">
        <v>3430</v>
      </c>
      <c r="B950" s="5" t="s">
        <v>4204</v>
      </c>
      <c r="C950" s="6" t="s">
        <v>23</v>
      </c>
      <c r="D950" s="6" t="s">
        <v>4445</v>
      </c>
      <c r="E950" s="7" t="s">
        <v>4443</v>
      </c>
    </row>
    <row r="951" spans="1:5" x14ac:dyDescent="0.25">
      <c r="A951" s="4" t="s">
        <v>3498</v>
      </c>
      <c r="B951" s="5" t="s">
        <v>4272</v>
      </c>
      <c r="C951" s="6" t="s">
        <v>23</v>
      </c>
      <c r="D951" s="6" t="s">
        <v>4445</v>
      </c>
      <c r="E951" s="7" t="s">
        <v>4443</v>
      </c>
    </row>
    <row r="952" spans="1:5" x14ac:dyDescent="0.25">
      <c r="A952" s="4" t="s">
        <v>3565</v>
      </c>
      <c r="B952" s="5" t="s">
        <v>4341</v>
      </c>
      <c r="C952" s="6" t="s">
        <v>23</v>
      </c>
      <c r="D952" s="6" t="s">
        <v>4445</v>
      </c>
      <c r="E952" s="7" t="s">
        <v>4443</v>
      </c>
    </row>
    <row r="953" spans="1:5" x14ac:dyDescent="0.25">
      <c r="A953" s="4" t="s">
        <v>3431</v>
      </c>
      <c r="B953" s="5" t="s">
        <v>4205</v>
      </c>
      <c r="C953" s="6" t="s">
        <v>23</v>
      </c>
      <c r="D953" s="6" t="s">
        <v>4445</v>
      </c>
      <c r="E953" s="7" t="s">
        <v>4443</v>
      </c>
    </row>
    <row r="954" spans="1:5" x14ac:dyDescent="0.25">
      <c r="A954" s="4" t="s">
        <v>3432</v>
      </c>
      <c r="B954" s="5" t="s">
        <v>4206</v>
      </c>
      <c r="C954" s="6" t="s">
        <v>23</v>
      </c>
      <c r="D954" s="6" t="s">
        <v>4445</v>
      </c>
      <c r="E954" s="7" t="s">
        <v>4443</v>
      </c>
    </row>
    <row r="955" spans="1:5" x14ac:dyDescent="0.25">
      <c r="A955" s="4" t="s">
        <v>3433</v>
      </c>
      <c r="B955" s="5" t="s">
        <v>4207</v>
      </c>
      <c r="C955" s="6" t="s">
        <v>23</v>
      </c>
      <c r="D955" s="6" t="s">
        <v>4445</v>
      </c>
      <c r="E955" s="7" t="s">
        <v>4443</v>
      </c>
    </row>
    <row r="956" spans="1:5" x14ac:dyDescent="0.25">
      <c r="A956" s="4" t="s">
        <v>3434</v>
      </c>
      <c r="B956" s="5" t="s">
        <v>4208</v>
      </c>
      <c r="C956" s="6" t="s">
        <v>23</v>
      </c>
      <c r="D956" s="6" t="s">
        <v>4445</v>
      </c>
      <c r="E956" s="7" t="s">
        <v>4443</v>
      </c>
    </row>
    <row r="957" spans="1:5" x14ac:dyDescent="0.25">
      <c r="A957" s="4" t="s">
        <v>3435</v>
      </c>
      <c r="B957" s="5" t="s">
        <v>4209</v>
      </c>
      <c r="C957" s="6" t="s">
        <v>23</v>
      </c>
      <c r="D957" s="6" t="s">
        <v>4445</v>
      </c>
      <c r="E957" s="7" t="s">
        <v>4443</v>
      </c>
    </row>
    <row r="958" spans="1:5" x14ac:dyDescent="0.25">
      <c r="A958" s="4" t="s">
        <v>3436</v>
      </c>
      <c r="B958" s="5" t="s">
        <v>4210</v>
      </c>
      <c r="C958" s="6" t="s">
        <v>23</v>
      </c>
      <c r="D958" s="6" t="s">
        <v>4445</v>
      </c>
      <c r="E958" s="7" t="s">
        <v>4443</v>
      </c>
    </row>
    <row r="959" spans="1:5" x14ac:dyDescent="0.25">
      <c r="A959" s="4" t="s">
        <v>3437</v>
      </c>
      <c r="B959" s="5" t="s">
        <v>4211</v>
      </c>
      <c r="C959" s="6" t="s">
        <v>23</v>
      </c>
      <c r="D959" s="6" t="s">
        <v>4445</v>
      </c>
      <c r="E959" s="7" t="s">
        <v>4443</v>
      </c>
    </row>
    <row r="960" spans="1:5" x14ac:dyDescent="0.25">
      <c r="A960" s="4" t="s">
        <v>3554</v>
      </c>
      <c r="B960" s="5" t="s">
        <v>4329</v>
      </c>
      <c r="C960" s="6" t="s">
        <v>23</v>
      </c>
      <c r="D960" s="6" t="s">
        <v>4445</v>
      </c>
      <c r="E960" s="7" t="s">
        <v>4443</v>
      </c>
    </row>
    <row r="961" spans="1:5" x14ac:dyDescent="0.25">
      <c r="A961" s="4" t="s">
        <v>3495</v>
      </c>
      <c r="B961" s="5" t="s">
        <v>4269</v>
      </c>
      <c r="C961" s="6" t="s">
        <v>23</v>
      </c>
      <c r="D961" s="6" t="s">
        <v>4445</v>
      </c>
      <c r="E961" s="7" t="s">
        <v>4443</v>
      </c>
    </row>
    <row r="962" spans="1:5" x14ac:dyDescent="0.25">
      <c r="A962" s="4" t="s">
        <v>3438</v>
      </c>
      <c r="B962" s="5" t="s">
        <v>4212</v>
      </c>
      <c r="C962" s="6" t="s">
        <v>23</v>
      </c>
      <c r="D962" s="6" t="s">
        <v>4445</v>
      </c>
      <c r="E962" s="7" t="s">
        <v>4443</v>
      </c>
    </row>
    <row r="963" spans="1:5" x14ac:dyDescent="0.25">
      <c r="A963" s="4" t="s">
        <v>3499</v>
      </c>
      <c r="B963" s="5" t="s">
        <v>4273</v>
      </c>
      <c r="C963" s="6" t="s">
        <v>23</v>
      </c>
      <c r="D963" s="6" t="s">
        <v>4445</v>
      </c>
      <c r="E963" s="7" t="s">
        <v>4443</v>
      </c>
    </row>
    <row r="964" spans="1:5" x14ac:dyDescent="0.25">
      <c r="A964" s="4" t="s">
        <v>3439</v>
      </c>
      <c r="B964" s="5" t="s">
        <v>4213</v>
      </c>
      <c r="C964" s="6" t="s">
        <v>23</v>
      </c>
      <c r="D964" s="6" t="s">
        <v>4445</v>
      </c>
      <c r="E964" s="7" t="s">
        <v>4443</v>
      </c>
    </row>
    <row r="965" spans="1:5" x14ac:dyDescent="0.25">
      <c r="A965" s="4" t="s">
        <v>3440</v>
      </c>
      <c r="B965" s="5" t="s">
        <v>4214</v>
      </c>
      <c r="C965" s="6" t="s">
        <v>23</v>
      </c>
      <c r="D965" s="6" t="s">
        <v>4445</v>
      </c>
      <c r="E965" s="7" t="s">
        <v>4443</v>
      </c>
    </row>
    <row r="966" spans="1:5" x14ac:dyDescent="0.25">
      <c r="A966" s="4" t="s">
        <v>3441</v>
      </c>
      <c r="B966" s="5" t="s">
        <v>4215</v>
      </c>
      <c r="C966" s="6" t="s">
        <v>23</v>
      </c>
      <c r="D966" s="6" t="s">
        <v>4445</v>
      </c>
      <c r="E966" s="7" t="s">
        <v>4443</v>
      </c>
    </row>
    <row r="967" spans="1:5" x14ac:dyDescent="0.25">
      <c r="A967" s="4" t="s">
        <v>3442</v>
      </c>
      <c r="B967" s="5" t="s">
        <v>4216</v>
      </c>
      <c r="C967" s="6" t="s">
        <v>23</v>
      </c>
      <c r="D967" s="6" t="s">
        <v>4445</v>
      </c>
      <c r="E967" s="7" t="s">
        <v>4443</v>
      </c>
    </row>
    <row r="968" spans="1:5" x14ac:dyDescent="0.25">
      <c r="A968" s="4" t="s">
        <v>3443</v>
      </c>
      <c r="B968" s="5" t="s">
        <v>4217</v>
      </c>
      <c r="C968" s="6" t="s">
        <v>23</v>
      </c>
      <c r="D968" s="6" t="s">
        <v>4445</v>
      </c>
      <c r="E968" s="7" t="s">
        <v>4443</v>
      </c>
    </row>
    <row r="969" spans="1:5" x14ac:dyDescent="0.25">
      <c r="A969" s="4" t="s">
        <v>3444</v>
      </c>
      <c r="B969" s="5" t="s">
        <v>4218</v>
      </c>
      <c r="C969" s="6" t="s">
        <v>23</v>
      </c>
      <c r="D969" s="6" t="s">
        <v>4445</v>
      </c>
      <c r="E969" s="7" t="s">
        <v>4443</v>
      </c>
    </row>
    <row r="970" spans="1:5" x14ac:dyDescent="0.25">
      <c r="A970" s="4" t="s">
        <v>3445</v>
      </c>
      <c r="B970" s="5" t="s">
        <v>4219</v>
      </c>
      <c r="C970" s="6" t="s">
        <v>23</v>
      </c>
      <c r="D970" s="6" t="s">
        <v>4445</v>
      </c>
      <c r="E970" s="7" t="s">
        <v>4443</v>
      </c>
    </row>
    <row r="971" spans="1:5" x14ac:dyDescent="0.25">
      <c r="A971" s="4" t="s">
        <v>3446</v>
      </c>
      <c r="B971" s="5" t="s">
        <v>4220</v>
      </c>
      <c r="C971" s="6" t="s">
        <v>23</v>
      </c>
      <c r="D971" s="6" t="s">
        <v>4445</v>
      </c>
      <c r="E971" s="7" t="s">
        <v>4443</v>
      </c>
    </row>
    <row r="972" spans="1:5" x14ac:dyDescent="0.25">
      <c r="A972" s="4" t="s">
        <v>3447</v>
      </c>
      <c r="B972" s="5" t="s">
        <v>4221</v>
      </c>
      <c r="C972" s="6" t="s">
        <v>23</v>
      </c>
      <c r="D972" s="6" t="s">
        <v>4445</v>
      </c>
      <c r="E972" s="7" t="s">
        <v>4443</v>
      </c>
    </row>
    <row r="973" spans="1:5" x14ac:dyDescent="0.25">
      <c r="A973" s="11" t="s">
        <v>3500</v>
      </c>
      <c r="B973" s="5" t="s">
        <v>4274</v>
      </c>
      <c r="C973" s="12" t="s">
        <v>23</v>
      </c>
      <c r="D973" s="12" t="s">
        <v>4445</v>
      </c>
      <c r="E973" s="7" t="s">
        <v>4443</v>
      </c>
    </row>
    <row r="974" spans="1:5" x14ac:dyDescent="0.25">
      <c r="A974" s="4" t="s">
        <v>3448</v>
      </c>
      <c r="B974" s="5" t="s">
        <v>4222</v>
      </c>
      <c r="C974" s="6" t="s">
        <v>23</v>
      </c>
      <c r="D974" s="6" t="s">
        <v>4445</v>
      </c>
      <c r="E974" s="7" t="s">
        <v>4443</v>
      </c>
    </row>
    <row r="975" spans="1:5" x14ac:dyDescent="0.25">
      <c r="A975" s="4" t="s">
        <v>3449</v>
      </c>
      <c r="B975" s="5" t="s">
        <v>4223</v>
      </c>
      <c r="C975" s="6" t="s">
        <v>23</v>
      </c>
      <c r="D975" s="6" t="s">
        <v>4445</v>
      </c>
      <c r="E975" s="7" t="s">
        <v>4443</v>
      </c>
    </row>
    <row r="976" spans="1:5" x14ac:dyDescent="0.25">
      <c r="A976" s="11" t="s">
        <v>3450</v>
      </c>
      <c r="B976" s="5" t="s">
        <v>4224</v>
      </c>
      <c r="C976" s="12" t="s">
        <v>23</v>
      </c>
      <c r="D976" s="12" t="s">
        <v>4445</v>
      </c>
      <c r="E976" s="7" t="s">
        <v>4443</v>
      </c>
    </row>
    <row r="977" spans="1:5" x14ac:dyDescent="0.25">
      <c r="A977" s="4" t="s">
        <v>3542</v>
      </c>
      <c r="B977" s="5" t="s">
        <v>4316</v>
      </c>
      <c r="C977" s="6" t="s">
        <v>23</v>
      </c>
      <c r="D977" s="6" t="s">
        <v>4445</v>
      </c>
      <c r="E977" s="7" t="s">
        <v>4443</v>
      </c>
    </row>
    <row r="978" spans="1:5" x14ac:dyDescent="0.25">
      <c r="A978" s="4" t="s">
        <v>2916</v>
      </c>
      <c r="B978" s="5" t="s">
        <v>3678</v>
      </c>
      <c r="C978" s="6" t="s">
        <v>23</v>
      </c>
      <c r="D978" s="6" t="s">
        <v>4445</v>
      </c>
      <c r="E978" s="7" t="s">
        <v>4443</v>
      </c>
    </row>
    <row r="979" spans="1:5" x14ac:dyDescent="0.25">
      <c r="A979" s="4" t="s">
        <v>3161</v>
      </c>
      <c r="B979" s="5" t="s">
        <v>3931</v>
      </c>
      <c r="C979" s="6" t="s">
        <v>23</v>
      </c>
      <c r="D979" s="6" t="s">
        <v>4445</v>
      </c>
      <c r="E979" s="7" t="s">
        <v>4443</v>
      </c>
    </row>
    <row r="980" spans="1:5" x14ac:dyDescent="0.25">
      <c r="A980" s="4" t="s">
        <v>3451</v>
      </c>
      <c r="B980" s="5" t="s">
        <v>4225</v>
      </c>
      <c r="C980" s="6" t="s">
        <v>23</v>
      </c>
      <c r="D980" s="6" t="s">
        <v>4445</v>
      </c>
      <c r="E980" s="7" t="s">
        <v>4443</v>
      </c>
    </row>
    <row r="981" spans="1:5" x14ac:dyDescent="0.25">
      <c r="A981" s="4" t="s">
        <v>3551</v>
      </c>
      <c r="B981" s="5" t="s">
        <v>4326</v>
      </c>
      <c r="C981" s="6" t="s">
        <v>23</v>
      </c>
      <c r="D981" s="6" t="s">
        <v>4445</v>
      </c>
      <c r="E981" s="7" t="s">
        <v>4443</v>
      </c>
    </row>
    <row r="982" spans="1:5" x14ac:dyDescent="0.25">
      <c r="A982" s="4" t="s">
        <v>3452</v>
      </c>
      <c r="B982" s="5" t="s">
        <v>4226</v>
      </c>
      <c r="C982" s="6" t="s">
        <v>23</v>
      </c>
      <c r="D982" s="6" t="s">
        <v>4445</v>
      </c>
      <c r="E982" s="7" t="s">
        <v>4443</v>
      </c>
    </row>
    <row r="983" spans="1:5" x14ac:dyDescent="0.25">
      <c r="A983" s="11" t="s">
        <v>3453</v>
      </c>
      <c r="B983" s="5" t="s">
        <v>4227</v>
      </c>
      <c r="C983" s="12" t="s">
        <v>23</v>
      </c>
      <c r="D983" s="12" t="s">
        <v>4445</v>
      </c>
      <c r="E983" s="7" t="s">
        <v>4443</v>
      </c>
    </row>
    <row r="984" spans="1:5" x14ac:dyDescent="0.25">
      <c r="A984" s="4" t="s">
        <v>3550</v>
      </c>
      <c r="B984" s="5" t="s">
        <v>4325</v>
      </c>
      <c r="C984" s="6" t="s">
        <v>23</v>
      </c>
      <c r="D984" s="6" t="s">
        <v>4445</v>
      </c>
      <c r="E984" s="7" t="s">
        <v>4443</v>
      </c>
    </row>
    <row r="985" spans="1:5" x14ac:dyDescent="0.25">
      <c r="A985" s="11" t="s">
        <v>3454</v>
      </c>
      <c r="B985" s="5" t="s">
        <v>4228</v>
      </c>
      <c r="C985" s="12" t="s">
        <v>23</v>
      </c>
      <c r="D985" s="12" t="s">
        <v>4445</v>
      </c>
      <c r="E985" s="7" t="s">
        <v>4443</v>
      </c>
    </row>
    <row r="986" spans="1:5" x14ac:dyDescent="0.25">
      <c r="A986" s="4" t="s">
        <v>3455</v>
      </c>
      <c r="B986" s="5" t="s">
        <v>4229</v>
      </c>
      <c r="C986" s="6" t="s">
        <v>23</v>
      </c>
      <c r="D986" s="6" t="s">
        <v>4445</v>
      </c>
      <c r="E986" s="7" t="s">
        <v>4443</v>
      </c>
    </row>
    <row r="987" spans="1:5" x14ac:dyDescent="0.25">
      <c r="A987" s="4" t="s">
        <v>3501</v>
      </c>
      <c r="B987" s="5" t="s">
        <v>4275</v>
      </c>
      <c r="C987" s="6" t="s">
        <v>23</v>
      </c>
      <c r="D987" s="6" t="s">
        <v>4445</v>
      </c>
      <c r="E987" s="7" t="s">
        <v>4443</v>
      </c>
    </row>
    <row r="988" spans="1:5" x14ac:dyDescent="0.25">
      <c r="A988" s="11" t="s">
        <v>3456</v>
      </c>
      <c r="B988" s="5" t="s">
        <v>4230</v>
      </c>
      <c r="C988" s="12" t="s">
        <v>23</v>
      </c>
      <c r="D988" s="12" t="s">
        <v>4445</v>
      </c>
      <c r="E988" s="7" t="s">
        <v>4443</v>
      </c>
    </row>
    <row r="989" spans="1:5" x14ac:dyDescent="0.25">
      <c r="A989" s="11" t="s">
        <v>3457</v>
      </c>
      <c r="B989" s="5" t="s">
        <v>4231</v>
      </c>
      <c r="C989" s="12" t="s">
        <v>23</v>
      </c>
      <c r="D989" s="12" t="s">
        <v>4445</v>
      </c>
      <c r="E989" s="7" t="s">
        <v>4443</v>
      </c>
    </row>
    <row r="990" spans="1:5" x14ac:dyDescent="0.25">
      <c r="A990" s="4" t="s">
        <v>3458</v>
      </c>
      <c r="B990" s="5" t="s">
        <v>4232</v>
      </c>
      <c r="C990" s="6" t="s">
        <v>23</v>
      </c>
      <c r="D990" s="6" t="s">
        <v>4445</v>
      </c>
      <c r="E990" s="7" t="s">
        <v>4443</v>
      </c>
    </row>
    <row r="991" spans="1:5" x14ac:dyDescent="0.25">
      <c r="A991" s="4" t="s">
        <v>3459</v>
      </c>
      <c r="B991" s="5" t="s">
        <v>4233</v>
      </c>
      <c r="C991" s="6" t="s">
        <v>23</v>
      </c>
      <c r="D991" s="6" t="s">
        <v>4445</v>
      </c>
      <c r="E991" s="7" t="s">
        <v>4443</v>
      </c>
    </row>
    <row r="992" spans="1:5" x14ac:dyDescent="0.25">
      <c r="A992" s="4" t="s">
        <v>3460</v>
      </c>
      <c r="B992" s="5" t="s">
        <v>4234</v>
      </c>
      <c r="C992" s="6" t="s">
        <v>23</v>
      </c>
      <c r="D992" s="6" t="s">
        <v>4445</v>
      </c>
      <c r="E992" s="7" t="s">
        <v>4443</v>
      </c>
    </row>
    <row r="993" spans="1:5" x14ac:dyDescent="0.25">
      <c r="A993" s="4" t="s">
        <v>3461</v>
      </c>
      <c r="B993" s="5" t="s">
        <v>4235</v>
      </c>
      <c r="C993" s="6" t="s">
        <v>23</v>
      </c>
      <c r="D993" s="6" t="s">
        <v>4445</v>
      </c>
      <c r="E993" s="7" t="s">
        <v>4443</v>
      </c>
    </row>
    <row r="994" spans="1:5" x14ac:dyDescent="0.25">
      <c r="A994" s="4" t="s">
        <v>3462</v>
      </c>
      <c r="B994" s="5" t="s">
        <v>4236</v>
      </c>
      <c r="C994" s="6" t="s">
        <v>23</v>
      </c>
      <c r="D994" s="6" t="s">
        <v>4445</v>
      </c>
      <c r="E994" s="7" t="s">
        <v>4443</v>
      </c>
    </row>
    <row r="995" spans="1:5" x14ac:dyDescent="0.25">
      <c r="A995" s="4" t="s">
        <v>3464</v>
      </c>
      <c r="B995" s="5" t="s">
        <v>4238</v>
      </c>
      <c r="C995" s="6" t="s">
        <v>23</v>
      </c>
      <c r="D995" s="6" t="s">
        <v>4445</v>
      </c>
      <c r="E995" s="7" t="s">
        <v>4443</v>
      </c>
    </row>
    <row r="996" spans="1:5" x14ac:dyDescent="0.25">
      <c r="A996" s="4" t="s">
        <v>3465</v>
      </c>
      <c r="B996" s="5" t="s">
        <v>4239</v>
      </c>
      <c r="C996" s="6" t="s">
        <v>23</v>
      </c>
      <c r="D996" s="6" t="s">
        <v>4445</v>
      </c>
      <c r="E996" s="7" t="s">
        <v>4443</v>
      </c>
    </row>
    <row r="997" spans="1:5" x14ac:dyDescent="0.25">
      <c r="A997" s="4" t="s">
        <v>3466</v>
      </c>
      <c r="B997" s="5" t="s">
        <v>4240</v>
      </c>
      <c r="C997" s="6" t="s">
        <v>23</v>
      </c>
      <c r="D997" s="6" t="s">
        <v>4445</v>
      </c>
      <c r="E997" s="7" t="s">
        <v>4443</v>
      </c>
    </row>
    <row r="998" spans="1:5" x14ac:dyDescent="0.25">
      <c r="A998" s="4" t="s">
        <v>3569</v>
      </c>
      <c r="B998" s="5" t="s">
        <v>4345</v>
      </c>
      <c r="C998" s="6" t="s">
        <v>23</v>
      </c>
      <c r="D998" s="6" t="s">
        <v>4445</v>
      </c>
      <c r="E998" s="7" t="s">
        <v>4443</v>
      </c>
    </row>
    <row r="999" spans="1:5" x14ac:dyDescent="0.25">
      <c r="A999" s="4" t="s">
        <v>3463</v>
      </c>
      <c r="B999" s="5" t="s">
        <v>4237</v>
      </c>
      <c r="C999" s="6" t="s">
        <v>23</v>
      </c>
      <c r="D999" s="6" t="s">
        <v>4445</v>
      </c>
      <c r="E999" s="7" t="s">
        <v>4443</v>
      </c>
    </row>
    <row r="1000" spans="1:5" x14ac:dyDescent="0.25">
      <c r="A1000" s="4" t="s">
        <v>3467</v>
      </c>
      <c r="B1000" s="5" t="s">
        <v>4241</v>
      </c>
      <c r="C1000" s="6" t="s">
        <v>23</v>
      </c>
      <c r="D1000" s="6" t="s">
        <v>4445</v>
      </c>
      <c r="E1000" s="7" t="s">
        <v>4443</v>
      </c>
    </row>
    <row r="1001" spans="1:5" x14ac:dyDescent="0.25">
      <c r="A1001" s="4" t="s">
        <v>907</v>
      </c>
      <c r="B1001" s="5" t="s">
        <v>906</v>
      </c>
      <c r="C1001" s="6" t="s">
        <v>23</v>
      </c>
      <c r="D1001" s="6" t="s">
        <v>63</v>
      </c>
      <c r="E1001" s="7" t="s">
        <v>98</v>
      </c>
    </row>
    <row r="1002" spans="1:5" x14ac:dyDescent="0.25">
      <c r="A1002" s="4" t="s">
        <v>909</v>
      </c>
      <c r="B1002" s="5" t="s">
        <v>908</v>
      </c>
      <c r="C1002" s="6" t="s">
        <v>23</v>
      </c>
      <c r="D1002" s="6" t="s">
        <v>63</v>
      </c>
      <c r="E1002" s="7" t="s">
        <v>67</v>
      </c>
    </row>
    <row r="1003" spans="1:5" x14ac:dyDescent="0.25">
      <c r="A1003" s="4" t="s">
        <v>911</v>
      </c>
      <c r="B1003" s="5" t="s">
        <v>910</v>
      </c>
      <c r="C1003" s="6" t="s">
        <v>23</v>
      </c>
      <c r="D1003" s="6" t="s">
        <v>24</v>
      </c>
      <c r="E1003" s="7" t="s">
        <v>4447</v>
      </c>
    </row>
    <row r="1004" spans="1:5" x14ac:dyDescent="0.25">
      <c r="A1004" s="4" t="s">
        <v>913</v>
      </c>
      <c r="B1004" s="5" t="s">
        <v>912</v>
      </c>
      <c r="C1004" s="12" t="s">
        <v>23</v>
      </c>
      <c r="D1004" s="12" t="s">
        <v>24</v>
      </c>
      <c r="E1004" s="7" t="s">
        <v>4448</v>
      </c>
    </row>
    <row r="1005" spans="1:5" x14ac:dyDescent="0.25">
      <c r="A1005" s="4" t="s">
        <v>915</v>
      </c>
      <c r="B1005" s="5" t="s">
        <v>914</v>
      </c>
      <c r="C1005" s="6" t="s">
        <v>23</v>
      </c>
      <c r="D1005" s="6" t="s">
        <v>24</v>
      </c>
      <c r="E1005" s="7" t="s">
        <v>4449</v>
      </c>
    </row>
    <row r="1006" spans="1:5" x14ac:dyDescent="0.25">
      <c r="A1006" s="4" t="s">
        <v>917</v>
      </c>
      <c r="B1006" s="5" t="s">
        <v>916</v>
      </c>
      <c r="C1006" s="6" t="s">
        <v>23</v>
      </c>
      <c r="D1006" s="6" t="s">
        <v>24</v>
      </c>
      <c r="E1006" s="7" t="s">
        <v>4454</v>
      </c>
    </row>
    <row r="1007" spans="1:5" x14ac:dyDescent="0.25">
      <c r="A1007" s="4" t="s">
        <v>919</v>
      </c>
      <c r="B1007" s="5" t="s">
        <v>918</v>
      </c>
      <c r="C1007" s="6" t="s">
        <v>23</v>
      </c>
      <c r="D1007" s="6" t="s">
        <v>24</v>
      </c>
      <c r="E1007" s="7" t="s">
        <v>4451</v>
      </c>
    </row>
    <row r="1008" spans="1:5" x14ac:dyDescent="0.25">
      <c r="A1008" s="4" t="s">
        <v>921</v>
      </c>
      <c r="B1008" s="5" t="s">
        <v>920</v>
      </c>
      <c r="C1008" s="6" t="s">
        <v>23</v>
      </c>
      <c r="D1008" s="6" t="s">
        <v>24</v>
      </c>
      <c r="E1008" s="7" t="s">
        <v>4452</v>
      </c>
    </row>
    <row r="1009" spans="1:5" x14ac:dyDescent="0.25">
      <c r="A1009" s="4" t="s">
        <v>923</v>
      </c>
      <c r="B1009" s="5" t="s">
        <v>922</v>
      </c>
      <c r="C1009" s="6" t="s">
        <v>23</v>
      </c>
      <c r="D1009" s="6" t="s">
        <v>24</v>
      </c>
      <c r="E1009" s="7" t="s">
        <v>4451</v>
      </c>
    </row>
    <row r="1010" spans="1:5" x14ac:dyDescent="0.25">
      <c r="A1010" s="4" t="s">
        <v>925</v>
      </c>
      <c r="B1010" s="5" t="s">
        <v>924</v>
      </c>
      <c r="C1010" s="6" t="s">
        <v>23</v>
      </c>
      <c r="D1010" s="6" t="s">
        <v>24</v>
      </c>
      <c r="E1010" s="7" t="s">
        <v>4447</v>
      </c>
    </row>
    <row r="1011" spans="1:5" x14ac:dyDescent="0.25">
      <c r="A1011" s="4" t="s">
        <v>927</v>
      </c>
      <c r="B1011" s="5" t="s">
        <v>926</v>
      </c>
      <c r="C1011" s="6" t="s">
        <v>23</v>
      </c>
      <c r="D1011" s="6" t="s">
        <v>63</v>
      </c>
      <c r="E1011" s="7" t="s">
        <v>67</v>
      </c>
    </row>
    <row r="1012" spans="1:5" x14ac:dyDescent="0.25">
      <c r="A1012" s="4" t="s">
        <v>929</v>
      </c>
      <c r="B1012" s="5" t="s">
        <v>928</v>
      </c>
      <c r="C1012" s="6" t="s">
        <v>23</v>
      </c>
      <c r="D1012" s="6" t="s">
        <v>24</v>
      </c>
      <c r="E1012" s="7" t="s">
        <v>4447</v>
      </c>
    </row>
    <row r="1013" spans="1:5" x14ac:dyDescent="0.25">
      <c r="A1013" s="4" t="s">
        <v>931</v>
      </c>
      <c r="B1013" s="5" t="s">
        <v>930</v>
      </c>
      <c r="C1013" s="6" t="s">
        <v>23</v>
      </c>
      <c r="D1013" s="6" t="s">
        <v>24</v>
      </c>
      <c r="E1013" s="7" t="s">
        <v>4453</v>
      </c>
    </row>
    <row r="1014" spans="1:5" x14ac:dyDescent="0.25">
      <c r="A1014" s="4" t="s">
        <v>3468</v>
      </c>
      <c r="B1014" s="5" t="s">
        <v>4242</v>
      </c>
      <c r="C1014" s="6" t="s">
        <v>23</v>
      </c>
      <c r="D1014" s="6" t="s">
        <v>4445</v>
      </c>
      <c r="E1014" s="7" t="s">
        <v>4443</v>
      </c>
    </row>
    <row r="1015" spans="1:5" x14ac:dyDescent="0.25">
      <c r="A1015" s="4" t="s">
        <v>933</v>
      </c>
      <c r="B1015" s="5" t="s">
        <v>932</v>
      </c>
      <c r="C1015" s="6" t="s">
        <v>23</v>
      </c>
      <c r="D1015" s="6" t="s">
        <v>63</v>
      </c>
      <c r="E1015" s="7" t="s">
        <v>67</v>
      </c>
    </row>
    <row r="1016" spans="1:5" x14ac:dyDescent="0.25">
      <c r="A1016" s="4" t="s">
        <v>935</v>
      </c>
      <c r="B1016" s="5" t="s">
        <v>934</v>
      </c>
      <c r="C1016" s="6" t="s">
        <v>23</v>
      </c>
      <c r="D1016" s="6" t="s">
        <v>63</v>
      </c>
      <c r="E1016" s="7" t="s">
        <v>89</v>
      </c>
    </row>
    <row r="1017" spans="1:5" x14ac:dyDescent="0.25">
      <c r="A1017" s="4" t="s">
        <v>937</v>
      </c>
      <c r="B1017" s="5" t="s">
        <v>936</v>
      </c>
      <c r="C1017" s="6" t="s">
        <v>23</v>
      </c>
      <c r="D1017" s="6" t="s">
        <v>63</v>
      </c>
      <c r="E1017" s="7" t="s">
        <v>95</v>
      </c>
    </row>
    <row r="1018" spans="1:5" x14ac:dyDescent="0.25">
      <c r="A1018" s="4" t="s">
        <v>939</v>
      </c>
      <c r="B1018" s="5" t="s">
        <v>938</v>
      </c>
      <c r="C1018" s="6" t="s">
        <v>23</v>
      </c>
      <c r="D1018" s="6" t="s">
        <v>63</v>
      </c>
      <c r="E1018" s="7" t="s">
        <v>67</v>
      </c>
    </row>
    <row r="1019" spans="1:5" x14ac:dyDescent="0.25">
      <c r="A1019" s="4" t="s">
        <v>941</v>
      </c>
      <c r="B1019" s="5" t="s">
        <v>940</v>
      </c>
      <c r="C1019" s="6" t="s">
        <v>23</v>
      </c>
      <c r="D1019" s="6" t="s">
        <v>63</v>
      </c>
      <c r="E1019" s="7" t="s">
        <v>64</v>
      </c>
    </row>
    <row r="1020" spans="1:5" x14ac:dyDescent="0.25">
      <c r="A1020" s="4" t="s">
        <v>943</v>
      </c>
      <c r="B1020" s="5" t="s">
        <v>942</v>
      </c>
      <c r="C1020" s="6" t="s">
        <v>23</v>
      </c>
      <c r="D1020" s="6" t="s">
        <v>63</v>
      </c>
      <c r="E1020" s="7" t="s">
        <v>67</v>
      </c>
    </row>
    <row r="1021" spans="1:5" x14ac:dyDescent="0.25">
      <c r="A1021" s="4" t="s">
        <v>945</v>
      </c>
      <c r="B1021" s="5" t="s">
        <v>944</v>
      </c>
      <c r="C1021" s="6" t="s">
        <v>23</v>
      </c>
      <c r="D1021" s="6" t="s">
        <v>24</v>
      </c>
      <c r="E1021" s="7" t="s">
        <v>4457</v>
      </c>
    </row>
    <row r="1022" spans="1:5" x14ac:dyDescent="0.25">
      <c r="A1022" s="4" t="s">
        <v>947</v>
      </c>
      <c r="B1022" s="5" t="s">
        <v>946</v>
      </c>
      <c r="C1022" s="6" t="s">
        <v>23</v>
      </c>
      <c r="D1022" s="6" t="s">
        <v>24</v>
      </c>
      <c r="E1022" s="7" t="s">
        <v>4447</v>
      </c>
    </row>
    <row r="1023" spans="1:5" x14ac:dyDescent="0.25">
      <c r="A1023" s="4" t="s">
        <v>949</v>
      </c>
      <c r="B1023" s="5" t="s">
        <v>948</v>
      </c>
      <c r="C1023" s="6" t="s">
        <v>23</v>
      </c>
      <c r="D1023" s="6" t="s">
        <v>24</v>
      </c>
      <c r="E1023" s="7" t="s">
        <v>4450</v>
      </c>
    </row>
    <row r="1024" spans="1:5" x14ac:dyDescent="0.25">
      <c r="A1024" s="4" t="s">
        <v>951</v>
      </c>
      <c r="B1024" s="5" t="s">
        <v>950</v>
      </c>
      <c r="C1024" s="6" t="s">
        <v>23</v>
      </c>
      <c r="D1024" s="6" t="s">
        <v>24</v>
      </c>
      <c r="E1024" s="7" t="s">
        <v>4454</v>
      </c>
    </row>
    <row r="1025" spans="1:5" x14ac:dyDescent="0.25">
      <c r="A1025" s="4" t="s">
        <v>953</v>
      </c>
      <c r="B1025" s="5" t="s">
        <v>952</v>
      </c>
      <c r="C1025" s="6" t="s">
        <v>23</v>
      </c>
      <c r="D1025" s="6" t="s">
        <v>24</v>
      </c>
      <c r="E1025" s="7" t="s">
        <v>4452</v>
      </c>
    </row>
    <row r="1026" spans="1:5" x14ac:dyDescent="0.25">
      <c r="A1026" s="4" t="s">
        <v>955</v>
      </c>
      <c r="B1026" s="5" t="s">
        <v>954</v>
      </c>
      <c r="C1026" s="6" t="s">
        <v>23</v>
      </c>
      <c r="D1026" s="6" t="s">
        <v>24</v>
      </c>
      <c r="E1026" s="7" t="s">
        <v>4448</v>
      </c>
    </row>
    <row r="1027" spans="1:5" x14ac:dyDescent="0.25">
      <c r="A1027" s="4" t="s">
        <v>957</v>
      </c>
      <c r="B1027" s="5" t="s">
        <v>956</v>
      </c>
      <c r="C1027" s="6" t="s">
        <v>23</v>
      </c>
      <c r="D1027" s="6" t="s">
        <v>63</v>
      </c>
      <c r="E1027" s="7" t="s">
        <v>67</v>
      </c>
    </row>
    <row r="1028" spans="1:5" x14ac:dyDescent="0.25">
      <c r="A1028" s="4" t="s">
        <v>959</v>
      </c>
      <c r="B1028" s="5" t="s">
        <v>958</v>
      </c>
      <c r="C1028" s="6" t="s">
        <v>23</v>
      </c>
      <c r="D1028" s="6" t="s">
        <v>24</v>
      </c>
      <c r="E1028" s="7" t="s">
        <v>4457</v>
      </c>
    </row>
    <row r="1029" spans="1:5" x14ac:dyDescent="0.25">
      <c r="A1029" s="4" t="s">
        <v>961</v>
      </c>
      <c r="B1029" s="5" t="s">
        <v>960</v>
      </c>
      <c r="C1029" s="6" t="s">
        <v>23</v>
      </c>
      <c r="D1029" s="6" t="s">
        <v>24</v>
      </c>
      <c r="E1029" s="7" t="s">
        <v>4455</v>
      </c>
    </row>
    <row r="1030" spans="1:5" x14ac:dyDescent="0.25">
      <c r="A1030" s="4" t="s">
        <v>963</v>
      </c>
      <c r="B1030" s="5" t="s">
        <v>962</v>
      </c>
      <c r="C1030" s="6" t="s">
        <v>23</v>
      </c>
      <c r="D1030" s="6" t="s">
        <v>63</v>
      </c>
      <c r="E1030" s="7" t="s">
        <v>64</v>
      </c>
    </row>
    <row r="1031" spans="1:5" x14ac:dyDescent="0.25">
      <c r="A1031" s="4" t="s">
        <v>965</v>
      </c>
      <c r="B1031" s="5" t="s">
        <v>964</v>
      </c>
      <c r="C1031" s="6" t="s">
        <v>23</v>
      </c>
      <c r="D1031" s="6" t="s">
        <v>63</v>
      </c>
      <c r="E1031" s="7" t="s">
        <v>67</v>
      </c>
    </row>
    <row r="1032" spans="1:5" x14ac:dyDescent="0.25">
      <c r="A1032" s="4" t="s">
        <v>967</v>
      </c>
      <c r="B1032" s="5" t="s">
        <v>966</v>
      </c>
      <c r="C1032" s="6" t="s">
        <v>23</v>
      </c>
      <c r="D1032" s="6" t="s">
        <v>63</v>
      </c>
      <c r="E1032" s="7" t="s">
        <v>86</v>
      </c>
    </row>
    <row r="1033" spans="1:5" x14ac:dyDescent="0.25">
      <c r="A1033" s="4" t="s">
        <v>969</v>
      </c>
      <c r="B1033" s="5" t="s">
        <v>968</v>
      </c>
      <c r="C1033" s="6" t="s">
        <v>23</v>
      </c>
      <c r="D1033" s="6" t="s">
        <v>24</v>
      </c>
      <c r="E1033" s="7" t="s">
        <v>4457</v>
      </c>
    </row>
    <row r="1034" spans="1:5" x14ac:dyDescent="0.25">
      <c r="A1034" s="4" t="s">
        <v>971</v>
      </c>
      <c r="B1034" s="5" t="s">
        <v>970</v>
      </c>
      <c r="C1034" s="6" t="s">
        <v>23</v>
      </c>
      <c r="D1034" s="6" t="s">
        <v>24</v>
      </c>
      <c r="E1034" s="7" t="s">
        <v>4447</v>
      </c>
    </row>
    <row r="1035" spans="1:5" x14ac:dyDescent="0.25">
      <c r="A1035" s="4" t="s">
        <v>973</v>
      </c>
      <c r="B1035" s="5" t="s">
        <v>972</v>
      </c>
      <c r="C1035" s="6" t="s">
        <v>23</v>
      </c>
      <c r="D1035" s="6" t="s">
        <v>24</v>
      </c>
      <c r="E1035" s="7" t="s">
        <v>4448</v>
      </c>
    </row>
    <row r="1036" spans="1:5" x14ac:dyDescent="0.25">
      <c r="A1036" s="74" t="s">
        <v>4956</v>
      </c>
      <c r="B1036" s="5" t="s">
        <v>974</v>
      </c>
      <c r="C1036" s="6" t="s">
        <v>23</v>
      </c>
      <c r="D1036" s="6" t="s">
        <v>63</v>
      </c>
      <c r="E1036" s="7" t="s">
        <v>64</v>
      </c>
    </row>
    <row r="1037" spans="1:5" x14ac:dyDescent="0.25">
      <c r="A1037" s="4" t="s">
        <v>976</v>
      </c>
      <c r="B1037" s="5" t="s">
        <v>975</v>
      </c>
      <c r="C1037" s="6" t="s">
        <v>23</v>
      </c>
      <c r="D1037" s="6" t="s">
        <v>63</v>
      </c>
      <c r="E1037" s="7" t="s">
        <v>98</v>
      </c>
    </row>
    <row r="1038" spans="1:5" x14ac:dyDescent="0.25">
      <c r="A1038" s="4" t="s">
        <v>978</v>
      </c>
      <c r="B1038" s="5" t="s">
        <v>977</v>
      </c>
      <c r="C1038" s="6" t="s">
        <v>23</v>
      </c>
      <c r="D1038" s="6" t="s">
        <v>24</v>
      </c>
      <c r="E1038" s="7" t="s">
        <v>4446</v>
      </c>
    </row>
    <row r="1039" spans="1:5" x14ac:dyDescent="0.25">
      <c r="A1039" s="4" t="s">
        <v>980</v>
      </c>
      <c r="B1039" s="5" t="s">
        <v>979</v>
      </c>
      <c r="C1039" s="6" t="s">
        <v>23</v>
      </c>
      <c r="D1039" s="6" t="s">
        <v>24</v>
      </c>
      <c r="E1039" s="7" t="s">
        <v>4447</v>
      </c>
    </row>
    <row r="1040" spans="1:5" x14ac:dyDescent="0.25">
      <c r="A1040" s="4" t="s">
        <v>982</v>
      </c>
      <c r="B1040" s="5" t="s">
        <v>981</v>
      </c>
      <c r="C1040" s="6" t="s">
        <v>23</v>
      </c>
      <c r="D1040" s="6" t="s">
        <v>24</v>
      </c>
      <c r="E1040" s="7" t="s">
        <v>4448</v>
      </c>
    </row>
    <row r="1041" spans="1:5" x14ac:dyDescent="0.25">
      <c r="A1041" s="4" t="s">
        <v>984</v>
      </c>
      <c r="B1041" s="5" t="s">
        <v>983</v>
      </c>
      <c r="C1041" s="6" t="s">
        <v>23</v>
      </c>
      <c r="D1041" s="6" t="s">
        <v>24</v>
      </c>
      <c r="E1041" s="7" t="s">
        <v>4450</v>
      </c>
    </row>
    <row r="1042" spans="1:5" x14ac:dyDescent="0.25">
      <c r="A1042" s="4" t="s">
        <v>986</v>
      </c>
      <c r="B1042" s="5" t="s">
        <v>985</v>
      </c>
      <c r="C1042" s="6" t="s">
        <v>23</v>
      </c>
      <c r="D1042" s="6" t="s">
        <v>24</v>
      </c>
      <c r="E1042" s="7" t="s">
        <v>4451</v>
      </c>
    </row>
    <row r="1043" spans="1:5" x14ac:dyDescent="0.25">
      <c r="A1043" s="4" t="s">
        <v>988</v>
      </c>
      <c r="B1043" s="5" t="s">
        <v>987</v>
      </c>
      <c r="C1043" s="12" t="s">
        <v>23</v>
      </c>
      <c r="D1043" s="12" t="s">
        <v>63</v>
      </c>
      <c r="E1043" s="7" t="s">
        <v>86</v>
      </c>
    </row>
    <row r="1044" spans="1:5" x14ac:dyDescent="0.25">
      <c r="A1044" s="4" t="s">
        <v>990</v>
      </c>
      <c r="B1044" s="5" t="s">
        <v>989</v>
      </c>
      <c r="C1044" s="6" t="s">
        <v>23</v>
      </c>
      <c r="D1044" s="6" t="s">
        <v>63</v>
      </c>
      <c r="E1044" s="7" t="s">
        <v>98</v>
      </c>
    </row>
    <row r="1045" spans="1:5" x14ac:dyDescent="0.25">
      <c r="A1045" s="4" t="s">
        <v>992</v>
      </c>
      <c r="B1045" s="5" t="s">
        <v>991</v>
      </c>
      <c r="C1045" s="6" t="s">
        <v>23</v>
      </c>
      <c r="D1045" s="6" t="s">
        <v>63</v>
      </c>
      <c r="E1045" s="7" t="s">
        <v>67</v>
      </c>
    </row>
    <row r="1046" spans="1:5" x14ac:dyDescent="0.25">
      <c r="A1046" s="4" t="s">
        <v>994</v>
      </c>
      <c r="B1046" s="5" t="s">
        <v>993</v>
      </c>
      <c r="C1046" s="6" t="s">
        <v>23</v>
      </c>
      <c r="D1046" s="6" t="s">
        <v>24</v>
      </c>
      <c r="E1046" s="7" t="s">
        <v>4453</v>
      </c>
    </row>
    <row r="1047" spans="1:5" x14ac:dyDescent="0.25">
      <c r="A1047" s="4" t="s">
        <v>996</v>
      </c>
      <c r="B1047" s="5" t="s">
        <v>995</v>
      </c>
      <c r="C1047" s="6" t="s">
        <v>23</v>
      </c>
      <c r="D1047" s="6" t="s">
        <v>63</v>
      </c>
      <c r="E1047" s="7" t="s">
        <v>67</v>
      </c>
    </row>
    <row r="1048" spans="1:5" x14ac:dyDescent="0.25">
      <c r="A1048" s="4" t="s">
        <v>998</v>
      </c>
      <c r="B1048" s="5" t="s">
        <v>997</v>
      </c>
      <c r="C1048" s="6" t="s">
        <v>23</v>
      </c>
      <c r="D1048" s="6" t="s">
        <v>24</v>
      </c>
      <c r="E1048" s="7" t="s">
        <v>4446</v>
      </c>
    </row>
    <row r="1049" spans="1:5" x14ac:dyDescent="0.25">
      <c r="A1049" s="4" t="s">
        <v>1000</v>
      </c>
      <c r="B1049" s="5" t="s">
        <v>999</v>
      </c>
      <c r="C1049" s="6" t="s">
        <v>23</v>
      </c>
      <c r="D1049" s="6" t="s">
        <v>24</v>
      </c>
      <c r="E1049" s="7" t="s">
        <v>4455</v>
      </c>
    </row>
    <row r="1050" spans="1:5" x14ac:dyDescent="0.25">
      <c r="A1050" s="4" t="s">
        <v>1002</v>
      </c>
      <c r="B1050" s="5" t="s">
        <v>1001</v>
      </c>
      <c r="C1050" s="6" t="s">
        <v>23</v>
      </c>
      <c r="D1050" s="6" t="s">
        <v>24</v>
      </c>
      <c r="E1050" s="7" t="s">
        <v>4448</v>
      </c>
    </row>
    <row r="1051" spans="1:5" x14ac:dyDescent="0.25">
      <c r="A1051" s="4" t="s">
        <v>1004</v>
      </c>
      <c r="B1051" s="5" t="s">
        <v>1003</v>
      </c>
      <c r="C1051" s="6" t="s">
        <v>23</v>
      </c>
      <c r="D1051" s="6" t="s">
        <v>24</v>
      </c>
      <c r="E1051" s="7" t="s">
        <v>4447</v>
      </c>
    </row>
    <row r="1052" spans="1:5" x14ac:dyDescent="0.25">
      <c r="A1052" s="4" t="s">
        <v>1006</v>
      </c>
      <c r="B1052" s="5" t="s">
        <v>1005</v>
      </c>
      <c r="C1052" s="6" t="s">
        <v>23</v>
      </c>
      <c r="D1052" s="6" t="s">
        <v>24</v>
      </c>
      <c r="E1052" s="7" t="s">
        <v>4448</v>
      </c>
    </row>
    <row r="1053" spans="1:5" x14ac:dyDescent="0.25">
      <c r="A1053" s="4" t="s">
        <v>1008</v>
      </c>
      <c r="B1053" s="5" t="s">
        <v>1007</v>
      </c>
      <c r="C1053" s="6" t="s">
        <v>23</v>
      </c>
      <c r="D1053" s="6" t="s">
        <v>24</v>
      </c>
      <c r="E1053" s="7" t="s">
        <v>4450</v>
      </c>
    </row>
    <row r="1054" spans="1:5" x14ac:dyDescent="0.25">
      <c r="A1054" s="4" t="s">
        <v>1010</v>
      </c>
      <c r="B1054" s="5" t="s">
        <v>1009</v>
      </c>
      <c r="C1054" s="6" t="s">
        <v>23</v>
      </c>
      <c r="D1054" s="6" t="s">
        <v>24</v>
      </c>
      <c r="E1054" s="7" t="s">
        <v>4452</v>
      </c>
    </row>
    <row r="1055" spans="1:5" x14ac:dyDescent="0.25">
      <c r="A1055" s="4" t="s">
        <v>1012</v>
      </c>
      <c r="B1055" s="5" t="s">
        <v>1011</v>
      </c>
      <c r="C1055" s="6" t="s">
        <v>23</v>
      </c>
      <c r="D1055" s="6" t="s">
        <v>24</v>
      </c>
      <c r="E1055" s="7" t="s">
        <v>4456</v>
      </c>
    </row>
    <row r="1056" spans="1:5" x14ac:dyDescent="0.25">
      <c r="A1056" s="4" t="s">
        <v>1014</v>
      </c>
      <c r="B1056" s="5" t="s">
        <v>1013</v>
      </c>
      <c r="C1056" s="6" t="s">
        <v>23</v>
      </c>
      <c r="D1056" s="6" t="s">
        <v>24</v>
      </c>
      <c r="E1056" s="7" t="s">
        <v>4447</v>
      </c>
    </row>
    <row r="1057" spans="1:5" x14ac:dyDescent="0.25">
      <c r="A1057" s="4" t="s">
        <v>1016</v>
      </c>
      <c r="B1057" s="5" t="s">
        <v>1015</v>
      </c>
      <c r="C1057" s="6" t="s">
        <v>23</v>
      </c>
      <c r="D1057" s="6" t="s">
        <v>24</v>
      </c>
      <c r="E1057" s="7" t="s">
        <v>4448</v>
      </c>
    </row>
    <row r="1058" spans="1:5" x14ac:dyDescent="0.25">
      <c r="A1058" s="4" t="s">
        <v>1018</v>
      </c>
      <c r="B1058" s="5" t="s">
        <v>1017</v>
      </c>
      <c r="C1058" s="6" t="s">
        <v>23</v>
      </c>
      <c r="D1058" s="6" t="s">
        <v>24</v>
      </c>
      <c r="E1058" s="7" t="s">
        <v>4450</v>
      </c>
    </row>
    <row r="1059" spans="1:5" x14ac:dyDescent="0.25">
      <c r="A1059" s="4" t="s">
        <v>1020</v>
      </c>
      <c r="B1059" s="5" t="s">
        <v>1019</v>
      </c>
      <c r="C1059" s="6" t="s">
        <v>23</v>
      </c>
      <c r="D1059" s="6" t="s">
        <v>24</v>
      </c>
      <c r="E1059" s="7" t="s">
        <v>4451</v>
      </c>
    </row>
    <row r="1060" spans="1:5" x14ac:dyDescent="0.25">
      <c r="A1060" s="4" t="s">
        <v>1022</v>
      </c>
      <c r="B1060" s="5" t="s">
        <v>1021</v>
      </c>
      <c r="C1060" s="6" t="s">
        <v>23</v>
      </c>
      <c r="D1060" s="6" t="s">
        <v>24</v>
      </c>
      <c r="E1060" s="7" t="s">
        <v>4452</v>
      </c>
    </row>
    <row r="1061" spans="1:5" x14ac:dyDescent="0.25">
      <c r="A1061" s="4" t="s">
        <v>1024</v>
      </c>
      <c r="B1061" s="5" t="s">
        <v>1023</v>
      </c>
      <c r="C1061" s="6" t="s">
        <v>23</v>
      </c>
      <c r="D1061" s="6" t="s">
        <v>24</v>
      </c>
      <c r="E1061" s="7" t="s">
        <v>4448</v>
      </c>
    </row>
    <row r="1062" spans="1:5" x14ac:dyDescent="0.25">
      <c r="A1062" s="4" t="s">
        <v>1026</v>
      </c>
      <c r="B1062" s="5" t="s">
        <v>1025</v>
      </c>
      <c r="C1062" s="6" t="s">
        <v>23</v>
      </c>
      <c r="D1062" s="6" t="s">
        <v>24</v>
      </c>
      <c r="E1062" s="7" t="s">
        <v>4457</v>
      </c>
    </row>
    <row r="1063" spans="1:5" x14ac:dyDescent="0.25">
      <c r="A1063" s="4" t="s">
        <v>1028</v>
      </c>
      <c r="B1063" s="5" t="s">
        <v>1027</v>
      </c>
      <c r="C1063" s="6" t="s">
        <v>23</v>
      </c>
      <c r="D1063" s="6" t="s">
        <v>24</v>
      </c>
      <c r="E1063" s="7" t="s">
        <v>4455</v>
      </c>
    </row>
    <row r="1064" spans="1:5" x14ac:dyDescent="0.25">
      <c r="A1064" s="4" t="s">
        <v>1030</v>
      </c>
      <c r="B1064" s="5" t="s">
        <v>1029</v>
      </c>
      <c r="C1064" s="6" t="s">
        <v>23</v>
      </c>
      <c r="D1064" s="6" t="s">
        <v>24</v>
      </c>
      <c r="E1064" s="7" t="s">
        <v>4449</v>
      </c>
    </row>
    <row r="1065" spans="1:5" x14ac:dyDescent="0.25">
      <c r="A1065" s="4" t="s">
        <v>1032</v>
      </c>
      <c r="B1065" s="5" t="s">
        <v>1031</v>
      </c>
      <c r="C1065" s="6" t="s">
        <v>23</v>
      </c>
      <c r="D1065" s="6" t="s">
        <v>24</v>
      </c>
      <c r="E1065" s="7" t="s">
        <v>4454</v>
      </c>
    </row>
    <row r="1066" spans="1:5" x14ac:dyDescent="0.25">
      <c r="A1066" s="4" t="s">
        <v>1034</v>
      </c>
      <c r="B1066" s="5" t="s">
        <v>1033</v>
      </c>
      <c r="C1066" s="6" t="s">
        <v>23</v>
      </c>
      <c r="D1066" s="6" t="s">
        <v>24</v>
      </c>
      <c r="E1066" s="7" t="s">
        <v>4451</v>
      </c>
    </row>
    <row r="1067" spans="1:5" x14ac:dyDescent="0.25">
      <c r="A1067" s="11" t="s">
        <v>1036</v>
      </c>
      <c r="B1067" s="5" t="s">
        <v>1035</v>
      </c>
      <c r="C1067" s="12" t="s">
        <v>23</v>
      </c>
      <c r="D1067" s="12" t="s">
        <v>24</v>
      </c>
      <c r="E1067" s="7" t="s">
        <v>4456</v>
      </c>
    </row>
    <row r="1068" spans="1:5" x14ac:dyDescent="0.25">
      <c r="A1068" s="4" t="s">
        <v>1038</v>
      </c>
      <c r="B1068" s="5" t="s">
        <v>1037</v>
      </c>
      <c r="C1068" s="6" t="s">
        <v>23</v>
      </c>
      <c r="D1068" s="6" t="s">
        <v>24</v>
      </c>
      <c r="E1068" s="7" t="s">
        <v>4453</v>
      </c>
    </row>
    <row r="1069" spans="1:5" x14ac:dyDescent="0.25">
      <c r="A1069" s="4" t="s">
        <v>1040</v>
      </c>
      <c r="B1069" s="5" t="s">
        <v>1039</v>
      </c>
      <c r="C1069" s="6" t="s">
        <v>23</v>
      </c>
      <c r="D1069" s="6" t="s">
        <v>63</v>
      </c>
      <c r="E1069" s="7" t="s">
        <v>64</v>
      </c>
    </row>
    <row r="1070" spans="1:5" x14ac:dyDescent="0.25">
      <c r="A1070" s="4" t="s">
        <v>1042</v>
      </c>
      <c r="B1070" s="5" t="s">
        <v>1041</v>
      </c>
      <c r="C1070" s="6" t="s">
        <v>23</v>
      </c>
      <c r="D1070" s="6" t="s">
        <v>63</v>
      </c>
      <c r="E1070" s="7" t="s">
        <v>67</v>
      </c>
    </row>
    <row r="1071" spans="1:5" x14ac:dyDescent="0.25">
      <c r="A1071" s="4" t="s">
        <v>3301</v>
      </c>
      <c r="B1071" s="5" t="s">
        <v>4072</v>
      </c>
      <c r="C1071" s="6" t="s">
        <v>23</v>
      </c>
      <c r="D1071" s="6" t="s">
        <v>63</v>
      </c>
      <c r="E1071" s="7" t="s">
        <v>98</v>
      </c>
    </row>
    <row r="1072" spans="1:5" x14ac:dyDescent="0.25">
      <c r="A1072" s="4" t="s">
        <v>1044</v>
      </c>
      <c r="B1072" s="5" t="s">
        <v>1043</v>
      </c>
      <c r="C1072" s="6" t="s">
        <v>23</v>
      </c>
      <c r="D1072" s="6" t="s">
        <v>63</v>
      </c>
      <c r="E1072" s="7" t="s">
        <v>98</v>
      </c>
    </row>
    <row r="1073" spans="1:5" x14ac:dyDescent="0.25">
      <c r="A1073" s="4" t="s">
        <v>1046</v>
      </c>
      <c r="B1073" s="5" t="s">
        <v>1045</v>
      </c>
      <c r="C1073" s="6" t="s">
        <v>23</v>
      </c>
      <c r="D1073" s="6" t="s">
        <v>63</v>
      </c>
      <c r="E1073" s="7" t="s">
        <v>98</v>
      </c>
    </row>
    <row r="1074" spans="1:5" x14ac:dyDescent="0.25">
      <c r="A1074" s="4" t="s">
        <v>1048</v>
      </c>
      <c r="B1074" s="5" t="s">
        <v>1047</v>
      </c>
      <c r="C1074" s="6" t="s">
        <v>23</v>
      </c>
      <c r="D1074" s="6" t="s">
        <v>24</v>
      </c>
      <c r="E1074" s="7" t="s">
        <v>4447</v>
      </c>
    </row>
    <row r="1075" spans="1:5" x14ac:dyDescent="0.25">
      <c r="A1075" s="4" t="s">
        <v>1050</v>
      </c>
      <c r="B1075" s="5" t="s">
        <v>1049</v>
      </c>
      <c r="C1075" s="6" t="s">
        <v>23</v>
      </c>
      <c r="D1075" s="6" t="s">
        <v>24</v>
      </c>
      <c r="E1075" s="7" t="s">
        <v>4448</v>
      </c>
    </row>
    <row r="1076" spans="1:5" x14ac:dyDescent="0.25">
      <c r="A1076" s="4" t="s">
        <v>1052</v>
      </c>
      <c r="B1076" s="5" t="s">
        <v>1051</v>
      </c>
      <c r="C1076" s="6" t="s">
        <v>23</v>
      </c>
      <c r="D1076" s="6" t="s">
        <v>24</v>
      </c>
      <c r="E1076" s="7" t="s">
        <v>4449</v>
      </c>
    </row>
    <row r="1077" spans="1:5" x14ac:dyDescent="0.25">
      <c r="A1077" s="4" t="s">
        <v>1054</v>
      </c>
      <c r="B1077" s="5" t="s">
        <v>1053</v>
      </c>
      <c r="C1077" s="6" t="s">
        <v>23</v>
      </c>
      <c r="D1077" s="6" t="s">
        <v>24</v>
      </c>
      <c r="E1077" s="7" t="s">
        <v>4454</v>
      </c>
    </row>
    <row r="1078" spans="1:5" x14ac:dyDescent="0.25">
      <c r="A1078" s="4" t="s">
        <v>1056</v>
      </c>
      <c r="B1078" s="5" t="s">
        <v>1055</v>
      </c>
      <c r="C1078" s="6" t="s">
        <v>23</v>
      </c>
      <c r="D1078" s="6" t="s">
        <v>24</v>
      </c>
      <c r="E1078" s="7" t="s">
        <v>4451</v>
      </c>
    </row>
    <row r="1079" spans="1:5" x14ac:dyDescent="0.25">
      <c r="A1079" s="4" t="s">
        <v>1058</v>
      </c>
      <c r="B1079" s="5" t="s">
        <v>1057</v>
      </c>
      <c r="C1079" s="6" t="s">
        <v>23</v>
      </c>
      <c r="D1079" s="6" t="s">
        <v>24</v>
      </c>
      <c r="E1079" s="7" t="s">
        <v>4448</v>
      </c>
    </row>
    <row r="1080" spans="1:5" x14ac:dyDescent="0.25">
      <c r="A1080" s="4" t="s">
        <v>1060</v>
      </c>
      <c r="B1080" s="5" t="s">
        <v>1059</v>
      </c>
      <c r="C1080" s="6" t="s">
        <v>23</v>
      </c>
      <c r="D1080" s="6" t="s">
        <v>24</v>
      </c>
      <c r="E1080" s="7" t="s">
        <v>4449</v>
      </c>
    </row>
    <row r="1081" spans="1:5" x14ac:dyDescent="0.25">
      <c r="A1081" s="4" t="s">
        <v>1062</v>
      </c>
      <c r="B1081" s="5" t="s">
        <v>1061</v>
      </c>
      <c r="C1081" s="6" t="s">
        <v>23</v>
      </c>
      <c r="D1081" s="6" t="s">
        <v>24</v>
      </c>
      <c r="E1081" s="7" t="s">
        <v>4450</v>
      </c>
    </row>
    <row r="1082" spans="1:5" x14ac:dyDescent="0.25">
      <c r="A1082" s="4" t="s">
        <v>1064</v>
      </c>
      <c r="B1082" s="5" t="s">
        <v>1063</v>
      </c>
      <c r="C1082" s="6" t="s">
        <v>23</v>
      </c>
      <c r="D1082" s="6" t="s">
        <v>24</v>
      </c>
      <c r="E1082" s="7" t="s">
        <v>4454</v>
      </c>
    </row>
    <row r="1083" spans="1:5" x14ac:dyDescent="0.25">
      <c r="A1083" s="4" t="s">
        <v>1066</v>
      </c>
      <c r="B1083" s="8" t="s">
        <v>1065</v>
      </c>
      <c r="C1083" s="6" t="s">
        <v>23</v>
      </c>
      <c r="D1083" s="6" t="s">
        <v>63</v>
      </c>
      <c r="E1083" s="7" t="s">
        <v>98</v>
      </c>
    </row>
    <row r="1084" spans="1:5" x14ac:dyDescent="0.25">
      <c r="A1084" s="4" t="s">
        <v>1068</v>
      </c>
      <c r="B1084" s="5" t="s">
        <v>1067</v>
      </c>
      <c r="C1084" s="6" t="s">
        <v>23</v>
      </c>
      <c r="D1084" s="6" t="s">
        <v>24</v>
      </c>
      <c r="E1084" s="7" t="s">
        <v>4457</v>
      </c>
    </row>
    <row r="1085" spans="1:5" x14ac:dyDescent="0.25">
      <c r="A1085" s="4" t="s">
        <v>1070</v>
      </c>
      <c r="B1085" s="5" t="s">
        <v>1069</v>
      </c>
      <c r="C1085" s="6" t="s">
        <v>23</v>
      </c>
      <c r="D1085" s="6" t="s">
        <v>24</v>
      </c>
      <c r="E1085" s="7" t="s">
        <v>4455</v>
      </c>
    </row>
    <row r="1086" spans="1:5" x14ac:dyDescent="0.25">
      <c r="A1086" s="4" t="s">
        <v>1072</v>
      </c>
      <c r="B1086" s="5" t="s">
        <v>1071</v>
      </c>
      <c r="C1086" s="6" t="s">
        <v>23</v>
      </c>
      <c r="D1086" s="6" t="s">
        <v>63</v>
      </c>
      <c r="E1086" s="7" t="s">
        <v>98</v>
      </c>
    </row>
    <row r="1087" spans="1:5" x14ac:dyDescent="0.25">
      <c r="A1087" s="4" t="s">
        <v>4528</v>
      </c>
      <c r="B1087" s="5" t="s">
        <v>4529</v>
      </c>
      <c r="C1087" s="6" t="s">
        <v>23</v>
      </c>
      <c r="D1087" s="6" t="s">
        <v>24</v>
      </c>
      <c r="E1087" s="7" t="s">
        <v>4446</v>
      </c>
    </row>
    <row r="1088" spans="1:5" x14ac:dyDescent="0.25">
      <c r="A1088" s="4" t="s">
        <v>1074</v>
      </c>
      <c r="B1088" s="5" t="s">
        <v>1073</v>
      </c>
      <c r="C1088" s="6" t="s">
        <v>23</v>
      </c>
      <c r="D1088" s="6" t="s">
        <v>63</v>
      </c>
      <c r="E1088" s="7" t="s">
        <v>64</v>
      </c>
    </row>
    <row r="1089" spans="1:5" x14ac:dyDescent="0.25">
      <c r="A1089" s="4" t="s">
        <v>1076</v>
      </c>
      <c r="B1089" s="5" t="s">
        <v>1075</v>
      </c>
      <c r="C1089" s="6" t="s">
        <v>23</v>
      </c>
      <c r="D1089" s="6" t="s">
        <v>63</v>
      </c>
      <c r="E1089" s="7" t="s">
        <v>67</v>
      </c>
    </row>
    <row r="1090" spans="1:5" x14ac:dyDescent="0.25">
      <c r="A1090" s="4" t="s">
        <v>1078</v>
      </c>
      <c r="B1090" s="5" t="s">
        <v>1077</v>
      </c>
      <c r="C1090" s="6" t="s">
        <v>23</v>
      </c>
      <c r="D1090" s="6" t="s">
        <v>63</v>
      </c>
      <c r="E1090" s="7" t="s">
        <v>287</v>
      </c>
    </row>
    <row r="1091" spans="1:5" x14ac:dyDescent="0.25">
      <c r="A1091" s="4" t="s">
        <v>1080</v>
      </c>
      <c r="B1091" s="5" t="s">
        <v>1079</v>
      </c>
      <c r="C1091" s="6" t="s">
        <v>23</v>
      </c>
      <c r="D1091" s="6" t="s">
        <v>24</v>
      </c>
      <c r="E1091" s="7" t="s">
        <v>4457</v>
      </c>
    </row>
    <row r="1092" spans="1:5" x14ac:dyDescent="0.25">
      <c r="A1092" s="4" t="s">
        <v>1082</v>
      </c>
      <c r="B1092" s="5" t="s">
        <v>1081</v>
      </c>
      <c r="C1092" s="6" t="s">
        <v>23</v>
      </c>
      <c r="D1092" s="6" t="s">
        <v>24</v>
      </c>
      <c r="E1092" s="7" t="s">
        <v>4455</v>
      </c>
    </row>
    <row r="1093" spans="1:5" x14ac:dyDescent="0.25">
      <c r="A1093" s="4" t="s">
        <v>1084</v>
      </c>
      <c r="B1093" s="5" t="s">
        <v>1083</v>
      </c>
      <c r="C1093" s="6" t="s">
        <v>23</v>
      </c>
      <c r="D1093" s="6" t="s">
        <v>24</v>
      </c>
      <c r="E1093" s="7" t="s">
        <v>4449</v>
      </c>
    </row>
    <row r="1094" spans="1:5" x14ac:dyDescent="0.25">
      <c r="A1094" s="4" t="s">
        <v>1086</v>
      </c>
      <c r="B1094" s="5" t="s">
        <v>1085</v>
      </c>
      <c r="C1094" s="6" t="s">
        <v>23</v>
      </c>
      <c r="D1094" s="6" t="s">
        <v>24</v>
      </c>
      <c r="E1094" s="7" t="s">
        <v>4454</v>
      </c>
    </row>
    <row r="1095" spans="1:5" x14ac:dyDescent="0.25">
      <c r="A1095" s="4" t="s">
        <v>1088</v>
      </c>
      <c r="B1095" s="5" t="s">
        <v>1087</v>
      </c>
      <c r="C1095" s="6" t="s">
        <v>23</v>
      </c>
      <c r="D1095" s="6" t="s">
        <v>24</v>
      </c>
      <c r="E1095" s="7" t="s">
        <v>4456</v>
      </c>
    </row>
    <row r="1096" spans="1:5" x14ac:dyDescent="0.25">
      <c r="A1096" s="4" t="s">
        <v>1090</v>
      </c>
      <c r="B1096" s="5" t="s">
        <v>1089</v>
      </c>
      <c r="C1096" s="6" t="s">
        <v>23</v>
      </c>
      <c r="D1096" s="6" t="s">
        <v>24</v>
      </c>
      <c r="E1096" s="7" t="s">
        <v>4452</v>
      </c>
    </row>
    <row r="1097" spans="1:5" x14ac:dyDescent="0.25">
      <c r="A1097" s="4" t="s">
        <v>1092</v>
      </c>
      <c r="B1097" s="5" t="s">
        <v>1091</v>
      </c>
      <c r="C1097" s="6" t="s">
        <v>23</v>
      </c>
      <c r="D1097" s="6" t="s">
        <v>24</v>
      </c>
      <c r="E1097" s="7" t="s">
        <v>4455</v>
      </c>
    </row>
    <row r="1098" spans="1:5" x14ac:dyDescent="0.25">
      <c r="A1098" s="4" t="s">
        <v>1094</v>
      </c>
      <c r="B1098" s="5" t="s">
        <v>1093</v>
      </c>
      <c r="C1098" s="6" t="s">
        <v>23</v>
      </c>
      <c r="D1098" s="6" t="s">
        <v>24</v>
      </c>
      <c r="E1098" s="7" t="s">
        <v>4449</v>
      </c>
    </row>
    <row r="1099" spans="1:5" x14ac:dyDescent="0.25">
      <c r="A1099" s="4" t="s">
        <v>1096</v>
      </c>
      <c r="B1099" s="5" t="s">
        <v>1095</v>
      </c>
      <c r="C1099" s="6" t="s">
        <v>23</v>
      </c>
      <c r="D1099" s="6" t="s">
        <v>24</v>
      </c>
      <c r="E1099" s="7" t="s">
        <v>4454</v>
      </c>
    </row>
    <row r="1100" spans="1:5" x14ac:dyDescent="0.25">
      <c r="A1100" s="4" t="s">
        <v>1098</v>
      </c>
      <c r="B1100" s="5" t="s">
        <v>1097</v>
      </c>
      <c r="C1100" s="6" t="s">
        <v>23</v>
      </c>
      <c r="D1100" s="6" t="s">
        <v>24</v>
      </c>
      <c r="E1100" s="7" t="s">
        <v>4452</v>
      </c>
    </row>
    <row r="1101" spans="1:5" x14ac:dyDescent="0.25">
      <c r="A1101" s="11" t="s">
        <v>1100</v>
      </c>
      <c r="B1101" s="5" t="s">
        <v>1099</v>
      </c>
      <c r="C1101" s="12" t="s">
        <v>23</v>
      </c>
      <c r="D1101" s="12" t="s">
        <v>24</v>
      </c>
      <c r="E1101" s="7" t="s">
        <v>4446</v>
      </c>
    </row>
    <row r="1102" spans="1:5" x14ac:dyDescent="0.25">
      <c r="A1102" s="4" t="s">
        <v>1102</v>
      </c>
      <c r="B1102" s="5" t="s">
        <v>1101</v>
      </c>
      <c r="C1102" s="6" t="s">
        <v>23</v>
      </c>
      <c r="D1102" s="6" t="s">
        <v>24</v>
      </c>
      <c r="E1102" s="7" t="s">
        <v>4447</v>
      </c>
    </row>
    <row r="1103" spans="1:5" x14ac:dyDescent="0.25">
      <c r="A1103" s="4" t="s">
        <v>1104</v>
      </c>
      <c r="B1103" s="5" t="s">
        <v>1103</v>
      </c>
      <c r="C1103" s="6" t="s">
        <v>23</v>
      </c>
      <c r="D1103" s="6" t="s">
        <v>24</v>
      </c>
      <c r="E1103" s="7" t="s">
        <v>4448</v>
      </c>
    </row>
    <row r="1104" spans="1:5" x14ac:dyDescent="0.25">
      <c r="A1104" s="4" t="s">
        <v>1106</v>
      </c>
      <c r="B1104" s="5" t="s">
        <v>1105</v>
      </c>
      <c r="C1104" s="6" t="s">
        <v>23</v>
      </c>
      <c r="D1104" s="6" t="s">
        <v>24</v>
      </c>
      <c r="E1104" s="7" t="s">
        <v>4450</v>
      </c>
    </row>
    <row r="1105" spans="1:5" x14ac:dyDescent="0.25">
      <c r="A1105" s="4" t="s">
        <v>1108</v>
      </c>
      <c r="B1105" s="5" t="s">
        <v>1107</v>
      </c>
      <c r="C1105" s="6" t="s">
        <v>23</v>
      </c>
      <c r="D1105" s="6" t="s">
        <v>63</v>
      </c>
      <c r="E1105" s="7" t="s">
        <v>98</v>
      </c>
    </row>
    <row r="1106" spans="1:5" x14ac:dyDescent="0.25">
      <c r="A1106" s="4" t="s">
        <v>1110</v>
      </c>
      <c r="B1106" s="5" t="s">
        <v>1109</v>
      </c>
      <c r="C1106" s="6" t="s">
        <v>23</v>
      </c>
      <c r="D1106" s="6" t="s">
        <v>63</v>
      </c>
      <c r="E1106" s="7" t="s">
        <v>98</v>
      </c>
    </row>
    <row r="1107" spans="1:5" x14ac:dyDescent="0.25">
      <c r="A1107" s="4" t="s">
        <v>3469</v>
      </c>
      <c r="B1107" s="5" t="s">
        <v>4243</v>
      </c>
      <c r="C1107" s="6" t="s">
        <v>23</v>
      </c>
      <c r="D1107" s="6" t="s">
        <v>4445</v>
      </c>
      <c r="E1107" s="7" t="s">
        <v>4443</v>
      </c>
    </row>
    <row r="1108" spans="1:5" x14ac:dyDescent="0.25">
      <c r="A1108" s="11" t="s">
        <v>3294</v>
      </c>
      <c r="B1108" s="5" t="s">
        <v>4064</v>
      </c>
      <c r="C1108" s="12" t="s">
        <v>23</v>
      </c>
      <c r="D1108" s="12" t="s">
        <v>4445</v>
      </c>
      <c r="E1108" s="7" t="s">
        <v>4443</v>
      </c>
    </row>
    <row r="1109" spans="1:5" x14ac:dyDescent="0.25">
      <c r="A1109" s="4" t="s">
        <v>1112</v>
      </c>
      <c r="B1109" s="5" t="s">
        <v>1111</v>
      </c>
      <c r="C1109" s="6" t="s">
        <v>23</v>
      </c>
      <c r="D1109" s="6" t="s">
        <v>24</v>
      </c>
      <c r="E1109" s="7" t="s">
        <v>4448</v>
      </c>
    </row>
    <row r="1110" spans="1:5" x14ac:dyDescent="0.25">
      <c r="A1110" s="4" t="s">
        <v>3297</v>
      </c>
      <c r="B1110" s="5" t="s">
        <v>4067</v>
      </c>
      <c r="C1110" s="6" t="s">
        <v>23</v>
      </c>
      <c r="D1110" s="6" t="s">
        <v>4445</v>
      </c>
      <c r="E1110" s="7" t="s">
        <v>4443</v>
      </c>
    </row>
    <row r="1111" spans="1:5" x14ac:dyDescent="0.25">
      <c r="A1111" s="4" t="s">
        <v>1114</v>
      </c>
      <c r="B1111" s="5" t="s">
        <v>1113</v>
      </c>
      <c r="C1111" s="6" t="s">
        <v>23</v>
      </c>
      <c r="D1111" s="6" t="s">
        <v>63</v>
      </c>
      <c r="E1111" s="7" t="s">
        <v>67</v>
      </c>
    </row>
    <row r="1112" spans="1:5" x14ac:dyDescent="0.25">
      <c r="A1112" s="4" t="s">
        <v>1116</v>
      </c>
      <c r="B1112" s="5" t="s">
        <v>1115</v>
      </c>
      <c r="C1112" s="6" t="s">
        <v>23</v>
      </c>
      <c r="D1112" s="6" t="s">
        <v>63</v>
      </c>
      <c r="E1112" s="7" t="s">
        <v>287</v>
      </c>
    </row>
    <row r="1113" spans="1:5" x14ac:dyDescent="0.25">
      <c r="A1113" s="11" t="s">
        <v>1118</v>
      </c>
      <c r="B1113" s="5" t="s">
        <v>1117</v>
      </c>
      <c r="C1113" s="12" t="s">
        <v>23</v>
      </c>
      <c r="D1113" s="12" t="s">
        <v>63</v>
      </c>
      <c r="E1113" s="7" t="s">
        <v>98</v>
      </c>
    </row>
    <row r="1114" spans="1:5" x14ac:dyDescent="0.25">
      <c r="A1114" s="4" t="s">
        <v>1120</v>
      </c>
      <c r="B1114" s="5" t="s">
        <v>1119</v>
      </c>
      <c r="C1114" s="6" t="s">
        <v>23</v>
      </c>
      <c r="D1114" s="6" t="s">
        <v>63</v>
      </c>
      <c r="E1114" s="7" t="s">
        <v>67</v>
      </c>
    </row>
    <row r="1115" spans="1:5" x14ac:dyDescent="0.25">
      <c r="A1115" s="4" t="s">
        <v>1122</v>
      </c>
      <c r="B1115" s="5" t="s">
        <v>1121</v>
      </c>
      <c r="C1115" s="6" t="s">
        <v>23</v>
      </c>
      <c r="D1115" s="6" t="s">
        <v>24</v>
      </c>
      <c r="E1115" s="7" t="s">
        <v>4447</v>
      </c>
    </row>
    <row r="1116" spans="1:5" x14ac:dyDescent="0.25">
      <c r="A1116" s="4" t="s">
        <v>3581</v>
      </c>
      <c r="B1116" s="5" t="s">
        <v>4356</v>
      </c>
      <c r="C1116" s="6" t="s">
        <v>23</v>
      </c>
      <c r="D1116" s="6" t="s">
        <v>24</v>
      </c>
      <c r="E1116" s="7" t="s">
        <v>4455</v>
      </c>
    </row>
    <row r="1117" spans="1:5" x14ac:dyDescent="0.25">
      <c r="A1117" s="4" t="s">
        <v>1124</v>
      </c>
      <c r="B1117" s="5" t="s">
        <v>1123</v>
      </c>
      <c r="C1117" s="6" t="s">
        <v>23</v>
      </c>
      <c r="D1117" s="6" t="s">
        <v>63</v>
      </c>
      <c r="E1117" s="7" t="s">
        <v>64</v>
      </c>
    </row>
    <row r="1118" spans="1:5" x14ac:dyDescent="0.25">
      <c r="A1118" s="4" t="s">
        <v>1126</v>
      </c>
      <c r="B1118" s="5" t="s">
        <v>1125</v>
      </c>
      <c r="C1118" s="6" t="s">
        <v>23</v>
      </c>
      <c r="D1118" s="6" t="s">
        <v>63</v>
      </c>
      <c r="E1118" s="7" t="s">
        <v>86</v>
      </c>
    </row>
    <row r="1119" spans="1:5" x14ac:dyDescent="0.25">
      <c r="A1119" s="4" t="s">
        <v>1128</v>
      </c>
      <c r="B1119" s="5" t="s">
        <v>1127</v>
      </c>
      <c r="C1119" s="6" t="s">
        <v>23</v>
      </c>
      <c r="D1119" s="6" t="s">
        <v>63</v>
      </c>
      <c r="E1119" s="7" t="s">
        <v>89</v>
      </c>
    </row>
    <row r="1120" spans="1:5" x14ac:dyDescent="0.25">
      <c r="A1120" s="4" t="s">
        <v>1130</v>
      </c>
      <c r="B1120" s="5" t="s">
        <v>1129</v>
      </c>
      <c r="C1120" s="6" t="s">
        <v>23</v>
      </c>
      <c r="D1120" s="6" t="s">
        <v>63</v>
      </c>
      <c r="E1120" s="7" t="s">
        <v>92</v>
      </c>
    </row>
    <row r="1121" spans="1:5" x14ac:dyDescent="0.25">
      <c r="A1121" s="4" t="s">
        <v>1132</v>
      </c>
      <c r="B1121" s="5" t="s">
        <v>1131</v>
      </c>
      <c r="C1121" s="6" t="s">
        <v>23</v>
      </c>
      <c r="D1121" s="6" t="s">
        <v>63</v>
      </c>
      <c r="E1121" s="7" t="s">
        <v>95</v>
      </c>
    </row>
    <row r="1122" spans="1:5" x14ac:dyDescent="0.25">
      <c r="A1122" s="4" t="s">
        <v>1134</v>
      </c>
      <c r="B1122" s="5" t="s">
        <v>1133</v>
      </c>
      <c r="C1122" s="6" t="s">
        <v>23</v>
      </c>
      <c r="D1122" s="6" t="s">
        <v>63</v>
      </c>
      <c r="E1122" s="7" t="s">
        <v>287</v>
      </c>
    </row>
    <row r="1123" spans="1:5" x14ac:dyDescent="0.25">
      <c r="A1123" s="4" t="s">
        <v>1136</v>
      </c>
      <c r="B1123" s="5" t="s">
        <v>1135</v>
      </c>
      <c r="C1123" s="6" t="s">
        <v>23</v>
      </c>
      <c r="D1123" s="6" t="s">
        <v>63</v>
      </c>
      <c r="E1123" s="7" t="s">
        <v>425</v>
      </c>
    </row>
    <row r="1124" spans="1:5" x14ac:dyDescent="0.25">
      <c r="A1124" s="4" t="s">
        <v>1138</v>
      </c>
      <c r="B1124" s="5" t="s">
        <v>1137</v>
      </c>
      <c r="C1124" s="6" t="s">
        <v>23</v>
      </c>
      <c r="D1124" s="6" t="s">
        <v>24</v>
      </c>
      <c r="E1124" s="7" t="s">
        <v>4447</v>
      </c>
    </row>
    <row r="1125" spans="1:5" x14ac:dyDescent="0.25">
      <c r="A1125" s="4" t="s">
        <v>1140</v>
      </c>
      <c r="B1125" s="5" t="s">
        <v>1139</v>
      </c>
      <c r="C1125" s="6" t="s">
        <v>23</v>
      </c>
      <c r="D1125" s="6" t="s">
        <v>24</v>
      </c>
      <c r="E1125" s="7" t="s">
        <v>4448</v>
      </c>
    </row>
    <row r="1126" spans="1:5" x14ac:dyDescent="0.25">
      <c r="A1126" s="4" t="s">
        <v>1142</v>
      </c>
      <c r="B1126" s="5" t="s">
        <v>1141</v>
      </c>
      <c r="C1126" s="6" t="s">
        <v>23</v>
      </c>
      <c r="D1126" s="6" t="s">
        <v>24</v>
      </c>
      <c r="E1126" s="7" t="s">
        <v>4450</v>
      </c>
    </row>
    <row r="1127" spans="1:5" x14ac:dyDescent="0.25">
      <c r="A1127" s="4" t="s">
        <v>1144</v>
      </c>
      <c r="B1127" s="5" t="s">
        <v>1143</v>
      </c>
      <c r="C1127" s="6" t="s">
        <v>23</v>
      </c>
      <c r="D1127" s="6" t="s">
        <v>24</v>
      </c>
      <c r="E1127" s="7" t="s">
        <v>4455</v>
      </c>
    </row>
    <row r="1128" spans="1:5" x14ac:dyDescent="0.25">
      <c r="A1128" s="4" t="s">
        <v>1146</v>
      </c>
      <c r="B1128" s="5" t="s">
        <v>1145</v>
      </c>
      <c r="C1128" s="6" t="s">
        <v>23</v>
      </c>
      <c r="D1128" s="6" t="s">
        <v>24</v>
      </c>
      <c r="E1128" s="7" t="s">
        <v>4448</v>
      </c>
    </row>
    <row r="1129" spans="1:5" x14ac:dyDescent="0.25">
      <c r="A1129" s="4" t="s">
        <v>1148</v>
      </c>
      <c r="B1129" s="5" t="s">
        <v>1147</v>
      </c>
      <c r="C1129" s="6" t="s">
        <v>23</v>
      </c>
      <c r="D1129" s="6" t="s">
        <v>24</v>
      </c>
      <c r="E1129" s="7" t="s">
        <v>4450</v>
      </c>
    </row>
    <row r="1130" spans="1:5" x14ac:dyDescent="0.25">
      <c r="A1130" s="4" t="s">
        <v>1150</v>
      </c>
      <c r="B1130" s="5" t="s">
        <v>1149</v>
      </c>
      <c r="C1130" s="6" t="s">
        <v>23</v>
      </c>
      <c r="D1130" s="6" t="s">
        <v>24</v>
      </c>
      <c r="E1130" s="7" t="s">
        <v>4454</v>
      </c>
    </row>
    <row r="1131" spans="1:5" x14ac:dyDescent="0.25">
      <c r="A1131" s="4" t="s">
        <v>1152</v>
      </c>
      <c r="B1131" s="5" t="s">
        <v>1151</v>
      </c>
      <c r="C1131" s="6" t="s">
        <v>23</v>
      </c>
      <c r="D1131" s="6" t="s">
        <v>24</v>
      </c>
      <c r="E1131" s="7" t="s">
        <v>4452</v>
      </c>
    </row>
    <row r="1132" spans="1:5" x14ac:dyDescent="0.25">
      <c r="A1132" s="4" t="s">
        <v>4534</v>
      </c>
      <c r="B1132" s="5" t="s">
        <v>4535</v>
      </c>
      <c r="C1132" s="6" t="s">
        <v>23</v>
      </c>
      <c r="D1132" s="6" t="s">
        <v>320</v>
      </c>
      <c r="E1132" s="7" t="s">
        <v>4444</v>
      </c>
    </row>
    <row r="1133" spans="1:5" x14ac:dyDescent="0.25">
      <c r="A1133" s="4" t="s">
        <v>1154</v>
      </c>
      <c r="B1133" s="5" t="s">
        <v>1153</v>
      </c>
      <c r="C1133" s="6" t="s">
        <v>23</v>
      </c>
      <c r="D1133" s="6" t="s">
        <v>320</v>
      </c>
      <c r="E1133" s="7" t="s">
        <v>4444</v>
      </c>
    </row>
    <row r="1134" spans="1:5" x14ac:dyDescent="0.25">
      <c r="A1134" s="4" t="s">
        <v>1156</v>
      </c>
      <c r="B1134" s="5" t="s">
        <v>1155</v>
      </c>
      <c r="C1134" s="6" t="s">
        <v>23</v>
      </c>
      <c r="D1134" s="6" t="s">
        <v>24</v>
      </c>
      <c r="E1134" s="7" t="s">
        <v>4455</v>
      </c>
    </row>
    <row r="1135" spans="1:5" x14ac:dyDescent="0.25">
      <c r="A1135" s="4" t="s">
        <v>1158</v>
      </c>
      <c r="B1135" s="5" t="s">
        <v>1157</v>
      </c>
      <c r="C1135" s="6" t="s">
        <v>23</v>
      </c>
      <c r="D1135" s="6" t="s">
        <v>24</v>
      </c>
      <c r="E1135" s="7" t="s">
        <v>4449</v>
      </c>
    </row>
    <row r="1136" spans="1:5" x14ac:dyDescent="0.25">
      <c r="A1136" s="11" t="s">
        <v>1160</v>
      </c>
      <c r="B1136" s="5" t="s">
        <v>1159</v>
      </c>
      <c r="C1136" s="12" t="s">
        <v>23</v>
      </c>
      <c r="D1136" s="12" t="s">
        <v>24</v>
      </c>
      <c r="E1136" s="7" t="s">
        <v>4454</v>
      </c>
    </row>
    <row r="1137" spans="1:6" x14ac:dyDescent="0.25">
      <c r="A1137" s="4" t="s">
        <v>1162</v>
      </c>
      <c r="B1137" s="5" t="s">
        <v>1161</v>
      </c>
      <c r="C1137" s="6" t="s">
        <v>23</v>
      </c>
      <c r="D1137" s="6" t="s">
        <v>63</v>
      </c>
      <c r="E1137" s="7" t="s">
        <v>64</v>
      </c>
      <c r="F1137" s="205" t="s">
        <v>2884</v>
      </c>
    </row>
    <row r="1138" spans="1:6" x14ac:dyDescent="0.25">
      <c r="A1138" s="74" t="s">
        <v>5051</v>
      </c>
      <c r="B1138" s="5" t="s">
        <v>1161</v>
      </c>
      <c r="C1138" s="6" t="s">
        <v>23</v>
      </c>
      <c r="D1138" s="6" t="s">
        <v>63</v>
      </c>
      <c r="E1138" s="7" t="s">
        <v>64</v>
      </c>
      <c r="F1138" s="205" t="s">
        <v>2884</v>
      </c>
    </row>
    <row r="1139" spans="1:6" x14ac:dyDescent="0.25">
      <c r="A1139" s="4" t="s">
        <v>1164</v>
      </c>
      <c r="B1139" s="5" t="s">
        <v>1163</v>
      </c>
      <c r="C1139" s="6" t="s">
        <v>23</v>
      </c>
      <c r="D1139" s="6" t="s">
        <v>63</v>
      </c>
      <c r="E1139" s="7" t="s">
        <v>86</v>
      </c>
      <c r="F1139" s="205" t="s">
        <v>2884</v>
      </c>
    </row>
    <row r="1140" spans="1:6" x14ac:dyDescent="0.25">
      <c r="A1140" s="74" t="s">
        <v>5052</v>
      </c>
      <c r="B1140" s="5" t="s">
        <v>1163</v>
      </c>
      <c r="C1140" s="6" t="s">
        <v>23</v>
      </c>
      <c r="D1140" s="6" t="s">
        <v>63</v>
      </c>
      <c r="E1140" s="7" t="s">
        <v>86</v>
      </c>
      <c r="F1140" s="205" t="s">
        <v>2884</v>
      </c>
    </row>
    <row r="1141" spans="1:6" x14ac:dyDescent="0.25">
      <c r="A1141" s="4" t="s">
        <v>3298</v>
      </c>
      <c r="B1141" s="5" t="s">
        <v>4069</v>
      </c>
      <c r="C1141" s="6" t="s">
        <v>23</v>
      </c>
      <c r="D1141" s="6" t="s">
        <v>63</v>
      </c>
      <c r="E1141" s="7" t="s">
        <v>98</v>
      </c>
    </row>
    <row r="1142" spans="1:6" x14ac:dyDescent="0.25">
      <c r="A1142" s="4" t="s">
        <v>1166</v>
      </c>
      <c r="B1142" s="5" t="s">
        <v>1165</v>
      </c>
      <c r="C1142" s="6" t="s">
        <v>23</v>
      </c>
      <c r="D1142" s="6" t="s">
        <v>63</v>
      </c>
      <c r="E1142" s="7" t="s">
        <v>67</v>
      </c>
    </row>
    <row r="1143" spans="1:6" x14ac:dyDescent="0.25">
      <c r="A1143" s="4" t="s">
        <v>1168</v>
      </c>
      <c r="B1143" s="5" t="s">
        <v>1167</v>
      </c>
      <c r="C1143" s="6" t="s">
        <v>23</v>
      </c>
      <c r="D1143" s="6" t="s">
        <v>24</v>
      </c>
      <c r="E1143" s="7" t="s">
        <v>4447</v>
      </c>
    </row>
    <row r="1144" spans="1:6" x14ac:dyDescent="0.25">
      <c r="A1144" s="4" t="s">
        <v>1170</v>
      </c>
      <c r="B1144" s="5" t="s">
        <v>1169</v>
      </c>
      <c r="C1144" s="6" t="s">
        <v>23</v>
      </c>
      <c r="D1144" s="6" t="s">
        <v>24</v>
      </c>
      <c r="E1144" s="7" t="s">
        <v>4448</v>
      </c>
    </row>
    <row r="1145" spans="1:6" x14ac:dyDescent="0.25">
      <c r="A1145" s="4" t="s">
        <v>3321</v>
      </c>
      <c r="B1145" s="5" t="s">
        <v>4093</v>
      </c>
      <c r="C1145" s="6" t="s">
        <v>23</v>
      </c>
      <c r="D1145" s="6" t="s">
        <v>24</v>
      </c>
      <c r="E1145" s="7" t="s">
        <v>4449</v>
      </c>
    </row>
    <row r="1146" spans="1:6" x14ac:dyDescent="0.25">
      <c r="A1146" s="4" t="s">
        <v>1172</v>
      </c>
      <c r="B1146" s="5" t="s">
        <v>1171</v>
      </c>
      <c r="C1146" s="6" t="s">
        <v>23</v>
      </c>
      <c r="D1146" s="6" t="s">
        <v>24</v>
      </c>
      <c r="E1146" s="7" t="s">
        <v>4450</v>
      </c>
    </row>
    <row r="1147" spans="1:6" x14ac:dyDescent="0.25">
      <c r="A1147" s="4" t="s">
        <v>1174</v>
      </c>
      <c r="B1147" s="5" t="s">
        <v>1173</v>
      </c>
      <c r="C1147" s="6" t="s">
        <v>23</v>
      </c>
      <c r="D1147" s="6" t="s">
        <v>24</v>
      </c>
      <c r="E1147" s="7" t="s">
        <v>4457</v>
      </c>
    </row>
    <row r="1148" spans="1:6" x14ac:dyDescent="0.25">
      <c r="A1148" s="4" t="s">
        <v>1176</v>
      </c>
      <c r="B1148" s="5" t="s">
        <v>1175</v>
      </c>
      <c r="C1148" s="6" t="s">
        <v>23</v>
      </c>
      <c r="D1148" s="6" t="s">
        <v>24</v>
      </c>
      <c r="E1148" s="7" t="s">
        <v>4455</v>
      </c>
    </row>
    <row r="1149" spans="1:6" x14ac:dyDescent="0.25">
      <c r="A1149" s="4" t="s">
        <v>1178</v>
      </c>
      <c r="B1149" s="5" t="s">
        <v>1177</v>
      </c>
      <c r="C1149" s="6" t="s">
        <v>23</v>
      </c>
      <c r="D1149" s="6" t="s">
        <v>24</v>
      </c>
      <c r="E1149" s="7" t="s">
        <v>4449</v>
      </c>
    </row>
    <row r="1150" spans="1:6" x14ac:dyDescent="0.25">
      <c r="A1150" s="4" t="s">
        <v>1180</v>
      </c>
      <c r="B1150" s="5" t="s">
        <v>1179</v>
      </c>
      <c r="C1150" s="6" t="s">
        <v>23</v>
      </c>
      <c r="D1150" s="6" t="s">
        <v>24</v>
      </c>
      <c r="E1150" s="7" t="s">
        <v>4447</v>
      </c>
    </row>
    <row r="1151" spans="1:6" x14ac:dyDescent="0.25">
      <c r="A1151" s="4" t="s">
        <v>1182</v>
      </c>
      <c r="B1151" s="5" t="s">
        <v>1181</v>
      </c>
      <c r="C1151" s="6" t="s">
        <v>23</v>
      </c>
      <c r="D1151" s="6" t="s">
        <v>24</v>
      </c>
      <c r="E1151" s="7" t="s">
        <v>4455</v>
      </c>
    </row>
    <row r="1152" spans="1:6" x14ac:dyDescent="0.25">
      <c r="A1152" s="4" t="s">
        <v>1184</v>
      </c>
      <c r="B1152" s="5" t="s">
        <v>1183</v>
      </c>
      <c r="C1152" s="6" t="s">
        <v>23</v>
      </c>
      <c r="D1152" s="6" t="s">
        <v>24</v>
      </c>
      <c r="E1152" s="7" t="s">
        <v>4448</v>
      </c>
    </row>
    <row r="1153" spans="1:5" x14ac:dyDescent="0.25">
      <c r="A1153" s="4" t="s">
        <v>1186</v>
      </c>
      <c r="B1153" s="5" t="s">
        <v>1185</v>
      </c>
      <c r="C1153" s="6" t="s">
        <v>23</v>
      </c>
      <c r="D1153" s="6" t="s">
        <v>63</v>
      </c>
      <c r="E1153" s="7" t="s">
        <v>98</v>
      </c>
    </row>
    <row r="1154" spans="1:5" x14ac:dyDescent="0.25">
      <c r="A1154" s="4" t="s">
        <v>1188</v>
      </c>
      <c r="B1154" s="5" t="s">
        <v>1187</v>
      </c>
      <c r="C1154" s="6" t="s">
        <v>23</v>
      </c>
      <c r="D1154" s="6" t="s">
        <v>63</v>
      </c>
      <c r="E1154" s="7" t="s">
        <v>86</v>
      </c>
    </row>
    <row r="1155" spans="1:5" x14ac:dyDescent="0.25">
      <c r="A1155" s="4" t="s">
        <v>1190</v>
      </c>
      <c r="B1155" s="5" t="s">
        <v>1189</v>
      </c>
      <c r="C1155" s="6" t="s">
        <v>23</v>
      </c>
      <c r="D1155" s="6" t="s">
        <v>63</v>
      </c>
      <c r="E1155" s="7" t="s">
        <v>98</v>
      </c>
    </row>
    <row r="1156" spans="1:5" x14ac:dyDescent="0.25">
      <c r="A1156" s="4" t="s">
        <v>1192</v>
      </c>
      <c r="B1156" s="5" t="s">
        <v>1191</v>
      </c>
      <c r="C1156" s="6" t="s">
        <v>23</v>
      </c>
      <c r="D1156" s="6" t="s">
        <v>63</v>
      </c>
      <c r="E1156" s="7" t="s">
        <v>67</v>
      </c>
    </row>
    <row r="1157" spans="1:5" x14ac:dyDescent="0.25">
      <c r="A1157" s="4" t="s">
        <v>1194</v>
      </c>
      <c r="B1157" s="5" t="s">
        <v>1193</v>
      </c>
      <c r="C1157" s="6" t="s">
        <v>23</v>
      </c>
      <c r="D1157" s="6" t="s">
        <v>63</v>
      </c>
      <c r="E1157" s="7" t="s">
        <v>4443</v>
      </c>
    </row>
    <row r="1158" spans="1:5" x14ac:dyDescent="0.25">
      <c r="A1158" s="4" t="s">
        <v>1196</v>
      </c>
      <c r="B1158" s="5" t="s">
        <v>1195</v>
      </c>
      <c r="C1158" s="6" t="s">
        <v>23</v>
      </c>
      <c r="D1158" s="6" t="s">
        <v>63</v>
      </c>
      <c r="E1158" s="7" t="s">
        <v>67</v>
      </c>
    </row>
    <row r="1159" spans="1:5" x14ac:dyDescent="0.25">
      <c r="A1159" s="4" t="s">
        <v>1198</v>
      </c>
      <c r="B1159" s="5" t="s">
        <v>1197</v>
      </c>
      <c r="C1159" s="6" t="s">
        <v>23</v>
      </c>
      <c r="D1159" s="6" t="s">
        <v>24</v>
      </c>
      <c r="E1159" s="7" t="s">
        <v>4446</v>
      </c>
    </row>
    <row r="1160" spans="1:5" x14ac:dyDescent="0.25">
      <c r="A1160" s="4" t="s">
        <v>1200</v>
      </c>
      <c r="B1160" s="5" t="s">
        <v>1199</v>
      </c>
      <c r="C1160" s="6" t="s">
        <v>23</v>
      </c>
      <c r="D1160" s="6" t="s">
        <v>24</v>
      </c>
      <c r="E1160" s="7" t="s">
        <v>4457</v>
      </c>
    </row>
    <row r="1161" spans="1:5" x14ac:dyDescent="0.25">
      <c r="A1161" s="4" t="s">
        <v>1202</v>
      </c>
      <c r="B1161" s="5" t="s">
        <v>1201</v>
      </c>
      <c r="C1161" s="6" t="s">
        <v>23</v>
      </c>
      <c r="D1161" s="6" t="s">
        <v>24</v>
      </c>
      <c r="E1161" s="7" t="s">
        <v>4455</v>
      </c>
    </row>
    <row r="1162" spans="1:5" x14ac:dyDescent="0.25">
      <c r="A1162" s="4" t="s">
        <v>1204</v>
      </c>
      <c r="B1162" s="5" t="s">
        <v>1203</v>
      </c>
      <c r="C1162" s="6" t="s">
        <v>23</v>
      </c>
      <c r="D1162" s="6" t="s">
        <v>24</v>
      </c>
      <c r="E1162" s="7" t="s">
        <v>4449</v>
      </c>
    </row>
    <row r="1163" spans="1:5" x14ac:dyDescent="0.25">
      <c r="A1163" s="4" t="s">
        <v>1206</v>
      </c>
      <c r="B1163" s="5" t="s">
        <v>1205</v>
      </c>
      <c r="C1163" s="6" t="s">
        <v>23</v>
      </c>
      <c r="D1163" s="6" t="s">
        <v>24</v>
      </c>
      <c r="E1163" s="7" t="s">
        <v>4455</v>
      </c>
    </row>
    <row r="1164" spans="1:5" x14ac:dyDescent="0.25">
      <c r="A1164" s="4" t="s">
        <v>1208</v>
      </c>
      <c r="B1164" s="5" t="s">
        <v>1207</v>
      </c>
      <c r="C1164" s="6" t="s">
        <v>23</v>
      </c>
      <c r="D1164" s="6" t="s">
        <v>24</v>
      </c>
      <c r="E1164" s="7" t="s">
        <v>4448</v>
      </c>
    </row>
    <row r="1165" spans="1:5" x14ac:dyDescent="0.25">
      <c r="A1165" s="4" t="s">
        <v>3584</v>
      </c>
      <c r="B1165" s="5" t="s">
        <v>4359</v>
      </c>
      <c r="C1165" s="6" t="s">
        <v>23</v>
      </c>
      <c r="D1165" s="6" t="s">
        <v>24</v>
      </c>
      <c r="E1165" s="7" t="s">
        <v>4455</v>
      </c>
    </row>
    <row r="1166" spans="1:5" x14ac:dyDescent="0.25">
      <c r="A1166" s="4" t="s">
        <v>3585</v>
      </c>
      <c r="B1166" s="5" t="s">
        <v>4360</v>
      </c>
      <c r="C1166" s="6" t="s">
        <v>23</v>
      </c>
      <c r="D1166" s="6" t="s">
        <v>24</v>
      </c>
      <c r="E1166" s="7" t="s">
        <v>4448</v>
      </c>
    </row>
    <row r="1167" spans="1:5" x14ac:dyDescent="0.25">
      <c r="A1167" s="4" t="s">
        <v>3586</v>
      </c>
      <c r="B1167" s="5" t="s">
        <v>4361</v>
      </c>
      <c r="C1167" s="6" t="s">
        <v>23</v>
      </c>
      <c r="D1167" s="6" t="s">
        <v>24</v>
      </c>
      <c r="E1167" s="7" t="s">
        <v>4450</v>
      </c>
    </row>
    <row r="1168" spans="1:5" x14ac:dyDescent="0.25">
      <c r="A1168" s="11" t="s">
        <v>3587</v>
      </c>
      <c r="B1168" s="5" t="s">
        <v>4362</v>
      </c>
      <c r="C1168" s="12" t="s">
        <v>23</v>
      </c>
      <c r="D1168" s="12" t="s">
        <v>24</v>
      </c>
      <c r="E1168" s="7" t="s">
        <v>4454</v>
      </c>
    </row>
    <row r="1169" spans="1:5" x14ac:dyDescent="0.25">
      <c r="A1169" s="11" t="s">
        <v>3588</v>
      </c>
      <c r="B1169" s="5" t="s">
        <v>4363</v>
      </c>
      <c r="C1169" s="12" t="s">
        <v>23</v>
      </c>
      <c r="D1169" s="12" t="s">
        <v>24</v>
      </c>
      <c r="E1169" s="7" t="s">
        <v>4451</v>
      </c>
    </row>
    <row r="1170" spans="1:5" x14ac:dyDescent="0.25">
      <c r="A1170" s="4" t="s">
        <v>1210</v>
      </c>
      <c r="B1170" s="5" t="s">
        <v>1209</v>
      </c>
      <c r="C1170" s="6" t="s">
        <v>23</v>
      </c>
      <c r="D1170" s="6" t="s">
        <v>24</v>
      </c>
      <c r="E1170" s="7" t="s">
        <v>4455</v>
      </c>
    </row>
    <row r="1171" spans="1:5" x14ac:dyDescent="0.25">
      <c r="A1171" s="4" t="s">
        <v>1212</v>
      </c>
      <c r="B1171" s="5" t="s">
        <v>1211</v>
      </c>
      <c r="C1171" s="6" t="s">
        <v>23</v>
      </c>
      <c r="D1171" s="6" t="s">
        <v>24</v>
      </c>
      <c r="E1171" s="7" t="s">
        <v>4448</v>
      </c>
    </row>
    <row r="1172" spans="1:5" x14ac:dyDescent="0.25">
      <c r="A1172" s="4" t="s">
        <v>1214</v>
      </c>
      <c r="B1172" s="5" t="s">
        <v>1213</v>
      </c>
      <c r="C1172" s="6" t="s">
        <v>23</v>
      </c>
      <c r="D1172" s="6" t="s">
        <v>24</v>
      </c>
      <c r="E1172" s="7" t="s">
        <v>4450</v>
      </c>
    </row>
    <row r="1173" spans="1:5" x14ac:dyDescent="0.25">
      <c r="A1173" s="11" t="s">
        <v>1216</v>
      </c>
      <c r="B1173" s="5" t="s">
        <v>1215</v>
      </c>
      <c r="C1173" s="12" t="s">
        <v>23</v>
      </c>
      <c r="D1173" s="12" t="s">
        <v>24</v>
      </c>
      <c r="E1173" s="7" t="s">
        <v>4454</v>
      </c>
    </row>
    <row r="1174" spans="1:5" x14ac:dyDescent="0.25">
      <c r="A1174" s="11" t="s">
        <v>1218</v>
      </c>
      <c r="B1174" s="5" t="s">
        <v>1217</v>
      </c>
      <c r="C1174" s="12" t="s">
        <v>23</v>
      </c>
      <c r="D1174" s="12" t="s">
        <v>24</v>
      </c>
      <c r="E1174" s="7" t="s">
        <v>4453</v>
      </c>
    </row>
    <row r="1175" spans="1:5" x14ac:dyDescent="0.25">
      <c r="A1175" s="11" t="s">
        <v>1220</v>
      </c>
      <c r="B1175" s="5" t="s">
        <v>1219</v>
      </c>
      <c r="C1175" s="12" t="s">
        <v>23</v>
      </c>
      <c r="D1175" s="12" t="s">
        <v>24</v>
      </c>
      <c r="E1175" s="7" t="s">
        <v>4452</v>
      </c>
    </row>
    <row r="1176" spans="1:5" x14ac:dyDescent="0.25">
      <c r="A1176" s="4" t="s">
        <v>1222</v>
      </c>
      <c r="B1176" s="5" t="s">
        <v>1221</v>
      </c>
      <c r="C1176" s="6" t="s">
        <v>23</v>
      </c>
      <c r="D1176" s="6" t="s">
        <v>24</v>
      </c>
      <c r="E1176" s="7" t="s">
        <v>4455</v>
      </c>
    </row>
    <row r="1177" spans="1:5" x14ac:dyDescent="0.25">
      <c r="A1177" s="4" t="s">
        <v>1224</v>
      </c>
      <c r="B1177" s="5" t="s">
        <v>1223</v>
      </c>
      <c r="C1177" s="6" t="s">
        <v>23</v>
      </c>
      <c r="D1177" s="6" t="s">
        <v>24</v>
      </c>
      <c r="E1177" s="7" t="s">
        <v>4448</v>
      </c>
    </row>
    <row r="1178" spans="1:5" x14ac:dyDescent="0.25">
      <c r="A1178" s="4" t="s">
        <v>1226</v>
      </c>
      <c r="B1178" s="5" t="s">
        <v>1225</v>
      </c>
      <c r="C1178" s="6" t="s">
        <v>23</v>
      </c>
      <c r="D1178" s="6" t="s">
        <v>24</v>
      </c>
      <c r="E1178" s="7" t="s">
        <v>4450</v>
      </c>
    </row>
    <row r="1179" spans="1:5" x14ac:dyDescent="0.25">
      <c r="A1179" s="4" t="s">
        <v>1228</v>
      </c>
      <c r="B1179" s="5" t="s">
        <v>1227</v>
      </c>
      <c r="C1179" s="6" t="s">
        <v>23</v>
      </c>
      <c r="D1179" s="6" t="s">
        <v>24</v>
      </c>
      <c r="E1179" s="7" t="s">
        <v>4454</v>
      </c>
    </row>
    <row r="1180" spans="1:5" x14ac:dyDescent="0.25">
      <c r="A1180" s="4" t="s">
        <v>1230</v>
      </c>
      <c r="B1180" s="5" t="s">
        <v>1229</v>
      </c>
      <c r="C1180" s="6" t="s">
        <v>23</v>
      </c>
      <c r="D1180" s="6" t="s">
        <v>24</v>
      </c>
      <c r="E1180" s="7" t="s">
        <v>4452</v>
      </c>
    </row>
    <row r="1181" spans="1:5" x14ac:dyDescent="0.25">
      <c r="A1181" s="4" t="s">
        <v>1232</v>
      </c>
      <c r="B1181" s="5" t="s">
        <v>1231</v>
      </c>
      <c r="C1181" s="6" t="s">
        <v>23</v>
      </c>
      <c r="D1181" s="6" t="s">
        <v>24</v>
      </c>
      <c r="E1181" s="7" t="s">
        <v>4453</v>
      </c>
    </row>
    <row r="1182" spans="1:5" x14ac:dyDescent="0.25">
      <c r="A1182" s="4" t="s">
        <v>4536</v>
      </c>
      <c r="B1182" s="5" t="s">
        <v>4368</v>
      </c>
      <c r="C1182" s="6" t="s">
        <v>23</v>
      </c>
      <c r="D1182" s="6" t="s">
        <v>24</v>
      </c>
      <c r="E1182" s="7" t="s">
        <v>4455</v>
      </c>
    </row>
    <row r="1183" spans="1:5" x14ac:dyDescent="0.25">
      <c r="A1183" s="11" t="s">
        <v>1234</v>
      </c>
      <c r="B1183" s="5" t="s">
        <v>1233</v>
      </c>
      <c r="C1183" s="12" t="s">
        <v>23</v>
      </c>
      <c r="D1183" s="12" t="s">
        <v>24</v>
      </c>
      <c r="E1183" s="7" t="s">
        <v>4455</v>
      </c>
    </row>
    <row r="1184" spans="1:5" x14ac:dyDescent="0.25">
      <c r="A1184" s="4" t="s">
        <v>1236</v>
      </c>
      <c r="B1184" s="5" t="s">
        <v>1235</v>
      </c>
      <c r="C1184" s="6" t="s">
        <v>23</v>
      </c>
      <c r="D1184" s="6" t="s">
        <v>24</v>
      </c>
      <c r="E1184" s="7" t="s">
        <v>4448</v>
      </c>
    </row>
    <row r="1185" spans="1:5" x14ac:dyDescent="0.25">
      <c r="A1185" s="4" t="s">
        <v>1238</v>
      </c>
      <c r="B1185" s="5" t="s">
        <v>1237</v>
      </c>
      <c r="C1185" s="6" t="s">
        <v>23</v>
      </c>
      <c r="D1185" s="6" t="s">
        <v>24</v>
      </c>
      <c r="E1185" s="7" t="s">
        <v>4450</v>
      </c>
    </row>
    <row r="1186" spans="1:5" x14ac:dyDescent="0.25">
      <c r="A1186" s="4" t="s">
        <v>1240</v>
      </c>
      <c r="B1186" s="5" t="s">
        <v>1239</v>
      </c>
      <c r="C1186" s="6" t="s">
        <v>23</v>
      </c>
      <c r="D1186" s="6" t="s">
        <v>24</v>
      </c>
      <c r="E1186" s="7" t="s">
        <v>4454</v>
      </c>
    </row>
    <row r="1187" spans="1:5" x14ac:dyDescent="0.25">
      <c r="A1187" s="4" t="s">
        <v>1242</v>
      </c>
      <c r="B1187" s="5" t="s">
        <v>1241</v>
      </c>
      <c r="C1187" s="6" t="s">
        <v>23</v>
      </c>
      <c r="D1187" s="6" t="s">
        <v>24</v>
      </c>
      <c r="E1187" s="7" t="s">
        <v>4452</v>
      </c>
    </row>
    <row r="1188" spans="1:5" x14ac:dyDescent="0.25">
      <c r="A1188" s="4" t="s">
        <v>1244</v>
      </c>
      <c r="B1188" s="5" t="s">
        <v>1243</v>
      </c>
      <c r="C1188" s="6" t="s">
        <v>23</v>
      </c>
      <c r="D1188" s="6" t="s">
        <v>24</v>
      </c>
      <c r="E1188" s="7" t="s">
        <v>4455</v>
      </c>
    </row>
    <row r="1189" spans="1:5" x14ac:dyDescent="0.25">
      <c r="A1189" s="4" t="s">
        <v>1246</v>
      </c>
      <c r="B1189" s="5" t="s">
        <v>1245</v>
      </c>
      <c r="C1189" s="6" t="s">
        <v>23</v>
      </c>
      <c r="D1189" s="6" t="s">
        <v>24</v>
      </c>
      <c r="E1189" s="7" t="s">
        <v>4448</v>
      </c>
    </row>
    <row r="1190" spans="1:5" x14ac:dyDescent="0.25">
      <c r="A1190" s="4" t="s">
        <v>1248</v>
      </c>
      <c r="B1190" s="5" t="s">
        <v>1247</v>
      </c>
      <c r="C1190" s="6" t="s">
        <v>23</v>
      </c>
      <c r="D1190" s="6" t="s">
        <v>24</v>
      </c>
      <c r="E1190" s="7" t="s">
        <v>4450</v>
      </c>
    </row>
    <row r="1191" spans="1:5" x14ac:dyDescent="0.25">
      <c r="A1191" s="4" t="s">
        <v>1250</v>
      </c>
      <c r="B1191" s="5" t="s">
        <v>1249</v>
      </c>
      <c r="C1191" s="6" t="s">
        <v>23</v>
      </c>
      <c r="D1191" s="6" t="s">
        <v>24</v>
      </c>
      <c r="E1191" s="7" t="s">
        <v>4454</v>
      </c>
    </row>
    <row r="1192" spans="1:5" x14ac:dyDescent="0.25">
      <c r="A1192" s="4" t="s">
        <v>4537</v>
      </c>
      <c r="B1192" s="5" t="s">
        <v>4367</v>
      </c>
      <c r="C1192" s="6" t="s">
        <v>23</v>
      </c>
      <c r="D1192" s="6" t="s">
        <v>24</v>
      </c>
      <c r="E1192" s="7" t="s">
        <v>4455</v>
      </c>
    </row>
    <row r="1193" spans="1:5" x14ac:dyDescent="0.25">
      <c r="A1193" s="4" t="s">
        <v>3589</v>
      </c>
      <c r="B1193" s="5" t="s">
        <v>4364</v>
      </c>
      <c r="C1193" s="6" t="s">
        <v>23</v>
      </c>
      <c r="D1193" s="6" t="s">
        <v>24</v>
      </c>
      <c r="E1193" s="7" t="s">
        <v>4455</v>
      </c>
    </row>
    <row r="1194" spans="1:5" x14ac:dyDescent="0.25">
      <c r="A1194" s="4" t="s">
        <v>3590</v>
      </c>
      <c r="B1194" s="5" t="s">
        <v>4365</v>
      </c>
      <c r="C1194" s="6" t="s">
        <v>23</v>
      </c>
      <c r="D1194" s="6" t="s">
        <v>24</v>
      </c>
      <c r="E1194" s="7" t="s">
        <v>4448</v>
      </c>
    </row>
    <row r="1195" spans="1:5" x14ac:dyDescent="0.25">
      <c r="A1195" s="11" t="s">
        <v>3591</v>
      </c>
      <c r="B1195" s="5" t="s">
        <v>4366</v>
      </c>
      <c r="C1195" s="12" t="s">
        <v>23</v>
      </c>
      <c r="D1195" s="12" t="s">
        <v>24</v>
      </c>
      <c r="E1195" s="7" t="s">
        <v>4449</v>
      </c>
    </row>
    <row r="1196" spans="1:5" x14ac:dyDescent="0.25">
      <c r="A1196" s="4" t="s">
        <v>3593</v>
      </c>
      <c r="B1196" s="5" t="s">
        <v>4370</v>
      </c>
      <c r="C1196" s="6" t="s">
        <v>23</v>
      </c>
      <c r="D1196" s="6" t="s">
        <v>63</v>
      </c>
      <c r="E1196" s="7" t="s">
        <v>4455</v>
      </c>
    </row>
    <row r="1197" spans="1:5" x14ac:dyDescent="0.25">
      <c r="A1197" s="4" t="s">
        <v>3592</v>
      </c>
      <c r="B1197" s="5" t="s">
        <v>4369</v>
      </c>
      <c r="C1197" s="6" t="s">
        <v>23</v>
      </c>
      <c r="D1197" s="6" t="s">
        <v>24</v>
      </c>
      <c r="E1197" s="7" t="s">
        <v>4455</v>
      </c>
    </row>
    <row r="1198" spans="1:5" x14ac:dyDescent="0.25">
      <c r="A1198" s="4" t="s">
        <v>1252</v>
      </c>
      <c r="B1198" s="5" t="s">
        <v>1251</v>
      </c>
      <c r="C1198" s="6" t="s">
        <v>23</v>
      </c>
      <c r="D1198" s="6" t="s">
        <v>24</v>
      </c>
      <c r="E1198" s="7" t="s">
        <v>4455</v>
      </c>
    </row>
    <row r="1199" spans="1:5" x14ac:dyDescent="0.25">
      <c r="A1199" s="4" t="s">
        <v>1254</v>
      </c>
      <c r="B1199" s="5" t="s">
        <v>1253</v>
      </c>
      <c r="C1199" s="6" t="s">
        <v>23</v>
      </c>
      <c r="D1199" s="6" t="s">
        <v>24</v>
      </c>
      <c r="E1199" s="7" t="s">
        <v>4448</v>
      </c>
    </row>
    <row r="1200" spans="1:5" x14ac:dyDescent="0.25">
      <c r="A1200" s="4" t="s">
        <v>1256</v>
      </c>
      <c r="B1200" s="5" t="s">
        <v>1255</v>
      </c>
      <c r="C1200" s="6" t="s">
        <v>23</v>
      </c>
      <c r="D1200" s="6" t="s">
        <v>24</v>
      </c>
      <c r="E1200" s="7" t="s">
        <v>4450</v>
      </c>
    </row>
    <row r="1201" spans="1:5" x14ac:dyDescent="0.25">
      <c r="A1201" s="4" t="s">
        <v>1258</v>
      </c>
      <c r="B1201" s="5" t="s">
        <v>1257</v>
      </c>
      <c r="C1201" s="6" t="s">
        <v>23</v>
      </c>
      <c r="D1201" s="6" t="s">
        <v>24</v>
      </c>
      <c r="E1201" s="7" t="s">
        <v>4454</v>
      </c>
    </row>
    <row r="1202" spans="1:5" x14ac:dyDescent="0.25">
      <c r="A1202" s="4" t="s">
        <v>1260</v>
      </c>
      <c r="B1202" s="5" t="s">
        <v>1259</v>
      </c>
      <c r="C1202" s="6" t="s">
        <v>23</v>
      </c>
      <c r="D1202" s="6" t="s">
        <v>24</v>
      </c>
      <c r="E1202" s="7" t="s">
        <v>4452</v>
      </c>
    </row>
    <row r="1203" spans="1:5" x14ac:dyDescent="0.25">
      <c r="A1203" s="4" t="s">
        <v>1262</v>
      </c>
      <c r="B1203" s="5" t="s">
        <v>1261</v>
      </c>
      <c r="C1203" s="6" t="s">
        <v>23</v>
      </c>
      <c r="D1203" s="6" t="s">
        <v>24</v>
      </c>
      <c r="E1203" s="7" t="s">
        <v>4455</v>
      </c>
    </row>
    <row r="1204" spans="1:5" x14ac:dyDescent="0.25">
      <c r="A1204" s="4" t="s">
        <v>1264</v>
      </c>
      <c r="B1204" s="5" t="s">
        <v>1263</v>
      </c>
      <c r="C1204" s="6" t="s">
        <v>23</v>
      </c>
      <c r="D1204" s="6" t="s">
        <v>24</v>
      </c>
      <c r="E1204" s="7" t="s">
        <v>4448</v>
      </c>
    </row>
    <row r="1205" spans="1:5" x14ac:dyDescent="0.25">
      <c r="A1205" s="4" t="s">
        <v>1266</v>
      </c>
      <c r="B1205" s="5" t="s">
        <v>1265</v>
      </c>
      <c r="C1205" s="6" t="s">
        <v>23</v>
      </c>
      <c r="D1205" s="6" t="s">
        <v>24</v>
      </c>
      <c r="E1205" s="7" t="s">
        <v>4450</v>
      </c>
    </row>
    <row r="1206" spans="1:5" x14ac:dyDescent="0.25">
      <c r="A1206" s="11" t="s">
        <v>1268</v>
      </c>
      <c r="B1206" s="5" t="s">
        <v>1267</v>
      </c>
      <c r="C1206" s="12" t="s">
        <v>23</v>
      </c>
      <c r="D1206" s="12" t="s">
        <v>24</v>
      </c>
      <c r="E1206" s="7" t="s">
        <v>4454</v>
      </c>
    </row>
    <row r="1207" spans="1:5" x14ac:dyDescent="0.25">
      <c r="A1207" s="4" t="s">
        <v>1270</v>
      </c>
      <c r="B1207" s="5" t="s">
        <v>1269</v>
      </c>
      <c r="C1207" s="6" t="s">
        <v>23</v>
      </c>
      <c r="D1207" s="6" t="s">
        <v>24</v>
      </c>
      <c r="E1207" s="7" t="s">
        <v>4452</v>
      </c>
    </row>
    <row r="1208" spans="1:5" x14ac:dyDescent="0.25">
      <c r="A1208" s="4" t="s">
        <v>1272</v>
      </c>
      <c r="B1208" s="5" t="s">
        <v>1271</v>
      </c>
      <c r="C1208" s="6" t="s">
        <v>23</v>
      </c>
      <c r="D1208" s="6" t="s">
        <v>24</v>
      </c>
      <c r="E1208" s="7" t="s">
        <v>4454</v>
      </c>
    </row>
    <row r="1209" spans="1:5" x14ac:dyDescent="0.25">
      <c r="A1209" s="4" t="s">
        <v>1274</v>
      </c>
      <c r="B1209" s="5" t="s">
        <v>1273</v>
      </c>
      <c r="C1209" s="6" t="s">
        <v>23</v>
      </c>
      <c r="D1209" s="6" t="s">
        <v>24</v>
      </c>
      <c r="E1209" s="7" t="s">
        <v>4452</v>
      </c>
    </row>
    <row r="1210" spans="1:5" x14ac:dyDescent="0.25">
      <c r="A1210" s="4" t="s">
        <v>1276</v>
      </c>
      <c r="B1210" s="5" t="s">
        <v>1275</v>
      </c>
      <c r="C1210" s="6" t="s">
        <v>23</v>
      </c>
      <c r="D1210" s="6" t="s">
        <v>24</v>
      </c>
      <c r="E1210" s="7" t="s">
        <v>4455</v>
      </c>
    </row>
    <row r="1211" spans="1:5" x14ac:dyDescent="0.25">
      <c r="A1211" s="4" t="s">
        <v>1278</v>
      </c>
      <c r="B1211" s="5" t="s">
        <v>1277</v>
      </c>
      <c r="C1211" s="6" t="s">
        <v>23</v>
      </c>
      <c r="D1211" s="6" t="s">
        <v>24</v>
      </c>
      <c r="E1211" s="7" t="s">
        <v>4450</v>
      </c>
    </row>
    <row r="1212" spans="1:5" x14ac:dyDescent="0.25">
      <c r="A1212" s="4" t="s">
        <v>1280</v>
      </c>
      <c r="B1212" s="5" t="s">
        <v>1279</v>
      </c>
      <c r="C1212" s="6" t="s">
        <v>23</v>
      </c>
      <c r="D1212" s="6" t="s">
        <v>24</v>
      </c>
      <c r="E1212" s="7" t="s">
        <v>4450</v>
      </c>
    </row>
    <row r="1213" spans="1:5" x14ac:dyDescent="0.25">
      <c r="A1213" s="4" t="s">
        <v>1282</v>
      </c>
      <c r="B1213" s="5" t="s">
        <v>1281</v>
      </c>
      <c r="C1213" s="6" t="s">
        <v>23</v>
      </c>
      <c r="D1213" s="6" t="s">
        <v>24</v>
      </c>
      <c r="E1213" s="7" t="s">
        <v>4455</v>
      </c>
    </row>
    <row r="1214" spans="1:5" x14ac:dyDescent="0.25">
      <c r="A1214" s="4" t="s">
        <v>1284</v>
      </c>
      <c r="B1214" s="5" t="s">
        <v>1283</v>
      </c>
      <c r="C1214" s="6" t="s">
        <v>23</v>
      </c>
      <c r="D1214" s="6" t="s">
        <v>24</v>
      </c>
      <c r="E1214" s="7" t="s">
        <v>4448</v>
      </c>
    </row>
    <row r="1215" spans="1:5" x14ac:dyDescent="0.25">
      <c r="A1215" s="4" t="s">
        <v>1286</v>
      </c>
      <c r="B1215" s="5" t="s">
        <v>1285</v>
      </c>
      <c r="C1215" s="6" t="s">
        <v>23</v>
      </c>
      <c r="D1215" s="6" t="s">
        <v>24</v>
      </c>
      <c r="E1215" s="7" t="s">
        <v>4450</v>
      </c>
    </row>
    <row r="1216" spans="1:5" x14ac:dyDescent="0.25">
      <c r="A1216" s="4" t="s">
        <v>3583</v>
      </c>
      <c r="B1216" s="5" t="s">
        <v>4358</v>
      </c>
      <c r="C1216" s="6" t="s">
        <v>23</v>
      </c>
      <c r="D1216" s="6" t="s">
        <v>24</v>
      </c>
      <c r="E1216" s="7" t="s">
        <v>4451</v>
      </c>
    </row>
    <row r="1217" spans="1:5" x14ac:dyDescent="0.25">
      <c r="A1217" s="4" t="s">
        <v>1288</v>
      </c>
      <c r="B1217" s="5" t="s">
        <v>1287</v>
      </c>
      <c r="C1217" s="6" t="s">
        <v>23</v>
      </c>
      <c r="D1217" s="6" t="s">
        <v>24</v>
      </c>
      <c r="E1217" s="7" t="s">
        <v>4455</v>
      </c>
    </row>
    <row r="1218" spans="1:5" x14ac:dyDescent="0.25">
      <c r="A1218" s="4" t="s">
        <v>1290</v>
      </c>
      <c r="B1218" s="5" t="s">
        <v>1289</v>
      </c>
      <c r="C1218" s="6" t="s">
        <v>23</v>
      </c>
      <c r="D1218" s="6" t="s">
        <v>24</v>
      </c>
      <c r="E1218" s="7" t="s">
        <v>4448</v>
      </c>
    </row>
    <row r="1219" spans="1:5" x14ac:dyDescent="0.25">
      <c r="A1219" s="4" t="s">
        <v>1292</v>
      </c>
      <c r="B1219" s="5" t="s">
        <v>1291</v>
      </c>
      <c r="C1219" s="6" t="s">
        <v>23</v>
      </c>
      <c r="D1219" s="6" t="s">
        <v>24</v>
      </c>
      <c r="E1219" s="7" t="s">
        <v>4450</v>
      </c>
    </row>
    <row r="1220" spans="1:5" x14ac:dyDescent="0.25">
      <c r="A1220" s="4" t="s">
        <v>1294</v>
      </c>
      <c r="B1220" s="5" t="s">
        <v>1293</v>
      </c>
      <c r="C1220" s="6" t="s">
        <v>23</v>
      </c>
      <c r="D1220" s="6" t="s">
        <v>24</v>
      </c>
      <c r="E1220" s="7" t="s">
        <v>4454</v>
      </c>
    </row>
    <row r="1221" spans="1:5" x14ac:dyDescent="0.25">
      <c r="A1221" s="4" t="s">
        <v>1296</v>
      </c>
      <c r="B1221" s="5" t="s">
        <v>1295</v>
      </c>
      <c r="C1221" s="6" t="s">
        <v>23</v>
      </c>
      <c r="D1221" s="6" t="s">
        <v>24</v>
      </c>
      <c r="E1221" s="7" t="s">
        <v>4455</v>
      </c>
    </row>
    <row r="1222" spans="1:5" x14ac:dyDescent="0.25">
      <c r="A1222" s="4" t="s">
        <v>1298</v>
      </c>
      <c r="B1222" s="5" t="s">
        <v>1297</v>
      </c>
      <c r="C1222" s="6" t="s">
        <v>23</v>
      </c>
      <c r="D1222" s="6" t="s">
        <v>24</v>
      </c>
      <c r="E1222" s="7" t="s">
        <v>4455</v>
      </c>
    </row>
    <row r="1223" spans="1:5" x14ac:dyDescent="0.25">
      <c r="A1223" s="4" t="s">
        <v>1300</v>
      </c>
      <c r="B1223" s="5" t="s">
        <v>1299</v>
      </c>
      <c r="C1223" s="6" t="s">
        <v>23</v>
      </c>
      <c r="D1223" s="6" t="s">
        <v>24</v>
      </c>
      <c r="E1223" s="7" t="s">
        <v>4448</v>
      </c>
    </row>
    <row r="1224" spans="1:5" x14ac:dyDescent="0.25">
      <c r="A1224" s="4" t="s">
        <v>1302</v>
      </c>
      <c r="B1224" s="5" t="s">
        <v>1301</v>
      </c>
      <c r="C1224" s="6" t="s">
        <v>23</v>
      </c>
      <c r="D1224" s="6" t="s">
        <v>24</v>
      </c>
      <c r="E1224" s="7" t="s">
        <v>4450</v>
      </c>
    </row>
    <row r="1225" spans="1:5" x14ac:dyDescent="0.25">
      <c r="A1225" s="4" t="s">
        <v>1304</v>
      </c>
      <c r="B1225" s="5" t="s">
        <v>1303</v>
      </c>
      <c r="C1225" s="6" t="s">
        <v>23</v>
      </c>
      <c r="D1225" s="6" t="s">
        <v>24</v>
      </c>
      <c r="E1225" s="7" t="s">
        <v>4454</v>
      </c>
    </row>
    <row r="1226" spans="1:5" x14ac:dyDescent="0.25">
      <c r="A1226" s="4" t="s">
        <v>1306</v>
      </c>
      <c r="B1226" s="5" t="s">
        <v>1305</v>
      </c>
      <c r="C1226" s="6" t="s">
        <v>23</v>
      </c>
      <c r="D1226" s="6" t="s">
        <v>24</v>
      </c>
      <c r="E1226" s="7" t="s">
        <v>4455</v>
      </c>
    </row>
    <row r="1227" spans="1:5" x14ac:dyDescent="0.25">
      <c r="A1227" s="4" t="s">
        <v>1308</v>
      </c>
      <c r="B1227" s="5" t="s">
        <v>1307</v>
      </c>
      <c r="C1227" s="6" t="s">
        <v>23</v>
      </c>
      <c r="D1227" s="6" t="s">
        <v>24</v>
      </c>
      <c r="E1227" s="7" t="s">
        <v>4448</v>
      </c>
    </row>
    <row r="1228" spans="1:5" x14ac:dyDescent="0.25">
      <c r="A1228" s="4" t="s">
        <v>1310</v>
      </c>
      <c r="B1228" s="5" t="s">
        <v>1309</v>
      </c>
      <c r="C1228" s="6" t="s">
        <v>23</v>
      </c>
      <c r="D1228" s="6" t="s">
        <v>24</v>
      </c>
      <c r="E1228" s="7" t="s">
        <v>4450</v>
      </c>
    </row>
    <row r="1229" spans="1:5" x14ac:dyDescent="0.25">
      <c r="A1229" s="4" t="s">
        <v>1312</v>
      </c>
      <c r="B1229" s="5" t="s">
        <v>1311</v>
      </c>
      <c r="C1229" s="6" t="s">
        <v>23</v>
      </c>
      <c r="D1229" s="6" t="s">
        <v>24</v>
      </c>
      <c r="E1229" s="7" t="s">
        <v>4454</v>
      </c>
    </row>
    <row r="1230" spans="1:5" x14ac:dyDescent="0.25">
      <c r="A1230" s="4" t="s">
        <v>1314</v>
      </c>
      <c r="B1230" s="5" t="s">
        <v>1313</v>
      </c>
      <c r="C1230" s="6" t="s">
        <v>23</v>
      </c>
      <c r="D1230" s="6" t="s">
        <v>24</v>
      </c>
      <c r="E1230" s="7" t="s">
        <v>4455</v>
      </c>
    </row>
    <row r="1231" spans="1:5" x14ac:dyDescent="0.25">
      <c r="A1231" s="4" t="s">
        <v>1316</v>
      </c>
      <c r="B1231" s="5" t="s">
        <v>1315</v>
      </c>
      <c r="C1231" s="6" t="s">
        <v>23</v>
      </c>
      <c r="D1231" s="6" t="s">
        <v>24</v>
      </c>
      <c r="E1231" s="7" t="s">
        <v>4448</v>
      </c>
    </row>
    <row r="1232" spans="1:5" x14ac:dyDescent="0.25">
      <c r="A1232" s="4" t="s">
        <v>1318</v>
      </c>
      <c r="B1232" s="5" t="s">
        <v>1317</v>
      </c>
      <c r="C1232" s="6" t="s">
        <v>23</v>
      </c>
      <c r="D1232" s="6" t="s">
        <v>24</v>
      </c>
      <c r="E1232" s="7" t="s">
        <v>4450</v>
      </c>
    </row>
    <row r="1233" spans="1:5" x14ac:dyDescent="0.25">
      <c r="A1233" s="4" t="s">
        <v>1320</v>
      </c>
      <c r="B1233" s="5" t="s">
        <v>1319</v>
      </c>
      <c r="C1233" s="6" t="s">
        <v>23</v>
      </c>
      <c r="D1233" s="6" t="s">
        <v>24</v>
      </c>
      <c r="E1233" s="7" t="s">
        <v>4454</v>
      </c>
    </row>
    <row r="1234" spans="1:5" x14ac:dyDescent="0.25">
      <c r="A1234" s="4" t="s">
        <v>1322</v>
      </c>
      <c r="B1234" s="5" t="s">
        <v>1321</v>
      </c>
      <c r="C1234" s="6" t="s">
        <v>23</v>
      </c>
      <c r="D1234" s="6" t="s">
        <v>24</v>
      </c>
      <c r="E1234" s="7" t="s">
        <v>4452</v>
      </c>
    </row>
    <row r="1235" spans="1:5" x14ac:dyDescent="0.25">
      <c r="A1235" s="4" t="s">
        <v>1324</v>
      </c>
      <c r="B1235" s="5" t="s">
        <v>1323</v>
      </c>
      <c r="C1235" s="6" t="s">
        <v>23</v>
      </c>
      <c r="D1235" s="6" t="s">
        <v>24</v>
      </c>
      <c r="E1235" s="7" t="s">
        <v>4455</v>
      </c>
    </row>
    <row r="1236" spans="1:5" x14ac:dyDescent="0.25">
      <c r="A1236" s="4" t="s">
        <v>1326</v>
      </c>
      <c r="B1236" s="5" t="s">
        <v>1325</v>
      </c>
      <c r="C1236" s="6" t="s">
        <v>23</v>
      </c>
      <c r="D1236" s="6" t="s">
        <v>24</v>
      </c>
      <c r="E1236" s="7" t="s">
        <v>4448</v>
      </c>
    </row>
    <row r="1237" spans="1:5" x14ac:dyDescent="0.25">
      <c r="A1237" s="4" t="s">
        <v>1328</v>
      </c>
      <c r="B1237" s="10" t="s">
        <v>1327</v>
      </c>
      <c r="C1237" s="6" t="s">
        <v>23</v>
      </c>
      <c r="D1237" s="6" t="s">
        <v>24</v>
      </c>
      <c r="E1237" s="7" t="s">
        <v>4450</v>
      </c>
    </row>
    <row r="1238" spans="1:5" x14ac:dyDescent="0.25">
      <c r="A1238" s="11" t="s">
        <v>1330</v>
      </c>
      <c r="B1238" s="5" t="s">
        <v>1329</v>
      </c>
      <c r="C1238" s="12" t="s">
        <v>23</v>
      </c>
      <c r="D1238" s="12" t="s">
        <v>24</v>
      </c>
      <c r="E1238" s="7" t="s">
        <v>4454</v>
      </c>
    </row>
    <row r="1239" spans="1:5" x14ac:dyDescent="0.25">
      <c r="A1239" s="4" t="s">
        <v>1332</v>
      </c>
      <c r="B1239" s="5" t="s">
        <v>1331</v>
      </c>
      <c r="C1239" s="6" t="s">
        <v>23</v>
      </c>
      <c r="D1239" s="6" t="s">
        <v>24</v>
      </c>
      <c r="E1239" s="7" t="s">
        <v>4452</v>
      </c>
    </row>
    <row r="1240" spans="1:5" x14ac:dyDescent="0.25">
      <c r="A1240" s="4" t="s">
        <v>1334</v>
      </c>
      <c r="B1240" s="5" t="s">
        <v>1333</v>
      </c>
      <c r="C1240" s="6" t="s">
        <v>23</v>
      </c>
      <c r="D1240" s="6" t="s">
        <v>24</v>
      </c>
      <c r="E1240" s="7" t="s">
        <v>4455</v>
      </c>
    </row>
    <row r="1241" spans="1:5" x14ac:dyDescent="0.25">
      <c r="A1241" s="4" t="s">
        <v>1336</v>
      </c>
      <c r="B1241" s="5" t="s">
        <v>1335</v>
      </c>
      <c r="C1241" s="6" t="s">
        <v>23</v>
      </c>
      <c r="D1241" s="6" t="s">
        <v>24</v>
      </c>
      <c r="E1241" s="7" t="s">
        <v>4448</v>
      </c>
    </row>
    <row r="1242" spans="1:5" x14ac:dyDescent="0.25">
      <c r="A1242" s="4" t="s">
        <v>1338</v>
      </c>
      <c r="B1242" s="5" t="s">
        <v>1337</v>
      </c>
      <c r="C1242" s="6" t="s">
        <v>23</v>
      </c>
      <c r="D1242" s="6" t="s">
        <v>24</v>
      </c>
      <c r="E1242" s="7" t="s">
        <v>4450</v>
      </c>
    </row>
    <row r="1243" spans="1:5" x14ac:dyDescent="0.25">
      <c r="A1243" s="4" t="s">
        <v>1340</v>
      </c>
      <c r="B1243" s="5" t="s">
        <v>1339</v>
      </c>
      <c r="C1243" s="6" t="s">
        <v>23</v>
      </c>
      <c r="D1243" s="6" t="s">
        <v>24</v>
      </c>
      <c r="E1243" s="7" t="s">
        <v>4454</v>
      </c>
    </row>
    <row r="1244" spans="1:5" x14ac:dyDescent="0.25">
      <c r="A1244" s="4" t="s">
        <v>1342</v>
      </c>
      <c r="B1244" s="5" t="s">
        <v>1341</v>
      </c>
      <c r="C1244" s="6" t="s">
        <v>23</v>
      </c>
      <c r="D1244" s="6" t="s">
        <v>24</v>
      </c>
      <c r="E1244" s="7" t="s">
        <v>4452</v>
      </c>
    </row>
    <row r="1245" spans="1:5" x14ac:dyDescent="0.25">
      <c r="A1245" s="4" t="s">
        <v>1344</v>
      </c>
      <c r="B1245" s="5" t="s">
        <v>1343</v>
      </c>
      <c r="C1245" s="6" t="s">
        <v>23</v>
      </c>
      <c r="D1245" s="6" t="s">
        <v>24</v>
      </c>
      <c r="E1245" s="7" t="s">
        <v>4453</v>
      </c>
    </row>
    <row r="1246" spans="1:5" x14ac:dyDescent="0.25">
      <c r="A1246" s="4" t="s">
        <v>1346</v>
      </c>
      <c r="B1246" s="5" t="s">
        <v>1345</v>
      </c>
      <c r="C1246" s="6" t="s">
        <v>23</v>
      </c>
      <c r="D1246" s="6" t="s">
        <v>63</v>
      </c>
      <c r="E1246" s="7" t="s">
        <v>64</v>
      </c>
    </row>
    <row r="1247" spans="1:5" x14ac:dyDescent="0.25">
      <c r="A1247" s="4" t="s">
        <v>1348</v>
      </c>
      <c r="B1247" s="8" t="s">
        <v>1347</v>
      </c>
      <c r="C1247" s="6" t="s">
        <v>23</v>
      </c>
      <c r="D1247" s="6" t="s">
        <v>24</v>
      </c>
      <c r="E1247" s="7" t="s">
        <v>4449</v>
      </c>
    </row>
    <row r="1248" spans="1:5" x14ac:dyDescent="0.25">
      <c r="A1248" s="4" t="s">
        <v>1350</v>
      </c>
      <c r="B1248" s="8" t="s">
        <v>1349</v>
      </c>
      <c r="C1248" s="6" t="s">
        <v>23</v>
      </c>
      <c r="D1248" s="6" t="s">
        <v>24</v>
      </c>
      <c r="E1248" s="7" t="s">
        <v>4448</v>
      </c>
    </row>
    <row r="1249" spans="1:5" x14ac:dyDescent="0.25">
      <c r="A1249" s="4" t="s">
        <v>1352</v>
      </c>
      <c r="B1249" s="8" t="s">
        <v>1351</v>
      </c>
      <c r="C1249" s="6" t="s">
        <v>23</v>
      </c>
      <c r="D1249" s="6" t="s">
        <v>24</v>
      </c>
      <c r="E1249" s="7" t="s">
        <v>4454</v>
      </c>
    </row>
    <row r="1250" spans="1:5" x14ac:dyDescent="0.25">
      <c r="A1250" s="4" t="s">
        <v>1354</v>
      </c>
      <c r="B1250" s="8" t="s">
        <v>1353</v>
      </c>
      <c r="C1250" s="6" t="s">
        <v>23</v>
      </c>
      <c r="D1250" s="6" t="s">
        <v>63</v>
      </c>
      <c r="E1250" s="7" t="s">
        <v>64</v>
      </c>
    </row>
    <row r="1251" spans="1:5" x14ac:dyDescent="0.25">
      <c r="A1251" s="4" t="s">
        <v>1356</v>
      </c>
      <c r="B1251" s="8" t="s">
        <v>1355</v>
      </c>
      <c r="C1251" s="6" t="s">
        <v>23</v>
      </c>
      <c r="D1251" s="6" t="s">
        <v>24</v>
      </c>
      <c r="E1251" s="7" t="s">
        <v>4455</v>
      </c>
    </row>
    <row r="1252" spans="1:5" x14ac:dyDescent="0.25">
      <c r="A1252" s="4" t="s">
        <v>1358</v>
      </c>
      <c r="B1252" s="5" t="s">
        <v>1357</v>
      </c>
      <c r="C1252" s="6" t="s">
        <v>23</v>
      </c>
      <c r="D1252" s="6" t="s">
        <v>24</v>
      </c>
      <c r="E1252" s="7" t="s">
        <v>4446</v>
      </c>
    </row>
    <row r="1253" spans="1:5" x14ac:dyDescent="0.25">
      <c r="A1253" s="4" t="s">
        <v>3611</v>
      </c>
      <c r="B1253" s="5" t="s">
        <v>4388</v>
      </c>
      <c r="C1253" s="6" t="s">
        <v>23</v>
      </c>
      <c r="D1253" s="6" t="s">
        <v>4463</v>
      </c>
      <c r="E1253" s="7" t="s">
        <v>4455</v>
      </c>
    </row>
    <row r="1254" spans="1:5" x14ac:dyDescent="0.25">
      <c r="A1254" s="4" t="s">
        <v>1360</v>
      </c>
      <c r="B1254" s="5" t="s">
        <v>1359</v>
      </c>
      <c r="C1254" s="6" t="s">
        <v>23</v>
      </c>
      <c r="D1254" s="6" t="s">
        <v>24</v>
      </c>
      <c r="E1254" s="7" t="s">
        <v>4447</v>
      </c>
    </row>
    <row r="1255" spans="1:5" x14ac:dyDescent="0.25">
      <c r="A1255" s="4" t="s">
        <v>1362</v>
      </c>
      <c r="B1255" s="5" t="s">
        <v>1361</v>
      </c>
      <c r="C1255" s="6" t="s">
        <v>23</v>
      </c>
      <c r="D1255" s="6" t="s">
        <v>24</v>
      </c>
      <c r="E1255" s="7" t="s">
        <v>4450</v>
      </c>
    </row>
    <row r="1256" spans="1:5" x14ac:dyDescent="0.25">
      <c r="A1256" s="4" t="s">
        <v>1364</v>
      </c>
      <c r="B1256" s="5" t="s">
        <v>1363</v>
      </c>
      <c r="C1256" s="6" t="s">
        <v>23</v>
      </c>
      <c r="D1256" s="6" t="s">
        <v>24</v>
      </c>
      <c r="E1256" s="7" t="s">
        <v>4451</v>
      </c>
    </row>
    <row r="1257" spans="1:5" x14ac:dyDescent="0.25">
      <c r="A1257" s="4" t="s">
        <v>1366</v>
      </c>
      <c r="B1257" s="5" t="s">
        <v>1365</v>
      </c>
      <c r="C1257" s="6" t="s">
        <v>23</v>
      </c>
      <c r="D1257" s="6" t="s">
        <v>24</v>
      </c>
      <c r="E1257" s="7" t="s">
        <v>4453</v>
      </c>
    </row>
    <row r="1258" spans="1:5" x14ac:dyDescent="0.25">
      <c r="A1258" s="11" t="s">
        <v>1368</v>
      </c>
      <c r="B1258" s="5" t="s">
        <v>1367</v>
      </c>
      <c r="C1258" s="12" t="s">
        <v>23</v>
      </c>
      <c r="D1258" s="12" t="s">
        <v>24</v>
      </c>
      <c r="E1258" s="7" t="s">
        <v>4448</v>
      </c>
    </row>
    <row r="1259" spans="1:5" x14ac:dyDescent="0.25">
      <c r="A1259" s="4" t="s">
        <v>1370</v>
      </c>
      <c r="B1259" s="5" t="s">
        <v>1369</v>
      </c>
      <c r="C1259" s="6" t="s">
        <v>23</v>
      </c>
      <c r="D1259" s="6" t="s">
        <v>63</v>
      </c>
      <c r="E1259" s="7" t="s">
        <v>64</v>
      </c>
    </row>
    <row r="1260" spans="1:5" x14ac:dyDescent="0.25">
      <c r="A1260" s="4" t="s">
        <v>1372</v>
      </c>
      <c r="B1260" s="5" t="s">
        <v>1371</v>
      </c>
      <c r="C1260" s="6" t="s">
        <v>23</v>
      </c>
      <c r="D1260" s="6" t="s">
        <v>63</v>
      </c>
      <c r="E1260" s="7" t="s">
        <v>64</v>
      </c>
    </row>
    <row r="1261" spans="1:5" x14ac:dyDescent="0.25">
      <c r="A1261" s="4" t="s">
        <v>1374</v>
      </c>
      <c r="B1261" s="5" t="s">
        <v>1373</v>
      </c>
      <c r="C1261" s="6" t="s">
        <v>23</v>
      </c>
      <c r="D1261" s="6" t="s">
        <v>63</v>
      </c>
      <c r="E1261" s="7" t="s">
        <v>64</v>
      </c>
    </row>
    <row r="1262" spans="1:5" x14ac:dyDescent="0.25">
      <c r="A1262" s="11" t="s">
        <v>1376</v>
      </c>
      <c r="B1262" s="5" t="s">
        <v>1375</v>
      </c>
      <c r="C1262" s="12" t="s">
        <v>23</v>
      </c>
      <c r="D1262" s="12" t="s">
        <v>24</v>
      </c>
      <c r="E1262" s="7" t="s">
        <v>4446</v>
      </c>
    </row>
    <row r="1263" spans="1:5" x14ac:dyDescent="0.25">
      <c r="A1263" s="4" t="s">
        <v>1378</v>
      </c>
      <c r="B1263" s="5" t="s">
        <v>1377</v>
      </c>
      <c r="C1263" s="6" t="s">
        <v>23</v>
      </c>
      <c r="D1263" s="6" t="s">
        <v>63</v>
      </c>
      <c r="E1263" s="7" t="s">
        <v>98</v>
      </c>
    </row>
    <row r="1264" spans="1:5" x14ac:dyDescent="0.25">
      <c r="A1264" s="4" t="s">
        <v>1380</v>
      </c>
      <c r="B1264" s="5" t="s">
        <v>1379</v>
      </c>
      <c r="C1264" s="6" t="s">
        <v>23</v>
      </c>
      <c r="D1264" s="6" t="s">
        <v>24</v>
      </c>
      <c r="E1264" s="7" t="s">
        <v>4446</v>
      </c>
    </row>
    <row r="1265" spans="1:5" x14ac:dyDescent="0.25">
      <c r="A1265" s="4" t="s">
        <v>1382</v>
      </c>
      <c r="B1265" s="5" t="s">
        <v>1381</v>
      </c>
      <c r="C1265" s="6" t="s">
        <v>23</v>
      </c>
      <c r="D1265" s="6" t="s">
        <v>24</v>
      </c>
      <c r="E1265" s="7" t="s">
        <v>4457</v>
      </c>
    </row>
    <row r="1266" spans="1:5" x14ac:dyDescent="0.25">
      <c r="A1266" s="4" t="s">
        <v>1384</v>
      </c>
      <c r="B1266" s="5" t="s">
        <v>1383</v>
      </c>
      <c r="C1266" s="6" t="s">
        <v>23</v>
      </c>
      <c r="D1266" s="6" t="s">
        <v>24</v>
      </c>
      <c r="E1266" s="7" t="s">
        <v>4447</v>
      </c>
    </row>
    <row r="1267" spans="1:5" x14ac:dyDescent="0.25">
      <c r="A1267" s="4" t="s">
        <v>1386</v>
      </c>
      <c r="B1267" s="5" t="s">
        <v>1385</v>
      </c>
      <c r="C1267" s="6" t="s">
        <v>23</v>
      </c>
      <c r="D1267" s="6" t="s">
        <v>24</v>
      </c>
      <c r="E1267" s="7" t="s">
        <v>4448</v>
      </c>
    </row>
    <row r="1268" spans="1:5" x14ac:dyDescent="0.25">
      <c r="A1268" s="11" t="s">
        <v>1388</v>
      </c>
      <c r="B1268" s="5" t="s">
        <v>1387</v>
      </c>
      <c r="C1268" s="12" t="s">
        <v>23</v>
      </c>
      <c r="D1268" s="12" t="s">
        <v>24</v>
      </c>
      <c r="E1268" s="7" t="s">
        <v>4446</v>
      </c>
    </row>
    <row r="1269" spans="1:5" x14ac:dyDescent="0.25">
      <c r="A1269" s="4" t="s">
        <v>1390</v>
      </c>
      <c r="B1269" s="5" t="s">
        <v>1389</v>
      </c>
      <c r="C1269" s="6" t="s">
        <v>23</v>
      </c>
      <c r="D1269" s="6" t="s">
        <v>24</v>
      </c>
      <c r="E1269" s="7" t="s">
        <v>4447</v>
      </c>
    </row>
    <row r="1270" spans="1:5" x14ac:dyDescent="0.25">
      <c r="A1270" s="4" t="s">
        <v>3575</v>
      </c>
      <c r="B1270" s="5" t="s">
        <v>4351</v>
      </c>
      <c r="C1270" s="6" t="s">
        <v>23</v>
      </c>
      <c r="D1270" s="6" t="s">
        <v>24</v>
      </c>
      <c r="E1270" s="7" t="s">
        <v>4448</v>
      </c>
    </row>
    <row r="1271" spans="1:5" x14ac:dyDescent="0.25">
      <c r="A1271" s="4" t="s">
        <v>1392</v>
      </c>
      <c r="B1271" s="5" t="s">
        <v>1391</v>
      </c>
      <c r="C1271" s="6" t="s">
        <v>23</v>
      </c>
      <c r="D1271" s="6" t="s">
        <v>63</v>
      </c>
      <c r="E1271" s="7" t="s">
        <v>425</v>
      </c>
    </row>
    <row r="1272" spans="1:5" x14ac:dyDescent="0.25">
      <c r="A1272" s="4" t="s">
        <v>1394</v>
      </c>
      <c r="B1272" s="5" t="s">
        <v>1393</v>
      </c>
      <c r="C1272" s="6" t="s">
        <v>23</v>
      </c>
      <c r="D1272" s="6" t="s">
        <v>63</v>
      </c>
      <c r="E1272" s="7" t="s">
        <v>4458</v>
      </c>
    </row>
    <row r="1273" spans="1:5" x14ac:dyDescent="0.25">
      <c r="A1273" s="4" t="s">
        <v>1396</v>
      </c>
      <c r="B1273" s="5" t="s">
        <v>1395</v>
      </c>
      <c r="C1273" s="6" t="s">
        <v>23</v>
      </c>
      <c r="D1273" s="6" t="s">
        <v>24</v>
      </c>
      <c r="E1273" s="7" t="s">
        <v>4447</v>
      </c>
    </row>
    <row r="1274" spans="1:5" x14ac:dyDescent="0.25">
      <c r="A1274" s="4" t="s">
        <v>1398</v>
      </c>
      <c r="B1274" s="5" t="s">
        <v>1397</v>
      </c>
      <c r="C1274" s="6" t="s">
        <v>23</v>
      </c>
      <c r="D1274" s="6" t="s">
        <v>24</v>
      </c>
      <c r="E1274" s="7" t="s">
        <v>4454</v>
      </c>
    </row>
    <row r="1275" spans="1:5" x14ac:dyDescent="0.25">
      <c r="A1275" s="4" t="s">
        <v>1400</v>
      </c>
      <c r="B1275" s="5" t="s">
        <v>1399</v>
      </c>
      <c r="C1275" s="6" t="s">
        <v>23</v>
      </c>
      <c r="D1275" s="6" t="s">
        <v>24</v>
      </c>
      <c r="E1275" s="7" t="s">
        <v>4452</v>
      </c>
    </row>
    <row r="1276" spans="1:5" x14ac:dyDescent="0.25">
      <c r="A1276" s="4" t="s">
        <v>1402</v>
      </c>
      <c r="B1276" s="5" t="s">
        <v>1401</v>
      </c>
      <c r="C1276" s="6" t="s">
        <v>23</v>
      </c>
      <c r="D1276" s="6" t="s">
        <v>24</v>
      </c>
      <c r="E1276" s="7" t="s">
        <v>4456</v>
      </c>
    </row>
    <row r="1277" spans="1:5" x14ac:dyDescent="0.25">
      <c r="A1277" s="4" t="s">
        <v>1404</v>
      </c>
      <c r="B1277" s="5" t="s">
        <v>1403</v>
      </c>
      <c r="C1277" s="6" t="s">
        <v>23</v>
      </c>
      <c r="D1277" s="6" t="s">
        <v>63</v>
      </c>
      <c r="E1277" s="7" t="s">
        <v>92</v>
      </c>
    </row>
    <row r="1278" spans="1:5" x14ac:dyDescent="0.25">
      <c r="A1278" s="4" t="s">
        <v>1406</v>
      </c>
      <c r="B1278" s="5" t="s">
        <v>1405</v>
      </c>
      <c r="C1278" s="6" t="s">
        <v>23</v>
      </c>
      <c r="D1278" s="6" t="s">
        <v>63</v>
      </c>
      <c r="E1278" s="7" t="s">
        <v>86</v>
      </c>
    </row>
    <row r="1279" spans="1:5" x14ac:dyDescent="0.25">
      <c r="A1279" s="4" t="s">
        <v>1408</v>
      </c>
      <c r="B1279" s="5" t="s">
        <v>1407</v>
      </c>
      <c r="C1279" s="6" t="s">
        <v>23</v>
      </c>
      <c r="D1279" s="6" t="s">
        <v>63</v>
      </c>
      <c r="E1279" s="7" t="s">
        <v>89</v>
      </c>
    </row>
    <row r="1280" spans="1:5" x14ac:dyDescent="0.25">
      <c r="A1280" s="4" t="s">
        <v>1410</v>
      </c>
      <c r="B1280" s="5" t="s">
        <v>1409</v>
      </c>
      <c r="C1280" s="6" t="s">
        <v>23</v>
      </c>
      <c r="D1280" s="6" t="s">
        <v>63</v>
      </c>
      <c r="E1280" s="7" t="s">
        <v>95</v>
      </c>
    </row>
    <row r="1281" spans="1:5" x14ac:dyDescent="0.25">
      <c r="A1281" s="4" t="s">
        <v>1412</v>
      </c>
      <c r="B1281" s="5" t="s">
        <v>1411</v>
      </c>
      <c r="C1281" s="6" t="s">
        <v>23</v>
      </c>
      <c r="D1281" s="6" t="s">
        <v>63</v>
      </c>
      <c r="E1281" s="7" t="s">
        <v>64</v>
      </c>
    </row>
    <row r="1282" spans="1:5" x14ac:dyDescent="0.25">
      <c r="A1282" s="4" t="s">
        <v>1414</v>
      </c>
      <c r="B1282" s="5" t="s">
        <v>1413</v>
      </c>
      <c r="C1282" s="6" t="s">
        <v>23</v>
      </c>
      <c r="D1282" s="6" t="s">
        <v>24</v>
      </c>
      <c r="E1282" s="7" t="s">
        <v>4446</v>
      </c>
    </row>
    <row r="1283" spans="1:5" x14ac:dyDescent="0.25">
      <c r="A1283" s="4" t="s">
        <v>1416</v>
      </c>
      <c r="B1283" s="5" t="s">
        <v>1415</v>
      </c>
      <c r="C1283" s="6" t="s">
        <v>23</v>
      </c>
      <c r="D1283" s="6" t="s">
        <v>24</v>
      </c>
      <c r="E1283" s="7" t="s">
        <v>4447</v>
      </c>
    </row>
    <row r="1284" spans="1:5" x14ac:dyDescent="0.25">
      <c r="A1284" s="4" t="s">
        <v>1418</v>
      </c>
      <c r="B1284" s="5" t="s">
        <v>1417</v>
      </c>
      <c r="C1284" s="6" t="s">
        <v>23</v>
      </c>
      <c r="D1284" s="6" t="s">
        <v>24</v>
      </c>
      <c r="E1284" s="7" t="s">
        <v>4455</v>
      </c>
    </row>
    <row r="1285" spans="1:5" x14ac:dyDescent="0.25">
      <c r="A1285" s="4" t="s">
        <v>1420</v>
      </c>
      <c r="B1285" s="5" t="s">
        <v>1419</v>
      </c>
      <c r="C1285" s="6" t="s">
        <v>23</v>
      </c>
      <c r="D1285" s="6" t="s">
        <v>24</v>
      </c>
      <c r="E1285" s="7" t="s">
        <v>4446</v>
      </c>
    </row>
    <row r="1286" spans="1:5" x14ac:dyDescent="0.25">
      <c r="A1286" s="4" t="s">
        <v>1422</v>
      </c>
      <c r="B1286" s="5" t="s">
        <v>1421</v>
      </c>
      <c r="C1286" s="6" t="s">
        <v>23</v>
      </c>
      <c r="D1286" s="6" t="s">
        <v>24</v>
      </c>
      <c r="E1286" s="7" t="s">
        <v>4447</v>
      </c>
    </row>
    <row r="1287" spans="1:5" x14ac:dyDescent="0.25">
      <c r="A1287" s="4" t="s">
        <v>1424</v>
      </c>
      <c r="B1287" s="5" t="s">
        <v>1423</v>
      </c>
      <c r="C1287" s="6" t="s">
        <v>23</v>
      </c>
      <c r="D1287" s="6" t="s">
        <v>24</v>
      </c>
      <c r="E1287" s="7" t="s">
        <v>4450</v>
      </c>
    </row>
    <row r="1288" spans="1:5" x14ac:dyDescent="0.25">
      <c r="A1288" s="4" t="s">
        <v>1426</v>
      </c>
      <c r="B1288" s="5" t="s">
        <v>1425</v>
      </c>
      <c r="C1288" s="6" t="s">
        <v>23</v>
      </c>
      <c r="D1288" s="6" t="s">
        <v>24</v>
      </c>
      <c r="E1288" s="7" t="s">
        <v>4448</v>
      </c>
    </row>
    <row r="1289" spans="1:5" x14ac:dyDescent="0.25">
      <c r="A1289" s="4" t="s">
        <v>1428</v>
      </c>
      <c r="B1289" s="5" t="s">
        <v>1427</v>
      </c>
      <c r="C1289" s="6" t="s">
        <v>23</v>
      </c>
      <c r="D1289" s="6" t="s">
        <v>63</v>
      </c>
      <c r="E1289" s="7" t="s">
        <v>425</v>
      </c>
    </row>
    <row r="1290" spans="1:5" x14ac:dyDescent="0.25">
      <c r="A1290" s="4" t="s">
        <v>1430</v>
      </c>
      <c r="B1290" s="5" t="s">
        <v>1429</v>
      </c>
      <c r="C1290" s="6" t="s">
        <v>23</v>
      </c>
      <c r="D1290" s="6" t="s">
        <v>63</v>
      </c>
      <c r="E1290" s="7" t="s">
        <v>92</v>
      </c>
    </row>
    <row r="1291" spans="1:5" x14ac:dyDescent="0.25">
      <c r="A1291" s="4" t="s">
        <v>1432</v>
      </c>
      <c r="B1291" s="5" t="s">
        <v>1431</v>
      </c>
      <c r="C1291" s="6" t="s">
        <v>23</v>
      </c>
      <c r="D1291" s="6" t="s">
        <v>63</v>
      </c>
      <c r="E1291" s="7" t="s">
        <v>572</v>
      </c>
    </row>
    <row r="1292" spans="1:5" x14ac:dyDescent="0.25">
      <c r="A1292" s="4" t="s">
        <v>1434</v>
      </c>
      <c r="B1292" s="5" t="s">
        <v>1433</v>
      </c>
      <c r="C1292" s="6" t="s">
        <v>23</v>
      </c>
      <c r="D1292" s="6" t="s">
        <v>24</v>
      </c>
      <c r="E1292" s="7" t="s">
        <v>4447</v>
      </c>
    </row>
    <row r="1293" spans="1:5" x14ac:dyDescent="0.25">
      <c r="A1293" s="4" t="s">
        <v>1436</v>
      </c>
      <c r="B1293" s="5" t="s">
        <v>1435</v>
      </c>
      <c r="C1293" s="6" t="s">
        <v>23</v>
      </c>
      <c r="D1293" s="6" t="s">
        <v>24</v>
      </c>
      <c r="E1293" s="7" t="s">
        <v>4448</v>
      </c>
    </row>
    <row r="1294" spans="1:5" x14ac:dyDescent="0.25">
      <c r="A1294" s="4" t="s">
        <v>1438</v>
      </c>
      <c r="B1294" s="5" t="s">
        <v>1437</v>
      </c>
      <c r="C1294" s="6" t="s">
        <v>23</v>
      </c>
      <c r="D1294" s="6" t="s">
        <v>24</v>
      </c>
      <c r="E1294" s="7" t="s">
        <v>4450</v>
      </c>
    </row>
    <row r="1295" spans="1:5" x14ac:dyDescent="0.25">
      <c r="A1295" s="4" t="s">
        <v>1440</v>
      </c>
      <c r="B1295" s="5" t="s">
        <v>1439</v>
      </c>
      <c r="C1295" s="6" t="s">
        <v>23</v>
      </c>
      <c r="D1295" s="6" t="s">
        <v>24</v>
      </c>
      <c r="E1295" s="7" t="s">
        <v>4451</v>
      </c>
    </row>
    <row r="1296" spans="1:5" x14ac:dyDescent="0.25">
      <c r="A1296" s="4" t="s">
        <v>1442</v>
      </c>
      <c r="B1296" s="5" t="s">
        <v>1441</v>
      </c>
      <c r="C1296" s="6" t="s">
        <v>23</v>
      </c>
      <c r="D1296" s="6" t="s">
        <v>24</v>
      </c>
      <c r="E1296" s="7" t="s">
        <v>4453</v>
      </c>
    </row>
    <row r="1297" spans="1:5" x14ac:dyDescent="0.25">
      <c r="A1297" s="4" t="s">
        <v>1444</v>
      </c>
      <c r="B1297" s="5" t="s">
        <v>1443</v>
      </c>
      <c r="C1297" s="6" t="s">
        <v>23</v>
      </c>
      <c r="D1297" s="6" t="s">
        <v>63</v>
      </c>
      <c r="E1297" s="7" t="s">
        <v>98</v>
      </c>
    </row>
    <row r="1298" spans="1:5" x14ac:dyDescent="0.25">
      <c r="A1298" s="4" t="s">
        <v>1446</v>
      </c>
      <c r="B1298" s="5" t="s">
        <v>1445</v>
      </c>
      <c r="C1298" s="6" t="s">
        <v>23</v>
      </c>
      <c r="D1298" s="6" t="s">
        <v>63</v>
      </c>
      <c r="E1298" s="7" t="s">
        <v>64</v>
      </c>
    </row>
    <row r="1299" spans="1:5" x14ac:dyDescent="0.25">
      <c r="A1299" s="4" t="s">
        <v>1448</v>
      </c>
      <c r="B1299" s="5" t="s">
        <v>1447</v>
      </c>
      <c r="C1299" s="6" t="s">
        <v>23</v>
      </c>
      <c r="D1299" s="6" t="s">
        <v>24</v>
      </c>
      <c r="E1299" s="7" t="s">
        <v>4447</v>
      </c>
    </row>
    <row r="1300" spans="1:5" x14ac:dyDescent="0.25">
      <c r="A1300" s="4" t="s">
        <v>1450</v>
      </c>
      <c r="B1300" s="5" t="s">
        <v>1449</v>
      </c>
      <c r="C1300" s="6" t="s">
        <v>23</v>
      </c>
      <c r="D1300" s="6" t="s">
        <v>63</v>
      </c>
      <c r="E1300" s="7" t="s">
        <v>98</v>
      </c>
    </row>
    <row r="1301" spans="1:5" x14ac:dyDescent="0.25">
      <c r="A1301" s="4" t="s">
        <v>1452</v>
      </c>
      <c r="B1301" s="5" t="s">
        <v>1451</v>
      </c>
      <c r="C1301" s="6" t="s">
        <v>23</v>
      </c>
      <c r="D1301" s="6" t="s">
        <v>24</v>
      </c>
      <c r="E1301" s="7" t="s">
        <v>4450</v>
      </c>
    </row>
    <row r="1302" spans="1:5" x14ac:dyDescent="0.25">
      <c r="A1302" s="4" t="s">
        <v>1454</v>
      </c>
      <c r="B1302" s="5" t="s">
        <v>1453</v>
      </c>
      <c r="C1302" s="6" t="s">
        <v>23</v>
      </c>
      <c r="D1302" s="6" t="s">
        <v>24</v>
      </c>
      <c r="E1302" s="7" t="s">
        <v>4451</v>
      </c>
    </row>
    <row r="1303" spans="1:5" x14ac:dyDescent="0.25">
      <c r="A1303" s="4" t="s">
        <v>1456</v>
      </c>
      <c r="B1303" s="5" t="s">
        <v>1455</v>
      </c>
      <c r="C1303" s="6" t="s">
        <v>23</v>
      </c>
      <c r="D1303" s="6" t="s">
        <v>24</v>
      </c>
      <c r="E1303" s="7" t="s">
        <v>4453</v>
      </c>
    </row>
    <row r="1304" spans="1:5" x14ac:dyDescent="0.25">
      <c r="A1304" s="4" t="s">
        <v>1458</v>
      </c>
      <c r="B1304" s="5" t="s">
        <v>1457</v>
      </c>
      <c r="C1304" s="12" t="s">
        <v>23</v>
      </c>
      <c r="D1304" s="12" t="s">
        <v>24</v>
      </c>
      <c r="E1304" s="7" t="s">
        <v>4456</v>
      </c>
    </row>
    <row r="1305" spans="1:5" x14ac:dyDescent="0.25">
      <c r="A1305" s="4" t="s">
        <v>1460</v>
      </c>
      <c r="B1305" s="5" t="s">
        <v>1459</v>
      </c>
      <c r="C1305" s="6" t="s">
        <v>23</v>
      </c>
      <c r="D1305" s="6" t="s">
        <v>24</v>
      </c>
      <c r="E1305" s="7" t="s">
        <v>4455</v>
      </c>
    </row>
    <row r="1306" spans="1:5" x14ac:dyDescent="0.25">
      <c r="A1306" s="4" t="s">
        <v>3612</v>
      </c>
      <c r="B1306" s="5" t="s">
        <v>4389</v>
      </c>
      <c r="C1306" s="6" t="s">
        <v>23</v>
      </c>
      <c r="D1306" s="6" t="s">
        <v>4463</v>
      </c>
      <c r="E1306" s="7" t="s">
        <v>4448</v>
      </c>
    </row>
    <row r="1307" spans="1:5" x14ac:dyDescent="0.25">
      <c r="A1307" s="4" t="s">
        <v>1462</v>
      </c>
      <c r="B1307" s="5" t="s">
        <v>1461</v>
      </c>
      <c r="C1307" s="6" t="s">
        <v>23</v>
      </c>
      <c r="D1307" s="6" t="s">
        <v>63</v>
      </c>
      <c r="E1307" s="7" t="s">
        <v>98</v>
      </c>
    </row>
    <row r="1308" spans="1:5" x14ac:dyDescent="0.25">
      <c r="A1308" s="4" t="s">
        <v>1464</v>
      </c>
      <c r="B1308" s="5" t="s">
        <v>1463</v>
      </c>
      <c r="C1308" s="6" t="s">
        <v>23</v>
      </c>
      <c r="D1308" s="6" t="s">
        <v>24</v>
      </c>
      <c r="E1308" s="7" t="s">
        <v>4446</v>
      </c>
    </row>
    <row r="1309" spans="1:5" x14ac:dyDescent="0.25">
      <c r="A1309" s="11" t="s">
        <v>1466</v>
      </c>
      <c r="B1309" s="5" t="s">
        <v>1465</v>
      </c>
      <c r="C1309" s="12" t="s">
        <v>23</v>
      </c>
      <c r="D1309" s="12" t="s">
        <v>24</v>
      </c>
      <c r="E1309" s="7" t="s">
        <v>4457</v>
      </c>
    </row>
    <row r="1310" spans="1:5" x14ac:dyDescent="0.25">
      <c r="A1310" s="4" t="s">
        <v>1468</v>
      </c>
      <c r="B1310" s="5" t="s">
        <v>1467</v>
      </c>
      <c r="C1310" s="6" t="s">
        <v>23</v>
      </c>
      <c r="D1310" s="6" t="s">
        <v>24</v>
      </c>
      <c r="E1310" s="7" t="s">
        <v>4455</v>
      </c>
    </row>
    <row r="1311" spans="1:5" x14ac:dyDescent="0.25">
      <c r="A1311" s="11" t="s">
        <v>1470</v>
      </c>
      <c r="B1311" s="5" t="s">
        <v>1469</v>
      </c>
      <c r="C1311" s="12" t="s">
        <v>23</v>
      </c>
      <c r="D1311" s="12" t="s">
        <v>24</v>
      </c>
      <c r="E1311" s="7" t="s">
        <v>4449</v>
      </c>
    </row>
    <row r="1312" spans="1:5" x14ac:dyDescent="0.25">
      <c r="A1312" s="4" t="s">
        <v>1472</v>
      </c>
      <c r="B1312" s="5" t="s">
        <v>1471</v>
      </c>
      <c r="C1312" s="6" t="s">
        <v>23</v>
      </c>
      <c r="D1312" s="6" t="s">
        <v>24</v>
      </c>
      <c r="E1312" s="7" t="s">
        <v>4454</v>
      </c>
    </row>
    <row r="1313" spans="1:5" x14ac:dyDescent="0.25">
      <c r="A1313" s="4" t="s">
        <v>3278</v>
      </c>
      <c r="B1313" s="5" t="s">
        <v>4048</v>
      </c>
      <c r="C1313" s="6" t="s">
        <v>23</v>
      </c>
      <c r="D1313" s="6" t="s">
        <v>4445</v>
      </c>
      <c r="E1313" s="7" t="s">
        <v>4443</v>
      </c>
    </row>
    <row r="1314" spans="1:5" x14ac:dyDescent="0.25">
      <c r="A1314" s="4" t="s">
        <v>3283</v>
      </c>
      <c r="B1314" s="5" t="s">
        <v>4053</v>
      </c>
      <c r="C1314" s="6" t="s">
        <v>23</v>
      </c>
      <c r="D1314" s="6" t="s">
        <v>4445</v>
      </c>
      <c r="E1314" s="7" t="s">
        <v>4443</v>
      </c>
    </row>
    <row r="1315" spans="1:5" x14ac:dyDescent="0.25">
      <c r="A1315" s="4" t="s">
        <v>3277</v>
      </c>
      <c r="B1315" s="5" t="s">
        <v>4047</v>
      </c>
      <c r="C1315" s="6" t="s">
        <v>23</v>
      </c>
      <c r="D1315" s="6" t="s">
        <v>4445</v>
      </c>
      <c r="E1315" s="7" t="s">
        <v>4443</v>
      </c>
    </row>
    <row r="1316" spans="1:5" x14ac:dyDescent="0.25">
      <c r="A1316" s="4" t="s">
        <v>3287</v>
      </c>
      <c r="B1316" s="5" t="s">
        <v>4057</v>
      </c>
      <c r="C1316" s="6" t="s">
        <v>23</v>
      </c>
      <c r="D1316" s="6" t="s">
        <v>4445</v>
      </c>
      <c r="E1316" s="7" t="s">
        <v>4443</v>
      </c>
    </row>
    <row r="1317" spans="1:5" x14ac:dyDescent="0.25">
      <c r="A1317" s="11" t="s">
        <v>3234</v>
      </c>
      <c r="B1317" s="5" t="s">
        <v>4004</v>
      </c>
      <c r="C1317" s="12" t="s">
        <v>23</v>
      </c>
      <c r="D1317" s="12" t="s">
        <v>4445</v>
      </c>
      <c r="E1317" s="7" t="s">
        <v>4443</v>
      </c>
    </row>
    <row r="1318" spans="1:5" x14ac:dyDescent="0.25">
      <c r="A1318" s="4" t="s">
        <v>3282</v>
      </c>
      <c r="B1318" s="5" t="s">
        <v>4052</v>
      </c>
      <c r="C1318" s="6" t="s">
        <v>23</v>
      </c>
      <c r="D1318" s="6" t="s">
        <v>4445</v>
      </c>
      <c r="E1318" s="7" t="s">
        <v>4443</v>
      </c>
    </row>
    <row r="1319" spans="1:5" x14ac:dyDescent="0.25">
      <c r="A1319" s="4" t="s">
        <v>3236</v>
      </c>
      <c r="B1319" s="5" t="s">
        <v>4006</v>
      </c>
      <c r="C1319" s="6" t="s">
        <v>23</v>
      </c>
      <c r="D1319" s="6" t="s">
        <v>4445</v>
      </c>
      <c r="E1319" s="7" t="s">
        <v>4443</v>
      </c>
    </row>
    <row r="1320" spans="1:5" x14ac:dyDescent="0.25">
      <c r="A1320" s="11" t="s">
        <v>3253</v>
      </c>
      <c r="B1320" s="5" t="s">
        <v>4023</v>
      </c>
      <c r="C1320" s="12" t="s">
        <v>23</v>
      </c>
      <c r="D1320" s="12" t="s">
        <v>4445</v>
      </c>
      <c r="E1320" s="7" t="s">
        <v>4443</v>
      </c>
    </row>
    <row r="1321" spans="1:5" x14ac:dyDescent="0.25">
      <c r="A1321" s="11" t="s">
        <v>3243</v>
      </c>
      <c r="B1321" s="5" t="s">
        <v>4013</v>
      </c>
      <c r="C1321" s="12" t="s">
        <v>23</v>
      </c>
      <c r="D1321" s="12" t="s">
        <v>4445</v>
      </c>
      <c r="E1321" s="7" t="s">
        <v>4443</v>
      </c>
    </row>
    <row r="1322" spans="1:5" x14ac:dyDescent="0.25">
      <c r="A1322" s="4" t="s">
        <v>3233</v>
      </c>
      <c r="B1322" s="5" t="s">
        <v>4003</v>
      </c>
      <c r="C1322" s="6" t="s">
        <v>23</v>
      </c>
      <c r="D1322" s="6" t="s">
        <v>4445</v>
      </c>
      <c r="E1322" s="7" t="s">
        <v>4443</v>
      </c>
    </row>
    <row r="1323" spans="1:5" x14ac:dyDescent="0.25">
      <c r="A1323" s="4" t="s">
        <v>3252</v>
      </c>
      <c r="B1323" s="5" t="s">
        <v>4022</v>
      </c>
      <c r="C1323" s="6" t="s">
        <v>23</v>
      </c>
      <c r="D1323" s="6" t="s">
        <v>4445</v>
      </c>
      <c r="E1323" s="7" t="s">
        <v>4443</v>
      </c>
    </row>
    <row r="1324" spans="1:5" x14ac:dyDescent="0.25">
      <c r="A1324" s="11" t="s">
        <v>3250</v>
      </c>
      <c r="B1324" s="5" t="s">
        <v>4020</v>
      </c>
      <c r="C1324" s="12" t="s">
        <v>23</v>
      </c>
      <c r="D1324" s="12" t="s">
        <v>4445</v>
      </c>
      <c r="E1324" s="7" t="s">
        <v>4443</v>
      </c>
    </row>
    <row r="1325" spans="1:5" x14ac:dyDescent="0.25">
      <c r="A1325" s="4" t="s">
        <v>3237</v>
      </c>
      <c r="B1325" s="5" t="s">
        <v>4007</v>
      </c>
      <c r="C1325" s="6" t="s">
        <v>23</v>
      </c>
      <c r="D1325" s="6" t="s">
        <v>4445</v>
      </c>
      <c r="E1325" s="7" t="s">
        <v>4443</v>
      </c>
    </row>
    <row r="1326" spans="1:5" x14ac:dyDescent="0.25">
      <c r="A1326" s="4" t="s">
        <v>3254</v>
      </c>
      <c r="B1326" s="5" t="s">
        <v>4024</v>
      </c>
      <c r="C1326" s="6" t="s">
        <v>23</v>
      </c>
      <c r="D1326" s="6" t="s">
        <v>4445</v>
      </c>
      <c r="E1326" s="7" t="s">
        <v>4443</v>
      </c>
    </row>
    <row r="1327" spans="1:5" x14ac:dyDescent="0.25">
      <c r="A1327" s="4" t="s">
        <v>3240</v>
      </c>
      <c r="B1327" s="5" t="s">
        <v>4010</v>
      </c>
      <c r="C1327" s="6" t="s">
        <v>23</v>
      </c>
      <c r="D1327" s="6" t="s">
        <v>4445</v>
      </c>
      <c r="E1327" s="7" t="s">
        <v>4443</v>
      </c>
    </row>
    <row r="1328" spans="1:5" x14ac:dyDescent="0.25">
      <c r="A1328" s="4" t="s">
        <v>3262</v>
      </c>
      <c r="B1328" s="5" t="s">
        <v>4032</v>
      </c>
      <c r="C1328" s="6" t="s">
        <v>23</v>
      </c>
      <c r="D1328" s="6" t="s">
        <v>4445</v>
      </c>
      <c r="E1328" s="7" t="s">
        <v>4443</v>
      </c>
    </row>
    <row r="1329" spans="1:5" x14ac:dyDescent="0.25">
      <c r="A1329" s="4" t="s">
        <v>3239</v>
      </c>
      <c r="B1329" s="5" t="s">
        <v>4009</v>
      </c>
      <c r="C1329" s="6" t="s">
        <v>23</v>
      </c>
      <c r="D1329" s="6" t="s">
        <v>4445</v>
      </c>
      <c r="E1329" s="7" t="s">
        <v>4443</v>
      </c>
    </row>
    <row r="1330" spans="1:5" x14ac:dyDescent="0.25">
      <c r="A1330" s="4" t="s">
        <v>3247</v>
      </c>
      <c r="B1330" s="5" t="s">
        <v>4017</v>
      </c>
      <c r="C1330" s="6" t="s">
        <v>23</v>
      </c>
      <c r="D1330" s="6" t="s">
        <v>4445</v>
      </c>
      <c r="E1330" s="7" t="s">
        <v>4443</v>
      </c>
    </row>
    <row r="1331" spans="1:5" x14ac:dyDescent="0.25">
      <c r="A1331" s="11" t="s">
        <v>3241</v>
      </c>
      <c r="B1331" s="5" t="s">
        <v>4011</v>
      </c>
      <c r="C1331" s="12" t="s">
        <v>23</v>
      </c>
      <c r="D1331" s="12" t="s">
        <v>4445</v>
      </c>
      <c r="E1331" s="7" t="s">
        <v>4443</v>
      </c>
    </row>
    <row r="1332" spans="1:5" x14ac:dyDescent="0.25">
      <c r="A1332" s="4" t="s">
        <v>3238</v>
      </c>
      <c r="B1332" s="5" t="s">
        <v>4008</v>
      </c>
      <c r="C1332" s="6" t="s">
        <v>23</v>
      </c>
      <c r="D1332" s="6" t="s">
        <v>4445</v>
      </c>
      <c r="E1332" s="7" t="s">
        <v>4443</v>
      </c>
    </row>
    <row r="1333" spans="1:5" x14ac:dyDescent="0.25">
      <c r="A1333" s="4" t="s">
        <v>3245</v>
      </c>
      <c r="B1333" s="5" t="s">
        <v>4015</v>
      </c>
      <c r="C1333" s="6" t="s">
        <v>23</v>
      </c>
      <c r="D1333" s="6" t="s">
        <v>4445</v>
      </c>
      <c r="E1333" s="7" t="s">
        <v>4443</v>
      </c>
    </row>
    <row r="1334" spans="1:5" x14ac:dyDescent="0.25">
      <c r="A1334" s="4" t="s">
        <v>3246</v>
      </c>
      <c r="B1334" s="5" t="s">
        <v>4016</v>
      </c>
      <c r="C1334" s="6" t="s">
        <v>23</v>
      </c>
      <c r="D1334" s="6" t="s">
        <v>4445</v>
      </c>
      <c r="E1334" s="7" t="s">
        <v>4443</v>
      </c>
    </row>
    <row r="1335" spans="1:5" x14ac:dyDescent="0.25">
      <c r="A1335" s="4" t="s">
        <v>1474</v>
      </c>
      <c r="B1335" s="5" t="s">
        <v>1473</v>
      </c>
      <c r="C1335" s="6" t="s">
        <v>23</v>
      </c>
      <c r="D1335" s="6" t="s">
        <v>63</v>
      </c>
      <c r="E1335" s="7" t="s">
        <v>67</v>
      </c>
    </row>
    <row r="1336" spans="1:5" x14ac:dyDescent="0.25">
      <c r="A1336" s="4" t="s">
        <v>1476</v>
      </c>
      <c r="B1336" s="5" t="s">
        <v>1475</v>
      </c>
      <c r="C1336" s="6" t="s">
        <v>23</v>
      </c>
      <c r="D1336" s="6" t="s">
        <v>24</v>
      </c>
      <c r="E1336" s="7" t="s">
        <v>4455</v>
      </c>
    </row>
    <row r="1337" spans="1:5" x14ac:dyDescent="0.25">
      <c r="A1337" s="4" t="s">
        <v>1478</v>
      </c>
      <c r="B1337" s="5" t="s">
        <v>1477</v>
      </c>
      <c r="C1337" s="6" t="s">
        <v>23</v>
      </c>
      <c r="D1337" s="6" t="s">
        <v>63</v>
      </c>
      <c r="E1337" s="7" t="s">
        <v>425</v>
      </c>
    </row>
    <row r="1338" spans="1:5" x14ac:dyDescent="0.25">
      <c r="A1338" s="4" t="s">
        <v>3235</v>
      </c>
      <c r="B1338" s="5" t="s">
        <v>4005</v>
      </c>
      <c r="C1338" s="6" t="s">
        <v>23</v>
      </c>
      <c r="D1338" s="6" t="s">
        <v>4445</v>
      </c>
      <c r="E1338" s="7" t="s">
        <v>4443</v>
      </c>
    </row>
    <row r="1339" spans="1:5" x14ac:dyDescent="0.25">
      <c r="A1339" s="4" t="s">
        <v>1480</v>
      </c>
      <c r="B1339" s="5" t="s">
        <v>1479</v>
      </c>
      <c r="C1339" s="6" t="s">
        <v>23</v>
      </c>
      <c r="D1339" s="6" t="s">
        <v>63</v>
      </c>
      <c r="E1339" s="7" t="s">
        <v>64</v>
      </c>
    </row>
    <row r="1340" spans="1:5" x14ac:dyDescent="0.25">
      <c r="A1340" s="4" t="s">
        <v>1482</v>
      </c>
      <c r="B1340" s="5" t="s">
        <v>1481</v>
      </c>
      <c r="C1340" s="6" t="s">
        <v>23</v>
      </c>
      <c r="D1340" s="6" t="s">
        <v>24</v>
      </c>
      <c r="E1340" s="7" t="s">
        <v>4446</v>
      </c>
    </row>
    <row r="1341" spans="1:5" x14ac:dyDescent="0.25">
      <c r="A1341" s="4" t="s">
        <v>1484</v>
      </c>
      <c r="B1341" s="5" t="s">
        <v>1483</v>
      </c>
      <c r="C1341" s="6" t="s">
        <v>23</v>
      </c>
      <c r="D1341" s="6" t="s">
        <v>24</v>
      </c>
      <c r="E1341" s="7" t="s">
        <v>4457</v>
      </c>
    </row>
    <row r="1342" spans="1:5" x14ac:dyDescent="0.25">
      <c r="A1342" s="4" t="s">
        <v>1486</v>
      </c>
      <c r="B1342" s="5" t="s">
        <v>1485</v>
      </c>
      <c r="C1342" s="6" t="s">
        <v>23</v>
      </c>
      <c r="D1342" s="6" t="s">
        <v>24</v>
      </c>
      <c r="E1342" s="7" t="s">
        <v>4455</v>
      </c>
    </row>
    <row r="1343" spans="1:5" x14ac:dyDescent="0.25">
      <c r="A1343" s="4" t="s">
        <v>1488</v>
      </c>
      <c r="B1343" s="5" t="s">
        <v>1487</v>
      </c>
      <c r="C1343" s="6" t="s">
        <v>23</v>
      </c>
      <c r="D1343" s="6" t="s">
        <v>24</v>
      </c>
      <c r="E1343" s="7" t="s">
        <v>4447</v>
      </c>
    </row>
    <row r="1344" spans="1:5" x14ac:dyDescent="0.25">
      <c r="A1344" s="4" t="s">
        <v>1490</v>
      </c>
      <c r="B1344" s="5" t="s">
        <v>1489</v>
      </c>
      <c r="C1344" s="6" t="s">
        <v>23</v>
      </c>
      <c r="D1344" s="6" t="s">
        <v>63</v>
      </c>
      <c r="E1344" s="7" t="s">
        <v>572</v>
      </c>
    </row>
    <row r="1345" spans="1:5" x14ac:dyDescent="0.25">
      <c r="A1345" s="4" t="s">
        <v>1492</v>
      </c>
      <c r="B1345" s="5" t="s">
        <v>1491</v>
      </c>
      <c r="C1345" s="6" t="s">
        <v>23</v>
      </c>
      <c r="D1345" s="6" t="s">
        <v>24</v>
      </c>
      <c r="E1345" s="7" t="s">
        <v>4455</v>
      </c>
    </row>
    <row r="1346" spans="1:5" x14ac:dyDescent="0.25">
      <c r="A1346" s="4" t="s">
        <v>1494</v>
      </c>
      <c r="B1346" s="5" t="s">
        <v>1493</v>
      </c>
      <c r="C1346" s="6" t="s">
        <v>23</v>
      </c>
      <c r="D1346" s="6" t="s">
        <v>63</v>
      </c>
      <c r="E1346" s="7" t="s">
        <v>425</v>
      </c>
    </row>
    <row r="1347" spans="1:5" x14ac:dyDescent="0.25">
      <c r="A1347" s="11" t="s">
        <v>1496</v>
      </c>
      <c r="B1347" s="5" t="s">
        <v>1495</v>
      </c>
      <c r="C1347" s="12" t="s">
        <v>23</v>
      </c>
      <c r="D1347" s="12" t="s">
        <v>63</v>
      </c>
      <c r="E1347" s="7" t="s">
        <v>89</v>
      </c>
    </row>
    <row r="1348" spans="1:5" x14ac:dyDescent="0.25">
      <c r="A1348" s="11" t="s">
        <v>1498</v>
      </c>
      <c r="B1348" s="10" t="s">
        <v>1497</v>
      </c>
      <c r="C1348" s="12" t="s">
        <v>23</v>
      </c>
      <c r="D1348" s="12" t="s">
        <v>63</v>
      </c>
      <c r="E1348" s="7" t="s">
        <v>92</v>
      </c>
    </row>
    <row r="1349" spans="1:5" x14ac:dyDescent="0.25">
      <c r="A1349" s="11" t="s">
        <v>3047</v>
      </c>
      <c r="B1349" s="5" t="s">
        <v>3816</v>
      </c>
      <c r="C1349" s="12" t="s">
        <v>23</v>
      </c>
      <c r="D1349" s="12" t="s">
        <v>4445</v>
      </c>
      <c r="E1349" s="7" t="s">
        <v>4443</v>
      </c>
    </row>
    <row r="1350" spans="1:5" x14ac:dyDescent="0.25">
      <c r="A1350" s="4" t="s">
        <v>1500</v>
      </c>
      <c r="B1350" s="5" t="s">
        <v>1499</v>
      </c>
      <c r="C1350" s="6" t="s">
        <v>23</v>
      </c>
      <c r="D1350" s="6" t="s">
        <v>24</v>
      </c>
      <c r="E1350" s="7" t="s">
        <v>4446</v>
      </c>
    </row>
    <row r="1351" spans="1:5" x14ac:dyDescent="0.25">
      <c r="A1351" s="11" t="s">
        <v>1502</v>
      </c>
      <c r="B1351" s="5" t="s">
        <v>1501</v>
      </c>
      <c r="C1351" s="12" t="s">
        <v>23</v>
      </c>
      <c r="D1351" s="12" t="s">
        <v>24</v>
      </c>
      <c r="E1351" s="7" t="s">
        <v>4447</v>
      </c>
    </row>
    <row r="1352" spans="1:5" x14ac:dyDescent="0.25">
      <c r="A1352" s="4" t="s">
        <v>1504</v>
      </c>
      <c r="B1352" s="5" t="s">
        <v>1503</v>
      </c>
      <c r="C1352" s="6" t="s">
        <v>23</v>
      </c>
      <c r="D1352" s="6" t="s">
        <v>24</v>
      </c>
      <c r="E1352" s="7" t="s">
        <v>4448</v>
      </c>
    </row>
    <row r="1353" spans="1:5" x14ac:dyDescent="0.25">
      <c r="A1353" s="11" t="s">
        <v>3011</v>
      </c>
      <c r="B1353" s="5" t="s">
        <v>3779</v>
      </c>
      <c r="C1353" s="12" t="s">
        <v>23</v>
      </c>
      <c r="D1353" s="12" t="s">
        <v>4445</v>
      </c>
      <c r="E1353" s="7" t="s">
        <v>4443</v>
      </c>
    </row>
    <row r="1354" spans="1:5" x14ac:dyDescent="0.25">
      <c r="A1354" s="11" t="s">
        <v>3180</v>
      </c>
      <c r="B1354" s="5" t="s">
        <v>3950</v>
      </c>
      <c r="C1354" s="12" t="s">
        <v>23</v>
      </c>
      <c r="D1354" s="12" t="s">
        <v>4445</v>
      </c>
      <c r="E1354" s="7" t="s">
        <v>4443</v>
      </c>
    </row>
    <row r="1355" spans="1:5" x14ac:dyDescent="0.25">
      <c r="A1355" s="4" t="s">
        <v>3155</v>
      </c>
      <c r="B1355" s="5" t="s">
        <v>3925</v>
      </c>
      <c r="C1355" s="6" t="s">
        <v>23</v>
      </c>
      <c r="D1355" s="6" t="s">
        <v>4445</v>
      </c>
      <c r="E1355" s="7" t="s">
        <v>4443</v>
      </c>
    </row>
    <row r="1356" spans="1:5" x14ac:dyDescent="0.25">
      <c r="A1356" s="11" t="s">
        <v>3149</v>
      </c>
      <c r="B1356" s="5" t="s">
        <v>3919</v>
      </c>
      <c r="C1356" s="12" t="s">
        <v>23</v>
      </c>
      <c r="D1356" s="12" t="s">
        <v>4445</v>
      </c>
      <c r="E1356" s="7" t="s">
        <v>4443</v>
      </c>
    </row>
    <row r="1357" spans="1:5" x14ac:dyDescent="0.25">
      <c r="A1357" s="11" t="s">
        <v>2906</v>
      </c>
      <c r="B1357" s="5" t="s">
        <v>3666</v>
      </c>
      <c r="C1357" s="12" t="s">
        <v>23</v>
      </c>
      <c r="D1357" s="12" t="s">
        <v>4445</v>
      </c>
      <c r="E1357" s="7" t="s">
        <v>4443</v>
      </c>
    </row>
    <row r="1358" spans="1:5" x14ac:dyDescent="0.25">
      <c r="A1358" s="4" t="s">
        <v>3526</v>
      </c>
      <c r="B1358" s="5" t="s">
        <v>4300</v>
      </c>
      <c r="C1358" s="6" t="s">
        <v>23</v>
      </c>
      <c r="D1358" s="6" t="s">
        <v>4445</v>
      </c>
      <c r="E1358" s="7" t="s">
        <v>4443</v>
      </c>
    </row>
    <row r="1359" spans="1:5" x14ac:dyDescent="0.25">
      <c r="A1359" s="4" t="s">
        <v>3470</v>
      </c>
      <c r="B1359" s="5" t="s">
        <v>4244</v>
      </c>
      <c r="C1359" s="6" t="s">
        <v>23</v>
      </c>
      <c r="D1359" s="6" t="s">
        <v>4445</v>
      </c>
      <c r="E1359" s="7" t="s">
        <v>4443</v>
      </c>
    </row>
    <row r="1360" spans="1:5" x14ac:dyDescent="0.25">
      <c r="A1360" s="4" t="s">
        <v>3502</v>
      </c>
      <c r="B1360" s="5" t="s">
        <v>4276</v>
      </c>
      <c r="C1360" s="6" t="s">
        <v>23</v>
      </c>
      <c r="D1360" s="6" t="s">
        <v>4445</v>
      </c>
      <c r="E1360" s="7" t="s">
        <v>4443</v>
      </c>
    </row>
    <row r="1361" spans="1:5" x14ac:dyDescent="0.25">
      <c r="A1361" s="4" t="s">
        <v>3156</v>
      </c>
      <c r="B1361" s="5" t="s">
        <v>3926</v>
      </c>
      <c r="C1361" s="6" t="s">
        <v>23</v>
      </c>
      <c r="D1361" s="6" t="s">
        <v>4445</v>
      </c>
      <c r="E1361" s="7" t="s">
        <v>4443</v>
      </c>
    </row>
    <row r="1362" spans="1:5" x14ac:dyDescent="0.25">
      <c r="A1362" s="4" t="s">
        <v>3150</v>
      </c>
      <c r="B1362" s="5" t="s">
        <v>3920</v>
      </c>
      <c r="C1362" s="6" t="s">
        <v>23</v>
      </c>
      <c r="D1362" s="6" t="s">
        <v>4445</v>
      </c>
      <c r="E1362" s="7" t="s">
        <v>4443</v>
      </c>
    </row>
    <row r="1363" spans="1:5" x14ac:dyDescent="0.25">
      <c r="A1363" s="11" t="s">
        <v>2907</v>
      </c>
      <c r="B1363" s="5" t="s">
        <v>3667</v>
      </c>
      <c r="C1363" s="12" t="s">
        <v>23</v>
      </c>
      <c r="D1363" s="12" t="s">
        <v>4445</v>
      </c>
      <c r="E1363" s="7" t="s">
        <v>4443</v>
      </c>
    </row>
    <row r="1364" spans="1:5" x14ac:dyDescent="0.25">
      <c r="A1364" s="11" t="s">
        <v>3157</v>
      </c>
      <c r="B1364" s="5" t="s">
        <v>3927</v>
      </c>
      <c r="C1364" s="12" t="s">
        <v>23</v>
      </c>
      <c r="D1364" s="12" t="s">
        <v>4445</v>
      </c>
      <c r="E1364" s="7" t="s">
        <v>4443</v>
      </c>
    </row>
    <row r="1365" spans="1:5" x14ac:dyDescent="0.25">
      <c r="A1365" s="4" t="s">
        <v>3151</v>
      </c>
      <c r="B1365" s="5" t="s">
        <v>3921</v>
      </c>
      <c r="C1365" s="6" t="s">
        <v>23</v>
      </c>
      <c r="D1365" s="6" t="s">
        <v>4445</v>
      </c>
      <c r="E1365" s="7" t="s">
        <v>4443</v>
      </c>
    </row>
    <row r="1366" spans="1:5" x14ac:dyDescent="0.25">
      <c r="A1366" s="4" t="s">
        <v>2908</v>
      </c>
      <c r="B1366" s="5" t="s">
        <v>3668</v>
      </c>
      <c r="C1366" s="6" t="s">
        <v>23</v>
      </c>
      <c r="D1366" s="6" t="s">
        <v>4445</v>
      </c>
      <c r="E1366" s="7" t="s">
        <v>4443</v>
      </c>
    </row>
    <row r="1367" spans="1:5" x14ac:dyDescent="0.25">
      <c r="A1367" s="4" t="s">
        <v>3471</v>
      </c>
      <c r="B1367" s="5" t="s">
        <v>4245</v>
      </c>
      <c r="C1367" s="6" t="s">
        <v>23</v>
      </c>
      <c r="D1367" s="6" t="s">
        <v>4445</v>
      </c>
      <c r="E1367" s="7" t="s">
        <v>4443</v>
      </c>
    </row>
    <row r="1368" spans="1:5" x14ac:dyDescent="0.25">
      <c r="A1368" s="4" t="s">
        <v>3472</v>
      </c>
      <c r="B1368" s="5" t="s">
        <v>4246</v>
      </c>
      <c r="C1368" s="6" t="s">
        <v>23</v>
      </c>
      <c r="D1368" s="6" t="s">
        <v>4445</v>
      </c>
      <c r="E1368" s="7" t="s">
        <v>4443</v>
      </c>
    </row>
    <row r="1369" spans="1:5" x14ac:dyDescent="0.25">
      <c r="A1369" s="4" t="s">
        <v>3552</v>
      </c>
      <c r="B1369" s="5" t="s">
        <v>4327</v>
      </c>
      <c r="C1369" s="6" t="s">
        <v>23</v>
      </c>
      <c r="D1369" s="6" t="s">
        <v>4445</v>
      </c>
      <c r="E1369" s="7" t="s">
        <v>4443</v>
      </c>
    </row>
    <row r="1370" spans="1:5" x14ac:dyDescent="0.25">
      <c r="A1370" s="4" t="s">
        <v>1506</v>
      </c>
      <c r="B1370" s="5" t="s">
        <v>1505</v>
      </c>
      <c r="C1370" s="6" t="s">
        <v>23</v>
      </c>
      <c r="D1370" s="6" t="s">
        <v>63</v>
      </c>
      <c r="E1370" s="7" t="s">
        <v>64</v>
      </c>
    </row>
    <row r="1371" spans="1:5" x14ac:dyDescent="0.25">
      <c r="A1371" s="4" t="s">
        <v>3158</v>
      </c>
      <c r="B1371" s="5" t="s">
        <v>3928</v>
      </c>
      <c r="C1371" s="6" t="s">
        <v>23</v>
      </c>
      <c r="D1371" s="6" t="s">
        <v>4445</v>
      </c>
      <c r="E1371" s="7" t="s">
        <v>4443</v>
      </c>
    </row>
    <row r="1372" spans="1:5" x14ac:dyDescent="0.25">
      <c r="A1372" s="11" t="s">
        <v>3152</v>
      </c>
      <c r="B1372" s="5" t="s">
        <v>3922</v>
      </c>
      <c r="C1372" s="12" t="s">
        <v>23</v>
      </c>
      <c r="D1372" s="12" t="s">
        <v>4445</v>
      </c>
      <c r="E1372" s="7" t="s">
        <v>4443</v>
      </c>
    </row>
    <row r="1373" spans="1:5" x14ac:dyDescent="0.25">
      <c r="A1373" s="11" t="s">
        <v>3230</v>
      </c>
      <c r="B1373" s="5" t="s">
        <v>4000</v>
      </c>
      <c r="C1373" s="12" t="s">
        <v>23</v>
      </c>
      <c r="D1373" s="12" t="s">
        <v>4445</v>
      </c>
      <c r="E1373" s="7" t="s">
        <v>4443</v>
      </c>
    </row>
    <row r="1374" spans="1:5" x14ac:dyDescent="0.25">
      <c r="A1374" s="11" t="s">
        <v>3232</v>
      </c>
      <c r="B1374" s="5" t="s">
        <v>4002</v>
      </c>
      <c r="C1374" s="12" t="s">
        <v>23</v>
      </c>
      <c r="D1374" s="12" t="s">
        <v>4445</v>
      </c>
      <c r="E1374" s="7" t="s">
        <v>4443</v>
      </c>
    </row>
    <row r="1375" spans="1:5" x14ac:dyDescent="0.25">
      <c r="A1375" s="11" t="s">
        <v>3231</v>
      </c>
      <c r="B1375" s="5" t="s">
        <v>4001</v>
      </c>
      <c r="C1375" s="12" t="s">
        <v>23</v>
      </c>
      <c r="D1375" s="12" t="s">
        <v>4445</v>
      </c>
      <c r="E1375" s="7" t="s">
        <v>4443</v>
      </c>
    </row>
    <row r="1376" spans="1:5" x14ac:dyDescent="0.25">
      <c r="A1376" s="4" t="s">
        <v>2911</v>
      </c>
      <c r="B1376" s="5" t="s">
        <v>3671</v>
      </c>
      <c r="C1376" s="6" t="s">
        <v>23</v>
      </c>
      <c r="D1376" s="6" t="s">
        <v>4445</v>
      </c>
      <c r="E1376" s="7" t="s">
        <v>4443</v>
      </c>
    </row>
    <row r="1377" spans="1:5" x14ac:dyDescent="0.25">
      <c r="A1377" s="4" t="s">
        <v>3040</v>
      </c>
      <c r="B1377" s="5" t="s">
        <v>3809</v>
      </c>
      <c r="C1377" s="6" t="s">
        <v>23</v>
      </c>
      <c r="D1377" s="6" t="s">
        <v>4445</v>
      </c>
      <c r="E1377" s="7" t="s">
        <v>4443</v>
      </c>
    </row>
    <row r="1378" spans="1:5" x14ac:dyDescent="0.25">
      <c r="A1378" s="4" t="s">
        <v>3473</v>
      </c>
      <c r="B1378" s="5" t="s">
        <v>4247</v>
      </c>
      <c r="C1378" s="6" t="s">
        <v>23</v>
      </c>
      <c r="D1378" s="6" t="s">
        <v>4445</v>
      </c>
      <c r="E1378" s="7" t="s">
        <v>4443</v>
      </c>
    </row>
    <row r="1379" spans="1:5" x14ac:dyDescent="0.25">
      <c r="A1379" s="4" t="s">
        <v>2909</v>
      </c>
      <c r="B1379" s="5" t="s">
        <v>3669</v>
      </c>
      <c r="C1379" s="6" t="s">
        <v>23</v>
      </c>
      <c r="D1379" s="6" t="s">
        <v>4445</v>
      </c>
      <c r="E1379" s="7" t="s">
        <v>4443</v>
      </c>
    </row>
    <row r="1380" spans="1:5" x14ac:dyDescent="0.25">
      <c r="A1380" s="4" t="s">
        <v>3159</v>
      </c>
      <c r="B1380" s="5" t="s">
        <v>3929</v>
      </c>
      <c r="C1380" s="6" t="s">
        <v>23</v>
      </c>
      <c r="D1380" s="6" t="s">
        <v>4445</v>
      </c>
      <c r="E1380" s="7" t="s">
        <v>4443</v>
      </c>
    </row>
    <row r="1381" spans="1:5" x14ac:dyDescent="0.25">
      <c r="A1381" s="4" t="s">
        <v>3153</v>
      </c>
      <c r="B1381" s="5" t="s">
        <v>3923</v>
      </c>
      <c r="C1381" s="6" t="s">
        <v>23</v>
      </c>
      <c r="D1381" s="6" t="s">
        <v>4445</v>
      </c>
      <c r="E1381" s="7" t="s">
        <v>4443</v>
      </c>
    </row>
    <row r="1382" spans="1:5" x14ac:dyDescent="0.25">
      <c r="A1382" s="4" t="s">
        <v>3160</v>
      </c>
      <c r="B1382" s="5" t="s">
        <v>3930</v>
      </c>
      <c r="C1382" s="6" t="s">
        <v>23</v>
      </c>
      <c r="D1382" s="6" t="s">
        <v>4445</v>
      </c>
      <c r="E1382" s="7" t="s">
        <v>4443</v>
      </c>
    </row>
    <row r="1383" spans="1:5" x14ac:dyDescent="0.25">
      <c r="A1383" s="4" t="s">
        <v>3154</v>
      </c>
      <c r="B1383" s="5" t="s">
        <v>3924</v>
      </c>
      <c r="C1383" s="6" t="s">
        <v>23</v>
      </c>
      <c r="D1383" s="6" t="s">
        <v>4445</v>
      </c>
      <c r="E1383" s="7" t="s">
        <v>4443</v>
      </c>
    </row>
    <row r="1384" spans="1:5" x14ac:dyDescent="0.25">
      <c r="A1384" s="4" t="s">
        <v>3474</v>
      </c>
      <c r="B1384" s="5" t="s">
        <v>4248</v>
      </c>
      <c r="C1384" s="6" t="s">
        <v>23</v>
      </c>
      <c r="D1384" s="6" t="s">
        <v>4445</v>
      </c>
      <c r="E1384" s="7" t="s">
        <v>4443</v>
      </c>
    </row>
    <row r="1385" spans="1:5" x14ac:dyDescent="0.25">
      <c r="A1385" s="4" t="s">
        <v>3475</v>
      </c>
      <c r="B1385" s="5" t="s">
        <v>4249</v>
      </c>
      <c r="C1385" s="6" t="s">
        <v>23</v>
      </c>
      <c r="D1385" s="6" t="s">
        <v>4445</v>
      </c>
      <c r="E1385" s="7" t="s">
        <v>4443</v>
      </c>
    </row>
    <row r="1386" spans="1:5" x14ac:dyDescent="0.25">
      <c r="A1386" s="4" t="s">
        <v>3312</v>
      </c>
      <c r="B1386" s="5" t="s">
        <v>4085</v>
      </c>
      <c r="C1386" s="6" t="s">
        <v>23</v>
      </c>
      <c r="D1386" s="6" t="s">
        <v>4445</v>
      </c>
      <c r="E1386" s="7" t="s">
        <v>89</v>
      </c>
    </row>
    <row r="1387" spans="1:5" x14ac:dyDescent="0.25">
      <c r="A1387" s="4" t="s">
        <v>3311</v>
      </c>
      <c r="B1387" s="5" t="s">
        <v>4084</v>
      </c>
      <c r="C1387" s="6" t="s">
        <v>23</v>
      </c>
      <c r="D1387" s="6" t="s">
        <v>4445</v>
      </c>
      <c r="E1387" s="7" t="s">
        <v>86</v>
      </c>
    </row>
    <row r="1388" spans="1:5" x14ac:dyDescent="0.25">
      <c r="A1388" s="4" t="s">
        <v>3310</v>
      </c>
      <c r="B1388" s="5" t="s">
        <v>4083</v>
      </c>
      <c r="C1388" s="6" t="s">
        <v>23</v>
      </c>
      <c r="D1388" s="6" t="s">
        <v>4445</v>
      </c>
      <c r="E1388" s="7" t="s">
        <v>64</v>
      </c>
    </row>
    <row r="1389" spans="1:5" x14ac:dyDescent="0.25">
      <c r="A1389" s="4" t="s">
        <v>1508</v>
      </c>
      <c r="B1389" s="5" t="s">
        <v>1507</v>
      </c>
      <c r="C1389" s="6" t="s">
        <v>23</v>
      </c>
      <c r="D1389" s="6" t="s">
        <v>63</v>
      </c>
      <c r="E1389" s="7" t="s">
        <v>67</v>
      </c>
    </row>
    <row r="1390" spans="1:5" x14ac:dyDescent="0.25">
      <c r="A1390" s="4" t="s">
        <v>1510</v>
      </c>
      <c r="B1390" s="5" t="s">
        <v>1509</v>
      </c>
      <c r="C1390" s="6" t="s">
        <v>23</v>
      </c>
      <c r="D1390" s="6" t="s">
        <v>63</v>
      </c>
      <c r="E1390" s="7" t="s">
        <v>64</v>
      </c>
    </row>
    <row r="1391" spans="1:5" x14ac:dyDescent="0.25">
      <c r="A1391" s="4" t="s">
        <v>1512</v>
      </c>
      <c r="B1391" s="5" t="s">
        <v>1511</v>
      </c>
      <c r="C1391" s="6" t="s">
        <v>23</v>
      </c>
      <c r="D1391" s="6" t="s">
        <v>24</v>
      </c>
      <c r="E1391" s="7" t="s">
        <v>4446</v>
      </c>
    </row>
    <row r="1392" spans="1:5" x14ac:dyDescent="0.25">
      <c r="A1392" s="4" t="s">
        <v>1514</v>
      </c>
      <c r="B1392" s="5" t="s">
        <v>1513</v>
      </c>
      <c r="C1392" s="6" t="s">
        <v>23</v>
      </c>
      <c r="D1392" s="6" t="s">
        <v>24</v>
      </c>
      <c r="E1392" s="7" t="s">
        <v>4447</v>
      </c>
    </row>
    <row r="1393" spans="1:5" x14ac:dyDescent="0.25">
      <c r="A1393" s="4" t="s">
        <v>1516</v>
      </c>
      <c r="B1393" s="5" t="s">
        <v>1515</v>
      </c>
      <c r="C1393" s="6" t="s">
        <v>23</v>
      </c>
      <c r="D1393" s="6" t="s">
        <v>24</v>
      </c>
      <c r="E1393" s="7" t="s">
        <v>4448</v>
      </c>
    </row>
    <row r="1394" spans="1:5" x14ac:dyDescent="0.25">
      <c r="A1394" s="11" t="s">
        <v>1518</v>
      </c>
      <c r="B1394" s="5" t="s">
        <v>1517</v>
      </c>
      <c r="C1394" s="12" t="s">
        <v>23</v>
      </c>
      <c r="D1394" s="12" t="s">
        <v>24</v>
      </c>
      <c r="E1394" s="7" t="s">
        <v>4450</v>
      </c>
    </row>
    <row r="1395" spans="1:5" x14ac:dyDescent="0.25">
      <c r="A1395" s="11" t="s">
        <v>1520</v>
      </c>
      <c r="B1395" s="5" t="s">
        <v>1519</v>
      </c>
      <c r="C1395" s="12" t="s">
        <v>23</v>
      </c>
      <c r="D1395" s="12" t="s">
        <v>24</v>
      </c>
      <c r="E1395" s="7" t="s">
        <v>4447</v>
      </c>
    </row>
    <row r="1396" spans="1:5" x14ac:dyDescent="0.25">
      <c r="A1396" s="11" t="s">
        <v>1522</v>
      </c>
      <c r="B1396" s="5" t="s">
        <v>1521</v>
      </c>
      <c r="C1396" s="12" t="s">
        <v>23</v>
      </c>
      <c r="D1396" s="12" t="s">
        <v>24</v>
      </c>
      <c r="E1396" s="7" t="s">
        <v>4455</v>
      </c>
    </row>
    <row r="1397" spans="1:5" x14ac:dyDescent="0.25">
      <c r="A1397" s="11" t="s">
        <v>1524</v>
      </c>
      <c r="B1397" s="5" t="s">
        <v>1523</v>
      </c>
      <c r="C1397" s="12" t="s">
        <v>23</v>
      </c>
      <c r="D1397" s="12" t="s">
        <v>24</v>
      </c>
      <c r="E1397" s="7" t="s">
        <v>4457</v>
      </c>
    </row>
    <row r="1398" spans="1:5" x14ac:dyDescent="0.25">
      <c r="A1398" s="4" t="s">
        <v>3181</v>
      </c>
      <c r="B1398" s="5" t="s">
        <v>3951</v>
      </c>
      <c r="C1398" s="6" t="s">
        <v>23</v>
      </c>
      <c r="D1398" s="6" t="s">
        <v>4445</v>
      </c>
      <c r="E1398" s="7" t="s">
        <v>4443</v>
      </c>
    </row>
    <row r="1399" spans="1:5" x14ac:dyDescent="0.25">
      <c r="A1399" s="4" t="s">
        <v>1526</v>
      </c>
      <c r="B1399" s="5" t="s">
        <v>1525</v>
      </c>
      <c r="C1399" s="6" t="s">
        <v>23</v>
      </c>
      <c r="D1399" s="6" t="s">
        <v>24</v>
      </c>
      <c r="E1399" s="7" t="s">
        <v>4447</v>
      </c>
    </row>
    <row r="1400" spans="1:5" x14ac:dyDescent="0.25">
      <c r="A1400" s="4" t="s">
        <v>1528</v>
      </c>
      <c r="B1400" s="5" t="s">
        <v>1527</v>
      </c>
      <c r="C1400" s="6" t="s">
        <v>23</v>
      </c>
      <c r="D1400" s="6" t="s">
        <v>24</v>
      </c>
      <c r="E1400" s="7" t="s">
        <v>4448</v>
      </c>
    </row>
    <row r="1401" spans="1:5" x14ac:dyDescent="0.25">
      <c r="A1401" s="4" t="s">
        <v>1530</v>
      </c>
      <c r="B1401" s="5" t="s">
        <v>1529</v>
      </c>
      <c r="C1401" s="6" t="s">
        <v>23</v>
      </c>
      <c r="D1401" s="6" t="s">
        <v>24</v>
      </c>
      <c r="E1401" s="7" t="s">
        <v>4449</v>
      </c>
    </row>
    <row r="1402" spans="1:5" x14ac:dyDescent="0.25">
      <c r="A1402" s="4" t="s">
        <v>1532</v>
      </c>
      <c r="B1402" s="5" t="s">
        <v>1531</v>
      </c>
      <c r="C1402" s="6" t="s">
        <v>23</v>
      </c>
      <c r="D1402" s="6" t="s">
        <v>24</v>
      </c>
      <c r="E1402" s="7" t="s">
        <v>4448</v>
      </c>
    </row>
    <row r="1403" spans="1:5" x14ac:dyDescent="0.25">
      <c r="A1403" s="4" t="s">
        <v>1534</v>
      </c>
      <c r="B1403" s="5" t="s">
        <v>1533</v>
      </c>
      <c r="C1403" s="12" t="s">
        <v>23</v>
      </c>
      <c r="D1403" s="12" t="s">
        <v>24</v>
      </c>
      <c r="E1403" s="7" t="s">
        <v>4448</v>
      </c>
    </row>
    <row r="1404" spans="1:5" x14ac:dyDescent="0.25">
      <c r="A1404" s="4" t="s">
        <v>1536</v>
      </c>
      <c r="B1404" s="5" t="s">
        <v>1535</v>
      </c>
      <c r="C1404" s="6" t="s">
        <v>23</v>
      </c>
      <c r="D1404" s="6" t="s">
        <v>24</v>
      </c>
      <c r="E1404" s="7" t="s">
        <v>4449</v>
      </c>
    </row>
    <row r="1405" spans="1:5" x14ac:dyDescent="0.25">
      <c r="A1405" s="4" t="s">
        <v>1538</v>
      </c>
      <c r="B1405" s="5" t="s">
        <v>1537</v>
      </c>
      <c r="C1405" s="6" t="s">
        <v>23</v>
      </c>
      <c r="D1405" s="6" t="s">
        <v>24</v>
      </c>
      <c r="E1405" s="7" t="s">
        <v>4450</v>
      </c>
    </row>
    <row r="1406" spans="1:5" x14ac:dyDescent="0.25">
      <c r="A1406" s="4" t="s">
        <v>1540</v>
      </c>
      <c r="B1406" s="5" t="s">
        <v>1539</v>
      </c>
      <c r="C1406" s="6" t="s">
        <v>23</v>
      </c>
      <c r="D1406" s="6" t="s">
        <v>24</v>
      </c>
      <c r="E1406" s="7" t="s">
        <v>4451</v>
      </c>
    </row>
    <row r="1407" spans="1:5" x14ac:dyDescent="0.25">
      <c r="A1407" s="4" t="s">
        <v>1542</v>
      </c>
      <c r="B1407" s="5" t="s">
        <v>1541</v>
      </c>
      <c r="C1407" s="6" t="s">
        <v>23</v>
      </c>
      <c r="D1407" s="6" t="s">
        <v>24</v>
      </c>
      <c r="E1407" s="7" t="s">
        <v>4453</v>
      </c>
    </row>
    <row r="1408" spans="1:5" x14ac:dyDescent="0.25">
      <c r="A1408" s="4" t="s">
        <v>1544</v>
      </c>
      <c r="B1408" s="5" t="s">
        <v>1543</v>
      </c>
      <c r="C1408" s="6" t="s">
        <v>23</v>
      </c>
      <c r="D1408" s="6" t="s">
        <v>24</v>
      </c>
      <c r="E1408" s="7" t="s">
        <v>4447</v>
      </c>
    </row>
    <row r="1409" spans="1:5" x14ac:dyDescent="0.25">
      <c r="A1409" s="4" t="s">
        <v>1546</v>
      </c>
      <c r="B1409" s="5" t="s">
        <v>1545</v>
      </c>
      <c r="C1409" s="6" t="s">
        <v>23</v>
      </c>
      <c r="D1409" s="6" t="s">
        <v>24</v>
      </c>
      <c r="E1409" s="7" t="s">
        <v>4448</v>
      </c>
    </row>
    <row r="1410" spans="1:5" x14ac:dyDescent="0.25">
      <c r="A1410" s="4" t="s">
        <v>1548</v>
      </c>
      <c r="B1410" s="5" t="s">
        <v>1547</v>
      </c>
      <c r="C1410" s="6" t="s">
        <v>23</v>
      </c>
      <c r="D1410" s="6" t="s">
        <v>24</v>
      </c>
      <c r="E1410" s="7" t="s">
        <v>4450</v>
      </c>
    </row>
    <row r="1411" spans="1:5" x14ac:dyDescent="0.25">
      <c r="A1411" s="4" t="s">
        <v>1550</v>
      </c>
      <c r="B1411" s="5" t="s">
        <v>1549</v>
      </c>
      <c r="C1411" s="6" t="s">
        <v>23</v>
      </c>
      <c r="D1411" s="6" t="s">
        <v>24</v>
      </c>
      <c r="E1411" s="7" t="s">
        <v>4451</v>
      </c>
    </row>
    <row r="1412" spans="1:5" x14ac:dyDescent="0.25">
      <c r="A1412" s="4" t="s">
        <v>1552</v>
      </c>
      <c r="B1412" s="8" t="s">
        <v>1551</v>
      </c>
      <c r="C1412" s="6" t="s">
        <v>23</v>
      </c>
      <c r="D1412" s="6" t="s">
        <v>24</v>
      </c>
      <c r="E1412" s="7" t="s">
        <v>4452</v>
      </c>
    </row>
    <row r="1413" spans="1:5" x14ac:dyDescent="0.25">
      <c r="A1413" s="4" t="s">
        <v>1554</v>
      </c>
      <c r="B1413" s="5" t="s">
        <v>1553</v>
      </c>
      <c r="C1413" s="6" t="s">
        <v>23</v>
      </c>
      <c r="D1413" s="6" t="s">
        <v>63</v>
      </c>
      <c r="E1413" s="7" t="s">
        <v>67</v>
      </c>
    </row>
    <row r="1414" spans="1:5" x14ac:dyDescent="0.25">
      <c r="A1414" s="4" t="s">
        <v>1556</v>
      </c>
      <c r="B1414" s="5" t="s">
        <v>1555</v>
      </c>
      <c r="C1414" s="6" t="s">
        <v>23</v>
      </c>
      <c r="D1414" s="6" t="s">
        <v>24</v>
      </c>
      <c r="E1414" s="7" t="s">
        <v>4453</v>
      </c>
    </row>
    <row r="1415" spans="1:5" x14ac:dyDescent="0.25">
      <c r="A1415" s="74" t="s">
        <v>7625</v>
      </c>
      <c r="B1415" s="108" t="s">
        <v>1557</v>
      </c>
      <c r="C1415" s="73" t="s">
        <v>23</v>
      </c>
      <c r="D1415" s="73" t="s">
        <v>63</v>
      </c>
      <c r="E1415" s="1716" t="s">
        <v>4451</v>
      </c>
    </row>
    <row r="1416" spans="1:5" x14ac:dyDescent="0.25">
      <c r="A1416" s="4" t="s">
        <v>1558</v>
      </c>
      <c r="B1416" s="5" t="s">
        <v>1557</v>
      </c>
      <c r="C1416" s="6" t="s">
        <v>23</v>
      </c>
      <c r="D1416" s="6" t="s">
        <v>24</v>
      </c>
      <c r="E1416" s="7" t="s">
        <v>4451</v>
      </c>
    </row>
    <row r="1417" spans="1:5" x14ac:dyDescent="0.25">
      <c r="A1417" s="4" t="s">
        <v>1560</v>
      </c>
      <c r="B1417" s="5" t="s">
        <v>1559</v>
      </c>
      <c r="C1417" s="6" t="s">
        <v>23</v>
      </c>
      <c r="D1417" s="6" t="s">
        <v>24</v>
      </c>
      <c r="E1417" s="7" t="s">
        <v>4453</v>
      </c>
    </row>
    <row r="1418" spans="1:5" x14ac:dyDescent="0.25">
      <c r="A1418" s="4" t="s">
        <v>1562</v>
      </c>
      <c r="B1418" s="5" t="s">
        <v>1561</v>
      </c>
      <c r="C1418" s="6" t="s">
        <v>23</v>
      </c>
      <c r="D1418" s="6" t="s">
        <v>24</v>
      </c>
      <c r="E1418" s="7" t="s">
        <v>4447</v>
      </c>
    </row>
    <row r="1419" spans="1:5" x14ac:dyDescent="0.25">
      <c r="A1419" s="4" t="s">
        <v>1564</v>
      </c>
      <c r="B1419" s="5" t="s">
        <v>1563</v>
      </c>
      <c r="C1419" s="6" t="s">
        <v>23</v>
      </c>
      <c r="D1419" s="6" t="s">
        <v>24</v>
      </c>
      <c r="E1419" s="7" t="s">
        <v>4450</v>
      </c>
    </row>
    <row r="1420" spans="1:5" x14ac:dyDescent="0.25">
      <c r="A1420" s="4" t="s">
        <v>1566</v>
      </c>
      <c r="B1420" s="5" t="s">
        <v>1565</v>
      </c>
      <c r="C1420" s="6" t="s">
        <v>23</v>
      </c>
      <c r="D1420" s="6" t="s">
        <v>24</v>
      </c>
      <c r="E1420" s="7" t="s">
        <v>4454</v>
      </c>
    </row>
    <row r="1421" spans="1:5" x14ac:dyDescent="0.25">
      <c r="A1421" s="4" t="s">
        <v>1568</v>
      </c>
      <c r="B1421" s="5" t="s">
        <v>1567</v>
      </c>
      <c r="C1421" s="6" t="s">
        <v>23</v>
      </c>
      <c r="D1421" s="6" t="s">
        <v>24</v>
      </c>
      <c r="E1421" s="7" t="s">
        <v>4449</v>
      </c>
    </row>
    <row r="1422" spans="1:5" x14ac:dyDescent="0.25">
      <c r="A1422" s="4" t="s">
        <v>1570</v>
      </c>
      <c r="B1422" s="5" t="s">
        <v>1569</v>
      </c>
      <c r="C1422" s="6" t="s">
        <v>23</v>
      </c>
      <c r="D1422" s="6" t="s">
        <v>24</v>
      </c>
      <c r="E1422" s="7" t="s">
        <v>4447</v>
      </c>
    </row>
    <row r="1423" spans="1:5" x14ac:dyDescent="0.25">
      <c r="A1423" s="4" t="s">
        <v>1572</v>
      </c>
      <c r="B1423" s="5" t="s">
        <v>1571</v>
      </c>
      <c r="C1423" s="6" t="s">
        <v>23</v>
      </c>
      <c r="D1423" s="6" t="s">
        <v>24</v>
      </c>
      <c r="E1423" s="7" t="s">
        <v>4448</v>
      </c>
    </row>
    <row r="1424" spans="1:5" x14ac:dyDescent="0.25">
      <c r="A1424" s="4" t="s">
        <v>1574</v>
      </c>
      <c r="B1424" s="5" t="s">
        <v>1573</v>
      </c>
      <c r="C1424" s="6" t="s">
        <v>23</v>
      </c>
      <c r="D1424" s="6" t="s">
        <v>24</v>
      </c>
      <c r="E1424" s="7" t="s">
        <v>4450</v>
      </c>
    </row>
    <row r="1425" spans="1:5" x14ac:dyDescent="0.25">
      <c r="A1425" s="4" t="s">
        <v>1576</v>
      </c>
      <c r="B1425" s="5" t="s">
        <v>1575</v>
      </c>
      <c r="C1425" s="6" t="s">
        <v>23</v>
      </c>
      <c r="D1425" s="6" t="s">
        <v>24</v>
      </c>
      <c r="E1425" s="7" t="s">
        <v>4451</v>
      </c>
    </row>
    <row r="1426" spans="1:5" x14ac:dyDescent="0.25">
      <c r="A1426" s="4" t="s">
        <v>1578</v>
      </c>
      <c r="B1426" s="5" t="s">
        <v>1577</v>
      </c>
      <c r="C1426" s="6" t="s">
        <v>23</v>
      </c>
      <c r="D1426" s="6" t="s">
        <v>24</v>
      </c>
      <c r="E1426" s="7" t="s">
        <v>4452</v>
      </c>
    </row>
    <row r="1427" spans="1:5" x14ac:dyDescent="0.25">
      <c r="A1427" s="4" t="s">
        <v>3620</v>
      </c>
      <c r="B1427" s="5" t="s">
        <v>4397</v>
      </c>
      <c r="C1427" s="6" t="s">
        <v>23</v>
      </c>
      <c r="D1427" s="6" t="s">
        <v>4445</v>
      </c>
      <c r="E1427" s="7" t="s">
        <v>67</v>
      </c>
    </row>
    <row r="1428" spans="1:5" x14ac:dyDescent="0.25">
      <c r="A1428" s="4" t="s">
        <v>1580</v>
      </c>
      <c r="B1428" s="5" t="s">
        <v>1579</v>
      </c>
      <c r="C1428" s="6" t="s">
        <v>23</v>
      </c>
      <c r="D1428" s="6" t="s">
        <v>24</v>
      </c>
      <c r="E1428" s="7" t="s">
        <v>4447</v>
      </c>
    </row>
    <row r="1429" spans="1:5" x14ac:dyDescent="0.25">
      <c r="A1429" s="4" t="s">
        <v>1582</v>
      </c>
      <c r="B1429" s="5" t="s">
        <v>1581</v>
      </c>
      <c r="C1429" s="6" t="s">
        <v>23</v>
      </c>
      <c r="D1429" s="6" t="s">
        <v>320</v>
      </c>
      <c r="E1429" s="7" t="s">
        <v>4444</v>
      </c>
    </row>
    <row r="1430" spans="1:5" x14ac:dyDescent="0.25">
      <c r="A1430" s="4" t="s">
        <v>1584</v>
      </c>
      <c r="B1430" s="5" t="s">
        <v>1583</v>
      </c>
      <c r="C1430" s="6" t="s">
        <v>23</v>
      </c>
      <c r="D1430" s="6" t="s">
        <v>320</v>
      </c>
      <c r="E1430" s="7" t="s">
        <v>4444</v>
      </c>
    </row>
    <row r="1431" spans="1:5" x14ac:dyDescent="0.25">
      <c r="A1431" s="11" t="s">
        <v>1586</v>
      </c>
      <c r="B1431" s="5" t="s">
        <v>1585</v>
      </c>
      <c r="C1431" s="12" t="s">
        <v>23</v>
      </c>
      <c r="D1431" s="12" t="s">
        <v>320</v>
      </c>
      <c r="E1431" s="9" t="s">
        <v>4444</v>
      </c>
    </row>
    <row r="1432" spans="1:5" x14ac:dyDescent="0.25">
      <c r="A1432" s="4" t="s">
        <v>1588</v>
      </c>
      <c r="B1432" s="5" t="s">
        <v>1587</v>
      </c>
      <c r="C1432" s="6" t="s">
        <v>23</v>
      </c>
      <c r="D1432" s="6" t="s">
        <v>320</v>
      </c>
      <c r="E1432" s="7" t="s">
        <v>4444</v>
      </c>
    </row>
    <row r="1433" spans="1:5" x14ac:dyDescent="0.25">
      <c r="A1433" s="4" t="s">
        <v>1590</v>
      </c>
      <c r="B1433" s="5" t="s">
        <v>1589</v>
      </c>
      <c r="C1433" s="6" t="s">
        <v>23</v>
      </c>
      <c r="D1433" s="6" t="s">
        <v>24</v>
      </c>
      <c r="E1433" s="7" t="s">
        <v>4454</v>
      </c>
    </row>
    <row r="1434" spans="1:5" x14ac:dyDescent="0.25">
      <c r="A1434" s="4" t="s">
        <v>1592</v>
      </c>
      <c r="B1434" s="5" t="s">
        <v>1591</v>
      </c>
      <c r="C1434" s="6" t="s">
        <v>23</v>
      </c>
      <c r="D1434" s="6" t="s">
        <v>24</v>
      </c>
      <c r="E1434" s="7" t="s">
        <v>4452</v>
      </c>
    </row>
    <row r="1435" spans="1:5" x14ac:dyDescent="0.25">
      <c r="A1435" s="11" t="s">
        <v>1594</v>
      </c>
      <c r="B1435" s="5" t="s">
        <v>1593</v>
      </c>
      <c r="C1435" s="12" t="s">
        <v>23</v>
      </c>
      <c r="D1435" s="12" t="s">
        <v>24</v>
      </c>
      <c r="E1435" s="7" t="s">
        <v>4456</v>
      </c>
    </row>
    <row r="1436" spans="1:5" x14ac:dyDescent="0.25">
      <c r="A1436" s="4" t="s">
        <v>1596</v>
      </c>
      <c r="B1436" s="5" t="s">
        <v>1595</v>
      </c>
      <c r="C1436" s="6" t="s">
        <v>23</v>
      </c>
      <c r="D1436" s="6" t="s">
        <v>24</v>
      </c>
      <c r="E1436" s="7" t="s">
        <v>4450</v>
      </c>
    </row>
    <row r="1437" spans="1:5" x14ac:dyDescent="0.25">
      <c r="A1437" s="4" t="s">
        <v>1598</v>
      </c>
      <c r="B1437" s="5" t="s">
        <v>1597</v>
      </c>
      <c r="C1437" s="6" t="s">
        <v>23</v>
      </c>
      <c r="D1437" s="6" t="s">
        <v>24</v>
      </c>
      <c r="E1437" s="7" t="s">
        <v>4449</v>
      </c>
    </row>
    <row r="1438" spans="1:5" x14ac:dyDescent="0.25">
      <c r="A1438" s="4" t="s">
        <v>1600</v>
      </c>
      <c r="B1438" s="5" t="s">
        <v>1599</v>
      </c>
      <c r="C1438" s="6" t="s">
        <v>23</v>
      </c>
      <c r="D1438" s="6" t="s">
        <v>24</v>
      </c>
      <c r="E1438" s="7" t="s">
        <v>4450</v>
      </c>
    </row>
    <row r="1439" spans="1:5" x14ac:dyDescent="0.25">
      <c r="A1439" s="4" t="s">
        <v>1602</v>
      </c>
      <c r="B1439" s="5" t="s">
        <v>1601</v>
      </c>
      <c r="C1439" s="6" t="s">
        <v>23</v>
      </c>
      <c r="D1439" s="6" t="s">
        <v>320</v>
      </c>
      <c r="E1439" s="7" t="s">
        <v>4444</v>
      </c>
    </row>
    <row r="1440" spans="1:5" x14ac:dyDescent="0.25">
      <c r="A1440" s="4" t="s">
        <v>1604</v>
      </c>
      <c r="B1440" s="5" t="s">
        <v>1603</v>
      </c>
      <c r="C1440" s="6" t="s">
        <v>23</v>
      </c>
      <c r="D1440" s="6" t="s">
        <v>320</v>
      </c>
      <c r="E1440" s="7" t="s">
        <v>4444</v>
      </c>
    </row>
    <row r="1441" spans="1:5" x14ac:dyDescent="0.25">
      <c r="A1441" s="4" t="s">
        <v>1606</v>
      </c>
      <c r="B1441" s="5" t="s">
        <v>1605</v>
      </c>
      <c r="C1441" s="6" t="s">
        <v>23</v>
      </c>
      <c r="D1441" s="6" t="s">
        <v>24</v>
      </c>
      <c r="E1441" s="7" t="s">
        <v>4451</v>
      </c>
    </row>
    <row r="1442" spans="1:5" x14ac:dyDescent="0.25">
      <c r="A1442" s="4" t="s">
        <v>1608</v>
      </c>
      <c r="B1442" s="5" t="s">
        <v>1607</v>
      </c>
      <c r="C1442" s="6" t="s">
        <v>23</v>
      </c>
      <c r="D1442" s="6" t="s">
        <v>24</v>
      </c>
      <c r="E1442" s="7" t="s">
        <v>4447</v>
      </c>
    </row>
    <row r="1443" spans="1:5" x14ac:dyDescent="0.25">
      <c r="A1443" s="4" t="s">
        <v>1610</v>
      </c>
      <c r="B1443" s="5" t="s">
        <v>1609</v>
      </c>
      <c r="C1443" s="6" t="s">
        <v>23</v>
      </c>
      <c r="D1443" s="6" t="s">
        <v>24</v>
      </c>
      <c r="E1443" s="7" t="s">
        <v>4447</v>
      </c>
    </row>
    <row r="1444" spans="1:5" x14ac:dyDescent="0.25">
      <c r="A1444" s="4" t="s">
        <v>1612</v>
      </c>
      <c r="B1444" s="5" t="s">
        <v>1611</v>
      </c>
      <c r="C1444" s="6" t="s">
        <v>23</v>
      </c>
      <c r="D1444" s="6" t="s">
        <v>24</v>
      </c>
      <c r="E1444" s="7" t="s">
        <v>4448</v>
      </c>
    </row>
    <row r="1445" spans="1:5" x14ac:dyDescent="0.25">
      <c r="A1445" s="4" t="s">
        <v>1614</v>
      </c>
      <c r="B1445" s="5" t="s">
        <v>1613</v>
      </c>
      <c r="C1445" s="6" t="s">
        <v>23</v>
      </c>
      <c r="D1445" s="6" t="s">
        <v>24</v>
      </c>
      <c r="E1445" s="7" t="s">
        <v>4450</v>
      </c>
    </row>
    <row r="1446" spans="1:5" x14ac:dyDescent="0.25">
      <c r="A1446" s="69" t="s">
        <v>1616</v>
      </c>
      <c r="B1446" s="70" t="s">
        <v>1615</v>
      </c>
      <c r="C1446" s="71" t="s">
        <v>23</v>
      </c>
      <c r="D1446" s="71" t="s">
        <v>320</v>
      </c>
      <c r="E1446" s="72" t="s">
        <v>4444</v>
      </c>
    </row>
    <row r="1447" spans="1:5" x14ac:dyDescent="0.25">
      <c r="A1447" s="4" t="s">
        <v>1618</v>
      </c>
      <c r="B1447" s="5" t="s">
        <v>1617</v>
      </c>
      <c r="C1447" s="6" t="s">
        <v>23</v>
      </c>
      <c r="D1447" s="6" t="s">
        <v>24</v>
      </c>
      <c r="E1447" s="7" t="s">
        <v>4457</v>
      </c>
    </row>
    <row r="1448" spans="1:5" x14ac:dyDescent="0.25">
      <c r="A1448" s="4" t="s">
        <v>1620</v>
      </c>
      <c r="B1448" s="5" t="s">
        <v>1619</v>
      </c>
      <c r="C1448" s="6" t="s">
        <v>23</v>
      </c>
      <c r="D1448" s="6" t="s">
        <v>24</v>
      </c>
      <c r="E1448" s="7" t="s">
        <v>4455</v>
      </c>
    </row>
    <row r="1449" spans="1:5" x14ac:dyDescent="0.25">
      <c r="A1449" s="4" t="s">
        <v>1622</v>
      </c>
      <c r="B1449" s="5" t="s">
        <v>1621</v>
      </c>
      <c r="C1449" s="6" t="s">
        <v>23</v>
      </c>
      <c r="D1449" s="6" t="s">
        <v>24</v>
      </c>
      <c r="E1449" s="7" t="s">
        <v>4449</v>
      </c>
    </row>
    <row r="1450" spans="1:5" x14ac:dyDescent="0.25">
      <c r="A1450" s="4" t="s">
        <v>1624</v>
      </c>
      <c r="B1450" s="5" t="s">
        <v>1623</v>
      </c>
      <c r="C1450" s="6" t="s">
        <v>23</v>
      </c>
      <c r="D1450" s="6" t="s">
        <v>63</v>
      </c>
      <c r="E1450" s="7" t="s">
        <v>98</v>
      </c>
    </row>
    <row r="1451" spans="1:5" x14ac:dyDescent="0.25">
      <c r="A1451" s="4" t="s">
        <v>1626</v>
      </c>
      <c r="B1451" s="5" t="s">
        <v>1625</v>
      </c>
      <c r="C1451" s="6" t="s">
        <v>23</v>
      </c>
      <c r="D1451" s="6" t="s">
        <v>24</v>
      </c>
      <c r="E1451" s="7" t="s">
        <v>4447</v>
      </c>
    </row>
    <row r="1452" spans="1:5" x14ac:dyDescent="0.25">
      <c r="A1452" s="4" t="s">
        <v>1628</v>
      </c>
      <c r="B1452" s="5" t="s">
        <v>1627</v>
      </c>
      <c r="C1452" s="6" t="s">
        <v>23</v>
      </c>
      <c r="D1452" s="6" t="s">
        <v>63</v>
      </c>
      <c r="E1452" s="7" t="s">
        <v>67</v>
      </c>
    </row>
    <row r="1453" spans="1:5" x14ac:dyDescent="0.25">
      <c r="A1453" s="4" t="s">
        <v>4475</v>
      </c>
      <c r="B1453" s="5" t="s">
        <v>4540</v>
      </c>
      <c r="C1453" s="6" t="s">
        <v>23</v>
      </c>
      <c r="D1453" s="6" t="s">
        <v>320</v>
      </c>
      <c r="E1453" s="7" t="s">
        <v>4444</v>
      </c>
    </row>
    <row r="1454" spans="1:5" x14ac:dyDescent="0.25">
      <c r="A1454" s="4" t="s">
        <v>1630</v>
      </c>
      <c r="B1454" s="5" t="s">
        <v>1629</v>
      </c>
      <c r="C1454" s="6" t="s">
        <v>23</v>
      </c>
      <c r="D1454" s="6" t="s">
        <v>320</v>
      </c>
      <c r="E1454" s="7" t="s">
        <v>4444</v>
      </c>
    </row>
    <row r="1455" spans="1:5" x14ac:dyDescent="0.25">
      <c r="A1455" s="4" t="s">
        <v>1632</v>
      </c>
      <c r="B1455" s="5" t="s">
        <v>1631</v>
      </c>
      <c r="C1455" s="6" t="s">
        <v>23</v>
      </c>
      <c r="D1455" s="6" t="s">
        <v>24</v>
      </c>
      <c r="E1455" s="7" t="s">
        <v>4451</v>
      </c>
    </row>
    <row r="1456" spans="1:5" x14ac:dyDescent="0.25">
      <c r="A1456" s="4" t="s">
        <v>1634</v>
      </c>
      <c r="B1456" s="5" t="s">
        <v>1633</v>
      </c>
      <c r="C1456" s="6" t="s">
        <v>23</v>
      </c>
      <c r="D1456" s="6" t="s">
        <v>24</v>
      </c>
      <c r="E1456" s="7" t="s">
        <v>4455</v>
      </c>
    </row>
    <row r="1457" spans="1:5" x14ac:dyDescent="0.25">
      <c r="A1457" s="4" t="s">
        <v>1636</v>
      </c>
      <c r="B1457" s="5" t="s">
        <v>1635</v>
      </c>
      <c r="C1457" s="6" t="s">
        <v>23</v>
      </c>
      <c r="D1457" s="6" t="s">
        <v>320</v>
      </c>
      <c r="E1457" s="7" t="s">
        <v>4444</v>
      </c>
    </row>
    <row r="1458" spans="1:5" x14ac:dyDescent="0.25">
      <c r="A1458" s="4" t="s">
        <v>1638</v>
      </c>
      <c r="B1458" s="5" t="s">
        <v>1637</v>
      </c>
      <c r="C1458" s="6" t="s">
        <v>23</v>
      </c>
      <c r="D1458" s="6" t="s">
        <v>24</v>
      </c>
      <c r="E1458" s="7" t="s">
        <v>4454</v>
      </c>
    </row>
    <row r="1459" spans="1:5" x14ac:dyDescent="0.25">
      <c r="A1459" s="4" t="s">
        <v>1640</v>
      </c>
      <c r="B1459" s="5" t="s">
        <v>1639</v>
      </c>
      <c r="C1459" s="6" t="s">
        <v>23</v>
      </c>
      <c r="D1459" s="6" t="s">
        <v>63</v>
      </c>
      <c r="E1459" s="7" t="s">
        <v>67</v>
      </c>
    </row>
    <row r="1460" spans="1:5" x14ac:dyDescent="0.25">
      <c r="A1460" s="4" t="s">
        <v>1642</v>
      </c>
      <c r="B1460" s="5" t="s">
        <v>1641</v>
      </c>
      <c r="C1460" s="6" t="s">
        <v>23</v>
      </c>
      <c r="D1460" s="6" t="s">
        <v>63</v>
      </c>
      <c r="E1460" s="7" t="s">
        <v>98</v>
      </c>
    </row>
    <row r="1461" spans="1:5" x14ac:dyDescent="0.25">
      <c r="A1461" s="4" t="s">
        <v>1644</v>
      </c>
      <c r="B1461" s="5" t="s">
        <v>1643</v>
      </c>
      <c r="C1461" s="6" t="s">
        <v>23</v>
      </c>
      <c r="D1461" s="6" t="s">
        <v>63</v>
      </c>
      <c r="E1461" s="7" t="s">
        <v>67</v>
      </c>
    </row>
    <row r="1462" spans="1:5" x14ac:dyDescent="0.25">
      <c r="A1462" s="4" t="s">
        <v>1646</v>
      </c>
      <c r="B1462" s="5" t="s">
        <v>1645</v>
      </c>
      <c r="C1462" s="6" t="s">
        <v>23</v>
      </c>
      <c r="D1462" s="6" t="s">
        <v>24</v>
      </c>
      <c r="E1462" s="7" t="s">
        <v>4446</v>
      </c>
    </row>
    <row r="1463" spans="1:5" x14ac:dyDescent="0.25">
      <c r="A1463" s="4" t="s">
        <v>3617</v>
      </c>
      <c r="B1463" s="5" t="s">
        <v>4394</v>
      </c>
      <c r="C1463" s="6" t="s">
        <v>23</v>
      </c>
      <c r="D1463" s="6" t="s">
        <v>24</v>
      </c>
      <c r="E1463" s="7" t="s">
        <v>4447</v>
      </c>
    </row>
    <row r="1464" spans="1:5" x14ac:dyDescent="0.25">
      <c r="A1464" s="4" t="s">
        <v>3619</v>
      </c>
      <c r="B1464" s="5" t="s">
        <v>4396</v>
      </c>
      <c r="C1464" s="6" t="s">
        <v>23</v>
      </c>
      <c r="D1464" s="6" t="s">
        <v>24</v>
      </c>
      <c r="E1464" s="7" t="s">
        <v>4447</v>
      </c>
    </row>
    <row r="1465" spans="1:5" x14ac:dyDescent="0.25">
      <c r="A1465" s="4" t="s">
        <v>3307</v>
      </c>
      <c r="B1465" s="5" t="s">
        <v>4080</v>
      </c>
      <c r="C1465" s="6" t="s">
        <v>23</v>
      </c>
      <c r="D1465" s="6" t="s">
        <v>63</v>
      </c>
      <c r="E1465" s="7" t="s">
        <v>98</v>
      </c>
    </row>
    <row r="1466" spans="1:5" x14ac:dyDescent="0.25">
      <c r="A1466" s="4" t="s">
        <v>1648</v>
      </c>
      <c r="B1466" s="5" t="s">
        <v>1647</v>
      </c>
      <c r="C1466" s="6" t="s">
        <v>23</v>
      </c>
      <c r="D1466" s="6" t="s">
        <v>24</v>
      </c>
      <c r="E1466" s="7" t="s">
        <v>4446</v>
      </c>
    </row>
    <row r="1467" spans="1:5" x14ac:dyDescent="0.25">
      <c r="A1467" s="4" t="s">
        <v>1650</v>
      </c>
      <c r="B1467" s="5" t="s">
        <v>1649</v>
      </c>
      <c r="C1467" s="6" t="s">
        <v>23</v>
      </c>
      <c r="D1467" s="6" t="s">
        <v>63</v>
      </c>
      <c r="E1467" s="7" t="s">
        <v>64</v>
      </c>
    </row>
    <row r="1468" spans="1:5" x14ac:dyDescent="0.25">
      <c r="A1468" s="4" t="s">
        <v>1652</v>
      </c>
      <c r="B1468" s="5" t="s">
        <v>1651</v>
      </c>
      <c r="C1468" s="6" t="s">
        <v>23</v>
      </c>
      <c r="D1468" s="6" t="s">
        <v>24</v>
      </c>
      <c r="E1468" s="7" t="s">
        <v>4446</v>
      </c>
    </row>
    <row r="1469" spans="1:5" x14ac:dyDescent="0.25">
      <c r="A1469" s="4" t="s">
        <v>1654</v>
      </c>
      <c r="B1469" s="5" t="s">
        <v>1653</v>
      </c>
      <c r="C1469" s="6" t="s">
        <v>23</v>
      </c>
      <c r="D1469" s="6" t="s">
        <v>24</v>
      </c>
      <c r="E1469" s="7" t="s">
        <v>4447</v>
      </c>
    </row>
    <row r="1470" spans="1:5" x14ac:dyDescent="0.25">
      <c r="A1470" s="4" t="s">
        <v>1656</v>
      </c>
      <c r="B1470" s="5" t="s">
        <v>1655</v>
      </c>
      <c r="C1470" s="6" t="s">
        <v>23</v>
      </c>
      <c r="D1470" s="6" t="s">
        <v>24</v>
      </c>
      <c r="E1470" s="7" t="s">
        <v>4448</v>
      </c>
    </row>
    <row r="1471" spans="1:5" x14ac:dyDescent="0.25">
      <c r="A1471" s="4" t="s">
        <v>1658</v>
      </c>
      <c r="B1471" s="5" t="s">
        <v>1657</v>
      </c>
      <c r="C1471" s="6" t="s">
        <v>23</v>
      </c>
      <c r="D1471" s="6" t="s">
        <v>24</v>
      </c>
      <c r="E1471" s="7" t="s">
        <v>4446</v>
      </c>
    </row>
    <row r="1472" spans="1:5" x14ac:dyDescent="0.25">
      <c r="A1472" s="11" t="s">
        <v>1660</v>
      </c>
      <c r="B1472" s="5" t="s">
        <v>1659</v>
      </c>
      <c r="C1472" s="12" t="s">
        <v>23</v>
      </c>
      <c r="D1472" s="12" t="s">
        <v>24</v>
      </c>
      <c r="E1472" s="7" t="s">
        <v>4447</v>
      </c>
    </row>
    <row r="1473" spans="1:5" x14ac:dyDescent="0.25">
      <c r="A1473" s="11" t="s">
        <v>1662</v>
      </c>
      <c r="B1473" s="5" t="s">
        <v>1661</v>
      </c>
      <c r="C1473" s="12" t="s">
        <v>23</v>
      </c>
      <c r="D1473" s="12" t="s">
        <v>24</v>
      </c>
      <c r="E1473" s="7" t="s">
        <v>4455</v>
      </c>
    </row>
    <row r="1474" spans="1:5" x14ac:dyDescent="0.25">
      <c r="A1474" s="11" t="s">
        <v>1664</v>
      </c>
      <c r="B1474" s="5" t="s">
        <v>1663</v>
      </c>
      <c r="C1474" s="12" t="s">
        <v>23</v>
      </c>
      <c r="D1474" s="12" t="s">
        <v>24</v>
      </c>
      <c r="E1474" s="7" t="s">
        <v>4449</v>
      </c>
    </row>
    <row r="1475" spans="1:5" x14ac:dyDescent="0.25">
      <c r="A1475" s="11" t="s">
        <v>1666</v>
      </c>
      <c r="B1475" s="5" t="s">
        <v>1665</v>
      </c>
      <c r="C1475" s="12" t="s">
        <v>23</v>
      </c>
      <c r="D1475" s="12" t="s">
        <v>63</v>
      </c>
      <c r="E1475" s="7" t="s">
        <v>67</v>
      </c>
    </row>
    <row r="1476" spans="1:5" x14ac:dyDescent="0.25">
      <c r="A1476" s="11" t="s">
        <v>1668</v>
      </c>
      <c r="B1476" s="5" t="s">
        <v>1667</v>
      </c>
      <c r="C1476" s="12" t="s">
        <v>23</v>
      </c>
      <c r="D1476" s="12" t="s">
        <v>63</v>
      </c>
      <c r="E1476" s="7" t="s">
        <v>287</v>
      </c>
    </row>
    <row r="1477" spans="1:5" x14ac:dyDescent="0.25">
      <c r="A1477" s="4" t="s">
        <v>3562</v>
      </c>
      <c r="B1477" s="5" t="s">
        <v>4337</v>
      </c>
      <c r="C1477" s="6" t="s">
        <v>23</v>
      </c>
      <c r="D1477" s="6" t="s">
        <v>4445</v>
      </c>
      <c r="E1477" s="7" t="s">
        <v>4443</v>
      </c>
    </row>
    <row r="1478" spans="1:5" x14ac:dyDescent="0.25">
      <c r="A1478" s="4" t="s">
        <v>3476</v>
      </c>
      <c r="B1478" s="5" t="s">
        <v>4250</v>
      </c>
      <c r="C1478" s="12" t="s">
        <v>23</v>
      </c>
      <c r="D1478" s="12" t="s">
        <v>4445</v>
      </c>
      <c r="E1478" s="7" t="s">
        <v>4443</v>
      </c>
    </row>
    <row r="1479" spans="1:5" x14ac:dyDescent="0.25">
      <c r="A1479" s="4" t="s">
        <v>3331</v>
      </c>
      <c r="B1479" s="5" t="s">
        <v>4101</v>
      </c>
      <c r="C1479" s="6" t="s">
        <v>23</v>
      </c>
      <c r="D1479" s="6" t="s">
        <v>4445</v>
      </c>
      <c r="E1479" s="7" t="s">
        <v>4443</v>
      </c>
    </row>
    <row r="1480" spans="1:5" x14ac:dyDescent="0.25">
      <c r="A1480" s="4" t="s">
        <v>3477</v>
      </c>
      <c r="B1480" s="5" t="s">
        <v>4251</v>
      </c>
      <c r="C1480" s="6" t="s">
        <v>23</v>
      </c>
      <c r="D1480" s="6" t="s">
        <v>4445</v>
      </c>
      <c r="E1480" s="7" t="s">
        <v>4443</v>
      </c>
    </row>
    <row r="1481" spans="1:5" x14ac:dyDescent="0.25">
      <c r="A1481" s="4" t="s">
        <v>3478</v>
      </c>
      <c r="B1481" s="5" t="s">
        <v>4252</v>
      </c>
      <c r="C1481" s="6" t="s">
        <v>23</v>
      </c>
      <c r="D1481" s="6" t="s">
        <v>4445</v>
      </c>
      <c r="E1481" s="7" t="s">
        <v>4443</v>
      </c>
    </row>
    <row r="1482" spans="1:5" x14ac:dyDescent="0.25">
      <c r="A1482" s="4" t="s">
        <v>3479</v>
      </c>
      <c r="B1482" s="5" t="s">
        <v>4253</v>
      </c>
      <c r="C1482" s="6" t="s">
        <v>23</v>
      </c>
      <c r="D1482" s="6" t="s">
        <v>4445</v>
      </c>
      <c r="E1482" s="7" t="s">
        <v>4443</v>
      </c>
    </row>
    <row r="1483" spans="1:5" x14ac:dyDescent="0.25">
      <c r="A1483" s="4" t="s">
        <v>3480</v>
      </c>
      <c r="B1483" s="5" t="s">
        <v>4254</v>
      </c>
      <c r="C1483" s="6" t="s">
        <v>23</v>
      </c>
      <c r="D1483" s="6" t="s">
        <v>4445</v>
      </c>
      <c r="E1483" s="7" t="s">
        <v>4443</v>
      </c>
    </row>
    <row r="1484" spans="1:5" x14ac:dyDescent="0.25">
      <c r="A1484" s="4" t="s">
        <v>3481</v>
      </c>
      <c r="B1484" s="5" t="s">
        <v>4255</v>
      </c>
      <c r="C1484" s="6" t="s">
        <v>23</v>
      </c>
      <c r="D1484" s="6" t="s">
        <v>4445</v>
      </c>
      <c r="E1484" s="7" t="s">
        <v>4443</v>
      </c>
    </row>
    <row r="1485" spans="1:5" x14ac:dyDescent="0.25">
      <c r="A1485" s="4" t="s">
        <v>3571</v>
      </c>
      <c r="B1485" s="5" t="s">
        <v>4347</v>
      </c>
      <c r="C1485" s="6" t="s">
        <v>23</v>
      </c>
      <c r="D1485" s="6" t="s">
        <v>4445</v>
      </c>
      <c r="E1485" s="7" t="s">
        <v>4443</v>
      </c>
    </row>
    <row r="1486" spans="1:5" x14ac:dyDescent="0.25">
      <c r="A1486" s="4" t="s">
        <v>3329</v>
      </c>
      <c r="B1486" s="5" t="s">
        <v>4099</v>
      </c>
      <c r="C1486" s="6" t="s">
        <v>23</v>
      </c>
      <c r="D1486" s="6" t="s">
        <v>4445</v>
      </c>
      <c r="E1486" s="7" t="s">
        <v>4443</v>
      </c>
    </row>
    <row r="1487" spans="1:5" x14ac:dyDescent="0.25">
      <c r="A1487" s="4" t="s">
        <v>3300</v>
      </c>
      <c r="B1487" s="5" t="s">
        <v>4071</v>
      </c>
      <c r="C1487" s="6" t="s">
        <v>23</v>
      </c>
      <c r="D1487" s="6" t="s">
        <v>63</v>
      </c>
      <c r="E1487" s="7" t="s">
        <v>98</v>
      </c>
    </row>
    <row r="1488" spans="1:5" x14ac:dyDescent="0.25">
      <c r="A1488" s="4" t="s">
        <v>1670</v>
      </c>
      <c r="B1488" s="5" t="s">
        <v>1669</v>
      </c>
      <c r="C1488" s="6" t="s">
        <v>23</v>
      </c>
      <c r="D1488" s="6" t="s">
        <v>63</v>
      </c>
      <c r="E1488" s="7" t="s">
        <v>67</v>
      </c>
    </row>
    <row r="1489" spans="1:5" x14ac:dyDescent="0.25">
      <c r="A1489" s="4" t="s">
        <v>1672</v>
      </c>
      <c r="B1489" s="5" t="s">
        <v>1671</v>
      </c>
      <c r="C1489" s="6" t="s">
        <v>23</v>
      </c>
      <c r="D1489" s="6" t="s">
        <v>63</v>
      </c>
      <c r="E1489" s="7" t="s">
        <v>287</v>
      </c>
    </row>
    <row r="1490" spans="1:5" x14ac:dyDescent="0.25">
      <c r="A1490" s="4" t="s">
        <v>1674</v>
      </c>
      <c r="B1490" s="5" t="s">
        <v>1673</v>
      </c>
      <c r="C1490" s="6" t="s">
        <v>23</v>
      </c>
      <c r="D1490" s="6" t="s">
        <v>63</v>
      </c>
      <c r="E1490" s="7" t="s">
        <v>98</v>
      </c>
    </row>
    <row r="1491" spans="1:5" x14ac:dyDescent="0.25">
      <c r="A1491" s="4" t="s">
        <v>1676</v>
      </c>
      <c r="B1491" s="5" t="s">
        <v>1675</v>
      </c>
      <c r="C1491" s="6" t="s">
        <v>23</v>
      </c>
      <c r="D1491" s="6" t="s">
        <v>24</v>
      </c>
      <c r="E1491" s="7" t="s">
        <v>4446</v>
      </c>
    </row>
    <row r="1492" spans="1:5" x14ac:dyDescent="0.25">
      <c r="A1492" s="4" t="s">
        <v>1678</v>
      </c>
      <c r="B1492" s="5" t="s">
        <v>1677</v>
      </c>
      <c r="C1492" s="6" t="s">
        <v>23</v>
      </c>
      <c r="D1492" s="6" t="s">
        <v>24</v>
      </c>
      <c r="E1492" s="7" t="s">
        <v>4446</v>
      </c>
    </row>
    <row r="1493" spans="1:5" x14ac:dyDescent="0.25">
      <c r="A1493" s="4" t="s">
        <v>1680</v>
      </c>
      <c r="B1493" s="5" t="s">
        <v>1679</v>
      </c>
      <c r="C1493" s="6" t="s">
        <v>23</v>
      </c>
      <c r="D1493" s="6" t="s">
        <v>24</v>
      </c>
      <c r="E1493" s="7" t="s">
        <v>4447</v>
      </c>
    </row>
    <row r="1494" spans="1:5" x14ac:dyDescent="0.25">
      <c r="A1494" s="4" t="s">
        <v>1682</v>
      </c>
      <c r="B1494" s="5" t="s">
        <v>1681</v>
      </c>
      <c r="C1494" s="6" t="s">
        <v>23</v>
      </c>
      <c r="D1494" s="6" t="s">
        <v>24</v>
      </c>
      <c r="E1494" s="7" t="s">
        <v>4448</v>
      </c>
    </row>
    <row r="1495" spans="1:5" x14ac:dyDescent="0.25">
      <c r="A1495" s="4" t="s">
        <v>1684</v>
      </c>
      <c r="B1495" s="5" t="s">
        <v>1683</v>
      </c>
      <c r="C1495" s="6" t="s">
        <v>23</v>
      </c>
      <c r="D1495" s="6" t="s">
        <v>561</v>
      </c>
      <c r="E1495" s="7" t="s">
        <v>4443</v>
      </c>
    </row>
    <row r="1496" spans="1:5" x14ac:dyDescent="0.25">
      <c r="A1496" s="4" t="s">
        <v>4541</v>
      </c>
      <c r="B1496" s="5" t="s">
        <v>4542</v>
      </c>
      <c r="C1496" s="6" t="s">
        <v>23</v>
      </c>
      <c r="D1496" s="6" t="s">
        <v>63</v>
      </c>
      <c r="E1496" s="7" t="s">
        <v>67</v>
      </c>
    </row>
    <row r="1497" spans="1:5" x14ac:dyDescent="0.25">
      <c r="A1497" s="4" t="s">
        <v>1686</v>
      </c>
      <c r="B1497" s="5" t="s">
        <v>1685</v>
      </c>
      <c r="C1497" s="6" t="s">
        <v>23</v>
      </c>
      <c r="D1497" s="6" t="s">
        <v>24</v>
      </c>
      <c r="E1497" s="7" t="s">
        <v>4448</v>
      </c>
    </row>
    <row r="1498" spans="1:5" x14ac:dyDescent="0.25">
      <c r="A1498" s="4" t="s">
        <v>1688</v>
      </c>
      <c r="B1498" s="5" t="s">
        <v>1687</v>
      </c>
      <c r="C1498" s="6" t="s">
        <v>23</v>
      </c>
      <c r="D1498" s="6" t="s">
        <v>24</v>
      </c>
      <c r="E1498" s="7" t="s">
        <v>4450</v>
      </c>
    </row>
    <row r="1499" spans="1:5" x14ac:dyDescent="0.25">
      <c r="A1499" s="4" t="s">
        <v>1690</v>
      </c>
      <c r="B1499" s="5" t="s">
        <v>1689</v>
      </c>
      <c r="C1499" s="6" t="s">
        <v>23</v>
      </c>
      <c r="D1499" s="6" t="s">
        <v>24</v>
      </c>
      <c r="E1499" s="7" t="s">
        <v>4454</v>
      </c>
    </row>
    <row r="1500" spans="1:5" x14ac:dyDescent="0.25">
      <c r="A1500" s="4" t="s">
        <v>1692</v>
      </c>
      <c r="B1500" s="5" t="s">
        <v>1691</v>
      </c>
      <c r="C1500" s="6" t="s">
        <v>23</v>
      </c>
      <c r="D1500" s="6" t="s">
        <v>24</v>
      </c>
      <c r="E1500" s="7" t="s">
        <v>4451</v>
      </c>
    </row>
    <row r="1501" spans="1:5" x14ac:dyDescent="0.25">
      <c r="A1501" s="4" t="s">
        <v>1694</v>
      </c>
      <c r="B1501" s="5" t="s">
        <v>1693</v>
      </c>
      <c r="C1501" s="6" t="s">
        <v>23</v>
      </c>
      <c r="D1501" s="6" t="s">
        <v>24</v>
      </c>
      <c r="E1501" s="7" t="s">
        <v>4452</v>
      </c>
    </row>
    <row r="1502" spans="1:5" x14ac:dyDescent="0.25">
      <c r="A1502" s="4" t="s">
        <v>1696</v>
      </c>
      <c r="B1502" s="5" t="s">
        <v>1695</v>
      </c>
      <c r="C1502" s="6" t="s">
        <v>23</v>
      </c>
      <c r="D1502" s="6" t="s">
        <v>24</v>
      </c>
      <c r="E1502" s="7" t="s">
        <v>4453</v>
      </c>
    </row>
    <row r="1503" spans="1:5" x14ac:dyDescent="0.25">
      <c r="A1503" s="4" t="s">
        <v>1698</v>
      </c>
      <c r="B1503" s="5" t="s">
        <v>1697</v>
      </c>
      <c r="C1503" s="6" t="s">
        <v>23</v>
      </c>
      <c r="D1503" s="6" t="s">
        <v>24</v>
      </c>
      <c r="E1503" s="7" t="s">
        <v>4454</v>
      </c>
    </row>
    <row r="1504" spans="1:5" x14ac:dyDescent="0.25">
      <c r="A1504" s="4" t="s">
        <v>1700</v>
      </c>
      <c r="B1504" s="5" t="s">
        <v>1699</v>
      </c>
      <c r="C1504" s="6" t="s">
        <v>23</v>
      </c>
      <c r="D1504" s="6" t="s">
        <v>24</v>
      </c>
      <c r="E1504" s="7" t="s">
        <v>4451</v>
      </c>
    </row>
    <row r="1505" spans="1:5" x14ac:dyDescent="0.25">
      <c r="A1505" s="4" t="s">
        <v>1702</v>
      </c>
      <c r="B1505" s="5" t="s">
        <v>1701</v>
      </c>
      <c r="C1505" s="6" t="s">
        <v>23</v>
      </c>
      <c r="D1505" s="6" t="s">
        <v>24</v>
      </c>
      <c r="E1505" s="7" t="s">
        <v>4452</v>
      </c>
    </row>
    <row r="1506" spans="1:5" x14ac:dyDescent="0.25">
      <c r="A1506" s="4" t="s">
        <v>1704</v>
      </c>
      <c r="B1506" s="5" t="s">
        <v>1703</v>
      </c>
      <c r="C1506" s="6" t="s">
        <v>23</v>
      </c>
      <c r="D1506" s="6" t="s">
        <v>24</v>
      </c>
      <c r="E1506" s="7" t="s">
        <v>4453</v>
      </c>
    </row>
    <row r="1507" spans="1:5" x14ac:dyDescent="0.25">
      <c r="A1507" s="4" t="s">
        <v>1706</v>
      </c>
      <c r="B1507" s="5" t="s">
        <v>1705</v>
      </c>
      <c r="C1507" s="6" t="s">
        <v>23</v>
      </c>
      <c r="D1507" s="6" t="s">
        <v>24</v>
      </c>
      <c r="E1507" s="7" t="s">
        <v>4448</v>
      </c>
    </row>
    <row r="1508" spans="1:5" x14ac:dyDescent="0.25">
      <c r="A1508" s="4" t="s">
        <v>1708</v>
      </c>
      <c r="B1508" s="5" t="s">
        <v>1707</v>
      </c>
      <c r="C1508" s="6" t="s">
        <v>23</v>
      </c>
      <c r="D1508" s="6" t="s">
        <v>24</v>
      </c>
      <c r="E1508" s="7" t="s">
        <v>4450</v>
      </c>
    </row>
    <row r="1509" spans="1:5" x14ac:dyDescent="0.25">
      <c r="A1509" s="4" t="s">
        <v>1710</v>
      </c>
      <c r="B1509" s="5" t="s">
        <v>1709</v>
      </c>
      <c r="C1509" s="6" t="s">
        <v>23</v>
      </c>
      <c r="D1509" s="6" t="s">
        <v>24</v>
      </c>
      <c r="E1509" s="7" t="s">
        <v>4455</v>
      </c>
    </row>
    <row r="1510" spans="1:5" x14ac:dyDescent="0.25">
      <c r="A1510" s="4" t="s">
        <v>1712</v>
      </c>
      <c r="B1510" s="5" t="s">
        <v>1711</v>
      </c>
      <c r="C1510" s="6" t="s">
        <v>23</v>
      </c>
      <c r="D1510" s="6" t="s">
        <v>24</v>
      </c>
      <c r="E1510" s="7" t="s">
        <v>4449</v>
      </c>
    </row>
    <row r="1511" spans="1:5" x14ac:dyDescent="0.25">
      <c r="A1511" s="4" t="s">
        <v>1714</v>
      </c>
      <c r="B1511" s="5" t="s">
        <v>1713</v>
      </c>
      <c r="C1511" s="6" t="s">
        <v>23</v>
      </c>
      <c r="D1511" s="6" t="s">
        <v>24</v>
      </c>
      <c r="E1511" s="7" t="s">
        <v>4447</v>
      </c>
    </row>
    <row r="1512" spans="1:5" x14ac:dyDescent="0.25">
      <c r="A1512" s="4" t="s">
        <v>1716</v>
      </c>
      <c r="B1512" s="5" t="s">
        <v>1715</v>
      </c>
      <c r="C1512" s="6" t="s">
        <v>23</v>
      </c>
      <c r="D1512" s="6" t="s">
        <v>63</v>
      </c>
      <c r="E1512" s="7" t="s">
        <v>4450</v>
      </c>
    </row>
    <row r="1513" spans="1:5" x14ac:dyDescent="0.25">
      <c r="A1513" s="4" t="s">
        <v>1718</v>
      </c>
      <c r="B1513" s="5" t="s">
        <v>1717</v>
      </c>
      <c r="C1513" s="6" t="s">
        <v>23</v>
      </c>
      <c r="D1513" s="6" t="s">
        <v>24</v>
      </c>
      <c r="E1513" s="7" t="s">
        <v>4454</v>
      </c>
    </row>
    <row r="1514" spans="1:5" x14ac:dyDescent="0.25">
      <c r="A1514" s="4" t="s">
        <v>1720</v>
      </c>
      <c r="B1514" s="5" t="s">
        <v>1719</v>
      </c>
      <c r="C1514" s="6" t="s">
        <v>23</v>
      </c>
      <c r="D1514" s="6" t="s">
        <v>24</v>
      </c>
      <c r="E1514" s="7" t="s">
        <v>4451</v>
      </c>
    </row>
    <row r="1515" spans="1:5" x14ac:dyDescent="0.25">
      <c r="A1515" s="4" t="s">
        <v>1722</v>
      </c>
      <c r="B1515" s="5" t="s">
        <v>1721</v>
      </c>
      <c r="C1515" s="6" t="s">
        <v>23</v>
      </c>
      <c r="D1515" s="6" t="s">
        <v>24</v>
      </c>
      <c r="E1515" s="7" t="s">
        <v>4452</v>
      </c>
    </row>
    <row r="1516" spans="1:5" x14ac:dyDescent="0.25">
      <c r="A1516" s="4" t="s">
        <v>1724</v>
      </c>
      <c r="B1516" s="5" t="s">
        <v>1723</v>
      </c>
      <c r="C1516" s="6" t="s">
        <v>23</v>
      </c>
      <c r="D1516" s="6" t="s">
        <v>24</v>
      </c>
      <c r="E1516" s="7" t="s">
        <v>4455</v>
      </c>
    </row>
    <row r="1517" spans="1:5" x14ac:dyDescent="0.25">
      <c r="A1517" s="4" t="s">
        <v>1726</v>
      </c>
      <c r="B1517" s="5" t="s">
        <v>1725</v>
      </c>
      <c r="C1517" s="6" t="s">
        <v>23</v>
      </c>
      <c r="D1517" s="6" t="s">
        <v>24</v>
      </c>
      <c r="E1517" s="7" t="s">
        <v>4455</v>
      </c>
    </row>
    <row r="1518" spans="1:5" x14ac:dyDescent="0.25">
      <c r="A1518" s="4" t="s">
        <v>1728</v>
      </c>
      <c r="B1518" s="5" t="s">
        <v>1727</v>
      </c>
      <c r="C1518" s="6" t="s">
        <v>23</v>
      </c>
      <c r="D1518" s="6" t="s">
        <v>24</v>
      </c>
      <c r="E1518" s="7" t="s">
        <v>4448</v>
      </c>
    </row>
    <row r="1519" spans="1:5" x14ac:dyDescent="0.25">
      <c r="A1519" s="4" t="s">
        <v>1730</v>
      </c>
      <c r="B1519" s="5" t="s">
        <v>1729</v>
      </c>
      <c r="C1519" s="6" t="s">
        <v>23</v>
      </c>
      <c r="D1519" s="6" t="s">
        <v>24</v>
      </c>
      <c r="E1519" s="7" t="s">
        <v>4450</v>
      </c>
    </row>
    <row r="1520" spans="1:5" x14ac:dyDescent="0.25">
      <c r="A1520" s="4" t="s">
        <v>1732</v>
      </c>
      <c r="B1520" s="5" t="s">
        <v>1731</v>
      </c>
      <c r="C1520" s="6" t="s">
        <v>23</v>
      </c>
      <c r="D1520" s="6" t="s">
        <v>24</v>
      </c>
      <c r="E1520" s="7" t="s">
        <v>4454</v>
      </c>
    </row>
    <row r="1521" spans="1:5" x14ac:dyDescent="0.25">
      <c r="A1521" s="4" t="s">
        <v>1734</v>
      </c>
      <c r="B1521" s="5" t="s">
        <v>1733</v>
      </c>
      <c r="C1521" s="6" t="s">
        <v>23</v>
      </c>
      <c r="D1521" s="6" t="s">
        <v>24</v>
      </c>
      <c r="E1521" s="7" t="s">
        <v>4452</v>
      </c>
    </row>
    <row r="1522" spans="1:5" x14ac:dyDescent="0.25">
      <c r="A1522" s="4" t="s">
        <v>1736</v>
      </c>
      <c r="B1522" s="5" t="s">
        <v>1735</v>
      </c>
      <c r="C1522" s="6" t="s">
        <v>23</v>
      </c>
      <c r="D1522" s="6" t="s">
        <v>24</v>
      </c>
      <c r="E1522" s="7" t="s">
        <v>4455</v>
      </c>
    </row>
    <row r="1523" spans="1:5" x14ac:dyDescent="0.25">
      <c r="A1523" s="4" t="s">
        <v>1738</v>
      </c>
      <c r="B1523" s="5" t="s">
        <v>1737</v>
      </c>
      <c r="C1523" s="6" t="s">
        <v>23</v>
      </c>
      <c r="D1523" s="6" t="s">
        <v>24</v>
      </c>
      <c r="E1523" s="7" t="s">
        <v>4448</v>
      </c>
    </row>
    <row r="1524" spans="1:5" x14ac:dyDescent="0.25">
      <c r="A1524" s="4" t="s">
        <v>1740</v>
      </c>
      <c r="B1524" s="5" t="s">
        <v>1739</v>
      </c>
      <c r="C1524" s="6" t="s">
        <v>23</v>
      </c>
      <c r="D1524" s="6" t="s">
        <v>24</v>
      </c>
      <c r="E1524" s="7" t="s">
        <v>4450</v>
      </c>
    </row>
    <row r="1525" spans="1:5" x14ac:dyDescent="0.25">
      <c r="A1525" s="4" t="s">
        <v>1742</v>
      </c>
      <c r="B1525" s="5" t="s">
        <v>1741</v>
      </c>
      <c r="C1525" s="6" t="s">
        <v>23</v>
      </c>
      <c r="D1525" s="6" t="s">
        <v>24</v>
      </c>
      <c r="E1525" s="7" t="s">
        <v>4454</v>
      </c>
    </row>
    <row r="1526" spans="1:5" x14ac:dyDescent="0.25">
      <c r="A1526" s="4" t="s">
        <v>1744</v>
      </c>
      <c r="B1526" s="5" t="s">
        <v>1743</v>
      </c>
      <c r="C1526" s="6" t="s">
        <v>23</v>
      </c>
      <c r="D1526" s="6" t="s">
        <v>24</v>
      </c>
      <c r="E1526" s="7" t="s">
        <v>4452</v>
      </c>
    </row>
    <row r="1527" spans="1:5" x14ac:dyDescent="0.25">
      <c r="A1527" s="4" t="s">
        <v>1746</v>
      </c>
      <c r="B1527" s="5" t="s">
        <v>1745</v>
      </c>
      <c r="C1527" s="6" t="s">
        <v>23</v>
      </c>
      <c r="D1527" s="6" t="s">
        <v>24</v>
      </c>
      <c r="E1527" s="7" t="s">
        <v>4448</v>
      </c>
    </row>
    <row r="1528" spans="1:5" x14ac:dyDescent="0.25">
      <c r="A1528" s="4" t="s">
        <v>1748</v>
      </c>
      <c r="B1528" s="5" t="s">
        <v>1747</v>
      </c>
      <c r="C1528" s="6" t="s">
        <v>23</v>
      </c>
      <c r="D1528" s="6" t="s">
        <v>24</v>
      </c>
      <c r="E1528" s="7" t="s">
        <v>4449</v>
      </c>
    </row>
    <row r="1529" spans="1:5" x14ac:dyDescent="0.25">
      <c r="A1529" s="4" t="s">
        <v>1750</v>
      </c>
      <c r="B1529" s="5" t="s">
        <v>1749</v>
      </c>
      <c r="C1529" s="6" t="s">
        <v>23</v>
      </c>
      <c r="D1529" s="6" t="s">
        <v>24</v>
      </c>
      <c r="E1529" s="7" t="s">
        <v>4454</v>
      </c>
    </row>
    <row r="1530" spans="1:5" x14ac:dyDescent="0.25">
      <c r="A1530" s="4" t="s">
        <v>1752</v>
      </c>
      <c r="B1530" s="5" t="s">
        <v>1751</v>
      </c>
      <c r="C1530" s="6" t="s">
        <v>23</v>
      </c>
      <c r="D1530" s="6" t="s">
        <v>24</v>
      </c>
      <c r="E1530" s="7" t="s">
        <v>4452</v>
      </c>
    </row>
    <row r="1531" spans="1:5" x14ac:dyDescent="0.25">
      <c r="A1531" s="4" t="s">
        <v>1754</v>
      </c>
      <c r="B1531" s="5" t="s">
        <v>1753</v>
      </c>
      <c r="C1531" s="6" t="s">
        <v>23</v>
      </c>
      <c r="D1531" s="6" t="s">
        <v>63</v>
      </c>
      <c r="E1531" s="7" t="s">
        <v>64</v>
      </c>
    </row>
    <row r="1532" spans="1:5" x14ac:dyDescent="0.25">
      <c r="A1532" s="4" t="s">
        <v>1756</v>
      </c>
      <c r="B1532" s="5" t="s">
        <v>1755</v>
      </c>
      <c r="C1532" s="6" t="s">
        <v>23</v>
      </c>
      <c r="D1532" s="6" t="s">
        <v>24</v>
      </c>
      <c r="E1532" s="7" t="s">
        <v>4446</v>
      </c>
    </row>
    <row r="1533" spans="1:5" x14ac:dyDescent="0.25">
      <c r="A1533" s="4" t="s">
        <v>1758</v>
      </c>
      <c r="B1533" s="5" t="s">
        <v>1757</v>
      </c>
      <c r="C1533" s="6" t="s">
        <v>23</v>
      </c>
      <c r="D1533" s="6" t="s">
        <v>24</v>
      </c>
      <c r="E1533" s="7" t="s">
        <v>4447</v>
      </c>
    </row>
    <row r="1534" spans="1:5" x14ac:dyDescent="0.25">
      <c r="A1534" s="4" t="s">
        <v>1760</v>
      </c>
      <c r="B1534" s="5" t="s">
        <v>1759</v>
      </c>
      <c r="C1534" s="6" t="s">
        <v>23</v>
      </c>
      <c r="D1534" s="6" t="s">
        <v>24</v>
      </c>
      <c r="E1534" s="7" t="s">
        <v>4448</v>
      </c>
    </row>
    <row r="1535" spans="1:5" x14ac:dyDescent="0.25">
      <c r="A1535" s="4" t="s">
        <v>1762</v>
      </c>
      <c r="B1535" s="5" t="s">
        <v>1761</v>
      </c>
      <c r="C1535" s="6" t="s">
        <v>23</v>
      </c>
      <c r="D1535" s="6" t="s">
        <v>24</v>
      </c>
      <c r="E1535" s="7" t="s">
        <v>4447</v>
      </c>
    </row>
    <row r="1536" spans="1:5" x14ac:dyDescent="0.25">
      <c r="A1536" s="4" t="s">
        <v>1764</v>
      </c>
      <c r="B1536" s="5" t="s">
        <v>1763</v>
      </c>
      <c r="C1536" s="6" t="s">
        <v>23</v>
      </c>
      <c r="D1536" s="6" t="s">
        <v>24</v>
      </c>
      <c r="E1536" s="7" t="s">
        <v>4448</v>
      </c>
    </row>
    <row r="1537" spans="1:5" x14ac:dyDescent="0.25">
      <c r="A1537" s="4" t="s">
        <v>1766</v>
      </c>
      <c r="B1537" s="5" t="s">
        <v>1765</v>
      </c>
      <c r="C1537" s="6" t="s">
        <v>23</v>
      </c>
      <c r="D1537" s="6" t="s">
        <v>24</v>
      </c>
      <c r="E1537" s="7" t="s">
        <v>4449</v>
      </c>
    </row>
    <row r="1538" spans="1:5" x14ac:dyDescent="0.25">
      <c r="A1538" s="4" t="s">
        <v>1768</v>
      </c>
      <c r="B1538" s="5" t="s">
        <v>1767</v>
      </c>
      <c r="C1538" s="6" t="s">
        <v>23</v>
      </c>
      <c r="D1538" s="6" t="s">
        <v>24</v>
      </c>
      <c r="E1538" s="7" t="s">
        <v>4447</v>
      </c>
    </row>
    <row r="1539" spans="1:5" x14ac:dyDescent="0.25">
      <c r="A1539" s="4" t="s">
        <v>1770</v>
      </c>
      <c r="B1539" s="5" t="s">
        <v>1769</v>
      </c>
      <c r="C1539" s="6" t="s">
        <v>23</v>
      </c>
      <c r="D1539" s="6" t="s">
        <v>24</v>
      </c>
      <c r="E1539" s="7" t="s">
        <v>4448</v>
      </c>
    </row>
    <row r="1540" spans="1:5" x14ac:dyDescent="0.25">
      <c r="A1540" s="4" t="s">
        <v>1772</v>
      </c>
      <c r="B1540" s="5" t="s">
        <v>1771</v>
      </c>
      <c r="C1540" s="6" t="s">
        <v>23</v>
      </c>
      <c r="D1540" s="6" t="s">
        <v>24</v>
      </c>
      <c r="E1540" s="7" t="s">
        <v>4450</v>
      </c>
    </row>
    <row r="1541" spans="1:5" x14ac:dyDescent="0.25">
      <c r="A1541" s="4" t="s">
        <v>1774</v>
      </c>
      <c r="B1541" s="5" t="s">
        <v>1773</v>
      </c>
      <c r="C1541" s="6" t="s">
        <v>23</v>
      </c>
      <c r="D1541" s="6" t="s">
        <v>24</v>
      </c>
      <c r="E1541" s="7" t="s">
        <v>4454</v>
      </c>
    </row>
    <row r="1542" spans="1:5" x14ac:dyDescent="0.25">
      <c r="A1542" s="4" t="s">
        <v>3302</v>
      </c>
      <c r="B1542" s="5" t="s">
        <v>4073</v>
      </c>
      <c r="C1542" s="6" t="s">
        <v>23</v>
      </c>
      <c r="D1542" s="6" t="s">
        <v>63</v>
      </c>
      <c r="E1542" s="7" t="s">
        <v>98</v>
      </c>
    </row>
    <row r="1543" spans="1:5" x14ac:dyDescent="0.25">
      <c r="A1543" s="4" t="s">
        <v>3302</v>
      </c>
      <c r="B1543" s="5" t="s">
        <v>4074</v>
      </c>
      <c r="C1543" s="6" t="s">
        <v>23</v>
      </c>
      <c r="D1543" s="6" t="s">
        <v>63</v>
      </c>
      <c r="E1543" s="7" t="s">
        <v>98</v>
      </c>
    </row>
    <row r="1544" spans="1:5" x14ac:dyDescent="0.25">
      <c r="A1544" s="4" t="s">
        <v>1776</v>
      </c>
      <c r="B1544" s="5" t="s">
        <v>1775</v>
      </c>
      <c r="C1544" s="6" t="s">
        <v>23</v>
      </c>
      <c r="D1544" s="6" t="s">
        <v>63</v>
      </c>
      <c r="E1544" s="7" t="s">
        <v>98</v>
      </c>
    </row>
    <row r="1545" spans="1:5" x14ac:dyDescent="0.25">
      <c r="A1545" s="4" t="s">
        <v>1778</v>
      </c>
      <c r="B1545" s="5" t="s">
        <v>1777</v>
      </c>
      <c r="C1545" s="6" t="s">
        <v>23</v>
      </c>
      <c r="D1545" s="6" t="s">
        <v>63</v>
      </c>
      <c r="E1545" s="7" t="s">
        <v>98</v>
      </c>
    </row>
    <row r="1546" spans="1:5" x14ac:dyDescent="0.25">
      <c r="A1546" s="4" t="s">
        <v>1780</v>
      </c>
      <c r="B1546" s="5" t="s">
        <v>1779</v>
      </c>
      <c r="C1546" s="6" t="s">
        <v>23</v>
      </c>
      <c r="D1546" s="6" t="s">
        <v>63</v>
      </c>
      <c r="E1546" s="7" t="s">
        <v>98</v>
      </c>
    </row>
    <row r="1547" spans="1:5" x14ac:dyDescent="0.25">
      <c r="A1547" s="4" t="s">
        <v>1782</v>
      </c>
      <c r="B1547" s="5" t="s">
        <v>1781</v>
      </c>
      <c r="C1547" s="6" t="s">
        <v>23</v>
      </c>
      <c r="D1547" s="6" t="s">
        <v>24</v>
      </c>
      <c r="E1547" s="7" t="s">
        <v>4446</v>
      </c>
    </row>
    <row r="1548" spans="1:5" x14ac:dyDescent="0.25">
      <c r="A1548" s="4" t="s">
        <v>1784</v>
      </c>
      <c r="B1548" s="5" t="s">
        <v>1783</v>
      </c>
      <c r="C1548" s="6" t="s">
        <v>23</v>
      </c>
      <c r="D1548" s="6" t="s">
        <v>24</v>
      </c>
      <c r="E1548" s="7" t="s">
        <v>4448</v>
      </c>
    </row>
    <row r="1549" spans="1:5" x14ac:dyDescent="0.25">
      <c r="A1549" s="4" t="s">
        <v>1786</v>
      </c>
      <c r="B1549" s="5" t="s">
        <v>1785</v>
      </c>
      <c r="C1549" s="6" t="s">
        <v>23</v>
      </c>
      <c r="D1549" s="6" t="s">
        <v>24</v>
      </c>
      <c r="E1549" s="7" t="s">
        <v>4447</v>
      </c>
    </row>
    <row r="1550" spans="1:5" x14ac:dyDescent="0.25">
      <c r="A1550" s="4" t="s">
        <v>1788</v>
      </c>
      <c r="B1550" s="5" t="s">
        <v>1787</v>
      </c>
      <c r="C1550" s="6" t="s">
        <v>23</v>
      </c>
      <c r="D1550" s="6" t="s">
        <v>24</v>
      </c>
      <c r="E1550" s="7" t="s">
        <v>4450</v>
      </c>
    </row>
    <row r="1551" spans="1:5" x14ac:dyDescent="0.25">
      <c r="A1551" s="4" t="s">
        <v>1790</v>
      </c>
      <c r="B1551" s="5" t="s">
        <v>1789</v>
      </c>
      <c r="C1551" s="6" t="s">
        <v>23</v>
      </c>
      <c r="D1551" s="6" t="s">
        <v>24</v>
      </c>
      <c r="E1551" s="7" t="s">
        <v>4451</v>
      </c>
    </row>
    <row r="1552" spans="1:5" x14ac:dyDescent="0.25">
      <c r="A1552" s="4" t="s">
        <v>1792</v>
      </c>
      <c r="B1552" s="5" t="s">
        <v>1791</v>
      </c>
      <c r="C1552" s="6" t="s">
        <v>23</v>
      </c>
      <c r="D1552" s="6" t="s">
        <v>24</v>
      </c>
      <c r="E1552" s="7" t="s">
        <v>4452</v>
      </c>
    </row>
    <row r="1553" spans="1:5" x14ac:dyDescent="0.25">
      <c r="A1553" s="4" t="s">
        <v>3629</v>
      </c>
      <c r="B1553" s="5" t="s">
        <v>4405</v>
      </c>
      <c r="C1553" s="6" t="s">
        <v>23</v>
      </c>
      <c r="D1553" s="6" t="s">
        <v>4463</v>
      </c>
      <c r="E1553" s="7" t="s">
        <v>4443</v>
      </c>
    </row>
    <row r="1554" spans="1:5" x14ac:dyDescent="0.25">
      <c r="A1554" s="4" t="s">
        <v>3638</v>
      </c>
      <c r="B1554" s="5" t="s">
        <v>4415</v>
      </c>
      <c r="C1554" s="6" t="s">
        <v>23</v>
      </c>
      <c r="D1554" s="6" t="s">
        <v>4463</v>
      </c>
      <c r="E1554" s="7" t="s">
        <v>4443</v>
      </c>
    </row>
    <row r="1555" spans="1:5" x14ac:dyDescent="0.25">
      <c r="A1555" s="4" t="s">
        <v>3639</v>
      </c>
      <c r="B1555" s="5" t="s">
        <v>4416</v>
      </c>
      <c r="C1555" s="6" t="s">
        <v>23</v>
      </c>
      <c r="D1555" s="6" t="s">
        <v>4463</v>
      </c>
      <c r="E1555" s="7" t="s">
        <v>4443</v>
      </c>
    </row>
    <row r="1556" spans="1:5" x14ac:dyDescent="0.25">
      <c r="A1556" s="4" t="s">
        <v>3640</v>
      </c>
      <c r="B1556" s="5" t="s">
        <v>4417</v>
      </c>
      <c r="C1556" s="6" t="s">
        <v>23</v>
      </c>
      <c r="D1556" s="6" t="s">
        <v>4463</v>
      </c>
      <c r="E1556" s="7" t="s">
        <v>4443</v>
      </c>
    </row>
    <row r="1557" spans="1:5" x14ac:dyDescent="0.25">
      <c r="A1557" s="4" t="s">
        <v>3630</v>
      </c>
      <c r="B1557" s="5" t="s">
        <v>4406</v>
      </c>
      <c r="C1557" s="6" t="s">
        <v>23</v>
      </c>
      <c r="D1557" s="6" t="s">
        <v>4463</v>
      </c>
      <c r="E1557" s="7" t="s">
        <v>4443</v>
      </c>
    </row>
    <row r="1558" spans="1:5" x14ac:dyDescent="0.25">
      <c r="A1558" s="4" t="s">
        <v>3641</v>
      </c>
      <c r="B1558" s="5" t="s">
        <v>4418</v>
      </c>
      <c r="C1558" s="6" t="s">
        <v>23</v>
      </c>
      <c r="D1558" s="6" t="s">
        <v>4463</v>
      </c>
      <c r="E1558" s="7" t="s">
        <v>4443</v>
      </c>
    </row>
    <row r="1559" spans="1:5" x14ac:dyDescent="0.25">
      <c r="A1559" s="4" t="s">
        <v>3642</v>
      </c>
      <c r="B1559" s="5" t="s">
        <v>4419</v>
      </c>
      <c r="C1559" s="6" t="s">
        <v>23</v>
      </c>
      <c r="D1559" s="6" t="s">
        <v>4463</v>
      </c>
      <c r="E1559" s="7" t="s">
        <v>4443</v>
      </c>
    </row>
    <row r="1560" spans="1:5" x14ac:dyDescent="0.25">
      <c r="A1560" s="4" t="s">
        <v>3643</v>
      </c>
      <c r="B1560" s="5" t="s">
        <v>4420</v>
      </c>
      <c r="C1560" s="6" t="s">
        <v>23</v>
      </c>
      <c r="D1560" s="6" t="s">
        <v>4463</v>
      </c>
      <c r="E1560" s="7" t="s">
        <v>4443</v>
      </c>
    </row>
    <row r="1561" spans="1:5" x14ac:dyDescent="0.25">
      <c r="A1561" s="4" t="s">
        <v>1794</v>
      </c>
      <c r="B1561" s="5" t="s">
        <v>1793</v>
      </c>
      <c r="C1561" s="6" t="s">
        <v>23</v>
      </c>
      <c r="D1561" s="6" t="s">
        <v>63</v>
      </c>
      <c r="E1561" s="7" t="s">
        <v>4458</v>
      </c>
    </row>
    <row r="1562" spans="1:5" x14ac:dyDescent="0.25">
      <c r="A1562" s="4" t="s">
        <v>1796</v>
      </c>
      <c r="B1562" s="5" t="s">
        <v>1795</v>
      </c>
      <c r="C1562" s="6" t="s">
        <v>23</v>
      </c>
      <c r="D1562" s="6" t="s">
        <v>63</v>
      </c>
      <c r="E1562" s="7" t="s">
        <v>4461</v>
      </c>
    </row>
    <row r="1563" spans="1:5" x14ac:dyDescent="0.25">
      <c r="A1563" s="4" t="s">
        <v>1798</v>
      </c>
      <c r="B1563" s="5" t="s">
        <v>1797</v>
      </c>
      <c r="C1563" s="6" t="s">
        <v>23</v>
      </c>
      <c r="D1563" s="6" t="s">
        <v>63</v>
      </c>
      <c r="E1563" s="7" t="s">
        <v>4460</v>
      </c>
    </row>
    <row r="1564" spans="1:5" x14ac:dyDescent="0.25">
      <c r="A1564" s="4" t="s">
        <v>1800</v>
      </c>
      <c r="B1564" s="5" t="s">
        <v>1799</v>
      </c>
      <c r="C1564" s="6" t="s">
        <v>23</v>
      </c>
      <c r="D1564" s="6" t="s">
        <v>63</v>
      </c>
      <c r="E1564" s="7" t="s">
        <v>4462</v>
      </c>
    </row>
    <row r="1565" spans="1:5" x14ac:dyDescent="0.25">
      <c r="A1565" s="4" t="s">
        <v>1802</v>
      </c>
      <c r="B1565" s="5" t="s">
        <v>1801</v>
      </c>
      <c r="C1565" s="6" t="s">
        <v>23</v>
      </c>
      <c r="D1565" s="6" t="s">
        <v>24</v>
      </c>
      <c r="E1565" s="7" t="s">
        <v>4446</v>
      </c>
    </row>
    <row r="1566" spans="1:5" x14ac:dyDescent="0.25">
      <c r="A1566" s="4" t="s">
        <v>1804</v>
      </c>
      <c r="B1566" s="5" t="s">
        <v>1803</v>
      </c>
      <c r="C1566" s="6" t="s">
        <v>23</v>
      </c>
      <c r="D1566" s="6" t="s">
        <v>24</v>
      </c>
      <c r="E1566" s="7" t="s">
        <v>4447</v>
      </c>
    </row>
    <row r="1567" spans="1:5" x14ac:dyDescent="0.25">
      <c r="A1567" s="4" t="s">
        <v>1806</v>
      </c>
      <c r="B1567" s="5" t="s">
        <v>1805</v>
      </c>
      <c r="C1567" s="6" t="s">
        <v>23</v>
      </c>
      <c r="D1567" s="6" t="s">
        <v>24</v>
      </c>
      <c r="E1567" s="7" t="s">
        <v>4448</v>
      </c>
    </row>
    <row r="1568" spans="1:5" x14ac:dyDescent="0.25">
      <c r="A1568" s="4" t="s">
        <v>1808</v>
      </c>
      <c r="B1568" s="5" t="s">
        <v>1807</v>
      </c>
      <c r="C1568" s="6" t="s">
        <v>23</v>
      </c>
      <c r="D1568" s="6" t="s">
        <v>24</v>
      </c>
      <c r="E1568" s="7" t="s">
        <v>4446</v>
      </c>
    </row>
    <row r="1569" spans="1:5" x14ac:dyDescent="0.25">
      <c r="A1569" s="4" t="s">
        <v>1810</v>
      </c>
      <c r="B1569" s="5" t="s">
        <v>1809</v>
      </c>
      <c r="C1569" s="6" t="s">
        <v>23</v>
      </c>
      <c r="D1569" s="6" t="s">
        <v>24</v>
      </c>
      <c r="E1569" s="7" t="s">
        <v>4447</v>
      </c>
    </row>
    <row r="1570" spans="1:5" x14ac:dyDescent="0.25">
      <c r="A1570" s="4" t="s">
        <v>1812</v>
      </c>
      <c r="B1570" s="5" t="s">
        <v>1811</v>
      </c>
      <c r="C1570" s="6" t="s">
        <v>23</v>
      </c>
      <c r="D1570" s="6" t="s">
        <v>24</v>
      </c>
      <c r="E1570" s="7" t="s">
        <v>4448</v>
      </c>
    </row>
    <row r="1571" spans="1:5" x14ac:dyDescent="0.25">
      <c r="A1571" s="4" t="s">
        <v>1814</v>
      </c>
      <c r="B1571" s="5" t="s">
        <v>1813</v>
      </c>
      <c r="C1571" s="6" t="s">
        <v>23</v>
      </c>
      <c r="D1571" s="6" t="s">
        <v>24</v>
      </c>
      <c r="E1571" s="7" t="s">
        <v>4450</v>
      </c>
    </row>
    <row r="1572" spans="1:5" x14ac:dyDescent="0.25">
      <c r="A1572" s="4" t="s">
        <v>1816</v>
      </c>
      <c r="B1572" s="5" t="s">
        <v>1815</v>
      </c>
      <c r="C1572" s="6" t="s">
        <v>23</v>
      </c>
      <c r="D1572" s="6" t="s">
        <v>24</v>
      </c>
      <c r="E1572" s="7" t="s">
        <v>4454</v>
      </c>
    </row>
    <row r="1573" spans="1:5" x14ac:dyDescent="0.25">
      <c r="A1573" s="4" t="s">
        <v>1818</v>
      </c>
      <c r="B1573" s="5" t="s">
        <v>1817</v>
      </c>
      <c r="C1573" s="6" t="s">
        <v>23</v>
      </c>
      <c r="D1573" s="6" t="s">
        <v>24</v>
      </c>
      <c r="E1573" s="7" t="s">
        <v>4451</v>
      </c>
    </row>
    <row r="1574" spans="1:5" x14ac:dyDescent="0.25">
      <c r="A1574" s="4" t="s">
        <v>1820</v>
      </c>
      <c r="B1574" s="5" t="s">
        <v>1819</v>
      </c>
      <c r="C1574" s="6" t="s">
        <v>23</v>
      </c>
      <c r="D1574" s="6" t="s">
        <v>24</v>
      </c>
      <c r="E1574" s="7" t="s">
        <v>4452</v>
      </c>
    </row>
    <row r="1575" spans="1:5" x14ac:dyDescent="0.25">
      <c r="A1575" s="4" t="s">
        <v>1822</v>
      </c>
      <c r="B1575" s="5" t="s">
        <v>1821</v>
      </c>
      <c r="C1575" s="6" t="s">
        <v>23</v>
      </c>
      <c r="D1575" s="6" t="s">
        <v>24</v>
      </c>
      <c r="E1575" s="7" t="s">
        <v>4446</v>
      </c>
    </row>
    <row r="1576" spans="1:5" x14ac:dyDescent="0.25">
      <c r="A1576" s="4" t="s">
        <v>1824</v>
      </c>
      <c r="B1576" s="5" t="s">
        <v>1823</v>
      </c>
      <c r="C1576" s="6" t="s">
        <v>23</v>
      </c>
      <c r="D1576" s="6" t="s">
        <v>24</v>
      </c>
      <c r="E1576" s="7" t="s">
        <v>4447</v>
      </c>
    </row>
    <row r="1577" spans="1:5" x14ac:dyDescent="0.25">
      <c r="A1577" s="4" t="s">
        <v>1826</v>
      </c>
      <c r="B1577" s="5" t="s">
        <v>1825</v>
      </c>
      <c r="C1577" s="6" t="s">
        <v>23</v>
      </c>
      <c r="D1577" s="6" t="s">
        <v>24</v>
      </c>
      <c r="E1577" s="7" t="s">
        <v>4448</v>
      </c>
    </row>
    <row r="1578" spans="1:5" x14ac:dyDescent="0.25">
      <c r="A1578" s="4" t="s">
        <v>3631</v>
      </c>
      <c r="B1578" s="5" t="s">
        <v>4407</v>
      </c>
      <c r="C1578" s="6" t="s">
        <v>23</v>
      </c>
      <c r="D1578" s="6" t="s">
        <v>4463</v>
      </c>
      <c r="E1578" s="7" t="s">
        <v>4443</v>
      </c>
    </row>
    <row r="1579" spans="1:5" x14ac:dyDescent="0.25">
      <c r="A1579" s="11" t="s">
        <v>3644</v>
      </c>
      <c r="B1579" s="5" t="s">
        <v>4421</v>
      </c>
      <c r="C1579" s="12" t="s">
        <v>23</v>
      </c>
      <c r="D1579" s="12" t="s">
        <v>4463</v>
      </c>
      <c r="E1579" s="7" t="s">
        <v>4443</v>
      </c>
    </row>
    <row r="1580" spans="1:5" x14ac:dyDescent="0.25">
      <c r="A1580" s="4" t="s">
        <v>3645</v>
      </c>
      <c r="B1580" s="5" t="s">
        <v>4422</v>
      </c>
      <c r="C1580" s="6" t="s">
        <v>23</v>
      </c>
      <c r="D1580" s="6" t="s">
        <v>4463</v>
      </c>
      <c r="E1580" s="7" t="s">
        <v>4443</v>
      </c>
    </row>
    <row r="1581" spans="1:5" x14ac:dyDescent="0.25">
      <c r="A1581" s="4" t="s">
        <v>3646</v>
      </c>
      <c r="B1581" s="5" t="s">
        <v>4423</v>
      </c>
      <c r="C1581" s="6" t="s">
        <v>23</v>
      </c>
      <c r="D1581" s="6" t="s">
        <v>4463</v>
      </c>
      <c r="E1581" s="7" t="s">
        <v>4443</v>
      </c>
    </row>
    <row r="1582" spans="1:5" x14ac:dyDescent="0.25">
      <c r="A1582" s="4" t="s">
        <v>1828</v>
      </c>
      <c r="B1582" s="5" t="s">
        <v>1827</v>
      </c>
      <c r="C1582" s="6" t="s">
        <v>23</v>
      </c>
      <c r="D1582" s="6" t="s">
        <v>63</v>
      </c>
      <c r="E1582" s="7" t="s">
        <v>98</v>
      </c>
    </row>
    <row r="1583" spans="1:5" x14ac:dyDescent="0.25">
      <c r="A1583" s="4" t="s">
        <v>1830</v>
      </c>
      <c r="B1583" s="5" t="s">
        <v>1829</v>
      </c>
      <c r="C1583" s="6" t="s">
        <v>23</v>
      </c>
      <c r="D1583" s="6" t="s">
        <v>63</v>
      </c>
      <c r="E1583" s="7" t="s">
        <v>67</v>
      </c>
    </row>
    <row r="1584" spans="1:5" x14ac:dyDescent="0.25">
      <c r="A1584" s="4" t="s">
        <v>1832</v>
      </c>
      <c r="B1584" s="5" t="s">
        <v>1831</v>
      </c>
      <c r="C1584" s="6" t="s">
        <v>23</v>
      </c>
      <c r="D1584" s="6" t="s">
        <v>24</v>
      </c>
      <c r="E1584" s="7" t="s">
        <v>4457</v>
      </c>
    </row>
    <row r="1585" spans="1:5" x14ac:dyDescent="0.25">
      <c r="A1585" s="4" t="s">
        <v>1834</v>
      </c>
      <c r="B1585" s="5" t="s">
        <v>1833</v>
      </c>
      <c r="C1585" s="6" t="s">
        <v>23</v>
      </c>
      <c r="D1585" s="6" t="s">
        <v>63</v>
      </c>
      <c r="E1585" s="7" t="s">
        <v>67</v>
      </c>
    </row>
    <row r="1586" spans="1:5" x14ac:dyDescent="0.25">
      <c r="A1586" s="4" t="s">
        <v>1836</v>
      </c>
      <c r="B1586" s="5" t="s">
        <v>1835</v>
      </c>
      <c r="C1586" s="6" t="s">
        <v>23</v>
      </c>
      <c r="D1586" s="6" t="s">
        <v>63</v>
      </c>
      <c r="E1586" s="7" t="s">
        <v>64</v>
      </c>
    </row>
    <row r="1587" spans="1:5" x14ac:dyDescent="0.25">
      <c r="A1587" s="4" t="s">
        <v>1838</v>
      </c>
      <c r="B1587" s="5" t="s">
        <v>1837</v>
      </c>
      <c r="C1587" s="6" t="s">
        <v>23</v>
      </c>
      <c r="D1587" s="6" t="s">
        <v>63</v>
      </c>
      <c r="E1587" s="7" t="s">
        <v>98</v>
      </c>
    </row>
    <row r="1588" spans="1:5" x14ac:dyDescent="0.25">
      <c r="A1588" s="4" t="s">
        <v>1840</v>
      </c>
      <c r="B1588" s="5" t="s">
        <v>1839</v>
      </c>
      <c r="C1588" s="6" t="s">
        <v>23</v>
      </c>
      <c r="D1588" s="6" t="s">
        <v>24</v>
      </c>
      <c r="E1588" s="7" t="s">
        <v>287</v>
      </c>
    </row>
    <row r="1589" spans="1:5" x14ac:dyDescent="0.25">
      <c r="A1589" s="4" t="s">
        <v>1842</v>
      </c>
      <c r="B1589" s="5" t="s">
        <v>1841</v>
      </c>
      <c r="C1589" s="6" t="s">
        <v>23</v>
      </c>
      <c r="D1589" s="6" t="s">
        <v>63</v>
      </c>
      <c r="E1589" s="7" t="s">
        <v>86</v>
      </c>
    </row>
    <row r="1590" spans="1:5" x14ac:dyDescent="0.25">
      <c r="A1590" s="4" t="s">
        <v>1844</v>
      </c>
      <c r="B1590" s="5" t="s">
        <v>1843</v>
      </c>
      <c r="C1590" s="6" t="s">
        <v>23</v>
      </c>
      <c r="D1590" s="6" t="s">
        <v>63</v>
      </c>
      <c r="E1590" s="7" t="s">
        <v>287</v>
      </c>
    </row>
    <row r="1591" spans="1:5" x14ac:dyDescent="0.25">
      <c r="A1591" s="4" t="s">
        <v>1846</v>
      </c>
      <c r="B1591" s="5" t="s">
        <v>1845</v>
      </c>
      <c r="C1591" s="6" t="s">
        <v>23</v>
      </c>
      <c r="D1591" s="6" t="s">
        <v>63</v>
      </c>
      <c r="E1591" s="7" t="s">
        <v>98</v>
      </c>
    </row>
    <row r="1592" spans="1:5" x14ac:dyDescent="0.25">
      <c r="A1592" s="4" t="s">
        <v>1848</v>
      </c>
      <c r="B1592" s="5" t="s">
        <v>1847</v>
      </c>
      <c r="C1592" s="6" t="s">
        <v>23</v>
      </c>
      <c r="D1592" s="6" t="s">
        <v>63</v>
      </c>
      <c r="E1592" s="7" t="s">
        <v>67</v>
      </c>
    </row>
    <row r="1593" spans="1:5" x14ac:dyDescent="0.25">
      <c r="A1593" s="4" t="s">
        <v>1850</v>
      </c>
      <c r="B1593" s="5" t="s">
        <v>1849</v>
      </c>
      <c r="C1593" s="6" t="s">
        <v>23</v>
      </c>
      <c r="D1593" s="6" t="s">
        <v>63</v>
      </c>
      <c r="E1593" s="7" t="s">
        <v>287</v>
      </c>
    </row>
    <row r="1594" spans="1:5" x14ac:dyDescent="0.25">
      <c r="A1594" s="4" t="s">
        <v>1852</v>
      </c>
      <c r="B1594" s="5" t="s">
        <v>1851</v>
      </c>
      <c r="C1594" s="6" t="s">
        <v>23</v>
      </c>
      <c r="D1594" s="6" t="s">
        <v>63</v>
      </c>
      <c r="E1594" s="7" t="s">
        <v>425</v>
      </c>
    </row>
    <row r="1595" spans="1:5" x14ac:dyDescent="0.25">
      <c r="A1595" s="4" t="s">
        <v>1854</v>
      </c>
      <c r="B1595" s="5" t="s">
        <v>1853</v>
      </c>
      <c r="C1595" s="6" t="s">
        <v>23</v>
      </c>
      <c r="D1595" s="6" t="s">
        <v>63</v>
      </c>
      <c r="E1595" s="7" t="s">
        <v>4458</v>
      </c>
    </row>
    <row r="1596" spans="1:5" x14ac:dyDescent="0.25">
      <c r="A1596" s="4" t="s">
        <v>1856</v>
      </c>
      <c r="B1596" s="5" t="s">
        <v>1855</v>
      </c>
      <c r="C1596" s="6" t="s">
        <v>23</v>
      </c>
      <c r="D1596" s="6" t="s">
        <v>63</v>
      </c>
      <c r="E1596" s="7" t="s">
        <v>4458</v>
      </c>
    </row>
    <row r="1597" spans="1:5" x14ac:dyDescent="0.25">
      <c r="A1597" s="4" t="s">
        <v>1858</v>
      </c>
      <c r="B1597" s="5" t="s">
        <v>1857</v>
      </c>
      <c r="C1597" s="6" t="s">
        <v>23</v>
      </c>
      <c r="D1597" s="6" t="s">
        <v>63</v>
      </c>
      <c r="E1597" s="7" t="s">
        <v>89</v>
      </c>
    </row>
    <row r="1598" spans="1:5" x14ac:dyDescent="0.25">
      <c r="A1598" s="4" t="s">
        <v>1860</v>
      </c>
      <c r="B1598" s="5" t="s">
        <v>1859</v>
      </c>
      <c r="C1598" s="6" t="s">
        <v>23</v>
      </c>
      <c r="D1598" s="6" t="s">
        <v>63</v>
      </c>
      <c r="E1598" s="7" t="s">
        <v>425</v>
      </c>
    </row>
    <row r="1599" spans="1:5" x14ac:dyDescent="0.25">
      <c r="A1599" s="4" t="s">
        <v>1862</v>
      </c>
      <c r="B1599" s="5" t="s">
        <v>1861</v>
      </c>
      <c r="C1599" s="6" t="s">
        <v>23</v>
      </c>
      <c r="D1599" s="6" t="s">
        <v>63</v>
      </c>
      <c r="E1599" s="7" t="s">
        <v>92</v>
      </c>
    </row>
    <row r="1600" spans="1:5" x14ac:dyDescent="0.25">
      <c r="A1600" s="4" t="s">
        <v>1864</v>
      </c>
      <c r="B1600" s="5" t="s">
        <v>1863</v>
      </c>
      <c r="C1600" s="6" t="s">
        <v>23</v>
      </c>
      <c r="D1600" s="6" t="s">
        <v>63</v>
      </c>
      <c r="E1600" s="7" t="s">
        <v>4460</v>
      </c>
    </row>
    <row r="1601" spans="1:5" x14ac:dyDescent="0.25">
      <c r="A1601" s="4" t="s">
        <v>1866</v>
      </c>
      <c r="B1601" s="5" t="s">
        <v>1865</v>
      </c>
      <c r="C1601" s="6" t="s">
        <v>23</v>
      </c>
      <c r="D1601" s="6" t="s">
        <v>63</v>
      </c>
      <c r="E1601" s="7" t="s">
        <v>572</v>
      </c>
    </row>
    <row r="1602" spans="1:5" x14ac:dyDescent="0.25">
      <c r="A1602" s="4" t="s">
        <v>3599</v>
      </c>
      <c r="B1602" s="5" t="s">
        <v>4376</v>
      </c>
      <c r="C1602" s="6" t="s">
        <v>23</v>
      </c>
      <c r="D1602" s="6" t="s">
        <v>4463</v>
      </c>
      <c r="E1602" s="7" t="s">
        <v>4443</v>
      </c>
    </row>
    <row r="1603" spans="1:5" x14ac:dyDescent="0.25">
      <c r="A1603" s="4" t="s">
        <v>3600</v>
      </c>
      <c r="B1603" s="5" t="s">
        <v>4377</v>
      </c>
      <c r="C1603" s="6" t="s">
        <v>23</v>
      </c>
      <c r="D1603" s="6" t="s">
        <v>4463</v>
      </c>
      <c r="E1603" s="7" t="s">
        <v>4443</v>
      </c>
    </row>
    <row r="1604" spans="1:5" x14ac:dyDescent="0.25">
      <c r="A1604" s="4" t="s">
        <v>3602</v>
      </c>
      <c r="B1604" s="5" t="s">
        <v>4379</v>
      </c>
      <c r="C1604" s="6" t="s">
        <v>23</v>
      </c>
      <c r="D1604" s="6" t="s">
        <v>4463</v>
      </c>
      <c r="E1604" s="7" t="s">
        <v>4443</v>
      </c>
    </row>
    <row r="1605" spans="1:5" x14ac:dyDescent="0.25">
      <c r="A1605" s="4" t="s">
        <v>1868</v>
      </c>
      <c r="B1605" s="5" t="s">
        <v>1867</v>
      </c>
      <c r="C1605" s="6" t="s">
        <v>23</v>
      </c>
      <c r="D1605" s="6" t="s">
        <v>24</v>
      </c>
      <c r="E1605" s="7" t="s">
        <v>4449</v>
      </c>
    </row>
    <row r="1606" spans="1:5" x14ac:dyDescent="0.25">
      <c r="A1606" s="4" t="s">
        <v>1870</v>
      </c>
      <c r="B1606" s="5" t="s">
        <v>1869</v>
      </c>
      <c r="C1606" s="6" t="s">
        <v>23</v>
      </c>
      <c r="D1606" s="6" t="s">
        <v>63</v>
      </c>
      <c r="E1606" s="7" t="s">
        <v>98</v>
      </c>
    </row>
    <row r="1607" spans="1:5" x14ac:dyDescent="0.25">
      <c r="A1607" s="4" t="s">
        <v>3303</v>
      </c>
      <c r="B1607" s="5" t="s">
        <v>4076</v>
      </c>
      <c r="C1607" s="6" t="s">
        <v>23</v>
      </c>
      <c r="D1607" s="6" t="s">
        <v>63</v>
      </c>
      <c r="E1607" s="7" t="s">
        <v>98</v>
      </c>
    </row>
    <row r="1608" spans="1:5" x14ac:dyDescent="0.25">
      <c r="A1608" s="4" t="s">
        <v>1872</v>
      </c>
      <c r="B1608" s="5" t="s">
        <v>1871</v>
      </c>
      <c r="C1608" s="6" t="s">
        <v>23</v>
      </c>
      <c r="D1608" s="6" t="s">
        <v>24</v>
      </c>
      <c r="E1608" s="7" t="s">
        <v>4447</v>
      </c>
    </row>
    <row r="1609" spans="1:5" x14ac:dyDescent="0.25">
      <c r="A1609" s="4" t="s">
        <v>1874</v>
      </c>
      <c r="B1609" s="5" t="s">
        <v>1873</v>
      </c>
      <c r="C1609" s="6" t="s">
        <v>23</v>
      </c>
      <c r="D1609" s="6" t="s">
        <v>63</v>
      </c>
      <c r="E1609" s="7" t="s">
        <v>64</v>
      </c>
    </row>
    <row r="1610" spans="1:5" x14ac:dyDescent="0.25">
      <c r="A1610" s="4" t="s">
        <v>1876</v>
      </c>
      <c r="B1610" s="5" t="s">
        <v>1875</v>
      </c>
      <c r="C1610" s="6" t="s">
        <v>23</v>
      </c>
      <c r="D1610" s="6" t="s">
        <v>24</v>
      </c>
      <c r="E1610" s="7" t="s">
        <v>4446</v>
      </c>
    </row>
    <row r="1611" spans="1:5" x14ac:dyDescent="0.25">
      <c r="A1611" s="4" t="s">
        <v>1878</v>
      </c>
      <c r="B1611" s="5" t="s">
        <v>1877</v>
      </c>
      <c r="C1611" s="6" t="s">
        <v>23</v>
      </c>
      <c r="D1611" s="6" t="s">
        <v>24</v>
      </c>
      <c r="E1611" s="7" t="s">
        <v>4448</v>
      </c>
    </row>
    <row r="1612" spans="1:5" x14ac:dyDescent="0.25">
      <c r="A1612" s="4" t="s">
        <v>1880</v>
      </c>
      <c r="B1612" s="5" t="s">
        <v>1879</v>
      </c>
      <c r="C1612" s="6" t="s">
        <v>23</v>
      </c>
      <c r="D1612" s="6" t="s">
        <v>24</v>
      </c>
      <c r="E1612" s="7" t="s">
        <v>4450</v>
      </c>
    </row>
    <row r="1613" spans="1:5" x14ac:dyDescent="0.25">
      <c r="A1613" s="4" t="s">
        <v>1882</v>
      </c>
      <c r="B1613" s="5" t="s">
        <v>1881</v>
      </c>
      <c r="C1613" s="6" t="s">
        <v>23</v>
      </c>
      <c r="D1613" s="6" t="s">
        <v>24</v>
      </c>
      <c r="E1613" s="7" t="s">
        <v>4449</v>
      </c>
    </row>
    <row r="1614" spans="1:5" x14ac:dyDescent="0.25">
      <c r="A1614" s="4" t="s">
        <v>4545</v>
      </c>
      <c r="B1614" s="5" t="s">
        <v>4546</v>
      </c>
      <c r="C1614" s="6" t="s">
        <v>23</v>
      </c>
      <c r="D1614" s="6" t="s">
        <v>63</v>
      </c>
      <c r="E1614" s="7" t="s">
        <v>98</v>
      </c>
    </row>
    <row r="1615" spans="1:5" x14ac:dyDescent="0.25">
      <c r="A1615" s="4" t="s">
        <v>3293</v>
      </c>
      <c r="B1615" s="5" t="s">
        <v>4063</v>
      </c>
      <c r="C1615" s="6" t="s">
        <v>23</v>
      </c>
      <c r="D1615" s="6" t="s">
        <v>63</v>
      </c>
      <c r="E1615" s="7" t="s">
        <v>98</v>
      </c>
    </row>
    <row r="1616" spans="1:5" x14ac:dyDescent="0.25">
      <c r="A1616" s="4" t="s">
        <v>3293</v>
      </c>
      <c r="B1616" s="5" t="s">
        <v>4068</v>
      </c>
      <c r="C1616" s="6" t="s">
        <v>23</v>
      </c>
      <c r="D1616" s="6" t="s">
        <v>63</v>
      </c>
      <c r="E1616" s="7" t="s">
        <v>98</v>
      </c>
    </row>
    <row r="1617" spans="1:5" x14ac:dyDescent="0.25">
      <c r="A1617" s="4" t="s">
        <v>1884</v>
      </c>
      <c r="B1617" s="5" t="s">
        <v>1883</v>
      </c>
      <c r="C1617" s="6" t="s">
        <v>23</v>
      </c>
      <c r="D1617" s="6" t="s">
        <v>63</v>
      </c>
      <c r="E1617" s="7" t="s">
        <v>4458</v>
      </c>
    </row>
    <row r="1618" spans="1:5" x14ac:dyDescent="0.25">
      <c r="A1618" s="4" t="s">
        <v>1886</v>
      </c>
      <c r="B1618" s="5" t="s">
        <v>1885</v>
      </c>
      <c r="C1618" s="6" t="s">
        <v>23</v>
      </c>
      <c r="D1618" s="6" t="s">
        <v>63</v>
      </c>
      <c r="E1618" s="7" t="s">
        <v>4461</v>
      </c>
    </row>
    <row r="1619" spans="1:5" x14ac:dyDescent="0.25">
      <c r="A1619" s="4" t="s">
        <v>1888</v>
      </c>
      <c r="B1619" s="5" t="s">
        <v>1887</v>
      </c>
      <c r="C1619" s="6" t="s">
        <v>23</v>
      </c>
      <c r="D1619" s="6" t="s">
        <v>63</v>
      </c>
      <c r="E1619" s="7" t="s">
        <v>4460</v>
      </c>
    </row>
    <row r="1620" spans="1:5" x14ac:dyDescent="0.25">
      <c r="A1620" s="4" t="s">
        <v>1890</v>
      </c>
      <c r="B1620" s="5" t="s">
        <v>1889</v>
      </c>
      <c r="C1620" s="6" t="s">
        <v>23</v>
      </c>
      <c r="D1620" s="6" t="s">
        <v>63</v>
      </c>
      <c r="E1620" s="7" t="s">
        <v>4462</v>
      </c>
    </row>
    <row r="1621" spans="1:5" x14ac:dyDescent="0.25">
      <c r="A1621" s="4" t="s">
        <v>1892</v>
      </c>
      <c r="B1621" s="5" t="s">
        <v>1891</v>
      </c>
      <c r="C1621" s="6" t="s">
        <v>23</v>
      </c>
      <c r="D1621" s="6" t="s">
        <v>63</v>
      </c>
      <c r="E1621" s="7" t="s">
        <v>4461</v>
      </c>
    </row>
    <row r="1622" spans="1:5" x14ac:dyDescent="0.25">
      <c r="A1622" s="4" t="s">
        <v>1894</v>
      </c>
      <c r="B1622" s="5" t="s">
        <v>1893</v>
      </c>
      <c r="C1622" s="6" t="s">
        <v>23</v>
      </c>
      <c r="D1622" s="6" t="s">
        <v>63</v>
      </c>
      <c r="E1622" s="7" t="s">
        <v>4458</v>
      </c>
    </row>
    <row r="1623" spans="1:5" x14ac:dyDescent="0.25">
      <c r="A1623" s="4" t="s">
        <v>1896</v>
      </c>
      <c r="B1623" s="5" t="s">
        <v>1895</v>
      </c>
      <c r="C1623" s="6" t="s">
        <v>23</v>
      </c>
      <c r="D1623" s="6" t="s">
        <v>63</v>
      </c>
      <c r="E1623" s="7" t="s">
        <v>95</v>
      </c>
    </row>
    <row r="1624" spans="1:5" x14ac:dyDescent="0.25">
      <c r="A1624" s="4" t="s">
        <v>1898</v>
      </c>
      <c r="B1624" s="5" t="s">
        <v>1897</v>
      </c>
      <c r="C1624" s="6" t="s">
        <v>23</v>
      </c>
      <c r="D1624" s="6" t="s">
        <v>63</v>
      </c>
      <c r="E1624" s="7" t="s">
        <v>425</v>
      </c>
    </row>
    <row r="1625" spans="1:5" x14ac:dyDescent="0.25">
      <c r="A1625" s="4" t="s">
        <v>1900</v>
      </c>
      <c r="B1625" s="5" t="s">
        <v>1899</v>
      </c>
      <c r="C1625" s="6" t="s">
        <v>23</v>
      </c>
      <c r="D1625" s="6" t="s">
        <v>63</v>
      </c>
      <c r="E1625" s="7" t="s">
        <v>92</v>
      </c>
    </row>
    <row r="1626" spans="1:5" x14ac:dyDescent="0.25">
      <c r="A1626" s="4" t="s">
        <v>1902</v>
      </c>
      <c r="B1626" s="5" t="s">
        <v>1901</v>
      </c>
      <c r="C1626" s="6" t="s">
        <v>23</v>
      </c>
      <c r="D1626" s="6" t="s">
        <v>63</v>
      </c>
      <c r="E1626" s="7" t="s">
        <v>92</v>
      </c>
    </row>
    <row r="1627" spans="1:5" x14ac:dyDescent="0.25">
      <c r="A1627" s="4" t="s">
        <v>1904</v>
      </c>
      <c r="B1627" s="5" t="s">
        <v>1903</v>
      </c>
      <c r="C1627" s="6" t="s">
        <v>23</v>
      </c>
      <c r="D1627" s="6" t="s">
        <v>63</v>
      </c>
      <c r="E1627" s="7" t="s">
        <v>572</v>
      </c>
    </row>
    <row r="1628" spans="1:5" x14ac:dyDescent="0.25">
      <c r="A1628" s="4" t="s">
        <v>1906</v>
      </c>
      <c r="B1628" s="5" t="s">
        <v>1905</v>
      </c>
      <c r="C1628" s="6" t="s">
        <v>23</v>
      </c>
      <c r="D1628" s="6" t="s">
        <v>63</v>
      </c>
      <c r="E1628" s="7" t="s">
        <v>95</v>
      </c>
    </row>
    <row r="1629" spans="1:5" x14ac:dyDescent="0.25">
      <c r="A1629" s="4" t="s">
        <v>1908</v>
      </c>
      <c r="B1629" s="5" t="s">
        <v>1907</v>
      </c>
      <c r="C1629" s="6" t="s">
        <v>23</v>
      </c>
      <c r="D1629" s="6" t="s">
        <v>63</v>
      </c>
      <c r="E1629" s="7" t="s">
        <v>4460</v>
      </c>
    </row>
    <row r="1630" spans="1:5" x14ac:dyDescent="0.25">
      <c r="A1630" s="4" t="s">
        <v>1910</v>
      </c>
      <c r="B1630" s="5" t="s">
        <v>1909</v>
      </c>
      <c r="C1630" s="6" t="s">
        <v>23</v>
      </c>
      <c r="D1630" s="6" t="s">
        <v>63</v>
      </c>
      <c r="E1630" s="7" t="s">
        <v>4462</v>
      </c>
    </row>
    <row r="1631" spans="1:5" x14ac:dyDescent="0.25">
      <c r="A1631" s="4" t="s">
        <v>1912</v>
      </c>
      <c r="B1631" s="5" t="s">
        <v>1911</v>
      </c>
      <c r="C1631" s="6" t="s">
        <v>23</v>
      </c>
      <c r="D1631" s="6" t="s">
        <v>24</v>
      </c>
      <c r="E1631" s="7" t="s">
        <v>4457</v>
      </c>
    </row>
    <row r="1632" spans="1:5" x14ac:dyDescent="0.25">
      <c r="A1632" s="4" t="s">
        <v>1914</v>
      </c>
      <c r="B1632" s="5" t="s">
        <v>1913</v>
      </c>
      <c r="C1632" s="6" t="s">
        <v>23</v>
      </c>
      <c r="D1632" s="6" t="s">
        <v>24</v>
      </c>
      <c r="E1632" s="7" t="s">
        <v>4447</v>
      </c>
    </row>
    <row r="1633" spans="1:5" x14ac:dyDescent="0.25">
      <c r="A1633" s="4" t="s">
        <v>1916</v>
      </c>
      <c r="B1633" s="5" t="s">
        <v>1915</v>
      </c>
      <c r="C1633" s="6" t="s">
        <v>23</v>
      </c>
      <c r="D1633" s="6" t="s">
        <v>24</v>
      </c>
      <c r="E1633" s="7" t="s">
        <v>4448</v>
      </c>
    </row>
    <row r="1634" spans="1:5" x14ac:dyDescent="0.25">
      <c r="A1634" s="4" t="s">
        <v>1918</v>
      </c>
      <c r="B1634" s="5" t="s">
        <v>1917</v>
      </c>
      <c r="C1634" s="6" t="s">
        <v>23</v>
      </c>
      <c r="D1634" s="6" t="s">
        <v>24</v>
      </c>
      <c r="E1634" s="7" t="s">
        <v>4450</v>
      </c>
    </row>
    <row r="1635" spans="1:5" x14ac:dyDescent="0.25">
      <c r="A1635" s="4" t="s">
        <v>1920</v>
      </c>
      <c r="B1635" s="5" t="s">
        <v>1919</v>
      </c>
      <c r="C1635" s="6" t="s">
        <v>23</v>
      </c>
      <c r="D1635" s="6" t="s">
        <v>24</v>
      </c>
      <c r="E1635" s="7" t="s">
        <v>4451</v>
      </c>
    </row>
    <row r="1636" spans="1:5" x14ac:dyDescent="0.25">
      <c r="A1636" s="4" t="s">
        <v>1922</v>
      </c>
      <c r="B1636" s="5" t="s">
        <v>1921</v>
      </c>
      <c r="C1636" s="12" t="s">
        <v>23</v>
      </c>
      <c r="D1636" s="12" t="s">
        <v>24</v>
      </c>
      <c r="E1636" s="7" t="s">
        <v>4452</v>
      </c>
    </row>
    <row r="1637" spans="1:5" x14ac:dyDescent="0.25">
      <c r="A1637" s="4" t="s">
        <v>1924</v>
      </c>
      <c r="B1637" s="5" t="s">
        <v>1923</v>
      </c>
      <c r="C1637" s="6" t="s">
        <v>23</v>
      </c>
      <c r="D1637" s="6" t="s">
        <v>24</v>
      </c>
      <c r="E1637" s="7" t="s">
        <v>4456</v>
      </c>
    </row>
    <row r="1638" spans="1:5" x14ac:dyDescent="0.25">
      <c r="A1638" s="4" t="s">
        <v>1926</v>
      </c>
      <c r="B1638" s="5" t="s">
        <v>1925</v>
      </c>
      <c r="C1638" s="6" t="s">
        <v>23</v>
      </c>
      <c r="D1638" s="6" t="s">
        <v>24</v>
      </c>
      <c r="E1638" s="7" t="s">
        <v>4447</v>
      </c>
    </row>
    <row r="1639" spans="1:5" x14ac:dyDescent="0.25">
      <c r="A1639" s="4" t="s">
        <v>1928</v>
      </c>
      <c r="B1639" s="5" t="s">
        <v>1927</v>
      </c>
      <c r="C1639" s="6" t="s">
        <v>23</v>
      </c>
      <c r="D1639" s="6" t="s">
        <v>24</v>
      </c>
      <c r="E1639" s="7" t="s">
        <v>4448</v>
      </c>
    </row>
    <row r="1640" spans="1:5" x14ac:dyDescent="0.25">
      <c r="A1640" s="4" t="s">
        <v>1930</v>
      </c>
      <c r="B1640" s="5" t="s">
        <v>1929</v>
      </c>
      <c r="C1640" s="6" t="s">
        <v>23</v>
      </c>
      <c r="D1640" s="6" t="s">
        <v>24</v>
      </c>
      <c r="E1640" s="7" t="s">
        <v>4450</v>
      </c>
    </row>
    <row r="1641" spans="1:5" x14ac:dyDescent="0.25">
      <c r="A1641" s="4" t="s">
        <v>1932</v>
      </c>
      <c r="B1641" s="5" t="s">
        <v>1931</v>
      </c>
      <c r="C1641" s="6" t="s">
        <v>23</v>
      </c>
      <c r="D1641" s="6" t="s">
        <v>24</v>
      </c>
      <c r="E1641" s="7" t="s">
        <v>4454</v>
      </c>
    </row>
    <row r="1642" spans="1:5" x14ac:dyDescent="0.25">
      <c r="A1642" s="4" t="s">
        <v>1934</v>
      </c>
      <c r="B1642" s="5" t="s">
        <v>1933</v>
      </c>
      <c r="C1642" s="6" t="s">
        <v>23</v>
      </c>
      <c r="D1642" s="6" t="s">
        <v>24</v>
      </c>
      <c r="E1642" s="7" t="s">
        <v>4452</v>
      </c>
    </row>
    <row r="1643" spans="1:5" x14ac:dyDescent="0.25">
      <c r="A1643" s="4" t="s">
        <v>1936</v>
      </c>
      <c r="B1643" s="5" t="s">
        <v>1935</v>
      </c>
      <c r="C1643" s="6" t="s">
        <v>23</v>
      </c>
      <c r="D1643" s="6" t="s">
        <v>24</v>
      </c>
      <c r="E1643" s="7" t="s">
        <v>4451</v>
      </c>
    </row>
    <row r="1644" spans="1:5" x14ac:dyDescent="0.25">
      <c r="A1644" s="4" t="s">
        <v>3330</v>
      </c>
      <c r="B1644" s="5" t="s">
        <v>4100</v>
      </c>
      <c r="C1644" s="6" t="s">
        <v>23</v>
      </c>
      <c r="D1644" s="6" t="s">
        <v>4445</v>
      </c>
      <c r="E1644" s="7" t="s">
        <v>4443</v>
      </c>
    </row>
    <row r="1645" spans="1:5" x14ac:dyDescent="0.25">
      <c r="A1645" s="4" t="s">
        <v>1938</v>
      </c>
      <c r="B1645" s="5" t="s">
        <v>1937</v>
      </c>
      <c r="C1645" s="6" t="s">
        <v>23</v>
      </c>
      <c r="D1645" s="6" t="s">
        <v>320</v>
      </c>
      <c r="E1645" s="7" t="s">
        <v>4444</v>
      </c>
    </row>
    <row r="1646" spans="1:5" x14ac:dyDescent="0.25">
      <c r="A1646" s="4" t="s">
        <v>1940</v>
      </c>
      <c r="B1646" s="5" t="s">
        <v>1939</v>
      </c>
      <c r="C1646" s="6" t="s">
        <v>23</v>
      </c>
      <c r="D1646" s="6" t="s">
        <v>320</v>
      </c>
      <c r="E1646" s="7" t="s">
        <v>4444</v>
      </c>
    </row>
    <row r="1647" spans="1:5" x14ac:dyDescent="0.25">
      <c r="A1647" s="4" t="s">
        <v>4471</v>
      </c>
      <c r="B1647" s="5" t="s">
        <v>4472</v>
      </c>
      <c r="C1647" s="6" t="s">
        <v>23</v>
      </c>
      <c r="D1647" s="6" t="s">
        <v>320</v>
      </c>
      <c r="E1647" s="7" t="s">
        <v>4444</v>
      </c>
    </row>
    <row r="1648" spans="1:5" x14ac:dyDescent="0.25">
      <c r="A1648" s="4" t="s">
        <v>1942</v>
      </c>
      <c r="B1648" s="5" t="s">
        <v>1941</v>
      </c>
      <c r="C1648" s="6" t="s">
        <v>23</v>
      </c>
      <c r="D1648" s="6" t="s">
        <v>63</v>
      </c>
      <c r="E1648" s="7" t="s">
        <v>572</v>
      </c>
    </row>
    <row r="1649" spans="1:5" x14ac:dyDescent="0.25">
      <c r="A1649" s="4" t="s">
        <v>1944</v>
      </c>
      <c r="B1649" s="5" t="s">
        <v>1943</v>
      </c>
      <c r="C1649" s="6" t="s">
        <v>23</v>
      </c>
      <c r="D1649" s="6" t="s">
        <v>63</v>
      </c>
      <c r="E1649" s="7" t="s">
        <v>4458</v>
      </c>
    </row>
    <row r="1650" spans="1:5" x14ac:dyDescent="0.25">
      <c r="A1650" s="4" t="s">
        <v>1946</v>
      </c>
      <c r="B1650" s="5" t="s">
        <v>1945</v>
      </c>
      <c r="C1650" s="6" t="s">
        <v>23</v>
      </c>
      <c r="D1650" s="6" t="s">
        <v>63</v>
      </c>
      <c r="E1650" s="7" t="s">
        <v>95</v>
      </c>
    </row>
    <row r="1651" spans="1:5" x14ac:dyDescent="0.25">
      <c r="A1651" s="4" t="s">
        <v>1948</v>
      </c>
      <c r="B1651" s="5" t="s">
        <v>1947</v>
      </c>
      <c r="C1651" s="6" t="s">
        <v>23</v>
      </c>
      <c r="D1651" s="6" t="s">
        <v>24</v>
      </c>
      <c r="E1651" s="7" t="s">
        <v>4449</v>
      </c>
    </row>
    <row r="1652" spans="1:5" x14ac:dyDescent="0.25">
      <c r="A1652" s="4" t="s">
        <v>1950</v>
      </c>
      <c r="B1652" s="5" t="s">
        <v>1949</v>
      </c>
      <c r="C1652" s="6" t="s">
        <v>23</v>
      </c>
      <c r="D1652" s="6" t="s">
        <v>24</v>
      </c>
      <c r="E1652" s="7" t="s">
        <v>4447</v>
      </c>
    </row>
    <row r="1653" spans="1:5" x14ac:dyDescent="0.25">
      <c r="A1653" s="4" t="s">
        <v>3332</v>
      </c>
      <c r="B1653" s="5" t="s">
        <v>4102</v>
      </c>
      <c r="C1653" s="6" t="s">
        <v>23</v>
      </c>
      <c r="D1653" s="6" t="s">
        <v>4445</v>
      </c>
      <c r="E1653" s="7" t="s">
        <v>4443</v>
      </c>
    </row>
    <row r="1654" spans="1:5" x14ac:dyDescent="0.25">
      <c r="A1654" s="4" t="s">
        <v>3272</v>
      </c>
      <c r="B1654" s="5" t="s">
        <v>4042</v>
      </c>
      <c r="C1654" s="6" t="s">
        <v>23</v>
      </c>
      <c r="D1654" s="6" t="s">
        <v>4445</v>
      </c>
      <c r="E1654" s="7" t="s">
        <v>4443</v>
      </c>
    </row>
    <row r="1655" spans="1:5" x14ac:dyDescent="0.25">
      <c r="A1655" s="4" t="s">
        <v>3281</v>
      </c>
      <c r="B1655" s="5" t="s">
        <v>4051</v>
      </c>
      <c r="C1655" s="6" t="s">
        <v>23</v>
      </c>
      <c r="D1655" s="6" t="s">
        <v>4445</v>
      </c>
      <c r="E1655" s="7" t="s">
        <v>4443</v>
      </c>
    </row>
    <row r="1656" spans="1:5" x14ac:dyDescent="0.25">
      <c r="A1656" s="11" t="s">
        <v>3286</v>
      </c>
      <c r="B1656" s="5" t="s">
        <v>4056</v>
      </c>
      <c r="C1656" s="12" t="s">
        <v>23</v>
      </c>
      <c r="D1656" s="12" t="s">
        <v>4445</v>
      </c>
      <c r="E1656" s="7" t="s">
        <v>4443</v>
      </c>
    </row>
    <row r="1657" spans="1:5" x14ac:dyDescent="0.25">
      <c r="A1657" s="4" t="s">
        <v>3164</v>
      </c>
      <c r="B1657" s="5" t="s">
        <v>3934</v>
      </c>
      <c r="C1657" s="6" t="s">
        <v>23</v>
      </c>
      <c r="D1657" s="6" t="s">
        <v>4445</v>
      </c>
      <c r="E1657" s="7" t="s">
        <v>4443</v>
      </c>
    </row>
    <row r="1658" spans="1:5" x14ac:dyDescent="0.25">
      <c r="A1658" s="4" t="s">
        <v>3265</v>
      </c>
      <c r="B1658" s="5" t="s">
        <v>4035</v>
      </c>
      <c r="C1658" s="6" t="s">
        <v>23</v>
      </c>
      <c r="D1658" s="6" t="s">
        <v>4445</v>
      </c>
      <c r="E1658" s="7" t="s">
        <v>4443</v>
      </c>
    </row>
    <row r="1659" spans="1:5" x14ac:dyDescent="0.25">
      <c r="A1659" s="4" t="s">
        <v>3228</v>
      </c>
      <c r="B1659" s="5" t="s">
        <v>3998</v>
      </c>
      <c r="C1659" s="6" t="s">
        <v>23</v>
      </c>
      <c r="D1659" s="6" t="s">
        <v>4445</v>
      </c>
      <c r="E1659" s="7" t="s">
        <v>4443</v>
      </c>
    </row>
    <row r="1660" spans="1:5" x14ac:dyDescent="0.25">
      <c r="A1660" s="4" t="s">
        <v>3270</v>
      </c>
      <c r="B1660" s="5" t="s">
        <v>4040</v>
      </c>
      <c r="C1660" s="6" t="s">
        <v>23</v>
      </c>
      <c r="D1660" s="6" t="s">
        <v>4445</v>
      </c>
      <c r="E1660" s="7" t="s">
        <v>4443</v>
      </c>
    </row>
    <row r="1661" spans="1:5" x14ac:dyDescent="0.25">
      <c r="A1661" s="4" t="s">
        <v>3280</v>
      </c>
      <c r="B1661" s="5" t="s">
        <v>4050</v>
      </c>
      <c r="C1661" s="6" t="s">
        <v>23</v>
      </c>
      <c r="D1661" s="6" t="s">
        <v>4445</v>
      </c>
      <c r="E1661" s="7" t="s">
        <v>4443</v>
      </c>
    </row>
    <row r="1662" spans="1:5" x14ac:dyDescent="0.25">
      <c r="A1662" s="4" t="s">
        <v>3165</v>
      </c>
      <c r="B1662" s="5" t="s">
        <v>3935</v>
      </c>
      <c r="C1662" s="6" t="s">
        <v>23</v>
      </c>
      <c r="D1662" s="6" t="s">
        <v>4445</v>
      </c>
      <c r="E1662" s="7" t="s">
        <v>4443</v>
      </c>
    </row>
    <row r="1663" spans="1:5" x14ac:dyDescent="0.25">
      <c r="A1663" s="4" t="s">
        <v>3166</v>
      </c>
      <c r="B1663" s="5" t="s">
        <v>3936</v>
      </c>
      <c r="C1663" s="6" t="s">
        <v>23</v>
      </c>
      <c r="D1663" s="6" t="s">
        <v>4445</v>
      </c>
      <c r="E1663" s="7" t="s">
        <v>4443</v>
      </c>
    </row>
    <row r="1664" spans="1:5" x14ac:dyDescent="0.25">
      <c r="A1664" s="4" t="s">
        <v>3167</v>
      </c>
      <c r="B1664" s="5" t="s">
        <v>3937</v>
      </c>
      <c r="C1664" s="6" t="s">
        <v>23</v>
      </c>
      <c r="D1664" s="6" t="s">
        <v>4445</v>
      </c>
      <c r="E1664" s="7" t="s">
        <v>4443</v>
      </c>
    </row>
    <row r="1665" spans="1:5" x14ac:dyDescent="0.25">
      <c r="A1665" s="4" t="s">
        <v>3168</v>
      </c>
      <c r="B1665" s="5" t="s">
        <v>3938</v>
      </c>
      <c r="C1665" s="6" t="s">
        <v>23</v>
      </c>
      <c r="D1665" s="6" t="s">
        <v>4445</v>
      </c>
      <c r="E1665" s="7" t="s">
        <v>4443</v>
      </c>
    </row>
    <row r="1666" spans="1:5" x14ac:dyDescent="0.25">
      <c r="A1666" s="4" t="s">
        <v>3279</v>
      </c>
      <c r="B1666" s="5" t="s">
        <v>4049</v>
      </c>
      <c r="C1666" s="6" t="s">
        <v>23</v>
      </c>
      <c r="D1666" s="6" t="s">
        <v>4445</v>
      </c>
      <c r="E1666" s="7" t="s">
        <v>4443</v>
      </c>
    </row>
    <row r="1667" spans="1:5" x14ac:dyDescent="0.25">
      <c r="A1667" s="4" t="s">
        <v>3274</v>
      </c>
      <c r="B1667" s="5" t="s">
        <v>4044</v>
      </c>
      <c r="C1667" s="6" t="s">
        <v>23</v>
      </c>
      <c r="D1667" s="6" t="s">
        <v>4445</v>
      </c>
      <c r="E1667" s="7" t="s">
        <v>4443</v>
      </c>
    </row>
    <row r="1668" spans="1:5" x14ac:dyDescent="0.25">
      <c r="A1668" s="4" t="s">
        <v>3268</v>
      </c>
      <c r="B1668" s="5" t="s">
        <v>4038</v>
      </c>
      <c r="C1668" s="6" t="s">
        <v>23</v>
      </c>
      <c r="D1668" s="6" t="s">
        <v>4445</v>
      </c>
      <c r="E1668" s="7" t="s">
        <v>4443</v>
      </c>
    </row>
    <row r="1669" spans="1:5" x14ac:dyDescent="0.25">
      <c r="A1669" s="4" t="s">
        <v>3182</v>
      </c>
      <c r="B1669" s="5" t="s">
        <v>3952</v>
      </c>
      <c r="C1669" s="6" t="s">
        <v>23</v>
      </c>
      <c r="D1669" s="6" t="s">
        <v>4445</v>
      </c>
      <c r="E1669" s="7" t="s">
        <v>4443</v>
      </c>
    </row>
    <row r="1670" spans="1:5" x14ac:dyDescent="0.25">
      <c r="A1670" s="4" t="s">
        <v>3179</v>
      </c>
      <c r="B1670" s="5" t="s">
        <v>3949</v>
      </c>
      <c r="C1670" s="6" t="s">
        <v>23</v>
      </c>
      <c r="D1670" s="6" t="s">
        <v>4445</v>
      </c>
      <c r="E1670" s="7" t="s">
        <v>4443</v>
      </c>
    </row>
    <row r="1671" spans="1:5" x14ac:dyDescent="0.25">
      <c r="A1671" s="4" t="s">
        <v>3169</v>
      </c>
      <c r="B1671" s="5" t="s">
        <v>3939</v>
      </c>
      <c r="C1671" s="6" t="s">
        <v>23</v>
      </c>
      <c r="D1671" s="6" t="s">
        <v>4445</v>
      </c>
      <c r="E1671" s="7" t="s">
        <v>4443</v>
      </c>
    </row>
    <row r="1672" spans="1:5" x14ac:dyDescent="0.25">
      <c r="A1672" s="4" t="s">
        <v>3170</v>
      </c>
      <c r="B1672" s="5" t="s">
        <v>3940</v>
      </c>
      <c r="C1672" s="6" t="s">
        <v>23</v>
      </c>
      <c r="D1672" s="6" t="s">
        <v>4445</v>
      </c>
      <c r="E1672" s="7" t="s">
        <v>4443</v>
      </c>
    </row>
    <row r="1673" spans="1:5" x14ac:dyDescent="0.25">
      <c r="A1673" s="11" t="s">
        <v>3171</v>
      </c>
      <c r="B1673" s="5" t="s">
        <v>3941</v>
      </c>
      <c r="C1673" s="12" t="s">
        <v>23</v>
      </c>
      <c r="D1673" s="12" t="s">
        <v>4445</v>
      </c>
      <c r="E1673" s="7" t="s">
        <v>4443</v>
      </c>
    </row>
    <row r="1674" spans="1:5" x14ac:dyDescent="0.25">
      <c r="A1674" s="4" t="s">
        <v>3184</v>
      </c>
      <c r="B1674" s="5" t="s">
        <v>3954</v>
      </c>
      <c r="C1674" s="6" t="s">
        <v>23</v>
      </c>
      <c r="D1674" s="6" t="s">
        <v>4445</v>
      </c>
      <c r="E1674" s="7" t="s">
        <v>4443</v>
      </c>
    </row>
    <row r="1675" spans="1:5" x14ac:dyDescent="0.25">
      <c r="A1675" s="4" t="s">
        <v>3273</v>
      </c>
      <c r="B1675" s="5" t="s">
        <v>4043</v>
      </c>
      <c r="C1675" s="6" t="s">
        <v>23</v>
      </c>
      <c r="D1675" s="6" t="s">
        <v>4445</v>
      </c>
      <c r="E1675" s="7" t="s">
        <v>4443</v>
      </c>
    </row>
    <row r="1676" spans="1:5" x14ac:dyDescent="0.25">
      <c r="A1676" s="4" t="s">
        <v>3308</v>
      </c>
      <c r="B1676" s="5" t="s">
        <v>4081</v>
      </c>
      <c r="C1676" s="6" t="s">
        <v>23</v>
      </c>
      <c r="D1676" s="6" t="s">
        <v>4445</v>
      </c>
      <c r="E1676" s="7" t="s">
        <v>4443</v>
      </c>
    </row>
    <row r="1677" spans="1:5" x14ac:dyDescent="0.25">
      <c r="A1677" s="4" t="s">
        <v>3309</v>
      </c>
      <c r="B1677" s="5" t="s">
        <v>4082</v>
      </c>
      <c r="C1677" s="6" t="s">
        <v>23</v>
      </c>
      <c r="D1677" s="6" t="s">
        <v>4445</v>
      </c>
      <c r="E1677" s="7" t="s">
        <v>4443</v>
      </c>
    </row>
    <row r="1678" spans="1:5" x14ac:dyDescent="0.25">
      <c r="A1678" s="4" t="s">
        <v>3267</v>
      </c>
      <c r="B1678" s="5" t="s">
        <v>4037</v>
      </c>
      <c r="C1678" s="6" t="s">
        <v>23</v>
      </c>
      <c r="D1678" s="6" t="s">
        <v>4445</v>
      </c>
      <c r="E1678" s="7" t="s">
        <v>4443</v>
      </c>
    </row>
    <row r="1679" spans="1:5" x14ac:dyDescent="0.25">
      <c r="A1679" s="4" t="s">
        <v>3172</v>
      </c>
      <c r="B1679" s="5" t="s">
        <v>3942</v>
      </c>
      <c r="C1679" s="6" t="s">
        <v>23</v>
      </c>
      <c r="D1679" s="6" t="s">
        <v>4445</v>
      </c>
      <c r="E1679" s="7" t="s">
        <v>4443</v>
      </c>
    </row>
    <row r="1680" spans="1:5" x14ac:dyDescent="0.25">
      <c r="A1680" s="4" t="s">
        <v>3173</v>
      </c>
      <c r="B1680" s="5" t="s">
        <v>3943</v>
      </c>
      <c r="C1680" s="6" t="s">
        <v>23</v>
      </c>
      <c r="D1680" s="6" t="s">
        <v>4445</v>
      </c>
      <c r="E1680" s="7" t="s">
        <v>4443</v>
      </c>
    </row>
    <row r="1681" spans="1:5" x14ac:dyDescent="0.25">
      <c r="A1681" s="4" t="s">
        <v>3259</v>
      </c>
      <c r="B1681" s="5" t="s">
        <v>4029</v>
      </c>
      <c r="C1681" s="6" t="s">
        <v>23</v>
      </c>
      <c r="D1681" s="6" t="s">
        <v>4445</v>
      </c>
      <c r="E1681" s="7" t="s">
        <v>4443</v>
      </c>
    </row>
    <row r="1682" spans="1:5" x14ac:dyDescent="0.25">
      <c r="A1682" s="4" t="s">
        <v>3276</v>
      </c>
      <c r="B1682" s="5" t="s">
        <v>4046</v>
      </c>
      <c r="C1682" s="6" t="s">
        <v>23</v>
      </c>
      <c r="D1682" s="6" t="s">
        <v>4445</v>
      </c>
      <c r="E1682" s="7" t="s">
        <v>4443</v>
      </c>
    </row>
    <row r="1683" spans="1:5" x14ac:dyDescent="0.25">
      <c r="A1683" s="4" t="s">
        <v>3183</v>
      </c>
      <c r="B1683" s="5" t="s">
        <v>3953</v>
      </c>
      <c r="C1683" s="6" t="s">
        <v>23</v>
      </c>
      <c r="D1683" s="6" t="s">
        <v>4445</v>
      </c>
      <c r="E1683" s="7" t="s">
        <v>4443</v>
      </c>
    </row>
    <row r="1684" spans="1:5" x14ac:dyDescent="0.25">
      <c r="A1684" s="4" t="s">
        <v>3275</v>
      </c>
      <c r="B1684" s="5" t="s">
        <v>4045</v>
      </c>
      <c r="C1684" s="6" t="s">
        <v>23</v>
      </c>
      <c r="D1684" s="6" t="s">
        <v>4445</v>
      </c>
      <c r="E1684" s="7" t="s">
        <v>4443</v>
      </c>
    </row>
    <row r="1685" spans="1:5" x14ac:dyDescent="0.25">
      <c r="A1685" s="4" t="s">
        <v>3269</v>
      </c>
      <c r="B1685" s="5" t="s">
        <v>4039</v>
      </c>
      <c r="C1685" s="6" t="s">
        <v>23</v>
      </c>
      <c r="D1685" s="6" t="s">
        <v>4445</v>
      </c>
      <c r="E1685" s="7" t="s">
        <v>4443</v>
      </c>
    </row>
    <row r="1686" spans="1:5" x14ac:dyDescent="0.25">
      <c r="A1686" s="11" t="s">
        <v>3174</v>
      </c>
      <c r="B1686" s="5" t="s">
        <v>3944</v>
      </c>
      <c r="C1686" s="12" t="s">
        <v>23</v>
      </c>
      <c r="D1686" s="12" t="s">
        <v>4445</v>
      </c>
      <c r="E1686" s="7" t="s">
        <v>4443</v>
      </c>
    </row>
    <row r="1687" spans="1:5" x14ac:dyDescent="0.25">
      <c r="A1687" s="11" t="s">
        <v>3175</v>
      </c>
      <c r="B1687" s="10" t="s">
        <v>3945</v>
      </c>
      <c r="C1687" s="12" t="s">
        <v>23</v>
      </c>
      <c r="D1687" s="12" t="s">
        <v>4445</v>
      </c>
      <c r="E1687" s="7" t="s">
        <v>4443</v>
      </c>
    </row>
    <row r="1688" spans="1:5" x14ac:dyDescent="0.25">
      <c r="A1688" s="4" t="s">
        <v>3010</v>
      </c>
      <c r="B1688" s="5" t="s">
        <v>3778</v>
      </c>
      <c r="C1688" s="6" t="s">
        <v>23</v>
      </c>
      <c r="D1688" s="6" t="s">
        <v>4445</v>
      </c>
      <c r="E1688" s="7" t="s">
        <v>4443</v>
      </c>
    </row>
    <row r="1689" spans="1:5" x14ac:dyDescent="0.25">
      <c r="A1689" s="11" t="s">
        <v>3285</v>
      </c>
      <c r="B1689" s="5" t="s">
        <v>4055</v>
      </c>
      <c r="C1689" s="12" t="s">
        <v>23</v>
      </c>
      <c r="D1689" s="12" t="s">
        <v>4445</v>
      </c>
      <c r="E1689" s="7" t="s">
        <v>4443</v>
      </c>
    </row>
    <row r="1690" spans="1:5" x14ac:dyDescent="0.25">
      <c r="A1690" s="4" t="s">
        <v>3271</v>
      </c>
      <c r="B1690" s="5" t="s">
        <v>4041</v>
      </c>
      <c r="C1690" s="6" t="s">
        <v>23</v>
      </c>
      <c r="D1690" s="6" t="s">
        <v>4445</v>
      </c>
      <c r="E1690" s="7" t="s">
        <v>4443</v>
      </c>
    </row>
    <row r="1691" spans="1:5" x14ac:dyDescent="0.25">
      <c r="A1691" s="4" t="s">
        <v>3266</v>
      </c>
      <c r="B1691" s="5" t="s">
        <v>4036</v>
      </c>
      <c r="C1691" s="6" t="s">
        <v>23</v>
      </c>
      <c r="D1691" s="6" t="s">
        <v>4445</v>
      </c>
      <c r="E1691" s="7" t="s">
        <v>4443</v>
      </c>
    </row>
    <row r="1692" spans="1:5" x14ac:dyDescent="0.25">
      <c r="A1692" s="4" t="s">
        <v>3176</v>
      </c>
      <c r="B1692" s="5" t="s">
        <v>3946</v>
      </c>
      <c r="C1692" s="6" t="s">
        <v>23</v>
      </c>
      <c r="D1692" s="6" t="s">
        <v>4445</v>
      </c>
      <c r="E1692" s="7" t="s">
        <v>4443</v>
      </c>
    </row>
    <row r="1693" spans="1:5" x14ac:dyDescent="0.25">
      <c r="A1693" s="11" t="s">
        <v>3177</v>
      </c>
      <c r="B1693" s="5" t="s">
        <v>3947</v>
      </c>
      <c r="C1693" s="12" t="s">
        <v>23</v>
      </c>
      <c r="D1693" s="12" t="s">
        <v>4445</v>
      </c>
      <c r="E1693" s="7" t="s">
        <v>4443</v>
      </c>
    </row>
    <row r="1694" spans="1:5" x14ac:dyDescent="0.25">
      <c r="A1694" s="4" t="s">
        <v>3178</v>
      </c>
      <c r="B1694" s="5" t="s">
        <v>3948</v>
      </c>
      <c r="C1694" s="6" t="s">
        <v>23</v>
      </c>
      <c r="D1694" s="6" t="s">
        <v>4445</v>
      </c>
      <c r="E1694" s="7" t="s">
        <v>4443</v>
      </c>
    </row>
    <row r="1695" spans="1:5" x14ac:dyDescent="0.25">
      <c r="A1695" s="11" t="s">
        <v>3249</v>
      </c>
      <c r="B1695" s="5" t="s">
        <v>4019</v>
      </c>
      <c r="C1695" s="12" t="s">
        <v>23</v>
      </c>
      <c r="D1695" s="12" t="s">
        <v>4445</v>
      </c>
      <c r="E1695" s="7" t="s">
        <v>4443</v>
      </c>
    </row>
    <row r="1696" spans="1:5" x14ac:dyDescent="0.25">
      <c r="A1696" s="11" t="s">
        <v>3255</v>
      </c>
      <c r="B1696" s="5" t="s">
        <v>4025</v>
      </c>
      <c r="C1696" s="12" t="s">
        <v>23</v>
      </c>
      <c r="D1696" s="12" t="s">
        <v>4445</v>
      </c>
      <c r="E1696" s="7" t="s">
        <v>4443</v>
      </c>
    </row>
    <row r="1697" spans="1:5" x14ac:dyDescent="0.25">
      <c r="A1697" s="4" t="s">
        <v>3482</v>
      </c>
      <c r="B1697" s="5" t="s">
        <v>4256</v>
      </c>
      <c r="C1697" s="6" t="s">
        <v>23</v>
      </c>
      <c r="D1697" s="6" t="s">
        <v>4445</v>
      </c>
      <c r="E1697" s="7" t="s">
        <v>4443</v>
      </c>
    </row>
    <row r="1698" spans="1:5" x14ac:dyDescent="0.25">
      <c r="A1698" s="11" t="s">
        <v>3483</v>
      </c>
      <c r="B1698" s="5" t="s">
        <v>4257</v>
      </c>
      <c r="C1698" s="12" t="s">
        <v>23</v>
      </c>
      <c r="D1698" s="12" t="s">
        <v>4445</v>
      </c>
      <c r="E1698" s="7" t="s">
        <v>4443</v>
      </c>
    </row>
    <row r="1699" spans="1:5" x14ac:dyDescent="0.25">
      <c r="A1699" s="11" t="s">
        <v>3570</v>
      </c>
      <c r="B1699" s="5" t="s">
        <v>4346</v>
      </c>
      <c r="C1699" s="12" t="s">
        <v>23</v>
      </c>
      <c r="D1699" s="12" t="s">
        <v>4445</v>
      </c>
      <c r="E1699" s="7" t="s">
        <v>4443</v>
      </c>
    </row>
    <row r="1700" spans="1:5" x14ac:dyDescent="0.25">
      <c r="A1700" s="4" t="s">
        <v>3484</v>
      </c>
      <c r="B1700" s="5" t="s">
        <v>4258</v>
      </c>
      <c r="C1700" s="6" t="s">
        <v>23</v>
      </c>
      <c r="D1700" s="6" t="s">
        <v>4445</v>
      </c>
      <c r="E1700" s="7" t="s">
        <v>4443</v>
      </c>
    </row>
    <row r="1701" spans="1:5" x14ac:dyDescent="0.25">
      <c r="A1701" s="4" t="s">
        <v>3257</v>
      </c>
      <c r="B1701" s="5" t="s">
        <v>4027</v>
      </c>
      <c r="C1701" s="6" t="s">
        <v>23</v>
      </c>
      <c r="D1701" s="6" t="s">
        <v>4445</v>
      </c>
      <c r="E1701" s="7" t="s">
        <v>4443</v>
      </c>
    </row>
    <row r="1702" spans="1:5" x14ac:dyDescent="0.25">
      <c r="A1702" s="4" t="s">
        <v>3258</v>
      </c>
      <c r="B1702" s="5" t="s">
        <v>4028</v>
      </c>
      <c r="C1702" s="6" t="s">
        <v>23</v>
      </c>
      <c r="D1702" s="6" t="s">
        <v>4445</v>
      </c>
      <c r="E1702" s="7" t="s">
        <v>4443</v>
      </c>
    </row>
    <row r="1703" spans="1:5" x14ac:dyDescent="0.25">
      <c r="A1703" s="4" t="s">
        <v>3039</v>
      </c>
      <c r="B1703" s="5" t="s">
        <v>3808</v>
      </c>
      <c r="C1703" s="6" t="s">
        <v>23</v>
      </c>
      <c r="D1703" s="6" t="s">
        <v>4445</v>
      </c>
      <c r="E1703" s="7" t="s">
        <v>4443</v>
      </c>
    </row>
    <row r="1704" spans="1:5" x14ac:dyDescent="0.25">
      <c r="A1704" s="4" t="s">
        <v>3485</v>
      </c>
      <c r="B1704" s="5" t="s">
        <v>4259</v>
      </c>
      <c r="C1704" s="6" t="s">
        <v>23</v>
      </c>
      <c r="D1704" s="6" t="s">
        <v>4445</v>
      </c>
      <c r="E1704" s="7" t="s">
        <v>4443</v>
      </c>
    </row>
    <row r="1705" spans="1:5" x14ac:dyDescent="0.25">
      <c r="A1705" s="4" t="s">
        <v>3556</v>
      </c>
      <c r="B1705" s="5" t="s">
        <v>4331</v>
      </c>
      <c r="C1705" s="6" t="s">
        <v>23</v>
      </c>
      <c r="D1705" s="6" t="s">
        <v>4445</v>
      </c>
      <c r="E1705" s="7" t="s">
        <v>4443</v>
      </c>
    </row>
    <row r="1706" spans="1:5" x14ac:dyDescent="0.25">
      <c r="A1706" s="4" t="s">
        <v>3486</v>
      </c>
      <c r="B1706" s="5" t="s">
        <v>4260</v>
      </c>
      <c r="C1706" s="6" t="s">
        <v>23</v>
      </c>
      <c r="D1706" s="6" t="s">
        <v>4445</v>
      </c>
      <c r="E1706" s="7" t="s">
        <v>4443</v>
      </c>
    </row>
    <row r="1707" spans="1:5" x14ac:dyDescent="0.25">
      <c r="A1707" s="4" t="s">
        <v>3487</v>
      </c>
      <c r="B1707" s="5" t="s">
        <v>4261</v>
      </c>
      <c r="C1707" s="6" t="s">
        <v>23</v>
      </c>
      <c r="D1707" s="6" t="s">
        <v>4445</v>
      </c>
      <c r="E1707" s="7" t="s">
        <v>4443</v>
      </c>
    </row>
    <row r="1708" spans="1:5" x14ac:dyDescent="0.25">
      <c r="A1708" s="4" t="s">
        <v>3488</v>
      </c>
      <c r="B1708" s="5" t="s">
        <v>4262</v>
      </c>
      <c r="C1708" s="6" t="s">
        <v>23</v>
      </c>
      <c r="D1708" s="6" t="s">
        <v>4445</v>
      </c>
      <c r="E1708" s="7" t="s">
        <v>4443</v>
      </c>
    </row>
    <row r="1709" spans="1:5" x14ac:dyDescent="0.25">
      <c r="A1709" s="4" t="s">
        <v>3489</v>
      </c>
      <c r="B1709" s="5" t="s">
        <v>4263</v>
      </c>
      <c r="C1709" s="6" t="s">
        <v>23</v>
      </c>
      <c r="D1709" s="6" t="s">
        <v>4445</v>
      </c>
      <c r="E1709" s="7" t="s">
        <v>4443</v>
      </c>
    </row>
    <row r="1710" spans="1:5" x14ac:dyDescent="0.25">
      <c r="A1710" s="4" t="s">
        <v>3490</v>
      </c>
      <c r="B1710" s="5" t="s">
        <v>4264</v>
      </c>
      <c r="C1710" s="6" t="s">
        <v>23</v>
      </c>
      <c r="D1710" s="6" t="s">
        <v>4445</v>
      </c>
      <c r="E1710" s="7" t="s">
        <v>4443</v>
      </c>
    </row>
    <row r="1711" spans="1:5" x14ac:dyDescent="0.25">
      <c r="A1711" s="4" t="s">
        <v>1952</v>
      </c>
      <c r="B1711" s="5" t="s">
        <v>1951</v>
      </c>
      <c r="C1711" s="6" t="s">
        <v>23</v>
      </c>
      <c r="D1711" s="6" t="s">
        <v>24</v>
      </c>
      <c r="E1711" s="7" t="s">
        <v>4451</v>
      </c>
    </row>
    <row r="1712" spans="1:5" x14ac:dyDescent="0.25">
      <c r="A1712" s="4" t="s">
        <v>1954</v>
      </c>
      <c r="B1712" s="5" t="s">
        <v>1953</v>
      </c>
      <c r="C1712" s="6" t="s">
        <v>23</v>
      </c>
      <c r="D1712" s="6" t="s">
        <v>24</v>
      </c>
      <c r="E1712" s="7" t="s">
        <v>4449</v>
      </c>
    </row>
    <row r="1713" spans="1:5" x14ac:dyDescent="0.25">
      <c r="A1713" s="4" t="s">
        <v>1956</v>
      </c>
      <c r="B1713" s="5" t="s">
        <v>1955</v>
      </c>
      <c r="C1713" s="6" t="s">
        <v>23</v>
      </c>
      <c r="D1713" s="6" t="s">
        <v>63</v>
      </c>
      <c r="E1713" s="7" t="s">
        <v>86</v>
      </c>
    </row>
    <row r="1714" spans="1:5" x14ac:dyDescent="0.25">
      <c r="A1714" s="4" t="s">
        <v>1958</v>
      </c>
      <c r="B1714" s="5" t="s">
        <v>1957</v>
      </c>
      <c r="C1714" s="6" t="s">
        <v>23</v>
      </c>
      <c r="D1714" s="6" t="s">
        <v>24</v>
      </c>
      <c r="E1714" s="7" t="s">
        <v>4447</v>
      </c>
    </row>
    <row r="1715" spans="1:5" x14ac:dyDescent="0.25">
      <c r="A1715" s="4" t="s">
        <v>1960</v>
      </c>
      <c r="B1715" s="5" t="s">
        <v>1959</v>
      </c>
      <c r="C1715" s="6" t="s">
        <v>23</v>
      </c>
      <c r="D1715" s="6" t="s">
        <v>24</v>
      </c>
      <c r="E1715" s="7" t="s">
        <v>4448</v>
      </c>
    </row>
    <row r="1716" spans="1:5" x14ac:dyDescent="0.25">
      <c r="A1716" s="4" t="s">
        <v>1962</v>
      </c>
      <c r="B1716" s="5" t="s">
        <v>1961</v>
      </c>
      <c r="C1716" s="6" t="s">
        <v>23</v>
      </c>
      <c r="D1716" s="6" t="s">
        <v>24</v>
      </c>
      <c r="E1716" s="7" t="s">
        <v>4450</v>
      </c>
    </row>
    <row r="1717" spans="1:5" x14ac:dyDescent="0.25">
      <c r="A1717" s="4" t="s">
        <v>3323</v>
      </c>
      <c r="B1717" s="5" t="s">
        <v>4094</v>
      </c>
      <c r="C1717" s="6" t="s">
        <v>23</v>
      </c>
      <c r="D1717" s="6" t="s">
        <v>24</v>
      </c>
      <c r="E1717" s="7" t="s">
        <v>4454</v>
      </c>
    </row>
    <row r="1718" spans="1:5" x14ac:dyDescent="0.25">
      <c r="A1718" s="4" t="s">
        <v>1964</v>
      </c>
      <c r="B1718" s="5" t="s">
        <v>1963</v>
      </c>
      <c r="C1718" s="6" t="s">
        <v>23</v>
      </c>
      <c r="D1718" s="6" t="s">
        <v>63</v>
      </c>
      <c r="E1718" s="7" t="s">
        <v>98</v>
      </c>
    </row>
    <row r="1719" spans="1:5" x14ac:dyDescent="0.25">
      <c r="A1719" s="4" t="s">
        <v>1966</v>
      </c>
      <c r="B1719" s="5" t="s">
        <v>1965</v>
      </c>
      <c r="C1719" s="6" t="s">
        <v>23</v>
      </c>
      <c r="D1719" s="6" t="s">
        <v>24</v>
      </c>
      <c r="E1719" s="7" t="s">
        <v>4447</v>
      </c>
    </row>
    <row r="1720" spans="1:5" x14ac:dyDescent="0.25">
      <c r="A1720" s="4" t="s">
        <v>1968</v>
      </c>
      <c r="B1720" s="5" t="s">
        <v>1967</v>
      </c>
      <c r="C1720" s="6" t="s">
        <v>23</v>
      </c>
      <c r="D1720" s="6" t="s">
        <v>24</v>
      </c>
      <c r="E1720" s="7" t="s">
        <v>4448</v>
      </c>
    </row>
    <row r="1721" spans="1:5" x14ac:dyDescent="0.25">
      <c r="A1721" s="4" t="s">
        <v>1970</v>
      </c>
      <c r="B1721" s="5" t="s">
        <v>1969</v>
      </c>
      <c r="C1721" s="6" t="s">
        <v>23</v>
      </c>
      <c r="D1721" s="6" t="s">
        <v>63</v>
      </c>
      <c r="E1721" s="7" t="s">
        <v>67</v>
      </c>
    </row>
    <row r="1722" spans="1:5" x14ac:dyDescent="0.25">
      <c r="A1722" s="4" t="s">
        <v>1972</v>
      </c>
      <c r="B1722" s="5" t="s">
        <v>1971</v>
      </c>
      <c r="C1722" s="6" t="s">
        <v>23</v>
      </c>
      <c r="D1722" s="6" t="s">
        <v>63</v>
      </c>
      <c r="E1722" s="7" t="s">
        <v>86</v>
      </c>
    </row>
    <row r="1723" spans="1:5" x14ac:dyDescent="0.25">
      <c r="A1723" s="4" t="s">
        <v>1974</v>
      </c>
      <c r="B1723" s="5" t="s">
        <v>1973</v>
      </c>
      <c r="C1723" s="12" t="s">
        <v>23</v>
      </c>
      <c r="D1723" s="12" t="s">
        <v>24</v>
      </c>
      <c r="E1723" s="7" t="s">
        <v>4447</v>
      </c>
    </row>
    <row r="1724" spans="1:5" x14ac:dyDescent="0.25">
      <c r="A1724" s="4" t="s">
        <v>1976</v>
      </c>
      <c r="B1724" s="5" t="s">
        <v>1975</v>
      </c>
      <c r="C1724" s="6" t="s">
        <v>23</v>
      </c>
      <c r="D1724" s="6" t="s">
        <v>24</v>
      </c>
      <c r="E1724" s="7" t="s">
        <v>4448</v>
      </c>
    </row>
    <row r="1725" spans="1:5" x14ac:dyDescent="0.25">
      <c r="A1725" s="4" t="s">
        <v>1978</v>
      </c>
      <c r="B1725" s="5" t="s">
        <v>1977</v>
      </c>
      <c r="C1725" s="6" t="s">
        <v>23</v>
      </c>
      <c r="D1725" s="6" t="s">
        <v>24</v>
      </c>
      <c r="E1725" s="7" t="s">
        <v>4450</v>
      </c>
    </row>
    <row r="1726" spans="1:5" x14ac:dyDescent="0.25">
      <c r="A1726" s="4" t="s">
        <v>1980</v>
      </c>
      <c r="B1726" s="5" t="s">
        <v>1979</v>
      </c>
      <c r="C1726" s="6" t="s">
        <v>23</v>
      </c>
      <c r="D1726" s="6" t="s">
        <v>24</v>
      </c>
      <c r="E1726" s="7" t="s">
        <v>4451</v>
      </c>
    </row>
    <row r="1727" spans="1:5" x14ac:dyDescent="0.25">
      <c r="A1727" s="4" t="s">
        <v>1982</v>
      </c>
      <c r="B1727" s="5" t="s">
        <v>1981</v>
      </c>
      <c r="C1727" s="6" t="s">
        <v>23</v>
      </c>
      <c r="D1727" s="6" t="s">
        <v>63</v>
      </c>
      <c r="E1727" s="7" t="s">
        <v>98</v>
      </c>
    </row>
    <row r="1728" spans="1:5" x14ac:dyDescent="0.25">
      <c r="A1728" s="4" t="s">
        <v>1984</v>
      </c>
      <c r="B1728" s="5" t="s">
        <v>1983</v>
      </c>
      <c r="C1728" s="6" t="s">
        <v>23</v>
      </c>
      <c r="D1728" s="6" t="s">
        <v>63</v>
      </c>
      <c r="E1728" s="7" t="s">
        <v>98</v>
      </c>
    </row>
    <row r="1729" spans="1:5" x14ac:dyDescent="0.25">
      <c r="A1729" s="4" t="s">
        <v>1986</v>
      </c>
      <c r="B1729" s="5" t="s">
        <v>1985</v>
      </c>
      <c r="C1729" s="6" t="s">
        <v>23</v>
      </c>
      <c r="D1729" s="6" t="s">
        <v>63</v>
      </c>
      <c r="E1729" s="7" t="s">
        <v>98</v>
      </c>
    </row>
    <row r="1730" spans="1:5" x14ac:dyDescent="0.25">
      <c r="A1730" s="4" t="s">
        <v>1988</v>
      </c>
      <c r="B1730" s="5" t="s">
        <v>1987</v>
      </c>
      <c r="C1730" s="6" t="s">
        <v>23</v>
      </c>
      <c r="D1730" s="6" t="s">
        <v>24</v>
      </c>
      <c r="E1730" s="7" t="s">
        <v>4446</v>
      </c>
    </row>
    <row r="1731" spans="1:5" x14ac:dyDescent="0.25">
      <c r="A1731" s="4" t="s">
        <v>1990</v>
      </c>
      <c r="B1731" s="5" t="s">
        <v>1989</v>
      </c>
      <c r="C1731" s="6" t="s">
        <v>23</v>
      </c>
      <c r="D1731" s="6" t="s">
        <v>24</v>
      </c>
      <c r="E1731" s="7" t="s">
        <v>4457</v>
      </c>
    </row>
    <row r="1732" spans="1:5" x14ac:dyDescent="0.25">
      <c r="A1732" s="4" t="s">
        <v>1992</v>
      </c>
      <c r="B1732" s="5" t="s">
        <v>1991</v>
      </c>
      <c r="C1732" s="6" t="s">
        <v>23</v>
      </c>
      <c r="D1732" s="6" t="s">
        <v>24</v>
      </c>
      <c r="E1732" s="7" t="s">
        <v>4455</v>
      </c>
    </row>
    <row r="1733" spans="1:5" x14ac:dyDescent="0.25">
      <c r="A1733" s="4" t="s">
        <v>1994</v>
      </c>
      <c r="B1733" s="5" t="s">
        <v>1993</v>
      </c>
      <c r="C1733" s="6" t="s">
        <v>23</v>
      </c>
      <c r="D1733" s="6" t="s">
        <v>24</v>
      </c>
      <c r="E1733" s="7" t="s">
        <v>4449</v>
      </c>
    </row>
    <row r="1734" spans="1:5" x14ac:dyDescent="0.25">
      <c r="A1734" s="4" t="s">
        <v>1996</v>
      </c>
      <c r="B1734" s="5" t="s">
        <v>1995</v>
      </c>
      <c r="C1734" s="6" t="s">
        <v>23</v>
      </c>
      <c r="D1734" s="6" t="s">
        <v>24</v>
      </c>
      <c r="E1734" s="7" t="s">
        <v>4450</v>
      </c>
    </row>
    <row r="1735" spans="1:5" x14ac:dyDescent="0.25">
      <c r="A1735" s="4" t="s">
        <v>1998</v>
      </c>
      <c r="B1735" s="5" t="s">
        <v>1997</v>
      </c>
      <c r="C1735" s="6" t="s">
        <v>23</v>
      </c>
      <c r="D1735" s="6" t="s">
        <v>24</v>
      </c>
      <c r="E1735" s="7" t="s">
        <v>4447</v>
      </c>
    </row>
    <row r="1736" spans="1:5" x14ac:dyDescent="0.25">
      <c r="A1736" s="4" t="s">
        <v>2000</v>
      </c>
      <c r="B1736" s="5" t="s">
        <v>1999</v>
      </c>
      <c r="C1736" s="6" t="s">
        <v>23</v>
      </c>
      <c r="D1736" s="6" t="s">
        <v>24</v>
      </c>
      <c r="E1736" s="7" t="s">
        <v>4448</v>
      </c>
    </row>
    <row r="1737" spans="1:5" x14ac:dyDescent="0.25">
      <c r="A1737" s="4" t="s">
        <v>2002</v>
      </c>
      <c r="B1737" s="5" t="s">
        <v>2001</v>
      </c>
      <c r="C1737" s="6" t="s">
        <v>23</v>
      </c>
      <c r="D1737" s="6" t="s">
        <v>24</v>
      </c>
      <c r="E1737" s="7" t="s">
        <v>4450</v>
      </c>
    </row>
    <row r="1738" spans="1:5" x14ac:dyDescent="0.25">
      <c r="A1738" s="4" t="s">
        <v>2004</v>
      </c>
      <c r="B1738" s="5" t="s">
        <v>2003</v>
      </c>
      <c r="C1738" s="6" t="s">
        <v>23</v>
      </c>
      <c r="D1738" s="6" t="s">
        <v>24</v>
      </c>
      <c r="E1738" s="7" t="s">
        <v>4451</v>
      </c>
    </row>
    <row r="1739" spans="1:5" x14ac:dyDescent="0.25">
      <c r="A1739" s="4" t="s">
        <v>2006</v>
      </c>
      <c r="B1739" s="5" t="s">
        <v>2005</v>
      </c>
      <c r="C1739" s="6" t="s">
        <v>23</v>
      </c>
      <c r="D1739" s="6" t="s">
        <v>24</v>
      </c>
      <c r="E1739" s="7" t="s">
        <v>4446</v>
      </c>
    </row>
    <row r="1740" spans="1:5" x14ac:dyDescent="0.25">
      <c r="A1740" s="4" t="s">
        <v>2008</v>
      </c>
      <c r="B1740" s="5" t="s">
        <v>2007</v>
      </c>
      <c r="C1740" s="6" t="s">
        <v>23</v>
      </c>
      <c r="D1740" s="6" t="s">
        <v>63</v>
      </c>
      <c r="E1740" s="7" t="s">
        <v>86</v>
      </c>
    </row>
    <row r="1741" spans="1:5" x14ac:dyDescent="0.25">
      <c r="A1741" s="4" t="s">
        <v>2010</v>
      </c>
      <c r="B1741" s="5" t="s">
        <v>2009</v>
      </c>
      <c r="C1741" s="6" t="s">
        <v>23</v>
      </c>
      <c r="D1741" s="6" t="s">
        <v>24</v>
      </c>
      <c r="E1741" s="7" t="s">
        <v>4447</v>
      </c>
    </row>
    <row r="1742" spans="1:5" x14ac:dyDescent="0.25">
      <c r="A1742" s="4" t="s">
        <v>2012</v>
      </c>
      <c r="B1742" s="5" t="s">
        <v>2011</v>
      </c>
      <c r="C1742" s="6" t="s">
        <v>23</v>
      </c>
      <c r="D1742" s="6" t="s">
        <v>24</v>
      </c>
      <c r="E1742" s="7" t="s">
        <v>4448</v>
      </c>
    </row>
    <row r="1743" spans="1:5" x14ac:dyDescent="0.25">
      <c r="A1743" s="4" t="s">
        <v>2014</v>
      </c>
      <c r="B1743" s="5" t="s">
        <v>2013</v>
      </c>
      <c r="C1743" s="6" t="s">
        <v>23</v>
      </c>
      <c r="D1743" s="6" t="s">
        <v>24</v>
      </c>
      <c r="E1743" s="7" t="s">
        <v>4450</v>
      </c>
    </row>
    <row r="1744" spans="1:5" x14ac:dyDescent="0.25">
      <c r="A1744" s="4" t="s">
        <v>2016</v>
      </c>
      <c r="B1744" s="5" t="s">
        <v>2015</v>
      </c>
      <c r="C1744" s="6" t="s">
        <v>23</v>
      </c>
      <c r="D1744" s="6" t="s">
        <v>24</v>
      </c>
      <c r="E1744" s="7" t="s">
        <v>4454</v>
      </c>
    </row>
    <row r="1745" spans="1:5" x14ac:dyDescent="0.25">
      <c r="A1745" s="4" t="s">
        <v>2018</v>
      </c>
      <c r="B1745" s="5" t="s">
        <v>2017</v>
      </c>
      <c r="C1745" s="6" t="s">
        <v>23</v>
      </c>
      <c r="D1745" s="6" t="s">
        <v>24</v>
      </c>
      <c r="E1745" s="7" t="s">
        <v>4451</v>
      </c>
    </row>
    <row r="1746" spans="1:5" x14ac:dyDescent="0.25">
      <c r="A1746" s="4" t="s">
        <v>2020</v>
      </c>
      <c r="B1746" s="5" t="s">
        <v>2019</v>
      </c>
      <c r="C1746" s="6" t="s">
        <v>23</v>
      </c>
      <c r="D1746" s="6" t="s">
        <v>63</v>
      </c>
      <c r="E1746" s="7" t="s">
        <v>67</v>
      </c>
    </row>
    <row r="1747" spans="1:5" x14ac:dyDescent="0.25">
      <c r="A1747" s="4" t="s">
        <v>2022</v>
      </c>
      <c r="B1747" s="5" t="s">
        <v>2021</v>
      </c>
      <c r="C1747" s="6" t="s">
        <v>23</v>
      </c>
      <c r="D1747" s="6" t="s">
        <v>63</v>
      </c>
      <c r="E1747" s="7" t="s">
        <v>89</v>
      </c>
    </row>
    <row r="1748" spans="1:5" x14ac:dyDescent="0.25">
      <c r="A1748" s="4" t="s">
        <v>2024</v>
      </c>
      <c r="B1748" s="5" t="s">
        <v>2023</v>
      </c>
      <c r="C1748" s="6" t="s">
        <v>23</v>
      </c>
      <c r="D1748" s="6" t="s">
        <v>63</v>
      </c>
      <c r="E1748" s="7" t="s">
        <v>92</v>
      </c>
    </row>
    <row r="1749" spans="1:5" x14ac:dyDescent="0.25">
      <c r="A1749" s="4" t="s">
        <v>2026</v>
      </c>
      <c r="B1749" s="5" t="s">
        <v>2025</v>
      </c>
      <c r="C1749" s="6" t="s">
        <v>23</v>
      </c>
      <c r="D1749" s="6" t="s">
        <v>63</v>
      </c>
      <c r="E1749" s="7" t="s">
        <v>98</v>
      </c>
    </row>
    <row r="1750" spans="1:5" x14ac:dyDescent="0.25">
      <c r="A1750" s="4" t="s">
        <v>2028</v>
      </c>
      <c r="B1750" s="5" t="s">
        <v>2027</v>
      </c>
      <c r="C1750" s="6" t="s">
        <v>23</v>
      </c>
      <c r="D1750" s="6" t="s">
        <v>63</v>
      </c>
      <c r="E1750" s="7" t="s">
        <v>98</v>
      </c>
    </row>
    <row r="1751" spans="1:5" x14ac:dyDescent="0.25">
      <c r="A1751" s="4" t="s">
        <v>2030</v>
      </c>
      <c r="B1751" s="5" t="s">
        <v>2029</v>
      </c>
      <c r="C1751" s="6" t="s">
        <v>23</v>
      </c>
      <c r="D1751" s="6" t="s">
        <v>63</v>
      </c>
      <c r="E1751" s="7" t="s">
        <v>98</v>
      </c>
    </row>
    <row r="1752" spans="1:5" x14ac:dyDescent="0.25">
      <c r="A1752" s="4" t="s">
        <v>2032</v>
      </c>
      <c r="B1752" s="5" t="s">
        <v>2031</v>
      </c>
      <c r="C1752" s="6" t="s">
        <v>23</v>
      </c>
      <c r="D1752" s="6" t="s">
        <v>63</v>
      </c>
      <c r="E1752" s="7" t="s">
        <v>98</v>
      </c>
    </row>
    <row r="1753" spans="1:5" x14ac:dyDescent="0.25">
      <c r="A1753" s="4" t="s">
        <v>2034</v>
      </c>
      <c r="B1753" s="5" t="s">
        <v>2033</v>
      </c>
      <c r="C1753" s="6" t="s">
        <v>23</v>
      </c>
      <c r="D1753" s="6" t="s">
        <v>63</v>
      </c>
      <c r="E1753" s="7" t="s">
        <v>64</v>
      </c>
    </row>
    <row r="1754" spans="1:5" x14ac:dyDescent="0.25">
      <c r="A1754" s="4" t="s">
        <v>2036</v>
      </c>
      <c r="B1754" s="5" t="s">
        <v>2035</v>
      </c>
      <c r="C1754" s="6" t="s">
        <v>23</v>
      </c>
      <c r="D1754" s="6" t="s">
        <v>24</v>
      </c>
      <c r="E1754" s="7" t="s">
        <v>4446</v>
      </c>
    </row>
    <row r="1755" spans="1:5" x14ac:dyDescent="0.25">
      <c r="A1755" s="4" t="s">
        <v>2038</v>
      </c>
      <c r="B1755" s="5" t="s">
        <v>2037</v>
      </c>
      <c r="C1755" s="6" t="s">
        <v>23</v>
      </c>
      <c r="D1755" s="6" t="s">
        <v>24</v>
      </c>
      <c r="E1755" s="7" t="s">
        <v>4447</v>
      </c>
    </row>
    <row r="1756" spans="1:5" x14ac:dyDescent="0.25">
      <c r="A1756" s="4" t="s">
        <v>3326</v>
      </c>
      <c r="B1756" s="5" t="s">
        <v>4097</v>
      </c>
      <c r="C1756" s="6" t="s">
        <v>23</v>
      </c>
      <c r="D1756" s="6" t="s">
        <v>24</v>
      </c>
      <c r="E1756" s="7" t="s">
        <v>4455</v>
      </c>
    </row>
    <row r="1757" spans="1:5" x14ac:dyDescent="0.25">
      <c r="A1757" s="11" t="s">
        <v>2040</v>
      </c>
      <c r="B1757" s="5" t="s">
        <v>2039</v>
      </c>
      <c r="C1757" s="12" t="s">
        <v>23</v>
      </c>
      <c r="D1757" s="12" t="s">
        <v>63</v>
      </c>
      <c r="E1757" s="7" t="s">
        <v>86</v>
      </c>
    </row>
    <row r="1758" spans="1:5" x14ac:dyDescent="0.25">
      <c r="A1758" s="4" t="s">
        <v>2042</v>
      </c>
      <c r="B1758" s="5" t="s">
        <v>2041</v>
      </c>
      <c r="C1758" s="6" t="s">
        <v>23</v>
      </c>
      <c r="D1758" s="6" t="s">
        <v>63</v>
      </c>
      <c r="E1758" s="7" t="s">
        <v>64</v>
      </c>
    </row>
    <row r="1759" spans="1:5" x14ac:dyDescent="0.25">
      <c r="A1759" s="4" t="s">
        <v>2044</v>
      </c>
      <c r="B1759" s="5" t="s">
        <v>2043</v>
      </c>
      <c r="C1759" s="6" t="s">
        <v>23</v>
      </c>
      <c r="D1759" s="6" t="s">
        <v>63</v>
      </c>
      <c r="E1759" s="7" t="s">
        <v>86</v>
      </c>
    </row>
    <row r="1760" spans="1:5" x14ac:dyDescent="0.25">
      <c r="A1760" s="4" t="s">
        <v>2046</v>
      </c>
      <c r="B1760" s="5" t="s">
        <v>2045</v>
      </c>
      <c r="C1760" s="6" t="s">
        <v>23</v>
      </c>
      <c r="D1760" s="6" t="s">
        <v>24</v>
      </c>
      <c r="E1760" s="7" t="s">
        <v>4447</v>
      </c>
    </row>
    <row r="1761" spans="1:5" x14ac:dyDescent="0.25">
      <c r="A1761" s="4" t="s">
        <v>2048</v>
      </c>
      <c r="B1761" s="5" t="s">
        <v>2047</v>
      </c>
      <c r="C1761" s="6" t="s">
        <v>23</v>
      </c>
      <c r="D1761" s="6" t="s">
        <v>24</v>
      </c>
      <c r="E1761" s="7" t="s">
        <v>4449</v>
      </c>
    </row>
    <row r="1762" spans="1:5" x14ac:dyDescent="0.25">
      <c r="A1762" s="4" t="s">
        <v>2050</v>
      </c>
      <c r="B1762" s="5" t="s">
        <v>2049</v>
      </c>
      <c r="C1762" s="6" t="s">
        <v>23</v>
      </c>
      <c r="D1762" s="6" t="s">
        <v>24</v>
      </c>
      <c r="E1762" s="7" t="s">
        <v>4446</v>
      </c>
    </row>
    <row r="1763" spans="1:5" x14ac:dyDescent="0.25">
      <c r="A1763" s="4" t="s">
        <v>2052</v>
      </c>
      <c r="B1763" s="5" t="s">
        <v>2051</v>
      </c>
      <c r="C1763" s="6" t="s">
        <v>23</v>
      </c>
      <c r="D1763" s="6" t="s">
        <v>24</v>
      </c>
      <c r="E1763" s="7" t="s">
        <v>4447</v>
      </c>
    </row>
    <row r="1764" spans="1:5" x14ac:dyDescent="0.25">
      <c r="A1764" s="11" t="s">
        <v>2054</v>
      </c>
      <c r="B1764" s="5" t="s">
        <v>2053</v>
      </c>
      <c r="C1764" s="12" t="s">
        <v>23</v>
      </c>
      <c r="D1764" s="12" t="s">
        <v>24</v>
      </c>
      <c r="E1764" s="7" t="s">
        <v>4448</v>
      </c>
    </row>
    <row r="1765" spans="1:5" x14ac:dyDescent="0.25">
      <c r="A1765" s="4" t="s">
        <v>2056</v>
      </c>
      <c r="B1765" s="5" t="s">
        <v>2055</v>
      </c>
      <c r="C1765" s="6" t="s">
        <v>23</v>
      </c>
      <c r="D1765" s="6" t="s">
        <v>24</v>
      </c>
      <c r="E1765" s="7" t="s">
        <v>4449</v>
      </c>
    </row>
    <row r="1766" spans="1:5" x14ac:dyDescent="0.25">
      <c r="A1766" s="4" t="s">
        <v>2058</v>
      </c>
      <c r="B1766" s="5" t="s">
        <v>2057</v>
      </c>
      <c r="C1766" s="6" t="s">
        <v>23</v>
      </c>
      <c r="D1766" s="6" t="s">
        <v>24</v>
      </c>
      <c r="E1766" s="7" t="s">
        <v>4454</v>
      </c>
    </row>
    <row r="1767" spans="1:5" x14ac:dyDescent="0.25">
      <c r="A1767" s="4" t="s">
        <v>3608</v>
      </c>
      <c r="B1767" s="5" t="s">
        <v>4385</v>
      </c>
      <c r="C1767" s="6" t="s">
        <v>23</v>
      </c>
      <c r="D1767" s="6" t="s">
        <v>4463</v>
      </c>
      <c r="E1767" s="7" t="s">
        <v>92</v>
      </c>
    </row>
    <row r="1768" spans="1:5" x14ac:dyDescent="0.25">
      <c r="A1768" s="4" t="s">
        <v>2060</v>
      </c>
      <c r="B1768" s="5" t="s">
        <v>2059</v>
      </c>
      <c r="C1768" s="6" t="s">
        <v>23</v>
      </c>
      <c r="D1768" s="6" t="s">
        <v>561</v>
      </c>
      <c r="E1768" s="7" t="s">
        <v>425</v>
      </c>
    </row>
    <row r="1769" spans="1:5" x14ac:dyDescent="0.25">
      <c r="A1769" s="4" t="s">
        <v>3607</v>
      </c>
      <c r="B1769" s="5" t="s">
        <v>4384</v>
      </c>
      <c r="C1769" s="6" t="s">
        <v>23</v>
      </c>
      <c r="D1769" s="6" t="s">
        <v>4463</v>
      </c>
      <c r="E1769" s="7" t="s">
        <v>425</v>
      </c>
    </row>
    <row r="1770" spans="1:5" x14ac:dyDescent="0.25">
      <c r="A1770" s="4" t="s">
        <v>2062</v>
      </c>
      <c r="B1770" s="5" t="s">
        <v>2061</v>
      </c>
      <c r="C1770" s="6" t="s">
        <v>23</v>
      </c>
      <c r="D1770" s="6" t="s">
        <v>561</v>
      </c>
      <c r="E1770" s="7" t="s">
        <v>89</v>
      </c>
    </row>
    <row r="1771" spans="1:5" x14ac:dyDescent="0.25">
      <c r="A1771" s="4" t="s">
        <v>2064</v>
      </c>
      <c r="B1771" s="5" t="s">
        <v>2063</v>
      </c>
      <c r="C1771" s="6" t="s">
        <v>23</v>
      </c>
      <c r="D1771" s="6" t="s">
        <v>561</v>
      </c>
      <c r="E1771" s="7" t="s">
        <v>92</v>
      </c>
    </row>
    <row r="1772" spans="1:5" x14ac:dyDescent="0.25">
      <c r="A1772" s="4" t="s">
        <v>3609</v>
      </c>
      <c r="B1772" s="5" t="s">
        <v>4386</v>
      </c>
      <c r="C1772" s="6" t="s">
        <v>23</v>
      </c>
      <c r="D1772" s="6" t="s">
        <v>4463</v>
      </c>
      <c r="E1772" s="7" t="s">
        <v>572</v>
      </c>
    </row>
    <row r="1773" spans="1:5" x14ac:dyDescent="0.25">
      <c r="A1773" s="4" t="s">
        <v>2066</v>
      </c>
      <c r="B1773" s="5" t="s">
        <v>2065</v>
      </c>
      <c r="C1773" s="6" t="s">
        <v>23</v>
      </c>
      <c r="D1773" s="6" t="s">
        <v>63</v>
      </c>
      <c r="E1773" s="7" t="s">
        <v>98</v>
      </c>
    </row>
    <row r="1774" spans="1:5" x14ac:dyDescent="0.25">
      <c r="A1774" s="4" t="s">
        <v>2068</v>
      </c>
      <c r="B1774" s="5" t="s">
        <v>2067</v>
      </c>
      <c r="C1774" s="6" t="s">
        <v>23</v>
      </c>
      <c r="D1774" s="6" t="s">
        <v>63</v>
      </c>
      <c r="E1774" s="7" t="s">
        <v>98</v>
      </c>
    </row>
    <row r="1775" spans="1:5" x14ac:dyDescent="0.25">
      <c r="A1775" s="4" t="s">
        <v>2070</v>
      </c>
      <c r="B1775" s="5" t="s">
        <v>2069</v>
      </c>
      <c r="C1775" s="6" t="s">
        <v>23</v>
      </c>
      <c r="D1775" s="6" t="s">
        <v>63</v>
      </c>
      <c r="E1775" s="7" t="s">
        <v>98</v>
      </c>
    </row>
    <row r="1776" spans="1:5" x14ac:dyDescent="0.25">
      <c r="A1776" s="4" t="s">
        <v>2072</v>
      </c>
      <c r="B1776" s="5" t="s">
        <v>2071</v>
      </c>
      <c r="C1776" s="6" t="s">
        <v>23</v>
      </c>
      <c r="D1776" s="6" t="s">
        <v>63</v>
      </c>
      <c r="E1776" s="7" t="s">
        <v>98</v>
      </c>
    </row>
    <row r="1777" spans="1:5" x14ac:dyDescent="0.25">
      <c r="A1777" s="4" t="s">
        <v>4547</v>
      </c>
      <c r="B1777" s="5" t="s">
        <v>4548</v>
      </c>
      <c r="C1777" s="6" t="s">
        <v>23</v>
      </c>
      <c r="D1777" s="6" t="s">
        <v>320</v>
      </c>
      <c r="E1777" s="7" t="s">
        <v>4444</v>
      </c>
    </row>
    <row r="1778" spans="1:5" x14ac:dyDescent="0.25">
      <c r="A1778" s="11" t="s">
        <v>2074</v>
      </c>
      <c r="B1778" s="5" t="s">
        <v>2073</v>
      </c>
      <c r="C1778" s="12" t="s">
        <v>23</v>
      </c>
      <c r="D1778" s="12" t="s">
        <v>63</v>
      </c>
      <c r="E1778" s="7" t="s">
        <v>4444</v>
      </c>
    </row>
    <row r="1779" spans="1:5" x14ac:dyDescent="0.25">
      <c r="A1779" s="4" t="s">
        <v>2076</v>
      </c>
      <c r="B1779" s="5" t="s">
        <v>2075</v>
      </c>
      <c r="C1779" s="6" t="s">
        <v>23</v>
      </c>
      <c r="D1779" s="6" t="s">
        <v>320</v>
      </c>
      <c r="E1779" s="7" t="s">
        <v>4444</v>
      </c>
    </row>
    <row r="1780" spans="1:5" x14ac:dyDescent="0.25">
      <c r="A1780" s="4" t="s">
        <v>2078</v>
      </c>
      <c r="B1780" s="5" t="s">
        <v>2077</v>
      </c>
      <c r="C1780" s="12" t="s">
        <v>23</v>
      </c>
      <c r="D1780" s="12" t="s">
        <v>63</v>
      </c>
      <c r="E1780" s="7" t="s">
        <v>287</v>
      </c>
    </row>
    <row r="1781" spans="1:5" x14ac:dyDescent="0.25">
      <c r="A1781" s="4" t="s">
        <v>2080</v>
      </c>
      <c r="B1781" s="5" t="s">
        <v>2079</v>
      </c>
      <c r="C1781" s="12" t="s">
        <v>23</v>
      </c>
      <c r="D1781" s="12" t="s">
        <v>63</v>
      </c>
      <c r="E1781" s="7" t="s">
        <v>425</v>
      </c>
    </row>
    <row r="1782" spans="1:5" x14ac:dyDescent="0.25">
      <c r="A1782" s="4" t="s">
        <v>2082</v>
      </c>
      <c r="B1782" s="5" t="s">
        <v>2081</v>
      </c>
      <c r="C1782" s="6" t="s">
        <v>23</v>
      </c>
      <c r="D1782" s="6" t="s">
        <v>63</v>
      </c>
      <c r="E1782" s="7" t="s">
        <v>4444</v>
      </c>
    </row>
    <row r="1783" spans="1:5" x14ac:dyDescent="0.25">
      <c r="A1783" s="4" t="s">
        <v>3085</v>
      </c>
      <c r="B1783" s="5" t="s">
        <v>3854</v>
      </c>
      <c r="C1783" s="6" t="s">
        <v>23</v>
      </c>
      <c r="D1783" s="6" t="s">
        <v>320</v>
      </c>
      <c r="E1783" s="7" t="s">
        <v>4444</v>
      </c>
    </row>
    <row r="1784" spans="1:5" x14ac:dyDescent="0.25">
      <c r="A1784" s="4" t="s">
        <v>2084</v>
      </c>
      <c r="B1784" s="5" t="s">
        <v>2083</v>
      </c>
      <c r="C1784" s="6" t="s">
        <v>23</v>
      </c>
      <c r="D1784" s="6" t="s">
        <v>63</v>
      </c>
      <c r="E1784" s="7" t="s">
        <v>425</v>
      </c>
    </row>
    <row r="1785" spans="1:5" x14ac:dyDescent="0.25">
      <c r="A1785" s="11" t="s">
        <v>2086</v>
      </c>
      <c r="B1785" s="5" t="s">
        <v>2085</v>
      </c>
      <c r="C1785" s="12" t="s">
        <v>23</v>
      </c>
      <c r="D1785" s="12" t="s">
        <v>63</v>
      </c>
      <c r="E1785" s="7" t="s">
        <v>572</v>
      </c>
    </row>
    <row r="1786" spans="1:5" x14ac:dyDescent="0.25">
      <c r="A1786" s="4" t="s">
        <v>2088</v>
      </c>
      <c r="B1786" s="5" t="s">
        <v>2087</v>
      </c>
      <c r="C1786" s="6" t="s">
        <v>23</v>
      </c>
      <c r="D1786" s="6" t="s">
        <v>63</v>
      </c>
      <c r="E1786" s="7" t="s">
        <v>4458</v>
      </c>
    </row>
    <row r="1787" spans="1:5" x14ac:dyDescent="0.25">
      <c r="A1787" s="4" t="s">
        <v>2090</v>
      </c>
      <c r="B1787" s="5" t="s">
        <v>2089</v>
      </c>
      <c r="C1787" s="6" t="s">
        <v>23</v>
      </c>
      <c r="D1787" s="6" t="s">
        <v>320</v>
      </c>
      <c r="E1787" s="7" t="s">
        <v>4444</v>
      </c>
    </row>
    <row r="1788" spans="1:5" x14ac:dyDescent="0.25">
      <c r="A1788" s="4" t="s">
        <v>2092</v>
      </c>
      <c r="B1788" s="5" t="s">
        <v>2091</v>
      </c>
      <c r="C1788" s="6" t="s">
        <v>23</v>
      </c>
      <c r="D1788" s="6" t="s">
        <v>63</v>
      </c>
      <c r="E1788" s="7" t="s">
        <v>98</v>
      </c>
    </row>
    <row r="1789" spans="1:5" x14ac:dyDescent="0.25">
      <c r="A1789" s="4" t="s">
        <v>2094</v>
      </c>
      <c r="B1789" s="5" t="s">
        <v>2093</v>
      </c>
      <c r="C1789" s="6" t="s">
        <v>23</v>
      </c>
      <c r="D1789" s="6" t="s">
        <v>63</v>
      </c>
      <c r="E1789" s="7" t="s">
        <v>67</v>
      </c>
    </row>
    <row r="1790" spans="1:5" x14ac:dyDescent="0.25">
      <c r="A1790" s="11" t="s">
        <v>2096</v>
      </c>
      <c r="B1790" s="5" t="s">
        <v>2095</v>
      </c>
      <c r="C1790" s="12" t="s">
        <v>23</v>
      </c>
      <c r="D1790" s="12" t="s">
        <v>63</v>
      </c>
      <c r="E1790" s="7" t="s">
        <v>287</v>
      </c>
    </row>
    <row r="1791" spans="1:5" x14ac:dyDescent="0.25">
      <c r="A1791" s="4" t="s">
        <v>4549</v>
      </c>
      <c r="B1791" s="5" t="s">
        <v>2081</v>
      </c>
      <c r="C1791" s="6" t="s">
        <v>23</v>
      </c>
      <c r="D1791" s="6" t="s">
        <v>63</v>
      </c>
      <c r="E1791" s="7" t="s">
        <v>4444</v>
      </c>
    </row>
    <row r="1792" spans="1:5" x14ac:dyDescent="0.25">
      <c r="A1792" s="4" t="s">
        <v>2098</v>
      </c>
      <c r="B1792" s="5" t="s">
        <v>2097</v>
      </c>
      <c r="C1792" s="6" t="s">
        <v>23</v>
      </c>
      <c r="D1792" s="6" t="s">
        <v>63</v>
      </c>
      <c r="E1792" s="7" t="s">
        <v>4443</v>
      </c>
    </row>
    <row r="1793" spans="1:5" x14ac:dyDescent="0.25">
      <c r="A1793" s="4" t="s">
        <v>2100</v>
      </c>
      <c r="B1793" s="5" t="s">
        <v>2099</v>
      </c>
      <c r="C1793" s="6" t="s">
        <v>23</v>
      </c>
      <c r="D1793" s="6" t="s">
        <v>24</v>
      </c>
      <c r="E1793" s="7" t="s">
        <v>4451</v>
      </c>
    </row>
    <row r="1794" spans="1:5" x14ac:dyDescent="0.25">
      <c r="A1794" s="4" t="s">
        <v>2102</v>
      </c>
      <c r="B1794" s="5" t="s">
        <v>2101</v>
      </c>
      <c r="C1794" s="6" t="s">
        <v>23</v>
      </c>
      <c r="D1794" s="6" t="s">
        <v>24</v>
      </c>
      <c r="E1794" s="7" t="s">
        <v>4447</v>
      </c>
    </row>
    <row r="1795" spans="1:5" x14ac:dyDescent="0.25">
      <c r="A1795" s="4" t="s">
        <v>2104</v>
      </c>
      <c r="B1795" s="5" t="s">
        <v>2103</v>
      </c>
      <c r="C1795" s="6" t="s">
        <v>23</v>
      </c>
      <c r="D1795" s="6" t="s">
        <v>24</v>
      </c>
      <c r="E1795" s="7" t="s">
        <v>4448</v>
      </c>
    </row>
    <row r="1796" spans="1:5" x14ac:dyDescent="0.25">
      <c r="A1796" s="4" t="s">
        <v>2106</v>
      </c>
      <c r="B1796" s="5" t="s">
        <v>2105</v>
      </c>
      <c r="C1796" s="6" t="s">
        <v>23</v>
      </c>
      <c r="D1796" s="6" t="s">
        <v>24</v>
      </c>
      <c r="E1796" s="7" t="s">
        <v>4450</v>
      </c>
    </row>
    <row r="1797" spans="1:5" x14ac:dyDescent="0.25">
      <c r="A1797" s="4" t="s">
        <v>3313</v>
      </c>
      <c r="B1797" s="5" t="s">
        <v>4086</v>
      </c>
      <c r="C1797" s="6" t="s">
        <v>23</v>
      </c>
      <c r="D1797" s="6" t="s">
        <v>4445</v>
      </c>
      <c r="E1797" s="7" t="s">
        <v>89</v>
      </c>
    </row>
    <row r="1798" spans="1:5" x14ac:dyDescent="0.25">
      <c r="A1798" s="4" t="s">
        <v>2108</v>
      </c>
      <c r="B1798" s="5" t="s">
        <v>2107</v>
      </c>
      <c r="C1798" s="6" t="s">
        <v>23</v>
      </c>
      <c r="D1798" s="6" t="s">
        <v>63</v>
      </c>
      <c r="E1798" s="7" t="s">
        <v>98</v>
      </c>
    </row>
    <row r="1799" spans="1:5" x14ac:dyDescent="0.25">
      <c r="A1799" s="4" t="s">
        <v>2110</v>
      </c>
      <c r="B1799" s="5" t="s">
        <v>2109</v>
      </c>
      <c r="C1799" s="6" t="s">
        <v>23</v>
      </c>
      <c r="D1799" s="6" t="s">
        <v>63</v>
      </c>
      <c r="E1799" s="7" t="s">
        <v>86</v>
      </c>
    </row>
    <row r="1800" spans="1:5" x14ac:dyDescent="0.25">
      <c r="A1800" s="4" t="s">
        <v>2112</v>
      </c>
      <c r="B1800" s="5" t="s">
        <v>2111</v>
      </c>
      <c r="C1800" s="6" t="s">
        <v>23</v>
      </c>
      <c r="D1800" s="6" t="s">
        <v>63</v>
      </c>
      <c r="E1800" s="7" t="s">
        <v>425</v>
      </c>
    </row>
    <row r="1801" spans="1:5" x14ac:dyDescent="0.25">
      <c r="A1801" s="4" t="s">
        <v>3613</v>
      </c>
      <c r="B1801" s="5" t="s">
        <v>4390</v>
      </c>
      <c r="C1801" s="6" t="s">
        <v>23</v>
      </c>
      <c r="D1801" s="6" t="s">
        <v>4463</v>
      </c>
      <c r="E1801" s="7" t="s">
        <v>4449</v>
      </c>
    </row>
    <row r="1802" spans="1:5" x14ac:dyDescent="0.25">
      <c r="A1802" s="4" t="s">
        <v>2114</v>
      </c>
      <c r="B1802" s="5" t="s">
        <v>2113</v>
      </c>
      <c r="C1802" s="6" t="s">
        <v>23</v>
      </c>
      <c r="D1802" s="6" t="s">
        <v>63</v>
      </c>
      <c r="E1802" s="7" t="s">
        <v>64</v>
      </c>
    </row>
    <row r="1803" spans="1:5" x14ac:dyDescent="0.25">
      <c r="A1803" s="4" t="s">
        <v>3284</v>
      </c>
      <c r="B1803" s="5" t="s">
        <v>4054</v>
      </c>
      <c r="C1803" s="6" t="s">
        <v>23</v>
      </c>
      <c r="D1803" s="6" t="s">
        <v>4445</v>
      </c>
      <c r="E1803" s="7" t="s">
        <v>4443</v>
      </c>
    </row>
    <row r="1804" spans="1:5" x14ac:dyDescent="0.25">
      <c r="A1804" s="4" t="s">
        <v>3229</v>
      </c>
      <c r="B1804" s="5" t="s">
        <v>3999</v>
      </c>
      <c r="C1804" s="6" t="s">
        <v>23</v>
      </c>
      <c r="D1804" s="6" t="s">
        <v>4445</v>
      </c>
      <c r="E1804" s="7" t="s">
        <v>4443</v>
      </c>
    </row>
    <row r="1805" spans="1:5" x14ac:dyDescent="0.25">
      <c r="A1805" s="4" t="s">
        <v>3543</v>
      </c>
      <c r="B1805" s="5" t="s">
        <v>4317</v>
      </c>
      <c r="C1805" s="6" t="s">
        <v>23</v>
      </c>
      <c r="D1805" s="6" t="s">
        <v>4445</v>
      </c>
      <c r="E1805" s="7" t="s">
        <v>4443</v>
      </c>
    </row>
    <row r="1806" spans="1:5" x14ac:dyDescent="0.25">
      <c r="A1806" s="4" t="s">
        <v>3560</v>
      </c>
      <c r="B1806" s="5" t="s">
        <v>4335</v>
      </c>
      <c r="C1806" s="6" t="s">
        <v>23</v>
      </c>
      <c r="D1806" s="6" t="s">
        <v>4445</v>
      </c>
      <c r="E1806" s="7" t="s">
        <v>4443</v>
      </c>
    </row>
    <row r="1807" spans="1:5" x14ac:dyDescent="0.25">
      <c r="A1807" s="4" t="s">
        <v>3610</v>
      </c>
      <c r="B1807" s="5" t="s">
        <v>4387</v>
      </c>
      <c r="C1807" s="6" t="s">
        <v>23</v>
      </c>
      <c r="D1807" s="6" t="s">
        <v>4463</v>
      </c>
      <c r="E1807" s="7" t="s">
        <v>4447</v>
      </c>
    </row>
    <row r="1808" spans="1:5" x14ac:dyDescent="0.25">
      <c r="A1808" s="4" t="s">
        <v>2116</v>
      </c>
      <c r="B1808" s="5" t="s">
        <v>2115</v>
      </c>
      <c r="C1808" s="6" t="s">
        <v>23</v>
      </c>
      <c r="D1808" s="6" t="s">
        <v>24</v>
      </c>
      <c r="E1808" s="7" t="s">
        <v>4448</v>
      </c>
    </row>
    <row r="1809" spans="1:5" x14ac:dyDescent="0.25">
      <c r="A1809" s="4" t="s">
        <v>3561</v>
      </c>
      <c r="B1809" s="5" t="s">
        <v>4336</v>
      </c>
      <c r="C1809" s="6" t="s">
        <v>23</v>
      </c>
      <c r="D1809" s="6" t="s">
        <v>4445</v>
      </c>
      <c r="E1809" s="7" t="s">
        <v>4443</v>
      </c>
    </row>
    <row r="1810" spans="1:5" x14ac:dyDescent="0.25">
      <c r="A1810" s="4" t="s">
        <v>3544</v>
      </c>
      <c r="B1810" s="5" t="s">
        <v>4318</v>
      </c>
      <c r="C1810" s="6" t="s">
        <v>23</v>
      </c>
      <c r="D1810" s="6" t="s">
        <v>4445</v>
      </c>
      <c r="E1810" s="7" t="s">
        <v>4443</v>
      </c>
    </row>
    <row r="1811" spans="1:5" x14ac:dyDescent="0.25">
      <c r="A1811" s="4" t="s">
        <v>3491</v>
      </c>
      <c r="B1811" s="5" t="s">
        <v>4265</v>
      </c>
      <c r="C1811" s="6" t="s">
        <v>23</v>
      </c>
      <c r="D1811" s="6" t="s">
        <v>4445</v>
      </c>
      <c r="E1811" s="7" t="s">
        <v>4443</v>
      </c>
    </row>
    <row r="1812" spans="1:5" x14ac:dyDescent="0.25">
      <c r="A1812" s="4" t="s">
        <v>3547</v>
      </c>
      <c r="B1812" s="5" t="s">
        <v>4321</v>
      </c>
      <c r="C1812" s="6" t="s">
        <v>23</v>
      </c>
      <c r="D1812" s="6" t="s">
        <v>4445</v>
      </c>
      <c r="E1812" s="7" t="s">
        <v>4443</v>
      </c>
    </row>
    <row r="1813" spans="1:5" x14ac:dyDescent="0.25">
      <c r="A1813" s="4" t="s">
        <v>2118</v>
      </c>
      <c r="B1813" s="5" t="s">
        <v>2117</v>
      </c>
      <c r="C1813" s="6" t="s">
        <v>23</v>
      </c>
      <c r="D1813" s="6" t="s">
        <v>561</v>
      </c>
      <c r="E1813" s="7" t="s">
        <v>4458</v>
      </c>
    </row>
    <row r="1814" spans="1:5" x14ac:dyDescent="0.25">
      <c r="A1814" s="4" t="s">
        <v>3632</v>
      </c>
      <c r="B1814" s="5" t="s">
        <v>4408</v>
      </c>
      <c r="C1814" s="12" t="s">
        <v>23</v>
      </c>
      <c r="D1814" s="12" t="s">
        <v>4463</v>
      </c>
      <c r="E1814" s="7" t="s">
        <v>4443</v>
      </c>
    </row>
    <row r="1815" spans="1:5" x14ac:dyDescent="0.25">
      <c r="A1815" s="4" t="s">
        <v>3647</v>
      </c>
      <c r="B1815" s="5" t="s">
        <v>4424</v>
      </c>
      <c r="C1815" s="6" t="s">
        <v>23</v>
      </c>
      <c r="D1815" s="6" t="s">
        <v>4463</v>
      </c>
      <c r="E1815" s="7" t="s">
        <v>4443</v>
      </c>
    </row>
    <row r="1816" spans="1:5" x14ac:dyDescent="0.25">
      <c r="A1816" s="4" t="s">
        <v>3648</v>
      </c>
      <c r="B1816" s="5" t="s">
        <v>4425</v>
      </c>
      <c r="C1816" s="6" t="s">
        <v>23</v>
      </c>
      <c r="D1816" s="6" t="s">
        <v>4463</v>
      </c>
      <c r="E1816" s="7" t="s">
        <v>4443</v>
      </c>
    </row>
    <row r="1817" spans="1:5" x14ac:dyDescent="0.25">
      <c r="A1817" s="4" t="s">
        <v>3649</v>
      </c>
      <c r="B1817" s="5" t="s">
        <v>4426</v>
      </c>
      <c r="C1817" s="6" t="s">
        <v>23</v>
      </c>
      <c r="D1817" s="6" t="s">
        <v>4463</v>
      </c>
      <c r="E1817" s="7" t="s">
        <v>4443</v>
      </c>
    </row>
    <row r="1818" spans="1:5" x14ac:dyDescent="0.25">
      <c r="A1818" s="4" t="s">
        <v>3633</v>
      </c>
      <c r="B1818" s="5" t="s">
        <v>4409</v>
      </c>
      <c r="C1818" s="6" t="s">
        <v>23</v>
      </c>
      <c r="D1818" s="6" t="s">
        <v>4463</v>
      </c>
      <c r="E1818" s="7" t="s">
        <v>4443</v>
      </c>
    </row>
    <row r="1819" spans="1:5" x14ac:dyDescent="0.25">
      <c r="A1819" s="4" t="s">
        <v>3650</v>
      </c>
      <c r="B1819" s="5" t="s">
        <v>4427</v>
      </c>
      <c r="C1819" s="6" t="s">
        <v>23</v>
      </c>
      <c r="D1819" s="6" t="s">
        <v>4463</v>
      </c>
      <c r="E1819" s="7" t="s">
        <v>4443</v>
      </c>
    </row>
    <row r="1820" spans="1:5" x14ac:dyDescent="0.25">
      <c r="A1820" s="4" t="s">
        <v>3651</v>
      </c>
      <c r="B1820" s="5" t="s">
        <v>4428</v>
      </c>
      <c r="C1820" s="6" t="s">
        <v>23</v>
      </c>
      <c r="D1820" s="6" t="s">
        <v>4463</v>
      </c>
      <c r="E1820" s="7" t="s">
        <v>4443</v>
      </c>
    </row>
    <row r="1821" spans="1:5" x14ac:dyDescent="0.25">
      <c r="A1821" s="4" t="s">
        <v>3652</v>
      </c>
      <c r="B1821" s="5" t="s">
        <v>4429</v>
      </c>
      <c r="C1821" s="12" t="s">
        <v>23</v>
      </c>
      <c r="D1821" s="12" t="s">
        <v>4463</v>
      </c>
      <c r="E1821" s="7" t="s">
        <v>4443</v>
      </c>
    </row>
    <row r="1822" spans="1:5" x14ac:dyDescent="0.25">
      <c r="A1822" s="4" t="s">
        <v>2121</v>
      </c>
      <c r="B1822" s="5" t="s">
        <v>2120</v>
      </c>
      <c r="C1822" s="6" t="s">
        <v>23</v>
      </c>
      <c r="D1822" s="6" t="s">
        <v>24</v>
      </c>
      <c r="E1822" s="7" t="s">
        <v>4449</v>
      </c>
    </row>
    <row r="1823" spans="1:5" x14ac:dyDescent="0.25">
      <c r="A1823" s="4" t="s">
        <v>2123</v>
      </c>
      <c r="B1823" s="5" t="s">
        <v>2122</v>
      </c>
      <c r="C1823" s="6" t="s">
        <v>23</v>
      </c>
      <c r="D1823" s="6" t="s">
        <v>24</v>
      </c>
      <c r="E1823" s="7" t="s">
        <v>4457</v>
      </c>
    </row>
    <row r="1824" spans="1:5" x14ac:dyDescent="0.25">
      <c r="A1824" s="4" t="s">
        <v>2125</v>
      </c>
      <c r="B1824" s="5" t="s">
        <v>2124</v>
      </c>
      <c r="C1824" s="6" t="s">
        <v>23</v>
      </c>
      <c r="D1824" s="6" t="s">
        <v>24</v>
      </c>
      <c r="E1824" s="7" t="s">
        <v>4455</v>
      </c>
    </row>
    <row r="1825" spans="1:5" x14ac:dyDescent="0.25">
      <c r="A1825" s="4" t="s">
        <v>2127</v>
      </c>
      <c r="B1825" s="5" t="s">
        <v>2126</v>
      </c>
      <c r="C1825" s="6" t="s">
        <v>23</v>
      </c>
      <c r="D1825" s="6" t="s">
        <v>63</v>
      </c>
      <c r="E1825" s="7" t="s">
        <v>92</v>
      </c>
    </row>
    <row r="1826" spans="1:5" x14ac:dyDescent="0.25">
      <c r="A1826" s="4" t="s">
        <v>2129</v>
      </c>
      <c r="B1826" s="5" t="s">
        <v>2128</v>
      </c>
      <c r="C1826" s="6" t="s">
        <v>23</v>
      </c>
      <c r="D1826" s="6" t="s">
        <v>24</v>
      </c>
      <c r="E1826" s="7" t="s">
        <v>4457</v>
      </c>
    </row>
    <row r="1827" spans="1:5" x14ac:dyDescent="0.25">
      <c r="A1827" s="4" t="s">
        <v>2131</v>
      </c>
      <c r="B1827" s="5" t="s">
        <v>2130</v>
      </c>
      <c r="C1827" s="6" t="s">
        <v>23</v>
      </c>
      <c r="D1827" s="6" t="s">
        <v>24</v>
      </c>
      <c r="E1827" s="7" t="s">
        <v>4457</v>
      </c>
    </row>
    <row r="1828" spans="1:5" x14ac:dyDescent="0.25">
      <c r="A1828" s="4" t="s">
        <v>2133</v>
      </c>
      <c r="B1828" s="5" t="s">
        <v>2132</v>
      </c>
      <c r="C1828" s="6" t="s">
        <v>23</v>
      </c>
      <c r="D1828" s="6" t="s">
        <v>24</v>
      </c>
      <c r="E1828" s="7" t="s">
        <v>4455</v>
      </c>
    </row>
    <row r="1829" spans="1:5" x14ac:dyDescent="0.25">
      <c r="A1829" s="4" t="s">
        <v>2135</v>
      </c>
      <c r="B1829" s="5" t="s">
        <v>2134</v>
      </c>
      <c r="C1829" s="6" t="s">
        <v>23</v>
      </c>
      <c r="D1829" s="6" t="s">
        <v>24</v>
      </c>
      <c r="E1829" s="7" t="s">
        <v>4449</v>
      </c>
    </row>
    <row r="1830" spans="1:5" x14ac:dyDescent="0.25">
      <c r="A1830" s="4" t="s">
        <v>2137</v>
      </c>
      <c r="B1830" s="5" t="s">
        <v>2136</v>
      </c>
      <c r="C1830" s="6" t="s">
        <v>23</v>
      </c>
      <c r="D1830" s="6" t="s">
        <v>24</v>
      </c>
      <c r="E1830" s="7" t="s">
        <v>4454</v>
      </c>
    </row>
    <row r="1831" spans="1:5" x14ac:dyDescent="0.25">
      <c r="A1831" s="4" t="s">
        <v>2139</v>
      </c>
      <c r="B1831" s="5" t="s">
        <v>2138</v>
      </c>
      <c r="C1831" s="6" t="s">
        <v>23</v>
      </c>
      <c r="D1831" s="6" t="s">
        <v>24</v>
      </c>
      <c r="E1831" s="7" t="s">
        <v>4446</v>
      </c>
    </row>
    <row r="1832" spans="1:5" x14ac:dyDescent="0.25">
      <c r="A1832" s="4" t="s">
        <v>2141</v>
      </c>
      <c r="B1832" s="5" t="s">
        <v>2140</v>
      </c>
      <c r="C1832" s="6" t="s">
        <v>23</v>
      </c>
      <c r="D1832" s="6" t="s">
        <v>24</v>
      </c>
      <c r="E1832" s="7" t="s">
        <v>4447</v>
      </c>
    </row>
    <row r="1833" spans="1:5" x14ac:dyDescent="0.25">
      <c r="A1833" s="4" t="s">
        <v>2143</v>
      </c>
      <c r="B1833" s="5" t="s">
        <v>2142</v>
      </c>
      <c r="C1833" s="6" t="s">
        <v>23</v>
      </c>
      <c r="D1833" s="6" t="s">
        <v>63</v>
      </c>
      <c r="E1833" s="7" t="s">
        <v>64</v>
      </c>
    </row>
    <row r="1834" spans="1:5" x14ac:dyDescent="0.25">
      <c r="A1834" s="4" t="s">
        <v>2145</v>
      </c>
      <c r="B1834" s="5" t="s">
        <v>2144</v>
      </c>
      <c r="C1834" s="6" t="s">
        <v>23</v>
      </c>
      <c r="D1834" s="6" t="s">
        <v>63</v>
      </c>
      <c r="E1834" s="7" t="s">
        <v>64</v>
      </c>
    </row>
    <row r="1835" spans="1:5" x14ac:dyDescent="0.25">
      <c r="A1835" s="4" t="s">
        <v>2147</v>
      </c>
      <c r="B1835" s="5" t="s">
        <v>2146</v>
      </c>
      <c r="C1835" s="6" t="s">
        <v>23</v>
      </c>
      <c r="D1835" s="6" t="s">
        <v>24</v>
      </c>
      <c r="E1835" s="7" t="s">
        <v>4446</v>
      </c>
    </row>
    <row r="1836" spans="1:5" x14ac:dyDescent="0.25">
      <c r="A1836" s="11" t="s">
        <v>2149</v>
      </c>
      <c r="B1836" s="5" t="s">
        <v>2148</v>
      </c>
      <c r="C1836" s="12" t="s">
        <v>23</v>
      </c>
      <c r="D1836" s="12" t="s">
        <v>24</v>
      </c>
      <c r="E1836" s="7" t="s">
        <v>4457</v>
      </c>
    </row>
    <row r="1837" spans="1:5" x14ac:dyDescent="0.25">
      <c r="A1837" s="4" t="s">
        <v>2151</v>
      </c>
      <c r="B1837" s="5" t="s">
        <v>2150</v>
      </c>
      <c r="C1837" s="6" t="s">
        <v>23</v>
      </c>
      <c r="D1837" s="6" t="s">
        <v>24</v>
      </c>
      <c r="E1837" s="7" t="s">
        <v>4450</v>
      </c>
    </row>
    <row r="1838" spans="1:5" x14ac:dyDescent="0.25">
      <c r="A1838" s="4" t="s">
        <v>2153</v>
      </c>
      <c r="B1838" s="5" t="s">
        <v>2152</v>
      </c>
      <c r="C1838" s="6" t="s">
        <v>23</v>
      </c>
      <c r="D1838" s="6" t="s">
        <v>24</v>
      </c>
      <c r="E1838" s="7" t="s">
        <v>4448</v>
      </c>
    </row>
    <row r="1839" spans="1:5" x14ac:dyDescent="0.25">
      <c r="A1839" s="4" t="s">
        <v>2155</v>
      </c>
      <c r="B1839" s="5" t="s">
        <v>2154</v>
      </c>
      <c r="C1839" s="6" t="s">
        <v>23</v>
      </c>
      <c r="D1839" s="6" t="s">
        <v>24</v>
      </c>
      <c r="E1839" s="7" t="s">
        <v>4451</v>
      </c>
    </row>
    <row r="1840" spans="1:5" x14ac:dyDescent="0.25">
      <c r="A1840" s="4" t="s">
        <v>2157</v>
      </c>
      <c r="B1840" s="5" t="s">
        <v>2156</v>
      </c>
      <c r="C1840" s="6" t="s">
        <v>23</v>
      </c>
      <c r="D1840" s="6" t="s">
        <v>24</v>
      </c>
      <c r="E1840" s="7" t="s">
        <v>4447</v>
      </c>
    </row>
    <row r="1841" spans="1:5" x14ac:dyDescent="0.25">
      <c r="A1841" s="4" t="s">
        <v>2159</v>
      </c>
      <c r="B1841" s="5" t="s">
        <v>2158</v>
      </c>
      <c r="C1841" s="6" t="s">
        <v>23</v>
      </c>
      <c r="D1841" s="6" t="s">
        <v>24</v>
      </c>
      <c r="E1841" s="7" t="s">
        <v>4448</v>
      </c>
    </row>
    <row r="1842" spans="1:5" x14ac:dyDescent="0.25">
      <c r="A1842" s="4" t="s">
        <v>2161</v>
      </c>
      <c r="B1842" s="5" t="s">
        <v>2160</v>
      </c>
      <c r="C1842" s="12" t="s">
        <v>23</v>
      </c>
      <c r="D1842" s="12" t="s">
        <v>24</v>
      </c>
      <c r="E1842" s="7" t="s">
        <v>4449</v>
      </c>
    </row>
    <row r="1843" spans="1:5" x14ac:dyDescent="0.25">
      <c r="A1843" s="4" t="s">
        <v>2163</v>
      </c>
      <c r="B1843" s="5" t="s">
        <v>2162</v>
      </c>
      <c r="C1843" s="6" t="s">
        <v>23</v>
      </c>
      <c r="D1843" s="6" t="s">
        <v>24</v>
      </c>
      <c r="E1843" s="7" t="s">
        <v>4448</v>
      </c>
    </row>
    <row r="1844" spans="1:5" x14ac:dyDescent="0.25">
      <c r="A1844" s="4" t="s">
        <v>2166</v>
      </c>
      <c r="B1844" s="5" t="s">
        <v>2165</v>
      </c>
      <c r="C1844" s="6" t="s">
        <v>23</v>
      </c>
      <c r="D1844" s="6" t="s">
        <v>24</v>
      </c>
      <c r="E1844" s="7" t="s">
        <v>4457</v>
      </c>
    </row>
    <row r="1845" spans="1:5" x14ac:dyDescent="0.25">
      <c r="A1845" s="4" t="s">
        <v>2168</v>
      </c>
      <c r="B1845" s="5" t="s">
        <v>2167</v>
      </c>
      <c r="C1845" s="6" t="s">
        <v>23</v>
      </c>
      <c r="D1845" s="6" t="s">
        <v>24</v>
      </c>
      <c r="E1845" s="7" t="s">
        <v>4455</v>
      </c>
    </row>
    <row r="1846" spans="1:5" x14ac:dyDescent="0.25">
      <c r="A1846" s="4" t="s">
        <v>4552</v>
      </c>
      <c r="B1846" s="5" t="s">
        <v>2164</v>
      </c>
      <c r="C1846" s="6" t="s">
        <v>23</v>
      </c>
      <c r="D1846" s="6" t="s">
        <v>24</v>
      </c>
      <c r="E1846" s="7" t="s">
        <v>4449</v>
      </c>
    </row>
    <row r="1847" spans="1:5" x14ac:dyDescent="0.25">
      <c r="A1847" s="4" t="s">
        <v>2170</v>
      </c>
      <c r="B1847" s="5" t="s">
        <v>2169</v>
      </c>
      <c r="C1847" s="6" t="s">
        <v>23</v>
      </c>
      <c r="D1847" s="6" t="s">
        <v>63</v>
      </c>
      <c r="E1847" s="7" t="s">
        <v>67</v>
      </c>
    </row>
    <row r="1848" spans="1:5" x14ac:dyDescent="0.25">
      <c r="A1848" s="4" t="s">
        <v>4553</v>
      </c>
      <c r="B1848" s="5" t="s">
        <v>2209</v>
      </c>
      <c r="C1848" s="6" t="s">
        <v>23</v>
      </c>
      <c r="D1848" s="6" t="s">
        <v>24</v>
      </c>
      <c r="E1848" s="7" t="s">
        <v>4446</v>
      </c>
    </row>
    <row r="1849" spans="1:5" x14ac:dyDescent="0.25">
      <c r="A1849" s="4" t="s">
        <v>4554</v>
      </c>
      <c r="B1849" s="5" t="s">
        <v>2210</v>
      </c>
      <c r="C1849" s="6" t="s">
        <v>23</v>
      </c>
      <c r="D1849" s="6" t="s">
        <v>24</v>
      </c>
      <c r="E1849" s="7" t="s">
        <v>4457</v>
      </c>
    </row>
    <row r="1850" spans="1:5" x14ac:dyDescent="0.25">
      <c r="A1850" s="4" t="s">
        <v>4555</v>
      </c>
      <c r="B1850" s="5" t="s">
        <v>2211</v>
      </c>
      <c r="C1850" s="6" t="s">
        <v>23</v>
      </c>
      <c r="D1850" s="6" t="s">
        <v>24</v>
      </c>
      <c r="E1850" s="7" t="s">
        <v>4447</v>
      </c>
    </row>
    <row r="1851" spans="1:5" x14ac:dyDescent="0.25">
      <c r="A1851" s="4" t="s">
        <v>2172</v>
      </c>
      <c r="B1851" s="5" t="s">
        <v>2171</v>
      </c>
      <c r="C1851" s="6" t="s">
        <v>23</v>
      </c>
      <c r="D1851" s="6" t="s">
        <v>63</v>
      </c>
      <c r="E1851" s="7" t="s">
        <v>64</v>
      </c>
    </row>
    <row r="1852" spans="1:5" x14ac:dyDescent="0.25">
      <c r="A1852" s="4" t="s">
        <v>2174</v>
      </c>
      <c r="B1852" s="5" t="s">
        <v>2173</v>
      </c>
      <c r="C1852" s="6" t="s">
        <v>23</v>
      </c>
      <c r="D1852" s="6" t="s">
        <v>63</v>
      </c>
      <c r="E1852" s="7" t="s">
        <v>67</v>
      </c>
    </row>
    <row r="1853" spans="1:5" x14ac:dyDescent="0.25">
      <c r="A1853" s="4" t="s">
        <v>2176</v>
      </c>
      <c r="B1853" s="5" t="s">
        <v>2175</v>
      </c>
      <c r="C1853" s="6" t="s">
        <v>23</v>
      </c>
      <c r="D1853" s="6" t="s">
        <v>63</v>
      </c>
      <c r="E1853" s="7" t="s">
        <v>64</v>
      </c>
    </row>
    <row r="1854" spans="1:5" x14ac:dyDescent="0.25">
      <c r="A1854" s="4" t="s">
        <v>2178</v>
      </c>
      <c r="B1854" s="5" t="s">
        <v>2177</v>
      </c>
      <c r="C1854" s="6" t="s">
        <v>23</v>
      </c>
      <c r="D1854" s="6" t="s">
        <v>63</v>
      </c>
      <c r="E1854" s="7" t="s">
        <v>64</v>
      </c>
    </row>
    <row r="1855" spans="1:5" x14ac:dyDescent="0.25">
      <c r="A1855" s="4" t="s">
        <v>2180</v>
      </c>
      <c r="B1855" s="5" t="s">
        <v>2179</v>
      </c>
      <c r="C1855" s="6" t="s">
        <v>23</v>
      </c>
      <c r="D1855" s="6" t="s">
        <v>63</v>
      </c>
      <c r="E1855" s="7" t="s">
        <v>287</v>
      </c>
    </row>
    <row r="1856" spans="1:5" x14ac:dyDescent="0.25">
      <c r="A1856" s="4" t="s">
        <v>2182</v>
      </c>
      <c r="B1856" s="5" t="s">
        <v>2181</v>
      </c>
      <c r="C1856" s="6" t="s">
        <v>23</v>
      </c>
      <c r="D1856" s="6" t="s">
        <v>24</v>
      </c>
      <c r="E1856" s="7" t="s">
        <v>4455</v>
      </c>
    </row>
    <row r="1857" spans="1:5" x14ac:dyDescent="0.25">
      <c r="A1857" s="4" t="s">
        <v>2184</v>
      </c>
      <c r="B1857" s="5" t="s">
        <v>2183</v>
      </c>
      <c r="C1857" s="6" t="s">
        <v>23</v>
      </c>
      <c r="D1857" s="6" t="s">
        <v>24</v>
      </c>
      <c r="E1857" s="7" t="s">
        <v>4451</v>
      </c>
    </row>
    <row r="1858" spans="1:5" x14ac:dyDescent="0.25">
      <c r="A1858" s="4" t="s">
        <v>2186</v>
      </c>
      <c r="B1858" s="5" t="s">
        <v>2185</v>
      </c>
      <c r="C1858" s="6" t="s">
        <v>23</v>
      </c>
      <c r="D1858" s="6" t="s">
        <v>63</v>
      </c>
      <c r="E1858" s="7" t="s">
        <v>67</v>
      </c>
    </row>
    <row r="1859" spans="1:5" x14ac:dyDescent="0.25">
      <c r="A1859" s="4" t="s">
        <v>2188</v>
      </c>
      <c r="B1859" s="5" t="s">
        <v>2187</v>
      </c>
      <c r="C1859" s="6" t="s">
        <v>23</v>
      </c>
      <c r="D1859" s="6" t="s">
        <v>24</v>
      </c>
      <c r="E1859" s="7" t="s">
        <v>4449</v>
      </c>
    </row>
    <row r="1860" spans="1:5" x14ac:dyDescent="0.25">
      <c r="A1860" s="4" t="s">
        <v>2190</v>
      </c>
      <c r="B1860" s="5" t="s">
        <v>2189</v>
      </c>
      <c r="C1860" s="6" t="s">
        <v>23</v>
      </c>
      <c r="D1860" s="6" t="s">
        <v>63</v>
      </c>
      <c r="E1860" s="7" t="s">
        <v>67</v>
      </c>
    </row>
    <row r="1861" spans="1:5" x14ac:dyDescent="0.25">
      <c r="A1861" s="4" t="s">
        <v>2192</v>
      </c>
      <c r="B1861" s="5" t="s">
        <v>2191</v>
      </c>
      <c r="C1861" s="6" t="s">
        <v>23</v>
      </c>
      <c r="D1861" s="6" t="s">
        <v>63</v>
      </c>
      <c r="E1861" s="7" t="s">
        <v>287</v>
      </c>
    </row>
    <row r="1862" spans="1:5" x14ac:dyDescent="0.25">
      <c r="A1862" s="4" t="s">
        <v>2194</v>
      </c>
      <c r="B1862" s="5" t="s">
        <v>2193</v>
      </c>
      <c r="C1862" s="6" t="s">
        <v>23</v>
      </c>
      <c r="D1862" s="6" t="s">
        <v>24</v>
      </c>
      <c r="E1862" s="7" t="s">
        <v>4455</v>
      </c>
    </row>
    <row r="1863" spans="1:5" x14ac:dyDescent="0.25">
      <c r="A1863" s="74" t="s">
        <v>7626</v>
      </c>
      <c r="B1863" s="108" t="s">
        <v>2187</v>
      </c>
      <c r="C1863" s="73" t="s">
        <v>23</v>
      </c>
      <c r="D1863" s="73" t="s">
        <v>24</v>
      </c>
      <c r="E1863" s="1716" t="s">
        <v>4449</v>
      </c>
    </row>
    <row r="1864" spans="1:5" x14ac:dyDescent="0.25">
      <c r="A1864" s="4" t="s">
        <v>2196</v>
      </c>
      <c r="B1864" s="5" t="s">
        <v>2195</v>
      </c>
      <c r="C1864" s="6" t="s">
        <v>23</v>
      </c>
      <c r="D1864" s="6" t="s">
        <v>63</v>
      </c>
      <c r="E1864" s="7" t="s">
        <v>98</v>
      </c>
    </row>
    <row r="1865" spans="1:5" x14ac:dyDescent="0.25">
      <c r="A1865" s="4" t="s">
        <v>2198</v>
      </c>
      <c r="B1865" s="5" t="s">
        <v>2197</v>
      </c>
      <c r="C1865" s="6" t="s">
        <v>23</v>
      </c>
      <c r="D1865" s="6" t="s">
        <v>63</v>
      </c>
      <c r="E1865" s="7" t="s">
        <v>67</v>
      </c>
    </row>
    <row r="1866" spans="1:5" x14ac:dyDescent="0.25">
      <c r="A1866" s="4" t="s">
        <v>2200</v>
      </c>
      <c r="B1866" s="5" t="s">
        <v>2199</v>
      </c>
      <c r="C1866" s="6" t="s">
        <v>23</v>
      </c>
      <c r="D1866" s="6" t="s">
        <v>63</v>
      </c>
      <c r="E1866" s="7" t="s">
        <v>4457</v>
      </c>
    </row>
    <row r="1867" spans="1:5" x14ac:dyDescent="0.25">
      <c r="A1867" s="4" t="s">
        <v>3574</v>
      </c>
      <c r="B1867" s="5" t="s">
        <v>4350</v>
      </c>
      <c r="C1867" s="6" t="s">
        <v>23</v>
      </c>
      <c r="D1867" s="6" t="s">
        <v>24</v>
      </c>
      <c r="E1867" s="7" t="s">
        <v>4446</v>
      </c>
    </row>
    <row r="1868" spans="1:5" x14ac:dyDescent="0.25">
      <c r="A1868" s="4" t="s">
        <v>2202</v>
      </c>
      <c r="B1868" s="5" t="s">
        <v>2201</v>
      </c>
      <c r="C1868" s="6" t="s">
        <v>23</v>
      </c>
      <c r="D1868" s="6" t="s">
        <v>24</v>
      </c>
      <c r="E1868" s="7" t="s">
        <v>4448</v>
      </c>
    </row>
    <row r="1869" spans="1:5" x14ac:dyDescent="0.25">
      <c r="A1869" s="4" t="s">
        <v>2204</v>
      </c>
      <c r="B1869" s="5" t="s">
        <v>2203</v>
      </c>
      <c r="C1869" s="6" t="s">
        <v>23</v>
      </c>
      <c r="D1869" s="6" t="s">
        <v>24</v>
      </c>
      <c r="E1869" s="7" t="s">
        <v>4450</v>
      </c>
    </row>
    <row r="1870" spans="1:5" x14ac:dyDescent="0.25">
      <c r="A1870" s="4" t="s">
        <v>2206</v>
      </c>
      <c r="B1870" s="5" t="s">
        <v>2205</v>
      </c>
      <c r="C1870" s="6" t="s">
        <v>23</v>
      </c>
      <c r="D1870" s="6" t="s">
        <v>24</v>
      </c>
      <c r="E1870" s="7" t="s">
        <v>4449</v>
      </c>
    </row>
    <row r="1871" spans="1:5" x14ac:dyDescent="0.25">
      <c r="A1871" s="4" t="s">
        <v>2208</v>
      </c>
      <c r="B1871" s="5" t="s">
        <v>2207</v>
      </c>
      <c r="C1871" s="6" t="s">
        <v>23</v>
      </c>
      <c r="D1871" s="6" t="s">
        <v>24</v>
      </c>
      <c r="E1871" s="7" t="s">
        <v>4454</v>
      </c>
    </row>
    <row r="1872" spans="1:5" x14ac:dyDescent="0.25">
      <c r="A1872" s="4" t="s">
        <v>3492</v>
      </c>
      <c r="B1872" s="5" t="s">
        <v>4266</v>
      </c>
      <c r="C1872" s="6" t="s">
        <v>23</v>
      </c>
      <c r="D1872" s="6" t="s">
        <v>4445</v>
      </c>
      <c r="E1872" s="7" t="s">
        <v>4443</v>
      </c>
    </row>
    <row r="1873" spans="1:5" x14ac:dyDescent="0.25">
      <c r="A1873" s="4" t="s">
        <v>3594</v>
      </c>
      <c r="B1873" s="5" t="s">
        <v>4371</v>
      </c>
      <c r="C1873" s="6" t="s">
        <v>23</v>
      </c>
      <c r="D1873" s="6" t="s">
        <v>63</v>
      </c>
      <c r="E1873" s="7" t="s">
        <v>98</v>
      </c>
    </row>
    <row r="1874" spans="1:5" x14ac:dyDescent="0.25">
      <c r="A1874" s="4" t="s">
        <v>3493</v>
      </c>
      <c r="B1874" s="5" t="s">
        <v>4267</v>
      </c>
      <c r="C1874" s="6" t="s">
        <v>23</v>
      </c>
      <c r="D1874" s="6" t="s">
        <v>4445</v>
      </c>
      <c r="E1874" s="7" t="s">
        <v>4443</v>
      </c>
    </row>
    <row r="1875" spans="1:5" x14ac:dyDescent="0.25">
      <c r="A1875" s="4" t="s">
        <v>3634</v>
      </c>
      <c r="B1875" s="5" t="s">
        <v>4410</v>
      </c>
      <c r="C1875" s="6" t="s">
        <v>23</v>
      </c>
      <c r="D1875" s="6" t="s">
        <v>4463</v>
      </c>
      <c r="E1875" s="7" t="s">
        <v>4443</v>
      </c>
    </row>
    <row r="1876" spans="1:5" x14ac:dyDescent="0.25">
      <c r="A1876" s="4" t="s">
        <v>3653</v>
      </c>
      <c r="B1876" s="5" t="s">
        <v>4430</v>
      </c>
      <c r="C1876" s="6" t="s">
        <v>23</v>
      </c>
      <c r="D1876" s="6" t="s">
        <v>4463</v>
      </c>
      <c r="E1876" s="7" t="s">
        <v>4443</v>
      </c>
    </row>
    <row r="1877" spans="1:5" x14ac:dyDescent="0.25">
      <c r="A1877" s="4" t="s">
        <v>3654</v>
      </c>
      <c r="B1877" s="5" t="s">
        <v>4431</v>
      </c>
      <c r="C1877" s="6" t="s">
        <v>23</v>
      </c>
      <c r="D1877" s="6" t="s">
        <v>4463</v>
      </c>
      <c r="E1877" s="7" t="s">
        <v>4443</v>
      </c>
    </row>
    <row r="1878" spans="1:5" x14ac:dyDescent="0.25">
      <c r="A1878" s="4" t="s">
        <v>3655</v>
      </c>
      <c r="B1878" s="5" t="s">
        <v>4432</v>
      </c>
      <c r="C1878" s="6" t="s">
        <v>23</v>
      </c>
      <c r="D1878" s="6" t="s">
        <v>4463</v>
      </c>
      <c r="E1878" s="7" t="s">
        <v>4443</v>
      </c>
    </row>
    <row r="1879" spans="1:5" x14ac:dyDescent="0.25">
      <c r="A1879" s="4" t="s">
        <v>4560</v>
      </c>
      <c r="B1879" s="5" t="s">
        <v>2119</v>
      </c>
      <c r="C1879" s="6" t="s">
        <v>23</v>
      </c>
      <c r="D1879" s="6" t="s">
        <v>24</v>
      </c>
      <c r="E1879" s="7" t="s">
        <v>4455</v>
      </c>
    </row>
    <row r="1880" spans="1:5" x14ac:dyDescent="0.25">
      <c r="A1880" s="4" t="s">
        <v>3494</v>
      </c>
      <c r="B1880" s="5" t="s">
        <v>4268</v>
      </c>
      <c r="C1880" s="6" t="s">
        <v>23</v>
      </c>
      <c r="D1880" s="6" t="s">
        <v>4445</v>
      </c>
      <c r="E1880" s="7" t="s">
        <v>4443</v>
      </c>
    </row>
    <row r="1881" spans="1:5" x14ac:dyDescent="0.25">
      <c r="A1881" s="4" t="s">
        <v>2213</v>
      </c>
      <c r="B1881" s="5" t="s">
        <v>2212</v>
      </c>
      <c r="C1881" s="6" t="s">
        <v>23</v>
      </c>
      <c r="D1881" s="6" t="s">
        <v>63</v>
      </c>
      <c r="E1881" s="7" t="s">
        <v>64</v>
      </c>
    </row>
    <row r="1882" spans="1:5" x14ac:dyDescent="0.25">
      <c r="A1882" s="4" t="s">
        <v>2215</v>
      </c>
      <c r="B1882" s="5" t="s">
        <v>2214</v>
      </c>
      <c r="C1882" s="6" t="s">
        <v>23</v>
      </c>
      <c r="D1882" s="6" t="s">
        <v>24</v>
      </c>
      <c r="E1882" s="7" t="s">
        <v>4454</v>
      </c>
    </row>
    <row r="1883" spans="1:5" x14ac:dyDescent="0.25">
      <c r="A1883" s="4" t="s">
        <v>2217</v>
      </c>
      <c r="B1883" s="5" t="s">
        <v>2216</v>
      </c>
      <c r="C1883" s="6" t="s">
        <v>23</v>
      </c>
      <c r="D1883" s="6" t="s">
        <v>63</v>
      </c>
      <c r="E1883" s="7" t="s">
        <v>287</v>
      </c>
    </row>
    <row r="1884" spans="1:5" x14ac:dyDescent="0.25">
      <c r="A1884" s="11" t="s">
        <v>2219</v>
      </c>
      <c r="B1884" s="5" t="s">
        <v>2218</v>
      </c>
      <c r="C1884" s="12" t="s">
        <v>23</v>
      </c>
      <c r="D1884" s="12" t="s">
        <v>63</v>
      </c>
      <c r="E1884" s="7" t="s">
        <v>64</v>
      </c>
    </row>
    <row r="1885" spans="1:5" x14ac:dyDescent="0.25">
      <c r="A1885" s="11" t="s">
        <v>2221</v>
      </c>
      <c r="B1885" s="5" t="s">
        <v>2220</v>
      </c>
      <c r="C1885" s="12" t="s">
        <v>23</v>
      </c>
      <c r="D1885" s="12" t="s">
        <v>24</v>
      </c>
      <c r="E1885" s="7" t="s">
        <v>4452</v>
      </c>
    </row>
    <row r="1886" spans="1:5" x14ac:dyDescent="0.25">
      <c r="A1886" s="4" t="s">
        <v>2223</v>
      </c>
      <c r="B1886" s="5" t="s">
        <v>2222</v>
      </c>
      <c r="C1886" s="6" t="s">
        <v>23</v>
      </c>
      <c r="D1886" s="6" t="s">
        <v>24</v>
      </c>
      <c r="E1886" s="7" t="s">
        <v>4457</v>
      </c>
    </row>
    <row r="1887" spans="1:5" x14ac:dyDescent="0.25">
      <c r="A1887" s="4" t="s">
        <v>2225</v>
      </c>
      <c r="B1887" s="5" t="s">
        <v>2224</v>
      </c>
      <c r="C1887" s="6" t="s">
        <v>23</v>
      </c>
      <c r="D1887" s="6" t="s">
        <v>24</v>
      </c>
      <c r="E1887" s="7" t="s">
        <v>4447</v>
      </c>
    </row>
    <row r="1888" spans="1:5" x14ac:dyDescent="0.25">
      <c r="A1888" s="4" t="s">
        <v>2227</v>
      </c>
      <c r="B1888" s="5" t="s">
        <v>2226</v>
      </c>
      <c r="C1888" s="6" t="s">
        <v>23</v>
      </c>
      <c r="D1888" s="6" t="s">
        <v>24</v>
      </c>
      <c r="E1888" s="7" t="s">
        <v>4448</v>
      </c>
    </row>
    <row r="1889" spans="1:5" x14ac:dyDescent="0.25">
      <c r="A1889" s="4" t="s">
        <v>2229</v>
      </c>
      <c r="B1889" s="5" t="s">
        <v>2228</v>
      </c>
      <c r="C1889" s="6" t="s">
        <v>23</v>
      </c>
      <c r="D1889" s="6" t="s">
        <v>24</v>
      </c>
      <c r="E1889" s="7" t="s">
        <v>4449</v>
      </c>
    </row>
    <row r="1890" spans="1:5" x14ac:dyDescent="0.25">
      <c r="A1890" s="4" t="s">
        <v>2231</v>
      </c>
      <c r="B1890" s="5" t="s">
        <v>2230</v>
      </c>
      <c r="C1890" s="6" t="s">
        <v>23</v>
      </c>
      <c r="D1890" s="6" t="s">
        <v>24</v>
      </c>
      <c r="E1890" s="7" t="s">
        <v>4450</v>
      </c>
    </row>
    <row r="1891" spans="1:5" x14ac:dyDescent="0.25">
      <c r="A1891" s="4" t="s">
        <v>2233</v>
      </c>
      <c r="B1891" s="5" t="s">
        <v>2232</v>
      </c>
      <c r="C1891" s="6" t="s">
        <v>23</v>
      </c>
      <c r="D1891" s="6" t="s">
        <v>24</v>
      </c>
      <c r="E1891" s="7" t="s">
        <v>4455</v>
      </c>
    </row>
    <row r="1892" spans="1:5" x14ac:dyDescent="0.25">
      <c r="A1892" s="4" t="s">
        <v>2235</v>
      </c>
      <c r="B1892" s="5" t="s">
        <v>2234</v>
      </c>
      <c r="C1892" s="6" t="s">
        <v>23</v>
      </c>
      <c r="D1892" s="6" t="s">
        <v>63</v>
      </c>
      <c r="E1892" s="7" t="s">
        <v>92</v>
      </c>
    </row>
    <row r="1893" spans="1:5" x14ac:dyDescent="0.25">
      <c r="A1893" s="4" t="s">
        <v>2237</v>
      </c>
      <c r="B1893" s="5" t="s">
        <v>2236</v>
      </c>
      <c r="C1893" s="6" t="s">
        <v>23</v>
      </c>
      <c r="D1893" s="6" t="s">
        <v>63</v>
      </c>
      <c r="E1893" s="7" t="s">
        <v>67</v>
      </c>
    </row>
    <row r="1894" spans="1:5" x14ac:dyDescent="0.25">
      <c r="A1894" s="4" t="s">
        <v>2239</v>
      </c>
      <c r="B1894" s="5" t="s">
        <v>2238</v>
      </c>
      <c r="C1894" s="6" t="s">
        <v>23</v>
      </c>
      <c r="D1894" s="6" t="s">
        <v>63</v>
      </c>
      <c r="E1894" s="7" t="s">
        <v>287</v>
      </c>
    </row>
    <row r="1895" spans="1:5" x14ac:dyDescent="0.25">
      <c r="A1895" s="4" t="s">
        <v>2241</v>
      </c>
      <c r="B1895" s="5" t="s">
        <v>2240</v>
      </c>
      <c r="C1895" s="6" t="s">
        <v>23</v>
      </c>
      <c r="D1895" s="6" t="s">
        <v>24</v>
      </c>
      <c r="E1895" s="7" t="s">
        <v>4449</v>
      </c>
    </row>
    <row r="1896" spans="1:5" x14ac:dyDescent="0.25">
      <c r="A1896" s="4" t="s">
        <v>2243</v>
      </c>
      <c r="B1896" s="5" t="s">
        <v>2242</v>
      </c>
      <c r="C1896" s="6" t="s">
        <v>23</v>
      </c>
      <c r="D1896" s="6" t="s">
        <v>24</v>
      </c>
      <c r="E1896" s="7" t="s">
        <v>4455</v>
      </c>
    </row>
    <row r="1897" spans="1:5" x14ac:dyDescent="0.25">
      <c r="A1897" s="4" t="s">
        <v>2245</v>
      </c>
      <c r="B1897" s="5" t="s">
        <v>2244</v>
      </c>
      <c r="C1897" s="6" t="s">
        <v>23</v>
      </c>
      <c r="D1897" s="6" t="s">
        <v>24</v>
      </c>
      <c r="E1897" s="7" t="s">
        <v>4454</v>
      </c>
    </row>
    <row r="1898" spans="1:5" x14ac:dyDescent="0.25">
      <c r="A1898" s="4" t="s">
        <v>2247</v>
      </c>
      <c r="B1898" s="5" t="s">
        <v>2246</v>
      </c>
      <c r="C1898" s="6" t="s">
        <v>23</v>
      </c>
      <c r="D1898" s="6" t="s">
        <v>63</v>
      </c>
      <c r="E1898" s="7" t="s">
        <v>64</v>
      </c>
    </row>
    <row r="1899" spans="1:5" x14ac:dyDescent="0.25">
      <c r="A1899" s="4" t="s">
        <v>2249</v>
      </c>
      <c r="B1899" s="5" t="s">
        <v>2248</v>
      </c>
      <c r="C1899" s="6" t="s">
        <v>23</v>
      </c>
      <c r="D1899" s="6" t="s">
        <v>63</v>
      </c>
      <c r="E1899" s="7" t="s">
        <v>67</v>
      </c>
    </row>
    <row r="1900" spans="1:5" x14ac:dyDescent="0.25">
      <c r="A1900" s="4" t="s">
        <v>2251</v>
      </c>
      <c r="B1900" s="5" t="s">
        <v>2250</v>
      </c>
      <c r="C1900" s="6" t="s">
        <v>23</v>
      </c>
      <c r="D1900" s="6" t="s">
        <v>24</v>
      </c>
      <c r="E1900" s="7" t="s">
        <v>4446</v>
      </c>
    </row>
    <row r="1901" spans="1:5" x14ac:dyDescent="0.25">
      <c r="A1901" s="4" t="s">
        <v>2253</v>
      </c>
      <c r="B1901" s="5" t="s">
        <v>2252</v>
      </c>
      <c r="C1901" s="6" t="s">
        <v>23</v>
      </c>
      <c r="D1901" s="6" t="s">
        <v>24</v>
      </c>
      <c r="E1901" s="7" t="s">
        <v>4447</v>
      </c>
    </row>
    <row r="1902" spans="1:5" x14ac:dyDescent="0.25">
      <c r="A1902" s="4" t="s">
        <v>2255</v>
      </c>
      <c r="B1902" s="5" t="s">
        <v>2254</v>
      </c>
      <c r="C1902" s="6" t="s">
        <v>23</v>
      </c>
      <c r="D1902" s="6" t="s">
        <v>24</v>
      </c>
      <c r="E1902" s="7" t="s">
        <v>4448</v>
      </c>
    </row>
    <row r="1903" spans="1:5" x14ac:dyDescent="0.25">
      <c r="A1903" s="4" t="s">
        <v>2257</v>
      </c>
      <c r="B1903" s="5" t="s">
        <v>2256</v>
      </c>
      <c r="C1903" s="6" t="s">
        <v>23</v>
      </c>
      <c r="D1903" s="6" t="s">
        <v>24</v>
      </c>
      <c r="E1903" s="7" t="s">
        <v>4447</v>
      </c>
    </row>
    <row r="1904" spans="1:5" x14ac:dyDescent="0.25">
      <c r="A1904" s="4" t="s">
        <v>2259</v>
      </c>
      <c r="B1904" s="5" t="s">
        <v>2258</v>
      </c>
      <c r="C1904" s="6" t="s">
        <v>23</v>
      </c>
      <c r="D1904" s="6" t="s">
        <v>24</v>
      </c>
      <c r="E1904" s="7" t="s">
        <v>4450</v>
      </c>
    </row>
    <row r="1905" spans="1:5" x14ac:dyDescent="0.25">
      <c r="A1905" s="4" t="s">
        <v>2261</v>
      </c>
      <c r="B1905" s="5" t="s">
        <v>2260</v>
      </c>
      <c r="C1905" s="6" t="s">
        <v>23</v>
      </c>
      <c r="D1905" s="6" t="s">
        <v>24</v>
      </c>
      <c r="E1905" s="7" t="s">
        <v>4448</v>
      </c>
    </row>
    <row r="1906" spans="1:5" x14ac:dyDescent="0.25">
      <c r="A1906" s="11" t="s">
        <v>2263</v>
      </c>
      <c r="B1906" s="5" t="s">
        <v>2262</v>
      </c>
      <c r="C1906" s="12" t="s">
        <v>23</v>
      </c>
      <c r="D1906" s="12" t="s">
        <v>63</v>
      </c>
      <c r="E1906" s="7" t="s">
        <v>64</v>
      </c>
    </row>
    <row r="1907" spans="1:5" x14ac:dyDescent="0.25">
      <c r="A1907" s="4" t="s">
        <v>2265</v>
      </c>
      <c r="B1907" s="5" t="s">
        <v>2264</v>
      </c>
      <c r="C1907" s="6" t="s">
        <v>23</v>
      </c>
      <c r="D1907" s="6" t="s">
        <v>24</v>
      </c>
      <c r="E1907" s="7" t="s">
        <v>4446</v>
      </c>
    </row>
    <row r="1908" spans="1:5" x14ac:dyDescent="0.25">
      <c r="A1908" s="4" t="s">
        <v>2267</v>
      </c>
      <c r="B1908" s="5" t="s">
        <v>2266</v>
      </c>
      <c r="C1908" s="6" t="s">
        <v>23</v>
      </c>
      <c r="D1908" s="6" t="s">
        <v>24</v>
      </c>
      <c r="E1908" s="7" t="s">
        <v>4455</v>
      </c>
    </row>
    <row r="1909" spans="1:5" x14ac:dyDescent="0.25">
      <c r="A1909" s="4" t="s">
        <v>2269</v>
      </c>
      <c r="B1909" s="5" t="s">
        <v>2268</v>
      </c>
      <c r="C1909" s="6" t="s">
        <v>23</v>
      </c>
      <c r="D1909" s="6" t="s">
        <v>24</v>
      </c>
      <c r="E1909" s="7" t="s">
        <v>4446</v>
      </c>
    </row>
    <row r="1910" spans="1:5" x14ac:dyDescent="0.25">
      <c r="A1910" s="4" t="s">
        <v>2271</v>
      </c>
      <c r="B1910" s="5" t="s">
        <v>2270</v>
      </c>
      <c r="C1910" s="6" t="s">
        <v>23</v>
      </c>
      <c r="D1910" s="6" t="s">
        <v>24</v>
      </c>
      <c r="E1910" s="7" t="s">
        <v>4447</v>
      </c>
    </row>
    <row r="1911" spans="1:5" x14ac:dyDescent="0.25">
      <c r="A1911" s="4" t="s">
        <v>2273</v>
      </c>
      <c r="B1911" s="5" t="s">
        <v>2272</v>
      </c>
      <c r="C1911" s="6" t="s">
        <v>23</v>
      </c>
      <c r="D1911" s="6" t="s">
        <v>24</v>
      </c>
      <c r="E1911" s="7" t="s">
        <v>4455</v>
      </c>
    </row>
    <row r="1912" spans="1:5" x14ac:dyDescent="0.25">
      <c r="A1912" s="4" t="s">
        <v>2275</v>
      </c>
      <c r="B1912" s="5" t="s">
        <v>2274</v>
      </c>
      <c r="C1912" s="6" t="s">
        <v>23</v>
      </c>
      <c r="D1912" s="6" t="s">
        <v>24</v>
      </c>
      <c r="E1912" s="7" t="s">
        <v>4446</v>
      </c>
    </row>
    <row r="1913" spans="1:5" x14ac:dyDescent="0.25">
      <c r="A1913" s="4" t="s">
        <v>2277</v>
      </c>
      <c r="B1913" s="5" t="s">
        <v>2276</v>
      </c>
      <c r="C1913" s="6" t="s">
        <v>23</v>
      </c>
      <c r="D1913" s="6" t="s">
        <v>24</v>
      </c>
      <c r="E1913" s="7" t="s">
        <v>4447</v>
      </c>
    </row>
    <row r="1914" spans="1:5" x14ac:dyDescent="0.25">
      <c r="A1914" s="4" t="s">
        <v>2279</v>
      </c>
      <c r="B1914" s="5" t="s">
        <v>2278</v>
      </c>
      <c r="C1914" s="6" t="s">
        <v>23</v>
      </c>
      <c r="D1914" s="6" t="s">
        <v>24</v>
      </c>
      <c r="E1914" s="7" t="s">
        <v>4448</v>
      </c>
    </row>
    <row r="1915" spans="1:5" x14ac:dyDescent="0.25">
      <c r="A1915" s="4" t="s">
        <v>2281</v>
      </c>
      <c r="B1915" s="5" t="s">
        <v>2280</v>
      </c>
      <c r="C1915" s="6" t="s">
        <v>23</v>
      </c>
      <c r="D1915" s="6" t="s">
        <v>63</v>
      </c>
      <c r="E1915" s="7" t="s">
        <v>64</v>
      </c>
    </row>
    <row r="1916" spans="1:5" x14ac:dyDescent="0.25">
      <c r="A1916" s="4" t="s">
        <v>2283</v>
      </c>
      <c r="B1916" s="5" t="s">
        <v>2282</v>
      </c>
      <c r="C1916" s="6" t="s">
        <v>23</v>
      </c>
      <c r="D1916" s="6" t="s">
        <v>63</v>
      </c>
      <c r="E1916" s="7" t="s">
        <v>86</v>
      </c>
    </row>
    <row r="1917" spans="1:5" x14ac:dyDescent="0.25">
      <c r="A1917" s="4" t="s">
        <v>2285</v>
      </c>
      <c r="B1917" s="5" t="s">
        <v>2284</v>
      </c>
      <c r="C1917" s="6" t="s">
        <v>23</v>
      </c>
      <c r="D1917" s="6" t="s">
        <v>63</v>
      </c>
      <c r="E1917" s="7" t="s">
        <v>89</v>
      </c>
    </row>
    <row r="1918" spans="1:5" x14ac:dyDescent="0.25">
      <c r="A1918" s="4" t="s">
        <v>2287</v>
      </c>
      <c r="B1918" s="5" t="s">
        <v>2286</v>
      </c>
      <c r="C1918" s="6" t="s">
        <v>23</v>
      </c>
      <c r="D1918" s="6" t="s">
        <v>63</v>
      </c>
      <c r="E1918" s="7" t="s">
        <v>572</v>
      </c>
    </row>
    <row r="1919" spans="1:5" x14ac:dyDescent="0.25">
      <c r="A1919" s="74" t="s">
        <v>2289</v>
      </c>
      <c r="B1919" s="5" t="s">
        <v>2288</v>
      </c>
      <c r="C1919" s="6" t="s">
        <v>23</v>
      </c>
      <c r="D1919" s="6" t="s">
        <v>24</v>
      </c>
      <c r="E1919" s="7" t="s">
        <v>4446</v>
      </c>
    </row>
    <row r="1920" spans="1:5" x14ac:dyDescent="0.25">
      <c r="A1920" s="4" t="s">
        <v>2291</v>
      </c>
      <c r="B1920" s="5" t="s">
        <v>2290</v>
      </c>
      <c r="C1920" s="6" t="s">
        <v>23</v>
      </c>
      <c r="D1920" s="6" t="s">
        <v>24</v>
      </c>
      <c r="E1920" s="7" t="s">
        <v>4447</v>
      </c>
    </row>
    <row r="1921" spans="1:5" x14ac:dyDescent="0.25">
      <c r="A1921" s="4" t="s">
        <v>3582</v>
      </c>
      <c r="B1921" s="5" t="s">
        <v>4357</v>
      </c>
      <c r="C1921" s="6" t="s">
        <v>23</v>
      </c>
      <c r="D1921" s="6" t="s">
        <v>24</v>
      </c>
      <c r="E1921" s="7" t="s">
        <v>4448</v>
      </c>
    </row>
    <row r="1922" spans="1:5" x14ac:dyDescent="0.25">
      <c r="A1922" s="4" t="s">
        <v>3573</v>
      </c>
      <c r="B1922" s="5" t="s">
        <v>4349</v>
      </c>
      <c r="C1922" s="6" t="s">
        <v>23</v>
      </c>
      <c r="D1922" s="6" t="s">
        <v>24</v>
      </c>
      <c r="E1922" s="7" t="s">
        <v>4446</v>
      </c>
    </row>
    <row r="1923" spans="1:5" x14ac:dyDescent="0.25">
      <c r="A1923" s="4" t="s">
        <v>2293</v>
      </c>
      <c r="B1923" s="5" t="s">
        <v>2292</v>
      </c>
      <c r="C1923" s="6" t="s">
        <v>23</v>
      </c>
      <c r="D1923" s="6" t="s">
        <v>63</v>
      </c>
      <c r="E1923" s="7" t="s">
        <v>67</v>
      </c>
    </row>
    <row r="1924" spans="1:5" x14ac:dyDescent="0.25">
      <c r="A1924" s="4" t="s">
        <v>2295</v>
      </c>
      <c r="B1924" s="5" t="s">
        <v>2294</v>
      </c>
      <c r="C1924" s="6" t="s">
        <v>23</v>
      </c>
      <c r="D1924" s="6" t="s">
        <v>63</v>
      </c>
      <c r="E1924" s="7" t="s">
        <v>287</v>
      </c>
    </row>
    <row r="1925" spans="1:5" x14ac:dyDescent="0.25">
      <c r="A1925" s="4" t="s">
        <v>2297</v>
      </c>
      <c r="B1925" s="5" t="s">
        <v>2296</v>
      </c>
      <c r="C1925" s="6" t="s">
        <v>23</v>
      </c>
      <c r="D1925" s="6" t="s">
        <v>63</v>
      </c>
      <c r="E1925" s="7" t="s">
        <v>425</v>
      </c>
    </row>
    <row r="1926" spans="1:5" x14ac:dyDescent="0.25">
      <c r="A1926" s="4" t="s">
        <v>2299</v>
      </c>
      <c r="B1926" s="5" t="s">
        <v>2298</v>
      </c>
      <c r="C1926" s="6" t="s">
        <v>23</v>
      </c>
      <c r="D1926" s="6" t="s">
        <v>24</v>
      </c>
      <c r="E1926" s="7" t="s">
        <v>4446</v>
      </c>
    </row>
    <row r="1927" spans="1:5" x14ac:dyDescent="0.25">
      <c r="A1927" s="4" t="s">
        <v>2301</v>
      </c>
      <c r="B1927" s="5" t="s">
        <v>2300</v>
      </c>
      <c r="C1927" s="6" t="s">
        <v>23</v>
      </c>
      <c r="D1927" s="6" t="s">
        <v>24</v>
      </c>
      <c r="E1927" s="7" t="s">
        <v>4457</v>
      </c>
    </row>
    <row r="1928" spans="1:5" x14ac:dyDescent="0.25">
      <c r="A1928" s="4" t="s">
        <v>2303</v>
      </c>
      <c r="B1928" s="5" t="s">
        <v>2302</v>
      </c>
      <c r="C1928" s="6" t="s">
        <v>23</v>
      </c>
      <c r="D1928" s="6" t="s">
        <v>24</v>
      </c>
      <c r="E1928" s="7" t="s">
        <v>4455</v>
      </c>
    </row>
    <row r="1929" spans="1:5" x14ac:dyDescent="0.25">
      <c r="A1929" s="4" t="s">
        <v>2305</v>
      </c>
      <c r="B1929" s="5" t="s">
        <v>2304</v>
      </c>
      <c r="C1929" s="6" t="s">
        <v>23</v>
      </c>
      <c r="D1929" s="6" t="s">
        <v>24</v>
      </c>
      <c r="E1929" s="7" t="s">
        <v>4446</v>
      </c>
    </row>
    <row r="1930" spans="1:5" x14ac:dyDescent="0.25">
      <c r="A1930" s="4" t="s">
        <v>2307</v>
      </c>
      <c r="B1930" s="5" t="s">
        <v>2306</v>
      </c>
      <c r="C1930" s="6" t="s">
        <v>23</v>
      </c>
      <c r="D1930" s="6" t="s">
        <v>63</v>
      </c>
      <c r="E1930" s="7" t="s">
        <v>64</v>
      </c>
    </row>
    <row r="1931" spans="1:5" x14ac:dyDescent="0.25">
      <c r="A1931" s="4" t="s">
        <v>2309</v>
      </c>
      <c r="B1931" s="5" t="s">
        <v>2308</v>
      </c>
      <c r="C1931" s="6" t="s">
        <v>23</v>
      </c>
      <c r="D1931" s="6" t="s">
        <v>63</v>
      </c>
      <c r="E1931" s="7" t="s">
        <v>67</v>
      </c>
    </row>
    <row r="1932" spans="1:5" x14ac:dyDescent="0.25">
      <c r="A1932" s="4" t="s">
        <v>2311</v>
      </c>
      <c r="B1932" s="5" t="s">
        <v>2310</v>
      </c>
      <c r="C1932" s="6" t="s">
        <v>23</v>
      </c>
      <c r="D1932" s="6" t="s">
        <v>63</v>
      </c>
      <c r="E1932" s="7" t="s">
        <v>86</v>
      </c>
    </row>
    <row r="1933" spans="1:5" x14ac:dyDescent="0.25">
      <c r="A1933" s="4" t="s">
        <v>2313</v>
      </c>
      <c r="B1933" s="5" t="s">
        <v>2312</v>
      </c>
      <c r="C1933" s="6" t="s">
        <v>23</v>
      </c>
      <c r="D1933" s="6" t="s">
        <v>63</v>
      </c>
      <c r="E1933" s="7" t="s">
        <v>287</v>
      </c>
    </row>
    <row r="1934" spans="1:5" x14ac:dyDescent="0.25">
      <c r="A1934" s="4" t="s">
        <v>2315</v>
      </c>
      <c r="B1934" s="5" t="s">
        <v>2314</v>
      </c>
      <c r="C1934" s="6" t="s">
        <v>23</v>
      </c>
      <c r="D1934" s="6" t="s">
        <v>63</v>
      </c>
      <c r="E1934" s="7" t="s">
        <v>92</v>
      </c>
    </row>
    <row r="1935" spans="1:5" x14ac:dyDescent="0.25">
      <c r="A1935" s="4" t="s">
        <v>2317</v>
      </c>
      <c r="B1935" s="5" t="s">
        <v>2316</v>
      </c>
      <c r="C1935" s="6" t="s">
        <v>23</v>
      </c>
      <c r="D1935" s="6" t="s">
        <v>63</v>
      </c>
      <c r="E1935" s="7" t="s">
        <v>89</v>
      </c>
    </row>
    <row r="1936" spans="1:5" x14ac:dyDescent="0.25">
      <c r="A1936" s="4" t="s">
        <v>2319</v>
      </c>
      <c r="B1936" s="5" t="s">
        <v>2318</v>
      </c>
      <c r="C1936" s="6" t="s">
        <v>23</v>
      </c>
      <c r="D1936" s="6" t="s">
        <v>24</v>
      </c>
      <c r="E1936" s="7" t="s">
        <v>4446</v>
      </c>
    </row>
    <row r="1937" spans="1:5" x14ac:dyDescent="0.25">
      <c r="A1937" s="4" t="s">
        <v>2321</v>
      </c>
      <c r="B1937" s="5" t="s">
        <v>2320</v>
      </c>
      <c r="C1937" s="6" t="s">
        <v>23</v>
      </c>
      <c r="D1937" s="6" t="s">
        <v>24</v>
      </c>
      <c r="E1937" s="7" t="s">
        <v>4457</v>
      </c>
    </row>
    <row r="1938" spans="1:5" x14ac:dyDescent="0.25">
      <c r="A1938" s="4" t="s">
        <v>2323</v>
      </c>
      <c r="B1938" s="5" t="s">
        <v>2322</v>
      </c>
      <c r="C1938" s="6" t="s">
        <v>23</v>
      </c>
      <c r="D1938" s="6" t="s">
        <v>24</v>
      </c>
      <c r="E1938" s="7" t="s">
        <v>4447</v>
      </c>
    </row>
    <row r="1939" spans="1:5" x14ac:dyDescent="0.25">
      <c r="A1939" s="4" t="s">
        <v>2325</v>
      </c>
      <c r="B1939" s="5" t="s">
        <v>2324</v>
      </c>
      <c r="C1939" s="6" t="s">
        <v>23</v>
      </c>
      <c r="D1939" s="6" t="s">
        <v>63</v>
      </c>
      <c r="E1939" s="7" t="s">
        <v>86</v>
      </c>
    </row>
    <row r="1940" spans="1:5" x14ac:dyDescent="0.25">
      <c r="A1940" s="4" t="s">
        <v>2327</v>
      </c>
      <c r="B1940" s="5" t="s">
        <v>2326</v>
      </c>
      <c r="C1940" s="6" t="s">
        <v>23</v>
      </c>
      <c r="D1940" s="6" t="s">
        <v>24</v>
      </c>
      <c r="E1940" s="7" t="s">
        <v>4446</v>
      </c>
    </row>
    <row r="1941" spans="1:5" x14ac:dyDescent="0.25">
      <c r="A1941" s="4" t="s">
        <v>2329</v>
      </c>
      <c r="B1941" s="5" t="s">
        <v>2328</v>
      </c>
      <c r="C1941" s="6" t="s">
        <v>23</v>
      </c>
      <c r="D1941" s="6" t="s">
        <v>24</v>
      </c>
      <c r="E1941" s="7" t="s">
        <v>4457</v>
      </c>
    </row>
    <row r="1942" spans="1:5" x14ac:dyDescent="0.25">
      <c r="A1942" s="4" t="s">
        <v>2331</v>
      </c>
      <c r="B1942" s="5" t="s">
        <v>2330</v>
      </c>
      <c r="C1942" s="6" t="s">
        <v>23</v>
      </c>
      <c r="D1942" s="6" t="s">
        <v>24</v>
      </c>
      <c r="E1942" s="7" t="s">
        <v>4455</v>
      </c>
    </row>
    <row r="1943" spans="1:5" x14ac:dyDescent="0.25">
      <c r="A1943" s="4" t="s">
        <v>2333</v>
      </c>
      <c r="B1943" s="5" t="s">
        <v>2332</v>
      </c>
      <c r="C1943" s="6" t="s">
        <v>23</v>
      </c>
      <c r="D1943" s="6" t="s">
        <v>63</v>
      </c>
      <c r="E1943" s="7" t="s">
        <v>98</v>
      </c>
    </row>
    <row r="1944" spans="1:5" x14ac:dyDescent="0.25">
      <c r="A1944" s="4" t="s">
        <v>2335</v>
      </c>
      <c r="B1944" s="5" t="s">
        <v>2334</v>
      </c>
      <c r="C1944" s="6" t="s">
        <v>23</v>
      </c>
      <c r="D1944" s="6" t="s">
        <v>63</v>
      </c>
      <c r="E1944" s="7" t="s">
        <v>64</v>
      </c>
    </row>
    <row r="1945" spans="1:5" x14ac:dyDescent="0.25">
      <c r="A1945" s="4" t="s">
        <v>2337</v>
      </c>
      <c r="B1945" s="5" t="s">
        <v>2336</v>
      </c>
      <c r="C1945" s="6" t="s">
        <v>23</v>
      </c>
      <c r="D1945" s="6" t="s">
        <v>63</v>
      </c>
      <c r="E1945" s="7" t="s">
        <v>67</v>
      </c>
    </row>
    <row r="1946" spans="1:5" x14ac:dyDescent="0.25">
      <c r="A1946" s="4" t="s">
        <v>2339</v>
      </c>
      <c r="B1946" s="5" t="s">
        <v>2338</v>
      </c>
      <c r="C1946" s="6" t="s">
        <v>23</v>
      </c>
      <c r="D1946" s="6" t="s">
        <v>24</v>
      </c>
      <c r="E1946" s="7" t="s">
        <v>4446</v>
      </c>
    </row>
    <row r="1947" spans="1:5" x14ac:dyDescent="0.25">
      <c r="A1947" s="4" t="s">
        <v>2341</v>
      </c>
      <c r="B1947" s="5" t="s">
        <v>2340</v>
      </c>
      <c r="C1947" s="6" t="s">
        <v>23</v>
      </c>
      <c r="D1947" s="6" t="s">
        <v>24</v>
      </c>
      <c r="E1947" s="7" t="s">
        <v>4455</v>
      </c>
    </row>
    <row r="1948" spans="1:5" x14ac:dyDescent="0.25">
      <c r="A1948" s="4" t="s">
        <v>2343</v>
      </c>
      <c r="B1948" s="5" t="s">
        <v>2342</v>
      </c>
      <c r="C1948" s="6" t="s">
        <v>23</v>
      </c>
      <c r="D1948" s="6" t="s">
        <v>24</v>
      </c>
      <c r="E1948" s="7" t="s">
        <v>4449</v>
      </c>
    </row>
    <row r="1949" spans="1:5" x14ac:dyDescent="0.25">
      <c r="A1949" s="4" t="s">
        <v>2345</v>
      </c>
      <c r="B1949" s="5" t="s">
        <v>2344</v>
      </c>
      <c r="C1949" s="6" t="s">
        <v>23</v>
      </c>
      <c r="D1949" s="6" t="s">
        <v>24</v>
      </c>
      <c r="E1949" s="7" t="s">
        <v>4454</v>
      </c>
    </row>
    <row r="1950" spans="1:5" x14ac:dyDescent="0.25">
      <c r="A1950" s="4" t="s">
        <v>2347</v>
      </c>
      <c r="B1950" s="5" t="s">
        <v>2346</v>
      </c>
      <c r="C1950" s="6" t="s">
        <v>23</v>
      </c>
      <c r="D1950" s="6" t="s">
        <v>24</v>
      </c>
      <c r="E1950" s="7" t="s">
        <v>4457</v>
      </c>
    </row>
    <row r="1951" spans="1:5" x14ac:dyDescent="0.25">
      <c r="A1951" s="4" t="s">
        <v>2349</v>
      </c>
      <c r="B1951" s="5" t="s">
        <v>2348</v>
      </c>
      <c r="C1951" s="6" t="s">
        <v>23</v>
      </c>
      <c r="D1951" s="6" t="s">
        <v>24</v>
      </c>
      <c r="E1951" s="7" t="s">
        <v>4447</v>
      </c>
    </row>
    <row r="1952" spans="1:5" x14ac:dyDescent="0.25">
      <c r="A1952" s="4" t="s">
        <v>2351</v>
      </c>
      <c r="B1952" s="5" t="s">
        <v>2350</v>
      </c>
      <c r="C1952" s="6" t="s">
        <v>23</v>
      </c>
      <c r="D1952" s="6" t="s">
        <v>63</v>
      </c>
      <c r="E1952" s="7" t="s">
        <v>98</v>
      </c>
    </row>
    <row r="1953" spans="1:5" x14ac:dyDescent="0.25">
      <c r="A1953" s="4" t="s">
        <v>2353</v>
      </c>
      <c r="B1953" s="5" t="s">
        <v>2352</v>
      </c>
      <c r="C1953" s="6" t="s">
        <v>23</v>
      </c>
      <c r="D1953" s="6" t="s">
        <v>24</v>
      </c>
      <c r="E1953" s="7" t="s">
        <v>4448</v>
      </c>
    </row>
    <row r="1954" spans="1:5" x14ac:dyDescent="0.25">
      <c r="A1954" s="4" t="s">
        <v>2355</v>
      </c>
      <c r="B1954" s="5" t="s">
        <v>2354</v>
      </c>
      <c r="C1954" s="6" t="s">
        <v>23</v>
      </c>
      <c r="D1954" s="6" t="s">
        <v>24</v>
      </c>
      <c r="E1954" s="7" t="s">
        <v>4449</v>
      </c>
    </row>
    <row r="1955" spans="1:5" x14ac:dyDescent="0.25">
      <c r="A1955" s="4" t="s">
        <v>2357</v>
      </c>
      <c r="B1955" s="5" t="s">
        <v>2356</v>
      </c>
      <c r="C1955" s="6" t="s">
        <v>23</v>
      </c>
      <c r="D1955" s="6" t="s">
        <v>24</v>
      </c>
      <c r="E1955" s="7" t="s">
        <v>4450</v>
      </c>
    </row>
    <row r="1956" spans="1:5" x14ac:dyDescent="0.25">
      <c r="A1956" s="4" t="s">
        <v>2359</v>
      </c>
      <c r="B1956" s="5" t="s">
        <v>2358</v>
      </c>
      <c r="C1956" s="6" t="s">
        <v>23</v>
      </c>
      <c r="D1956" s="6" t="s">
        <v>24</v>
      </c>
      <c r="E1956" s="7" t="s">
        <v>4457</v>
      </c>
    </row>
    <row r="1957" spans="1:5" x14ac:dyDescent="0.25">
      <c r="A1957" s="4" t="s">
        <v>2361</v>
      </c>
      <c r="B1957" s="5" t="s">
        <v>2360</v>
      </c>
      <c r="C1957" s="6" t="s">
        <v>23</v>
      </c>
      <c r="D1957" s="6" t="s">
        <v>24</v>
      </c>
      <c r="E1957" s="7" t="s">
        <v>4455</v>
      </c>
    </row>
    <row r="1958" spans="1:5" x14ac:dyDescent="0.25">
      <c r="A1958" s="4" t="s">
        <v>2363</v>
      </c>
      <c r="B1958" s="5" t="s">
        <v>2362</v>
      </c>
      <c r="C1958" s="6" t="s">
        <v>23</v>
      </c>
      <c r="D1958" s="6" t="s">
        <v>24</v>
      </c>
      <c r="E1958" s="7" t="s">
        <v>4449</v>
      </c>
    </row>
    <row r="1959" spans="1:5" x14ac:dyDescent="0.25">
      <c r="A1959" s="4" t="s">
        <v>2365</v>
      </c>
      <c r="B1959" s="5" t="s">
        <v>2364</v>
      </c>
      <c r="C1959" s="6" t="s">
        <v>23</v>
      </c>
      <c r="D1959" s="6" t="s">
        <v>63</v>
      </c>
      <c r="E1959" s="7" t="s">
        <v>64</v>
      </c>
    </row>
    <row r="1960" spans="1:5" x14ac:dyDescent="0.25">
      <c r="A1960" s="4" t="s">
        <v>2367</v>
      </c>
      <c r="B1960" s="5" t="s">
        <v>2366</v>
      </c>
      <c r="C1960" s="6" t="s">
        <v>23</v>
      </c>
      <c r="D1960" s="6" t="s">
        <v>24</v>
      </c>
      <c r="E1960" s="7" t="s">
        <v>4446</v>
      </c>
    </row>
    <row r="1961" spans="1:5" x14ac:dyDescent="0.25">
      <c r="A1961" s="4" t="s">
        <v>2369</v>
      </c>
      <c r="B1961" s="5" t="s">
        <v>2368</v>
      </c>
      <c r="C1961" s="6" t="s">
        <v>23</v>
      </c>
      <c r="D1961" s="6" t="s">
        <v>24</v>
      </c>
      <c r="E1961" s="7" t="s">
        <v>4447</v>
      </c>
    </row>
    <row r="1962" spans="1:5" x14ac:dyDescent="0.25">
      <c r="A1962" s="4" t="s">
        <v>2371</v>
      </c>
      <c r="B1962" s="5" t="s">
        <v>2370</v>
      </c>
      <c r="C1962" s="6" t="s">
        <v>23</v>
      </c>
      <c r="D1962" s="6" t="s">
        <v>24</v>
      </c>
      <c r="E1962" s="7" t="s">
        <v>4455</v>
      </c>
    </row>
    <row r="1963" spans="1:5" x14ac:dyDescent="0.25">
      <c r="A1963" s="4" t="s">
        <v>2373</v>
      </c>
      <c r="B1963" s="5" t="s">
        <v>2372</v>
      </c>
      <c r="C1963" s="6" t="s">
        <v>23</v>
      </c>
      <c r="D1963" s="6" t="s">
        <v>63</v>
      </c>
      <c r="E1963" s="7" t="s">
        <v>67</v>
      </c>
    </row>
    <row r="1964" spans="1:5" x14ac:dyDescent="0.25">
      <c r="A1964" s="4" t="s">
        <v>2375</v>
      </c>
      <c r="B1964" s="5" t="s">
        <v>2374</v>
      </c>
      <c r="C1964" s="6" t="s">
        <v>23</v>
      </c>
      <c r="D1964" s="6" t="s">
        <v>63</v>
      </c>
      <c r="E1964" s="7" t="s">
        <v>86</v>
      </c>
    </row>
    <row r="1965" spans="1:5" x14ac:dyDescent="0.25">
      <c r="A1965" s="4" t="s">
        <v>2377</v>
      </c>
      <c r="B1965" s="5" t="s">
        <v>2376</v>
      </c>
      <c r="C1965" s="6" t="s">
        <v>23</v>
      </c>
      <c r="D1965" s="6" t="s">
        <v>63</v>
      </c>
      <c r="E1965" s="7" t="s">
        <v>89</v>
      </c>
    </row>
    <row r="1966" spans="1:5" x14ac:dyDescent="0.25">
      <c r="A1966" s="4" t="s">
        <v>2379</v>
      </c>
      <c r="B1966" s="5" t="s">
        <v>2378</v>
      </c>
      <c r="C1966" s="6" t="s">
        <v>23</v>
      </c>
      <c r="D1966" s="6" t="s">
        <v>24</v>
      </c>
      <c r="E1966" s="7" t="s">
        <v>4446</v>
      </c>
    </row>
    <row r="1967" spans="1:5" x14ac:dyDescent="0.25">
      <c r="A1967" s="4" t="s">
        <v>2381</v>
      </c>
      <c r="B1967" s="5" t="s">
        <v>2380</v>
      </c>
      <c r="C1967" s="6" t="s">
        <v>23</v>
      </c>
      <c r="D1967" s="6" t="s">
        <v>24</v>
      </c>
      <c r="E1967" s="7" t="s">
        <v>4446</v>
      </c>
    </row>
    <row r="1968" spans="1:5" x14ac:dyDescent="0.25">
      <c r="A1968" s="4" t="s">
        <v>2383</v>
      </c>
      <c r="B1968" s="5" t="s">
        <v>2382</v>
      </c>
      <c r="C1968" s="6" t="s">
        <v>23</v>
      </c>
      <c r="D1968" s="6" t="s">
        <v>24</v>
      </c>
      <c r="E1968" s="7" t="s">
        <v>4457</v>
      </c>
    </row>
    <row r="1969" spans="1:5" x14ac:dyDescent="0.25">
      <c r="A1969" s="4" t="s">
        <v>3084</v>
      </c>
      <c r="B1969" s="5" t="s">
        <v>3853</v>
      </c>
      <c r="C1969" s="6" t="s">
        <v>23</v>
      </c>
      <c r="D1969" s="6" t="s">
        <v>4445</v>
      </c>
      <c r="E1969" s="7" t="s">
        <v>4443</v>
      </c>
    </row>
    <row r="1970" spans="1:5" x14ac:dyDescent="0.25">
      <c r="A1970" s="4" t="s">
        <v>2385</v>
      </c>
      <c r="B1970" s="5" t="s">
        <v>2384</v>
      </c>
      <c r="C1970" s="6" t="s">
        <v>23</v>
      </c>
      <c r="D1970" s="6" t="s">
        <v>24</v>
      </c>
      <c r="E1970" s="7" t="s">
        <v>4446</v>
      </c>
    </row>
    <row r="1971" spans="1:5" x14ac:dyDescent="0.25">
      <c r="A1971" s="11" t="s">
        <v>2387</v>
      </c>
      <c r="B1971" s="5" t="s">
        <v>2386</v>
      </c>
      <c r="C1971" s="12" t="s">
        <v>23</v>
      </c>
      <c r="D1971" s="12" t="s">
        <v>24</v>
      </c>
      <c r="E1971" s="7" t="s">
        <v>4446</v>
      </c>
    </row>
    <row r="1972" spans="1:5" x14ac:dyDescent="0.25">
      <c r="A1972" s="4" t="s">
        <v>2389</v>
      </c>
      <c r="B1972" s="5" t="s">
        <v>2388</v>
      </c>
      <c r="C1972" s="6" t="s">
        <v>23</v>
      </c>
      <c r="D1972" s="6" t="s">
        <v>24</v>
      </c>
      <c r="E1972" s="7" t="s">
        <v>4447</v>
      </c>
    </row>
    <row r="1973" spans="1:5" x14ac:dyDescent="0.25">
      <c r="A1973" s="4" t="s">
        <v>2391</v>
      </c>
      <c r="B1973" s="5" t="s">
        <v>2390</v>
      </c>
      <c r="C1973" s="6" t="s">
        <v>23</v>
      </c>
      <c r="D1973" s="6" t="s">
        <v>24</v>
      </c>
      <c r="E1973" s="7" t="s">
        <v>4448</v>
      </c>
    </row>
    <row r="1974" spans="1:5" x14ac:dyDescent="0.25">
      <c r="A1974" s="4" t="s">
        <v>2393</v>
      </c>
      <c r="B1974" s="5" t="s">
        <v>2392</v>
      </c>
      <c r="C1974" s="6" t="s">
        <v>23</v>
      </c>
      <c r="D1974" s="6" t="s">
        <v>24</v>
      </c>
      <c r="E1974" s="7" t="s">
        <v>4450</v>
      </c>
    </row>
    <row r="1975" spans="1:5" x14ac:dyDescent="0.25">
      <c r="A1975" s="4" t="s">
        <v>2395</v>
      </c>
      <c r="B1975" s="5" t="s">
        <v>2394</v>
      </c>
      <c r="C1975" s="6" t="s">
        <v>23</v>
      </c>
      <c r="D1975" s="6" t="s">
        <v>63</v>
      </c>
      <c r="E1975" s="7" t="s">
        <v>98</v>
      </c>
    </row>
    <row r="1976" spans="1:5" x14ac:dyDescent="0.25">
      <c r="A1976" s="4" t="s">
        <v>2397</v>
      </c>
      <c r="B1976" s="5" t="s">
        <v>2396</v>
      </c>
      <c r="C1976" s="6" t="s">
        <v>23</v>
      </c>
      <c r="D1976" s="6" t="s">
        <v>561</v>
      </c>
      <c r="E1976" s="7" t="s">
        <v>4461</v>
      </c>
    </row>
    <row r="1977" spans="1:5" x14ac:dyDescent="0.25">
      <c r="A1977" s="4" t="s">
        <v>2399</v>
      </c>
      <c r="B1977" s="5" t="s">
        <v>2398</v>
      </c>
      <c r="C1977" s="6" t="s">
        <v>23</v>
      </c>
      <c r="D1977" s="6" t="s">
        <v>561</v>
      </c>
      <c r="E1977" s="7" t="s">
        <v>4443</v>
      </c>
    </row>
    <row r="1978" spans="1:5" x14ac:dyDescent="0.25">
      <c r="A1978" s="4" t="s">
        <v>2401</v>
      </c>
      <c r="B1978" s="5" t="s">
        <v>2400</v>
      </c>
      <c r="C1978" s="6" t="s">
        <v>23</v>
      </c>
      <c r="D1978" s="6" t="s">
        <v>24</v>
      </c>
      <c r="E1978" s="7" t="s">
        <v>4446</v>
      </c>
    </row>
    <row r="1979" spans="1:5" x14ac:dyDescent="0.25">
      <c r="A1979" s="4" t="s">
        <v>2403</v>
      </c>
      <c r="B1979" s="5" t="s">
        <v>2402</v>
      </c>
      <c r="C1979" s="6" t="s">
        <v>23</v>
      </c>
      <c r="D1979" s="6" t="s">
        <v>24</v>
      </c>
      <c r="E1979" s="7" t="s">
        <v>4447</v>
      </c>
    </row>
    <row r="1980" spans="1:5" x14ac:dyDescent="0.25">
      <c r="A1980" s="4" t="s">
        <v>2405</v>
      </c>
      <c r="B1980" s="5" t="s">
        <v>2404</v>
      </c>
      <c r="C1980" s="6" t="s">
        <v>23</v>
      </c>
      <c r="D1980" s="6" t="s">
        <v>24</v>
      </c>
      <c r="E1980" s="7" t="s">
        <v>4448</v>
      </c>
    </row>
    <row r="1981" spans="1:5" x14ac:dyDescent="0.25">
      <c r="A1981" s="4" t="s">
        <v>2407</v>
      </c>
      <c r="B1981" s="5" t="s">
        <v>2406</v>
      </c>
      <c r="C1981" s="6" t="s">
        <v>23</v>
      </c>
      <c r="D1981" s="6" t="s">
        <v>24</v>
      </c>
      <c r="E1981" s="7" t="s">
        <v>4450</v>
      </c>
    </row>
    <row r="1982" spans="1:5" x14ac:dyDescent="0.25">
      <c r="A1982" s="4" t="s">
        <v>2409</v>
      </c>
      <c r="B1982" s="5" t="s">
        <v>2408</v>
      </c>
      <c r="C1982" s="6" t="s">
        <v>23</v>
      </c>
      <c r="D1982" s="6" t="s">
        <v>24</v>
      </c>
      <c r="E1982" s="7" t="s">
        <v>4446</v>
      </c>
    </row>
    <row r="1983" spans="1:5" x14ac:dyDescent="0.25">
      <c r="A1983" s="4" t="s">
        <v>2411</v>
      </c>
      <c r="B1983" s="5" t="s">
        <v>2410</v>
      </c>
      <c r="C1983" s="6" t="s">
        <v>23</v>
      </c>
      <c r="D1983" s="6" t="s">
        <v>24</v>
      </c>
      <c r="E1983" s="7" t="s">
        <v>4447</v>
      </c>
    </row>
    <row r="1984" spans="1:5" x14ac:dyDescent="0.25">
      <c r="A1984" s="4" t="s">
        <v>2413</v>
      </c>
      <c r="B1984" s="5" t="s">
        <v>2412</v>
      </c>
      <c r="C1984" s="6" t="s">
        <v>23</v>
      </c>
      <c r="D1984" s="6" t="s">
        <v>320</v>
      </c>
      <c r="E1984" s="7" t="s">
        <v>4444</v>
      </c>
    </row>
    <row r="1985" spans="1:5" x14ac:dyDescent="0.25">
      <c r="A1985" s="4" t="s">
        <v>2415</v>
      </c>
      <c r="B1985" s="5" t="s">
        <v>2414</v>
      </c>
      <c r="C1985" s="6" t="s">
        <v>23</v>
      </c>
      <c r="D1985" s="6" t="s">
        <v>63</v>
      </c>
      <c r="E1985" s="7" t="s">
        <v>98</v>
      </c>
    </row>
    <row r="1986" spans="1:5" x14ac:dyDescent="0.25">
      <c r="A1986" s="4" t="s">
        <v>2417</v>
      </c>
      <c r="B1986" s="5" t="s">
        <v>2416</v>
      </c>
      <c r="C1986" s="6" t="s">
        <v>23</v>
      </c>
      <c r="D1986" s="6" t="s">
        <v>24</v>
      </c>
      <c r="E1986" s="7" t="s">
        <v>4457</v>
      </c>
    </row>
    <row r="1987" spans="1:5" x14ac:dyDescent="0.25">
      <c r="A1987" s="4" t="s">
        <v>2419</v>
      </c>
      <c r="B1987" s="5" t="s">
        <v>2418</v>
      </c>
      <c r="C1987" s="6" t="s">
        <v>23</v>
      </c>
      <c r="D1987" s="6" t="s">
        <v>24</v>
      </c>
      <c r="E1987" s="7" t="s">
        <v>4455</v>
      </c>
    </row>
    <row r="1988" spans="1:5" x14ac:dyDescent="0.25">
      <c r="A1988" s="4" t="s">
        <v>2421</v>
      </c>
      <c r="B1988" s="5" t="s">
        <v>2420</v>
      </c>
      <c r="C1988" s="6" t="s">
        <v>23</v>
      </c>
      <c r="D1988" s="6" t="s">
        <v>24</v>
      </c>
      <c r="E1988" s="7" t="s">
        <v>4449</v>
      </c>
    </row>
    <row r="1989" spans="1:5" x14ac:dyDescent="0.25">
      <c r="A1989" s="4" t="s">
        <v>2423</v>
      </c>
      <c r="B1989" s="5" t="s">
        <v>2422</v>
      </c>
      <c r="C1989" s="6" t="s">
        <v>23</v>
      </c>
      <c r="D1989" s="6" t="s">
        <v>24</v>
      </c>
      <c r="E1989" s="7" t="s">
        <v>4446</v>
      </c>
    </row>
    <row r="1990" spans="1:5" x14ac:dyDescent="0.25">
      <c r="A1990" s="11" t="s">
        <v>2425</v>
      </c>
      <c r="B1990" s="5" t="s">
        <v>2424</v>
      </c>
      <c r="C1990" s="12" t="s">
        <v>23</v>
      </c>
      <c r="D1990" s="12" t="s">
        <v>24</v>
      </c>
      <c r="E1990" s="7" t="s">
        <v>4447</v>
      </c>
    </row>
    <row r="1991" spans="1:5" x14ac:dyDescent="0.25">
      <c r="A1991" s="4" t="s">
        <v>2427</v>
      </c>
      <c r="B1991" s="5" t="s">
        <v>2426</v>
      </c>
      <c r="C1991" s="6" t="s">
        <v>23</v>
      </c>
      <c r="D1991" s="6" t="s">
        <v>24</v>
      </c>
      <c r="E1991" s="7" t="s">
        <v>4447</v>
      </c>
    </row>
    <row r="1992" spans="1:5" x14ac:dyDescent="0.25">
      <c r="A1992" s="4" t="s">
        <v>2429</v>
      </c>
      <c r="B1992" s="5" t="s">
        <v>2428</v>
      </c>
      <c r="C1992" s="6" t="s">
        <v>23</v>
      </c>
      <c r="D1992" s="6" t="s">
        <v>24</v>
      </c>
      <c r="E1992" s="7" t="s">
        <v>4448</v>
      </c>
    </row>
    <row r="1993" spans="1:5" x14ac:dyDescent="0.25">
      <c r="A1993" s="4" t="s">
        <v>2431</v>
      </c>
      <c r="B1993" s="5" t="s">
        <v>2430</v>
      </c>
      <c r="C1993" s="6" t="s">
        <v>23</v>
      </c>
      <c r="D1993" s="6" t="s">
        <v>24</v>
      </c>
      <c r="E1993" s="7" t="s">
        <v>4450</v>
      </c>
    </row>
    <row r="1994" spans="1:5" x14ac:dyDescent="0.25">
      <c r="A1994" s="4" t="s">
        <v>2433</v>
      </c>
      <c r="B1994" s="5" t="s">
        <v>2432</v>
      </c>
      <c r="C1994" s="6" t="s">
        <v>23</v>
      </c>
      <c r="D1994" s="6" t="s">
        <v>24</v>
      </c>
      <c r="E1994" s="7" t="s">
        <v>4454</v>
      </c>
    </row>
    <row r="1995" spans="1:5" x14ac:dyDescent="0.25">
      <c r="A1995" s="4" t="s">
        <v>2435</v>
      </c>
      <c r="B1995" s="5" t="s">
        <v>2434</v>
      </c>
      <c r="C1995" s="6" t="s">
        <v>23</v>
      </c>
      <c r="D1995" s="6" t="s">
        <v>24</v>
      </c>
      <c r="E1995" s="7" t="s">
        <v>4447</v>
      </c>
    </row>
    <row r="1996" spans="1:5" x14ac:dyDescent="0.25">
      <c r="A1996" s="4" t="s">
        <v>2437</v>
      </c>
      <c r="B1996" s="5" t="s">
        <v>2436</v>
      </c>
      <c r="C1996" s="6" t="s">
        <v>23</v>
      </c>
      <c r="D1996" s="6" t="s">
        <v>24</v>
      </c>
      <c r="E1996" s="7" t="s">
        <v>4448</v>
      </c>
    </row>
    <row r="1997" spans="1:5" x14ac:dyDescent="0.25">
      <c r="A1997" s="4" t="s">
        <v>2439</v>
      </c>
      <c r="B1997" s="5" t="s">
        <v>2438</v>
      </c>
      <c r="C1997" s="6" t="s">
        <v>23</v>
      </c>
      <c r="D1997" s="6" t="s">
        <v>24</v>
      </c>
      <c r="E1997" s="7" t="s">
        <v>4450</v>
      </c>
    </row>
    <row r="1998" spans="1:5" x14ac:dyDescent="0.25">
      <c r="A1998" s="4" t="s">
        <v>2441</v>
      </c>
      <c r="B1998" s="5" t="s">
        <v>2440</v>
      </c>
      <c r="C1998" s="6" t="s">
        <v>23</v>
      </c>
      <c r="D1998" s="6" t="s">
        <v>24</v>
      </c>
      <c r="E1998" s="7" t="s">
        <v>4453</v>
      </c>
    </row>
    <row r="1999" spans="1:5" x14ac:dyDescent="0.25">
      <c r="A1999" s="4" t="s">
        <v>2443</v>
      </c>
      <c r="B1999" s="5" t="s">
        <v>2442</v>
      </c>
      <c r="C1999" s="6" t="s">
        <v>23</v>
      </c>
      <c r="D1999" s="6" t="s">
        <v>24</v>
      </c>
      <c r="E1999" s="7" t="s">
        <v>4451</v>
      </c>
    </row>
    <row r="2000" spans="1:5" x14ac:dyDescent="0.25">
      <c r="A2000" s="4" t="s">
        <v>2445</v>
      </c>
      <c r="B2000" s="5" t="s">
        <v>2444</v>
      </c>
      <c r="C2000" s="6" t="s">
        <v>23</v>
      </c>
      <c r="D2000" s="6" t="s">
        <v>63</v>
      </c>
      <c r="E2000" s="7" t="s">
        <v>98</v>
      </c>
    </row>
    <row r="2001" spans="1:5" x14ac:dyDescent="0.25">
      <c r="A2001" s="4" t="s">
        <v>2447</v>
      </c>
      <c r="B2001" s="5" t="s">
        <v>2446</v>
      </c>
      <c r="C2001" s="6" t="s">
        <v>23</v>
      </c>
      <c r="D2001" s="6" t="s">
        <v>63</v>
      </c>
      <c r="E2001" s="7" t="s">
        <v>67</v>
      </c>
    </row>
    <row r="2002" spans="1:5" x14ac:dyDescent="0.25">
      <c r="A2002" s="4" t="s">
        <v>2449</v>
      </c>
      <c r="B2002" s="5" t="s">
        <v>2448</v>
      </c>
      <c r="C2002" s="6" t="s">
        <v>23</v>
      </c>
      <c r="D2002" s="6" t="s">
        <v>24</v>
      </c>
      <c r="E2002" s="7" t="s">
        <v>4446</v>
      </c>
    </row>
    <row r="2003" spans="1:5" x14ac:dyDescent="0.25">
      <c r="A2003" s="4" t="s">
        <v>2451</v>
      </c>
      <c r="B2003" s="5" t="s">
        <v>2450</v>
      </c>
      <c r="C2003" s="6" t="s">
        <v>23</v>
      </c>
      <c r="D2003" s="6" t="s">
        <v>63</v>
      </c>
      <c r="E2003" s="7" t="s">
        <v>98</v>
      </c>
    </row>
    <row r="2004" spans="1:5" x14ac:dyDescent="0.25">
      <c r="A2004" s="4" t="s">
        <v>2453</v>
      </c>
      <c r="B2004" s="5" t="s">
        <v>2452</v>
      </c>
      <c r="C2004" s="6" t="s">
        <v>23</v>
      </c>
      <c r="D2004" s="6" t="s">
        <v>63</v>
      </c>
      <c r="E2004" s="7" t="s">
        <v>98</v>
      </c>
    </row>
    <row r="2005" spans="1:5" x14ac:dyDescent="0.25">
      <c r="A2005" s="4" t="s">
        <v>2455</v>
      </c>
      <c r="B2005" s="5" t="s">
        <v>2454</v>
      </c>
      <c r="C2005" s="6" t="s">
        <v>23</v>
      </c>
      <c r="D2005" s="6" t="s">
        <v>63</v>
      </c>
      <c r="E2005" s="7" t="s">
        <v>98</v>
      </c>
    </row>
    <row r="2006" spans="1:5" x14ac:dyDescent="0.25">
      <c r="A2006" s="4" t="s">
        <v>2457</v>
      </c>
      <c r="B2006" s="5" t="s">
        <v>2456</v>
      </c>
      <c r="C2006" s="6" t="s">
        <v>23</v>
      </c>
      <c r="D2006" s="6" t="s">
        <v>63</v>
      </c>
      <c r="E2006" s="7" t="s">
        <v>98</v>
      </c>
    </row>
    <row r="2007" spans="1:5" x14ac:dyDescent="0.25">
      <c r="A2007" s="11" t="s">
        <v>2459</v>
      </c>
      <c r="B2007" s="5" t="s">
        <v>2458</v>
      </c>
      <c r="C2007" s="12" t="s">
        <v>23</v>
      </c>
      <c r="D2007" s="12" t="s">
        <v>63</v>
      </c>
      <c r="E2007" s="7" t="s">
        <v>98</v>
      </c>
    </row>
    <row r="2008" spans="1:5" x14ac:dyDescent="0.25">
      <c r="A2008" s="4" t="s">
        <v>2461</v>
      </c>
      <c r="B2008" s="5" t="s">
        <v>2460</v>
      </c>
      <c r="C2008" s="6" t="s">
        <v>23</v>
      </c>
      <c r="D2008" s="6" t="s">
        <v>63</v>
      </c>
      <c r="E2008" s="7" t="s">
        <v>98</v>
      </c>
    </row>
    <row r="2009" spans="1:5" x14ac:dyDescent="0.25">
      <c r="A2009" s="4" t="s">
        <v>2463</v>
      </c>
      <c r="B2009" s="5" t="s">
        <v>2462</v>
      </c>
      <c r="C2009" s="6" t="s">
        <v>23</v>
      </c>
      <c r="D2009" s="6" t="s">
        <v>63</v>
      </c>
      <c r="E2009" s="7" t="s">
        <v>98</v>
      </c>
    </row>
    <row r="2010" spans="1:5" x14ac:dyDescent="0.25">
      <c r="A2010" s="4" t="s">
        <v>2465</v>
      </c>
      <c r="B2010" s="5" t="s">
        <v>2464</v>
      </c>
      <c r="C2010" s="6" t="s">
        <v>23</v>
      </c>
      <c r="D2010" s="6" t="s">
        <v>63</v>
      </c>
      <c r="E2010" s="7" t="s">
        <v>98</v>
      </c>
    </row>
    <row r="2011" spans="1:5" x14ac:dyDescent="0.25">
      <c r="A2011" s="4" t="s">
        <v>2467</v>
      </c>
      <c r="B2011" s="5" t="s">
        <v>2466</v>
      </c>
      <c r="C2011" s="6" t="s">
        <v>23</v>
      </c>
      <c r="D2011" s="6" t="s">
        <v>63</v>
      </c>
      <c r="E2011" s="7" t="s">
        <v>98</v>
      </c>
    </row>
    <row r="2012" spans="1:5" x14ac:dyDescent="0.25">
      <c r="A2012" s="4" t="s">
        <v>2469</v>
      </c>
      <c r="B2012" s="5" t="s">
        <v>2468</v>
      </c>
      <c r="C2012" s="6" t="s">
        <v>23</v>
      </c>
      <c r="D2012" s="6" t="s">
        <v>24</v>
      </c>
      <c r="E2012" s="7" t="s">
        <v>4455</v>
      </c>
    </row>
    <row r="2013" spans="1:5" x14ac:dyDescent="0.25">
      <c r="A2013" s="4" t="s">
        <v>2471</v>
      </c>
      <c r="B2013" s="5" t="s">
        <v>2470</v>
      </c>
      <c r="C2013" s="6" t="s">
        <v>23</v>
      </c>
      <c r="D2013" s="6" t="s">
        <v>24</v>
      </c>
      <c r="E2013" s="7" t="s">
        <v>4449</v>
      </c>
    </row>
    <row r="2014" spans="1:5" x14ac:dyDescent="0.25">
      <c r="A2014" s="4" t="s">
        <v>2473</v>
      </c>
      <c r="B2014" s="5" t="s">
        <v>2472</v>
      </c>
      <c r="C2014" s="6" t="s">
        <v>23</v>
      </c>
      <c r="D2014" s="6" t="s">
        <v>24</v>
      </c>
      <c r="E2014" s="7" t="s">
        <v>4454</v>
      </c>
    </row>
    <row r="2015" spans="1:5" x14ac:dyDescent="0.25">
      <c r="A2015" s="4" t="s">
        <v>2475</v>
      </c>
      <c r="B2015" s="5" t="s">
        <v>2474</v>
      </c>
      <c r="C2015" s="6" t="s">
        <v>23</v>
      </c>
      <c r="D2015" s="6" t="s">
        <v>24</v>
      </c>
      <c r="E2015" s="7" t="s">
        <v>4455</v>
      </c>
    </row>
    <row r="2016" spans="1:5" x14ac:dyDescent="0.25">
      <c r="A2016" s="4" t="s">
        <v>2477</v>
      </c>
      <c r="B2016" s="5" t="s">
        <v>2476</v>
      </c>
      <c r="C2016" s="6" t="s">
        <v>23</v>
      </c>
      <c r="D2016" s="6" t="s">
        <v>24</v>
      </c>
      <c r="E2016" s="7" t="s">
        <v>4448</v>
      </c>
    </row>
    <row r="2017" spans="1:5" x14ac:dyDescent="0.25">
      <c r="A2017" s="4" t="s">
        <v>2479</v>
      </c>
      <c r="B2017" s="5" t="s">
        <v>2478</v>
      </c>
      <c r="C2017" s="6" t="s">
        <v>23</v>
      </c>
      <c r="D2017" s="6" t="s">
        <v>24</v>
      </c>
      <c r="E2017" s="7" t="s">
        <v>4450</v>
      </c>
    </row>
    <row r="2018" spans="1:5" x14ac:dyDescent="0.25">
      <c r="A2018" s="4" t="s">
        <v>2481</v>
      </c>
      <c r="B2018" s="5" t="s">
        <v>2480</v>
      </c>
      <c r="C2018" s="6" t="s">
        <v>23</v>
      </c>
      <c r="D2018" s="6" t="s">
        <v>24</v>
      </c>
      <c r="E2018" s="7" t="s">
        <v>4451</v>
      </c>
    </row>
    <row r="2019" spans="1:5" x14ac:dyDescent="0.25">
      <c r="A2019" s="4" t="s">
        <v>4473</v>
      </c>
      <c r="B2019" s="5" t="s">
        <v>4474</v>
      </c>
      <c r="C2019" s="6" t="s">
        <v>23</v>
      </c>
      <c r="D2019" s="6" t="s">
        <v>320</v>
      </c>
      <c r="E2019" s="7" t="s">
        <v>4444</v>
      </c>
    </row>
    <row r="2020" spans="1:5" x14ac:dyDescent="0.25">
      <c r="A2020" s="4" t="s">
        <v>3305</v>
      </c>
      <c r="B2020" s="5" t="s">
        <v>4078</v>
      </c>
      <c r="C2020" s="6" t="s">
        <v>23</v>
      </c>
      <c r="D2020" s="6" t="s">
        <v>63</v>
      </c>
      <c r="E2020" s="7" t="s">
        <v>98</v>
      </c>
    </row>
    <row r="2021" spans="1:5" x14ac:dyDescent="0.25">
      <c r="A2021" s="4" t="s">
        <v>3306</v>
      </c>
      <c r="B2021" s="5" t="s">
        <v>4079</v>
      </c>
      <c r="C2021" s="6" t="s">
        <v>23</v>
      </c>
      <c r="D2021" s="6" t="s">
        <v>63</v>
      </c>
      <c r="E2021" s="7" t="s">
        <v>98</v>
      </c>
    </row>
    <row r="2022" spans="1:5" x14ac:dyDescent="0.25">
      <c r="A2022" s="4" t="s">
        <v>2483</v>
      </c>
      <c r="B2022" s="5" t="s">
        <v>2482</v>
      </c>
      <c r="C2022" s="6" t="s">
        <v>23</v>
      </c>
      <c r="D2022" s="6" t="s">
        <v>63</v>
      </c>
      <c r="E2022" s="7" t="s">
        <v>98</v>
      </c>
    </row>
    <row r="2023" spans="1:5" x14ac:dyDescent="0.25">
      <c r="A2023" s="4" t="s">
        <v>3314</v>
      </c>
      <c r="B2023" s="5" t="s">
        <v>4087</v>
      </c>
      <c r="C2023" s="6" t="s">
        <v>23</v>
      </c>
      <c r="D2023" s="6" t="s">
        <v>4445</v>
      </c>
      <c r="E2023" s="7" t="s">
        <v>4443</v>
      </c>
    </row>
    <row r="2024" spans="1:5" x14ac:dyDescent="0.25">
      <c r="A2024" s="4" t="s">
        <v>2485</v>
      </c>
      <c r="B2024" s="5" t="s">
        <v>2484</v>
      </c>
      <c r="C2024" s="6" t="s">
        <v>23</v>
      </c>
      <c r="D2024" s="6" t="s">
        <v>63</v>
      </c>
      <c r="E2024" s="7" t="s">
        <v>98</v>
      </c>
    </row>
    <row r="2025" spans="1:5" x14ac:dyDescent="0.25">
      <c r="A2025" s="4" t="s">
        <v>3304</v>
      </c>
      <c r="B2025" s="5" t="s">
        <v>4077</v>
      </c>
      <c r="C2025" s="6" t="s">
        <v>23</v>
      </c>
      <c r="D2025" s="6" t="s">
        <v>63</v>
      </c>
      <c r="E2025" s="7" t="s">
        <v>98</v>
      </c>
    </row>
    <row r="2026" spans="1:5" x14ac:dyDescent="0.25">
      <c r="A2026" s="4" t="s">
        <v>2487</v>
      </c>
      <c r="B2026" s="5" t="s">
        <v>2486</v>
      </c>
      <c r="C2026" s="6" t="s">
        <v>23</v>
      </c>
      <c r="D2026" s="6" t="s">
        <v>24</v>
      </c>
      <c r="E2026" s="7" t="s">
        <v>4447</v>
      </c>
    </row>
    <row r="2027" spans="1:5" x14ac:dyDescent="0.25">
      <c r="A2027" s="4" t="s">
        <v>2489</v>
      </c>
      <c r="B2027" s="5" t="s">
        <v>2488</v>
      </c>
      <c r="C2027" s="6" t="s">
        <v>23</v>
      </c>
      <c r="D2027" s="6" t="s">
        <v>24</v>
      </c>
      <c r="E2027" s="7" t="s">
        <v>4448</v>
      </c>
    </row>
    <row r="2028" spans="1:5" x14ac:dyDescent="0.25">
      <c r="A2028" s="4" t="s">
        <v>2491</v>
      </c>
      <c r="B2028" s="5" t="s">
        <v>2490</v>
      </c>
      <c r="C2028" s="6" t="s">
        <v>23</v>
      </c>
      <c r="D2028" s="6" t="s">
        <v>24</v>
      </c>
      <c r="E2028" s="7" t="s">
        <v>4455</v>
      </c>
    </row>
    <row r="2029" spans="1:5" x14ac:dyDescent="0.25">
      <c r="A2029" s="4" t="s">
        <v>2493</v>
      </c>
      <c r="B2029" s="5" t="s">
        <v>2492</v>
      </c>
      <c r="C2029" s="6" t="s">
        <v>23</v>
      </c>
      <c r="D2029" s="6" t="s">
        <v>24</v>
      </c>
      <c r="E2029" s="7" t="s">
        <v>4448</v>
      </c>
    </row>
    <row r="2030" spans="1:5" x14ac:dyDescent="0.25">
      <c r="A2030" s="4" t="s">
        <v>2495</v>
      </c>
      <c r="B2030" s="5" t="s">
        <v>2494</v>
      </c>
      <c r="C2030" s="6" t="s">
        <v>23</v>
      </c>
      <c r="D2030" s="6" t="s">
        <v>24</v>
      </c>
      <c r="E2030" s="7" t="s">
        <v>4450</v>
      </c>
    </row>
    <row r="2031" spans="1:5" x14ac:dyDescent="0.25">
      <c r="A2031" s="4" t="s">
        <v>2497</v>
      </c>
      <c r="B2031" s="5" t="s">
        <v>2496</v>
      </c>
      <c r="C2031" s="6" t="s">
        <v>23</v>
      </c>
      <c r="D2031" s="6" t="s">
        <v>24</v>
      </c>
      <c r="E2031" s="7" t="s">
        <v>4454</v>
      </c>
    </row>
    <row r="2032" spans="1:5" x14ac:dyDescent="0.25">
      <c r="A2032" s="4" t="s">
        <v>2499</v>
      </c>
      <c r="B2032" s="5" t="s">
        <v>2498</v>
      </c>
      <c r="C2032" s="6" t="s">
        <v>23</v>
      </c>
      <c r="D2032" s="6" t="s">
        <v>24</v>
      </c>
      <c r="E2032" s="7" t="s">
        <v>4453</v>
      </c>
    </row>
    <row r="2033" spans="1:5" x14ac:dyDescent="0.25">
      <c r="A2033" s="4" t="s">
        <v>2501</v>
      </c>
      <c r="B2033" s="5" t="s">
        <v>2500</v>
      </c>
      <c r="C2033" s="6" t="s">
        <v>23</v>
      </c>
      <c r="D2033" s="6" t="s">
        <v>24</v>
      </c>
      <c r="E2033" s="7" t="s">
        <v>4452</v>
      </c>
    </row>
    <row r="2034" spans="1:5" x14ac:dyDescent="0.25">
      <c r="A2034" s="4">
        <v>0</v>
      </c>
      <c r="B2034" s="108" t="s">
        <v>4615</v>
      </c>
      <c r="C2034" s="6" t="s">
        <v>2504</v>
      </c>
      <c r="D2034" s="6" t="s">
        <v>2505</v>
      </c>
      <c r="E2034" s="7" t="s">
        <v>98</v>
      </c>
    </row>
    <row r="2035" spans="1:5" x14ac:dyDescent="0.25">
      <c r="A2035" s="4" t="s">
        <v>2502</v>
      </c>
      <c r="B2035" s="5" t="s">
        <v>2503</v>
      </c>
      <c r="C2035" s="6" t="s">
        <v>2504</v>
      </c>
      <c r="D2035" s="6" t="s">
        <v>2505</v>
      </c>
      <c r="E2035" s="7" t="s">
        <v>98</v>
      </c>
    </row>
    <row r="2036" spans="1:5" x14ac:dyDescent="0.25">
      <c r="A2036" s="4" t="s">
        <v>3621</v>
      </c>
      <c r="B2036" s="5" t="s">
        <v>2506</v>
      </c>
      <c r="C2036" s="6" t="s">
        <v>2504</v>
      </c>
      <c r="D2036" s="6" t="s">
        <v>2505</v>
      </c>
      <c r="E2036" s="7" t="s">
        <v>89</v>
      </c>
    </row>
    <row r="2037" spans="1:5" x14ac:dyDescent="0.25">
      <c r="A2037" s="4" t="s">
        <v>2507</v>
      </c>
      <c r="B2037" s="5" t="s">
        <v>2508</v>
      </c>
      <c r="C2037" s="6" t="s">
        <v>2504</v>
      </c>
      <c r="D2037" s="6" t="s">
        <v>2505</v>
      </c>
      <c r="E2037" s="7" t="s">
        <v>425</v>
      </c>
    </row>
    <row r="2038" spans="1:5" x14ac:dyDescent="0.25">
      <c r="A2038" s="4" t="s">
        <v>2509</v>
      </c>
      <c r="B2038" s="5" t="s">
        <v>2510</v>
      </c>
      <c r="C2038" s="6" t="s">
        <v>2504</v>
      </c>
      <c r="D2038" s="6" t="s">
        <v>2505</v>
      </c>
      <c r="E2038" s="7" t="s">
        <v>64</v>
      </c>
    </row>
    <row r="2039" spans="1:5" x14ac:dyDescent="0.25">
      <c r="A2039" s="4" t="s">
        <v>2511</v>
      </c>
      <c r="B2039" s="5" t="s">
        <v>2512</v>
      </c>
      <c r="C2039" s="6" t="s">
        <v>2504</v>
      </c>
      <c r="D2039" s="6" t="s">
        <v>2505</v>
      </c>
      <c r="E2039" s="7" t="s">
        <v>98</v>
      </c>
    </row>
    <row r="2040" spans="1:5" x14ac:dyDescent="0.25">
      <c r="A2040" s="4" t="s">
        <v>4496</v>
      </c>
      <c r="B2040" s="5" t="s">
        <v>4497</v>
      </c>
      <c r="C2040" s="6" t="s">
        <v>2504</v>
      </c>
      <c r="D2040" s="6" t="s">
        <v>2505</v>
      </c>
      <c r="E2040" s="7" t="s">
        <v>98</v>
      </c>
    </row>
    <row r="2041" spans="1:5" x14ac:dyDescent="0.25">
      <c r="A2041" s="4" t="s">
        <v>3625</v>
      </c>
      <c r="B2041" s="5" t="s">
        <v>4401</v>
      </c>
      <c r="C2041" s="6" t="s">
        <v>2504</v>
      </c>
      <c r="D2041" s="6" t="s">
        <v>2505</v>
      </c>
      <c r="E2041" s="7" t="s">
        <v>67</v>
      </c>
    </row>
    <row r="2042" spans="1:5" x14ac:dyDescent="0.25">
      <c r="A2042" s="4" t="s">
        <v>2515</v>
      </c>
      <c r="B2042" s="5" t="s">
        <v>2516</v>
      </c>
      <c r="C2042" s="6" t="s">
        <v>2504</v>
      </c>
      <c r="D2042" s="6" t="s">
        <v>2505</v>
      </c>
      <c r="E2042" s="7" t="s">
        <v>89</v>
      </c>
    </row>
    <row r="2043" spans="1:5" x14ac:dyDescent="0.25">
      <c r="A2043" s="4" t="s">
        <v>2517</v>
      </c>
      <c r="B2043" s="5" t="s">
        <v>2518</v>
      </c>
      <c r="C2043" s="6" t="s">
        <v>2504</v>
      </c>
      <c r="D2043" s="6" t="s">
        <v>2505</v>
      </c>
      <c r="E2043" s="7" t="s">
        <v>92</v>
      </c>
    </row>
    <row r="2044" spans="1:5" x14ac:dyDescent="0.25">
      <c r="A2044" s="4" t="s">
        <v>2519</v>
      </c>
      <c r="B2044" s="5" t="s">
        <v>2520</v>
      </c>
      <c r="C2044" s="6" t="s">
        <v>2504</v>
      </c>
      <c r="D2044" s="6" t="s">
        <v>2505</v>
      </c>
      <c r="E2044" s="7" t="s">
        <v>92</v>
      </c>
    </row>
    <row r="2045" spans="1:5" x14ac:dyDescent="0.25">
      <c r="A2045" s="4" t="s">
        <v>4499</v>
      </c>
      <c r="B2045" s="5" t="s">
        <v>2533</v>
      </c>
      <c r="C2045" s="6" t="s">
        <v>2504</v>
      </c>
      <c r="D2045" s="6" t="s">
        <v>2505</v>
      </c>
      <c r="E2045" s="7" t="s">
        <v>287</v>
      </c>
    </row>
    <row r="2046" spans="1:5" x14ac:dyDescent="0.25">
      <c r="A2046" s="4" t="s">
        <v>4500</v>
      </c>
      <c r="B2046" s="5" t="s">
        <v>2534</v>
      </c>
      <c r="C2046" s="6" t="s">
        <v>2504</v>
      </c>
      <c r="D2046" s="6" t="s">
        <v>2505</v>
      </c>
      <c r="E2046" s="7" t="s">
        <v>89</v>
      </c>
    </row>
    <row r="2047" spans="1:5" x14ac:dyDescent="0.25">
      <c r="A2047" s="4" t="s">
        <v>4501</v>
      </c>
      <c r="B2047" s="8" t="s">
        <v>2513</v>
      </c>
      <c r="C2047" s="6" t="s">
        <v>2504</v>
      </c>
      <c r="D2047" s="6" t="s">
        <v>2505</v>
      </c>
      <c r="E2047" s="7" t="s">
        <v>89</v>
      </c>
    </row>
    <row r="2048" spans="1:5" x14ac:dyDescent="0.25">
      <c r="A2048" s="4" t="s">
        <v>2521</v>
      </c>
      <c r="B2048" s="5" t="s">
        <v>2522</v>
      </c>
      <c r="C2048" s="6" t="s">
        <v>2504</v>
      </c>
      <c r="D2048" s="6" t="s">
        <v>2505</v>
      </c>
      <c r="E2048" s="7" t="s">
        <v>89</v>
      </c>
    </row>
    <row r="2049" spans="1:5" x14ac:dyDescent="0.25">
      <c r="A2049" s="4" t="s">
        <v>2523</v>
      </c>
      <c r="B2049" s="5" t="s">
        <v>2524</v>
      </c>
      <c r="C2049" s="6" t="s">
        <v>2504</v>
      </c>
      <c r="D2049" s="6" t="s">
        <v>2505</v>
      </c>
      <c r="E2049" s="7" t="s">
        <v>89</v>
      </c>
    </row>
    <row r="2050" spans="1:5" x14ac:dyDescent="0.25">
      <c r="A2050" s="4" t="s">
        <v>4505</v>
      </c>
      <c r="B2050" s="5" t="s">
        <v>2514</v>
      </c>
      <c r="C2050" s="6" t="s">
        <v>2504</v>
      </c>
      <c r="D2050" s="6" t="s">
        <v>2505</v>
      </c>
      <c r="E2050" s="7" t="s">
        <v>89</v>
      </c>
    </row>
    <row r="2051" spans="1:5" x14ac:dyDescent="0.25">
      <c r="A2051" s="4" t="s">
        <v>4506</v>
      </c>
      <c r="B2051" s="5" t="s">
        <v>2535</v>
      </c>
      <c r="C2051" s="6" t="s">
        <v>2504</v>
      </c>
      <c r="D2051" s="6" t="s">
        <v>2505</v>
      </c>
      <c r="E2051" s="7" t="s">
        <v>89</v>
      </c>
    </row>
    <row r="2052" spans="1:5" x14ac:dyDescent="0.25">
      <c r="A2052" s="4" t="s">
        <v>2525</v>
      </c>
      <c r="B2052" s="5" t="s">
        <v>2526</v>
      </c>
      <c r="C2052" s="6" t="s">
        <v>2504</v>
      </c>
      <c r="D2052" s="6" t="s">
        <v>2505</v>
      </c>
      <c r="E2052" s="7" t="s">
        <v>287</v>
      </c>
    </row>
    <row r="2053" spans="1:5" x14ac:dyDescent="0.25">
      <c r="A2053" s="4" t="s">
        <v>2527</v>
      </c>
      <c r="B2053" s="5" t="s">
        <v>2528</v>
      </c>
      <c r="C2053" s="6" t="s">
        <v>2504</v>
      </c>
      <c r="D2053" s="6" t="s">
        <v>2505</v>
      </c>
      <c r="E2053" s="7" t="s">
        <v>287</v>
      </c>
    </row>
    <row r="2054" spans="1:5" x14ac:dyDescent="0.25">
      <c r="A2054" s="4" t="s">
        <v>2529</v>
      </c>
      <c r="B2054" s="5" t="s">
        <v>2530</v>
      </c>
      <c r="C2054" s="6" t="s">
        <v>2504</v>
      </c>
      <c r="D2054" s="6" t="s">
        <v>2505</v>
      </c>
      <c r="E2054" s="7" t="s">
        <v>287</v>
      </c>
    </row>
    <row r="2055" spans="1:5" x14ac:dyDescent="0.25">
      <c r="A2055" s="4" t="s">
        <v>2531</v>
      </c>
      <c r="B2055" s="5" t="s">
        <v>2532</v>
      </c>
      <c r="C2055" s="6" t="s">
        <v>2504</v>
      </c>
      <c r="D2055" s="6" t="s">
        <v>2505</v>
      </c>
      <c r="E2055" s="7" t="s">
        <v>287</v>
      </c>
    </row>
    <row r="2056" spans="1:5" x14ac:dyDescent="0.25">
      <c r="A2056" s="4" t="s">
        <v>2536</v>
      </c>
      <c r="B2056" s="5" t="s">
        <v>2537</v>
      </c>
      <c r="C2056" s="6" t="s">
        <v>2504</v>
      </c>
      <c r="D2056" s="6" t="s">
        <v>2505</v>
      </c>
      <c r="E2056" s="7" t="s">
        <v>67</v>
      </c>
    </row>
    <row r="2057" spans="1:5" x14ac:dyDescent="0.25">
      <c r="A2057" s="4" t="s">
        <v>2538</v>
      </c>
      <c r="B2057" s="5" t="s">
        <v>2539</v>
      </c>
      <c r="C2057" s="6" t="s">
        <v>2504</v>
      </c>
      <c r="D2057" s="6" t="s">
        <v>2505</v>
      </c>
      <c r="E2057" s="7" t="s">
        <v>64</v>
      </c>
    </row>
    <row r="2058" spans="1:5" x14ac:dyDescent="0.25">
      <c r="A2058" s="4" t="s">
        <v>4509</v>
      </c>
      <c r="B2058" s="5" t="s">
        <v>4510</v>
      </c>
      <c r="C2058" s="6" t="s">
        <v>2504</v>
      </c>
      <c r="D2058" s="6" t="s">
        <v>2505</v>
      </c>
      <c r="E2058" s="7" t="s">
        <v>67</v>
      </c>
    </row>
    <row r="2059" spans="1:5" x14ac:dyDescent="0.25">
      <c r="A2059" s="4" t="s">
        <v>2540</v>
      </c>
      <c r="B2059" s="5" t="s">
        <v>2541</v>
      </c>
      <c r="C2059" s="6" t="s">
        <v>2504</v>
      </c>
      <c r="D2059" s="6" t="s">
        <v>2505</v>
      </c>
      <c r="E2059" s="7" t="s">
        <v>287</v>
      </c>
    </row>
    <row r="2060" spans="1:5" x14ac:dyDescent="0.25">
      <c r="A2060" s="4" t="s">
        <v>2542</v>
      </c>
      <c r="B2060" s="5" t="s">
        <v>2543</v>
      </c>
      <c r="C2060" s="6" t="s">
        <v>2504</v>
      </c>
      <c r="D2060" s="6" t="s">
        <v>2505</v>
      </c>
      <c r="E2060" s="7" t="s">
        <v>67</v>
      </c>
    </row>
    <row r="2061" spans="1:5" x14ac:dyDescent="0.25">
      <c r="A2061" s="4" t="s">
        <v>2544</v>
      </c>
      <c r="B2061" s="5" t="s">
        <v>2545</v>
      </c>
      <c r="C2061" s="6" t="s">
        <v>2504</v>
      </c>
      <c r="D2061" s="6" t="s">
        <v>2505</v>
      </c>
      <c r="E2061" s="7" t="s">
        <v>64</v>
      </c>
    </row>
    <row r="2062" spans="1:5" x14ac:dyDescent="0.25">
      <c r="A2062" s="4" t="s">
        <v>2546</v>
      </c>
      <c r="B2062" s="5" t="s">
        <v>2547</v>
      </c>
      <c r="C2062" s="6" t="s">
        <v>2504</v>
      </c>
      <c r="D2062" s="6" t="s">
        <v>2505</v>
      </c>
      <c r="E2062" s="7" t="s">
        <v>67</v>
      </c>
    </row>
    <row r="2063" spans="1:5" x14ac:dyDescent="0.25">
      <c r="A2063" s="4" t="s">
        <v>2548</v>
      </c>
      <c r="B2063" s="5" t="s">
        <v>2549</v>
      </c>
      <c r="C2063" s="6" t="s">
        <v>2504</v>
      </c>
      <c r="D2063" s="6" t="s">
        <v>2505</v>
      </c>
      <c r="E2063" s="7" t="s">
        <v>67</v>
      </c>
    </row>
    <row r="2064" spans="1:5" x14ac:dyDescent="0.25">
      <c r="A2064" s="4" t="s">
        <v>2550</v>
      </c>
      <c r="B2064" s="5" t="s">
        <v>2551</v>
      </c>
      <c r="C2064" s="6" t="s">
        <v>2504</v>
      </c>
      <c r="D2064" s="6" t="s">
        <v>2505</v>
      </c>
      <c r="E2064" s="7" t="s">
        <v>98</v>
      </c>
    </row>
    <row r="2065" spans="1:5" x14ac:dyDescent="0.25">
      <c r="A2065" s="4" t="s">
        <v>2552</v>
      </c>
      <c r="B2065" s="5" t="s">
        <v>2553</v>
      </c>
      <c r="C2065" s="6" t="s">
        <v>2504</v>
      </c>
      <c r="D2065" s="6" t="s">
        <v>2505</v>
      </c>
      <c r="E2065" s="7" t="s">
        <v>67</v>
      </c>
    </row>
    <row r="2066" spans="1:5" x14ac:dyDescent="0.25">
      <c r="A2066" s="4" t="s">
        <v>2554</v>
      </c>
      <c r="B2066" s="5" t="s">
        <v>2555</v>
      </c>
      <c r="C2066" s="6" t="s">
        <v>2504</v>
      </c>
      <c r="D2066" s="6" t="s">
        <v>2505</v>
      </c>
      <c r="E2066" s="7" t="s">
        <v>67</v>
      </c>
    </row>
    <row r="2067" spans="1:5" x14ac:dyDescent="0.25">
      <c r="A2067" s="4" t="s">
        <v>2556</v>
      </c>
      <c r="B2067" s="5" t="s">
        <v>2557</v>
      </c>
      <c r="C2067" s="6" t="s">
        <v>2504</v>
      </c>
      <c r="D2067" s="6" t="s">
        <v>2505</v>
      </c>
      <c r="E2067" s="7" t="s">
        <v>64</v>
      </c>
    </row>
    <row r="2068" spans="1:5" x14ac:dyDescent="0.25">
      <c r="A2068" s="4" t="s">
        <v>2558</v>
      </c>
      <c r="B2068" s="5" t="s">
        <v>2559</v>
      </c>
      <c r="C2068" s="6" t="s">
        <v>2504</v>
      </c>
      <c r="D2068" s="6" t="s">
        <v>2505</v>
      </c>
      <c r="E2068" s="7" t="s">
        <v>64</v>
      </c>
    </row>
    <row r="2069" spans="1:5" x14ac:dyDescent="0.25">
      <c r="A2069" s="4" t="s">
        <v>2560</v>
      </c>
      <c r="B2069" s="5" t="s">
        <v>2561</v>
      </c>
      <c r="C2069" s="6" t="s">
        <v>2504</v>
      </c>
      <c r="D2069" s="6" t="s">
        <v>2505</v>
      </c>
      <c r="E2069" s="7" t="s">
        <v>86</v>
      </c>
    </row>
    <row r="2070" spans="1:5" x14ac:dyDescent="0.25">
      <c r="A2070" s="4" t="s">
        <v>2562</v>
      </c>
      <c r="B2070" s="5" t="s">
        <v>2563</v>
      </c>
      <c r="C2070" s="6" t="s">
        <v>2504</v>
      </c>
      <c r="D2070" s="6" t="s">
        <v>2505</v>
      </c>
      <c r="E2070" s="7" t="s">
        <v>64</v>
      </c>
    </row>
    <row r="2071" spans="1:5" x14ac:dyDescent="0.25">
      <c r="A2071" s="4" t="s">
        <v>2564</v>
      </c>
      <c r="B2071" s="5" t="s">
        <v>2565</v>
      </c>
      <c r="C2071" s="6" t="s">
        <v>2504</v>
      </c>
      <c r="D2071" s="6" t="s">
        <v>2505</v>
      </c>
      <c r="E2071" s="7" t="s">
        <v>64</v>
      </c>
    </row>
    <row r="2072" spans="1:5" x14ac:dyDescent="0.25">
      <c r="A2072" s="4" t="s">
        <v>2566</v>
      </c>
      <c r="B2072" s="5" t="s">
        <v>2567</v>
      </c>
      <c r="C2072" s="6" t="s">
        <v>2504</v>
      </c>
      <c r="D2072" s="6" t="s">
        <v>2505</v>
      </c>
      <c r="E2072" s="7" t="s">
        <v>64</v>
      </c>
    </row>
    <row r="2073" spans="1:5" x14ac:dyDescent="0.25">
      <c r="A2073" s="4" t="s">
        <v>2568</v>
      </c>
      <c r="B2073" s="5" t="s">
        <v>2569</v>
      </c>
      <c r="C2073" s="6" t="s">
        <v>2504</v>
      </c>
      <c r="D2073" s="6" t="s">
        <v>2505</v>
      </c>
      <c r="E2073" s="7" t="s">
        <v>67</v>
      </c>
    </row>
    <row r="2074" spans="1:5" x14ac:dyDescent="0.25">
      <c r="A2074" s="4" t="s">
        <v>2570</v>
      </c>
      <c r="B2074" s="5" t="s">
        <v>2571</v>
      </c>
      <c r="C2074" s="6" t="s">
        <v>2504</v>
      </c>
      <c r="D2074" s="6" t="s">
        <v>2505</v>
      </c>
      <c r="E2074" s="7" t="s">
        <v>89</v>
      </c>
    </row>
    <row r="2075" spans="1:5" x14ac:dyDescent="0.25">
      <c r="A2075" s="4" t="s">
        <v>2572</v>
      </c>
      <c r="B2075" s="5" t="s">
        <v>2573</v>
      </c>
      <c r="C2075" s="6" t="s">
        <v>2504</v>
      </c>
      <c r="D2075" s="6" t="s">
        <v>2505</v>
      </c>
      <c r="E2075" s="7" t="s">
        <v>425</v>
      </c>
    </row>
    <row r="2076" spans="1:5" x14ac:dyDescent="0.25">
      <c r="A2076" s="4" t="s">
        <v>2574</v>
      </c>
      <c r="B2076" s="5" t="s">
        <v>2575</v>
      </c>
      <c r="C2076" s="6" t="s">
        <v>2504</v>
      </c>
      <c r="D2076" s="6" t="s">
        <v>2505</v>
      </c>
      <c r="E2076" s="7" t="s">
        <v>67</v>
      </c>
    </row>
    <row r="2077" spans="1:5" x14ac:dyDescent="0.25">
      <c r="A2077" s="4" t="s">
        <v>2576</v>
      </c>
      <c r="B2077" s="5" t="s">
        <v>2577</v>
      </c>
      <c r="C2077" s="6" t="s">
        <v>2504</v>
      </c>
      <c r="D2077" s="6" t="s">
        <v>2505</v>
      </c>
      <c r="E2077" s="7" t="s">
        <v>67</v>
      </c>
    </row>
    <row r="2078" spans="1:5" x14ac:dyDescent="0.25">
      <c r="A2078" s="4" t="s">
        <v>2578</v>
      </c>
      <c r="B2078" s="5" t="s">
        <v>2579</v>
      </c>
      <c r="C2078" s="6" t="s">
        <v>2504</v>
      </c>
      <c r="D2078" s="6" t="s">
        <v>2505</v>
      </c>
      <c r="E2078" s="7" t="s">
        <v>64</v>
      </c>
    </row>
    <row r="2079" spans="1:5" x14ac:dyDescent="0.25">
      <c r="A2079" s="4" t="s">
        <v>2580</v>
      </c>
      <c r="B2079" s="5" t="s">
        <v>2581</v>
      </c>
      <c r="C2079" s="6" t="s">
        <v>2504</v>
      </c>
      <c r="D2079" s="6" t="s">
        <v>2505</v>
      </c>
      <c r="E2079" s="7" t="s">
        <v>67</v>
      </c>
    </row>
    <row r="2080" spans="1:5" x14ac:dyDescent="0.25">
      <c r="A2080" s="4" t="s">
        <v>2582</v>
      </c>
      <c r="B2080" s="5" t="s">
        <v>2583</v>
      </c>
      <c r="C2080" s="6" t="s">
        <v>2504</v>
      </c>
      <c r="D2080" s="6" t="s">
        <v>2505</v>
      </c>
      <c r="E2080" s="7" t="s">
        <v>287</v>
      </c>
    </row>
    <row r="2081" spans="1:5" x14ac:dyDescent="0.25">
      <c r="A2081" s="4" t="s">
        <v>2584</v>
      </c>
      <c r="B2081" s="5" t="s">
        <v>2585</v>
      </c>
      <c r="C2081" s="6" t="s">
        <v>2504</v>
      </c>
      <c r="D2081" s="6" t="s">
        <v>2505</v>
      </c>
      <c r="E2081" s="7" t="s">
        <v>64</v>
      </c>
    </row>
    <row r="2082" spans="1:5" x14ac:dyDescent="0.25">
      <c r="A2082" s="4" t="s">
        <v>2586</v>
      </c>
      <c r="B2082" s="5" t="s">
        <v>2587</v>
      </c>
      <c r="C2082" s="6" t="s">
        <v>2504</v>
      </c>
      <c r="D2082" s="6" t="s">
        <v>2505</v>
      </c>
      <c r="E2082" s="7" t="s">
        <v>425</v>
      </c>
    </row>
    <row r="2083" spans="1:5" x14ac:dyDescent="0.25">
      <c r="A2083" s="4" t="s">
        <v>2588</v>
      </c>
      <c r="B2083" s="5" t="s">
        <v>2589</v>
      </c>
      <c r="C2083" s="6" t="s">
        <v>2504</v>
      </c>
      <c r="D2083" s="6" t="s">
        <v>2505</v>
      </c>
      <c r="E2083" s="7" t="s">
        <v>86</v>
      </c>
    </row>
    <row r="2084" spans="1:5" x14ac:dyDescent="0.25">
      <c r="A2084" s="4" t="s">
        <v>2590</v>
      </c>
      <c r="B2084" s="5" t="s">
        <v>2591</v>
      </c>
      <c r="C2084" s="6" t="s">
        <v>2504</v>
      </c>
      <c r="D2084" s="6" t="s">
        <v>2505</v>
      </c>
      <c r="E2084" s="7" t="s">
        <v>98</v>
      </c>
    </row>
    <row r="2085" spans="1:5" x14ac:dyDescent="0.25">
      <c r="A2085" s="4" t="s">
        <v>2592</v>
      </c>
      <c r="B2085" s="5" t="s">
        <v>2593</v>
      </c>
      <c r="C2085" s="6" t="s">
        <v>2504</v>
      </c>
      <c r="D2085" s="6" t="s">
        <v>2505</v>
      </c>
      <c r="E2085" s="7" t="s">
        <v>86</v>
      </c>
    </row>
    <row r="2086" spans="1:5" x14ac:dyDescent="0.25">
      <c r="A2086" s="4" t="s">
        <v>2594</v>
      </c>
      <c r="B2086" s="5" t="s">
        <v>2595</v>
      </c>
      <c r="C2086" s="6" t="s">
        <v>2504</v>
      </c>
      <c r="D2086" s="6" t="s">
        <v>2505</v>
      </c>
      <c r="E2086" s="7" t="s">
        <v>572</v>
      </c>
    </row>
    <row r="2087" spans="1:5" x14ac:dyDescent="0.25">
      <c r="A2087" s="4" t="s">
        <v>2596</v>
      </c>
      <c r="B2087" s="5" t="s">
        <v>2597</v>
      </c>
      <c r="C2087" s="6" t="s">
        <v>2504</v>
      </c>
      <c r="D2087" s="6" t="s">
        <v>2505</v>
      </c>
      <c r="E2087" s="7" t="s">
        <v>425</v>
      </c>
    </row>
    <row r="2088" spans="1:5" x14ac:dyDescent="0.25">
      <c r="A2088" s="4" t="s">
        <v>2598</v>
      </c>
      <c r="B2088" s="5" t="s">
        <v>2599</v>
      </c>
      <c r="C2088" s="6" t="s">
        <v>2504</v>
      </c>
      <c r="D2088" s="6" t="s">
        <v>2505</v>
      </c>
      <c r="E2088" s="7" t="s">
        <v>64</v>
      </c>
    </row>
    <row r="2089" spans="1:5" x14ac:dyDescent="0.25">
      <c r="A2089" s="4" t="s">
        <v>2600</v>
      </c>
      <c r="B2089" s="5" t="s">
        <v>2601</v>
      </c>
      <c r="C2089" s="6" t="s">
        <v>2504</v>
      </c>
      <c r="D2089" s="6" t="s">
        <v>2505</v>
      </c>
      <c r="E2089" s="7" t="s">
        <v>89</v>
      </c>
    </row>
    <row r="2090" spans="1:5" x14ac:dyDescent="0.25">
      <c r="A2090" s="4" t="s">
        <v>2602</v>
      </c>
      <c r="B2090" s="5" t="s">
        <v>2603</v>
      </c>
      <c r="C2090" s="6" t="s">
        <v>2504</v>
      </c>
      <c r="D2090" s="6" t="s">
        <v>2505</v>
      </c>
      <c r="E2090" s="7" t="s">
        <v>64</v>
      </c>
    </row>
    <row r="2091" spans="1:5" x14ac:dyDescent="0.25">
      <c r="A2091" s="4" t="s">
        <v>2619</v>
      </c>
      <c r="B2091" s="5" t="s">
        <v>2620</v>
      </c>
      <c r="C2091" s="6" t="s">
        <v>2504</v>
      </c>
      <c r="D2091" s="6" t="s">
        <v>2505</v>
      </c>
      <c r="E2091" s="7" t="s">
        <v>86</v>
      </c>
    </row>
    <row r="2092" spans="1:5" x14ac:dyDescent="0.25">
      <c r="A2092" s="4" t="s">
        <v>2621</v>
      </c>
      <c r="B2092" s="5" t="s">
        <v>2622</v>
      </c>
      <c r="C2092" s="6" t="s">
        <v>2504</v>
      </c>
      <c r="D2092" s="6" t="s">
        <v>2505</v>
      </c>
      <c r="E2092" s="7" t="s">
        <v>89</v>
      </c>
    </row>
    <row r="2093" spans="1:5" x14ac:dyDescent="0.25">
      <c r="A2093" s="4" t="s">
        <v>3627</v>
      </c>
      <c r="B2093" s="5" t="s">
        <v>4403</v>
      </c>
      <c r="C2093" s="6" t="s">
        <v>2504</v>
      </c>
      <c r="D2093" s="6" t="s">
        <v>2505</v>
      </c>
      <c r="E2093" s="7" t="s">
        <v>86</v>
      </c>
    </row>
    <row r="2094" spans="1:5" x14ac:dyDescent="0.25">
      <c r="A2094" s="4" t="s">
        <v>2623</v>
      </c>
      <c r="B2094" s="5" t="s">
        <v>2624</v>
      </c>
      <c r="C2094" s="6" t="s">
        <v>2504</v>
      </c>
      <c r="D2094" s="6" t="s">
        <v>2505</v>
      </c>
      <c r="E2094" s="7" t="s">
        <v>287</v>
      </c>
    </row>
    <row r="2095" spans="1:5" x14ac:dyDescent="0.25">
      <c r="A2095" s="4" t="s">
        <v>2604</v>
      </c>
      <c r="B2095" s="5" t="s">
        <v>2605</v>
      </c>
      <c r="C2095" s="6" t="s">
        <v>2504</v>
      </c>
      <c r="D2095" s="6" t="s">
        <v>2505</v>
      </c>
      <c r="E2095" s="7" t="s">
        <v>67</v>
      </c>
    </row>
    <row r="2096" spans="1:5" x14ac:dyDescent="0.25">
      <c r="A2096" s="4" t="s">
        <v>2606</v>
      </c>
      <c r="B2096" s="5" t="s">
        <v>2607</v>
      </c>
      <c r="C2096" s="6" t="s">
        <v>2504</v>
      </c>
      <c r="D2096" s="6" t="s">
        <v>2505</v>
      </c>
      <c r="E2096" s="7" t="s">
        <v>287</v>
      </c>
    </row>
    <row r="2097" spans="1:5" x14ac:dyDescent="0.25">
      <c r="A2097" s="4" t="s">
        <v>3320</v>
      </c>
      <c r="B2097" s="5" t="s">
        <v>2608</v>
      </c>
      <c r="C2097" s="6" t="s">
        <v>2504</v>
      </c>
      <c r="D2097" s="6" t="s">
        <v>2505</v>
      </c>
      <c r="E2097" s="7" t="s">
        <v>64</v>
      </c>
    </row>
    <row r="2098" spans="1:5" x14ac:dyDescent="0.25">
      <c r="A2098" s="4" t="s">
        <v>2609</v>
      </c>
      <c r="B2098" s="5" t="s">
        <v>2610</v>
      </c>
      <c r="C2098" s="6" t="s">
        <v>2504</v>
      </c>
      <c r="D2098" s="6" t="s">
        <v>2505</v>
      </c>
      <c r="E2098" s="7" t="s">
        <v>67</v>
      </c>
    </row>
    <row r="2099" spans="1:5" x14ac:dyDescent="0.25">
      <c r="A2099" s="4" t="s">
        <v>2611</v>
      </c>
      <c r="B2099" s="5" t="s">
        <v>2612</v>
      </c>
      <c r="C2099" s="6" t="s">
        <v>2504</v>
      </c>
      <c r="D2099" s="6" t="s">
        <v>2505</v>
      </c>
      <c r="E2099" s="7" t="s">
        <v>572</v>
      </c>
    </row>
    <row r="2100" spans="1:5" x14ac:dyDescent="0.25">
      <c r="A2100" s="4" t="s">
        <v>2613</v>
      </c>
      <c r="B2100" s="5" t="s">
        <v>2614</v>
      </c>
      <c r="C2100" s="6" t="s">
        <v>2504</v>
      </c>
      <c r="D2100" s="6" t="s">
        <v>2505</v>
      </c>
      <c r="E2100" s="7" t="s">
        <v>92</v>
      </c>
    </row>
    <row r="2101" spans="1:5" x14ac:dyDescent="0.25">
      <c r="A2101" s="4" t="s">
        <v>4521</v>
      </c>
      <c r="B2101" s="5" t="s">
        <v>4522</v>
      </c>
      <c r="C2101" s="6" t="s">
        <v>2504</v>
      </c>
      <c r="D2101" s="6" t="s">
        <v>2505</v>
      </c>
      <c r="E2101" s="7" t="s">
        <v>67</v>
      </c>
    </row>
    <row r="2102" spans="1:5" x14ac:dyDescent="0.25">
      <c r="A2102" s="11" t="s">
        <v>2615</v>
      </c>
      <c r="B2102" s="5" t="s">
        <v>2616</v>
      </c>
      <c r="C2102" s="12" t="s">
        <v>2504</v>
      </c>
      <c r="D2102" s="12" t="s">
        <v>2505</v>
      </c>
      <c r="E2102" s="7" t="s">
        <v>287</v>
      </c>
    </row>
    <row r="2103" spans="1:5" x14ac:dyDescent="0.25">
      <c r="A2103" s="4" t="s">
        <v>2617</v>
      </c>
      <c r="B2103" s="5" t="s">
        <v>2618</v>
      </c>
      <c r="C2103" s="6" t="s">
        <v>2504</v>
      </c>
      <c r="D2103" s="6" t="s">
        <v>2505</v>
      </c>
      <c r="E2103" s="7" t="s">
        <v>86</v>
      </c>
    </row>
    <row r="2104" spans="1:5" x14ac:dyDescent="0.25">
      <c r="A2104" s="4" t="s">
        <v>2625</v>
      </c>
      <c r="B2104" s="5" t="s">
        <v>2626</v>
      </c>
      <c r="C2104" s="6" t="s">
        <v>2504</v>
      </c>
      <c r="D2104" s="6" t="s">
        <v>2505</v>
      </c>
      <c r="E2104" s="7" t="s">
        <v>64</v>
      </c>
    </row>
    <row r="2105" spans="1:5" x14ac:dyDescent="0.25">
      <c r="A2105" s="4" t="s">
        <v>2627</v>
      </c>
      <c r="B2105" s="5" t="s">
        <v>2628</v>
      </c>
      <c r="C2105" s="6" t="s">
        <v>2504</v>
      </c>
      <c r="D2105" s="6" t="s">
        <v>2505</v>
      </c>
      <c r="E2105" s="7" t="s">
        <v>64</v>
      </c>
    </row>
    <row r="2106" spans="1:5" x14ac:dyDescent="0.25">
      <c r="A2106" s="4" t="s">
        <v>2629</v>
      </c>
      <c r="B2106" s="5" t="s">
        <v>2630</v>
      </c>
      <c r="C2106" s="6" t="s">
        <v>2504</v>
      </c>
      <c r="D2106" s="6" t="s">
        <v>2505</v>
      </c>
      <c r="E2106" s="7" t="s">
        <v>64</v>
      </c>
    </row>
    <row r="2107" spans="1:5" x14ac:dyDescent="0.25">
      <c r="A2107" s="4" t="s">
        <v>2631</v>
      </c>
      <c r="B2107" s="5" t="s">
        <v>2632</v>
      </c>
      <c r="C2107" s="6" t="s">
        <v>2504</v>
      </c>
      <c r="D2107" s="6" t="s">
        <v>2505</v>
      </c>
      <c r="E2107" s="7" t="s">
        <v>86</v>
      </c>
    </row>
    <row r="2108" spans="1:5" x14ac:dyDescent="0.25">
      <c r="A2108" s="4" t="s">
        <v>2633</v>
      </c>
      <c r="B2108" s="5" t="s">
        <v>2634</v>
      </c>
      <c r="C2108" s="6" t="s">
        <v>2504</v>
      </c>
      <c r="D2108" s="6" t="s">
        <v>2505</v>
      </c>
      <c r="E2108" s="7" t="s">
        <v>92</v>
      </c>
    </row>
    <row r="2109" spans="1:5" x14ac:dyDescent="0.25">
      <c r="A2109" s="4" t="s">
        <v>2635</v>
      </c>
      <c r="B2109" s="5" t="s">
        <v>2636</v>
      </c>
      <c r="C2109" s="6" t="s">
        <v>2504</v>
      </c>
      <c r="D2109" s="6" t="s">
        <v>2505</v>
      </c>
      <c r="E2109" s="7" t="s">
        <v>92</v>
      </c>
    </row>
    <row r="2110" spans="1:5" x14ac:dyDescent="0.25">
      <c r="A2110" s="4" t="s">
        <v>2637</v>
      </c>
      <c r="B2110" s="5" t="s">
        <v>2638</v>
      </c>
      <c r="C2110" s="6" t="s">
        <v>2504</v>
      </c>
      <c r="D2110" s="6" t="s">
        <v>2505</v>
      </c>
      <c r="E2110" s="7" t="s">
        <v>287</v>
      </c>
    </row>
    <row r="2111" spans="1:5" x14ac:dyDescent="0.25">
      <c r="A2111" s="4" t="s">
        <v>2639</v>
      </c>
      <c r="B2111" s="5" t="s">
        <v>2640</v>
      </c>
      <c r="C2111" s="6" t="s">
        <v>2504</v>
      </c>
      <c r="D2111" s="6" t="s">
        <v>2505</v>
      </c>
      <c r="E2111" s="7" t="s">
        <v>425</v>
      </c>
    </row>
    <row r="2112" spans="1:5" x14ac:dyDescent="0.25">
      <c r="A2112" s="4" t="s">
        <v>2641</v>
      </c>
      <c r="B2112" s="5" t="s">
        <v>2642</v>
      </c>
      <c r="C2112" s="6" t="s">
        <v>2504</v>
      </c>
      <c r="D2112" s="6" t="s">
        <v>2505</v>
      </c>
      <c r="E2112" s="7" t="s">
        <v>287</v>
      </c>
    </row>
    <row r="2113" spans="1:5" x14ac:dyDescent="0.25">
      <c r="A2113" s="4" t="s">
        <v>2643</v>
      </c>
      <c r="B2113" s="5" t="s">
        <v>2644</v>
      </c>
      <c r="C2113" s="6" t="s">
        <v>2504</v>
      </c>
      <c r="D2113" s="6" t="s">
        <v>2505</v>
      </c>
      <c r="E2113" s="7" t="s">
        <v>86</v>
      </c>
    </row>
    <row r="2114" spans="1:5" x14ac:dyDescent="0.25">
      <c r="A2114" s="4" t="s">
        <v>4530</v>
      </c>
      <c r="B2114" s="5" t="s">
        <v>4531</v>
      </c>
      <c r="C2114" s="6" t="s">
        <v>2504</v>
      </c>
      <c r="D2114" s="6" t="s">
        <v>2505</v>
      </c>
      <c r="E2114" s="7" t="s">
        <v>64</v>
      </c>
    </row>
    <row r="2115" spans="1:5" x14ac:dyDescent="0.25">
      <c r="A2115" s="4" t="s">
        <v>4532</v>
      </c>
      <c r="B2115" s="5" t="s">
        <v>4533</v>
      </c>
      <c r="C2115" s="6" t="s">
        <v>2504</v>
      </c>
      <c r="D2115" s="6" t="s">
        <v>2505</v>
      </c>
      <c r="E2115" s="7" t="s">
        <v>86</v>
      </c>
    </row>
    <row r="2116" spans="1:5" x14ac:dyDescent="0.25">
      <c r="A2116" s="4" t="s">
        <v>2645</v>
      </c>
      <c r="B2116" s="5" t="s">
        <v>2646</v>
      </c>
      <c r="C2116" s="6" t="s">
        <v>2504</v>
      </c>
      <c r="D2116" s="6" t="s">
        <v>2505</v>
      </c>
      <c r="E2116" s="7" t="s">
        <v>89</v>
      </c>
    </row>
    <row r="2117" spans="1:5" x14ac:dyDescent="0.25">
      <c r="A2117" s="4" t="s">
        <v>2647</v>
      </c>
      <c r="B2117" s="5" t="s">
        <v>2648</v>
      </c>
      <c r="C2117" s="6" t="s">
        <v>2504</v>
      </c>
      <c r="D2117" s="6" t="s">
        <v>2505</v>
      </c>
      <c r="E2117" s="7" t="s">
        <v>67</v>
      </c>
    </row>
    <row r="2118" spans="1:5" x14ac:dyDescent="0.25">
      <c r="A2118" s="4" t="s">
        <v>2649</v>
      </c>
      <c r="B2118" s="5" t="s">
        <v>2650</v>
      </c>
      <c r="C2118" s="6" t="s">
        <v>2504</v>
      </c>
      <c r="D2118" s="6" t="s">
        <v>2505</v>
      </c>
      <c r="E2118" s="7" t="s">
        <v>98</v>
      </c>
    </row>
    <row r="2119" spans="1:5" x14ac:dyDescent="0.25">
      <c r="A2119" s="11" t="s">
        <v>2651</v>
      </c>
      <c r="B2119" s="5" t="s">
        <v>2652</v>
      </c>
      <c r="C2119" s="12" t="s">
        <v>2504</v>
      </c>
      <c r="D2119" s="12" t="s">
        <v>2505</v>
      </c>
      <c r="E2119" s="7" t="s">
        <v>425</v>
      </c>
    </row>
    <row r="2120" spans="1:5" x14ac:dyDescent="0.25">
      <c r="A2120" s="11" t="s">
        <v>2653</v>
      </c>
      <c r="B2120" s="5" t="s">
        <v>2654</v>
      </c>
      <c r="C2120" s="12" t="s">
        <v>2504</v>
      </c>
      <c r="D2120" s="12" t="s">
        <v>2505</v>
      </c>
      <c r="E2120" s="7" t="s">
        <v>425</v>
      </c>
    </row>
    <row r="2121" spans="1:5" x14ac:dyDescent="0.25">
      <c r="A2121" s="11" t="s">
        <v>2655</v>
      </c>
      <c r="B2121" s="5" t="s">
        <v>2656</v>
      </c>
      <c r="C2121" s="12" t="s">
        <v>2504</v>
      </c>
      <c r="D2121" s="12" t="s">
        <v>2505</v>
      </c>
      <c r="E2121" s="7" t="s">
        <v>287</v>
      </c>
    </row>
    <row r="2122" spans="1:5" x14ac:dyDescent="0.25">
      <c r="A2122" s="4" t="s">
        <v>2657</v>
      </c>
      <c r="B2122" s="5" t="s">
        <v>2658</v>
      </c>
      <c r="C2122" s="6" t="s">
        <v>2504</v>
      </c>
      <c r="D2122" s="6" t="s">
        <v>2505</v>
      </c>
      <c r="E2122" s="7" t="s">
        <v>67</v>
      </c>
    </row>
    <row r="2123" spans="1:5" x14ac:dyDescent="0.25">
      <c r="A2123" s="4" t="s">
        <v>2659</v>
      </c>
      <c r="B2123" s="5" t="s">
        <v>2660</v>
      </c>
      <c r="C2123" s="6" t="s">
        <v>2504</v>
      </c>
      <c r="D2123" s="6" t="s">
        <v>2505</v>
      </c>
      <c r="E2123" s="7" t="s">
        <v>287</v>
      </c>
    </row>
    <row r="2124" spans="1:5" x14ac:dyDescent="0.25">
      <c r="A2124" s="4" t="s">
        <v>2661</v>
      </c>
      <c r="B2124" s="5" t="s">
        <v>2662</v>
      </c>
      <c r="C2124" s="6" t="s">
        <v>2504</v>
      </c>
      <c r="D2124" s="6" t="s">
        <v>2505</v>
      </c>
      <c r="E2124" s="7" t="s">
        <v>425</v>
      </c>
    </row>
    <row r="2125" spans="1:5" x14ac:dyDescent="0.25">
      <c r="A2125" s="4" t="s">
        <v>3626</v>
      </c>
      <c r="B2125" s="5" t="s">
        <v>4402</v>
      </c>
      <c r="C2125" s="6" t="s">
        <v>2504</v>
      </c>
      <c r="D2125" s="6" t="s">
        <v>2505</v>
      </c>
      <c r="E2125" s="7" t="s">
        <v>425</v>
      </c>
    </row>
    <row r="2126" spans="1:5" x14ac:dyDescent="0.25">
      <c r="A2126" s="4" t="s">
        <v>4538</v>
      </c>
      <c r="B2126" s="5" t="s">
        <v>4539</v>
      </c>
      <c r="C2126" s="6" t="s">
        <v>2504</v>
      </c>
      <c r="D2126" s="6" t="s">
        <v>2505</v>
      </c>
      <c r="E2126" s="7" t="s">
        <v>98</v>
      </c>
    </row>
    <row r="2127" spans="1:5" x14ac:dyDescent="0.25">
      <c r="A2127" s="4" t="s">
        <v>2663</v>
      </c>
      <c r="B2127" s="5" t="s">
        <v>2664</v>
      </c>
      <c r="C2127" s="6" t="s">
        <v>2504</v>
      </c>
      <c r="D2127" s="6" t="s">
        <v>2505</v>
      </c>
      <c r="E2127" s="7" t="s">
        <v>425</v>
      </c>
    </row>
    <row r="2128" spans="1:5" x14ac:dyDescent="0.25">
      <c r="A2128" s="4" t="s">
        <v>2665</v>
      </c>
      <c r="B2128" s="5" t="s">
        <v>2666</v>
      </c>
      <c r="C2128" s="6" t="s">
        <v>2504</v>
      </c>
      <c r="D2128" s="6" t="s">
        <v>2505</v>
      </c>
      <c r="E2128" s="7" t="s">
        <v>67</v>
      </c>
    </row>
    <row r="2129" spans="1:5" x14ac:dyDescent="0.25">
      <c r="A2129" s="4" t="s">
        <v>2667</v>
      </c>
      <c r="B2129" s="5" t="s">
        <v>2668</v>
      </c>
      <c r="C2129" s="6" t="s">
        <v>2504</v>
      </c>
      <c r="D2129" s="6" t="s">
        <v>320</v>
      </c>
      <c r="E2129" s="7" t="s">
        <v>4444</v>
      </c>
    </row>
    <row r="2130" spans="1:5" x14ac:dyDescent="0.25">
      <c r="A2130" s="4" t="s">
        <v>3624</v>
      </c>
      <c r="B2130" s="5" t="s">
        <v>4400</v>
      </c>
      <c r="C2130" s="6" t="s">
        <v>2504</v>
      </c>
      <c r="D2130" s="6" t="s">
        <v>2505</v>
      </c>
      <c r="E2130" s="7" t="s">
        <v>89</v>
      </c>
    </row>
    <row r="2131" spans="1:5" x14ac:dyDescent="0.25">
      <c r="A2131" s="4" t="s">
        <v>2669</v>
      </c>
      <c r="B2131" s="5" t="s">
        <v>2670</v>
      </c>
      <c r="C2131" s="6" t="s">
        <v>2504</v>
      </c>
      <c r="D2131" s="6" t="s">
        <v>2505</v>
      </c>
      <c r="E2131" s="7" t="s">
        <v>86</v>
      </c>
    </row>
    <row r="2132" spans="1:5" x14ac:dyDescent="0.25">
      <c r="A2132" s="4" t="s">
        <v>2671</v>
      </c>
      <c r="B2132" s="5" t="s">
        <v>2672</v>
      </c>
      <c r="C2132" s="6" t="s">
        <v>2504</v>
      </c>
      <c r="D2132" s="6" t="s">
        <v>2505</v>
      </c>
      <c r="E2132" s="7" t="s">
        <v>64</v>
      </c>
    </row>
    <row r="2133" spans="1:5" x14ac:dyDescent="0.25">
      <c r="A2133" s="4" t="s">
        <v>2673</v>
      </c>
      <c r="B2133" s="5" t="s">
        <v>2674</v>
      </c>
      <c r="C2133" s="6" t="s">
        <v>2504</v>
      </c>
      <c r="D2133" s="6" t="s">
        <v>2505</v>
      </c>
      <c r="E2133" s="7" t="s">
        <v>64</v>
      </c>
    </row>
    <row r="2134" spans="1:5" x14ac:dyDescent="0.25">
      <c r="A2134" s="4" t="s">
        <v>2675</v>
      </c>
      <c r="B2134" s="5" t="s">
        <v>2676</v>
      </c>
      <c r="C2134" s="6" t="s">
        <v>2504</v>
      </c>
      <c r="D2134" s="6" t="s">
        <v>2505</v>
      </c>
      <c r="E2134" s="7" t="s">
        <v>98</v>
      </c>
    </row>
    <row r="2135" spans="1:5" x14ac:dyDescent="0.25">
      <c r="A2135" s="4" t="s">
        <v>2677</v>
      </c>
      <c r="B2135" s="5" t="s">
        <v>2678</v>
      </c>
      <c r="C2135" s="6" t="s">
        <v>2504</v>
      </c>
      <c r="D2135" s="6" t="s">
        <v>2505</v>
      </c>
      <c r="E2135" s="7" t="s">
        <v>287</v>
      </c>
    </row>
    <row r="2136" spans="1:5" x14ac:dyDescent="0.25">
      <c r="A2136" s="4" t="s">
        <v>2679</v>
      </c>
      <c r="B2136" s="5" t="s">
        <v>2680</v>
      </c>
      <c r="C2136" s="6" t="s">
        <v>2504</v>
      </c>
      <c r="D2136" s="6" t="s">
        <v>2505</v>
      </c>
      <c r="E2136" s="7" t="s">
        <v>95</v>
      </c>
    </row>
    <row r="2137" spans="1:5" x14ac:dyDescent="0.25">
      <c r="A2137" s="4" t="s">
        <v>2681</v>
      </c>
      <c r="B2137" s="5" t="s">
        <v>2682</v>
      </c>
      <c r="C2137" s="6" t="s">
        <v>2504</v>
      </c>
      <c r="D2137" s="6" t="s">
        <v>2505</v>
      </c>
      <c r="E2137" s="7" t="s">
        <v>64</v>
      </c>
    </row>
    <row r="2138" spans="1:5" x14ac:dyDescent="0.25">
      <c r="A2138" s="4" t="s">
        <v>2683</v>
      </c>
      <c r="B2138" s="5" t="s">
        <v>2684</v>
      </c>
      <c r="C2138" s="6" t="s">
        <v>2504</v>
      </c>
      <c r="D2138" s="6" t="s">
        <v>2505</v>
      </c>
      <c r="E2138" s="7" t="s">
        <v>287</v>
      </c>
    </row>
    <row r="2139" spans="1:5" x14ac:dyDescent="0.25">
      <c r="A2139" s="4" t="s">
        <v>2685</v>
      </c>
      <c r="B2139" s="5" t="s">
        <v>2686</v>
      </c>
      <c r="C2139" s="6" t="s">
        <v>2504</v>
      </c>
      <c r="D2139" s="6" t="s">
        <v>2505</v>
      </c>
      <c r="E2139" s="7" t="s">
        <v>67</v>
      </c>
    </row>
    <row r="2140" spans="1:5" x14ac:dyDescent="0.25">
      <c r="A2140" s="4" t="s">
        <v>2687</v>
      </c>
      <c r="B2140" s="5" t="s">
        <v>2688</v>
      </c>
      <c r="C2140" s="6" t="s">
        <v>2504</v>
      </c>
      <c r="D2140" s="6" t="s">
        <v>2505</v>
      </c>
      <c r="E2140" s="7" t="s">
        <v>89</v>
      </c>
    </row>
    <row r="2141" spans="1:5" x14ac:dyDescent="0.25">
      <c r="A2141" s="4" t="s">
        <v>2689</v>
      </c>
      <c r="B2141" s="5" t="s">
        <v>2690</v>
      </c>
      <c r="C2141" s="6" t="s">
        <v>2504</v>
      </c>
      <c r="D2141" s="6" t="s">
        <v>2505</v>
      </c>
      <c r="E2141" s="7" t="s">
        <v>92</v>
      </c>
    </row>
    <row r="2142" spans="1:5" x14ac:dyDescent="0.25">
      <c r="A2142" s="4" t="s">
        <v>2691</v>
      </c>
      <c r="B2142" s="5" t="s">
        <v>2692</v>
      </c>
      <c r="C2142" s="6" t="s">
        <v>2504</v>
      </c>
      <c r="D2142" s="6" t="s">
        <v>2505</v>
      </c>
      <c r="E2142" s="7" t="s">
        <v>86</v>
      </c>
    </row>
    <row r="2143" spans="1:5" x14ac:dyDescent="0.25">
      <c r="A2143" s="4" t="s">
        <v>2693</v>
      </c>
      <c r="B2143" s="5" t="s">
        <v>2694</v>
      </c>
      <c r="C2143" s="6" t="s">
        <v>2504</v>
      </c>
      <c r="D2143" s="6" t="s">
        <v>2505</v>
      </c>
      <c r="E2143" s="7" t="s">
        <v>92</v>
      </c>
    </row>
    <row r="2144" spans="1:5" x14ac:dyDescent="0.25">
      <c r="A2144" s="4" t="s">
        <v>2695</v>
      </c>
      <c r="B2144" s="5" t="s">
        <v>2696</v>
      </c>
      <c r="C2144" s="6" t="s">
        <v>2504</v>
      </c>
      <c r="D2144" s="6" t="s">
        <v>2505</v>
      </c>
      <c r="E2144" s="7" t="s">
        <v>86</v>
      </c>
    </row>
    <row r="2145" spans="1:5" x14ac:dyDescent="0.25">
      <c r="A2145" s="4" t="s">
        <v>2697</v>
      </c>
      <c r="B2145" s="5" t="s">
        <v>2698</v>
      </c>
      <c r="C2145" s="6" t="s">
        <v>2504</v>
      </c>
      <c r="D2145" s="6" t="s">
        <v>2505</v>
      </c>
      <c r="E2145" s="7" t="s">
        <v>92</v>
      </c>
    </row>
    <row r="2146" spans="1:5" x14ac:dyDescent="0.25">
      <c r="A2146" s="4" t="s">
        <v>2699</v>
      </c>
      <c r="B2146" s="5" t="s">
        <v>2700</v>
      </c>
      <c r="C2146" s="6" t="s">
        <v>2504</v>
      </c>
      <c r="D2146" s="6" t="s">
        <v>2505</v>
      </c>
      <c r="E2146" s="7" t="s">
        <v>89</v>
      </c>
    </row>
    <row r="2147" spans="1:5" x14ac:dyDescent="0.25">
      <c r="A2147" s="4" t="s">
        <v>2701</v>
      </c>
      <c r="B2147" s="5" t="s">
        <v>2702</v>
      </c>
      <c r="C2147" s="6" t="s">
        <v>2504</v>
      </c>
      <c r="D2147" s="6" t="s">
        <v>2505</v>
      </c>
      <c r="E2147" s="7" t="s">
        <v>92</v>
      </c>
    </row>
    <row r="2148" spans="1:5" x14ac:dyDescent="0.25">
      <c r="A2148" s="4" t="s">
        <v>2703</v>
      </c>
      <c r="B2148" s="5" t="s">
        <v>2704</v>
      </c>
      <c r="C2148" s="6" t="s">
        <v>2504</v>
      </c>
      <c r="D2148" s="6" t="s">
        <v>2505</v>
      </c>
      <c r="E2148" s="7" t="s">
        <v>64</v>
      </c>
    </row>
    <row r="2149" spans="1:5" x14ac:dyDescent="0.25">
      <c r="A2149" s="4" t="s">
        <v>2705</v>
      </c>
      <c r="B2149" s="5" t="s">
        <v>2706</v>
      </c>
      <c r="C2149" s="6" t="s">
        <v>2504</v>
      </c>
      <c r="D2149" s="6" t="s">
        <v>2505</v>
      </c>
      <c r="E2149" s="7" t="s">
        <v>67</v>
      </c>
    </row>
    <row r="2150" spans="1:5" x14ac:dyDescent="0.25">
      <c r="A2150" s="4" t="s">
        <v>2707</v>
      </c>
      <c r="B2150" s="5" t="s">
        <v>2708</v>
      </c>
      <c r="C2150" s="6" t="s">
        <v>2504</v>
      </c>
      <c r="D2150" s="6" t="s">
        <v>2505</v>
      </c>
      <c r="E2150" s="7" t="s">
        <v>86</v>
      </c>
    </row>
    <row r="2151" spans="1:5" x14ac:dyDescent="0.25">
      <c r="A2151" s="11" t="s">
        <v>2709</v>
      </c>
      <c r="B2151" s="5" t="s">
        <v>2710</v>
      </c>
      <c r="C2151" s="12" t="s">
        <v>2504</v>
      </c>
      <c r="D2151" s="12" t="s">
        <v>2505</v>
      </c>
      <c r="E2151" s="7" t="s">
        <v>425</v>
      </c>
    </row>
    <row r="2152" spans="1:5" x14ac:dyDescent="0.25">
      <c r="A2152" s="4" t="s">
        <v>3328</v>
      </c>
      <c r="B2152" s="5" t="s">
        <v>2711</v>
      </c>
      <c r="C2152" s="6" t="s">
        <v>2504</v>
      </c>
      <c r="D2152" s="6" t="s">
        <v>2505</v>
      </c>
      <c r="E2152" s="7" t="s">
        <v>86</v>
      </c>
    </row>
    <row r="2153" spans="1:5" x14ac:dyDescent="0.25">
      <c r="A2153" s="4" t="s">
        <v>2712</v>
      </c>
      <c r="B2153" s="5" t="s">
        <v>2713</v>
      </c>
      <c r="C2153" s="6" t="s">
        <v>2504</v>
      </c>
      <c r="D2153" s="6" t="s">
        <v>2505</v>
      </c>
      <c r="E2153" s="7" t="s">
        <v>287</v>
      </c>
    </row>
    <row r="2154" spans="1:5" x14ac:dyDescent="0.25">
      <c r="A2154" s="4" t="s">
        <v>3322</v>
      </c>
      <c r="B2154" s="5" t="s">
        <v>2714</v>
      </c>
      <c r="C2154" s="6" t="s">
        <v>2504</v>
      </c>
      <c r="D2154" s="6" t="s">
        <v>2715</v>
      </c>
      <c r="E2154" s="7" t="s">
        <v>98</v>
      </c>
    </row>
    <row r="2155" spans="1:5" x14ac:dyDescent="0.25">
      <c r="A2155" s="4" t="s">
        <v>2716</v>
      </c>
      <c r="B2155" s="5" t="s">
        <v>2717</v>
      </c>
      <c r="C2155" s="6" t="s">
        <v>2504</v>
      </c>
      <c r="D2155" s="6" t="s">
        <v>2505</v>
      </c>
      <c r="E2155" s="7" t="s">
        <v>287</v>
      </c>
    </row>
    <row r="2156" spans="1:5" x14ac:dyDescent="0.25">
      <c r="A2156" s="4" t="s">
        <v>2718</v>
      </c>
      <c r="B2156" s="5" t="s">
        <v>2719</v>
      </c>
      <c r="C2156" s="6" t="s">
        <v>2504</v>
      </c>
      <c r="D2156" s="6" t="s">
        <v>2505</v>
      </c>
      <c r="E2156" s="7" t="s">
        <v>89</v>
      </c>
    </row>
    <row r="2157" spans="1:5" x14ac:dyDescent="0.25">
      <c r="A2157" s="4" t="s">
        <v>2720</v>
      </c>
      <c r="B2157" s="5" t="s">
        <v>2721</v>
      </c>
      <c r="C2157" s="6" t="s">
        <v>2504</v>
      </c>
      <c r="D2157" s="6" t="s">
        <v>2505</v>
      </c>
      <c r="E2157" s="7" t="s">
        <v>425</v>
      </c>
    </row>
    <row r="2158" spans="1:5" x14ac:dyDescent="0.25">
      <c r="A2158" s="4" t="s">
        <v>2722</v>
      </c>
      <c r="B2158" s="5" t="s">
        <v>2723</v>
      </c>
      <c r="C2158" s="6" t="s">
        <v>2504</v>
      </c>
      <c r="D2158" s="6" t="s">
        <v>2505</v>
      </c>
      <c r="E2158" s="7" t="s">
        <v>287</v>
      </c>
    </row>
    <row r="2159" spans="1:5" x14ac:dyDescent="0.25">
      <c r="A2159" s="4" t="s">
        <v>2724</v>
      </c>
      <c r="B2159" s="5" t="s">
        <v>2725</v>
      </c>
      <c r="C2159" s="6" t="s">
        <v>2504</v>
      </c>
      <c r="D2159" s="6" t="s">
        <v>2505</v>
      </c>
      <c r="E2159" s="7" t="s">
        <v>67</v>
      </c>
    </row>
    <row r="2160" spans="1:5" x14ac:dyDescent="0.25">
      <c r="A2160" s="4" t="s">
        <v>2726</v>
      </c>
      <c r="B2160" s="5" t="s">
        <v>2727</v>
      </c>
      <c r="C2160" s="6" t="s">
        <v>2504</v>
      </c>
      <c r="D2160" s="6" t="s">
        <v>2505</v>
      </c>
      <c r="E2160" s="7" t="s">
        <v>287</v>
      </c>
    </row>
    <row r="2161" spans="1:5" x14ac:dyDescent="0.25">
      <c r="A2161" s="4" t="s">
        <v>2728</v>
      </c>
      <c r="B2161" s="5" t="s">
        <v>2729</v>
      </c>
      <c r="C2161" s="6" t="s">
        <v>2504</v>
      </c>
      <c r="D2161" s="6" t="s">
        <v>2505</v>
      </c>
      <c r="E2161" s="7" t="s">
        <v>89</v>
      </c>
    </row>
    <row r="2162" spans="1:5" x14ac:dyDescent="0.25">
      <c r="A2162" s="4" t="s">
        <v>2730</v>
      </c>
      <c r="B2162" s="5" t="s">
        <v>2731</v>
      </c>
      <c r="C2162" s="6" t="s">
        <v>2504</v>
      </c>
      <c r="D2162" s="6" t="s">
        <v>2505</v>
      </c>
      <c r="E2162" s="7" t="s">
        <v>64</v>
      </c>
    </row>
    <row r="2163" spans="1:5" x14ac:dyDescent="0.25">
      <c r="A2163" s="4" t="s">
        <v>2732</v>
      </c>
      <c r="B2163" s="5" t="s">
        <v>2733</v>
      </c>
      <c r="C2163" s="6" t="s">
        <v>2504</v>
      </c>
      <c r="D2163" s="6" t="s">
        <v>2505</v>
      </c>
      <c r="E2163" s="7" t="s">
        <v>89</v>
      </c>
    </row>
    <row r="2164" spans="1:5" x14ac:dyDescent="0.25">
      <c r="A2164" s="4" t="s">
        <v>2734</v>
      </c>
      <c r="B2164" s="5" t="s">
        <v>2735</v>
      </c>
      <c r="C2164" s="6" t="s">
        <v>2504</v>
      </c>
      <c r="D2164" s="6" t="s">
        <v>2505</v>
      </c>
      <c r="E2164" s="7" t="s">
        <v>287</v>
      </c>
    </row>
    <row r="2165" spans="1:5" x14ac:dyDescent="0.25">
      <c r="A2165" s="4" t="s">
        <v>2736</v>
      </c>
      <c r="B2165" s="5" t="s">
        <v>2737</v>
      </c>
      <c r="C2165" s="6" t="s">
        <v>2504</v>
      </c>
      <c r="D2165" s="6" t="s">
        <v>2505</v>
      </c>
      <c r="E2165" s="7" t="s">
        <v>64</v>
      </c>
    </row>
    <row r="2166" spans="1:5" x14ac:dyDescent="0.25">
      <c r="A2166" s="4" t="s">
        <v>2738</v>
      </c>
      <c r="B2166" s="5" t="s">
        <v>2739</v>
      </c>
      <c r="C2166" s="6" t="s">
        <v>2504</v>
      </c>
      <c r="D2166" s="6" t="s">
        <v>2505</v>
      </c>
      <c r="E2166" s="7" t="s">
        <v>67</v>
      </c>
    </row>
    <row r="2167" spans="1:5" x14ac:dyDescent="0.25">
      <c r="A2167" s="4" t="s">
        <v>2740</v>
      </c>
      <c r="B2167" s="5" t="s">
        <v>2741</v>
      </c>
      <c r="C2167" s="6" t="s">
        <v>2504</v>
      </c>
      <c r="D2167" s="6" t="s">
        <v>2505</v>
      </c>
      <c r="E2167" s="7" t="s">
        <v>287</v>
      </c>
    </row>
    <row r="2168" spans="1:5" x14ac:dyDescent="0.25">
      <c r="A2168" s="4" t="s">
        <v>2742</v>
      </c>
      <c r="B2168" s="5" t="s">
        <v>2743</v>
      </c>
      <c r="C2168" s="6" t="s">
        <v>2504</v>
      </c>
      <c r="D2168" s="6" t="s">
        <v>2505</v>
      </c>
      <c r="E2168" s="7" t="s">
        <v>287</v>
      </c>
    </row>
    <row r="2169" spans="1:5" x14ac:dyDescent="0.25">
      <c r="A2169" s="4" t="s">
        <v>2744</v>
      </c>
      <c r="B2169" s="5" t="s">
        <v>2745</v>
      </c>
      <c r="C2169" s="6" t="s">
        <v>2504</v>
      </c>
      <c r="D2169" s="6" t="s">
        <v>2505</v>
      </c>
      <c r="E2169" s="7" t="s">
        <v>89</v>
      </c>
    </row>
    <row r="2170" spans="1:5" x14ac:dyDescent="0.25">
      <c r="A2170" s="4" t="s">
        <v>2746</v>
      </c>
      <c r="B2170" s="5" t="s">
        <v>2747</v>
      </c>
      <c r="C2170" s="6" t="s">
        <v>2504</v>
      </c>
      <c r="D2170" s="6" t="s">
        <v>2505</v>
      </c>
      <c r="E2170" s="7" t="s">
        <v>89</v>
      </c>
    </row>
    <row r="2171" spans="1:5" x14ac:dyDescent="0.25">
      <c r="A2171" s="4" t="s">
        <v>2748</v>
      </c>
      <c r="B2171" s="5" t="s">
        <v>2749</v>
      </c>
      <c r="C2171" s="6" t="s">
        <v>2504</v>
      </c>
      <c r="D2171" s="6" t="s">
        <v>2505</v>
      </c>
      <c r="E2171" s="7" t="s">
        <v>86</v>
      </c>
    </row>
    <row r="2172" spans="1:5" x14ac:dyDescent="0.25">
      <c r="A2172" s="4" t="s">
        <v>4543</v>
      </c>
      <c r="B2172" s="5" t="s">
        <v>4544</v>
      </c>
      <c r="C2172" s="6" t="s">
        <v>2504</v>
      </c>
      <c r="D2172" s="6" t="s">
        <v>2505</v>
      </c>
      <c r="E2172" s="7" t="s">
        <v>67</v>
      </c>
    </row>
    <row r="2173" spans="1:5" x14ac:dyDescent="0.25">
      <c r="A2173" s="4" t="s">
        <v>2750</v>
      </c>
      <c r="B2173" s="5" t="s">
        <v>2751</v>
      </c>
      <c r="C2173" s="6" t="s">
        <v>2504</v>
      </c>
      <c r="D2173" s="6" t="s">
        <v>2505</v>
      </c>
      <c r="E2173" s="7" t="s">
        <v>86</v>
      </c>
    </row>
    <row r="2174" spans="1:5" x14ac:dyDescent="0.25">
      <c r="A2174" s="4" t="s">
        <v>2752</v>
      </c>
      <c r="B2174" s="5" t="s">
        <v>2753</v>
      </c>
      <c r="C2174" s="6" t="s">
        <v>2504</v>
      </c>
      <c r="D2174" s="6" t="s">
        <v>2505</v>
      </c>
      <c r="E2174" s="7" t="s">
        <v>287</v>
      </c>
    </row>
    <row r="2175" spans="1:5" x14ac:dyDescent="0.25">
      <c r="A2175" s="4" t="s">
        <v>2754</v>
      </c>
      <c r="B2175" s="5" t="s">
        <v>2755</v>
      </c>
      <c r="C2175" s="6" t="s">
        <v>2504</v>
      </c>
      <c r="D2175" s="6" t="s">
        <v>2505</v>
      </c>
      <c r="E2175" s="7" t="s">
        <v>287</v>
      </c>
    </row>
    <row r="2176" spans="1:5" x14ac:dyDescent="0.25">
      <c r="A2176" s="4" t="s">
        <v>2756</v>
      </c>
      <c r="B2176" s="5" t="s">
        <v>2757</v>
      </c>
      <c r="C2176" s="6" t="s">
        <v>2504</v>
      </c>
      <c r="D2176" s="6" t="s">
        <v>2505</v>
      </c>
      <c r="E2176" s="7" t="s">
        <v>86</v>
      </c>
    </row>
    <row r="2177" spans="1:5" x14ac:dyDescent="0.25">
      <c r="A2177" s="4" t="s">
        <v>2758</v>
      </c>
      <c r="B2177" s="5" t="s">
        <v>2759</v>
      </c>
      <c r="C2177" s="6" t="s">
        <v>2504</v>
      </c>
      <c r="D2177" s="6" t="s">
        <v>2505</v>
      </c>
      <c r="E2177" s="7" t="s">
        <v>64</v>
      </c>
    </row>
    <row r="2178" spans="1:5" x14ac:dyDescent="0.25">
      <c r="A2178" s="4" t="s">
        <v>2760</v>
      </c>
      <c r="B2178" s="5" t="s">
        <v>2761</v>
      </c>
      <c r="C2178" s="12" t="s">
        <v>2504</v>
      </c>
      <c r="D2178" s="12" t="s">
        <v>2505</v>
      </c>
      <c r="E2178" s="7" t="s">
        <v>287</v>
      </c>
    </row>
    <row r="2179" spans="1:5" x14ac:dyDescent="0.25">
      <c r="A2179" s="4" t="s">
        <v>2762</v>
      </c>
      <c r="B2179" s="5" t="s">
        <v>2763</v>
      </c>
      <c r="C2179" s="6" t="s">
        <v>2504</v>
      </c>
      <c r="D2179" s="6" t="s">
        <v>2505</v>
      </c>
      <c r="E2179" s="7" t="s">
        <v>64</v>
      </c>
    </row>
    <row r="2180" spans="1:5" x14ac:dyDescent="0.25">
      <c r="A2180" s="4" t="s">
        <v>2764</v>
      </c>
      <c r="B2180" s="5" t="s">
        <v>2765</v>
      </c>
      <c r="C2180" s="6" t="s">
        <v>2504</v>
      </c>
      <c r="D2180" s="6" t="s">
        <v>2505</v>
      </c>
      <c r="E2180" s="7" t="s">
        <v>86</v>
      </c>
    </row>
    <row r="2181" spans="1:5" x14ac:dyDescent="0.25">
      <c r="A2181" s="4" t="s">
        <v>2766</v>
      </c>
      <c r="B2181" s="5" t="s">
        <v>2767</v>
      </c>
      <c r="C2181" s="6" t="s">
        <v>2504</v>
      </c>
      <c r="D2181" s="6" t="s">
        <v>2505</v>
      </c>
      <c r="E2181" s="7" t="s">
        <v>67</v>
      </c>
    </row>
    <row r="2182" spans="1:5" x14ac:dyDescent="0.25">
      <c r="A2182" s="4" t="s">
        <v>2768</v>
      </c>
      <c r="B2182" s="5" t="s">
        <v>2769</v>
      </c>
      <c r="C2182" s="6" t="s">
        <v>2504</v>
      </c>
      <c r="D2182" s="6" t="s">
        <v>2505</v>
      </c>
      <c r="E2182" s="7" t="s">
        <v>67</v>
      </c>
    </row>
    <row r="2183" spans="1:5" x14ac:dyDescent="0.25">
      <c r="A2183" s="4" t="s">
        <v>2770</v>
      </c>
      <c r="B2183" s="5" t="s">
        <v>2771</v>
      </c>
      <c r="C2183" s="6" t="s">
        <v>2504</v>
      </c>
      <c r="D2183" s="6" t="s">
        <v>2505</v>
      </c>
      <c r="E2183" s="7" t="s">
        <v>86</v>
      </c>
    </row>
    <row r="2184" spans="1:5" x14ac:dyDescent="0.25">
      <c r="A2184" s="4" t="s">
        <v>2772</v>
      </c>
      <c r="B2184" s="5" t="s">
        <v>2773</v>
      </c>
      <c r="C2184" s="6" t="s">
        <v>2504</v>
      </c>
      <c r="D2184" s="6" t="s">
        <v>2505</v>
      </c>
      <c r="E2184" s="7" t="s">
        <v>67</v>
      </c>
    </row>
    <row r="2185" spans="1:5" x14ac:dyDescent="0.25">
      <c r="A2185" s="4" t="s">
        <v>2774</v>
      </c>
      <c r="B2185" s="5" t="s">
        <v>2775</v>
      </c>
      <c r="C2185" s="6" t="s">
        <v>2504</v>
      </c>
      <c r="D2185" s="6" t="s">
        <v>2505</v>
      </c>
      <c r="E2185" s="7" t="s">
        <v>64</v>
      </c>
    </row>
    <row r="2186" spans="1:5" x14ac:dyDescent="0.25">
      <c r="A2186" s="4" t="s">
        <v>2776</v>
      </c>
      <c r="B2186" s="5" t="s">
        <v>2777</v>
      </c>
      <c r="C2186" s="6" t="s">
        <v>2504</v>
      </c>
      <c r="D2186" s="6" t="s">
        <v>2505</v>
      </c>
      <c r="E2186" s="7" t="s">
        <v>89</v>
      </c>
    </row>
    <row r="2187" spans="1:5" x14ac:dyDescent="0.25">
      <c r="A2187" s="4" t="s">
        <v>2778</v>
      </c>
      <c r="B2187" s="5" t="s">
        <v>2779</v>
      </c>
      <c r="C2187" s="6" t="s">
        <v>2504</v>
      </c>
      <c r="D2187" s="6" t="s">
        <v>2505</v>
      </c>
      <c r="E2187" s="7" t="s">
        <v>64</v>
      </c>
    </row>
    <row r="2188" spans="1:5" x14ac:dyDescent="0.25">
      <c r="A2188" s="4" t="s">
        <v>2780</v>
      </c>
      <c r="B2188" s="5" t="s">
        <v>2781</v>
      </c>
      <c r="C2188" s="6" t="s">
        <v>2504</v>
      </c>
      <c r="D2188" s="6" t="s">
        <v>2505</v>
      </c>
      <c r="E2188" s="7" t="s">
        <v>64</v>
      </c>
    </row>
    <row r="2189" spans="1:5" x14ac:dyDescent="0.25">
      <c r="A2189" s="4" t="s">
        <v>2782</v>
      </c>
      <c r="B2189" s="5" t="s">
        <v>2783</v>
      </c>
      <c r="C2189" s="6" t="s">
        <v>2504</v>
      </c>
      <c r="D2189" s="6" t="s">
        <v>2505</v>
      </c>
      <c r="E2189" s="7" t="s">
        <v>86</v>
      </c>
    </row>
    <row r="2190" spans="1:5" x14ac:dyDescent="0.25">
      <c r="A2190" s="4" t="s">
        <v>2784</v>
      </c>
      <c r="B2190" s="5" t="s">
        <v>2785</v>
      </c>
      <c r="C2190" s="6" t="s">
        <v>2504</v>
      </c>
      <c r="D2190" s="6" t="s">
        <v>2505</v>
      </c>
      <c r="E2190" s="7" t="s">
        <v>89</v>
      </c>
    </row>
    <row r="2191" spans="1:5" x14ac:dyDescent="0.25">
      <c r="A2191" s="4" t="s">
        <v>2786</v>
      </c>
      <c r="B2191" s="5" t="s">
        <v>2787</v>
      </c>
      <c r="C2191" s="6" t="s">
        <v>2504</v>
      </c>
      <c r="D2191" s="6" t="s">
        <v>2505</v>
      </c>
      <c r="E2191" s="7" t="s">
        <v>89</v>
      </c>
    </row>
    <row r="2192" spans="1:5" x14ac:dyDescent="0.25">
      <c r="A2192" s="4" t="s">
        <v>2788</v>
      </c>
      <c r="B2192" s="5" t="s">
        <v>2789</v>
      </c>
      <c r="C2192" s="6" t="s">
        <v>2504</v>
      </c>
      <c r="D2192" s="6" t="s">
        <v>2505</v>
      </c>
      <c r="E2192" s="7" t="s">
        <v>572</v>
      </c>
    </row>
    <row r="2193" spans="1:5" x14ac:dyDescent="0.25">
      <c r="A2193" s="4" t="s">
        <v>3623</v>
      </c>
      <c r="B2193" s="5" t="s">
        <v>4399</v>
      </c>
      <c r="C2193" s="6" t="s">
        <v>2504</v>
      </c>
      <c r="D2193" s="6" t="s">
        <v>2505</v>
      </c>
      <c r="E2193" s="7" t="s">
        <v>92</v>
      </c>
    </row>
    <row r="2194" spans="1:5" x14ac:dyDescent="0.25">
      <c r="A2194" s="4" t="s">
        <v>2790</v>
      </c>
      <c r="B2194" s="5" t="s">
        <v>2791</v>
      </c>
      <c r="C2194" s="6" t="s">
        <v>2504</v>
      </c>
      <c r="D2194" s="6" t="s">
        <v>2505</v>
      </c>
      <c r="E2194" s="7" t="s">
        <v>95</v>
      </c>
    </row>
    <row r="2195" spans="1:5" x14ac:dyDescent="0.25">
      <c r="A2195" s="4" t="s">
        <v>2792</v>
      </c>
      <c r="B2195" s="5" t="s">
        <v>2793</v>
      </c>
      <c r="C2195" s="6" t="s">
        <v>2504</v>
      </c>
      <c r="D2195" s="6" t="s">
        <v>2505</v>
      </c>
      <c r="E2195" s="7" t="s">
        <v>572</v>
      </c>
    </row>
    <row r="2196" spans="1:5" x14ac:dyDescent="0.25">
      <c r="A2196" s="11" t="s">
        <v>2794</v>
      </c>
      <c r="B2196" s="5" t="s">
        <v>2795</v>
      </c>
      <c r="C2196" s="12" t="s">
        <v>2504</v>
      </c>
      <c r="D2196" s="12" t="s">
        <v>2505</v>
      </c>
      <c r="E2196" s="7" t="s">
        <v>572</v>
      </c>
    </row>
    <row r="2197" spans="1:5" x14ac:dyDescent="0.25">
      <c r="A2197" s="4" t="s">
        <v>2796</v>
      </c>
      <c r="B2197" s="5" t="s">
        <v>2797</v>
      </c>
      <c r="C2197" s="6" t="s">
        <v>2504</v>
      </c>
      <c r="D2197" s="6" t="s">
        <v>2505</v>
      </c>
      <c r="E2197" s="7" t="s">
        <v>572</v>
      </c>
    </row>
    <row r="2198" spans="1:5" x14ac:dyDescent="0.25">
      <c r="A2198" s="4" t="s">
        <v>4550</v>
      </c>
      <c r="B2198" s="5" t="s">
        <v>4551</v>
      </c>
      <c r="C2198" s="6" t="s">
        <v>2504</v>
      </c>
      <c r="D2198" s="6" t="s">
        <v>2505</v>
      </c>
      <c r="E2198" s="7" t="s">
        <v>67</v>
      </c>
    </row>
    <row r="2199" spans="1:5" x14ac:dyDescent="0.25">
      <c r="A2199" s="4" t="s">
        <v>2798</v>
      </c>
      <c r="B2199" s="5" t="s">
        <v>2799</v>
      </c>
      <c r="C2199" s="6" t="s">
        <v>2504</v>
      </c>
      <c r="D2199" s="6" t="s">
        <v>2505</v>
      </c>
      <c r="E2199" s="7" t="s">
        <v>572</v>
      </c>
    </row>
    <row r="2200" spans="1:5" x14ac:dyDescent="0.25">
      <c r="A2200" s="4" t="s">
        <v>2800</v>
      </c>
      <c r="B2200" s="5" t="s">
        <v>2801</v>
      </c>
      <c r="C2200" s="6" t="s">
        <v>2504</v>
      </c>
      <c r="D2200" s="6" t="s">
        <v>2505</v>
      </c>
      <c r="E2200" s="7" t="s">
        <v>572</v>
      </c>
    </row>
    <row r="2201" spans="1:5" x14ac:dyDescent="0.25">
      <c r="A2201" s="4" t="s">
        <v>2802</v>
      </c>
      <c r="B2201" s="5" t="s">
        <v>2803</v>
      </c>
      <c r="C2201" s="6" t="s">
        <v>2504</v>
      </c>
      <c r="D2201" s="6" t="s">
        <v>2505</v>
      </c>
      <c r="E2201" s="7" t="s">
        <v>572</v>
      </c>
    </row>
    <row r="2202" spans="1:5" x14ac:dyDescent="0.25">
      <c r="A2202" s="4" t="s">
        <v>4556</v>
      </c>
      <c r="B2202" s="5" t="s">
        <v>4557</v>
      </c>
      <c r="C2202" s="6" t="s">
        <v>2504</v>
      </c>
      <c r="D2202" s="6" t="s">
        <v>2505</v>
      </c>
      <c r="E2202" s="7" t="s">
        <v>67</v>
      </c>
    </row>
    <row r="2203" spans="1:5" x14ac:dyDescent="0.25">
      <c r="A2203" s="4" t="s">
        <v>2804</v>
      </c>
      <c r="B2203" s="5" t="s">
        <v>2805</v>
      </c>
      <c r="C2203" s="6" t="s">
        <v>2504</v>
      </c>
      <c r="D2203" s="6" t="s">
        <v>2505</v>
      </c>
      <c r="E2203" s="7" t="s">
        <v>572</v>
      </c>
    </row>
    <row r="2204" spans="1:5" x14ac:dyDescent="0.25">
      <c r="A2204" s="4" t="s">
        <v>2806</v>
      </c>
      <c r="B2204" s="5" t="s">
        <v>2807</v>
      </c>
      <c r="C2204" s="6" t="s">
        <v>2504</v>
      </c>
      <c r="D2204" s="6" t="s">
        <v>2505</v>
      </c>
      <c r="E2204" s="7" t="s">
        <v>95</v>
      </c>
    </row>
    <row r="2205" spans="1:5" x14ac:dyDescent="0.25">
      <c r="A2205" s="4" t="s">
        <v>2808</v>
      </c>
      <c r="B2205" s="5" t="s">
        <v>2809</v>
      </c>
      <c r="C2205" s="6" t="s">
        <v>2504</v>
      </c>
      <c r="D2205" s="6" t="s">
        <v>2505</v>
      </c>
      <c r="E2205" s="7" t="s">
        <v>95</v>
      </c>
    </row>
    <row r="2206" spans="1:5" x14ac:dyDescent="0.25">
      <c r="A2206" s="4" t="s">
        <v>2810</v>
      </c>
      <c r="B2206" s="5" t="s">
        <v>2811</v>
      </c>
      <c r="C2206" s="6" t="s">
        <v>2504</v>
      </c>
      <c r="D2206" s="6" t="s">
        <v>2505</v>
      </c>
      <c r="E2206" s="7" t="s">
        <v>95</v>
      </c>
    </row>
    <row r="2207" spans="1:5" x14ac:dyDescent="0.25">
      <c r="A2207" s="4" t="s">
        <v>2812</v>
      </c>
      <c r="B2207" s="5" t="s">
        <v>2813</v>
      </c>
      <c r="C2207" s="6" t="s">
        <v>2504</v>
      </c>
      <c r="D2207" s="6" t="s">
        <v>2505</v>
      </c>
      <c r="E2207" s="7" t="s">
        <v>572</v>
      </c>
    </row>
    <row r="2208" spans="1:5" x14ac:dyDescent="0.25">
      <c r="A2208" s="4" t="s">
        <v>3622</v>
      </c>
      <c r="B2208" s="5" t="s">
        <v>4398</v>
      </c>
      <c r="C2208" s="6" t="s">
        <v>2504</v>
      </c>
      <c r="D2208" s="6" t="s">
        <v>2505</v>
      </c>
      <c r="E2208" s="7" t="s">
        <v>92</v>
      </c>
    </row>
    <row r="2209" spans="1:5" x14ac:dyDescent="0.25">
      <c r="A2209" s="4" t="s">
        <v>2814</v>
      </c>
      <c r="B2209" s="5" t="s">
        <v>2815</v>
      </c>
      <c r="C2209" s="6" t="s">
        <v>2504</v>
      </c>
      <c r="D2209" s="6" t="s">
        <v>2505</v>
      </c>
      <c r="E2209" s="7" t="s">
        <v>572</v>
      </c>
    </row>
    <row r="2210" spans="1:5" x14ac:dyDescent="0.25">
      <c r="A2210" s="4" t="s">
        <v>4558</v>
      </c>
      <c r="B2210" s="5" t="s">
        <v>4559</v>
      </c>
      <c r="C2210" s="6" t="s">
        <v>2504</v>
      </c>
      <c r="D2210" s="6" t="s">
        <v>2505</v>
      </c>
      <c r="E2210" s="7" t="s">
        <v>92</v>
      </c>
    </row>
    <row r="2211" spans="1:5" x14ac:dyDescent="0.25">
      <c r="A2211" s="11" t="s">
        <v>2816</v>
      </c>
      <c r="B2211" s="5" t="s">
        <v>2817</v>
      </c>
      <c r="C2211" s="12" t="s">
        <v>2504</v>
      </c>
      <c r="D2211" s="12" t="s">
        <v>2505</v>
      </c>
      <c r="E2211" s="7" t="s">
        <v>572</v>
      </c>
    </row>
    <row r="2212" spans="1:5" x14ac:dyDescent="0.25">
      <c r="A2212" s="4" t="s">
        <v>2818</v>
      </c>
      <c r="B2212" s="5" t="s">
        <v>2819</v>
      </c>
      <c r="C2212" s="6" t="s">
        <v>2504</v>
      </c>
      <c r="D2212" s="6" t="s">
        <v>2505</v>
      </c>
      <c r="E2212" s="7" t="s">
        <v>95</v>
      </c>
    </row>
    <row r="2213" spans="1:5" x14ac:dyDescent="0.25">
      <c r="A2213" s="4" t="s">
        <v>2820</v>
      </c>
      <c r="B2213" s="5" t="s">
        <v>2821</v>
      </c>
      <c r="C2213" s="6" t="s">
        <v>2504</v>
      </c>
      <c r="D2213" s="6" t="s">
        <v>2505</v>
      </c>
      <c r="E2213" s="7" t="s">
        <v>67</v>
      </c>
    </row>
    <row r="2214" spans="1:5" x14ac:dyDescent="0.25">
      <c r="A2214" s="4" t="s">
        <v>2822</v>
      </c>
      <c r="B2214" s="5" t="s">
        <v>2823</v>
      </c>
      <c r="C2214" s="6" t="s">
        <v>2504</v>
      </c>
      <c r="D2214" s="6" t="s">
        <v>2505</v>
      </c>
      <c r="E2214" s="7" t="s">
        <v>287</v>
      </c>
    </row>
    <row r="2215" spans="1:5" x14ac:dyDescent="0.25">
      <c r="A2215" s="4" t="s">
        <v>2824</v>
      </c>
      <c r="B2215" s="5" t="s">
        <v>2825</v>
      </c>
      <c r="C2215" s="6" t="s">
        <v>2504</v>
      </c>
      <c r="D2215" s="6" t="s">
        <v>2505</v>
      </c>
      <c r="E2215" s="7" t="s">
        <v>67</v>
      </c>
    </row>
    <row r="2216" spans="1:5" x14ac:dyDescent="0.25">
      <c r="A2216" s="4" t="s">
        <v>2826</v>
      </c>
      <c r="B2216" s="5" t="s">
        <v>2827</v>
      </c>
      <c r="C2216" s="6" t="s">
        <v>2504</v>
      </c>
      <c r="D2216" s="6" t="s">
        <v>2505</v>
      </c>
      <c r="E2216" s="7" t="s">
        <v>287</v>
      </c>
    </row>
    <row r="2217" spans="1:5" x14ac:dyDescent="0.25">
      <c r="A2217" s="4" t="s">
        <v>2828</v>
      </c>
      <c r="B2217" s="5" t="s">
        <v>2829</v>
      </c>
      <c r="C2217" s="6" t="s">
        <v>2504</v>
      </c>
      <c r="D2217" s="6" t="s">
        <v>2505</v>
      </c>
      <c r="E2217" s="7" t="s">
        <v>89</v>
      </c>
    </row>
    <row r="2218" spans="1:5" x14ac:dyDescent="0.25">
      <c r="A2218" s="4" t="s">
        <v>2830</v>
      </c>
      <c r="B2218" s="5" t="s">
        <v>2831</v>
      </c>
      <c r="C2218" s="6" t="s">
        <v>2504</v>
      </c>
      <c r="D2218" s="6" t="s">
        <v>2505</v>
      </c>
      <c r="E2218" s="7" t="s">
        <v>287</v>
      </c>
    </row>
    <row r="2219" spans="1:5" x14ac:dyDescent="0.25">
      <c r="A2219" s="74" t="s">
        <v>4631</v>
      </c>
      <c r="B2219" s="108" t="s">
        <v>2831</v>
      </c>
      <c r="C2219" s="6" t="s">
        <v>2504</v>
      </c>
      <c r="D2219" s="6" t="s">
        <v>2505</v>
      </c>
      <c r="E2219" s="7" t="s">
        <v>89</v>
      </c>
    </row>
    <row r="2220" spans="1:5" x14ac:dyDescent="0.25">
      <c r="A2220" s="4" t="s">
        <v>2832</v>
      </c>
      <c r="B2220" s="5" t="s">
        <v>2833</v>
      </c>
      <c r="C2220" s="6" t="s">
        <v>2504</v>
      </c>
      <c r="D2220" s="6" t="s">
        <v>2505</v>
      </c>
      <c r="E2220" s="7" t="s">
        <v>64</v>
      </c>
    </row>
    <row r="2221" spans="1:5" x14ac:dyDescent="0.25">
      <c r="A2221" s="74" t="s">
        <v>7614</v>
      </c>
      <c r="B2221" s="108" t="s">
        <v>7615</v>
      </c>
      <c r="C2221" s="6" t="s">
        <v>2504</v>
      </c>
      <c r="D2221" s="6" t="s">
        <v>2505</v>
      </c>
      <c r="E2221" s="7" t="s">
        <v>64</v>
      </c>
    </row>
  </sheetData>
  <sortState ref="A2:F1459">
    <sortCondition ref="C2:C1459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L410"/>
  <sheetViews>
    <sheetView zoomScale="90" zoomScaleNormal="90" workbookViewId="0">
      <selection activeCell="A4" sqref="A4"/>
    </sheetView>
  </sheetViews>
  <sheetFormatPr baseColWidth="10" defaultRowHeight="15" x14ac:dyDescent="0.25"/>
  <cols>
    <col min="2" max="2" width="14.28515625" style="262" customWidth="1"/>
    <col min="3" max="3" width="7.85546875" style="263" bestFit="1" customWidth="1"/>
    <col min="4" max="4" width="11.7109375" style="264" customWidth="1"/>
    <col min="5" max="5" width="38.85546875" style="265" bestFit="1" customWidth="1"/>
    <col min="6" max="6" width="14.28515625" style="267" bestFit="1" customWidth="1"/>
    <col min="7" max="7" width="9" style="262" bestFit="1" customWidth="1"/>
    <col min="8" max="8" width="10.140625" style="262" bestFit="1" customWidth="1"/>
    <col min="9" max="9" width="10.28515625" style="265" bestFit="1" customWidth="1"/>
    <col min="10" max="10" width="40" style="265" customWidth="1"/>
    <col min="11" max="11" width="7.140625" style="107" bestFit="1" customWidth="1"/>
    <col min="12" max="12" width="14.7109375" style="107" bestFit="1" customWidth="1"/>
  </cols>
  <sheetData>
    <row r="1" spans="2:12" ht="15.75" thickBot="1" x14ac:dyDescent="0.3">
      <c r="B1" s="221"/>
      <c r="C1" s="221"/>
      <c r="D1" s="222"/>
      <c r="E1" s="222"/>
      <c r="F1" s="223"/>
      <c r="G1" s="221"/>
      <c r="H1" s="221"/>
      <c r="I1" s="222"/>
      <c r="J1" s="222"/>
      <c r="K1" s="24"/>
      <c r="L1" s="24"/>
    </row>
    <row r="2" spans="2:12" ht="36.75" thickBot="1" x14ac:dyDescent="0.3">
      <c r="B2" s="146" t="s">
        <v>2840</v>
      </c>
      <c r="C2" s="137" t="s">
        <v>0</v>
      </c>
      <c r="D2" s="270" t="s">
        <v>2</v>
      </c>
      <c r="E2" s="137" t="s">
        <v>3</v>
      </c>
      <c r="F2" s="154" t="s">
        <v>4</v>
      </c>
      <c r="G2" s="1" t="s">
        <v>4651</v>
      </c>
      <c r="H2" s="1" t="s">
        <v>4652</v>
      </c>
      <c r="I2" s="1" t="s">
        <v>6</v>
      </c>
      <c r="J2" s="1" t="s">
        <v>5</v>
      </c>
      <c r="K2" s="137" t="s">
        <v>1</v>
      </c>
      <c r="L2" s="1" t="s">
        <v>7</v>
      </c>
    </row>
    <row r="3" spans="2:12" ht="15.75" thickBot="1" x14ac:dyDescent="0.3">
      <c r="B3" s="1855" t="s">
        <v>16</v>
      </c>
      <c r="C3" s="1848"/>
      <c r="D3" s="1856"/>
      <c r="E3" s="224"/>
      <c r="F3" s="225"/>
      <c r="G3" s="226"/>
      <c r="H3" s="226"/>
      <c r="I3" s="126"/>
      <c r="J3" s="126"/>
      <c r="K3" s="138"/>
      <c r="L3" s="138"/>
    </row>
    <row r="4" spans="2:12" ht="15.75" thickBot="1" x14ac:dyDescent="0.3">
      <c r="B4" s="227" t="s">
        <v>2846</v>
      </c>
      <c r="C4" s="228">
        <v>1</v>
      </c>
      <c r="D4" s="229"/>
      <c r="E4" s="86" t="s">
        <v>4653</v>
      </c>
      <c r="F4" s="230">
        <v>44537</v>
      </c>
      <c r="G4" s="155">
        <f>IF(F4&lt;&gt;"",'CONCEPTOS Y PARAMETROS'!$M$2-YEAR(F4),"")</f>
        <v>4</v>
      </c>
      <c r="H4" s="155">
        <v>0</v>
      </c>
      <c r="I4" s="156" t="str">
        <f>IFERROR(VLOOKUP(J4,CARGOS!A:F,2,0),"")</f>
        <v>90008</v>
      </c>
      <c r="J4" s="86" t="s">
        <v>3636</v>
      </c>
      <c r="K4" s="139" t="s">
        <v>2839</v>
      </c>
      <c r="L4" s="231">
        <v>409</v>
      </c>
    </row>
    <row r="5" spans="2:12" ht="15.75" thickBot="1" x14ac:dyDescent="0.3">
      <c r="B5" s="227" t="s">
        <v>2846</v>
      </c>
      <c r="C5" s="148">
        <f t="shared" ref="C5:C11" ca="1" si="0">OFFSET(C5,-1,0)+1</f>
        <v>2</v>
      </c>
      <c r="D5" s="232"/>
      <c r="E5" s="86" t="s">
        <v>4653</v>
      </c>
      <c r="F5" s="233">
        <v>44539</v>
      </c>
      <c r="G5" s="155">
        <f>IF(F5&lt;&gt;"",'CONCEPTOS Y PARAMETROS'!$M$2-YEAR(F5),"")</f>
        <v>4</v>
      </c>
      <c r="H5" s="157">
        <v>19</v>
      </c>
      <c r="I5" s="156" t="str">
        <f>IFERROR(VLOOKUP(J5,CARGOS!A:F,2,0),"")</f>
        <v>00906</v>
      </c>
      <c r="J5" s="87" t="s">
        <v>1582</v>
      </c>
      <c r="K5" s="140" t="s">
        <v>2836</v>
      </c>
      <c r="L5" s="234">
        <v>363</v>
      </c>
    </row>
    <row r="6" spans="2:12" ht="15.75" thickBot="1" x14ac:dyDescent="0.3">
      <c r="B6" s="227" t="s">
        <v>2846</v>
      </c>
      <c r="C6" s="148">
        <f t="shared" ca="1" si="0"/>
        <v>3</v>
      </c>
      <c r="D6" s="232"/>
      <c r="E6" s="86" t="s">
        <v>4653</v>
      </c>
      <c r="F6" s="233">
        <v>44545</v>
      </c>
      <c r="G6" s="155">
        <f>IF(F6&lt;&gt;"",'CONCEPTOS Y PARAMETROS'!$M$2-YEAR(F6),"")</f>
        <v>4</v>
      </c>
      <c r="H6" s="157">
        <v>14</v>
      </c>
      <c r="I6" s="156" t="str">
        <f>IFERROR(VLOOKUP(J6,CARGOS!A:F,2,0),"")</f>
        <v>00906</v>
      </c>
      <c r="J6" s="87" t="s">
        <v>1582</v>
      </c>
      <c r="K6" s="140" t="s">
        <v>2836</v>
      </c>
      <c r="L6" s="234">
        <v>363</v>
      </c>
    </row>
    <row r="7" spans="2:12" ht="15.75" thickBot="1" x14ac:dyDescent="0.3">
      <c r="B7" s="227" t="s">
        <v>2846</v>
      </c>
      <c r="C7" s="148">
        <f t="shared" ca="1" si="0"/>
        <v>4</v>
      </c>
      <c r="D7" s="232"/>
      <c r="E7" s="86" t="s">
        <v>4653</v>
      </c>
      <c r="F7" s="233">
        <v>41471</v>
      </c>
      <c r="G7" s="155">
        <f>IF(F7&lt;&gt;"",'CONCEPTOS Y PARAMETROS'!$M$2-YEAR(F7),"")</f>
        <v>12</v>
      </c>
      <c r="H7" s="157">
        <v>10</v>
      </c>
      <c r="I7" s="156" t="str">
        <f>IFERROR(VLOOKUP(J7,CARGOS!A:F,2,0),"")</f>
        <v>00906</v>
      </c>
      <c r="J7" s="87" t="s">
        <v>1582</v>
      </c>
      <c r="K7" s="140" t="s">
        <v>2836</v>
      </c>
      <c r="L7" s="234">
        <v>363</v>
      </c>
    </row>
    <row r="8" spans="2:12" ht="15.75" thickBot="1" x14ac:dyDescent="0.3">
      <c r="B8" s="227" t="s">
        <v>2846</v>
      </c>
      <c r="C8" s="148">
        <f t="shared" ca="1" si="0"/>
        <v>5</v>
      </c>
      <c r="D8" s="232"/>
      <c r="E8" s="86" t="s">
        <v>4653</v>
      </c>
      <c r="F8" s="233">
        <v>41334</v>
      </c>
      <c r="G8" s="155">
        <f>IF(F8&lt;&gt;"",'CONCEPTOS Y PARAMETROS'!$M$2-YEAR(F8),"")</f>
        <v>12</v>
      </c>
      <c r="H8" s="157">
        <v>13</v>
      </c>
      <c r="I8" s="156" t="str">
        <f>IFERROR(VLOOKUP(J8,CARGOS!A:F,2,0),"")</f>
        <v>00906</v>
      </c>
      <c r="J8" s="87" t="s">
        <v>1582</v>
      </c>
      <c r="K8" s="140" t="s">
        <v>2836</v>
      </c>
      <c r="L8" s="234">
        <v>363</v>
      </c>
    </row>
    <row r="9" spans="2:12" ht="15.75" thickBot="1" x14ac:dyDescent="0.3">
      <c r="B9" s="227" t="s">
        <v>2846</v>
      </c>
      <c r="C9" s="148">
        <f t="shared" ca="1" si="0"/>
        <v>6</v>
      </c>
      <c r="D9" s="232"/>
      <c r="E9" s="86" t="s">
        <v>4653</v>
      </c>
      <c r="F9" s="233">
        <v>39874</v>
      </c>
      <c r="G9" s="155">
        <f>IF(F9&lt;&gt;"",'CONCEPTOS Y PARAMETROS'!$M$2-YEAR(F9),"")</f>
        <v>16</v>
      </c>
      <c r="H9" s="157">
        <v>4</v>
      </c>
      <c r="I9" s="156" t="str">
        <f>IFERROR(VLOOKUP(J9,CARGOS!A:F,2,0),"")</f>
        <v>00906</v>
      </c>
      <c r="J9" s="87" t="s">
        <v>1582</v>
      </c>
      <c r="K9" s="140" t="s">
        <v>2836</v>
      </c>
      <c r="L9" s="234">
        <v>363</v>
      </c>
    </row>
    <row r="10" spans="2:12" ht="15.75" thickBot="1" x14ac:dyDescent="0.3">
      <c r="B10" s="227" t="s">
        <v>2846</v>
      </c>
      <c r="C10" s="148">
        <f t="shared" ca="1" si="0"/>
        <v>7</v>
      </c>
      <c r="D10" s="232"/>
      <c r="E10" s="86" t="s">
        <v>4653</v>
      </c>
      <c r="F10" s="233">
        <v>37622</v>
      </c>
      <c r="G10" s="155">
        <f>IF(F10&lt;&gt;"",'CONCEPTOS Y PARAMETROS'!$M$2-YEAR(F10),"")</f>
        <v>22</v>
      </c>
      <c r="H10" s="157">
        <v>0</v>
      </c>
      <c r="I10" s="156" t="str">
        <f>IFERROR(VLOOKUP(J10,CARGOS!A:F,2,0),"")</f>
        <v>00905</v>
      </c>
      <c r="J10" s="87" t="s">
        <v>1584</v>
      </c>
      <c r="K10" s="140" t="s">
        <v>2836</v>
      </c>
      <c r="L10" s="234">
        <v>363</v>
      </c>
    </row>
    <row r="11" spans="2:12" ht="15.75" thickBot="1" x14ac:dyDescent="0.3">
      <c r="B11" s="227" t="s">
        <v>2846</v>
      </c>
      <c r="C11" s="148">
        <f t="shared" ca="1" si="0"/>
        <v>8</v>
      </c>
      <c r="D11" s="232"/>
      <c r="E11" s="86" t="s">
        <v>4653</v>
      </c>
      <c r="F11" s="233">
        <v>37662</v>
      </c>
      <c r="G11" s="155">
        <f>IF(F11&lt;&gt;"",'CONCEPTOS Y PARAMETROS'!$M$2-YEAR(F11),"")</f>
        <v>22</v>
      </c>
      <c r="H11" s="157">
        <v>0</v>
      </c>
      <c r="I11" s="156" t="str">
        <f>IFERROR(VLOOKUP(J11,CARGOS!A:F,2,0),"")</f>
        <v>00905</v>
      </c>
      <c r="J11" s="87" t="s">
        <v>1584</v>
      </c>
      <c r="K11" s="140" t="s">
        <v>2836</v>
      </c>
      <c r="L11" s="234">
        <v>363</v>
      </c>
    </row>
    <row r="12" spans="2:12" ht="15.75" thickBot="1" x14ac:dyDescent="0.3">
      <c r="B12" s="227" t="s">
        <v>2846</v>
      </c>
      <c r="C12" s="148">
        <f ca="1">OFFSET(C12,-1,0)+1</f>
        <v>9</v>
      </c>
      <c r="D12" s="232"/>
      <c r="E12" s="86" t="s">
        <v>4653</v>
      </c>
      <c r="F12" s="233">
        <v>44409</v>
      </c>
      <c r="G12" s="155">
        <f>IF(F12&lt;&gt;"",'CONCEPTOS Y PARAMETROS'!$M$2-YEAR(F12),"")</f>
        <v>4</v>
      </c>
      <c r="H12" s="157">
        <v>0</v>
      </c>
      <c r="I12" s="156" t="str">
        <f>IFERROR(VLOOKUP(J12,CARGOS!A:F,2,0),"")</f>
        <v>65001</v>
      </c>
      <c r="J12" s="87" t="s">
        <v>3618</v>
      </c>
      <c r="K12" s="140" t="s">
        <v>2835</v>
      </c>
      <c r="L12" s="234">
        <v>348</v>
      </c>
    </row>
    <row r="13" spans="2:12" ht="15.75" thickBot="1" x14ac:dyDescent="0.3">
      <c r="B13" s="227" t="s">
        <v>2846</v>
      </c>
      <c r="C13" s="148">
        <f t="shared" ref="C13:C33" ca="1" si="1">OFFSET(C13,-1,0)+1</f>
        <v>10</v>
      </c>
      <c r="D13" s="87"/>
      <c r="E13" s="86" t="s">
        <v>4653</v>
      </c>
      <c r="F13" s="235">
        <v>39454</v>
      </c>
      <c r="G13" s="155">
        <f>IF(F13&lt;&gt;"",'CONCEPTOS Y PARAMETROS'!$M$2-YEAR(F13),"")</f>
        <v>17</v>
      </c>
      <c r="H13" s="157">
        <v>6</v>
      </c>
      <c r="I13" s="156" t="str">
        <f>IFERROR(VLOOKUP(J13,CARGOS!A:F,2,0),"")</f>
        <v>65001</v>
      </c>
      <c r="J13" s="87" t="s">
        <v>3618</v>
      </c>
      <c r="K13" s="140" t="s">
        <v>2835</v>
      </c>
      <c r="L13" s="234">
        <v>348</v>
      </c>
    </row>
    <row r="14" spans="2:12" ht="15.75" thickBot="1" x14ac:dyDescent="0.3">
      <c r="B14" s="227" t="s">
        <v>2846</v>
      </c>
      <c r="C14" s="148">
        <f t="shared" ca="1" si="1"/>
        <v>11</v>
      </c>
      <c r="D14" s="87"/>
      <c r="E14" s="86" t="s">
        <v>4653</v>
      </c>
      <c r="F14" s="233">
        <v>43738</v>
      </c>
      <c r="G14" s="155">
        <f>IF(F14&lt;&gt;"",'CONCEPTOS Y PARAMETROS'!$M$2-YEAR(F14),"")</f>
        <v>6</v>
      </c>
      <c r="H14" s="157">
        <v>0</v>
      </c>
      <c r="I14" s="156" t="str">
        <f>IFERROR(VLOOKUP(J14,CARGOS!A:F,2,0),"")</f>
        <v>65001</v>
      </c>
      <c r="J14" s="87" t="s">
        <v>3618</v>
      </c>
      <c r="K14" s="140" t="s">
        <v>2835</v>
      </c>
      <c r="L14" s="234">
        <v>348</v>
      </c>
    </row>
    <row r="15" spans="2:12" ht="15.75" thickBot="1" x14ac:dyDescent="0.3">
      <c r="B15" s="227" t="s">
        <v>2846</v>
      </c>
      <c r="C15" s="148">
        <f t="shared" ca="1" si="1"/>
        <v>12</v>
      </c>
      <c r="D15" s="87"/>
      <c r="E15" s="86" t="s">
        <v>4653</v>
      </c>
      <c r="F15" s="233">
        <v>39679</v>
      </c>
      <c r="G15" s="155">
        <f>IF(F15&lt;&gt;"",'CONCEPTOS Y PARAMETROS'!$M$2-YEAR(F15),"")</f>
        <v>17</v>
      </c>
      <c r="H15" s="157">
        <v>0</v>
      </c>
      <c r="I15" s="156" t="str">
        <f>IFERROR(VLOOKUP(J15,CARGOS!A:F,2,0),"")</f>
        <v>65001</v>
      </c>
      <c r="J15" s="87" t="s">
        <v>3618</v>
      </c>
      <c r="K15" s="140" t="s">
        <v>2835</v>
      </c>
      <c r="L15" s="234">
        <v>348</v>
      </c>
    </row>
    <row r="16" spans="2:12" ht="15.75" thickBot="1" x14ac:dyDescent="0.3">
      <c r="B16" s="227" t="s">
        <v>2846</v>
      </c>
      <c r="C16" s="148">
        <f t="shared" ca="1" si="1"/>
        <v>13</v>
      </c>
      <c r="D16" s="87"/>
      <c r="E16" s="86" t="s">
        <v>4653</v>
      </c>
      <c r="F16" s="233">
        <v>36434</v>
      </c>
      <c r="G16" s="155">
        <f>IF(F16&lt;&gt;"",'CONCEPTOS Y PARAMETROS'!$M$2-YEAR(F16),"")</f>
        <v>26</v>
      </c>
      <c r="H16" s="157">
        <v>0</v>
      </c>
      <c r="I16" s="156" t="str">
        <f>IFERROR(VLOOKUP(J16,CARGOS!A:F,2,0),"")</f>
        <v>65001</v>
      </c>
      <c r="J16" s="87" t="s">
        <v>3618</v>
      </c>
      <c r="K16" s="140" t="s">
        <v>2835</v>
      </c>
      <c r="L16" s="234">
        <v>348</v>
      </c>
    </row>
    <row r="17" spans="2:12" ht="15.75" thickBot="1" x14ac:dyDescent="0.3">
      <c r="B17" s="227" t="s">
        <v>2846</v>
      </c>
      <c r="C17" s="148">
        <f t="shared" ca="1" si="1"/>
        <v>14</v>
      </c>
      <c r="D17" s="87"/>
      <c r="E17" s="86" t="s">
        <v>4653</v>
      </c>
      <c r="F17" s="233">
        <v>41548</v>
      </c>
      <c r="G17" s="155">
        <f>IF(F17&lt;&gt;"",'CONCEPTOS Y PARAMETROS'!$M$2-YEAR(F17),"")</f>
        <v>12</v>
      </c>
      <c r="H17" s="157">
        <v>0</v>
      </c>
      <c r="I17" s="156" t="str">
        <f>IFERROR(VLOOKUP(J17,CARGOS!A:F,2,0),"")</f>
        <v>65001</v>
      </c>
      <c r="J17" s="87" t="s">
        <v>3618</v>
      </c>
      <c r="K17" s="140" t="s">
        <v>2835</v>
      </c>
      <c r="L17" s="234">
        <v>348</v>
      </c>
    </row>
    <row r="18" spans="2:12" ht="15.75" thickBot="1" x14ac:dyDescent="0.3">
      <c r="B18" s="227" t="s">
        <v>2846</v>
      </c>
      <c r="C18" s="148">
        <f t="shared" ca="1" si="1"/>
        <v>15</v>
      </c>
      <c r="D18" s="232"/>
      <c r="E18" s="87" t="s">
        <v>4653</v>
      </c>
      <c r="F18" s="233">
        <v>44927</v>
      </c>
      <c r="G18" s="155">
        <f>IF(F18&lt;&gt;"",'CONCEPTOS Y PARAMETROS'!$M$2-YEAR(F18),"")</f>
        <v>2</v>
      </c>
      <c r="H18" s="157">
        <v>0</v>
      </c>
      <c r="I18" s="156" t="str">
        <f>IFERROR(VLOOKUP(J18,CARGOS!A:F,2,0),"")</f>
        <v>65001</v>
      </c>
      <c r="J18" s="87" t="s">
        <v>3618</v>
      </c>
      <c r="K18" s="140" t="s">
        <v>2835</v>
      </c>
      <c r="L18" s="234">
        <v>348</v>
      </c>
    </row>
    <row r="19" spans="2:12" ht="15.75" thickBot="1" x14ac:dyDescent="0.3">
      <c r="B19" s="227" t="s">
        <v>2846</v>
      </c>
      <c r="C19" s="148">
        <f t="shared" ca="1" si="1"/>
        <v>16</v>
      </c>
      <c r="D19" s="232">
        <v>11895772</v>
      </c>
      <c r="E19" s="87" t="s">
        <v>4677</v>
      </c>
      <c r="F19" s="233">
        <v>44743</v>
      </c>
      <c r="G19" s="155">
        <f>IF(F19&lt;&gt;"",'CONCEPTOS Y PARAMETROS'!$M$2-YEAR(F19),"")</f>
        <v>3</v>
      </c>
      <c r="H19" s="157">
        <v>0</v>
      </c>
      <c r="I19" s="156" t="str">
        <f>IFERROR(VLOOKUP(J19,CARGOS!A:F,2,0),"")</f>
        <v>65001</v>
      </c>
      <c r="J19" s="87" t="s">
        <v>3618</v>
      </c>
      <c r="K19" s="140" t="s">
        <v>2835</v>
      </c>
      <c r="L19" s="234">
        <v>348</v>
      </c>
    </row>
    <row r="20" spans="2:12" ht="15.75" thickBot="1" x14ac:dyDescent="0.3">
      <c r="B20" s="227" t="s">
        <v>2846</v>
      </c>
      <c r="C20" s="148">
        <f t="shared" ca="1" si="1"/>
        <v>17</v>
      </c>
      <c r="D20" s="232">
        <v>5348397</v>
      </c>
      <c r="E20" s="87" t="s">
        <v>4678</v>
      </c>
      <c r="F20" s="233">
        <v>43359</v>
      </c>
      <c r="G20" s="155">
        <f>IF(F20&lt;&gt;"",'CONCEPTOS Y PARAMETROS'!$M$2-YEAR(F20),"")</f>
        <v>7</v>
      </c>
      <c r="H20" s="157">
        <v>0</v>
      </c>
      <c r="I20" s="156" t="str">
        <f>IFERROR(VLOOKUP(J20,CARGOS!A:F,2,0),"")</f>
        <v>65001</v>
      </c>
      <c r="J20" s="87" t="s">
        <v>3618</v>
      </c>
      <c r="K20" s="140" t="s">
        <v>2835</v>
      </c>
      <c r="L20" s="234">
        <v>348</v>
      </c>
    </row>
    <row r="21" spans="2:12" ht="15.75" thickBot="1" x14ac:dyDescent="0.3">
      <c r="B21" s="227" t="s">
        <v>2846</v>
      </c>
      <c r="C21" s="148">
        <f t="shared" ca="1" si="1"/>
        <v>18</v>
      </c>
      <c r="D21" s="232">
        <v>9314132</v>
      </c>
      <c r="E21" s="87" t="s">
        <v>4679</v>
      </c>
      <c r="F21" s="233">
        <v>44348</v>
      </c>
      <c r="G21" s="155">
        <f>IF(F21&lt;&gt;"",'CONCEPTOS Y PARAMETROS'!$M$2-YEAR(F21),"")</f>
        <v>4</v>
      </c>
      <c r="H21" s="157">
        <v>0</v>
      </c>
      <c r="I21" s="156" t="str">
        <f>IFERROR(VLOOKUP(J21,CARGOS!A:F,2,0),"")</f>
        <v>65001</v>
      </c>
      <c r="J21" s="87" t="s">
        <v>3618</v>
      </c>
      <c r="K21" s="140" t="s">
        <v>2835</v>
      </c>
      <c r="L21" s="234">
        <v>348</v>
      </c>
    </row>
    <row r="22" spans="2:12" ht="15.75" thickBot="1" x14ac:dyDescent="0.3">
      <c r="B22" s="227" t="s">
        <v>2846</v>
      </c>
      <c r="C22" s="148">
        <f t="shared" ca="1" si="1"/>
        <v>19</v>
      </c>
      <c r="D22" s="232">
        <v>18096996</v>
      </c>
      <c r="E22" s="87" t="s">
        <v>4680</v>
      </c>
      <c r="F22" s="233">
        <v>44743</v>
      </c>
      <c r="G22" s="155">
        <f>IF(F22&lt;&gt;"",'CONCEPTOS Y PARAMETROS'!$M$2-YEAR(F22),"")</f>
        <v>3</v>
      </c>
      <c r="H22" s="157">
        <v>0</v>
      </c>
      <c r="I22" s="156" t="str">
        <f>IFERROR(VLOOKUP(J22,CARGOS!A:F,2,0),"")</f>
        <v>65001</v>
      </c>
      <c r="J22" s="87" t="s">
        <v>3618</v>
      </c>
      <c r="K22" s="140" t="s">
        <v>2835</v>
      </c>
      <c r="L22" s="234">
        <v>348</v>
      </c>
    </row>
    <row r="23" spans="2:12" ht="15.75" thickBot="1" x14ac:dyDescent="0.3">
      <c r="B23" s="227" t="s">
        <v>2846</v>
      </c>
      <c r="C23" s="148">
        <f t="shared" ca="1" si="1"/>
        <v>20</v>
      </c>
      <c r="D23" s="232"/>
      <c r="E23" s="87" t="s">
        <v>4653</v>
      </c>
      <c r="F23" s="233">
        <v>36039</v>
      </c>
      <c r="G23" s="155">
        <f>IF(F23&lt;&gt;"",'CONCEPTOS Y PARAMETROS'!$M$2-YEAR(F23),"")</f>
        <v>27</v>
      </c>
      <c r="H23" s="157">
        <v>0</v>
      </c>
      <c r="I23" s="156" t="str">
        <f>IFERROR(VLOOKUP(J23,CARGOS!A:F,2,0),"")</f>
        <v>65001</v>
      </c>
      <c r="J23" s="87" t="s">
        <v>3618</v>
      </c>
      <c r="K23" s="140" t="s">
        <v>2835</v>
      </c>
      <c r="L23" s="234">
        <v>348</v>
      </c>
    </row>
    <row r="24" spans="2:12" ht="15.75" thickBot="1" x14ac:dyDescent="0.3">
      <c r="B24" s="227" t="s">
        <v>2846</v>
      </c>
      <c r="C24" s="148">
        <f t="shared" ca="1" si="1"/>
        <v>21</v>
      </c>
      <c r="D24" s="232"/>
      <c r="E24" s="87" t="s">
        <v>4653</v>
      </c>
      <c r="F24" s="233">
        <v>39692</v>
      </c>
      <c r="G24" s="155">
        <f>IF(F24&lt;&gt;"",'CONCEPTOS Y PARAMETROS'!$M$2-YEAR(F24),"")</f>
        <v>17</v>
      </c>
      <c r="H24" s="157">
        <v>0</v>
      </c>
      <c r="I24" s="156" t="str">
        <f>IFERROR(VLOOKUP(J24,CARGOS!A:F,2,0),"")</f>
        <v>65001</v>
      </c>
      <c r="J24" s="87" t="s">
        <v>3618</v>
      </c>
      <c r="K24" s="140" t="s">
        <v>2835</v>
      </c>
      <c r="L24" s="234">
        <v>348</v>
      </c>
    </row>
    <row r="25" spans="2:12" ht="15.75" thickBot="1" x14ac:dyDescent="0.3">
      <c r="B25" s="227" t="s">
        <v>2846</v>
      </c>
      <c r="C25" s="148">
        <f t="shared" ca="1" si="1"/>
        <v>22</v>
      </c>
      <c r="D25" s="232"/>
      <c r="E25" s="87" t="s">
        <v>4653</v>
      </c>
      <c r="F25" s="233">
        <v>43024</v>
      </c>
      <c r="G25" s="155">
        <f>IF(F25&lt;&gt;"",'CONCEPTOS Y PARAMETROS'!$M$2-YEAR(F25),"")</f>
        <v>8</v>
      </c>
      <c r="H25" s="157">
        <v>0</v>
      </c>
      <c r="I25" s="156" t="str">
        <f>IFERROR(VLOOKUP(J25,CARGOS!A:F,2,0),"")</f>
        <v>65001</v>
      </c>
      <c r="J25" s="87" t="s">
        <v>3618</v>
      </c>
      <c r="K25" s="140" t="s">
        <v>2835</v>
      </c>
      <c r="L25" s="234">
        <v>348</v>
      </c>
    </row>
    <row r="26" spans="2:12" ht="15.75" thickBot="1" x14ac:dyDescent="0.3">
      <c r="B26" s="227" t="s">
        <v>2846</v>
      </c>
      <c r="C26" s="148">
        <f t="shared" ca="1" si="1"/>
        <v>23</v>
      </c>
      <c r="D26" s="232">
        <v>4306476</v>
      </c>
      <c r="E26" s="87" t="s">
        <v>4683</v>
      </c>
      <c r="F26" s="233">
        <v>44409</v>
      </c>
      <c r="G26" s="155">
        <f>IF(F26&lt;&gt;"",'CONCEPTOS Y PARAMETROS'!$M$2-YEAR(F26),"")</f>
        <v>4</v>
      </c>
      <c r="H26" s="157">
        <v>9</v>
      </c>
      <c r="I26" s="156" t="str">
        <f>IFERROR(VLOOKUP(J26,CARGOS!A:F,2,0),"")</f>
        <v>65001</v>
      </c>
      <c r="J26" s="87" t="s">
        <v>3618</v>
      </c>
      <c r="K26" s="140" t="s">
        <v>2835</v>
      </c>
      <c r="L26" s="234">
        <v>348</v>
      </c>
    </row>
    <row r="27" spans="2:12" ht="15.75" thickBot="1" x14ac:dyDescent="0.3">
      <c r="B27" s="227" t="s">
        <v>2846</v>
      </c>
      <c r="C27" s="148">
        <f t="shared" ca="1" si="1"/>
        <v>24</v>
      </c>
      <c r="D27" s="232"/>
      <c r="E27" s="87" t="s">
        <v>4653</v>
      </c>
      <c r="F27" s="233">
        <v>38930</v>
      </c>
      <c r="G27" s="155">
        <f>IF(F27&lt;&gt;"",'CONCEPTOS Y PARAMETROS'!$M$2-YEAR(F27),"")</f>
        <v>19</v>
      </c>
      <c r="H27" s="157">
        <v>1</v>
      </c>
      <c r="I27" s="156" t="str">
        <f>IFERROR(VLOOKUP(J27,CARGOS!A:F,2,0),"")</f>
        <v>65001</v>
      </c>
      <c r="J27" s="87" t="s">
        <v>3618</v>
      </c>
      <c r="K27" s="140" t="s">
        <v>2835</v>
      </c>
      <c r="L27" s="234">
        <v>348</v>
      </c>
    </row>
    <row r="28" spans="2:12" ht="15.75" thickBot="1" x14ac:dyDescent="0.3">
      <c r="B28" s="227" t="s">
        <v>2846</v>
      </c>
      <c r="C28" s="148">
        <f t="shared" ca="1" si="1"/>
        <v>25</v>
      </c>
      <c r="D28" s="232">
        <v>13568733</v>
      </c>
      <c r="E28" s="87" t="s">
        <v>4685</v>
      </c>
      <c r="F28" s="233">
        <v>44805</v>
      </c>
      <c r="G28" s="155">
        <f>IF(F28&lt;&gt;"",'CONCEPTOS Y PARAMETROS'!$M$2-YEAR(F28),"")</f>
        <v>3</v>
      </c>
      <c r="H28" s="157">
        <v>0</v>
      </c>
      <c r="I28" s="156" t="str">
        <f>IFERROR(VLOOKUP(J28,CARGOS!A:F,2,0),"")</f>
        <v>65001</v>
      </c>
      <c r="J28" s="87" t="s">
        <v>3618</v>
      </c>
      <c r="K28" s="140" t="s">
        <v>2835</v>
      </c>
      <c r="L28" s="234">
        <v>348</v>
      </c>
    </row>
    <row r="29" spans="2:12" ht="15.75" thickBot="1" x14ac:dyDescent="0.3">
      <c r="B29" s="227" t="s">
        <v>2846</v>
      </c>
      <c r="C29" s="148">
        <f t="shared" ca="1" si="1"/>
        <v>26</v>
      </c>
      <c r="D29" s="232"/>
      <c r="E29" s="87" t="s">
        <v>4653</v>
      </c>
      <c r="F29" s="233">
        <v>43967</v>
      </c>
      <c r="G29" s="155">
        <f>IF(F29&lt;&gt;"",'CONCEPTOS Y PARAMETROS'!$M$2-YEAR(F29),"")</f>
        <v>5</v>
      </c>
      <c r="H29" s="157">
        <v>0</v>
      </c>
      <c r="I29" s="156" t="str">
        <f>IFERROR(VLOOKUP(J29,CARGOS!A:F,2,0),"")</f>
        <v>65001</v>
      </c>
      <c r="J29" s="87" t="s">
        <v>3618</v>
      </c>
      <c r="K29" s="140" t="s">
        <v>2835</v>
      </c>
      <c r="L29" s="234">
        <v>348</v>
      </c>
    </row>
    <row r="30" spans="2:12" ht="15.75" thickBot="1" x14ac:dyDescent="0.3">
      <c r="B30" s="227" t="s">
        <v>2846</v>
      </c>
      <c r="C30" s="148">
        <f t="shared" ca="1" si="1"/>
        <v>27</v>
      </c>
      <c r="D30" s="232">
        <v>12781930</v>
      </c>
      <c r="E30" s="87" t="s">
        <v>4687</v>
      </c>
      <c r="F30" s="233">
        <v>44652</v>
      </c>
      <c r="G30" s="155">
        <f>IF(F30&lt;&gt;"",'CONCEPTOS Y PARAMETROS'!$M$2-YEAR(F30),"")</f>
        <v>3</v>
      </c>
      <c r="H30" s="157">
        <v>0</v>
      </c>
      <c r="I30" s="156" t="str">
        <f>IFERROR(VLOOKUP(J30,CARGOS!A:F,2,0),"")</f>
        <v>65001</v>
      </c>
      <c r="J30" s="87" t="s">
        <v>3618</v>
      </c>
      <c r="K30" s="140" t="s">
        <v>2835</v>
      </c>
      <c r="L30" s="234">
        <v>348</v>
      </c>
    </row>
    <row r="31" spans="2:12" ht="15.75" thickBot="1" x14ac:dyDescent="0.3">
      <c r="B31" s="227" t="s">
        <v>2846</v>
      </c>
      <c r="C31" s="148">
        <f t="shared" ca="1" si="1"/>
        <v>28</v>
      </c>
      <c r="D31" s="232"/>
      <c r="E31" s="87" t="s">
        <v>4653</v>
      </c>
      <c r="F31" s="233">
        <v>42416</v>
      </c>
      <c r="G31" s="155">
        <f>IF(F31&lt;&gt;"",'CONCEPTOS Y PARAMETROS'!$M$2-YEAR(F31),"")</f>
        <v>9</v>
      </c>
      <c r="H31" s="157">
        <v>0</v>
      </c>
      <c r="I31" s="156" t="str">
        <f>IFERROR(VLOOKUP(J31,CARGOS!A:F,2,0),"")</f>
        <v>65001</v>
      </c>
      <c r="J31" s="87" t="s">
        <v>3618</v>
      </c>
      <c r="K31" s="140" t="s">
        <v>2835</v>
      </c>
      <c r="L31" s="234">
        <v>348</v>
      </c>
    </row>
    <row r="32" spans="2:12" ht="15.75" thickBot="1" x14ac:dyDescent="0.3">
      <c r="B32" s="227" t="s">
        <v>2846</v>
      </c>
      <c r="C32" s="148">
        <f t="shared" ca="1" si="1"/>
        <v>29</v>
      </c>
      <c r="D32" s="232">
        <v>10035066</v>
      </c>
      <c r="E32" s="87" t="s">
        <v>4933</v>
      </c>
      <c r="F32" s="233">
        <v>44743</v>
      </c>
      <c r="G32" s="155">
        <f>IF(F32&lt;&gt;"",'CONCEPTOS Y PARAMETROS'!$M$2-YEAR(F32),"")</f>
        <v>3</v>
      </c>
      <c r="H32" s="157">
        <v>0</v>
      </c>
      <c r="I32" s="156" t="str">
        <f>IFERROR(VLOOKUP(J32,CARGOS!A:F,2,0),"")</f>
        <v>65001</v>
      </c>
      <c r="J32" s="87" t="s">
        <v>3618</v>
      </c>
      <c r="K32" s="140" t="s">
        <v>2835</v>
      </c>
      <c r="L32" s="234">
        <v>348</v>
      </c>
    </row>
    <row r="33" spans="2:12" ht="15.75" thickBot="1" x14ac:dyDescent="0.3">
      <c r="B33" s="227" t="s">
        <v>2846</v>
      </c>
      <c r="C33" s="236">
        <f t="shared" ca="1" si="1"/>
        <v>30</v>
      </c>
      <c r="D33" s="237"/>
      <c r="E33" s="238" t="s">
        <v>4653</v>
      </c>
      <c r="F33" s="239">
        <v>44927</v>
      </c>
      <c r="G33" s="155">
        <f>IF(F33&lt;&gt;"",'CONCEPTOS Y PARAMETROS'!$M$2-YEAR(F33),"")</f>
        <v>2</v>
      </c>
      <c r="H33" s="240">
        <v>0</v>
      </c>
      <c r="I33" s="156" t="str">
        <f>IFERROR(VLOOKUP(J33,CARGOS!A:F,2,0),"")</f>
        <v>65001</v>
      </c>
      <c r="J33" s="238" t="s">
        <v>3618</v>
      </c>
      <c r="K33" s="241" t="s">
        <v>2835</v>
      </c>
      <c r="L33" s="242">
        <v>348</v>
      </c>
    </row>
    <row r="34" spans="2:12" ht="15.75" thickBot="1" x14ac:dyDescent="0.3">
      <c r="B34" s="243"/>
      <c r="C34" s="147">
        <f ca="1">COUNT(C4:C33)</f>
        <v>30</v>
      </c>
      <c r="D34" s="1848" t="s">
        <v>2864</v>
      </c>
      <c r="E34" s="1848"/>
      <c r="F34" s="1848"/>
      <c r="G34" s="1848"/>
      <c r="H34" s="1848"/>
      <c r="I34" s="1848"/>
      <c r="J34" s="1848"/>
      <c r="K34" s="1849"/>
      <c r="L34" s="141">
        <v>10606</v>
      </c>
    </row>
    <row r="35" spans="2:12" ht="15.75" thickBot="1" x14ac:dyDescent="0.3">
      <c r="B35" s="1855" t="s">
        <v>4561</v>
      </c>
      <c r="C35" s="1848"/>
      <c r="D35" s="1856"/>
      <c r="E35" s="244"/>
      <c r="F35" s="245"/>
      <c r="G35" s="246"/>
      <c r="H35" s="246"/>
      <c r="I35" s="247"/>
      <c r="J35" s="247"/>
      <c r="K35" s="248"/>
      <c r="L35" s="248"/>
    </row>
    <row r="36" spans="2:12" ht="15.75" thickBot="1" x14ac:dyDescent="0.3">
      <c r="B36" s="249" t="s">
        <v>2846</v>
      </c>
      <c r="C36" s="228">
        <v>1</v>
      </c>
      <c r="D36" s="87">
        <v>4324055</v>
      </c>
      <c r="E36" s="250" t="s">
        <v>4689</v>
      </c>
      <c r="F36" s="230">
        <v>44470</v>
      </c>
      <c r="G36" s="155">
        <f>IF(F36&lt;&gt;"",'CONCEPTOS Y PARAMETROS'!$M$2-YEAR(F36),"")</f>
        <v>4</v>
      </c>
      <c r="H36" s="155">
        <v>0</v>
      </c>
      <c r="I36" s="156" t="str">
        <f>IFERROR(VLOOKUP(J36,CARGOS!A:F,2,0),"")</f>
        <v>35121</v>
      </c>
      <c r="J36" s="86" t="s">
        <v>34</v>
      </c>
      <c r="K36" s="142" t="s">
        <v>4646</v>
      </c>
      <c r="L36" s="251">
        <v>246</v>
      </c>
    </row>
    <row r="37" spans="2:12" ht="15.75" thickBot="1" x14ac:dyDescent="0.3">
      <c r="B37" s="149" t="s">
        <v>2846</v>
      </c>
      <c r="C37" s="148">
        <f t="shared" ref="C37:C290" ca="1" si="2">OFFSET(C37,-1,0)+1</f>
        <v>2</v>
      </c>
      <c r="D37" s="87">
        <v>4657974</v>
      </c>
      <c r="E37" s="159" t="s">
        <v>4690</v>
      </c>
      <c r="F37" s="252">
        <v>39463</v>
      </c>
      <c r="G37" s="155">
        <f>IF(F37&lt;&gt;"",'CONCEPTOS Y PARAMETROS'!$M$2-YEAR(F37),"")</f>
        <v>17</v>
      </c>
      <c r="H37" s="158">
        <v>0</v>
      </c>
      <c r="I37" s="156" t="str">
        <f>IFERROR(VLOOKUP(J37,CARGOS!A:F,2,0),"")</f>
        <v>37921</v>
      </c>
      <c r="J37" s="88" t="s">
        <v>1966</v>
      </c>
      <c r="K37" s="142" t="s">
        <v>4934</v>
      </c>
      <c r="L37" s="251">
        <v>176</v>
      </c>
    </row>
    <row r="38" spans="2:12" ht="15.75" thickBot="1" x14ac:dyDescent="0.3">
      <c r="B38" s="149" t="s">
        <v>2846</v>
      </c>
      <c r="C38" s="148">
        <f t="shared" ca="1" si="2"/>
        <v>3</v>
      </c>
      <c r="D38" s="87">
        <v>5762861</v>
      </c>
      <c r="E38" s="215" t="s">
        <v>4691</v>
      </c>
      <c r="F38" s="252">
        <v>37851</v>
      </c>
      <c r="G38" s="155">
        <f>IF(F38&lt;&gt;"",'CONCEPTOS Y PARAMETROS'!$M$2-YEAR(F38),"")</f>
        <v>22</v>
      </c>
      <c r="H38" s="158">
        <v>4</v>
      </c>
      <c r="I38" s="156" t="str">
        <f>IFERROR(VLOOKUP(J38,CARGOS!A:F,2,0),"")</f>
        <v>79532</v>
      </c>
      <c r="J38" s="88" t="s">
        <v>1558</v>
      </c>
      <c r="K38" s="142" t="s">
        <v>4935</v>
      </c>
      <c r="L38" s="251">
        <v>287</v>
      </c>
    </row>
    <row r="39" spans="2:12" ht="15.75" thickBot="1" x14ac:dyDescent="0.3">
      <c r="B39" s="149" t="s">
        <v>2846</v>
      </c>
      <c r="C39" s="148">
        <f t="shared" ca="1" si="2"/>
        <v>4</v>
      </c>
      <c r="D39" s="87">
        <v>5782060</v>
      </c>
      <c r="E39" s="159" t="s">
        <v>4692</v>
      </c>
      <c r="F39" s="252">
        <v>39539</v>
      </c>
      <c r="G39" s="155">
        <f>IF(F39&lt;&gt;"",'CONCEPTOS Y PARAMETROS'!$M$2-YEAR(F39),"")</f>
        <v>17</v>
      </c>
      <c r="H39" s="158">
        <v>0</v>
      </c>
      <c r="I39" s="156" t="str">
        <f>IFERROR(VLOOKUP(J39,CARGOS!A:F,2,0),"")</f>
        <v>12113</v>
      </c>
      <c r="J39" s="88" t="s">
        <v>326</v>
      </c>
      <c r="K39" s="142" t="s">
        <v>4936</v>
      </c>
      <c r="L39" s="251">
        <v>226</v>
      </c>
    </row>
    <row r="40" spans="2:12" ht="15.75" thickBot="1" x14ac:dyDescent="0.3">
      <c r="B40" s="149" t="s">
        <v>2846</v>
      </c>
      <c r="C40" s="148">
        <f t="shared" ca="1" si="2"/>
        <v>5</v>
      </c>
      <c r="D40" s="87">
        <v>5787991</v>
      </c>
      <c r="E40" s="159" t="s">
        <v>4693</v>
      </c>
      <c r="F40" s="252">
        <v>38565</v>
      </c>
      <c r="G40" s="155">
        <f>IF(F40&lt;&gt;"",'CONCEPTOS Y PARAMETROS'!$M$2-YEAR(F40),"")</f>
        <v>20</v>
      </c>
      <c r="H40" s="158">
        <v>0</v>
      </c>
      <c r="I40" s="156" t="str">
        <f>IFERROR(VLOOKUP(J40,CARGOS!A:F,2,0),"")</f>
        <v>13364</v>
      </c>
      <c r="J40" s="88" t="s">
        <v>1932</v>
      </c>
      <c r="K40" s="142" t="s">
        <v>4935</v>
      </c>
      <c r="L40" s="251">
        <v>287</v>
      </c>
    </row>
    <row r="41" spans="2:12" ht="15.75" thickBot="1" x14ac:dyDescent="0.3">
      <c r="B41" s="149" t="s">
        <v>2846</v>
      </c>
      <c r="C41" s="148">
        <f t="shared" ca="1" si="2"/>
        <v>6</v>
      </c>
      <c r="D41" s="87">
        <v>5790501</v>
      </c>
      <c r="E41" s="159" t="s">
        <v>4694</v>
      </c>
      <c r="F41" s="252">
        <v>39707</v>
      </c>
      <c r="G41" s="155">
        <f>IF(F41&lt;&gt;"",'CONCEPTOS Y PARAMETROS'!$M$2-YEAR(F41),"")</f>
        <v>17</v>
      </c>
      <c r="H41" s="158">
        <v>0</v>
      </c>
      <c r="I41" s="156" t="str">
        <f>IFERROR(VLOOKUP(J41,CARGOS!A:F,2,0),"")</f>
        <v>13313</v>
      </c>
      <c r="J41" s="88" t="s">
        <v>366</v>
      </c>
      <c r="K41" s="142" t="s">
        <v>4936</v>
      </c>
      <c r="L41" s="251">
        <v>226</v>
      </c>
    </row>
    <row r="42" spans="2:12" ht="15.75" thickBot="1" x14ac:dyDescent="0.3">
      <c r="B42" s="149" t="s">
        <v>2846</v>
      </c>
      <c r="C42" s="148">
        <f t="shared" ca="1" si="2"/>
        <v>7</v>
      </c>
      <c r="D42" s="87">
        <v>7744688</v>
      </c>
      <c r="E42" s="159" t="s">
        <v>4695</v>
      </c>
      <c r="F42" s="252">
        <v>44774</v>
      </c>
      <c r="G42" s="155">
        <f>IF(F42&lt;&gt;"",'CONCEPTOS Y PARAMETROS'!$M$2-YEAR(F42),"")</f>
        <v>3</v>
      </c>
      <c r="H42" s="158">
        <v>0</v>
      </c>
      <c r="I42" s="156" t="str">
        <f>IFERROR(VLOOKUP(J42,CARGOS!A:F,2,0),"")</f>
        <v>12113</v>
      </c>
      <c r="J42" s="88" t="s">
        <v>326</v>
      </c>
      <c r="K42" s="142" t="s">
        <v>4649</v>
      </c>
      <c r="L42" s="251">
        <v>192</v>
      </c>
    </row>
    <row r="43" spans="2:12" ht="15.75" thickBot="1" x14ac:dyDescent="0.3">
      <c r="B43" s="149" t="s">
        <v>2846</v>
      </c>
      <c r="C43" s="148">
        <f t="shared" ca="1" si="2"/>
        <v>8</v>
      </c>
      <c r="D43" s="87">
        <v>7890070</v>
      </c>
      <c r="E43" s="159" t="s">
        <v>4696</v>
      </c>
      <c r="F43" s="252">
        <v>38930</v>
      </c>
      <c r="G43" s="155">
        <f>IF(F43&lt;&gt;"",'CONCEPTOS Y PARAMETROS'!$M$2-YEAR(F43),"")</f>
        <v>19</v>
      </c>
      <c r="H43" s="158">
        <v>5</v>
      </c>
      <c r="I43" s="156" t="str">
        <f>IFERROR(VLOOKUP(J43,CARGOS!A:F,2,0),"")</f>
        <v>79512</v>
      </c>
      <c r="J43" s="88" t="s">
        <v>1164</v>
      </c>
      <c r="K43" s="142" t="s">
        <v>4937</v>
      </c>
      <c r="L43" s="251">
        <v>177</v>
      </c>
    </row>
    <row r="44" spans="2:12" ht="15.75" thickBot="1" x14ac:dyDescent="0.3">
      <c r="B44" s="149" t="s">
        <v>2846</v>
      </c>
      <c r="C44" s="148">
        <f t="shared" ca="1" si="2"/>
        <v>9</v>
      </c>
      <c r="D44" s="87">
        <v>8266170</v>
      </c>
      <c r="E44" s="159" t="s">
        <v>4938</v>
      </c>
      <c r="F44" s="252">
        <v>42948</v>
      </c>
      <c r="G44" s="155">
        <f>IF(F44&lt;&gt;"",'CONCEPTOS Y PARAMETROS'!$M$2-YEAR(F44),"")</f>
        <v>8</v>
      </c>
      <c r="H44" s="158">
        <v>0</v>
      </c>
      <c r="I44" s="156" t="str">
        <f>IFERROR(VLOOKUP(J44,CARGOS!A:F,2,0),"")</f>
        <v>79512</v>
      </c>
      <c r="J44" s="88" t="s">
        <v>1164</v>
      </c>
      <c r="K44" s="142" t="s">
        <v>4643</v>
      </c>
      <c r="L44" s="251">
        <v>279</v>
      </c>
    </row>
    <row r="45" spans="2:12" ht="15.75" thickBot="1" x14ac:dyDescent="0.3">
      <c r="B45" s="149" t="s">
        <v>2846</v>
      </c>
      <c r="C45" s="148">
        <f t="shared" ca="1" si="2"/>
        <v>10</v>
      </c>
      <c r="D45" s="87">
        <v>9162178</v>
      </c>
      <c r="E45" s="159" t="s">
        <v>4697</v>
      </c>
      <c r="F45" s="252">
        <v>39566</v>
      </c>
      <c r="G45" s="155">
        <f>IF(F45&lt;&gt;"",'CONCEPTOS Y PARAMETROS'!$M$2-YEAR(F45),"")</f>
        <v>17</v>
      </c>
      <c r="H45" s="158">
        <v>0</v>
      </c>
      <c r="I45" s="156" t="str">
        <f>IFERROR(VLOOKUP(J45,CARGOS!A:F,2,0),"")</f>
        <v>79512</v>
      </c>
      <c r="J45" s="88" t="s">
        <v>1164</v>
      </c>
      <c r="K45" s="142" t="s">
        <v>4934</v>
      </c>
      <c r="L45" s="251">
        <v>176</v>
      </c>
    </row>
    <row r="46" spans="2:12" ht="15.75" thickBot="1" x14ac:dyDescent="0.3">
      <c r="B46" s="149" t="s">
        <v>2846</v>
      </c>
      <c r="C46" s="148">
        <f t="shared" ca="1" si="2"/>
        <v>11</v>
      </c>
      <c r="D46" s="87">
        <v>9162243</v>
      </c>
      <c r="E46" s="159" t="s">
        <v>4698</v>
      </c>
      <c r="F46" s="252">
        <v>35535</v>
      </c>
      <c r="G46" s="155">
        <f>IF(F46&lt;&gt;"",'CONCEPTOS Y PARAMETROS'!$M$2-YEAR(F46),"")</f>
        <v>28</v>
      </c>
      <c r="H46" s="158">
        <v>0</v>
      </c>
      <c r="I46" s="156" t="str">
        <f>IFERROR(VLOOKUP(J46,CARGOS!A:F,2,0),"")</f>
        <v>79512</v>
      </c>
      <c r="J46" s="88" t="s">
        <v>1164</v>
      </c>
      <c r="K46" s="142" t="s">
        <v>4937</v>
      </c>
      <c r="L46" s="251">
        <v>177</v>
      </c>
    </row>
    <row r="47" spans="2:12" ht="15.75" thickBot="1" x14ac:dyDescent="0.3">
      <c r="B47" s="149" t="s">
        <v>2846</v>
      </c>
      <c r="C47" s="148">
        <f t="shared" ca="1" si="2"/>
        <v>12</v>
      </c>
      <c r="D47" s="87">
        <v>9170647</v>
      </c>
      <c r="E47" s="215" t="s">
        <v>4699</v>
      </c>
      <c r="F47" s="252">
        <v>39238</v>
      </c>
      <c r="G47" s="155">
        <f>IF(F47&lt;&gt;"",'CONCEPTOS Y PARAMETROS'!$M$2-YEAR(F47),"")</f>
        <v>18</v>
      </c>
      <c r="H47" s="158">
        <v>0</v>
      </c>
      <c r="I47" s="156" t="str">
        <f>IFERROR(VLOOKUP(J47,CARGOS!A:F,2,0),"")</f>
        <v>79512</v>
      </c>
      <c r="J47" s="88" t="s">
        <v>1164</v>
      </c>
      <c r="K47" s="142" t="s">
        <v>4936</v>
      </c>
      <c r="L47" s="251">
        <v>226</v>
      </c>
    </row>
    <row r="48" spans="2:12" ht="15.75" thickBot="1" x14ac:dyDescent="0.3">
      <c r="B48" s="149" t="s">
        <v>2846</v>
      </c>
      <c r="C48" s="148">
        <f t="shared" ca="1" si="2"/>
        <v>13</v>
      </c>
      <c r="D48" s="87">
        <v>9177323</v>
      </c>
      <c r="E48" s="159" t="s">
        <v>4700</v>
      </c>
      <c r="F48" s="252">
        <v>37879</v>
      </c>
      <c r="G48" s="155">
        <f>IF(F48&lt;&gt;"",'CONCEPTOS Y PARAMETROS'!$M$2-YEAR(F48),"")</f>
        <v>22</v>
      </c>
      <c r="H48" s="158">
        <v>0</v>
      </c>
      <c r="I48" s="156" t="str">
        <f>IFERROR(VLOOKUP(J48,CARGOS!A:F,2,0),"")</f>
        <v>12113</v>
      </c>
      <c r="J48" s="88" t="s">
        <v>326</v>
      </c>
      <c r="K48" s="142" t="s">
        <v>4937</v>
      </c>
      <c r="L48" s="251">
        <v>177</v>
      </c>
    </row>
    <row r="49" spans="2:12" ht="15.75" thickBot="1" x14ac:dyDescent="0.3">
      <c r="B49" s="149" t="s">
        <v>2846</v>
      </c>
      <c r="C49" s="148">
        <f t="shared" ca="1" si="2"/>
        <v>14</v>
      </c>
      <c r="D49" s="87">
        <v>9178087</v>
      </c>
      <c r="E49" s="159" t="s">
        <v>4701</v>
      </c>
      <c r="F49" s="252">
        <v>37622</v>
      </c>
      <c r="G49" s="155">
        <f>IF(F49&lt;&gt;"",'CONCEPTOS Y PARAMETROS'!$M$2-YEAR(F49),"")</f>
        <v>22</v>
      </c>
      <c r="H49" s="158">
        <v>0</v>
      </c>
      <c r="I49" s="156" t="str">
        <f>IFERROR(VLOOKUP(J49,CARGOS!A:F,2,0),"")</f>
        <v>12113</v>
      </c>
      <c r="J49" s="88" t="s">
        <v>326</v>
      </c>
      <c r="K49" s="142" t="s">
        <v>4937</v>
      </c>
      <c r="L49" s="251">
        <v>177</v>
      </c>
    </row>
    <row r="50" spans="2:12" ht="15.75" thickBot="1" x14ac:dyDescent="0.3">
      <c r="B50" s="149" t="s">
        <v>2846</v>
      </c>
      <c r="C50" s="148">
        <f t="shared" ca="1" si="2"/>
        <v>15</v>
      </c>
      <c r="D50" s="87">
        <v>9179981</v>
      </c>
      <c r="E50" s="215" t="s">
        <v>4702</v>
      </c>
      <c r="F50" s="252">
        <v>42948</v>
      </c>
      <c r="G50" s="155">
        <f>IF(F50&lt;&gt;"",'CONCEPTOS Y PARAMETROS'!$M$2-YEAR(F50),"")</f>
        <v>8</v>
      </c>
      <c r="H50" s="158">
        <v>11</v>
      </c>
      <c r="I50" s="156" t="str">
        <f>IFERROR(VLOOKUP(J50,CARGOS!A:F,2,0),"")</f>
        <v>79511</v>
      </c>
      <c r="J50" s="88" t="s">
        <v>1162</v>
      </c>
      <c r="K50" s="142" t="s">
        <v>4936</v>
      </c>
      <c r="L50" s="251">
        <v>226</v>
      </c>
    </row>
    <row r="51" spans="2:12" ht="15.75" thickBot="1" x14ac:dyDescent="0.3">
      <c r="B51" s="149" t="s">
        <v>2846</v>
      </c>
      <c r="C51" s="148">
        <f t="shared" ca="1" si="2"/>
        <v>16</v>
      </c>
      <c r="D51" s="87">
        <v>9315117</v>
      </c>
      <c r="E51" s="159" t="s">
        <v>4703</v>
      </c>
      <c r="F51" s="252">
        <v>38412</v>
      </c>
      <c r="G51" s="155">
        <f>IF(F51&lt;&gt;"",'CONCEPTOS Y PARAMETROS'!$M$2-YEAR(F51),"")</f>
        <v>20</v>
      </c>
      <c r="H51" s="158">
        <v>0</v>
      </c>
      <c r="I51" s="156" t="str">
        <f>IFERROR(VLOOKUP(J51,CARGOS!A:F,2,0),"")</f>
        <v>15124</v>
      </c>
      <c r="J51" s="88" t="s">
        <v>210</v>
      </c>
      <c r="K51" s="142" t="s">
        <v>4935</v>
      </c>
      <c r="L51" s="251">
        <v>287</v>
      </c>
    </row>
    <row r="52" spans="2:12" ht="15.75" thickBot="1" x14ac:dyDescent="0.3">
      <c r="B52" s="149" t="s">
        <v>2846</v>
      </c>
      <c r="C52" s="148">
        <f t="shared" ca="1" si="2"/>
        <v>17</v>
      </c>
      <c r="D52" s="87">
        <v>9315325</v>
      </c>
      <c r="E52" s="159" t="s">
        <v>4704</v>
      </c>
      <c r="F52" s="252">
        <v>39678</v>
      </c>
      <c r="G52" s="155">
        <f>IF(F52&lt;&gt;"",'CONCEPTOS Y PARAMETROS'!$M$2-YEAR(F52),"")</f>
        <v>17</v>
      </c>
      <c r="H52" s="158">
        <v>2</v>
      </c>
      <c r="I52" s="156" t="str">
        <f>IFERROR(VLOOKUP(J52,CARGOS!A:F,2,0),"")</f>
        <v>12114</v>
      </c>
      <c r="J52" s="88" t="s">
        <v>328</v>
      </c>
      <c r="K52" s="142" t="s">
        <v>4936</v>
      </c>
      <c r="L52" s="251">
        <v>226</v>
      </c>
    </row>
    <row r="53" spans="2:12" ht="15.75" thickBot="1" x14ac:dyDescent="0.3">
      <c r="B53" s="149" t="s">
        <v>2846</v>
      </c>
      <c r="C53" s="148">
        <f t="shared" ca="1" si="2"/>
        <v>18</v>
      </c>
      <c r="D53" s="87">
        <v>9316224</v>
      </c>
      <c r="E53" s="159" t="s">
        <v>4705</v>
      </c>
      <c r="F53" s="252">
        <v>44317</v>
      </c>
      <c r="G53" s="155">
        <f>IF(F53&lt;&gt;"",'CONCEPTOS Y PARAMETROS'!$M$2-YEAR(F53),"")</f>
        <v>4</v>
      </c>
      <c r="H53" s="158">
        <v>0</v>
      </c>
      <c r="I53" s="156" t="str">
        <f>IFERROR(VLOOKUP(J53,CARGOS!A:F,2,0),"")</f>
        <v>79341</v>
      </c>
      <c r="J53" s="88" t="s">
        <v>2381</v>
      </c>
      <c r="K53" s="142" t="s">
        <v>4649</v>
      </c>
      <c r="L53" s="251">
        <v>192</v>
      </c>
    </row>
    <row r="54" spans="2:12" ht="15.75" thickBot="1" x14ac:dyDescent="0.3">
      <c r="B54" s="149" t="s">
        <v>2846</v>
      </c>
      <c r="C54" s="148">
        <f t="shared" ca="1" si="2"/>
        <v>19</v>
      </c>
      <c r="D54" s="87">
        <v>9321916</v>
      </c>
      <c r="E54" s="159" t="s">
        <v>4939</v>
      </c>
      <c r="F54" s="252">
        <v>37851</v>
      </c>
      <c r="G54" s="155">
        <f>IF(F54&lt;&gt;"",'CONCEPTOS Y PARAMETROS'!$M$2-YEAR(F54),"")</f>
        <v>22</v>
      </c>
      <c r="H54" s="158">
        <v>0</v>
      </c>
      <c r="I54" s="156" t="str">
        <f>IFERROR(VLOOKUP(J54,CARGOS!A:F,2,0),"")</f>
        <v>79512</v>
      </c>
      <c r="J54" s="88" t="s">
        <v>1164</v>
      </c>
      <c r="K54" s="142" t="s">
        <v>4937</v>
      </c>
      <c r="L54" s="251">
        <v>177</v>
      </c>
    </row>
    <row r="55" spans="2:12" ht="15.75" thickBot="1" x14ac:dyDescent="0.3">
      <c r="B55" s="149" t="s">
        <v>2846</v>
      </c>
      <c r="C55" s="148">
        <f t="shared" ca="1" si="2"/>
        <v>20</v>
      </c>
      <c r="D55" s="87">
        <v>9323927</v>
      </c>
      <c r="E55" s="159" t="s">
        <v>4706</v>
      </c>
      <c r="F55" s="252">
        <v>35704</v>
      </c>
      <c r="G55" s="155">
        <f>IF(F55&lt;&gt;"",'CONCEPTOS Y PARAMETROS'!$M$2-YEAR(F55),"")</f>
        <v>28</v>
      </c>
      <c r="H55" s="158">
        <v>0</v>
      </c>
      <c r="I55" s="156" t="str">
        <f>IFERROR(VLOOKUP(J55,CARGOS!A:F,2,0),"")</f>
        <v>79512</v>
      </c>
      <c r="J55" s="88" t="s">
        <v>1164</v>
      </c>
      <c r="K55" s="142" t="s">
        <v>4937</v>
      </c>
      <c r="L55" s="251">
        <v>177</v>
      </c>
    </row>
    <row r="56" spans="2:12" ht="15.75" thickBot="1" x14ac:dyDescent="0.3">
      <c r="B56" s="149" t="s">
        <v>2846</v>
      </c>
      <c r="C56" s="148">
        <f t="shared" ca="1" si="2"/>
        <v>21</v>
      </c>
      <c r="D56" s="87">
        <v>9327253</v>
      </c>
      <c r="E56" s="159" t="s">
        <v>4707</v>
      </c>
      <c r="F56" s="252">
        <v>38930</v>
      </c>
      <c r="G56" s="155">
        <f>IF(F56&lt;&gt;"",'CONCEPTOS Y PARAMETROS'!$M$2-YEAR(F56),"")</f>
        <v>19</v>
      </c>
      <c r="H56" s="158">
        <v>0</v>
      </c>
      <c r="I56" s="156" t="str">
        <f>IFERROR(VLOOKUP(J56,CARGOS!A:F,2,0),"")</f>
        <v>13413</v>
      </c>
      <c r="J56" s="88" t="s">
        <v>220</v>
      </c>
      <c r="K56" s="142" t="s">
        <v>4940</v>
      </c>
      <c r="L56" s="251">
        <v>285</v>
      </c>
    </row>
    <row r="57" spans="2:12" ht="15.75" thickBot="1" x14ac:dyDescent="0.3">
      <c r="B57" s="149" t="s">
        <v>2846</v>
      </c>
      <c r="C57" s="148">
        <f t="shared" ca="1" si="2"/>
        <v>22</v>
      </c>
      <c r="D57" s="87">
        <v>9328157</v>
      </c>
      <c r="E57" s="159" t="s">
        <v>4708</v>
      </c>
      <c r="F57" s="252">
        <v>41153</v>
      </c>
      <c r="G57" s="155">
        <f>IF(F57&lt;&gt;"",'CONCEPTOS Y PARAMETROS'!$M$2-YEAR(F57),"")</f>
        <v>13</v>
      </c>
      <c r="H57" s="158">
        <v>0</v>
      </c>
      <c r="I57" s="156" t="str">
        <f>IFERROR(VLOOKUP(J57,CARGOS!A:F,2,0),"")</f>
        <v>79512</v>
      </c>
      <c r="J57" s="88" t="s">
        <v>1164</v>
      </c>
      <c r="K57" s="142" t="s">
        <v>4644</v>
      </c>
      <c r="L57" s="251">
        <v>172</v>
      </c>
    </row>
    <row r="58" spans="2:12" ht="15.75" thickBot="1" x14ac:dyDescent="0.3">
      <c r="B58" s="149" t="s">
        <v>2846</v>
      </c>
      <c r="C58" s="148">
        <f t="shared" ca="1" si="2"/>
        <v>23</v>
      </c>
      <c r="D58" s="87">
        <v>9328224</v>
      </c>
      <c r="E58" s="215" t="s">
        <v>4709</v>
      </c>
      <c r="F58" s="252">
        <v>39356</v>
      </c>
      <c r="G58" s="155">
        <f>IF(F58&lt;&gt;"",'CONCEPTOS Y PARAMETROS'!$M$2-YEAR(F58),"")</f>
        <v>18</v>
      </c>
      <c r="H58" s="158">
        <v>2</v>
      </c>
      <c r="I58" s="156" t="str">
        <f>IFERROR(VLOOKUP(J58,CARGOS!A:F,2,0),"")</f>
        <v>41113</v>
      </c>
      <c r="J58" s="88" t="s">
        <v>2251</v>
      </c>
      <c r="K58" s="142" t="s">
        <v>4941</v>
      </c>
      <c r="L58" s="251">
        <v>228</v>
      </c>
    </row>
    <row r="59" spans="2:12" ht="15.75" thickBot="1" x14ac:dyDescent="0.3">
      <c r="B59" s="149" t="s">
        <v>2846</v>
      </c>
      <c r="C59" s="148">
        <f t="shared" ca="1" si="2"/>
        <v>24</v>
      </c>
      <c r="D59" s="87">
        <v>9496860</v>
      </c>
      <c r="E59" s="215" t="s">
        <v>4710</v>
      </c>
      <c r="F59" s="252">
        <v>43877</v>
      </c>
      <c r="G59" s="155">
        <f>IF(F59&lt;&gt;"",'CONCEPTOS Y PARAMETROS'!$M$2-YEAR(F59),"")</f>
        <v>5</v>
      </c>
      <c r="H59" s="158">
        <v>9</v>
      </c>
      <c r="I59" s="156" t="str">
        <f>IFERROR(VLOOKUP(J59,CARGOS!A:F,2,0),"")</f>
        <v>21211</v>
      </c>
      <c r="J59" s="88" t="s">
        <v>509</v>
      </c>
      <c r="K59" s="142" t="s">
        <v>4942</v>
      </c>
      <c r="L59" s="251">
        <v>283</v>
      </c>
    </row>
    <row r="60" spans="2:12" ht="15.75" thickBot="1" x14ac:dyDescent="0.3">
      <c r="B60" s="149" t="s">
        <v>2846</v>
      </c>
      <c r="C60" s="148">
        <f t="shared" ca="1" si="2"/>
        <v>25</v>
      </c>
      <c r="D60" s="87">
        <v>9497151</v>
      </c>
      <c r="E60" s="215" t="s">
        <v>4711</v>
      </c>
      <c r="F60" s="252">
        <v>36770</v>
      </c>
      <c r="G60" s="155">
        <f>IF(F60&lt;&gt;"",'CONCEPTOS Y PARAMETROS'!$M$2-YEAR(F60),"")</f>
        <v>25</v>
      </c>
      <c r="H60" s="158">
        <v>0</v>
      </c>
      <c r="I60" s="156" t="str">
        <f>IFERROR(VLOOKUP(J60,CARGOS!A:F,2,0),"")</f>
        <v>46612</v>
      </c>
      <c r="J60" s="88" t="s">
        <v>1284</v>
      </c>
      <c r="K60" s="142" t="s">
        <v>4935</v>
      </c>
      <c r="L60" s="251">
        <v>287</v>
      </c>
    </row>
    <row r="61" spans="2:12" ht="15.75" thickBot="1" x14ac:dyDescent="0.3">
      <c r="B61" s="149" t="s">
        <v>2846</v>
      </c>
      <c r="C61" s="148">
        <f t="shared" ca="1" si="2"/>
        <v>26</v>
      </c>
      <c r="D61" s="87">
        <v>10033119</v>
      </c>
      <c r="E61" s="159" t="s">
        <v>4712</v>
      </c>
      <c r="F61" s="252">
        <v>43359</v>
      </c>
      <c r="G61" s="155">
        <f>IF(F61&lt;&gt;"",'CONCEPTOS Y PARAMETROS'!$M$2-YEAR(F61),"")</f>
        <v>7</v>
      </c>
      <c r="H61" s="158">
        <v>0</v>
      </c>
      <c r="I61" s="156" t="str">
        <f>IFERROR(VLOOKUP(J61,CARGOS!A:F,2,0),"")</f>
        <v>79521</v>
      </c>
      <c r="J61" s="88" t="s">
        <v>2469</v>
      </c>
      <c r="K61" s="142" t="s">
        <v>4648</v>
      </c>
      <c r="L61" s="251">
        <v>277</v>
      </c>
    </row>
    <row r="62" spans="2:12" ht="15.75" thickBot="1" x14ac:dyDescent="0.3">
      <c r="B62" s="149" t="s">
        <v>2846</v>
      </c>
      <c r="C62" s="148">
        <f t="shared" ca="1" si="2"/>
        <v>27</v>
      </c>
      <c r="D62" s="87">
        <v>10035540</v>
      </c>
      <c r="E62" s="159" t="s">
        <v>4713</v>
      </c>
      <c r="F62" s="252">
        <v>43236</v>
      </c>
      <c r="G62" s="155">
        <f>IF(F62&lt;&gt;"",'CONCEPTOS Y PARAMETROS'!$M$2-YEAR(F62),"")</f>
        <v>7</v>
      </c>
      <c r="H62" s="158">
        <v>0</v>
      </c>
      <c r="I62" s="156" t="str">
        <f>IFERROR(VLOOKUP(J62,CARGOS!A:F,2,0),"")</f>
        <v>79341</v>
      </c>
      <c r="J62" s="88" t="s">
        <v>2381</v>
      </c>
      <c r="K62" s="142" t="s">
        <v>4647</v>
      </c>
      <c r="L62" s="251">
        <v>219</v>
      </c>
    </row>
    <row r="63" spans="2:12" ht="15.75" thickBot="1" x14ac:dyDescent="0.3">
      <c r="B63" s="149" t="s">
        <v>2846</v>
      </c>
      <c r="C63" s="148">
        <f t="shared" ca="1" si="2"/>
        <v>28</v>
      </c>
      <c r="D63" s="87">
        <v>10037054</v>
      </c>
      <c r="E63" s="159" t="s">
        <v>4714</v>
      </c>
      <c r="F63" s="252">
        <v>39820</v>
      </c>
      <c r="G63" s="155">
        <f>IF(F63&lt;&gt;"",'CONCEPTOS Y PARAMETROS'!$M$2-YEAR(F63),"")</f>
        <v>16</v>
      </c>
      <c r="H63" s="158">
        <v>0</v>
      </c>
      <c r="I63" s="156" t="str">
        <f>IFERROR(VLOOKUP(J63,CARGOS!A:F,2,0),"")</f>
        <v>79512</v>
      </c>
      <c r="J63" s="88" t="s">
        <v>1164</v>
      </c>
      <c r="K63" s="142" t="s">
        <v>4943</v>
      </c>
      <c r="L63" s="251">
        <v>174</v>
      </c>
    </row>
    <row r="64" spans="2:12" ht="15.75" thickBot="1" x14ac:dyDescent="0.3">
      <c r="B64" s="149" t="s">
        <v>2846</v>
      </c>
      <c r="C64" s="148">
        <f t="shared" ca="1" si="2"/>
        <v>29</v>
      </c>
      <c r="D64" s="87">
        <v>10175616</v>
      </c>
      <c r="E64" s="215" t="s">
        <v>4715</v>
      </c>
      <c r="F64" s="216">
        <v>44228</v>
      </c>
      <c r="G64" s="155">
        <f>IF(F64&lt;&gt;"",'CONCEPTOS Y PARAMETROS'!$M$2-YEAR(F64),"")</f>
        <v>4</v>
      </c>
      <c r="H64" s="158">
        <v>0</v>
      </c>
      <c r="I64" s="156" t="str">
        <f>IFERROR(VLOOKUP(J64,CARGOS!A:F,2,0),"")</f>
        <v>75141</v>
      </c>
      <c r="J64" s="88" t="s">
        <v>1716</v>
      </c>
      <c r="K64" s="142" t="s">
        <v>4944</v>
      </c>
      <c r="L64" s="251">
        <v>305</v>
      </c>
    </row>
    <row r="65" spans="2:12" ht="15.75" thickBot="1" x14ac:dyDescent="0.3">
      <c r="B65" s="149" t="s">
        <v>2846</v>
      </c>
      <c r="C65" s="148">
        <f t="shared" ca="1" si="2"/>
        <v>30</v>
      </c>
      <c r="D65" s="87">
        <v>10257016</v>
      </c>
      <c r="E65" s="159" t="s">
        <v>4716</v>
      </c>
      <c r="F65" s="252">
        <v>35947</v>
      </c>
      <c r="G65" s="155">
        <f>IF(F65&lt;&gt;"",'CONCEPTOS Y PARAMETROS'!$M$2-YEAR(F65),"")</f>
        <v>27</v>
      </c>
      <c r="H65" s="158">
        <v>0</v>
      </c>
      <c r="I65" s="156" t="str">
        <f>IFERROR(VLOOKUP(J65,CARGOS!A:F,2,0),"")</f>
        <v>79522</v>
      </c>
      <c r="J65" s="88" t="s">
        <v>2471</v>
      </c>
      <c r="K65" s="142" t="s">
        <v>4935</v>
      </c>
      <c r="L65" s="251">
        <v>287</v>
      </c>
    </row>
    <row r="66" spans="2:12" ht="15.75" thickBot="1" x14ac:dyDescent="0.3">
      <c r="B66" s="149" t="s">
        <v>2846</v>
      </c>
      <c r="C66" s="148">
        <f t="shared" ca="1" si="2"/>
        <v>31</v>
      </c>
      <c r="D66" s="87">
        <v>10315803</v>
      </c>
      <c r="E66" s="159" t="s">
        <v>4717</v>
      </c>
      <c r="F66" s="252">
        <v>35415</v>
      </c>
      <c r="G66" s="155">
        <f>IF(F66&lt;&gt;"",'CONCEPTOS Y PARAMETROS'!$M$2-YEAR(F66),"")</f>
        <v>29</v>
      </c>
      <c r="H66" s="158">
        <v>0</v>
      </c>
      <c r="I66" s="156" t="str">
        <f>IFERROR(VLOOKUP(J66,CARGOS!A:F,2,0),"")</f>
        <v>79512</v>
      </c>
      <c r="J66" s="88" t="s">
        <v>1164</v>
      </c>
      <c r="K66" s="142" t="s">
        <v>4937</v>
      </c>
      <c r="L66" s="251">
        <v>177</v>
      </c>
    </row>
    <row r="67" spans="2:12" ht="15.75" thickBot="1" x14ac:dyDescent="0.3">
      <c r="B67" s="149" t="s">
        <v>2846</v>
      </c>
      <c r="C67" s="148">
        <f t="shared" ca="1" si="2"/>
        <v>32</v>
      </c>
      <c r="D67" s="87">
        <v>10319457</v>
      </c>
      <c r="E67" s="159" t="s">
        <v>4718</v>
      </c>
      <c r="F67" s="252">
        <v>38831</v>
      </c>
      <c r="G67" s="155">
        <f>IF(F67&lt;&gt;"",'CONCEPTOS Y PARAMETROS'!$M$2-YEAR(F67),"")</f>
        <v>19</v>
      </c>
      <c r="H67" s="158">
        <v>0</v>
      </c>
      <c r="I67" s="156" t="str">
        <f>IFERROR(VLOOKUP(J67,CARGOS!A:F,2,0),"")</f>
        <v>24341</v>
      </c>
      <c r="J67" s="88" t="s">
        <v>2084</v>
      </c>
      <c r="K67" s="142" t="s">
        <v>4934</v>
      </c>
      <c r="L67" s="251">
        <v>176</v>
      </c>
    </row>
    <row r="68" spans="2:12" ht="15.75" thickBot="1" x14ac:dyDescent="0.3">
      <c r="B68" s="149" t="s">
        <v>2846</v>
      </c>
      <c r="C68" s="148">
        <f t="shared" ca="1" si="2"/>
        <v>33</v>
      </c>
      <c r="D68" s="87">
        <v>10396379</v>
      </c>
      <c r="E68" s="159" t="s">
        <v>4719</v>
      </c>
      <c r="F68" s="252">
        <v>44743</v>
      </c>
      <c r="G68" s="155">
        <f>IF(F68&lt;&gt;"",'CONCEPTOS Y PARAMETROS'!$M$2-YEAR(F68),"")</f>
        <v>3</v>
      </c>
      <c r="H68" s="158">
        <v>0</v>
      </c>
      <c r="I68" s="156" t="str">
        <f>IFERROR(VLOOKUP(J68,CARGOS!A:F,2,0),"")</f>
        <v>34231</v>
      </c>
      <c r="J68" s="88" t="s">
        <v>976</v>
      </c>
      <c r="K68" s="142" t="s">
        <v>4650</v>
      </c>
      <c r="L68" s="251">
        <v>130</v>
      </c>
    </row>
    <row r="69" spans="2:12" ht="15.75" thickBot="1" x14ac:dyDescent="0.3">
      <c r="B69" s="149" t="s">
        <v>2846</v>
      </c>
      <c r="C69" s="148">
        <f t="shared" ca="1" si="2"/>
        <v>34</v>
      </c>
      <c r="D69" s="87">
        <v>10397099</v>
      </c>
      <c r="E69" s="159" t="s">
        <v>4720</v>
      </c>
      <c r="F69" s="252">
        <v>38596</v>
      </c>
      <c r="G69" s="155">
        <f>IF(F69&lt;&gt;"",'CONCEPTOS Y PARAMETROS'!$M$2-YEAR(F69),"")</f>
        <v>20</v>
      </c>
      <c r="H69" s="158">
        <v>0</v>
      </c>
      <c r="I69" s="156" t="str">
        <f>IFERROR(VLOOKUP(J69,CARGOS!A:F,2,0),"")</f>
        <v>13364</v>
      </c>
      <c r="J69" s="88" t="s">
        <v>1932</v>
      </c>
      <c r="K69" s="142" t="s">
        <v>4935</v>
      </c>
      <c r="L69" s="251">
        <v>287</v>
      </c>
    </row>
    <row r="70" spans="2:12" ht="15.75" thickBot="1" x14ac:dyDescent="0.3">
      <c r="B70" s="149" t="s">
        <v>2846</v>
      </c>
      <c r="C70" s="148">
        <f t="shared" ca="1" si="2"/>
        <v>35</v>
      </c>
      <c r="D70" s="87">
        <v>10398694</v>
      </c>
      <c r="E70" s="159" t="s">
        <v>4721</v>
      </c>
      <c r="F70" s="252">
        <v>44743</v>
      </c>
      <c r="G70" s="155">
        <f>IF(F70&lt;&gt;"",'CONCEPTOS Y PARAMETROS'!$M$2-YEAR(F70),"")</f>
        <v>3</v>
      </c>
      <c r="H70" s="158">
        <v>20</v>
      </c>
      <c r="I70" s="156" t="str">
        <f>IFERROR(VLOOKUP(J70,CARGOS!A:F,2,0),"")</f>
        <v>79511</v>
      </c>
      <c r="J70" s="88" t="s">
        <v>1162</v>
      </c>
      <c r="K70" s="142" t="s">
        <v>4941</v>
      </c>
      <c r="L70" s="251">
        <v>228</v>
      </c>
    </row>
    <row r="71" spans="2:12" ht="15.75" thickBot="1" x14ac:dyDescent="0.3">
      <c r="B71" s="149" t="s">
        <v>2846</v>
      </c>
      <c r="C71" s="148">
        <f t="shared" ca="1" si="2"/>
        <v>36</v>
      </c>
      <c r="D71" s="87">
        <v>10399064</v>
      </c>
      <c r="E71" s="159" t="s">
        <v>4722</v>
      </c>
      <c r="F71" s="252">
        <v>39328</v>
      </c>
      <c r="G71" s="155">
        <f>IF(F71&lt;&gt;"",'CONCEPTOS Y PARAMETROS'!$M$2-YEAR(F71),"")</f>
        <v>18</v>
      </c>
      <c r="H71" s="158">
        <v>0</v>
      </c>
      <c r="I71" s="156" t="str">
        <f>IFERROR(VLOOKUP(J71,CARGOS!A:F,2,0),"")</f>
        <v>79512</v>
      </c>
      <c r="J71" s="88" t="s">
        <v>1164</v>
      </c>
      <c r="K71" s="142" t="s">
        <v>4936</v>
      </c>
      <c r="L71" s="251">
        <v>226</v>
      </c>
    </row>
    <row r="72" spans="2:12" ht="15.75" thickBot="1" x14ac:dyDescent="0.3">
      <c r="B72" s="149" t="s">
        <v>2846</v>
      </c>
      <c r="C72" s="148">
        <f t="shared" ca="1" si="2"/>
        <v>37</v>
      </c>
      <c r="D72" s="87">
        <v>10400214</v>
      </c>
      <c r="E72" s="159" t="s">
        <v>4723</v>
      </c>
      <c r="F72" s="252">
        <v>41153</v>
      </c>
      <c r="G72" s="155">
        <f>IF(F72&lt;&gt;"",'CONCEPTOS Y PARAMETROS'!$M$2-YEAR(F72),"")</f>
        <v>13</v>
      </c>
      <c r="H72" s="158">
        <v>0</v>
      </c>
      <c r="I72" s="156" t="str">
        <f>IFERROR(VLOOKUP(J72,CARGOS!A:F,2,0),"")</f>
        <v>79512</v>
      </c>
      <c r="J72" s="88" t="s">
        <v>1164</v>
      </c>
      <c r="K72" s="142" t="s">
        <v>4645</v>
      </c>
      <c r="L72" s="251">
        <v>223</v>
      </c>
    </row>
    <row r="73" spans="2:12" ht="15.75" thickBot="1" x14ac:dyDescent="0.3">
      <c r="B73" s="149" t="s">
        <v>2846</v>
      </c>
      <c r="C73" s="148">
        <f t="shared" ca="1" si="2"/>
        <v>38</v>
      </c>
      <c r="D73" s="87">
        <v>10400365</v>
      </c>
      <c r="E73" s="215" t="s">
        <v>4724</v>
      </c>
      <c r="F73" s="252">
        <v>39328</v>
      </c>
      <c r="G73" s="155">
        <f>IF(F73&lt;&gt;"",'CONCEPTOS Y PARAMETROS'!$M$2-YEAR(F73),"")</f>
        <v>18</v>
      </c>
      <c r="H73" s="158">
        <v>0</v>
      </c>
      <c r="I73" s="156" t="str">
        <f>IFERROR(VLOOKUP(J73,CARGOS!A:F,2,0),"")</f>
        <v>22414</v>
      </c>
      <c r="J73" s="88" t="s">
        <v>2188</v>
      </c>
      <c r="K73" s="142" t="s">
        <v>4936</v>
      </c>
      <c r="L73" s="251">
        <v>226</v>
      </c>
    </row>
    <row r="74" spans="2:12" ht="15.75" thickBot="1" x14ac:dyDescent="0.3">
      <c r="B74" s="149" t="s">
        <v>2846</v>
      </c>
      <c r="C74" s="148">
        <f t="shared" ca="1" si="2"/>
        <v>39</v>
      </c>
      <c r="D74" s="87">
        <v>10400422</v>
      </c>
      <c r="E74" s="215" t="s">
        <v>4725</v>
      </c>
      <c r="F74" s="252">
        <v>44713</v>
      </c>
      <c r="G74" s="155">
        <f>IF(F74&lt;&gt;"",'CONCEPTOS Y PARAMETROS'!$M$2-YEAR(F74),"")</f>
        <v>3</v>
      </c>
      <c r="H74" s="158">
        <v>0</v>
      </c>
      <c r="I74" s="156" t="str">
        <f>IFERROR(VLOOKUP(J74,CARGOS!A:F,2,0),"")</f>
        <v>79511</v>
      </c>
      <c r="J74" s="88" t="s">
        <v>1162</v>
      </c>
      <c r="K74" s="142" t="s">
        <v>4649</v>
      </c>
      <c r="L74" s="251">
        <v>192</v>
      </c>
    </row>
    <row r="75" spans="2:12" ht="15.75" thickBot="1" x14ac:dyDescent="0.3">
      <c r="B75" s="149" t="s">
        <v>2846</v>
      </c>
      <c r="C75" s="148">
        <f t="shared" ca="1" si="2"/>
        <v>40</v>
      </c>
      <c r="D75" s="87">
        <v>10400876</v>
      </c>
      <c r="E75" s="159" t="s">
        <v>4726</v>
      </c>
      <c r="F75" s="252">
        <v>43556</v>
      </c>
      <c r="G75" s="155">
        <f>IF(F75&lt;&gt;"",'CONCEPTOS Y PARAMETROS'!$M$2-YEAR(F75),"")</f>
        <v>6</v>
      </c>
      <c r="H75" s="158">
        <v>10</v>
      </c>
      <c r="I75" s="156" t="str">
        <f>IFERROR(VLOOKUP(J75,CARGOS!A:F,2,0),"")</f>
        <v>23451</v>
      </c>
      <c r="J75" s="88" t="s">
        <v>226</v>
      </c>
      <c r="K75" s="142" t="s">
        <v>4945</v>
      </c>
      <c r="L75" s="251">
        <v>225</v>
      </c>
    </row>
    <row r="76" spans="2:12" ht="15.75" thickBot="1" x14ac:dyDescent="0.3">
      <c r="B76" s="149" t="s">
        <v>2846</v>
      </c>
      <c r="C76" s="148">
        <f t="shared" ca="1" si="2"/>
        <v>41</v>
      </c>
      <c r="D76" s="87">
        <v>10906923</v>
      </c>
      <c r="E76" s="159" t="s">
        <v>4727</v>
      </c>
      <c r="F76" s="252">
        <v>44636</v>
      </c>
      <c r="G76" s="155">
        <f>IF(F76&lt;&gt;"",'CONCEPTOS Y PARAMETROS'!$M$2-YEAR(F76),"")</f>
        <v>3</v>
      </c>
      <c r="H76" s="158">
        <v>0</v>
      </c>
      <c r="I76" s="156" t="str">
        <f>IFERROR(VLOOKUP(J76,CARGOS!A:F,2,0),"")</f>
        <v>79511</v>
      </c>
      <c r="J76" s="88" t="s">
        <v>1162</v>
      </c>
      <c r="K76" s="142" t="s">
        <v>4649</v>
      </c>
      <c r="L76" s="251">
        <v>192</v>
      </c>
    </row>
    <row r="77" spans="2:12" ht="15.75" thickBot="1" x14ac:dyDescent="0.3">
      <c r="B77" s="149" t="s">
        <v>2846</v>
      </c>
      <c r="C77" s="148">
        <f t="shared" ca="1" si="2"/>
        <v>42</v>
      </c>
      <c r="D77" s="87">
        <v>10908510</v>
      </c>
      <c r="E77" s="159" t="s">
        <v>4728</v>
      </c>
      <c r="F77" s="252">
        <v>39874</v>
      </c>
      <c r="G77" s="155">
        <f>IF(F77&lt;&gt;"",'CONCEPTOS Y PARAMETROS'!$M$2-YEAR(F77),"")</f>
        <v>16</v>
      </c>
      <c r="H77" s="158">
        <v>6</v>
      </c>
      <c r="I77" s="156" t="str">
        <f>IFERROR(VLOOKUP(J77,CARGOS!A:F,2,0),"")</f>
        <v>79532</v>
      </c>
      <c r="J77" s="88" t="s">
        <v>1558</v>
      </c>
      <c r="K77" s="142" t="s">
        <v>4935</v>
      </c>
      <c r="L77" s="251">
        <v>287</v>
      </c>
    </row>
    <row r="78" spans="2:12" ht="15.75" thickBot="1" x14ac:dyDescent="0.3">
      <c r="B78" s="149" t="s">
        <v>2846</v>
      </c>
      <c r="C78" s="148">
        <f t="shared" ca="1" si="2"/>
        <v>43</v>
      </c>
      <c r="D78" s="87">
        <v>10909245</v>
      </c>
      <c r="E78" s="215" t="s">
        <v>4729</v>
      </c>
      <c r="F78" s="252">
        <v>36054</v>
      </c>
      <c r="G78" s="155">
        <f>IF(F78&lt;&gt;"",'CONCEPTOS Y PARAMETROS'!$M$2-YEAR(F78),"")</f>
        <v>27</v>
      </c>
      <c r="H78" s="158">
        <v>0</v>
      </c>
      <c r="I78" s="156" t="str">
        <f>IFERROR(VLOOKUP(J78,CARGOS!A:F,2,0),"")</f>
        <v>79512</v>
      </c>
      <c r="J78" s="88" t="s">
        <v>1164</v>
      </c>
      <c r="K78" s="142" t="s">
        <v>4941</v>
      </c>
      <c r="L78" s="251">
        <v>228</v>
      </c>
    </row>
    <row r="79" spans="2:12" ht="15.75" thickBot="1" x14ac:dyDescent="0.3">
      <c r="B79" s="149" t="s">
        <v>2846</v>
      </c>
      <c r="C79" s="148">
        <f t="shared" ca="1" si="2"/>
        <v>44</v>
      </c>
      <c r="D79" s="87">
        <v>10910698</v>
      </c>
      <c r="E79" s="159" t="s">
        <v>4730</v>
      </c>
      <c r="F79" s="252">
        <v>43891</v>
      </c>
      <c r="G79" s="155">
        <f>IF(F79&lt;&gt;"",'CONCEPTOS Y PARAMETROS'!$M$2-YEAR(F79),"")</f>
        <v>5</v>
      </c>
      <c r="H79" s="158">
        <v>0</v>
      </c>
      <c r="I79" s="156" t="str">
        <f>IFERROR(VLOOKUP(J79,CARGOS!A:F,2,0),"")</f>
        <v>12111</v>
      </c>
      <c r="J79" s="88" t="s">
        <v>322</v>
      </c>
      <c r="K79" s="142" t="s">
        <v>4946</v>
      </c>
      <c r="L79" s="251">
        <v>150</v>
      </c>
    </row>
    <row r="80" spans="2:12" ht="15.75" thickBot="1" x14ac:dyDescent="0.3">
      <c r="B80" s="149" t="s">
        <v>2846</v>
      </c>
      <c r="C80" s="148">
        <f t="shared" ca="1" si="2"/>
        <v>45</v>
      </c>
      <c r="D80" s="87">
        <v>10912399</v>
      </c>
      <c r="E80" s="159" t="s">
        <v>4731</v>
      </c>
      <c r="F80" s="252">
        <v>44621</v>
      </c>
      <c r="G80" s="155">
        <f>IF(F80&lt;&gt;"",'CONCEPTOS Y PARAMETROS'!$M$2-YEAR(F80),"")</f>
        <v>3</v>
      </c>
      <c r="H80" s="158">
        <v>0</v>
      </c>
      <c r="I80" s="156" t="str">
        <f>IFERROR(VLOOKUP(J80,CARGOS!A:F,2,0),"")</f>
        <v>79511</v>
      </c>
      <c r="J80" s="88" t="s">
        <v>1162</v>
      </c>
      <c r="K80" s="142" t="s">
        <v>4650</v>
      </c>
      <c r="L80" s="251">
        <v>130</v>
      </c>
    </row>
    <row r="81" spans="2:12" ht="15.75" thickBot="1" x14ac:dyDescent="0.3">
      <c r="B81" s="149" t="s">
        <v>2846</v>
      </c>
      <c r="C81" s="148">
        <f t="shared" ca="1" si="2"/>
        <v>46</v>
      </c>
      <c r="D81" s="87">
        <v>10913637</v>
      </c>
      <c r="E81" s="159" t="s">
        <v>4732</v>
      </c>
      <c r="F81" s="252">
        <v>40664</v>
      </c>
      <c r="G81" s="155">
        <f>IF(F81&lt;&gt;"",'CONCEPTOS Y PARAMETROS'!$M$2-YEAR(F81),"")</f>
        <v>14</v>
      </c>
      <c r="H81" s="158">
        <v>0</v>
      </c>
      <c r="I81" s="156" t="str">
        <f>IFERROR(VLOOKUP(J81,CARGOS!A:F,2,0),"")</f>
        <v>79512</v>
      </c>
      <c r="J81" s="88" t="s">
        <v>1164</v>
      </c>
      <c r="K81" s="142" t="s">
        <v>4942</v>
      </c>
      <c r="L81" s="251">
        <v>283</v>
      </c>
    </row>
    <row r="82" spans="2:12" ht="15.75" thickBot="1" x14ac:dyDescent="0.3">
      <c r="B82" s="149" t="s">
        <v>2846</v>
      </c>
      <c r="C82" s="148">
        <f t="shared" ca="1" si="2"/>
        <v>47</v>
      </c>
      <c r="D82" s="87">
        <v>10913178</v>
      </c>
      <c r="E82" s="159" t="s">
        <v>4733</v>
      </c>
      <c r="F82" s="252">
        <v>44805</v>
      </c>
      <c r="G82" s="155">
        <f>IF(F82&lt;&gt;"",'CONCEPTOS Y PARAMETROS'!$M$2-YEAR(F82),"")</f>
        <v>3</v>
      </c>
      <c r="H82" s="158">
        <v>9</v>
      </c>
      <c r="I82" s="156" t="str">
        <f>IFERROR(VLOOKUP(J82,CARGOS!A:F,2,0),"")</f>
        <v>79330</v>
      </c>
      <c r="J82" s="88" t="s">
        <v>477</v>
      </c>
      <c r="K82" s="142" t="s">
        <v>4644</v>
      </c>
      <c r="L82" s="251">
        <v>172</v>
      </c>
    </row>
    <row r="83" spans="2:12" ht="15.75" thickBot="1" x14ac:dyDescent="0.3">
      <c r="B83" s="149" t="s">
        <v>2846</v>
      </c>
      <c r="C83" s="148">
        <f t="shared" ca="1" si="2"/>
        <v>48</v>
      </c>
      <c r="D83" s="87">
        <v>10915223</v>
      </c>
      <c r="E83" s="159" t="s">
        <v>4734</v>
      </c>
      <c r="F83" s="252">
        <v>35339</v>
      </c>
      <c r="G83" s="155">
        <f>IF(F83&lt;&gt;"",'CONCEPTOS Y PARAMETROS'!$M$2-YEAR(F83),"")</f>
        <v>29</v>
      </c>
      <c r="H83" s="158">
        <v>0</v>
      </c>
      <c r="I83" s="156" t="str">
        <f>IFERROR(VLOOKUP(J83,CARGOS!A:F,2,0),"")</f>
        <v>79523</v>
      </c>
      <c r="J83" s="88" t="s">
        <v>2473</v>
      </c>
      <c r="K83" s="142" t="s">
        <v>4947</v>
      </c>
      <c r="L83" s="251">
        <v>316</v>
      </c>
    </row>
    <row r="84" spans="2:12" ht="15.75" thickBot="1" x14ac:dyDescent="0.3">
      <c r="B84" s="149" t="s">
        <v>2846</v>
      </c>
      <c r="C84" s="148">
        <f t="shared" ca="1" si="2"/>
        <v>49</v>
      </c>
      <c r="D84" s="87">
        <v>10915384</v>
      </c>
      <c r="E84" s="159" t="s">
        <v>4735</v>
      </c>
      <c r="F84" s="252">
        <v>43147</v>
      </c>
      <c r="G84" s="155">
        <f>IF(F84&lt;&gt;"",'CONCEPTOS Y PARAMETROS'!$M$2-YEAR(F84),"")</f>
        <v>7</v>
      </c>
      <c r="H84" s="158">
        <v>0</v>
      </c>
      <c r="I84" s="156" t="str">
        <f>IFERROR(VLOOKUP(J84,CARGOS!A:F,2,0),"")</f>
        <v>79512</v>
      </c>
      <c r="J84" s="88" t="s">
        <v>1164</v>
      </c>
      <c r="K84" s="142" t="s">
        <v>4647</v>
      </c>
      <c r="L84" s="251">
        <v>219</v>
      </c>
    </row>
    <row r="85" spans="2:12" ht="15.75" thickBot="1" x14ac:dyDescent="0.3">
      <c r="B85" s="149" t="s">
        <v>2846</v>
      </c>
      <c r="C85" s="148">
        <f t="shared" ca="1" si="2"/>
        <v>50</v>
      </c>
      <c r="D85" s="87">
        <v>10915597</v>
      </c>
      <c r="E85" s="159" t="s">
        <v>4736</v>
      </c>
      <c r="F85" s="252">
        <v>44501</v>
      </c>
      <c r="G85" s="155">
        <f>IF(F85&lt;&gt;"",'CONCEPTOS Y PARAMETROS'!$M$2-YEAR(F85),"")</f>
        <v>4</v>
      </c>
      <c r="H85" s="158">
        <v>0</v>
      </c>
      <c r="I85" s="156" t="str">
        <f>IFERROR(VLOOKUP(J85,CARGOS!A:F,2,0),"")</f>
        <v>79511</v>
      </c>
      <c r="J85" s="88" t="s">
        <v>1162</v>
      </c>
      <c r="K85" s="142" t="s">
        <v>4649</v>
      </c>
      <c r="L85" s="251">
        <v>192</v>
      </c>
    </row>
    <row r="86" spans="2:12" ht="15.75" thickBot="1" x14ac:dyDescent="0.3">
      <c r="B86" s="149" t="s">
        <v>2846</v>
      </c>
      <c r="C86" s="148">
        <f t="shared" ca="1" si="2"/>
        <v>51</v>
      </c>
      <c r="D86" s="87">
        <v>10915883</v>
      </c>
      <c r="E86" s="215" t="s">
        <v>4737</v>
      </c>
      <c r="F86" s="252">
        <v>44332</v>
      </c>
      <c r="G86" s="155">
        <f>IF(F86&lt;&gt;"",'CONCEPTOS Y PARAMETROS'!$M$2-YEAR(F86),"")</f>
        <v>4</v>
      </c>
      <c r="H86" s="158">
        <v>0</v>
      </c>
      <c r="I86" s="156" t="str">
        <f>IFERROR(VLOOKUP(J86,CARGOS!A:F,2,0),"")</f>
        <v>79511</v>
      </c>
      <c r="J86" s="88" t="s">
        <v>1162</v>
      </c>
      <c r="K86" s="142" t="s">
        <v>4650</v>
      </c>
      <c r="L86" s="251">
        <v>130</v>
      </c>
    </row>
    <row r="87" spans="2:12" ht="15.75" thickBot="1" x14ac:dyDescent="0.3">
      <c r="B87" s="149" t="s">
        <v>2846</v>
      </c>
      <c r="C87" s="148">
        <f t="shared" ca="1" si="2"/>
        <v>52</v>
      </c>
      <c r="D87" s="87">
        <v>11132943</v>
      </c>
      <c r="E87" s="159" t="s">
        <v>4738</v>
      </c>
      <c r="F87" s="252">
        <v>39738</v>
      </c>
      <c r="G87" s="155">
        <f>IF(F87&lt;&gt;"",'CONCEPTOS Y PARAMETROS'!$M$2-YEAR(F87),"")</f>
        <v>17</v>
      </c>
      <c r="H87" s="158">
        <v>0</v>
      </c>
      <c r="I87" s="156" t="str">
        <f>IFERROR(VLOOKUP(J87,CARGOS!A:F,2,0),"")</f>
        <v>79512</v>
      </c>
      <c r="J87" s="88" t="s">
        <v>1164</v>
      </c>
      <c r="K87" s="142" t="s">
        <v>4934</v>
      </c>
      <c r="L87" s="251">
        <v>176</v>
      </c>
    </row>
    <row r="88" spans="2:12" ht="15.75" thickBot="1" x14ac:dyDescent="0.3">
      <c r="B88" s="149" t="s">
        <v>2846</v>
      </c>
      <c r="C88" s="148">
        <f t="shared" ca="1" si="2"/>
        <v>53</v>
      </c>
      <c r="D88" s="87">
        <v>11132979</v>
      </c>
      <c r="E88" s="159" t="s">
        <v>4739</v>
      </c>
      <c r="F88" s="252">
        <v>44348</v>
      </c>
      <c r="G88" s="155">
        <f>IF(F88&lt;&gt;"",'CONCEPTOS Y PARAMETROS'!$M$2-YEAR(F88),"")</f>
        <v>4</v>
      </c>
      <c r="H88" s="158">
        <v>12</v>
      </c>
      <c r="I88" s="156" t="str">
        <f>IFERROR(VLOOKUP(J88,CARGOS!A:F,2,0),"")</f>
        <v>79512</v>
      </c>
      <c r="J88" s="88" t="s">
        <v>1164</v>
      </c>
      <c r="K88" s="142" t="s">
        <v>4942</v>
      </c>
      <c r="L88" s="251">
        <v>283</v>
      </c>
    </row>
    <row r="89" spans="2:12" ht="15.75" thickBot="1" x14ac:dyDescent="0.3">
      <c r="B89" s="149" t="s">
        <v>2846</v>
      </c>
      <c r="C89" s="148">
        <f t="shared" ca="1" si="2"/>
        <v>54</v>
      </c>
      <c r="D89" s="87">
        <v>11257247</v>
      </c>
      <c r="E89" s="159" t="s">
        <v>4740</v>
      </c>
      <c r="F89" s="252">
        <v>42492</v>
      </c>
      <c r="G89" s="155">
        <f>IF(F89&lt;&gt;"",'CONCEPTOS Y PARAMETROS'!$M$2-YEAR(F89),"")</f>
        <v>9</v>
      </c>
      <c r="H89" s="158">
        <v>0</v>
      </c>
      <c r="I89" s="156" t="str">
        <f>IFERROR(VLOOKUP(J89,CARGOS!A:F,2,0),"")</f>
        <v>82112</v>
      </c>
      <c r="J89" s="88" t="s">
        <v>837</v>
      </c>
      <c r="K89" s="142" t="s">
        <v>4643</v>
      </c>
      <c r="L89" s="251">
        <v>279</v>
      </c>
    </row>
    <row r="90" spans="2:12" ht="15.75" thickBot="1" x14ac:dyDescent="0.3">
      <c r="B90" s="149" t="s">
        <v>2846</v>
      </c>
      <c r="C90" s="148">
        <f t="shared" ca="1" si="2"/>
        <v>55</v>
      </c>
      <c r="D90" s="87">
        <v>11318142</v>
      </c>
      <c r="E90" s="215" t="s">
        <v>4741</v>
      </c>
      <c r="F90" s="252">
        <v>43983</v>
      </c>
      <c r="G90" s="155">
        <f>IF(F90&lt;&gt;"",'CONCEPTOS Y PARAMETROS'!$M$2-YEAR(F90),"")</f>
        <v>5</v>
      </c>
      <c r="H90" s="158">
        <v>0</v>
      </c>
      <c r="I90" s="156" t="str">
        <f>IFERROR(VLOOKUP(J90,CARGOS!A:F,2,0),"")</f>
        <v>25211</v>
      </c>
      <c r="J90" s="88" t="s">
        <v>132</v>
      </c>
      <c r="K90" s="142" t="s">
        <v>4946</v>
      </c>
      <c r="L90" s="251">
        <v>150</v>
      </c>
    </row>
    <row r="91" spans="2:12" ht="15.75" thickBot="1" x14ac:dyDescent="0.3">
      <c r="B91" s="149" t="s">
        <v>2846</v>
      </c>
      <c r="C91" s="148">
        <f t="shared" ca="1" si="2"/>
        <v>56</v>
      </c>
      <c r="D91" s="87">
        <v>11318697</v>
      </c>
      <c r="E91" s="159" t="s">
        <v>4742</v>
      </c>
      <c r="F91" s="252">
        <v>39539</v>
      </c>
      <c r="G91" s="155">
        <f>IF(F91&lt;&gt;"",'CONCEPTOS Y PARAMETROS'!$M$2-YEAR(F91),"")</f>
        <v>17</v>
      </c>
      <c r="H91" s="158">
        <v>0</v>
      </c>
      <c r="I91" s="156" t="str">
        <f>IFERROR(VLOOKUP(J91,CARGOS!A:F,2,0),"")</f>
        <v>12113</v>
      </c>
      <c r="J91" s="88" t="s">
        <v>326</v>
      </c>
      <c r="K91" s="142" t="s">
        <v>4934</v>
      </c>
      <c r="L91" s="251">
        <v>176</v>
      </c>
    </row>
    <row r="92" spans="2:12" ht="15.75" thickBot="1" x14ac:dyDescent="0.3">
      <c r="B92" s="149" t="s">
        <v>2846</v>
      </c>
      <c r="C92" s="148">
        <f t="shared" ca="1" si="2"/>
        <v>57</v>
      </c>
      <c r="D92" s="87">
        <v>11319154</v>
      </c>
      <c r="E92" s="215" t="s">
        <v>4743</v>
      </c>
      <c r="F92" s="252">
        <v>34428</v>
      </c>
      <c r="G92" s="155">
        <f>IF(F92&lt;&gt;"",'CONCEPTOS Y PARAMETROS'!$M$2-YEAR(F92),"")</f>
        <v>31</v>
      </c>
      <c r="H92" s="158">
        <v>0</v>
      </c>
      <c r="I92" s="156" t="str">
        <f>IFERROR(VLOOKUP(J92,CARGOS!A:F,2,0),"")</f>
        <v>79512</v>
      </c>
      <c r="J92" s="88" t="s">
        <v>1164</v>
      </c>
      <c r="K92" s="142" t="s">
        <v>4947</v>
      </c>
      <c r="L92" s="251">
        <v>316</v>
      </c>
    </row>
    <row r="93" spans="2:12" ht="15.75" thickBot="1" x14ac:dyDescent="0.3">
      <c r="B93" s="149" t="s">
        <v>2846</v>
      </c>
      <c r="C93" s="148">
        <f t="shared" ca="1" si="2"/>
        <v>58</v>
      </c>
      <c r="D93" s="87">
        <v>11320533</v>
      </c>
      <c r="E93" s="159" t="s">
        <v>4744</v>
      </c>
      <c r="F93" s="252">
        <v>37629</v>
      </c>
      <c r="G93" s="155">
        <f>IF(F93&lt;&gt;"",'CONCEPTOS Y PARAMETROS'!$M$2-YEAR(F93),"")</f>
        <v>22</v>
      </c>
      <c r="H93" s="158">
        <v>0</v>
      </c>
      <c r="I93" s="156" t="str">
        <f>IFERROR(VLOOKUP(J93,CARGOS!A:F,2,0),"")</f>
        <v>12124</v>
      </c>
      <c r="J93" s="88" t="s">
        <v>79</v>
      </c>
      <c r="K93" s="142" t="s">
        <v>4935</v>
      </c>
      <c r="L93" s="251">
        <v>287</v>
      </c>
    </row>
    <row r="94" spans="2:12" ht="15.75" thickBot="1" x14ac:dyDescent="0.3">
      <c r="B94" s="149" t="s">
        <v>2846</v>
      </c>
      <c r="C94" s="148">
        <f t="shared" ca="1" si="2"/>
        <v>59</v>
      </c>
      <c r="D94" s="87">
        <v>11322871</v>
      </c>
      <c r="E94" s="159" t="s">
        <v>4745</v>
      </c>
      <c r="F94" s="252">
        <v>38718</v>
      </c>
      <c r="G94" s="155">
        <f>IF(F94&lt;&gt;"",'CONCEPTOS Y PARAMETROS'!$M$2-YEAR(F94),"")</f>
        <v>19</v>
      </c>
      <c r="H94" s="158">
        <v>0</v>
      </c>
      <c r="I94" s="156" t="str">
        <f>IFERROR(VLOOKUP(J94,CARGOS!A:F,2,0),"")</f>
        <v>79523</v>
      </c>
      <c r="J94" s="88" t="s">
        <v>2473</v>
      </c>
      <c r="K94" s="142" t="s">
        <v>4940</v>
      </c>
      <c r="L94" s="251">
        <v>285</v>
      </c>
    </row>
    <row r="95" spans="2:12" ht="15.75" thickBot="1" x14ac:dyDescent="0.3">
      <c r="B95" s="149" t="s">
        <v>2846</v>
      </c>
      <c r="C95" s="148">
        <f t="shared" ca="1" si="2"/>
        <v>60</v>
      </c>
      <c r="D95" s="87">
        <v>11612620</v>
      </c>
      <c r="E95" s="159" t="s">
        <v>4746</v>
      </c>
      <c r="F95" s="252">
        <v>43845</v>
      </c>
      <c r="G95" s="155">
        <f>IF(F95&lt;&gt;"",'CONCEPTOS Y PARAMETROS'!$M$2-YEAR(F95),"")</f>
        <v>5</v>
      </c>
      <c r="H95" s="158">
        <v>0</v>
      </c>
      <c r="I95" s="156" t="str">
        <f>IFERROR(VLOOKUP(J95,CARGOS!A:F,2,0),"")</f>
        <v>79511</v>
      </c>
      <c r="J95" s="88" t="s">
        <v>1162</v>
      </c>
      <c r="K95" s="142" t="s">
        <v>4647</v>
      </c>
      <c r="L95" s="251">
        <v>219</v>
      </c>
    </row>
    <row r="96" spans="2:12" ht="15.75" thickBot="1" x14ac:dyDescent="0.3">
      <c r="B96" s="149" t="s">
        <v>2846</v>
      </c>
      <c r="C96" s="148">
        <f t="shared" ca="1" si="2"/>
        <v>61</v>
      </c>
      <c r="D96" s="87">
        <v>11616673</v>
      </c>
      <c r="E96" s="159" t="s">
        <v>4747</v>
      </c>
      <c r="F96" s="252">
        <v>35066</v>
      </c>
      <c r="G96" s="155">
        <f>IF(F96&lt;&gt;"",'CONCEPTOS Y PARAMETROS'!$M$2-YEAR(F96),"")</f>
        <v>29</v>
      </c>
      <c r="H96" s="158">
        <v>0</v>
      </c>
      <c r="I96" s="156" t="str">
        <f>IFERROR(VLOOKUP(J96,CARGOS!A:F,2,0),"")</f>
        <v>79523</v>
      </c>
      <c r="J96" s="88" t="s">
        <v>2473</v>
      </c>
      <c r="K96" s="142" t="s">
        <v>4935</v>
      </c>
      <c r="L96" s="251">
        <v>287</v>
      </c>
    </row>
    <row r="97" spans="2:12" ht="15.75" thickBot="1" x14ac:dyDescent="0.3">
      <c r="B97" s="149" t="s">
        <v>2846</v>
      </c>
      <c r="C97" s="148">
        <f t="shared" ca="1" si="2"/>
        <v>62</v>
      </c>
      <c r="D97" s="87">
        <v>11734553</v>
      </c>
      <c r="E97" s="159" t="s">
        <v>4748</v>
      </c>
      <c r="F97" s="252">
        <v>43206</v>
      </c>
      <c r="G97" s="155">
        <f>IF(F97&lt;&gt;"",'CONCEPTOS Y PARAMETROS'!$M$2-YEAR(F97),"")</f>
        <v>7</v>
      </c>
      <c r="H97" s="158">
        <v>0</v>
      </c>
      <c r="I97" s="156" t="str">
        <f>IFERROR(VLOOKUP(J97,CARGOS!A:F,2,0),"")</f>
        <v>79521</v>
      </c>
      <c r="J97" s="88" t="s">
        <v>2469</v>
      </c>
      <c r="K97" s="142" t="s">
        <v>4948</v>
      </c>
      <c r="L97" s="251">
        <v>307</v>
      </c>
    </row>
    <row r="98" spans="2:12" ht="15.75" thickBot="1" x14ac:dyDescent="0.3">
      <c r="B98" s="149" t="s">
        <v>2846</v>
      </c>
      <c r="C98" s="148">
        <f t="shared" ca="1" si="2"/>
        <v>63</v>
      </c>
      <c r="D98" s="87">
        <v>11896941</v>
      </c>
      <c r="E98" s="159" t="s">
        <v>4749</v>
      </c>
      <c r="F98" s="252">
        <v>38698</v>
      </c>
      <c r="G98" s="155">
        <f>IF(F98&lt;&gt;"",'CONCEPTOS Y PARAMETROS'!$M$2-YEAR(F98),"")</f>
        <v>20</v>
      </c>
      <c r="H98" s="158">
        <v>0</v>
      </c>
      <c r="I98" s="156" t="str">
        <f>IFERROR(VLOOKUP(J98,CARGOS!A:F,2,0),"")</f>
        <v>13413</v>
      </c>
      <c r="J98" s="88" t="s">
        <v>220</v>
      </c>
      <c r="K98" s="142" t="s">
        <v>4935</v>
      </c>
      <c r="L98" s="251">
        <v>287</v>
      </c>
    </row>
    <row r="99" spans="2:12" ht="15.75" thickBot="1" x14ac:dyDescent="0.3">
      <c r="B99" s="149" t="s">
        <v>2846</v>
      </c>
      <c r="C99" s="148">
        <f t="shared" ca="1" si="2"/>
        <v>64</v>
      </c>
      <c r="D99" s="87">
        <v>11898486</v>
      </c>
      <c r="E99" s="159" t="s">
        <v>4750</v>
      </c>
      <c r="F99" s="252">
        <v>40065</v>
      </c>
      <c r="G99" s="155">
        <f>IF(F99&lt;&gt;"",'CONCEPTOS Y PARAMETROS'!$M$2-YEAR(F99),"")</f>
        <v>16</v>
      </c>
      <c r="H99" s="158">
        <v>0</v>
      </c>
      <c r="I99" s="156" t="str">
        <f>IFERROR(VLOOKUP(J99,CARGOS!A:F,2,0),"")</f>
        <v>12113</v>
      </c>
      <c r="J99" s="88" t="s">
        <v>326</v>
      </c>
      <c r="K99" s="142" t="s">
        <v>4945</v>
      </c>
      <c r="L99" s="251">
        <v>225</v>
      </c>
    </row>
    <row r="100" spans="2:12" ht="15.75" thickBot="1" x14ac:dyDescent="0.3">
      <c r="B100" s="149" t="s">
        <v>2846</v>
      </c>
      <c r="C100" s="148">
        <f t="shared" ca="1" si="2"/>
        <v>65</v>
      </c>
      <c r="D100" s="87">
        <v>12040792</v>
      </c>
      <c r="E100" s="159" t="s">
        <v>4751</v>
      </c>
      <c r="F100" s="252">
        <v>43236</v>
      </c>
      <c r="G100" s="155">
        <f>IF(F100&lt;&gt;"",'CONCEPTOS Y PARAMETROS'!$M$2-YEAR(F100),"")</f>
        <v>7</v>
      </c>
      <c r="H100" s="158">
        <v>0</v>
      </c>
      <c r="I100" s="156" t="str">
        <f>IFERROR(VLOOKUP(J100,CARGOS!A:F,2,0),"")</f>
        <v>22413</v>
      </c>
      <c r="J100" s="88" t="s">
        <v>2194</v>
      </c>
      <c r="K100" s="142" t="s">
        <v>4647</v>
      </c>
      <c r="L100" s="251">
        <v>219</v>
      </c>
    </row>
    <row r="101" spans="2:12" ht="15.75" thickBot="1" x14ac:dyDescent="0.3">
      <c r="B101" s="149" t="s">
        <v>2846</v>
      </c>
      <c r="C101" s="148">
        <f t="shared" ca="1" si="2"/>
        <v>66</v>
      </c>
      <c r="D101" s="87">
        <v>12041701</v>
      </c>
      <c r="E101" s="159" t="s">
        <v>4752</v>
      </c>
      <c r="F101" s="252">
        <v>43359</v>
      </c>
      <c r="G101" s="155">
        <f>IF(F101&lt;&gt;"",'CONCEPTOS Y PARAMETROS'!$M$2-YEAR(F101),"")</f>
        <v>7</v>
      </c>
      <c r="H101" s="158">
        <v>0</v>
      </c>
      <c r="I101" s="156" t="str">
        <f>IFERROR(VLOOKUP(J101,CARGOS!A:F,2,0),"")</f>
        <v>79511</v>
      </c>
      <c r="J101" s="88" t="s">
        <v>1162</v>
      </c>
      <c r="K101" s="142" t="s">
        <v>4946</v>
      </c>
      <c r="L101" s="251">
        <v>150</v>
      </c>
    </row>
    <row r="102" spans="2:12" ht="15.75" thickBot="1" x14ac:dyDescent="0.3">
      <c r="B102" s="149" t="s">
        <v>2846</v>
      </c>
      <c r="C102" s="148">
        <f t="shared" ca="1" si="2"/>
        <v>67</v>
      </c>
      <c r="D102" s="87">
        <v>12042855</v>
      </c>
      <c r="E102" s="215" t="s">
        <v>4753</v>
      </c>
      <c r="F102" s="216">
        <v>44028</v>
      </c>
      <c r="G102" s="155">
        <f>IF(F102&lt;&gt;"",'CONCEPTOS Y PARAMETROS'!$M$2-YEAR(F102),"")</f>
        <v>5</v>
      </c>
      <c r="H102" s="158">
        <v>0</v>
      </c>
      <c r="I102" s="156" t="str">
        <f>IFERROR(VLOOKUP(J102,CARGOS!A:F,2,0),"")</f>
        <v>71341</v>
      </c>
      <c r="J102" s="88" t="s">
        <v>969</v>
      </c>
      <c r="K102" s="142" t="s">
        <v>4647</v>
      </c>
      <c r="L102" s="251">
        <v>219</v>
      </c>
    </row>
    <row r="103" spans="2:12" ht="15.75" thickBot="1" x14ac:dyDescent="0.3">
      <c r="B103" s="149" t="s">
        <v>2846</v>
      </c>
      <c r="C103" s="148">
        <f t="shared" ca="1" si="2"/>
        <v>68</v>
      </c>
      <c r="D103" s="87">
        <v>12045360</v>
      </c>
      <c r="E103" s="159" t="s">
        <v>4754</v>
      </c>
      <c r="F103" s="252">
        <v>39238</v>
      </c>
      <c r="G103" s="155">
        <f>IF(F103&lt;&gt;"",'CONCEPTOS Y PARAMETROS'!$M$2-YEAR(F103),"")</f>
        <v>18</v>
      </c>
      <c r="H103" s="158">
        <v>0</v>
      </c>
      <c r="I103" s="156" t="str">
        <f>IFERROR(VLOOKUP(J103,CARGOS!A:F,2,0),"")</f>
        <v>79511</v>
      </c>
      <c r="J103" s="88" t="s">
        <v>1162</v>
      </c>
      <c r="K103" s="142" t="s">
        <v>4934</v>
      </c>
      <c r="L103" s="251">
        <v>176</v>
      </c>
    </row>
    <row r="104" spans="2:12" ht="15.75" thickBot="1" x14ac:dyDescent="0.3">
      <c r="B104" s="149" t="s">
        <v>2846</v>
      </c>
      <c r="C104" s="148">
        <f t="shared" ca="1" si="2"/>
        <v>69</v>
      </c>
      <c r="D104" s="87">
        <v>12045504</v>
      </c>
      <c r="E104" s="159" t="s">
        <v>4755</v>
      </c>
      <c r="F104" s="252">
        <v>43862</v>
      </c>
      <c r="G104" s="155">
        <f>IF(F104&lt;&gt;"",'CONCEPTOS Y PARAMETROS'!$M$2-YEAR(F104),"")</f>
        <v>5</v>
      </c>
      <c r="H104" s="158">
        <v>0</v>
      </c>
      <c r="I104" s="156" t="str">
        <f>IFERROR(VLOOKUP(J104,CARGOS!A:F,2,0),"")</f>
        <v>12111</v>
      </c>
      <c r="J104" s="88" t="s">
        <v>322</v>
      </c>
      <c r="K104" s="142" t="s">
        <v>4946</v>
      </c>
      <c r="L104" s="251">
        <v>150</v>
      </c>
    </row>
    <row r="105" spans="2:12" ht="15.75" thickBot="1" x14ac:dyDescent="0.3">
      <c r="B105" s="149" t="s">
        <v>2846</v>
      </c>
      <c r="C105" s="148">
        <f t="shared" ca="1" si="2"/>
        <v>70</v>
      </c>
      <c r="D105" s="87">
        <v>12045934</v>
      </c>
      <c r="E105" s="159" t="s">
        <v>4756</v>
      </c>
      <c r="F105" s="252">
        <v>36342</v>
      </c>
      <c r="G105" s="155">
        <f>IF(F105&lt;&gt;"",'CONCEPTOS Y PARAMETROS'!$M$2-YEAR(F105),"")</f>
        <v>26</v>
      </c>
      <c r="H105" s="158">
        <v>1</v>
      </c>
      <c r="I105" s="156" t="str">
        <f>IFERROR(VLOOKUP(J105,CARGOS!A:F,2,0),"")</f>
        <v>23471</v>
      </c>
      <c r="J105" s="88" t="s">
        <v>1010</v>
      </c>
      <c r="K105" s="142" t="s">
        <v>4935</v>
      </c>
      <c r="L105" s="251">
        <v>287</v>
      </c>
    </row>
    <row r="106" spans="2:12" ht="15.75" thickBot="1" x14ac:dyDescent="0.3">
      <c r="B106" s="149" t="s">
        <v>2846</v>
      </c>
      <c r="C106" s="148">
        <f t="shared" ca="1" si="2"/>
        <v>71</v>
      </c>
      <c r="D106" s="87">
        <v>12047033</v>
      </c>
      <c r="E106" s="159" t="s">
        <v>4949</v>
      </c>
      <c r="F106" s="252">
        <v>39937</v>
      </c>
      <c r="G106" s="155">
        <f>IF(F106&lt;&gt;"",'CONCEPTOS Y PARAMETROS'!$M$2-YEAR(F106),"")</f>
        <v>16</v>
      </c>
      <c r="H106" s="158">
        <v>0</v>
      </c>
      <c r="I106" s="156" t="str">
        <f>IFERROR(VLOOKUP(J106,CARGOS!A:F,2,0),"")</f>
        <v>79512</v>
      </c>
      <c r="J106" s="88" t="s">
        <v>1164</v>
      </c>
      <c r="K106" s="142" t="s">
        <v>4942</v>
      </c>
      <c r="L106" s="251">
        <v>283</v>
      </c>
    </row>
    <row r="107" spans="2:12" ht="15.75" thickBot="1" x14ac:dyDescent="0.3">
      <c r="B107" s="149" t="s">
        <v>2846</v>
      </c>
      <c r="C107" s="148">
        <f t="shared" ca="1" si="2"/>
        <v>72</v>
      </c>
      <c r="D107" s="87">
        <v>12457981</v>
      </c>
      <c r="E107" s="159" t="s">
        <v>4757</v>
      </c>
      <c r="F107" s="252">
        <v>44348</v>
      </c>
      <c r="G107" s="155">
        <f>IF(F107&lt;&gt;"",'CONCEPTOS Y PARAMETROS'!$M$2-YEAR(F107),"")</f>
        <v>4</v>
      </c>
      <c r="H107" s="158">
        <v>4</v>
      </c>
      <c r="I107" s="156" t="str">
        <f>IFERROR(VLOOKUP(J107,CARGOS!A:F,2,0),"")</f>
        <v>75311</v>
      </c>
      <c r="J107" s="88" t="s">
        <v>1706</v>
      </c>
      <c r="K107" s="142" t="s">
        <v>4643</v>
      </c>
      <c r="L107" s="251">
        <v>279</v>
      </c>
    </row>
    <row r="108" spans="2:12" ht="15.75" thickBot="1" x14ac:dyDescent="0.3">
      <c r="B108" s="149" t="s">
        <v>2846</v>
      </c>
      <c r="C108" s="148">
        <f t="shared" ca="1" si="2"/>
        <v>73</v>
      </c>
      <c r="D108" s="87">
        <v>12458811</v>
      </c>
      <c r="E108" s="159" t="s">
        <v>4758</v>
      </c>
      <c r="F108" s="252">
        <v>39514</v>
      </c>
      <c r="G108" s="155">
        <f>IF(F108&lt;&gt;"",'CONCEPTOS Y PARAMETROS'!$M$2-YEAR(F108),"")</f>
        <v>17</v>
      </c>
      <c r="H108" s="158">
        <v>7</v>
      </c>
      <c r="I108" s="156" t="str">
        <f>IFERROR(VLOOKUP(J108,CARGOS!A:F,2,0),"")</f>
        <v>13420</v>
      </c>
      <c r="J108" s="88" t="s">
        <v>224</v>
      </c>
      <c r="K108" s="142" t="s">
        <v>4947</v>
      </c>
      <c r="L108" s="251">
        <v>316</v>
      </c>
    </row>
    <row r="109" spans="2:12" ht="15.75" thickBot="1" x14ac:dyDescent="0.3">
      <c r="B109" s="149" t="s">
        <v>2846</v>
      </c>
      <c r="C109" s="148">
        <f t="shared" ca="1" si="2"/>
        <v>74</v>
      </c>
      <c r="D109" s="87">
        <v>12723030</v>
      </c>
      <c r="E109" s="159" t="s">
        <v>4759</v>
      </c>
      <c r="F109" s="252">
        <v>43132</v>
      </c>
      <c r="G109" s="155">
        <f>IF(F109&lt;&gt;"",'CONCEPTOS Y PARAMETROS'!$M$2-YEAR(F109),"")</f>
        <v>7</v>
      </c>
      <c r="H109" s="158">
        <v>0</v>
      </c>
      <c r="I109" s="156" t="str">
        <f>IFERROR(VLOOKUP(J109,CARGOS!A:F,2,0),"")</f>
        <v>34234</v>
      </c>
      <c r="J109" s="88" t="s">
        <v>980</v>
      </c>
      <c r="K109" s="142" t="s">
        <v>4648</v>
      </c>
      <c r="L109" s="251">
        <v>277</v>
      </c>
    </row>
    <row r="110" spans="2:12" ht="15.75" thickBot="1" x14ac:dyDescent="0.3">
      <c r="B110" s="149" t="s">
        <v>2846</v>
      </c>
      <c r="C110" s="148">
        <f t="shared" ca="1" si="2"/>
        <v>75</v>
      </c>
      <c r="D110" s="87">
        <v>12723482</v>
      </c>
      <c r="E110" s="159" t="s">
        <v>4760</v>
      </c>
      <c r="F110" s="252">
        <v>44636</v>
      </c>
      <c r="G110" s="155">
        <f>IF(F110&lt;&gt;"",'CONCEPTOS Y PARAMETROS'!$M$2-YEAR(F110),"")</f>
        <v>3</v>
      </c>
      <c r="H110" s="158">
        <v>3</v>
      </c>
      <c r="I110" s="156" t="str">
        <f>IFERROR(VLOOKUP(J110,CARGOS!A:F,2,0),"")</f>
        <v>79521</v>
      </c>
      <c r="J110" s="88" t="s">
        <v>2469</v>
      </c>
      <c r="K110" s="142" t="s">
        <v>4648</v>
      </c>
      <c r="L110" s="251">
        <v>277</v>
      </c>
    </row>
    <row r="111" spans="2:12" ht="15.75" thickBot="1" x14ac:dyDescent="0.3">
      <c r="B111" s="149" t="s">
        <v>2846</v>
      </c>
      <c r="C111" s="148">
        <f t="shared" ca="1" si="2"/>
        <v>76</v>
      </c>
      <c r="D111" s="87">
        <v>12798604</v>
      </c>
      <c r="E111" s="159" t="s">
        <v>4761</v>
      </c>
      <c r="F111" s="252">
        <v>35384</v>
      </c>
      <c r="G111" s="155">
        <f>IF(F111&lt;&gt;"",'CONCEPTOS Y PARAMETROS'!$M$2-YEAR(F111),"")</f>
        <v>29</v>
      </c>
      <c r="H111" s="158">
        <v>0</v>
      </c>
      <c r="I111" s="156" t="str">
        <f>IFERROR(VLOOKUP(J111,CARGOS!A:F,2,0),"")</f>
        <v>79512</v>
      </c>
      <c r="J111" s="88" t="s">
        <v>1164</v>
      </c>
      <c r="K111" s="142" t="s">
        <v>4937</v>
      </c>
      <c r="L111" s="251">
        <v>177</v>
      </c>
    </row>
    <row r="112" spans="2:12" ht="15.75" thickBot="1" x14ac:dyDescent="0.3">
      <c r="B112" s="149" t="s">
        <v>2846</v>
      </c>
      <c r="C112" s="148">
        <f t="shared" ca="1" si="2"/>
        <v>77</v>
      </c>
      <c r="D112" s="87">
        <v>12798736</v>
      </c>
      <c r="E112" s="159" t="s">
        <v>4762</v>
      </c>
      <c r="F112" s="252">
        <v>39479</v>
      </c>
      <c r="G112" s="155">
        <f>IF(F112&lt;&gt;"",'CONCEPTOS Y PARAMETROS'!$M$2-YEAR(F112),"")</f>
        <v>17</v>
      </c>
      <c r="H112" s="158">
        <v>7</v>
      </c>
      <c r="I112" s="156" t="str">
        <f>IFERROR(VLOOKUP(J112,CARGOS!A:F,2,0),"")</f>
        <v>15126</v>
      </c>
      <c r="J112" s="88" t="s">
        <v>214</v>
      </c>
      <c r="K112" s="142" t="s">
        <v>4947</v>
      </c>
      <c r="L112" s="251">
        <v>316</v>
      </c>
    </row>
    <row r="113" spans="2:12" ht="15.75" thickBot="1" x14ac:dyDescent="0.3">
      <c r="B113" s="149" t="s">
        <v>2846</v>
      </c>
      <c r="C113" s="148">
        <f t="shared" ca="1" si="2"/>
        <v>78</v>
      </c>
      <c r="D113" s="87">
        <v>12905693</v>
      </c>
      <c r="E113" s="159" t="s">
        <v>4763</v>
      </c>
      <c r="F113" s="252">
        <v>43040</v>
      </c>
      <c r="G113" s="155">
        <f>IF(F113&lt;&gt;"",'CONCEPTOS Y PARAMETROS'!$M$2-YEAR(F113),"")</f>
        <v>8</v>
      </c>
      <c r="H113" s="158">
        <v>0</v>
      </c>
      <c r="I113" s="156" t="str">
        <f>IFERROR(VLOOKUP(J113,CARGOS!A:F,2,0),"")</f>
        <v>79512</v>
      </c>
      <c r="J113" s="88" t="s">
        <v>1164</v>
      </c>
      <c r="K113" s="142" t="s">
        <v>4643</v>
      </c>
      <c r="L113" s="251">
        <v>279</v>
      </c>
    </row>
    <row r="114" spans="2:12" ht="15.75" thickBot="1" x14ac:dyDescent="0.3">
      <c r="B114" s="149" t="s">
        <v>2846</v>
      </c>
      <c r="C114" s="148">
        <f t="shared" ca="1" si="2"/>
        <v>79</v>
      </c>
      <c r="D114" s="87">
        <v>12939010</v>
      </c>
      <c r="E114" s="159" t="s">
        <v>4764</v>
      </c>
      <c r="F114" s="252">
        <v>42948</v>
      </c>
      <c r="G114" s="155">
        <f>IF(F114&lt;&gt;"",'CONCEPTOS Y PARAMETROS'!$M$2-YEAR(F114),"")</f>
        <v>8</v>
      </c>
      <c r="H114" s="158">
        <v>0</v>
      </c>
      <c r="I114" s="156" t="str">
        <f>IFERROR(VLOOKUP(J114,CARGOS!A:F,2,0),"")</f>
        <v>12113</v>
      </c>
      <c r="J114" s="88" t="s">
        <v>326</v>
      </c>
      <c r="K114" s="142" t="s">
        <v>4950</v>
      </c>
      <c r="L114" s="251">
        <v>221</v>
      </c>
    </row>
    <row r="115" spans="2:12" ht="15.75" thickBot="1" x14ac:dyDescent="0.3">
      <c r="B115" s="149" t="s">
        <v>2846</v>
      </c>
      <c r="C115" s="148">
        <f t="shared" ca="1" si="2"/>
        <v>80</v>
      </c>
      <c r="D115" s="87">
        <v>12941385</v>
      </c>
      <c r="E115" s="159" t="s">
        <v>4765</v>
      </c>
      <c r="F115" s="252">
        <v>42948</v>
      </c>
      <c r="G115" s="155">
        <f>IF(F115&lt;&gt;"",'CONCEPTOS Y PARAMETROS'!$M$2-YEAR(F115),"")</f>
        <v>8</v>
      </c>
      <c r="H115" s="158">
        <v>0</v>
      </c>
      <c r="I115" s="156" t="str">
        <f>IFERROR(VLOOKUP(J115,CARGOS!A:F,2,0),"")</f>
        <v>79521</v>
      </c>
      <c r="J115" s="88" t="s">
        <v>2469</v>
      </c>
      <c r="K115" s="142" t="s">
        <v>4643</v>
      </c>
      <c r="L115" s="251">
        <v>279</v>
      </c>
    </row>
    <row r="116" spans="2:12" ht="15.75" thickBot="1" x14ac:dyDescent="0.3">
      <c r="B116" s="149" t="s">
        <v>2846</v>
      </c>
      <c r="C116" s="148">
        <f t="shared" ca="1" si="2"/>
        <v>81</v>
      </c>
      <c r="D116" s="87">
        <v>13117904</v>
      </c>
      <c r="E116" s="159" t="s">
        <v>4766</v>
      </c>
      <c r="F116" s="252">
        <v>43693</v>
      </c>
      <c r="G116" s="155">
        <f>IF(F116&lt;&gt;"",'CONCEPTOS Y PARAMETROS'!$M$2-YEAR(F116),"")</f>
        <v>6</v>
      </c>
      <c r="H116" s="158">
        <v>0</v>
      </c>
      <c r="I116" s="156" t="str">
        <f>IFERROR(VLOOKUP(J116,CARGOS!A:F,2,0),"")</f>
        <v>79511</v>
      </c>
      <c r="J116" s="88" t="s">
        <v>1162</v>
      </c>
      <c r="K116" s="142" t="s">
        <v>4946</v>
      </c>
      <c r="L116" s="251">
        <v>150</v>
      </c>
    </row>
    <row r="117" spans="2:12" ht="15.75" thickBot="1" x14ac:dyDescent="0.3">
      <c r="B117" s="149" t="s">
        <v>2846</v>
      </c>
      <c r="C117" s="148">
        <f t="shared" ca="1" si="2"/>
        <v>82</v>
      </c>
      <c r="D117" s="87">
        <v>13206767</v>
      </c>
      <c r="E117" s="159" t="s">
        <v>4767</v>
      </c>
      <c r="F117" s="252">
        <v>44713</v>
      </c>
      <c r="G117" s="155">
        <f>IF(F117&lt;&gt;"",'CONCEPTOS Y PARAMETROS'!$M$2-YEAR(F117),"")</f>
        <v>3</v>
      </c>
      <c r="H117" s="158">
        <v>0</v>
      </c>
      <c r="I117" s="156" t="str">
        <f>IFERROR(VLOOKUP(J117,CARGOS!A:F,2,0),"")</f>
        <v>12114</v>
      </c>
      <c r="J117" s="88" t="s">
        <v>328</v>
      </c>
      <c r="K117" s="142" t="s">
        <v>4646</v>
      </c>
      <c r="L117" s="251">
        <v>246</v>
      </c>
    </row>
    <row r="118" spans="2:12" ht="15.75" thickBot="1" x14ac:dyDescent="0.3">
      <c r="B118" s="149" t="s">
        <v>2846</v>
      </c>
      <c r="C118" s="148">
        <f t="shared" ca="1" si="2"/>
        <v>83</v>
      </c>
      <c r="D118" s="87">
        <v>13207692</v>
      </c>
      <c r="E118" s="159" t="s">
        <v>4768</v>
      </c>
      <c r="F118" s="252">
        <v>38504</v>
      </c>
      <c r="G118" s="155">
        <f>IF(F118&lt;&gt;"",'CONCEPTOS Y PARAMETROS'!$M$2-YEAR(F118),"")</f>
        <v>20</v>
      </c>
      <c r="H118" s="158">
        <v>0</v>
      </c>
      <c r="I118" s="156" t="str">
        <f>IFERROR(VLOOKUP(J118,CARGOS!A:F,2,0),"")</f>
        <v>12123</v>
      </c>
      <c r="J118" s="88" t="s">
        <v>77</v>
      </c>
      <c r="K118" s="142" t="s">
        <v>4935</v>
      </c>
      <c r="L118" s="251">
        <v>287</v>
      </c>
    </row>
    <row r="119" spans="2:12" ht="15.75" thickBot="1" x14ac:dyDescent="0.3">
      <c r="B119" s="149" t="s">
        <v>2846</v>
      </c>
      <c r="C119" s="148">
        <f t="shared" ca="1" si="2"/>
        <v>84</v>
      </c>
      <c r="D119" s="87">
        <v>13261035</v>
      </c>
      <c r="E119" s="159" t="s">
        <v>4769</v>
      </c>
      <c r="F119" s="252">
        <v>43770</v>
      </c>
      <c r="G119" s="155">
        <f>IF(F119&lt;&gt;"",'CONCEPTOS Y PARAMETROS'!$M$2-YEAR(F119),"")</f>
        <v>6</v>
      </c>
      <c r="H119" s="158">
        <v>0</v>
      </c>
      <c r="I119" s="156" t="str">
        <f>IFERROR(VLOOKUP(J119,CARGOS!A:F,2,0),"")</f>
        <v>34235</v>
      </c>
      <c r="J119" s="88" t="s">
        <v>982</v>
      </c>
      <c r="K119" s="142" t="s">
        <v>4648</v>
      </c>
      <c r="L119" s="251">
        <v>277</v>
      </c>
    </row>
    <row r="120" spans="2:12" ht="15.75" thickBot="1" x14ac:dyDescent="0.3">
      <c r="B120" s="149" t="s">
        <v>2846</v>
      </c>
      <c r="C120" s="148">
        <f t="shared" ca="1" si="2"/>
        <v>85</v>
      </c>
      <c r="D120" s="87">
        <v>13261229</v>
      </c>
      <c r="E120" s="159" t="s">
        <v>4770</v>
      </c>
      <c r="F120" s="252">
        <v>42644</v>
      </c>
      <c r="G120" s="155">
        <f>IF(F120&lt;&gt;"",'CONCEPTOS Y PARAMETROS'!$M$2-YEAR(F120),"")</f>
        <v>9</v>
      </c>
      <c r="H120" s="158">
        <v>0</v>
      </c>
      <c r="I120" s="156" t="str">
        <f>IFERROR(VLOOKUP(J120,CARGOS!A:F,2,0),"")</f>
        <v>79342</v>
      </c>
      <c r="J120" s="88" t="s">
        <v>2383</v>
      </c>
      <c r="K120" s="142" t="s">
        <v>4950</v>
      </c>
      <c r="L120" s="251">
        <v>221</v>
      </c>
    </row>
    <row r="121" spans="2:12" ht="15.75" thickBot="1" x14ac:dyDescent="0.3">
      <c r="B121" s="149" t="s">
        <v>2846</v>
      </c>
      <c r="C121" s="148">
        <f t="shared" ca="1" si="2"/>
        <v>86</v>
      </c>
      <c r="D121" s="87">
        <v>13461747</v>
      </c>
      <c r="E121" s="159" t="s">
        <v>4771</v>
      </c>
      <c r="F121" s="252">
        <v>44683</v>
      </c>
      <c r="G121" s="155">
        <f>IF(F121&lt;&gt;"",'CONCEPTOS Y PARAMETROS'!$M$2-YEAR(F121),"")</f>
        <v>3</v>
      </c>
      <c r="H121" s="158">
        <v>2</v>
      </c>
      <c r="I121" s="156" t="str">
        <f>IFERROR(VLOOKUP(J121,CARGOS!A:F,2,0),"")</f>
        <v>12113</v>
      </c>
      <c r="J121" s="88" t="s">
        <v>326</v>
      </c>
      <c r="K121" s="142" t="s">
        <v>4647</v>
      </c>
      <c r="L121" s="251">
        <v>219</v>
      </c>
    </row>
    <row r="122" spans="2:12" ht="15.75" thickBot="1" x14ac:dyDescent="0.3">
      <c r="B122" s="149" t="s">
        <v>2846</v>
      </c>
      <c r="C122" s="148">
        <f t="shared" ca="1" si="2"/>
        <v>87</v>
      </c>
      <c r="D122" s="87">
        <v>13461934</v>
      </c>
      <c r="E122" s="159" t="s">
        <v>4772</v>
      </c>
      <c r="F122" s="252">
        <v>43252</v>
      </c>
      <c r="G122" s="155">
        <f>IF(F122&lt;&gt;"",'CONCEPTOS Y PARAMETROS'!$M$2-YEAR(F122),"")</f>
        <v>7</v>
      </c>
      <c r="H122" s="158">
        <v>0</v>
      </c>
      <c r="I122" s="156" t="str">
        <f>IFERROR(VLOOKUP(J122,CARGOS!A:F,2,0),"")</f>
        <v>79512</v>
      </c>
      <c r="J122" s="88" t="s">
        <v>1164</v>
      </c>
      <c r="K122" s="142" t="s">
        <v>4946</v>
      </c>
      <c r="L122" s="251">
        <v>150</v>
      </c>
    </row>
    <row r="123" spans="2:12" ht="15.75" thickBot="1" x14ac:dyDescent="0.3">
      <c r="B123" s="149" t="s">
        <v>2846</v>
      </c>
      <c r="C123" s="148">
        <f t="shared" ca="1" si="2"/>
        <v>88</v>
      </c>
      <c r="D123" s="87">
        <v>13522518</v>
      </c>
      <c r="E123" s="159" t="s">
        <v>4773</v>
      </c>
      <c r="F123" s="252">
        <v>43739</v>
      </c>
      <c r="G123" s="155">
        <f>IF(F123&lt;&gt;"",'CONCEPTOS Y PARAMETROS'!$M$2-YEAR(F123),"")</f>
        <v>6</v>
      </c>
      <c r="H123" s="158">
        <v>0</v>
      </c>
      <c r="I123" s="156" t="str">
        <f>IFERROR(VLOOKUP(J123,CARGOS!A:F,2,0),"")</f>
        <v>25211</v>
      </c>
      <c r="J123" s="88" t="s">
        <v>132</v>
      </c>
      <c r="K123" s="142" t="s">
        <v>4946</v>
      </c>
      <c r="L123" s="251">
        <v>150</v>
      </c>
    </row>
    <row r="124" spans="2:12" ht="15.75" thickBot="1" x14ac:dyDescent="0.3">
      <c r="B124" s="149" t="s">
        <v>2846</v>
      </c>
      <c r="C124" s="148">
        <f t="shared" ca="1" si="2"/>
        <v>89</v>
      </c>
      <c r="D124" s="87">
        <v>13523075</v>
      </c>
      <c r="E124" s="159" t="s">
        <v>4774</v>
      </c>
      <c r="F124" s="252">
        <v>37718</v>
      </c>
      <c r="G124" s="155">
        <f>IF(F124&lt;&gt;"",'CONCEPTOS Y PARAMETROS'!$M$2-YEAR(F124),"")</f>
        <v>22</v>
      </c>
      <c r="H124" s="158">
        <v>0</v>
      </c>
      <c r="I124" s="156" t="str">
        <f>IFERROR(VLOOKUP(J124,CARGOS!A:F,2,0),"")</f>
        <v>13365</v>
      </c>
      <c r="J124" s="88" t="s">
        <v>1936</v>
      </c>
      <c r="K124" s="142" t="s">
        <v>4941</v>
      </c>
      <c r="L124" s="251">
        <v>228</v>
      </c>
    </row>
    <row r="125" spans="2:12" ht="15.75" thickBot="1" x14ac:dyDescent="0.3">
      <c r="B125" s="149" t="s">
        <v>2846</v>
      </c>
      <c r="C125" s="148">
        <f t="shared" ca="1" si="2"/>
        <v>90</v>
      </c>
      <c r="D125" s="87">
        <v>13633586</v>
      </c>
      <c r="E125" s="159" t="s">
        <v>4775</v>
      </c>
      <c r="F125" s="252">
        <v>38699</v>
      </c>
      <c r="G125" s="155">
        <f>IF(F125&lt;&gt;"",'CONCEPTOS Y PARAMETROS'!$M$2-YEAR(F125),"")</f>
        <v>20</v>
      </c>
      <c r="H125" s="158">
        <v>1</v>
      </c>
      <c r="I125" s="156" t="str">
        <f>IFERROR(VLOOKUP(J125,CARGOS!A:F,2,0),"")</f>
        <v>15125</v>
      </c>
      <c r="J125" s="88" t="s">
        <v>212</v>
      </c>
      <c r="K125" s="142" t="s">
        <v>4935</v>
      </c>
      <c r="L125" s="251">
        <v>287</v>
      </c>
    </row>
    <row r="126" spans="2:12" ht="15.75" thickBot="1" x14ac:dyDescent="0.3">
      <c r="B126" s="149" t="s">
        <v>2846</v>
      </c>
      <c r="C126" s="148">
        <f t="shared" ca="1" si="2"/>
        <v>91</v>
      </c>
      <c r="D126" s="87">
        <v>13745803</v>
      </c>
      <c r="E126" s="159" t="s">
        <v>4776</v>
      </c>
      <c r="F126" s="252">
        <v>44774</v>
      </c>
      <c r="G126" s="155">
        <f>IF(F126&lt;&gt;"",'CONCEPTOS Y PARAMETROS'!$M$2-YEAR(F126),"")</f>
        <v>3</v>
      </c>
      <c r="H126" s="158">
        <v>13</v>
      </c>
      <c r="I126" s="156" t="str">
        <f>IFERROR(VLOOKUP(J126,CARGOS!A:F,2,0),"")</f>
        <v>79521</v>
      </c>
      <c r="J126" s="88" t="s">
        <v>2469</v>
      </c>
      <c r="K126" s="142" t="s">
        <v>4942</v>
      </c>
      <c r="L126" s="251">
        <v>283</v>
      </c>
    </row>
    <row r="127" spans="2:12" ht="15.75" thickBot="1" x14ac:dyDescent="0.3">
      <c r="B127" s="149" t="s">
        <v>2846</v>
      </c>
      <c r="C127" s="148">
        <f t="shared" ca="1" si="2"/>
        <v>92</v>
      </c>
      <c r="D127" s="87">
        <v>13765028</v>
      </c>
      <c r="E127" s="159" t="s">
        <v>4777</v>
      </c>
      <c r="F127" s="252">
        <v>44348</v>
      </c>
      <c r="G127" s="155">
        <f>IF(F127&lt;&gt;"",'CONCEPTOS Y PARAMETROS'!$M$2-YEAR(F127),"")</f>
        <v>4</v>
      </c>
      <c r="H127" s="158">
        <v>7</v>
      </c>
      <c r="I127" s="156" t="str">
        <f>IFERROR(VLOOKUP(J127,CARGOS!A:F,2,0),"")</f>
        <v>79511</v>
      </c>
      <c r="J127" s="88" t="s">
        <v>1162</v>
      </c>
      <c r="K127" s="142" t="s">
        <v>4645</v>
      </c>
      <c r="L127" s="251">
        <v>223</v>
      </c>
    </row>
    <row r="128" spans="2:12" ht="15.75" thickBot="1" x14ac:dyDescent="0.3">
      <c r="B128" s="149" t="s">
        <v>2846</v>
      </c>
      <c r="C128" s="148">
        <f t="shared" ca="1" si="2"/>
        <v>93</v>
      </c>
      <c r="D128" s="87">
        <v>13896147</v>
      </c>
      <c r="E128" s="159" t="s">
        <v>4778</v>
      </c>
      <c r="F128" s="252">
        <v>41334</v>
      </c>
      <c r="G128" s="155">
        <f>IF(F128&lt;&gt;"",'CONCEPTOS Y PARAMETROS'!$M$2-YEAR(F128),"")</f>
        <v>12</v>
      </c>
      <c r="H128" s="158">
        <v>0</v>
      </c>
      <c r="I128" s="156" t="str">
        <f>IFERROR(VLOOKUP(J128,CARGOS!A:F,2,0),"")</f>
        <v>12121</v>
      </c>
      <c r="J128" s="88" t="s">
        <v>73</v>
      </c>
      <c r="K128" s="142" t="s">
        <v>4642</v>
      </c>
      <c r="L128" s="251">
        <v>281</v>
      </c>
    </row>
    <row r="129" spans="2:12" ht="15.75" thickBot="1" x14ac:dyDescent="0.3">
      <c r="B129" s="149" t="s">
        <v>2846</v>
      </c>
      <c r="C129" s="148">
        <f t="shared" ca="1" si="2"/>
        <v>94</v>
      </c>
      <c r="D129" s="87">
        <v>13896487</v>
      </c>
      <c r="E129" s="159" t="s">
        <v>4779</v>
      </c>
      <c r="F129" s="252">
        <v>44713</v>
      </c>
      <c r="G129" s="155">
        <f>IF(F129&lt;&gt;"",'CONCEPTOS Y PARAMETROS'!$M$2-YEAR(F129),"")</f>
        <v>3</v>
      </c>
      <c r="H129" s="158">
        <v>15</v>
      </c>
      <c r="I129" s="156" t="str">
        <f>IFERROR(VLOOKUP(J129,CARGOS!A:F,2,0),"")</f>
        <v>79511</v>
      </c>
      <c r="J129" s="88" t="s">
        <v>1162</v>
      </c>
      <c r="K129" s="142" t="s">
        <v>4936</v>
      </c>
      <c r="L129" s="251">
        <v>226</v>
      </c>
    </row>
    <row r="130" spans="2:12" ht="15.75" thickBot="1" x14ac:dyDescent="0.3">
      <c r="B130" s="149" t="s">
        <v>2846</v>
      </c>
      <c r="C130" s="148">
        <f t="shared" ca="1" si="2"/>
        <v>95</v>
      </c>
      <c r="D130" s="87">
        <v>13897046</v>
      </c>
      <c r="E130" s="159" t="s">
        <v>4780</v>
      </c>
      <c r="F130" s="252">
        <v>42384</v>
      </c>
      <c r="G130" s="155">
        <f>IF(F130&lt;&gt;"",'CONCEPTOS Y PARAMETROS'!$M$2-YEAR(F130),"")</f>
        <v>9</v>
      </c>
      <c r="H130" s="158">
        <v>0</v>
      </c>
      <c r="I130" s="156" t="str">
        <f>IFERROR(VLOOKUP(J130,CARGOS!A:F,2,0),"")</f>
        <v>79342</v>
      </c>
      <c r="J130" s="88" t="s">
        <v>2383</v>
      </c>
      <c r="K130" s="142" t="s">
        <v>4950</v>
      </c>
      <c r="L130" s="251">
        <v>221</v>
      </c>
    </row>
    <row r="131" spans="2:12" ht="15.75" thickBot="1" x14ac:dyDescent="0.3">
      <c r="B131" s="149" t="s">
        <v>2846</v>
      </c>
      <c r="C131" s="148">
        <f t="shared" ca="1" si="2"/>
        <v>96</v>
      </c>
      <c r="D131" s="87">
        <v>13897695</v>
      </c>
      <c r="E131" s="159" t="s">
        <v>4781</v>
      </c>
      <c r="F131" s="252">
        <v>39496</v>
      </c>
      <c r="G131" s="155">
        <f>IF(F131&lt;&gt;"",'CONCEPTOS Y PARAMETROS'!$M$2-YEAR(F131),"")</f>
        <v>17</v>
      </c>
      <c r="H131" s="158">
        <v>3</v>
      </c>
      <c r="I131" s="156" t="str">
        <f>IFERROR(VLOOKUP(J131,CARGOS!A:F,2,0),"")</f>
        <v>13420</v>
      </c>
      <c r="J131" s="88" t="s">
        <v>224</v>
      </c>
      <c r="K131" s="142" t="s">
        <v>4935</v>
      </c>
      <c r="L131" s="251">
        <v>287</v>
      </c>
    </row>
    <row r="132" spans="2:12" ht="15.75" thickBot="1" x14ac:dyDescent="0.3">
      <c r="B132" s="149" t="s">
        <v>2846</v>
      </c>
      <c r="C132" s="148">
        <f t="shared" ca="1" si="2"/>
        <v>97</v>
      </c>
      <c r="D132" s="87">
        <v>13996024</v>
      </c>
      <c r="E132" s="215" t="s">
        <v>4782</v>
      </c>
      <c r="F132" s="252">
        <v>40028</v>
      </c>
      <c r="G132" s="155">
        <f>IF(F132&lt;&gt;"",'CONCEPTOS Y PARAMETROS'!$M$2-YEAR(F132),"")</f>
        <v>16</v>
      </c>
      <c r="H132" s="158">
        <v>0</v>
      </c>
      <c r="I132" s="156" t="str">
        <f>IFERROR(VLOOKUP(J132,CARGOS!A:F,2,0),"")</f>
        <v>21132</v>
      </c>
      <c r="J132" s="88" t="s">
        <v>698</v>
      </c>
      <c r="K132" s="142" t="s">
        <v>4942</v>
      </c>
      <c r="L132" s="251">
        <v>283</v>
      </c>
    </row>
    <row r="133" spans="2:12" ht="15.75" thickBot="1" x14ac:dyDescent="0.3">
      <c r="B133" s="149" t="s">
        <v>2846</v>
      </c>
      <c r="C133" s="148">
        <f t="shared" ca="1" si="2"/>
        <v>98</v>
      </c>
      <c r="D133" s="87">
        <v>14106648</v>
      </c>
      <c r="E133" s="159" t="s">
        <v>4783</v>
      </c>
      <c r="F133" s="252">
        <v>40787</v>
      </c>
      <c r="G133" s="155">
        <f>IF(F133&lt;&gt;"",'CONCEPTOS Y PARAMETROS'!$M$2-YEAR(F133),"")</f>
        <v>14</v>
      </c>
      <c r="H133" s="158">
        <v>6</v>
      </c>
      <c r="I133" s="156" t="str">
        <f>IFERROR(VLOOKUP(J133,CARGOS!A:F,2,0),"")</f>
        <v>12114</v>
      </c>
      <c r="J133" s="88" t="s">
        <v>328</v>
      </c>
      <c r="K133" s="142" t="s">
        <v>4941</v>
      </c>
      <c r="L133" s="251">
        <v>228</v>
      </c>
    </row>
    <row r="134" spans="2:12" ht="15.75" thickBot="1" x14ac:dyDescent="0.3">
      <c r="B134" s="149" t="s">
        <v>2846</v>
      </c>
      <c r="C134" s="148">
        <f t="shared" ca="1" si="2"/>
        <v>99</v>
      </c>
      <c r="D134" s="87">
        <v>14329448</v>
      </c>
      <c r="E134" s="159" t="s">
        <v>4784</v>
      </c>
      <c r="F134" s="252">
        <v>44743</v>
      </c>
      <c r="G134" s="155">
        <f>IF(F134&lt;&gt;"",'CONCEPTOS Y PARAMETROS'!$M$2-YEAR(F134),"")</f>
        <v>3</v>
      </c>
      <c r="H134" s="158">
        <v>0</v>
      </c>
      <c r="I134" s="156" t="str">
        <f>IFERROR(VLOOKUP(J134,CARGOS!A:F,2,0),"")</f>
        <v>79521</v>
      </c>
      <c r="J134" s="88" t="s">
        <v>2469</v>
      </c>
      <c r="K134" s="142" t="s">
        <v>4646</v>
      </c>
      <c r="L134" s="251">
        <v>246</v>
      </c>
    </row>
    <row r="135" spans="2:12" ht="15.75" thickBot="1" x14ac:dyDescent="0.3">
      <c r="B135" s="149" t="s">
        <v>2846</v>
      </c>
      <c r="C135" s="148">
        <f t="shared" ca="1" si="2"/>
        <v>100</v>
      </c>
      <c r="D135" s="87">
        <v>14329851</v>
      </c>
      <c r="E135" s="159" t="s">
        <v>4785</v>
      </c>
      <c r="F135" s="252">
        <v>44287</v>
      </c>
      <c r="G135" s="155">
        <f>IF(F135&lt;&gt;"",'CONCEPTOS Y PARAMETROS'!$M$2-YEAR(F135),"")</f>
        <v>4</v>
      </c>
      <c r="H135" s="158">
        <v>0</v>
      </c>
      <c r="I135" s="156" t="str">
        <f>IFERROR(VLOOKUP(J135,CARGOS!A:F,2,0),"")</f>
        <v>79511</v>
      </c>
      <c r="J135" s="88" t="s">
        <v>1162</v>
      </c>
      <c r="K135" s="142" t="s">
        <v>4650</v>
      </c>
      <c r="L135" s="251">
        <v>130</v>
      </c>
    </row>
    <row r="136" spans="2:12" ht="15.75" thickBot="1" x14ac:dyDescent="0.3">
      <c r="B136" s="149" t="s">
        <v>2846</v>
      </c>
      <c r="C136" s="148">
        <f t="shared" ca="1" si="2"/>
        <v>101</v>
      </c>
      <c r="D136" s="87">
        <v>14406240</v>
      </c>
      <c r="E136" s="159" t="s">
        <v>4786</v>
      </c>
      <c r="F136" s="252">
        <v>43785</v>
      </c>
      <c r="G136" s="155">
        <f>IF(F136&lt;&gt;"",'CONCEPTOS Y PARAMETROS'!$M$2-YEAR(F136),"")</f>
        <v>6</v>
      </c>
      <c r="H136" s="158">
        <v>11</v>
      </c>
      <c r="I136" s="156" t="str">
        <f>IFERROR(VLOOKUP(J136,CARGOS!A:F,2,0),"")</f>
        <v>79341</v>
      </c>
      <c r="J136" s="88" t="s">
        <v>2381</v>
      </c>
      <c r="K136" s="142" t="s">
        <v>4936</v>
      </c>
      <c r="L136" s="251">
        <v>226</v>
      </c>
    </row>
    <row r="137" spans="2:12" ht="15.75" thickBot="1" x14ac:dyDescent="0.3">
      <c r="B137" s="149" t="s">
        <v>2846</v>
      </c>
      <c r="C137" s="148">
        <f t="shared" ca="1" si="2"/>
        <v>102</v>
      </c>
      <c r="D137" s="87">
        <v>14459607</v>
      </c>
      <c r="E137" s="159" t="s">
        <v>4787</v>
      </c>
      <c r="F137" s="252">
        <v>43116</v>
      </c>
      <c r="G137" s="155">
        <f>IF(F137&lt;&gt;"",'CONCEPTOS Y PARAMETROS'!$M$2-YEAR(F137),"")</f>
        <v>7</v>
      </c>
      <c r="H137" s="158">
        <v>0</v>
      </c>
      <c r="I137" s="156" t="str">
        <f>IFERROR(VLOOKUP(J137,CARGOS!A:F,2,0),"")</f>
        <v>79341</v>
      </c>
      <c r="J137" s="88" t="s">
        <v>2381</v>
      </c>
      <c r="K137" s="142" t="s">
        <v>4647</v>
      </c>
      <c r="L137" s="251">
        <v>219</v>
      </c>
    </row>
    <row r="138" spans="2:12" ht="15.75" thickBot="1" x14ac:dyDescent="0.3">
      <c r="B138" s="149" t="s">
        <v>2846</v>
      </c>
      <c r="C138" s="148">
        <f t="shared" ca="1" si="2"/>
        <v>103</v>
      </c>
      <c r="D138" s="87">
        <v>14598170</v>
      </c>
      <c r="E138" s="159" t="s">
        <v>4788</v>
      </c>
      <c r="F138" s="252">
        <v>43435</v>
      </c>
      <c r="G138" s="155">
        <f>IF(F138&lt;&gt;"",'CONCEPTOS Y PARAMETROS'!$M$2-YEAR(F138),"")</f>
        <v>7</v>
      </c>
      <c r="H138" s="158">
        <v>0</v>
      </c>
      <c r="I138" s="156" t="str">
        <f>IFERROR(VLOOKUP(J138,CARGOS!A:F,2,0),"")</f>
        <v>79521</v>
      </c>
      <c r="J138" s="88" t="s">
        <v>2469</v>
      </c>
      <c r="K138" s="142" t="s">
        <v>4648</v>
      </c>
      <c r="L138" s="251">
        <v>277</v>
      </c>
    </row>
    <row r="139" spans="2:12" ht="15.75" thickBot="1" x14ac:dyDescent="0.3">
      <c r="B139" s="149" t="s">
        <v>2846</v>
      </c>
      <c r="C139" s="148">
        <f t="shared" ca="1" si="2"/>
        <v>104</v>
      </c>
      <c r="D139" s="87">
        <v>14598687</v>
      </c>
      <c r="E139" s="159" t="s">
        <v>4789</v>
      </c>
      <c r="F139" s="252">
        <v>44332</v>
      </c>
      <c r="G139" s="155">
        <f>IF(F139&lt;&gt;"",'CONCEPTOS Y PARAMETROS'!$M$2-YEAR(F139),"")</f>
        <v>4</v>
      </c>
      <c r="H139" s="158">
        <v>0</v>
      </c>
      <c r="I139" s="156" t="str">
        <f>IFERROR(VLOOKUP(J139,CARGOS!A:F,2,0),"")</f>
        <v>34234</v>
      </c>
      <c r="J139" s="88" t="s">
        <v>980</v>
      </c>
      <c r="K139" s="142" t="s">
        <v>4944</v>
      </c>
      <c r="L139" s="251">
        <v>305</v>
      </c>
    </row>
    <row r="140" spans="2:12" ht="15.75" thickBot="1" x14ac:dyDescent="0.3">
      <c r="B140" s="149" t="s">
        <v>2846</v>
      </c>
      <c r="C140" s="148">
        <f t="shared" ca="1" si="2"/>
        <v>105</v>
      </c>
      <c r="D140" s="87">
        <v>14599252</v>
      </c>
      <c r="E140" s="159" t="s">
        <v>4790</v>
      </c>
      <c r="F140" s="252">
        <v>39307</v>
      </c>
      <c r="G140" s="155">
        <f>IF(F140&lt;&gt;"",'CONCEPTOS Y PARAMETROS'!$M$2-YEAR(F140),"")</f>
        <v>18</v>
      </c>
      <c r="H140" s="158">
        <v>0</v>
      </c>
      <c r="I140" s="156" t="str">
        <f>IFERROR(VLOOKUP(J140,CARGOS!A:F,2,0),"")</f>
        <v>79523</v>
      </c>
      <c r="J140" s="88" t="s">
        <v>2473</v>
      </c>
      <c r="K140" s="142" t="s">
        <v>4951</v>
      </c>
      <c r="L140" s="251">
        <v>314</v>
      </c>
    </row>
    <row r="141" spans="2:12" ht="15.75" thickBot="1" x14ac:dyDescent="0.3">
      <c r="B141" s="149" t="s">
        <v>2846</v>
      </c>
      <c r="C141" s="148">
        <f t="shared" ca="1" si="2"/>
        <v>106</v>
      </c>
      <c r="D141" s="87">
        <v>14718024</v>
      </c>
      <c r="E141" s="159" t="s">
        <v>4791</v>
      </c>
      <c r="F141" s="252">
        <v>44317</v>
      </c>
      <c r="G141" s="155">
        <f>IF(F141&lt;&gt;"",'CONCEPTOS Y PARAMETROS'!$M$2-YEAR(F141),"")</f>
        <v>4</v>
      </c>
      <c r="H141" s="158">
        <v>0</v>
      </c>
      <c r="I141" s="156" t="str">
        <f>IFERROR(VLOOKUP(J141,CARGOS!A:F,2,0),"")</f>
        <v>79521</v>
      </c>
      <c r="J141" s="88" t="s">
        <v>2469</v>
      </c>
      <c r="K141" s="142" t="s">
        <v>4646</v>
      </c>
      <c r="L141" s="251">
        <v>246</v>
      </c>
    </row>
    <row r="142" spans="2:12" ht="15.75" thickBot="1" x14ac:dyDescent="0.3">
      <c r="B142" s="149" t="s">
        <v>2846</v>
      </c>
      <c r="C142" s="148">
        <f t="shared" ca="1" si="2"/>
        <v>107</v>
      </c>
      <c r="D142" s="87">
        <v>14718769</v>
      </c>
      <c r="E142" s="159" t="s">
        <v>4792</v>
      </c>
      <c r="F142" s="252">
        <v>44743</v>
      </c>
      <c r="G142" s="155">
        <f>IF(F142&lt;&gt;"",'CONCEPTOS Y PARAMETROS'!$M$2-YEAR(F142),"")</f>
        <v>3</v>
      </c>
      <c r="H142" s="158">
        <v>0</v>
      </c>
      <c r="I142" s="156" t="str">
        <f>IFERROR(VLOOKUP(J142,CARGOS!A:F,2,0),"")</f>
        <v>79511</v>
      </c>
      <c r="J142" s="88" t="s">
        <v>1162</v>
      </c>
      <c r="K142" s="142" t="s">
        <v>4649</v>
      </c>
      <c r="L142" s="251">
        <v>192</v>
      </c>
    </row>
    <row r="143" spans="2:12" ht="15.75" thickBot="1" x14ac:dyDescent="0.3">
      <c r="B143" s="149" t="s">
        <v>2846</v>
      </c>
      <c r="C143" s="148">
        <f t="shared" ca="1" si="2"/>
        <v>108</v>
      </c>
      <c r="D143" s="87">
        <v>14719612</v>
      </c>
      <c r="E143" s="159" t="s">
        <v>4793</v>
      </c>
      <c r="F143" s="252">
        <v>43983</v>
      </c>
      <c r="G143" s="155">
        <f>IF(F143&lt;&gt;"",'CONCEPTOS Y PARAMETROS'!$M$2-YEAR(F143),"")</f>
        <v>5</v>
      </c>
      <c r="H143" s="158">
        <v>0</v>
      </c>
      <c r="I143" s="156" t="str">
        <f>IFERROR(VLOOKUP(J143,CARGOS!A:F,2,0),"")</f>
        <v>79341</v>
      </c>
      <c r="J143" s="88" t="s">
        <v>2381</v>
      </c>
      <c r="K143" s="142" t="s">
        <v>4946</v>
      </c>
      <c r="L143" s="251">
        <v>150</v>
      </c>
    </row>
    <row r="144" spans="2:12" ht="15.75" thickBot="1" x14ac:dyDescent="0.3">
      <c r="B144" s="149" t="s">
        <v>2846</v>
      </c>
      <c r="C144" s="148">
        <f t="shared" ca="1" si="2"/>
        <v>109</v>
      </c>
      <c r="D144" s="87">
        <v>14739168</v>
      </c>
      <c r="E144" s="159" t="s">
        <v>4794</v>
      </c>
      <c r="F144" s="252">
        <v>38841</v>
      </c>
      <c r="G144" s="155">
        <f>IF(F144&lt;&gt;"",'CONCEPTOS Y PARAMETROS'!$M$2-YEAR(F144),"")</f>
        <v>19</v>
      </c>
      <c r="H144" s="158">
        <v>0</v>
      </c>
      <c r="I144" s="156" t="str">
        <f>IFERROR(VLOOKUP(J144,CARGOS!A:F,2,0),"")</f>
        <v>79353</v>
      </c>
      <c r="J144" s="88" t="s">
        <v>2431</v>
      </c>
      <c r="K144" s="142" t="s">
        <v>4936</v>
      </c>
      <c r="L144" s="251">
        <v>226</v>
      </c>
    </row>
    <row r="145" spans="2:12" ht="15.75" thickBot="1" x14ac:dyDescent="0.3">
      <c r="B145" s="149" t="s">
        <v>2846</v>
      </c>
      <c r="C145" s="148">
        <f t="shared" ca="1" si="2"/>
        <v>110</v>
      </c>
      <c r="D145" s="87">
        <v>14928034</v>
      </c>
      <c r="E145" s="159" t="s">
        <v>4795</v>
      </c>
      <c r="F145" s="252">
        <v>44302</v>
      </c>
      <c r="G145" s="155">
        <f>IF(F145&lt;&gt;"",'CONCEPTOS Y PARAMETROS'!$M$2-YEAR(F145),"")</f>
        <v>4</v>
      </c>
      <c r="H145" s="158">
        <v>11</v>
      </c>
      <c r="I145" s="156" t="str">
        <f>IFERROR(VLOOKUP(J145,CARGOS!A:F,2,0),"")</f>
        <v>37921</v>
      </c>
      <c r="J145" s="88" t="s">
        <v>1966</v>
      </c>
      <c r="K145" s="142" t="s">
        <v>4943</v>
      </c>
      <c r="L145" s="251">
        <v>174</v>
      </c>
    </row>
    <row r="146" spans="2:12" ht="15.75" thickBot="1" x14ac:dyDescent="0.3">
      <c r="B146" s="149" t="s">
        <v>2846</v>
      </c>
      <c r="C146" s="148">
        <f t="shared" ca="1" si="2"/>
        <v>111</v>
      </c>
      <c r="D146" s="87">
        <v>14928260</v>
      </c>
      <c r="E146" s="159" t="s">
        <v>4796</v>
      </c>
      <c r="F146" s="252">
        <v>39104</v>
      </c>
      <c r="G146" s="155">
        <f>IF(F146&lt;&gt;"",'CONCEPTOS Y PARAMETROS'!$M$2-YEAR(F146),"")</f>
        <v>18</v>
      </c>
      <c r="H146" s="158">
        <v>0</v>
      </c>
      <c r="I146" s="156" t="str">
        <f>IFERROR(VLOOKUP(J146,CARGOS!A:F,2,0),"")</f>
        <v>79521</v>
      </c>
      <c r="J146" s="88" t="s">
        <v>2469</v>
      </c>
      <c r="K146" s="142" t="s">
        <v>4936</v>
      </c>
      <c r="L146" s="251">
        <v>226</v>
      </c>
    </row>
    <row r="147" spans="2:12" ht="15.75" thickBot="1" x14ac:dyDescent="0.3">
      <c r="B147" s="149" t="s">
        <v>2846</v>
      </c>
      <c r="C147" s="148">
        <f t="shared" ca="1" si="2"/>
        <v>112</v>
      </c>
      <c r="D147" s="87">
        <v>14929642</v>
      </c>
      <c r="E147" s="159" t="s">
        <v>4797</v>
      </c>
      <c r="F147" s="252">
        <v>43419</v>
      </c>
      <c r="G147" s="155">
        <f>IF(F147&lt;&gt;"",'CONCEPTOS Y PARAMETROS'!$M$2-YEAR(F147),"")</f>
        <v>7</v>
      </c>
      <c r="H147" s="158">
        <v>0</v>
      </c>
      <c r="I147" s="156" t="str">
        <f>IFERROR(VLOOKUP(J147,CARGOS!A:F,2,0),"")</f>
        <v>79511</v>
      </c>
      <c r="J147" s="88" t="s">
        <v>1162</v>
      </c>
      <c r="K147" s="142" t="s">
        <v>4647</v>
      </c>
      <c r="L147" s="251">
        <v>219</v>
      </c>
    </row>
    <row r="148" spans="2:12" ht="15.75" thickBot="1" x14ac:dyDescent="0.3">
      <c r="B148" s="149" t="s">
        <v>2846</v>
      </c>
      <c r="C148" s="148">
        <f t="shared" ca="1" si="2"/>
        <v>113</v>
      </c>
      <c r="D148" s="87">
        <v>15188927</v>
      </c>
      <c r="E148" s="159" t="s">
        <v>4798</v>
      </c>
      <c r="F148" s="252">
        <v>44409</v>
      </c>
      <c r="G148" s="155">
        <f>IF(F148&lt;&gt;"",'CONCEPTOS Y PARAMETROS'!$M$2-YEAR(F148),"")</f>
        <v>4</v>
      </c>
      <c r="H148" s="158">
        <v>0</v>
      </c>
      <c r="I148" s="156" t="str">
        <f>IFERROR(VLOOKUP(J148,CARGOS!A:F,2,0),"")</f>
        <v>79512</v>
      </c>
      <c r="J148" s="88" t="s">
        <v>1164</v>
      </c>
      <c r="K148" s="142" t="s">
        <v>4650</v>
      </c>
      <c r="L148" s="251">
        <v>130</v>
      </c>
    </row>
    <row r="149" spans="2:12" ht="15.75" thickBot="1" x14ac:dyDescent="0.3">
      <c r="B149" s="149" t="s">
        <v>2846</v>
      </c>
      <c r="C149" s="148">
        <f t="shared" ca="1" si="2"/>
        <v>114</v>
      </c>
      <c r="D149" s="87">
        <v>15188996</v>
      </c>
      <c r="E149" s="159" t="s">
        <v>4799</v>
      </c>
      <c r="F149" s="252">
        <v>43967</v>
      </c>
      <c r="G149" s="155">
        <f>IF(F149&lt;&gt;"",'CONCEPTOS Y PARAMETROS'!$M$2-YEAR(F149),"")</f>
        <v>5</v>
      </c>
      <c r="H149" s="158">
        <v>0</v>
      </c>
      <c r="I149" s="156" t="str">
        <f>IFERROR(VLOOKUP(J149,CARGOS!A:F,2,0),"")</f>
        <v>79511</v>
      </c>
      <c r="J149" s="88" t="s">
        <v>1162</v>
      </c>
      <c r="K149" s="142" t="s">
        <v>4647</v>
      </c>
      <c r="L149" s="251">
        <v>219</v>
      </c>
    </row>
    <row r="150" spans="2:12" ht="15.75" thickBot="1" x14ac:dyDescent="0.3">
      <c r="B150" s="149" t="s">
        <v>2846</v>
      </c>
      <c r="C150" s="148">
        <f t="shared" ca="1" si="2"/>
        <v>115</v>
      </c>
      <c r="D150" s="87">
        <v>15583350</v>
      </c>
      <c r="E150" s="159" t="s">
        <v>4800</v>
      </c>
      <c r="F150" s="252">
        <v>44743</v>
      </c>
      <c r="G150" s="155">
        <f>IF(F150&lt;&gt;"",'CONCEPTOS Y PARAMETROS'!$M$2-YEAR(F150),"")</f>
        <v>3</v>
      </c>
      <c r="H150" s="158">
        <v>10</v>
      </c>
      <c r="I150" s="156" t="str">
        <f>IFERROR(VLOOKUP(J150,CARGOS!A:F,2,0),"")</f>
        <v>79511</v>
      </c>
      <c r="J150" s="88" t="s">
        <v>1162</v>
      </c>
      <c r="K150" s="142" t="s">
        <v>4644</v>
      </c>
      <c r="L150" s="251">
        <v>172</v>
      </c>
    </row>
    <row r="151" spans="2:12" ht="15.75" thickBot="1" x14ac:dyDescent="0.3">
      <c r="B151" s="149" t="s">
        <v>2846</v>
      </c>
      <c r="C151" s="148">
        <f t="shared" ca="1" si="2"/>
        <v>116</v>
      </c>
      <c r="D151" s="87">
        <v>15583745</v>
      </c>
      <c r="E151" s="159" t="s">
        <v>4801</v>
      </c>
      <c r="F151" s="252">
        <v>43481</v>
      </c>
      <c r="G151" s="155">
        <f>IF(F151&lt;&gt;"",'CONCEPTOS Y PARAMETROS'!$M$2-YEAR(F151),"")</f>
        <v>6</v>
      </c>
      <c r="H151" s="158">
        <v>0</v>
      </c>
      <c r="I151" s="156" t="str">
        <f>IFERROR(VLOOKUP(J151,CARGOS!A:F,2,0),"")</f>
        <v>12121</v>
      </c>
      <c r="J151" s="88" t="s">
        <v>73</v>
      </c>
      <c r="K151" s="142" t="s">
        <v>4648</v>
      </c>
      <c r="L151" s="251">
        <v>277</v>
      </c>
    </row>
    <row r="152" spans="2:12" ht="15.75" thickBot="1" x14ac:dyDescent="0.3">
      <c r="B152" s="149" t="s">
        <v>2846</v>
      </c>
      <c r="C152" s="148">
        <f t="shared" ca="1" si="2"/>
        <v>117</v>
      </c>
      <c r="D152" s="87">
        <v>15584094</v>
      </c>
      <c r="E152" s="159" t="s">
        <v>4802</v>
      </c>
      <c r="F152" s="252">
        <v>43709</v>
      </c>
      <c r="G152" s="155">
        <f>IF(F152&lt;&gt;"",'CONCEPTOS Y PARAMETROS'!$M$2-YEAR(F152),"")</f>
        <v>6</v>
      </c>
      <c r="H152" s="158">
        <v>0</v>
      </c>
      <c r="I152" s="156" t="str">
        <f>IFERROR(VLOOKUP(J152,CARGOS!A:F,2,0),"")</f>
        <v>79512</v>
      </c>
      <c r="J152" s="88" t="s">
        <v>1164</v>
      </c>
      <c r="K152" s="142" t="s">
        <v>4648</v>
      </c>
      <c r="L152" s="251">
        <v>277</v>
      </c>
    </row>
    <row r="153" spans="2:12" ht="15.75" thickBot="1" x14ac:dyDescent="0.3">
      <c r="B153" s="149" t="s">
        <v>2846</v>
      </c>
      <c r="C153" s="148">
        <f t="shared" ca="1" si="2"/>
        <v>118</v>
      </c>
      <c r="D153" s="87">
        <v>15584189</v>
      </c>
      <c r="E153" s="159" t="s">
        <v>4803</v>
      </c>
      <c r="F153" s="252">
        <v>39092</v>
      </c>
      <c r="G153" s="155">
        <f>IF(F153&lt;&gt;"",'CONCEPTOS Y PARAMETROS'!$M$2-YEAR(F153),"")</f>
        <v>18</v>
      </c>
      <c r="H153" s="158">
        <v>0</v>
      </c>
      <c r="I153" s="156" t="str">
        <f>IFERROR(VLOOKUP(J153,CARGOS!A:F,2,0),"")</f>
        <v>15125</v>
      </c>
      <c r="J153" s="88" t="s">
        <v>212</v>
      </c>
      <c r="K153" s="142" t="s">
        <v>4940</v>
      </c>
      <c r="L153" s="251">
        <v>285</v>
      </c>
    </row>
    <row r="154" spans="2:12" ht="15.75" thickBot="1" x14ac:dyDescent="0.3">
      <c r="B154" s="149" t="s">
        <v>2846</v>
      </c>
      <c r="C154" s="148">
        <f t="shared" ca="1" si="2"/>
        <v>119</v>
      </c>
      <c r="D154" s="87">
        <v>15588470</v>
      </c>
      <c r="E154" s="159" t="s">
        <v>4804</v>
      </c>
      <c r="F154" s="252">
        <v>39098</v>
      </c>
      <c r="G154" s="155">
        <f>IF(F154&lt;&gt;"",'CONCEPTOS Y PARAMETROS'!$M$2-YEAR(F154),"")</f>
        <v>18</v>
      </c>
      <c r="H154" s="158">
        <v>0</v>
      </c>
      <c r="I154" s="156" t="str">
        <f>IFERROR(VLOOKUP(J154,CARGOS!A:F,2,0),"")</f>
        <v>79352</v>
      </c>
      <c r="J154" s="88" t="s">
        <v>2429</v>
      </c>
      <c r="K154" s="142" t="s">
        <v>4936</v>
      </c>
      <c r="L154" s="251">
        <v>226</v>
      </c>
    </row>
    <row r="155" spans="2:12" ht="15.75" thickBot="1" x14ac:dyDescent="0.3">
      <c r="B155" s="149" t="s">
        <v>2846</v>
      </c>
      <c r="C155" s="148">
        <f t="shared" ca="1" si="2"/>
        <v>120</v>
      </c>
      <c r="D155" s="87">
        <v>15752386</v>
      </c>
      <c r="E155" s="159" t="s">
        <v>4805</v>
      </c>
      <c r="F155" s="252">
        <v>38930</v>
      </c>
      <c r="G155" s="155">
        <f>IF(F155&lt;&gt;"",'CONCEPTOS Y PARAMETROS'!$M$2-YEAR(F155),"")</f>
        <v>19</v>
      </c>
      <c r="H155" s="158">
        <v>0</v>
      </c>
      <c r="I155" s="156" t="str">
        <f>IFERROR(VLOOKUP(J155,CARGOS!A:F,2,0),"")</f>
        <v>79512</v>
      </c>
      <c r="J155" s="88" t="s">
        <v>1164</v>
      </c>
      <c r="K155" s="142" t="s">
        <v>4936</v>
      </c>
      <c r="L155" s="251">
        <v>226</v>
      </c>
    </row>
    <row r="156" spans="2:12" ht="15.75" thickBot="1" x14ac:dyDescent="0.3">
      <c r="B156" s="149" t="s">
        <v>2846</v>
      </c>
      <c r="C156" s="148">
        <f t="shared" ca="1" si="2"/>
        <v>121</v>
      </c>
      <c r="D156" s="87">
        <v>15752435</v>
      </c>
      <c r="E156" s="159" t="s">
        <v>4806</v>
      </c>
      <c r="F156" s="252">
        <v>38930</v>
      </c>
      <c r="G156" s="155">
        <f>IF(F156&lt;&gt;"",'CONCEPTOS Y PARAMETROS'!$M$2-YEAR(F156),"")</f>
        <v>19</v>
      </c>
      <c r="H156" s="158">
        <v>0</v>
      </c>
      <c r="I156" s="156" t="str">
        <f>IFERROR(VLOOKUP(J156,CARGOS!A:F,2,0),"")</f>
        <v>79352</v>
      </c>
      <c r="J156" s="88" t="s">
        <v>2429</v>
      </c>
      <c r="K156" s="142" t="s">
        <v>4936</v>
      </c>
      <c r="L156" s="251">
        <v>226</v>
      </c>
    </row>
    <row r="157" spans="2:12" ht="15.75" thickBot="1" x14ac:dyDescent="0.3">
      <c r="B157" s="149" t="s">
        <v>2846</v>
      </c>
      <c r="C157" s="148">
        <f t="shared" ca="1" si="2"/>
        <v>122</v>
      </c>
      <c r="D157" s="87">
        <v>15780354</v>
      </c>
      <c r="E157" s="159" t="s">
        <v>4807</v>
      </c>
      <c r="F157" s="252">
        <v>44409</v>
      </c>
      <c r="G157" s="155">
        <f>IF(F157&lt;&gt;"",'CONCEPTOS Y PARAMETROS'!$M$2-YEAR(F157),"")</f>
        <v>4</v>
      </c>
      <c r="H157" s="158">
        <v>0</v>
      </c>
      <c r="I157" s="156" t="str">
        <f>IFERROR(VLOOKUP(J157,CARGOS!A:F,2,0),"")</f>
        <v>79511</v>
      </c>
      <c r="J157" s="88" t="s">
        <v>1162</v>
      </c>
      <c r="K157" s="142" t="s">
        <v>4649</v>
      </c>
      <c r="L157" s="251">
        <v>192</v>
      </c>
    </row>
    <row r="158" spans="2:12" ht="15.75" thickBot="1" x14ac:dyDescent="0.3">
      <c r="B158" s="149" t="s">
        <v>2846</v>
      </c>
      <c r="C158" s="148">
        <f t="shared" ca="1" si="2"/>
        <v>123</v>
      </c>
      <c r="D158" s="87">
        <v>15824405</v>
      </c>
      <c r="E158" s="159" t="s">
        <v>4808</v>
      </c>
      <c r="F158" s="252">
        <v>44743</v>
      </c>
      <c r="G158" s="155">
        <f>IF(F158&lt;&gt;"",'CONCEPTOS Y PARAMETROS'!$M$2-YEAR(F158),"")</f>
        <v>3</v>
      </c>
      <c r="H158" s="158">
        <v>0</v>
      </c>
      <c r="I158" s="156" t="str">
        <f>IFERROR(VLOOKUP(J158,CARGOS!A:F,2,0),"")</f>
        <v>79511</v>
      </c>
      <c r="J158" s="88" t="s">
        <v>1162</v>
      </c>
      <c r="K158" s="142" t="s">
        <v>4649</v>
      </c>
      <c r="L158" s="251">
        <v>192</v>
      </c>
    </row>
    <row r="159" spans="2:12" ht="15.75" thickBot="1" x14ac:dyDescent="0.3">
      <c r="B159" s="149" t="s">
        <v>2846</v>
      </c>
      <c r="C159" s="148">
        <f t="shared" ca="1" si="2"/>
        <v>124</v>
      </c>
      <c r="D159" s="87">
        <v>15824548</v>
      </c>
      <c r="E159" s="159" t="s">
        <v>4809</v>
      </c>
      <c r="F159" s="252">
        <v>44317</v>
      </c>
      <c r="G159" s="155">
        <f>IF(F159&lt;&gt;"",'CONCEPTOS Y PARAMETROS'!$M$2-YEAR(F159),"")</f>
        <v>4</v>
      </c>
      <c r="H159" s="158">
        <v>0</v>
      </c>
      <c r="I159" s="156" t="str">
        <f>IFERROR(VLOOKUP(J159,CARGOS!A:F,2,0),"")</f>
        <v>79341</v>
      </c>
      <c r="J159" s="88" t="s">
        <v>2381</v>
      </c>
      <c r="K159" s="142" t="s">
        <v>4649</v>
      </c>
      <c r="L159" s="251">
        <v>192</v>
      </c>
    </row>
    <row r="160" spans="2:12" ht="15.75" thickBot="1" x14ac:dyDescent="0.3">
      <c r="B160" s="149" t="s">
        <v>2846</v>
      </c>
      <c r="C160" s="148">
        <f t="shared" ca="1" si="2"/>
        <v>125</v>
      </c>
      <c r="D160" s="87">
        <v>15904692</v>
      </c>
      <c r="E160" s="215" t="s">
        <v>4810</v>
      </c>
      <c r="F160" s="216">
        <v>39756</v>
      </c>
      <c r="G160" s="155">
        <f>IF(F160&lt;&gt;"",'CONCEPTOS Y PARAMETROS'!$M$2-YEAR(F160),"")</f>
        <v>17</v>
      </c>
      <c r="H160" s="158">
        <v>0</v>
      </c>
      <c r="I160" s="156" t="str">
        <f>IFERROR(VLOOKUP(J160,CARGOS!A:F,2,0),"")</f>
        <v>79512</v>
      </c>
      <c r="J160" s="88" t="s">
        <v>1164</v>
      </c>
      <c r="K160" s="142" t="s">
        <v>4936</v>
      </c>
      <c r="L160" s="251">
        <v>226</v>
      </c>
    </row>
    <row r="161" spans="2:12" ht="15.75" thickBot="1" x14ac:dyDescent="0.3">
      <c r="B161" s="149" t="s">
        <v>2846</v>
      </c>
      <c r="C161" s="148">
        <f t="shared" ca="1" si="2"/>
        <v>126</v>
      </c>
      <c r="D161" s="87">
        <v>16015833</v>
      </c>
      <c r="E161" s="159" t="s">
        <v>4811</v>
      </c>
      <c r="F161" s="252">
        <v>42948</v>
      </c>
      <c r="G161" s="155">
        <f>IF(F161&lt;&gt;"",'CONCEPTOS Y PARAMETROS'!$M$2-YEAR(F161),"")</f>
        <v>8</v>
      </c>
      <c r="H161" s="158">
        <v>0</v>
      </c>
      <c r="I161" s="156" t="str">
        <f>IFERROR(VLOOKUP(J161,CARGOS!A:F,2,0),"")</f>
        <v>79512</v>
      </c>
      <c r="J161" s="88" t="s">
        <v>1164</v>
      </c>
      <c r="K161" s="142" t="s">
        <v>4643</v>
      </c>
      <c r="L161" s="251">
        <v>279</v>
      </c>
    </row>
    <row r="162" spans="2:12" ht="15.75" thickBot="1" x14ac:dyDescent="0.3">
      <c r="B162" s="149" t="s">
        <v>2846</v>
      </c>
      <c r="C162" s="148">
        <f t="shared" ca="1" si="2"/>
        <v>127</v>
      </c>
      <c r="D162" s="87">
        <v>16065580</v>
      </c>
      <c r="E162" s="159" t="s">
        <v>4812</v>
      </c>
      <c r="F162" s="252">
        <v>44363</v>
      </c>
      <c r="G162" s="155">
        <f>IF(F162&lt;&gt;"",'CONCEPTOS Y PARAMETROS'!$M$2-YEAR(F162),"")</f>
        <v>4</v>
      </c>
      <c r="H162" s="158">
        <v>0</v>
      </c>
      <c r="I162" s="156" t="str">
        <f>IFERROR(VLOOKUP(J162,CARGOS!A:F,2,0),"")</f>
        <v>79521</v>
      </c>
      <c r="J162" s="88" t="s">
        <v>2469</v>
      </c>
      <c r="K162" s="142" t="s">
        <v>4650</v>
      </c>
      <c r="L162" s="251">
        <v>130</v>
      </c>
    </row>
    <row r="163" spans="2:12" ht="15.75" thickBot="1" x14ac:dyDescent="0.3">
      <c r="B163" s="149" t="s">
        <v>2846</v>
      </c>
      <c r="C163" s="148">
        <f t="shared" ca="1" si="2"/>
        <v>128</v>
      </c>
      <c r="D163" s="87">
        <v>16065861</v>
      </c>
      <c r="E163" s="159" t="s">
        <v>4813</v>
      </c>
      <c r="F163" s="252">
        <v>43906</v>
      </c>
      <c r="G163" s="155">
        <f>IF(F163&lt;&gt;"",'CONCEPTOS Y PARAMETROS'!$M$2-YEAR(F163),"")</f>
        <v>5</v>
      </c>
      <c r="H163" s="158">
        <v>13</v>
      </c>
      <c r="I163" s="156" t="str">
        <f>IFERROR(VLOOKUP(J163,CARGOS!A:F,2,0),"")</f>
        <v>34234</v>
      </c>
      <c r="J163" s="88" t="s">
        <v>980</v>
      </c>
      <c r="K163" s="142" t="s">
        <v>4940</v>
      </c>
      <c r="L163" s="251">
        <v>285</v>
      </c>
    </row>
    <row r="164" spans="2:12" ht="15.75" thickBot="1" x14ac:dyDescent="0.3">
      <c r="B164" s="149" t="s">
        <v>2846</v>
      </c>
      <c r="C164" s="148">
        <f t="shared" ca="1" si="2"/>
        <v>129</v>
      </c>
      <c r="D164" s="87">
        <v>16066524</v>
      </c>
      <c r="E164" s="159" t="s">
        <v>4814</v>
      </c>
      <c r="F164" s="252">
        <v>41456</v>
      </c>
      <c r="G164" s="155">
        <f>IF(F164&lt;&gt;"",'CONCEPTOS Y PARAMETROS'!$M$2-YEAR(F164),"")</f>
        <v>12</v>
      </c>
      <c r="H164" s="158">
        <v>0</v>
      </c>
      <c r="I164" s="156" t="str">
        <f>IFERROR(VLOOKUP(J164,CARGOS!A:F,2,0),"")</f>
        <v>12113</v>
      </c>
      <c r="J164" s="88" t="s">
        <v>326</v>
      </c>
      <c r="K164" s="142" t="s">
        <v>4645</v>
      </c>
      <c r="L164" s="251">
        <v>223</v>
      </c>
    </row>
    <row r="165" spans="2:12" ht="15.75" thickBot="1" x14ac:dyDescent="0.3">
      <c r="B165" s="149" t="s">
        <v>2846</v>
      </c>
      <c r="C165" s="148">
        <f t="shared" ca="1" si="2"/>
        <v>130</v>
      </c>
      <c r="D165" s="87">
        <v>16066554</v>
      </c>
      <c r="E165" s="159" t="s">
        <v>4815</v>
      </c>
      <c r="F165" s="252">
        <v>38797</v>
      </c>
      <c r="G165" s="155">
        <f>IF(F165&lt;&gt;"",'CONCEPTOS Y PARAMETROS'!$M$2-YEAR(F165),"")</f>
        <v>19</v>
      </c>
      <c r="H165" s="158">
        <v>0</v>
      </c>
      <c r="I165" s="156" t="str">
        <f>IFERROR(VLOOKUP(J165,CARGOS!A:F,2,0),"")</f>
        <v>21214</v>
      </c>
      <c r="J165" s="88" t="s">
        <v>515</v>
      </c>
      <c r="K165" s="142" t="s">
        <v>4940</v>
      </c>
      <c r="L165" s="251">
        <v>285</v>
      </c>
    </row>
    <row r="166" spans="2:12" ht="15.75" thickBot="1" x14ac:dyDescent="0.3">
      <c r="B166" s="149" t="s">
        <v>2846</v>
      </c>
      <c r="C166" s="148">
        <f t="shared" ca="1" si="2"/>
        <v>131</v>
      </c>
      <c r="D166" s="87">
        <v>16266033</v>
      </c>
      <c r="E166" s="159" t="s">
        <v>4816</v>
      </c>
      <c r="F166" s="252">
        <v>44713</v>
      </c>
      <c r="G166" s="155">
        <f>IF(F166&lt;&gt;"",'CONCEPTOS Y PARAMETROS'!$M$2-YEAR(F166),"")</f>
        <v>3</v>
      </c>
      <c r="H166" s="158">
        <v>0</v>
      </c>
      <c r="I166" s="156" t="str">
        <f>IFERROR(VLOOKUP(J166,CARGOS!A:F,2,0),"")</f>
        <v>79511</v>
      </c>
      <c r="J166" s="88" t="s">
        <v>1162</v>
      </c>
      <c r="K166" s="142" t="s">
        <v>4649</v>
      </c>
      <c r="L166" s="251">
        <v>192</v>
      </c>
    </row>
    <row r="167" spans="2:12" ht="15.75" thickBot="1" x14ac:dyDescent="0.3">
      <c r="B167" s="149" t="s">
        <v>2846</v>
      </c>
      <c r="C167" s="148">
        <f t="shared" ca="1" si="2"/>
        <v>132</v>
      </c>
      <c r="D167" s="87">
        <v>16266989</v>
      </c>
      <c r="E167" s="159" t="s">
        <v>4817</v>
      </c>
      <c r="F167" s="252">
        <v>43040</v>
      </c>
      <c r="G167" s="155">
        <f>IF(F167&lt;&gt;"",'CONCEPTOS Y PARAMETROS'!$M$2-YEAR(F167),"")</f>
        <v>8</v>
      </c>
      <c r="H167" s="158">
        <v>0</v>
      </c>
      <c r="I167" s="156" t="str">
        <f>IFERROR(VLOOKUP(J167,CARGOS!A:F,2,0),"")</f>
        <v>79512</v>
      </c>
      <c r="J167" s="88" t="s">
        <v>1164</v>
      </c>
      <c r="K167" s="142" t="s">
        <v>4643</v>
      </c>
      <c r="L167" s="251">
        <v>279</v>
      </c>
    </row>
    <row r="168" spans="2:12" ht="15.75" thickBot="1" x14ac:dyDescent="0.3">
      <c r="B168" s="149" t="s">
        <v>2846</v>
      </c>
      <c r="C168" s="148">
        <f t="shared" ca="1" si="2"/>
        <v>133</v>
      </c>
      <c r="D168" s="87">
        <v>16267940</v>
      </c>
      <c r="E168" s="159" t="s">
        <v>4818</v>
      </c>
      <c r="F168" s="252">
        <v>44600</v>
      </c>
      <c r="G168" s="155">
        <f>IF(F168&lt;&gt;"",'CONCEPTOS Y PARAMETROS'!$M$2-YEAR(F168),"")</f>
        <v>3</v>
      </c>
      <c r="H168" s="158">
        <v>0</v>
      </c>
      <c r="I168" s="156" t="str">
        <f>IFERROR(VLOOKUP(J168,CARGOS!A:F,2,0),"")</f>
        <v>79341</v>
      </c>
      <c r="J168" s="88" t="s">
        <v>2381</v>
      </c>
      <c r="K168" s="142" t="s">
        <v>4649</v>
      </c>
      <c r="L168" s="251">
        <v>192</v>
      </c>
    </row>
    <row r="169" spans="2:12" ht="15.75" thickBot="1" x14ac:dyDescent="0.3">
      <c r="B169" s="149" t="s">
        <v>2846</v>
      </c>
      <c r="C169" s="148">
        <f t="shared" ca="1" si="2"/>
        <v>134</v>
      </c>
      <c r="D169" s="87">
        <v>16351017</v>
      </c>
      <c r="E169" s="159" t="s">
        <v>4819</v>
      </c>
      <c r="F169" s="252">
        <v>42767</v>
      </c>
      <c r="G169" s="155">
        <f>IF(F169&lt;&gt;"",'CONCEPTOS Y PARAMETROS'!$M$2-YEAR(F169),"")</f>
        <v>8</v>
      </c>
      <c r="H169" s="158">
        <v>0</v>
      </c>
      <c r="I169" s="156" t="str">
        <f>IFERROR(VLOOKUP(J169,CARGOS!A:F,2,0),"")</f>
        <v>41413</v>
      </c>
      <c r="J169" s="88" t="s">
        <v>1482</v>
      </c>
      <c r="K169" s="142" t="s">
        <v>4952</v>
      </c>
      <c r="L169" s="251">
        <v>170</v>
      </c>
    </row>
    <row r="170" spans="2:12" ht="15.75" thickBot="1" x14ac:dyDescent="0.3">
      <c r="B170" s="149" t="s">
        <v>2846</v>
      </c>
      <c r="C170" s="148">
        <f t="shared" ca="1" si="2"/>
        <v>135</v>
      </c>
      <c r="D170" s="87">
        <v>16376534</v>
      </c>
      <c r="E170" s="159" t="s">
        <v>4820</v>
      </c>
      <c r="F170" s="252">
        <v>43754</v>
      </c>
      <c r="G170" s="155">
        <f>IF(F170&lt;&gt;"",'CONCEPTOS Y PARAMETROS'!$M$2-YEAR(F170),"")</f>
        <v>6</v>
      </c>
      <c r="H170" s="158">
        <v>0</v>
      </c>
      <c r="I170" s="156" t="str">
        <f>IFERROR(VLOOKUP(J170,CARGOS!A:F,2,0),"")</f>
        <v>79512</v>
      </c>
      <c r="J170" s="88" t="s">
        <v>1164</v>
      </c>
      <c r="K170" s="142" t="s">
        <v>4648</v>
      </c>
      <c r="L170" s="251">
        <v>277</v>
      </c>
    </row>
    <row r="171" spans="2:12" ht="15.75" thickBot="1" x14ac:dyDescent="0.3">
      <c r="B171" s="149" t="s">
        <v>2846</v>
      </c>
      <c r="C171" s="148">
        <f t="shared" ca="1" si="2"/>
        <v>136</v>
      </c>
      <c r="D171" s="87">
        <v>16376698</v>
      </c>
      <c r="E171" s="159" t="s">
        <v>4821</v>
      </c>
      <c r="F171" s="252">
        <v>40909</v>
      </c>
      <c r="G171" s="155">
        <f>IF(F171&lt;&gt;"",'CONCEPTOS Y PARAMETROS'!$M$2-YEAR(F171),"")</f>
        <v>13</v>
      </c>
      <c r="H171" s="158">
        <v>0</v>
      </c>
      <c r="I171" s="156" t="str">
        <f>IFERROR(VLOOKUP(J171,CARGOS!A:F,2,0),"")</f>
        <v>22414</v>
      </c>
      <c r="J171" s="88" t="s">
        <v>2188</v>
      </c>
      <c r="K171" s="142" t="s">
        <v>4644</v>
      </c>
      <c r="L171" s="251">
        <v>172</v>
      </c>
    </row>
    <row r="172" spans="2:12" ht="15.75" thickBot="1" x14ac:dyDescent="0.3">
      <c r="B172" s="149" t="s">
        <v>2846</v>
      </c>
      <c r="C172" s="148">
        <f t="shared" ca="1" si="2"/>
        <v>137</v>
      </c>
      <c r="D172" s="87">
        <v>16377159</v>
      </c>
      <c r="E172" s="159" t="s">
        <v>4822</v>
      </c>
      <c r="F172" s="252">
        <v>44743</v>
      </c>
      <c r="G172" s="155">
        <f>IF(F172&lt;&gt;"",'CONCEPTOS Y PARAMETROS'!$M$2-YEAR(F172),"")</f>
        <v>3</v>
      </c>
      <c r="H172" s="158">
        <v>0</v>
      </c>
      <c r="I172" s="156" t="str">
        <f>IFERROR(VLOOKUP(J172,CARGOS!A:F,2,0),"")</f>
        <v>79511</v>
      </c>
      <c r="J172" s="88" t="s">
        <v>1162</v>
      </c>
      <c r="K172" s="142" t="s">
        <v>4649</v>
      </c>
      <c r="L172" s="251">
        <v>192</v>
      </c>
    </row>
    <row r="173" spans="2:12" ht="15.75" thickBot="1" x14ac:dyDescent="0.3">
      <c r="B173" s="149" t="s">
        <v>2846</v>
      </c>
      <c r="C173" s="148">
        <f t="shared" ca="1" si="2"/>
        <v>138</v>
      </c>
      <c r="D173" s="87">
        <v>16377588</v>
      </c>
      <c r="E173" s="159" t="s">
        <v>4823</v>
      </c>
      <c r="F173" s="252">
        <v>44059</v>
      </c>
      <c r="G173" s="155">
        <f>IF(F173&lt;&gt;"",'CONCEPTOS Y PARAMETROS'!$M$2-YEAR(F173),"")</f>
        <v>5</v>
      </c>
      <c r="H173" s="158">
        <v>0</v>
      </c>
      <c r="I173" s="156" t="str">
        <f>IFERROR(VLOOKUP(J173,CARGOS!A:F,2,0),"")</f>
        <v>79521</v>
      </c>
      <c r="J173" s="88" t="s">
        <v>2469</v>
      </c>
      <c r="K173" s="142" t="s">
        <v>4648</v>
      </c>
      <c r="L173" s="251">
        <v>277</v>
      </c>
    </row>
    <row r="174" spans="2:12" ht="15.75" thickBot="1" x14ac:dyDescent="0.3">
      <c r="B174" s="149" t="s">
        <v>2846</v>
      </c>
      <c r="C174" s="148">
        <f t="shared" ca="1" si="2"/>
        <v>139</v>
      </c>
      <c r="D174" s="87">
        <v>16377628</v>
      </c>
      <c r="E174" s="159" t="s">
        <v>4824</v>
      </c>
      <c r="F174" s="252">
        <v>44743</v>
      </c>
      <c r="G174" s="155">
        <f>IF(F174&lt;&gt;"",'CONCEPTOS Y PARAMETROS'!$M$2-YEAR(F174),"")</f>
        <v>3</v>
      </c>
      <c r="H174" s="158">
        <v>9</v>
      </c>
      <c r="I174" s="156" t="str">
        <f>IFERROR(VLOOKUP(J174,CARGOS!A:F,2,0),"")</f>
        <v>79512</v>
      </c>
      <c r="J174" s="88" t="s">
        <v>1164</v>
      </c>
      <c r="K174" s="142" t="s">
        <v>4642</v>
      </c>
      <c r="L174" s="251">
        <v>281</v>
      </c>
    </row>
    <row r="175" spans="2:12" ht="15.75" thickBot="1" x14ac:dyDescent="0.3">
      <c r="B175" s="149" t="s">
        <v>2846</v>
      </c>
      <c r="C175" s="148">
        <f t="shared" ca="1" si="2"/>
        <v>140</v>
      </c>
      <c r="D175" s="87">
        <v>16463169</v>
      </c>
      <c r="E175" s="159" t="s">
        <v>4825</v>
      </c>
      <c r="F175" s="252">
        <v>44743</v>
      </c>
      <c r="G175" s="155">
        <f>IF(F175&lt;&gt;"",'CONCEPTOS Y PARAMETROS'!$M$2-YEAR(F175),"")</f>
        <v>3</v>
      </c>
      <c r="H175" s="158">
        <v>6</v>
      </c>
      <c r="I175" s="156" t="str">
        <f>IFERROR(VLOOKUP(J175,CARGOS!A:F,2,0),"")</f>
        <v>79511</v>
      </c>
      <c r="J175" s="88" t="s">
        <v>1162</v>
      </c>
      <c r="K175" s="142" t="s">
        <v>4952</v>
      </c>
      <c r="L175" s="251">
        <v>170</v>
      </c>
    </row>
    <row r="176" spans="2:12" ht="15.75" thickBot="1" x14ac:dyDescent="0.3">
      <c r="B176" s="149" t="s">
        <v>2846</v>
      </c>
      <c r="C176" s="148">
        <f t="shared" ca="1" si="2"/>
        <v>141</v>
      </c>
      <c r="D176" s="87">
        <v>16533566</v>
      </c>
      <c r="E176" s="159" t="s">
        <v>4826</v>
      </c>
      <c r="F176" s="252">
        <v>44683</v>
      </c>
      <c r="G176" s="155">
        <f>IF(F176&lt;&gt;"",'CONCEPTOS Y PARAMETROS'!$M$2-YEAR(F176),"")</f>
        <v>3</v>
      </c>
      <c r="H176" s="158">
        <v>0</v>
      </c>
      <c r="I176" s="156" t="str">
        <f>IFERROR(VLOOKUP(J176,CARGOS!A:F,2,0),"")</f>
        <v>79511</v>
      </c>
      <c r="J176" s="88" t="s">
        <v>1162</v>
      </c>
      <c r="K176" s="142" t="s">
        <v>4650</v>
      </c>
      <c r="L176" s="251">
        <v>130</v>
      </c>
    </row>
    <row r="177" spans="2:12" ht="15.75" thickBot="1" x14ac:dyDescent="0.3">
      <c r="B177" s="149" t="s">
        <v>2846</v>
      </c>
      <c r="C177" s="148">
        <f t="shared" ca="1" si="2"/>
        <v>142</v>
      </c>
      <c r="D177" s="87">
        <v>16533986</v>
      </c>
      <c r="E177" s="159" t="s">
        <v>4827</v>
      </c>
      <c r="F177" s="252">
        <v>42948</v>
      </c>
      <c r="G177" s="155">
        <f>IF(F177&lt;&gt;"",'CONCEPTOS Y PARAMETROS'!$M$2-YEAR(F177),"")</f>
        <v>8</v>
      </c>
      <c r="H177" s="158">
        <v>0</v>
      </c>
      <c r="I177" s="156" t="str">
        <f>IFERROR(VLOOKUP(J177,CARGOS!A:F,2,0),"")</f>
        <v>46512</v>
      </c>
      <c r="J177" s="88" t="s">
        <v>1246</v>
      </c>
      <c r="K177" s="142" t="s">
        <v>4643</v>
      </c>
      <c r="L177" s="251">
        <v>279</v>
      </c>
    </row>
    <row r="178" spans="2:12" ht="15.75" thickBot="1" x14ac:dyDescent="0.3">
      <c r="B178" s="149" t="s">
        <v>2846</v>
      </c>
      <c r="C178" s="148">
        <f t="shared" ca="1" si="2"/>
        <v>143</v>
      </c>
      <c r="D178" s="87">
        <v>16739081</v>
      </c>
      <c r="E178" s="159" t="s">
        <v>4828</v>
      </c>
      <c r="F178" s="252">
        <v>42948</v>
      </c>
      <c r="G178" s="155">
        <f>IF(F178&lt;&gt;"",'CONCEPTOS Y PARAMETROS'!$M$2-YEAR(F178),"")</f>
        <v>8</v>
      </c>
      <c r="H178" s="158">
        <v>0</v>
      </c>
      <c r="I178" s="156" t="str">
        <f>IFERROR(VLOOKUP(J178,CARGOS!A:F,2,0),"")</f>
        <v>12113</v>
      </c>
      <c r="J178" s="88" t="s">
        <v>326</v>
      </c>
      <c r="K178" s="142" t="s">
        <v>4950</v>
      </c>
      <c r="L178" s="251">
        <v>221</v>
      </c>
    </row>
    <row r="179" spans="2:12" ht="15.75" thickBot="1" x14ac:dyDescent="0.3">
      <c r="B179" s="149" t="s">
        <v>2846</v>
      </c>
      <c r="C179" s="148">
        <f t="shared" ca="1" si="2"/>
        <v>144</v>
      </c>
      <c r="D179" s="87">
        <v>16881384</v>
      </c>
      <c r="E179" s="159" t="s">
        <v>4829</v>
      </c>
      <c r="F179" s="252">
        <v>43906</v>
      </c>
      <c r="G179" s="155">
        <f>IF(F179&lt;&gt;"",'CONCEPTOS Y PARAMETROS'!$M$2-YEAR(F179),"")</f>
        <v>5</v>
      </c>
      <c r="H179" s="158">
        <v>9</v>
      </c>
      <c r="I179" s="156" t="str">
        <f>IFERROR(VLOOKUP(J179,CARGOS!A:F,2,0),"")</f>
        <v>79512</v>
      </c>
      <c r="J179" s="88" t="s">
        <v>1164</v>
      </c>
      <c r="K179" s="142" t="s">
        <v>4945</v>
      </c>
      <c r="L179" s="251">
        <v>225</v>
      </c>
    </row>
    <row r="180" spans="2:12" ht="15.75" thickBot="1" x14ac:dyDescent="0.3">
      <c r="B180" s="149" t="s">
        <v>2846</v>
      </c>
      <c r="C180" s="148">
        <f t="shared" ca="1" si="2"/>
        <v>145</v>
      </c>
      <c r="D180" s="87">
        <v>16882467</v>
      </c>
      <c r="E180" s="159" t="s">
        <v>4830</v>
      </c>
      <c r="F180" s="252">
        <v>42948</v>
      </c>
      <c r="G180" s="155">
        <f>IF(F180&lt;&gt;"",'CONCEPTOS Y PARAMETROS'!$M$2-YEAR(F180),"")</f>
        <v>8</v>
      </c>
      <c r="H180" s="158">
        <v>7</v>
      </c>
      <c r="I180" s="156" t="str">
        <f>IFERROR(VLOOKUP(J180,CARGOS!A:F,2,0),"")</f>
        <v>15121</v>
      </c>
      <c r="J180" s="88" t="s">
        <v>204</v>
      </c>
      <c r="K180" s="142" t="s">
        <v>4942</v>
      </c>
      <c r="L180" s="251">
        <v>283</v>
      </c>
    </row>
    <row r="181" spans="2:12" ht="15.75" thickBot="1" x14ac:dyDescent="0.3">
      <c r="B181" s="149" t="s">
        <v>2846</v>
      </c>
      <c r="C181" s="148">
        <f t="shared" ca="1" si="2"/>
        <v>146</v>
      </c>
      <c r="D181" s="87">
        <v>16883267</v>
      </c>
      <c r="E181" s="159" t="s">
        <v>4831</v>
      </c>
      <c r="F181" s="252">
        <v>38930</v>
      </c>
      <c r="G181" s="155">
        <f>IF(F181&lt;&gt;"",'CONCEPTOS Y PARAMETROS'!$M$2-YEAR(F181),"")</f>
        <v>19</v>
      </c>
      <c r="H181" s="158">
        <v>0</v>
      </c>
      <c r="I181" s="156" t="str">
        <f>IFERROR(VLOOKUP(J181,CARGOS!A:F,2,0),"")</f>
        <v>79512</v>
      </c>
      <c r="J181" s="88" t="s">
        <v>1164</v>
      </c>
      <c r="K181" s="142" t="s">
        <v>4936</v>
      </c>
      <c r="L181" s="251">
        <v>226</v>
      </c>
    </row>
    <row r="182" spans="2:12" ht="15.75" thickBot="1" x14ac:dyDescent="0.3">
      <c r="B182" s="149" t="s">
        <v>2846</v>
      </c>
      <c r="C182" s="148">
        <f t="shared" ca="1" si="2"/>
        <v>147</v>
      </c>
      <c r="D182" s="87">
        <v>17037244</v>
      </c>
      <c r="E182" s="159" t="s">
        <v>4832</v>
      </c>
      <c r="F182" s="252">
        <v>40087</v>
      </c>
      <c r="G182" s="155">
        <f>IF(F182&lt;&gt;"",'CONCEPTOS Y PARAMETROS'!$M$2-YEAR(F182),"")</f>
        <v>16</v>
      </c>
      <c r="H182" s="158">
        <v>0</v>
      </c>
      <c r="I182" s="156" t="str">
        <f>IFERROR(VLOOKUP(J182,CARGOS!A:F,2,0),"")</f>
        <v>79512</v>
      </c>
      <c r="J182" s="88" t="s">
        <v>1164</v>
      </c>
      <c r="K182" s="142" t="s">
        <v>4945</v>
      </c>
      <c r="L182" s="251">
        <v>225</v>
      </c>
    </row>
    <row r="183" spans="2:12" ht="15.75" thickBot="1" x14ac:dyDescent="0.3">
      <c r="B183" s="149" t="s">
        <v>2846</v>
      </c>
      <c r="C183" s="148">
        <f t="shared" ca="1" si="2"/>
        <v>148</v>
      </c>
      <c r="D183" s="87">
        <v>17094419</v>
      </c>
      <c r="E183" s="159" t="s">
        <v>4833</v>
      </c>
      <c r="F183" s="252">
        <v>44409</v>
      </c>
      <c r="G183" s="155">
        <f>IF(F183&lt;&gt;"",'CONCEPTOS Y PARAMETROS'!$M$2-YEAR(F183),"")</f>
        <v>4</v>
      </c>
      <c r="H183" s="158">
        <v>0</v>
      </c>
      <c r="I183" s="156" t="str">
        <f>IFERROR(VLOOKUP(J183,CARGOS!A:F,2,0),"")</f>
        <v>79511</v>
      </c>
      <c r="J183" s="88" t="s">
        <v>1162</v>
      </c>
      <c r="K183" s="142" t="s">
        <v>4650</v>
      </c>
      <c r="L183" s="251">
        <v>130</v>
      </c>
    </row>
    <row r="184" spans="2:12" ht="15.75" thickBot="1" x14ac:dyDescent="0.3">
      <c r="B184" s="149" t="s">
        <v>2846</v>
      </c>
      <c r="C184" s="148">
        <f t="shared" ca="1" si="2"/>
        <v>149</v>
      </c>
      <c r="D184" s="87">
        <v>17094426</v>
      </c>
      <c r="E184" s="159" t="s">
        <v>4834</v>
      </c>
      <c r="F184" s="252">
        <v>43344</v>
      </c>
      <c r="G184" s="155">
        <f>IF(F184&lt;&gt;"",'CONCEPTOS Y PARAMETROS'!$M$2-YEAR(F184),"")</f>
        <v>7</v>
      </c>
      <c r="H184" s="158">
        <v>0</v>
      </c>
      <c r="I184" s="156" t="str">
        <f>IFERROR(VLOOKUP(J184,CARGOS!A:F,2,0),"")</f>
        <v>79512</v>
      </c>
      <c r="J184" s="88" t="s">
        <v>1164</v>
      </c>
      <c r="K184" s="142" t="s">
        <v>4648</v>
      </c>
      <c r="L184" s="251">
        <v>277</v>
      </c>
    </row>
    <row r="185" spans="2:12" ht="15.75" thickBot="1" x14ac:dyDescent="0.3">
      <c r="B185" s="149" t="s">
        <v>2846</v>
      </c>
      <c r="C185" s="148">
        <f t="shared" ca="1" si="2"/>
        <v>150</v>
      </c>
      <c r="D185" s="87">
        <v>17130893</v>
      </c>
      <c r="E185" s="159" t="s">
        <v>4835</v>
      </c>
      <c r="F185" s="252">
        <v>39602</v>
      </c>
      <c r="G185" s="155">
        <f>IF(F185&lt;&gt;"",'CONCEPTOS Y PARAMETROS'!$M$2-YEAR(F185),"")</f>
        <v>17</v>
      </c>
      <c r="H185" s="158">
        <v>0</v>
      </c>
      <c r="I185" s="156" t="str">
        <f>IFERROR(VLOOKUP(J185,CARGOS!A:F,2,0),"")</f>
        <v>79522</v>
      </c>
      <c r="J185" s="88" t="s">
        <v>2471</v>
      </c>
      <c r="K185" s="142" t="s">
        <v>4940</v>
      </c>
      <c r="L185" s="251">
        <v>285</v>
      </c>
    </row>
    <row r="186" spans="2:12" ht="15.75" thickBot="1" x14ac:dyDescent="0.3">
      <c r="B186" s="149" t="s">
        <v>2846</v>
      </c>
      <c r="C186" s="148">
        <f t="shared" ca="1" si="2"/>
        <v>151</v>
      </c>
      <c r="D186" s="87">
        <v>17265648</v>
      </c>
      <c r="E186" s="159" t="s">
        <v>4836</v>
      </c>
      <c r="F186" s="252">
        <v>43709</v>
      </c>
      <c r="G186" s="155">
        <f>IF(F186&lt;&gt;"",'CONCEPTOS Y PARAMETROS'!$M$2-YEAR(F186),"")</f>
        <v>6</v>
      </c>
      <c r="H186" s="158">
        <v>0</v>
      </c>
      <c r="I186" s="156" t="str">
        <f>IFERROR(VLOOKUP(J186,CARGOS!A:F,2,0),"")</f>
        <v>79512</v>
      </c>
      <c r="J186" s="88" t="s">
        <v>1164</v>
      </c>
      <c r="K186" s="142" t="s">
        <v>4946</v>
      </c>
      <c r="L186" s="251">
        <v>150</v>
      </c>
    </row>
    <row r="187" spans="2:12" ht="15.75" thickBot="1" x14ac:dyDescent="0.3">
      <c r="B187" s="149" t="s">
        <v>2846</v>
      </c>
      <c r="C187" s="148">
        <f t="shared" ca="1" si="2"/>
        <v>152</v>
      </c>
      <c r="D187" s="87">
        <v>17267324</v>
      </c>
      <c r="E187" s="159" t="s">
        <v>4837</v>
      </c>
      <c r="F187" s="252">
        <v>43785</v>
      </c>
      <c r="G187" s="155">
        <f>IF(F187&lt;&gt;"",'CONCEPTOS Y PARAMETROS'!$M$2-YEAR(F187),"")</f>
        <v>6</v>
      </c>
      <c r="H187" s="158">
        <v>0</v>
      </c>
      <c r="I187" s="156" t="str">
        <f>IFERROR(VLOOKUP(J187,CARGOS!A:F,2,0),"")</f>
        <v>79512</v>
      </c>
      <c r="J187" s="88" t="s">
        <v>1164</v>
      </c>
      <c r="K187" s="142" t="s">
        <v>4946</v>
      </c>
      <c r="L187" s="251">
        <v>150</v>
      </c>
    </row>
    <row r="188" spans="2:12" ht="15.75" thickBot="1" x14ac:dyDescent="0.3">
      <c r="B188" s="149" t="s">
        <v>2846</v>
      </c>
      <c r="C188" s="148">
        <f t="shared" ca="1" si="2"/>
        <v>153</v>
      </c>
      <c r="D188" s="87">
        <v>17391316</v>
      </c>
      <c r="E188" s="159" t="s">
        <v>4838</v>
      </c>
      <c r="F188" s="252">
        <v>44713</v>
      </c>
      <c r="G188" s="155">
        <f>IF(F188&lt;&gt;"",'CONCEPTOS Y PARAMETROS'!$M$2-YEAR(F188),"")</f>
        <v>3</v>
      </c>
      <c r="H188" s="158">
        <v>0</v>
      </c>
      <c r="I188" s="156" t="str">
        <f>IFERROR(VLOOKUP(J188,CARGOS!A:F,2,0),"")</f>
        <v>79511</v>
      </c>
      <c r="J188" s="88" t="s">
        <v>1162</v>
      </c>
      <c r="K188" s="142" t="s">
        <v>4649</v>
      </c>
      <c r="L188" s="251">
        <v>192</v>
      </c>
    </row>
    <row r="189" spans="2:12" ht="15.75" thickBot="1" x14ac:dyDescent="0.3">
      <c r="B189" s="149" t="s">
        <v>2846</v>
      </c>
      <c r="C189" s="148">
        <f t="shared" ca="1" si="2"/>
        <v>154</v>
      </c>
      <c r="D189" s="87">
        <v>17392309</v>
      </c>
      <c r="E189" s="159" t="s">
        <v>4839</v>
      </c>
      <c r="F189" s="252">
        <v>43116</v>
      </c>
      <c r="G189" s="155">
        <f>IF(F189&lt;&gt;"",'CONCEPTOS Y PARAMETROS'!$M$2-YEAR(F189),"")</f>
        <v>7</v>
      </c>
      <c r="H189" s="158">
        <v>0</v>
      </c>
      <c r="I189" s="156" t="str">
        <f>IFERROR(VLOOKUP(J189,CARGOS!A:F,2,0),"")</f>
        <v>12114</v>
      </c>
      <c r="J189" s="88" t="s">
        <v>328</v>
      </c>
      <c r="K189" s="142" t="s">
        <v>4648</v>
      </c>
      <c r="L189" s="251">
        <v>277</v>
      </c>
    </row>
    <row r="190" spans="2:12" ht="15.75" thickBot="1" x14ac:dyDescent="0.3">
      <c r="B190" s="149" t="s">
        <v>2846</v>
      </c>
      <c r="C190" s="148">
        <f t="shared" ca="1" si="2"/>
        <v>155</v>
      </c>
      <c r="D190" s="87">
        <v>17393693</v>
      </c>
      <c r="E190" s="159" t="s">
        <v>4840</v>
      </c>
      <c r="F190" s="252">
        <v>44516</v>
      </c>
      <c r="G190" s="155">
        <f>IF(F190&lt;&gt;"",'CONCEPTOS Y PARAMETROS'!$M$2-YEAR(F190),"")</f>
        <v>4</v>
      </c>
      <c r="H190" s="158">
        <v>0</v>
      </c>
      <c r="I190" s="156" t="str">
        <f>IFERROR(VLOOKUP(J190,CARGOS!A:F,2,0),"")</f>
        <v>12111</v>
      </c>
      <c r="J190" s="88" t="s">
        <v>322</v>
      </c>
      <c r="K190" s="142" t="s">
        <v>4650</v>
      </c>
      <c r="L190" s="251">
        <v>130</v>
      </c>
    </row>
    <row r="191" spans="2:12" ht="15.75" thickBot="1" x14ac:dyDescent="0.3">
      <c r="B191" s="149" t="s">
        <v>2846</v>
      </c>
      <c r="C191" s="148">
        <f t="shared" ca="1" si="2"/>
        <v>156</v>
      </c>
      <c r="D191" s="87">
        <v>17597285</v>
      </c>
      <c r="E191" s="159" t="s">
        <v>4841</v>
      </c>
      <c r="F191" s="252">
        <v>42782</v>
      </c>
      <c r="G191" s="155">
        <f>IF(F191&lt;&gt;"",'CONCEPTOS Y PARAMETROS'!$M$2-YEAR(F191),"")</f>
        <v>8</v>
      </c>
      <c r="H191" s="158">
        <v>0</v>
      </c>
      <c r="I191" s="156" t="str">
        <f>IFERROR(VLOOKUP(J191,CARGOS!A:F,2,0),"")</f>
        <v>79342</v>
      </c>
      <c r="J191" s="88" t="s">
        <v>2383</v>
      </c>
      <c r="K191" s="142" t="s">
        <v>4950</v>
      </c>
      <c r="L191" s="251">
        <v>221</v>
      </c>
    </row>
    <row r="192" spans="2:12" ht="15.75" thickBot="1" x14ac:dyDescent="0.3">
      <c r="B192" s="149" t="s">
        <v>2846</v>
      </c>
      <c r="C192" s="148">
        <f t="shared" ca="1" si="2"/>
        <v>157</v>
      </c>
      <c r="D192" s="87">
        <v>17604568</v>
      </c>
      <c r="E192" s="159" t="s">
        <v>4842</v>
      </c>
      <c r="F192" s="252">
        <v>43831</v>
      </c>
      <c r="G192" s="155">
        <f>IF(F192&lt;&gt;"",'CONCEPTOS Y PARAMETROS'!$M$2-YEAR(F192),"")</f>
        <v>5</v>
      </c>
      <c r="H192" s="158">
        <v>0</v>
      </c>
      <c r="I192" s="156" t="str">
        <f>IFERROR(VLOOKUP(J192,CARGOS!A:F,2,0),"")</f>
        <v>46121</v>
      </c>
      <c r="J192" s="88" t="s">
        <v>2289</v>
      </c>
      <c r="K192" s="142" t="s">
        <v>4647</v>
      </c>
      <c r="L192" s="251">
        <v>219</v>
      </c>
    </row>
    <row r="193" spans="2:12" ht="15.75" thickBot="1" x14ac:dyDescent="0.3">
      <c r="B193" s="149" t="s">
        <v>2846</v>
      </c>
      <c r="C193" s="148">
        <f t="shared" ca="1" si="2"/>
        <v>158</v>
      </c>
      <c r="D193" s="87">
        <v>17605101</v>
      </c>
      <c r="E193" s="159" t="s">
        <v>4953</v>
      </c>
      <c r="F193" s="252">
        <v>44743</v>
      </c>
      <c r="G193" s="155">
        <f>IF(F193&lt;&gt;"",'CONCEPTOS Y PARAMETROS'!$M$2-YEAR(F193),"")</f>
        <v>3</v>
      </c>
      <c r="H193" s="158">
        <v>0</v>
      </c>
      <c r="I193" s="156" t="str">
        <f>IFERROR(VLOOKUP(J193,CARGOS!A:F,2,0),"")</f>
        <v>79511</v>
      </c>
      <c r="J193" s="88" t="s">
        <v>1162</v>
      </c>
      <c r="K193" s="142" t="s">
        <v>4649</v>
      </c>
      <c r="L193" s="251">
        <v>192</v>
      </c>
    </row>
    <row r="194" spans="2:12" ht="15.75" thickBot="1" x14ac:dyDescent="0.3">
      <c r="B194" s="149" t="s">
        <v>2846</v>
      </c>
      <c r="C194" s="148">
        <f t="shared" ca="1" si="2"/>
        <v>159</v>
      </c>
      <c r="D194" s="87">
        <v>17605222</v>
      </c>
      <c r="E194" s="159" t="s">
        <v>4843</v>
      </c>
      <c r="F194" s="252">
        <v>42737</v>
      </c>
      <c r="G194" s="155">
        <f>IF(F194&lt;&gt;"",'CONCEPTOS Y PARAMETROS'!$M$2-YEAR(F194),"")</f>
        <v>8</v>
      </c>
      <c r="H194" s="158">
        <v>0</v>
      </c>
      <c r="I194" s="156" t="str">
        <f>IFERROR(VLOOKUP(J194,CARGOS!A:F,2,0),"")</f>
        <v>79511</v>
      </c>
      <c r="J194" s="88" t="s">
        <v>1162</v>
      </c>
      <c r="K194" s="142" t="s">
        <v>4950</v>
      </c>
      <c r="L194" s="251">
        <v>221</v>
      </c>
    </row>
    <row r="195" spans="2:12" ht="15.75" thickBot="1" x14ac:dyDescent="0.3">
      <c r="B195" s="149" t="s">
        <v>2846</v>
      </c>
      <c r="C195" s="148">
        <f t="shared" ca="1" si="2"/>
        <v>160</v>
      </c>
      <c r="D195" s="87">
        <v>17605492</v>
      </c>
      <c r="E195" s="159" t="s">
        <v>4844</v>
      </c>
      <c r="F195" s="252">
        <v>43967</v>
      </c>
      <c r="G195" s="155">
        <f>IF(F195&lt;&gt;"",'CONCEPTOS Y PARAMETROS'!$M$2-YEAR(F195),"")</f>
        <v>5</v>
      </c>
      <c r="H195" s="158">
        <v>0</v>
      </c>
      <c r="I195" s="156" t="str">
        <f>IFERROR(VLOOKUP(J195,CARGOS!A:F,2,0),"")</f>
        <v>12114</v>
      </c>
      <c r="J195" s="88" t="s">
        <v>328</v>
      </c>
      <c r="K195" s="142" t="s">
        <v>4648</v>
      </c>
      <c r="L195" s="251">
        <v>277</v>
      </c>
    </row>
    <row r="196" spans="2:12" ht="15.75" thickBot="1" x14ac:dyDescent="0.3">
      <c r="B196" s="149" t="s">
        <v>2846</v>
      </c>
      <c r="C196" s="148">
        <f t="shared" ca="1" si="2"/>
        <v>161</v>
      </c>
      <c r="D196" s="87">
        <v>17830277</v>
      </c>
      <c r="E196" s="159" t="s">
        <v>4845</v>
      </c>
      <c r="F196" s="252">
        <v>44743</v>
      </c>
      <c r="G196" s="155">
        <f>IF(F196&lt;&gt;"",'CONCEPTOS Y PARAMETROS'!$M$2-YEAR(F196),"")</f>
        <v>3</v>
      </c>
      <c r="H196" s="158">
        <v>6</v>
      </c>
      <c r="I196" s="156" t="str">
        <f>IFERROR(VLOOKUP(J196,CARGOS!A:F,2,0),"")</f>
        <v>79512</v>
      </c>
      <c r="J196" s="88" t="s">
        <v>1164</v>
      </c>
      <c r="K196" s="142" t="s">
        <v>4643</v>
      </c>
      <c r="L196" s="251">
        <v>279</v>
      </c>
    </row>
    <row r="197" spans="2:12" ht="15.75" thickBot="1" x14ac:dyDescent="0.3">
      <c r="B197" s="149" t="s">
        <v>2846</v>
      </c>
      <c r="C197" s="148">
        <f t="shared" ca="1" si="2"/>
        <v>162</v>
      </c>
      <c r="D197" s="87">
        <v>17830285</v>
      </c>
      <c r="E197" s="159" t="s">
        <v>4846</v>
      </c>
      <c r="F197" s="252">
        <v>44774</v>
      </c>
      <c r="G197" s="155">
        <f>IF(F197&lt;&gt;"",'CONCEPTOS Y PARAMETROS'!$M$2-YEAR(F197),"")</f>
        <v>3</v>
      </c>
      <c r="H197" s="158">
        <v>0</v>
      </c>
      <c r="I197" s="156" t="str">
        <f>IFERROR(VLOOKUP(J197,CARGOS!A:F,2,0),"")</f>
        <v>79511</v>
      </c>
      <c r="J197" s="88" t="s">
        <v>1162</v>
      </c>
      <c r="K197" s="142" t="s">
        <v>4649</v>
      </c>
      <c r="L197" s="251">
        <v>192</v>
      </c>
    </row>
    <row r="198" spans="2:12" ht="15.75" thickBot="1" x14ac:dyDescent="0.3">
      <c r="B198" s="149" t="s">
        <v>2846</v>
      </c>
      <c r="C198" s="148">
        <f t="shared" ca="1" si="2"/>
        <v>163</v>
      </c>
      <c r="D198" s="87">
        <v>17830972</v>
      </c>
      <c r="E198" s="159" t="s">
        <v>4847</v>
      </c>
      <c r="F198" s="252">
        <v>44713</v>
      </c>
      <c r="G198" s="155">
        <f>IF(F198&lt;&gt;"",'CONCEPTOS Y PARAMETROS'!$M$2-YEAR(F198),"")</f>
        <v>3</v>
      </c>
      <c r="H198" s="158">
        <v>0</v>
      </c>
      <c r="I198" s="156" t="str">
        <f>IFERROR(VLOOKUP(J198,CARGOS!A:F,2,0),"")</f>
        <v>34234</v>
      </c>
      <c r="J198" s="88" t="s">
        <v>980</v>
      </c>
      <c r="K198" s="142" t="s">
        <v>4646</v>
      </c>
      <c r="L198" s="251">
        <v>246</v>
      </c>
    </row>
    <row r="199" spans="2:12" ht="15.75" thickBot="1" x14ac:dyDescent="0.3">
      <c r="B199" s="149" t="s">
        <v>2846</v>
      </c>
      <c r="C199" s="148">
        <f t="shared" ca="1" si="2"/>
        <v>164</v>
      </c>
      <c r="D199" s="87">
        <v>17831231</v>
      </c>
      <c r="E199" s="159" t="s">
        <v>4848</v>
      </c>
      <c r="F199" s="252">
        <v>44200</v>
      </c>
      <c r="G199" s="155">
        <f>IF(F199&lt;&gt;"",'CONCEPTOS Y PARAMETROS'!$M$2-YEAR(F199),"")</f>
        <v>4</v>
      </c>
      <c r="H199" s="158">
        <v>0</v>
      </c>
      <c r="I199" s="156" t="str">
        <f>IFERROR(VLOOKUP(J199,CARGOS!A:F,2,0),"")</f>
        <v>35121</v>
      </c>
      <c r="J199" s="88" t="s">
        <v>34</v>
      </c>
      <c r="K199" s="142" t="s">
        <v>4646</v>
      </c>
      <c r="L199" s="251">
        <v>246</v>
      </c>
    </row>
    <row r="200" spans="2:12" ht="15.75" thickBot="1" x14ac:dyDescent="0.3">
      <c r="B200" s="149" t="s">
        <v>2846</v>
      </c>
      <c r="C200" s="148">
        <f t="shared" ca="1" si="2"/>
        <v>165</v>
      </c>
      <c r="D200" s="87">
        <v>17831384</v>
      </c>
      <c r="E200" s="159" t="s">
        <v>4849</v>
      </c>
      <c r="F200" s="252">
        <v>42339</v>
      </c>
      <c r="G200" s="155">
        <f>IF(F200&lt;&gt;"",'CONCEPTOS Y PARAMETROS'!$M$2-YEAR(F200),"")</f>
        <v>10</v>
      </c>
      <c r="H200" s="158">
        <v>0</v>
      </c>
      <c r="I200" s="156" t="str">
        <f>IFERROR(VLOOKUP(J200,CARGOS!A:F,2,0),"")</f>
        <v>79512</v>
      </c>
      <c r="J200" s="88" t="s">
        <v>1164</v>
      </c>
      <c r="K200" s="142" t="s">
        <v>4643</v>
      </c>
      <c r="L200" s="251">
        <v>279</v>
      </c>
    </row>
    <row r="201" spans="2:12" ht="15.75" thickBot="1" x14ac:dyDescent="0.3">
      <c r="B201" s="149" t="s">
        <v>2846</v>
      </c>
      <c r="C201" s="148">
        <f t="shared" ca="1" si="2"/>
        <v>166</v>
      </c>
      <c r="D201" s="87">
        <v>17832396</v>
      </c>
      <c r="E201" s="159" t="s">
        <v>4850</v>
      </c>
      <c r="F201" s="252">
        <v>43191</v>
      </c>
      <c r="G201" s="155">
        <f>IF(F201&lt;&gt;"",'CONCEPTOS Y PARAMETROS'!$M$2-YEAR(F201),"")</f>
        <v>7</v>
      </c>
      <c r="H201" s="158">
        <v>0</v>
      </c>
      <c r="I201" s="156" t="str">
        <f>IFERROR(VLOOKUP(J201,CARGOS!A:F,2,0),"")</f>
        <v>71341</v>
      </c>
      <c r="J201" s="88" t="s">
        <v>969</v>
      </c>
      <c r="K201" s="142" t="s">
        <v>4647</v>
      </c>
      <c r="L201" s="251">
        <v>219</v>
      </c>
    </row>
    <row r="202" spans="2:12" ht="15.75" thickBot="1" x14ac:dyDescent="0.3">
      <c r="B202" s="149" t="s">
        <v>2846</v>
      </c>
      <c r="C202" s="148">
        <f t="shared" ca="1" si="2"/>
        <v>167</v>
      </c>
      <c r="D202" s="87">
        <v>17865154</v>
      </c>
      <c r="E202" s="159" t="s">
        <v>4851</v>
      </c>
      <c r="F202" s="252">
        <v>43846</v>
      </c>
      <c r="G202" s="155">
        <f>IF(F202&lt;&gt;"",'CONCEPTOS Y PARAMETROS'!$M$2-YEAR(F202),"")</f>
        <v>5</v>
      </c>
      <c r="H202" s="158">
        <v>0</v>
      </c>
      <c r="I202" s="156" t="str">
        <f>IFERROR(VLOOKUP(J202,CARGOS!A:F,2,0),"")</f>
        <v>79511</v>
      </c>
      <c r="J202" s="88" t="s">
        <v>1162</v>
      </c>
      <c r="K202" s="142" t="s">
        <v>4946</v>
      </c>
      <c r="L202" s="251">
        <v>150</v>
      </c>
    </row>
    <row r="203" spans="2:12" ht="15.75" thickBot="1" x14ac:dyDescent="0.3">
      <c r="B203" s="149" t="s">
        <v>2846</v>
      </c>
      <c r="C203" s="148">
        <f t="shared" ca="1" si="2"/>
        <v>168</v>
      </c>
      <c r="D203" s="87">
        <v>17865267</v>
      </c>
      <c r="E203" s="159" t="s">
        <v>4852</v>
      </c>
      <c r="F203" s="252">
        <v>44713</v>
      </c>
      <c r="G203" s="155">
        <f>IF(F203&lt;&gt;"",'CONCEPTOS Y PARAMETROS'!$M$2-YEAR(F203),"")</f>
        <v>3</v>
      </c>
      <c r="H203" s="158">
        <v>0</v>
      </c>
      <c r="I203" s="156" t="str">
        <f>IFERROR(VLOOKUP(J203,CARGOS!A:F,2,0),"")</f>
        <v>36321</v>
      </c>
      <c r="J203" s="88" t="s">
        <v>1998</v>
      </c>
      <c r="K203" s="142" t="s">
        <v>4646</v>
      </c>
      <c r="L203" s="251">
        <v>246</v>
      </c>
    </row>
    <row r="204" spans="2:12" ht="15.75" thickBot="1" x14ac:dyDescent="0.3">
      <c r="B204" s="149" t="s">
        <v>2846</v>
      </c>
      <c r="C204" s="148">
        <f t="shared" ca="1" si="2"/>
        <v>169</v>
      </c>
      <c r="D204" s="87">
        <v>18036944</v>
      </c>
      <c r="E204" s="159" t="s">
        <v>4954</v>
      </c>
      <c r="F204" s="252">
        <v>44713</v>
      </c>
      <c r="G204" s="155">
        <f>IF(F204&lt;&gt;"",'CONCEPTOS Y PARAMETROS'!$M$2-YEAR(F204),"")</f>
        <v>3</v>
      </c>
      <c r="H204" s="158">
        <v>0</v>
      </c>
      <c r="I204" s="156" t="str">
        <f>IFERROR(VLOOKUP(J204,CARGOS!A:F,2,0),"")</f>
        <v>79511</v>
      </c>
      <c r="J204" s="88" t="s">
        <v>1162</v>
      </c>
      <c r="K204" s="142" t="s">
        <v>4650</v>
      </c>
      <c r="L204" s="251">
        <v>130</v>
      </c>
    </row>
    <row r="205" spans="2:12" ht="15.75" thickBot="1" x14ac:dyDescent="0.3">
      <c r="B205" s="149" t="s">
        <v>2846</v>
      </c>
      <c r="C205" s="148">
        <f t="shared" ca="1" si="2"/>
        <v>170</v>
      </c>
      <c r="D205" s="87">
        <v>18095603</v>
      </c>
      <c r="E205" s="159" t="s">
        <v>4853</v>
      </c>
      <c r="F205" s="252">
        <v>42963</v>
      </c>
      <c r="G205" s="155">
        <f>IF(F205&lt;&gt;"",'CONCEPTOS Y PARAMETROS'!$M$2-YEAR(F205),"")</f>
        <v>8</v>
      </c>
      <c r="H205" s="158">
        <v>0</v>
      </c>
      <c r="I205" s="156" t="str">
        <f>IFERROR(VLOOKUP(J205,CARGOS!A:F,2,0),"")</f>
        <v>79342</v>
      </c>
      <c r="J205" s="88" t="s">
        <v>2383</v>
      </c>
      <c r="K205" s="142" t="s">
        <v>4950</v>
      </c>
      <c r="L205" s="251">
        <v>221</v>
      </c>
    </row>
    <row r="206" spans="2:12" ht="15.75" thickBot="1" x14ac:dyDescent="0.3">
      <c r="B206" s="149" t="s">
        <v>2846</v>
      </c>
      <c r="C206" s="148">
        <f t="shared" ca="1" si="2"/>
        <v>171</v>
      </c>
      <c r="D206" s="87">
        <v>18097740</v>
      </c>
      <c r="E206" s="159" t="s">
        <v>4854</v>
      </c>
      <c r="F206" s="252">
        <v>44743</v>
      </c>
      <c r="G206" s="155">
        <f>IF(F206&lt;&gt;"",'CONCEPTOS Y PARAMETROS'!$M$2-YEAR(F206),"")</f>
        <v>3</v>
      </c>
      <c r="H206" s="158">
        <v>0</v>
      </c>
      <c r="I206" s="156" t="str">
        <f>IFERROR(VLOOKUP(J206,CARGOS!A:F,2,0),"")</f>
        <v>79511</v>
      </c>
      <c r="J206" s="88" t="s">
        <v>1162</v>
      </c>
      <c r="K206" s="142" t="s">
        <v>4649</v>
      </c>
      <c r="L206" s="251">
        <v>192</v>
      </c>
    </row>
    <row r="207" spans="2:12" ht="15.75" thickBot="1" x14ac:dyDescent="0.3">
      <c r="B207" s="149" t="s">
        <v>2846</v>
      </c>
      <c r="C207" s="148">
        <f t="shared" ca="1" si="2"/>
        <v>172</v>
      </c>
      <c r="D207" s="87">
        <v>18097873</v>
      </c>
      <c r="E207" s="159" t="s">
        <v>4855</v>
      </c>
      <c r="F207" s="252">
        <v>44531</v>
      </c>
      <c r="G207" s="155">
        <f>IF(F207&lt;&gt;"",'CONCEPTOS Y PARAMETROS'!$M$2-YEAR(F207),"")</f>
        <v>4</v>
      </c>
      <c r="H207" s="158">
        <v>0</v>
      </c>
      <c r="I207" s="156" t="str">
        <f>IFERROR(VLOOKUP(J207,CARGOS!A:F,2,0),"")</f>
        <v>79511</v>
      </c>
      <c r="J207" s="88" t="s">
        <v>1162</v>
      </c>
      <c r="K207" s="142" t="s">
        <v>4650</v>
      </c>
      <c r="L207" s="251">
        <v>130</v>
      </c>
    </row>
    <row r="208" spans="2:12" ht="15.75" thickBot="1" x14ac:dyDescent="0.3">
      <c r="B208" s="149" t="s">
        <v>2846</v>
      </c>
      <c r="C208" s="148">
        <f t="shared" ca="1" si="2"/>
        <v>173</v>
      </c>
      <c r="D208" s="87">
        <v>18348317</v>
      </c>
      <c r="E208" s="159" t="s">
        <v>4856</v>
      </c>
      <c r="F208" s="252">
        <v>43160</v>
      </c>
      <c r="G208" s="155">
        <f>IF(F208&lt;&gt;"",'CONCEPTOS Y PARAMETROS'!$M$2-YEAR(F208),"")</f>
        <v>7</v>
      </c>
      <c r="H208" s="158">
        <v>0</v>
      </c>
      <c r="I208" s="156" t="str">
        <f>IFERROR(VLOOKUP(J208,CARGOS!A:F,2,0),"")</f>
        <v>79521</v>
      </c>
      <c r="J208" s="88" t="s">
        <v>2469</v>
      </c>
      <c r="K208" s="142" t="s">
        <v>4648</v>
      </c>
      <c r="L208" s="251">
        <v>277</v>
      </c>
    </row>
    <row r="209" spans="2:12" ht="15.75" thickBot="1" x14ac:dyDescent="0.3">
      <c r="B209" s="149" t="s">
        <v>2846</v>
      </c>
      <c r="C209" s="148">
        <f t="shared" ca="1" si="2"/>
        <v>174</v>
      </c>
      <c r="D209" s="87">
        <v>18348721</v>
      </c>
      <c r="E209" s="215" t="s">
        <v>4857</v>
      </c>
      <c r="F209" s="216">
        <v>42948</v>
      </c>
      <c r="G209" s="155">
        <f>IF(F209&lt;&gt;"",'CONCEPTOS Y PARAMETROS'!$M$2-YEAR(F209),"")</f>
        <v>8</v>
      </c>
      <c r="H209" s="158">
        <v>0</v>
      </c>
      <c r="I209" s="156" t="str">
        <f>IFERROR(VLOOKUP(J209,CARGOS!A:F,2,0),"")</f>
        <v>79342</v>
      </c>
      <c r="J209" s="88" t="s">
        <v>2383</v>
      </c>
      <c r="K209" s="142" t="s">
        <v>4950</v>
      </c>
      <c r="L209" s="251">
        <v>221</v>
      </c>
    </row>
    <row r="210" spans="2:12" ht="15.75" thickBot="1" x14ac:dyDescent="0.3">
      <c r="B210" s="149" t="s">
        <v>2846</v>
      </c>
      <c r="C210" s="148">
        <f t="shared" ca="1" si="2"/>
        <v>175</v>
      </c>
      <c r="D210" s="87">
        <v>18349021</v>
      </c>
      <c r="E210" s="159" t="s">
        <v>4858</v>
      </c>
      <c r="F210" s="252">
        <v>44683</v>
      </c>
      <c r="G210" s="155">
        <f>IF(F210&lt;&gt;"",'CONCEPTOS Y PARAMETROS'!$M$2-YEAR(F210),"")</f>
        <v>3</v>
      </c>
      <c r="H210" s="158">
        <v>0</v>
      </c>
      <c r="I210" s="156" t="str">
        <f>IFERROR(VLOOKUP(J210,CARGOS!A:F,2,0),"")</f>
        <v>79511</v>
      </c>
      <c r="J210" s="88" t="s">
        <v>1162</v>
      </c>
      <c r="K210" s="142" t="s">
        <v>4649</v>
      </c>
      <c r="L210" s="251">
        <v>192</v>
      </c>
    </row>
    <row r="211" spans="2:12" ht="15.75" thickBot="1" x14ac:dyDescent="0.3">
      <c r="B211" s="149" t="s">
        <v>2846</v>
      </c>
      <c r="C211" s="148">
        <f t="shared" ca="1" si="2"/>
        <v>176</v>
      </c>
      <c r="D211" s="87">
        <v>18350178</v>
      </c>
      <c r="E211" s="87" t="s">
        <v>4859</v>
      </c>
      <c r="F211" s="233">
        <v>39874</v>
      </c>
      <c r="G211" s="155">
        <f>IF(F211&lt;&gt;"",'CONCEPTOS Y PARAMETROS'!$M$2-YEAR(F211),"")</f>
        <v>16</v>
      </c>
      <c r="H211" s="158">
        <v>0</v>
      </c>
      <c r="I211" s="156" t="str">
        <f>IFERROR(VLOOKUP(J211,CARGOS!A:F,2,0),"")</f>
        <v>35124</v>
      </c>
      <c r="J211" s="88" t="s">
        <v>40</v>
      </c>
      <c r="K211" s="142" t="s">
        <v>4955</v>
      </c>
      <c r="L211" s="251">
        <v>312</v>
      </c>
    </row>
    <row r="212" spans="2:12" ht="15.75" thickBot="1" x14ac:dyDescent="0.3">
      <c r="B212" s="149" t="s">
        <v>2846</v>
      </c>
      <c r="C212" s="148">
        <f t="shared" ca="1" si="2"/>
        <v>177</v>
      </c>
      <c r="D212" s="87">
        <v>18378985</v>
      </c>
      <c r="E212" s="159" t="s">
        <v>4860</v>
      </c>
      <c r="F212" s="252">
        <v>43147</v>
      </c>
      <c r="G212" s="155">
        <f>IF(F212&lt;&gt;"",'CONCEPTOS Y PARAMETROS'!$M$2-YEAR(F212),"")</f>
        <v>7</v>
      </c>
      <c r="H212" s="158">
        <v>0</v>
      </c>
      <c r="I212" s="156" t="str">
        <f>IFERROR(VLOOKUP(J212,CARGOS!A:F,2,0),"")</f>
        <v>23451</v>
      </c>
      <c r="J212" s="88" t="s">
        <v>226</v>
      </c>
      <c r="K212" s="142" t="s">
        <v>4648</v>
      </c>
      <c r="L212" s="251">
        <v>277</v>
      </c>
    </row>
    <row r="213" spans="2:12" ht="15.75" thickBot="1" x14ac:dyDescent="0.3">
      <c r="B213" s="149" t="s">
        <v>2846</v>
      </c>
      <c r="C213" s="148">
        <f t="shared" ca="1" si="2"/>
        <v>178</v>
      </c>
      <c r="D213" s="87">
        <v>18456345</v>
      </c>
      <c r="E213" s="159" t="s">
        <v>4861</v>
      </c>
      <c r="F213" s="252">
        <v>44774</v>
      </c>
      <c r="G213" s="155">
        <f>IF(F213&lt;&gt;"",'CONCEPTOS Y PARAMETROS'!$M$2-YEAR(F213),"")</f>
        <v>3</v>
      </c>
      <c r="H213" s="158">
        <v>0</v>
      </c>
      <c r="I213" s="156" t="str">
        <f>IFERROR(VLOOKUP(J213,CARGOS!A:F,2,0),"")</f>
        <v>13361</v>
      </c>
      <c r="J213" s="88" t="s">
        <v>1926</v>
      </c>
      <c r="K213" s="142" t="s">
        <v>4646</v>
      </c>
      <c r="L213" s="251">
        <v>246</v>
      </c>
    </row>
    <row r="214" spans="2:12" ht="15.75" thickBot="1" x14ac:dyDescent="0.3">
      <c r="B214" s="149" t="s">
        <v>2846</v>
      </c>
      <c r="C214" s="148">
        <f t="shared" ca="1" si="2"/>
        <v>179</v>
      </c>
      <c r="D214" s="87">
        <v>18456576</v>
      </c>
      <c r="E214" s="159" t="s">
        <v>4862</v>
      </c>
      <c r="F214" s="252">
        <v>44743</v>
      </c>
      <c r="G214" s="155">
        <f>IF(F214&lt;&gt;"",'CONCEPTOS Y PARAMETROS'!$M$2-YEAR(F214),"")</f>
        <v>3</v>
      </c>
      <c r="H214" s="158">
        <v>0</v>
      </c>
      <c r="I214" s="156" t="str">
        <f>IFERROR(VLOOKUP(J214,CARGOS!A:F,2,0),"")</f>
        <v>25211</v>
      </c>
      <c r="J214" s="88" t="s">
        <v>132</v>
      </c>
      <c r="K214" s="142" t="s">
        <v>4650</v>
      </c>
      <c r="L214" s="251">
        <v>130</v>
      </c>
    </row>
    <row r="215" spans="2:12" ht="15.75" thickBot="1" x14ac:dyDescent="0.3">
      <c r="B215" s="149" t="s">
        <v>2846</v>
      </c>
      <c r="C215" s="148">
        <f t="shared" ca="1" si="2"/>
        <v>180</v>
      </c>
      <c r="D215" s="87">
        <v>18458012</v>
      </c>
      <c r="E215" s="159" t="s">
        <v>4863</v>
      </c>
      <c r="F215" s="252">
        <v>44636</v>
      </c>
      <c r="G215" s="155">
        <f>IF(F215&lt;&gt;"",'CONCEPTOS Y PARAMETROS'!$M$2-YEAR(F215),"")</f>
        <v>3</v>
      </c>
      <c r="H215" s="158">
        <v>0</v>
      </c>
      <c r="I215" s="156" t="str">
        <f>IFERROR(VLOOKUP(J215,CARGOS!A:F,2,0),"")</f>
        <v>12113</v>
      </c>
      <c r="J215" s="88" t="s">
        <v>326</v>
      </c>
      <c r="K215" s="142" t="s">
        <v>4649</v>
      </c>
      <c r="L215" s="251">
        <v>192</v>
      </c>
    </row>
    <row r="216" spans="2:12" ht="15.75" thickBot="1" x14ac:dyDescent="0.3">
      <c r="B216" s="149" t="s">
        <v>2846</v>
      </c>
      <c r="C216" s="148">
        <f t="shared" ca="1" si="2"/>
        <v>181</v>
      </c>
      <c r="D216" s="87">
        <v>18670458</v>
      </c>
      <c r="E216" s="159" t="s">
        <v>4864</v>
      </c>
      <c r="F216" s="252">
        <v>42741</v>
      </c>
      <c r="G216" s="155">
        <f>IF(F216&lt;&gt;"",'CONCEPTOS Y PARAMETROS'!$M$2-YEAR(F216),"")</f>
        <v>8</v>
      </c>
      <c r="H216" s="158">
        <v>0</v>
      </c>
      <c r="I216" s="156" t="str">
        <f>IFERROR(VLOOKUP(J216,CARGOS!A:F,2,0),"")</f>
        <v>34234</v>
      </c>
      <c r="J216" s="88" t="s">
        <v>980</v>
      </c>
      <c r="K216" s="142" t="s">
        <v>4643</v>
      </c>
      <c r="L216" s="251">
        <v>279</v>
      </c>
    </row>
    <row r="217" spans="2:12" ht="15.75" thickBot="1" x14ac:dyDescent="0.3">
      <c r="B217" s="149" t="s">
        <v>2846</v>
      </c>
      <c r="C217" s="148">
        <f t="shared" ca="1" si="2"/>
        <v>182</v>
      </c>
      <c r="D217" s="87">
        <v>18801597</v>
      </c>
      <c r="E217" s="159" t="s">
        <v>4865</v>
      </c>
      <c r="F217" s="252">
        <v>43359</v>
      </c>
      <c r="G217" s="155">
        <f>IF(F217&lt;&gt;"",'CONCEPTOS Y PARAMETROS'!$M$2-YEAR(F217),"")</f>
        <v>7</v>
      </c>
      <c r="H217" s="158">
        <v>0</v>
      </c>
      <c r="I217" s="156" t="str">
        <f>IFERROR(VLOOKUP(J217,CARGOS!A:F,2,0),"")</f>
        <v>79521</v>
      </c>
      <c r="J217" s="88" t="s">
        <v>2469</v>
      </c>
      <c r="K217" s="142" t="s">
        <v>4647</v>
      </c>
      <c r="L217" s="251">
        <v>219</v>
      </c>
    </row>
    <row r="218" spans="2:12" ht="15.75" thickBot="1" x14ac:dyDescent="0.3">
      <c r="B218" s="149" t="s">
        <v>2846</v>
      </c>
      <c r="C218" s="148">
        <f t="shared" ca="1" si="2"/>
        <v>183</v>
      </c>
      <c r="D218" s="87">
        <v>18802405</v>
      </c>
      <c r="E218" s="159" t="s">
        <v>4866</v>
      </c>
      <c r="F218" s="252">
        <v>44332</v>
      </c>
      <c r="G218" s="155">
        <f>IF(F218&lt;&gt;"",'CONCEPTOS Y PARAMETROS'!$M$2-YEAR(F218),"")</f>
        <v>4</v>
      </c>
      <c r="H218" s="158">
        <v>0</v>
      </c>
      <c r="I218" s="156" t="str">
        <f>IFERROR(VLOOKUP(J218,CARGOS!A:F,2,0),"")</f>
        <v>79511</v>
      </c>
      <c r="J218" s="88" t="s">
        <v>1162</v>
      </c>
      <c r="K218" s="142" t="s">
        <v>4649</v>
      </c>
      <c r="L218" s="251">
        <v>192</v>
      </c>
    </row>
    <row r="219" spans="2:12" ht="15.75" thickBot="1" x14ac:dyDescent="0.3">
      <c r="B219" s="149" t="s">
        <v>2846</v>
      </c>
      <c r="C219" s="148">
        <f t="shared" ca="1" si="2"/>
        <v>184</v>
      </c>
      <c r="D219" s="87">
        <v>19101647</v>
      </c>
      <c r="E219" s="159" t="s">
        <v>4867</v>
      </c>
      <c r="F219" s="252">
        <v>43845</v>
      </c>
      <c r="G219" s="155">
        <f>IF(F219&lt;&gt;"",'CONCEPTOS Y PARAMETROS'!$M$2-YEAR(F219),"")</f>
        <v>5</v>
      </c>
      <c r="H219" s="158">
        <v>0</v>
      </c>
      <c r="I219" s="156" t="str">
        <f>IFERROR(VLOOKUP(J219,CARGOS!A:F,2,0),"")</f>
        <v>79511</v>
      </c>
      <c r="J219" s="88" t="s">
        <v>1162</v>
      </c>
      <c r="K219" s="142" t="s">
        <v>4946</v>
      </c>
      <c r="L219" s="251">
        <v>150</v>
      </c>
    </row>
    <row r="220" spans="2:12" ht="15.75" thickBot="1" x14ac:dyDescent="0.3">
      <c r="B220" s="149" t="s">
        <v>2846</v>
      </c>
      <c r="C220" s="148">
        <f t="shared" ca="1" si="2"/>
        <v>185</v>
      </c>
      <c r="D220" s="87">
        <v>19102220</v>
      </c>
      <c r="E220" s="159" t="s">
        <v>4868</v>
      </c>
      <c r="F220" s="252">
        <v>44743</v>
      </c>
      <c r="G220" s="155">
        <f>IF(F220&lt;&gt;"",'CONCEPTOS Y PARAMETROS'!$M$2-YEAR(F220),"")</f>
        <v>3</v>
      </c>
      <c r="H220" s="158">
        <v>0</v>
      </c>
      <c r="I220" s="156" t="str">
        <f>IFERROR(VLOOKUP(J220,CARGOS!A:F,2,0),"")</f>
        <v>79511</v>
      </c>
      <c r="J220" s="88" t="s">
        <v>1162</v>
      </c>
      <c r="K220" s="142" t="s">
        <v>4649</v>
      </c>
      <c r="L220" s="251">
        <v>192</v>
      </c>
    </row>
    <row r="221" spans="2:12" ht="15.75" thickBot="1" x14ac:dyDescent="0.3">
      <c r="B221" s="149" t="s">
        <v>2846</v>
      </c>
      <c r="C221" s="148">
        <f t="shared" ca="1" si="2"/>
        <v>186</v>
      </c>
      <c r="D221" s="87">
        <v>19103118</v>
      </c>
      <c r="E221" s="159" t="s">
        <v>4869</v>
      </c>
      <c r="F221" s="252">
        <v>43724</v>
      </c>
      <c r="G221" s="155">
        <f>IF(F221&lt;&gt;"",'CONCEPTOS Y PARAMETROS'!$M$2-YEAR(F221),"")</f>
        <v>6</v>
      </c>
      <c r="H221" s="158">
        <v>0</v>
      </c>
      <c r="I221" s="156" t="str">
        <f>IFERROR(VLOOKUP(J221,CARGOS!A:F,2,0),"")</f>
        <v>79341</v>
      </c>
      <c r="J221" s="88" t="s">
        <v>2381</v>
      </c>
      <c r="K221" s="142" t="s">
        <v>4946</v>
      </c>
      <c r="L221" s="251">
        <v>150</v>
      </c>
    </row>
    <row r="222" spans="2:12" ht="15.75" thickBot="1" x14ac:dyDescent="0.3">
      <c r="B222" s="149" t="s">
        <v>2846</v>
      </c>
      <c r="C222" s="148">
        <f t="shared" ca="1" si="2"/>
        <v>187</v>
      </c>
      <c r="D222" s="87">
        <v>19103604</v>
      </c>
      <c r="E222" s="159" t="s">
        <v>4870</v>
      </c>
      <c r="F222" s="252">
        <v>44600</v>
      </c>
      <c r="G222" s="155">
        <f>IF(F222&lt;&gt;"",'CONCEPTOS Y PARAMETROS'!$M$2-YEAR(F222),"")</f>
        <v>3</v>
      </c>
      <c r="H222" s="158">
        <v>0</v>
      </c>
      <c r="I222" s="156" t="str">
        <f>IFERROR(VLOOKUP(J222,CARGOS!A:F,2,0),"")</f>
        <v>12113</v>
      </c>
      <c r="J222" s="88" t="s">
        <v>326</v>
      </c>
      <c r="K222" s="142" t="s">
        <v>4649</v>
      </c>
      <c r="L222" s="251">
        <v>192</v>
      </c>
    </row>
    <row r="223" spans="2:12" ht="15.75" thickBot="1" x14ac:dyDescent="0.3">
      <c r="B223" s="149" t="s">
        <v>2846</v>
      </c>
      <c r="C223" s="148">
        <f t="shared" ca="1" si="2"/>
        <v>188</v>
      </c>
      <c r="D223" s="87">
        <v>19103823</v>
      </c>
      <c r="E223" s="159" t="s">
        <v>4871</v>
      </c>
      <c r="F223" s="252">
        <v>42795</v>
      </c>
      <c r="G223" s="155">
        <f>IF(F223&lt;&gt;"",'CONCEPTOS Y PARAMETROS'!$M$2-YEAR(F223),"")</f>
        <v>8</v>
      </c>
      <c r="H223" s="158">
        <v>0</v>
      </c>
      <c r="I223" s="156" t="str">
        <f>IFERROR(VLOOKUP(J223,CARGOS!A:F,2,0),"")</f>
        <v>79521</v>
      </c>
      <c r="J223" s="88" t="s">
        <v>2469</v>
      </c>
      <c r="K223" s="142" t="s">
        <v>4643</v>
      </c>
      <c r="L223" s="251">
        <v>279</v>
      </c>
    </row>
    <row r="224" spans="2:12" ht="15.75" thickBot="1" x14ac:dyDescent="0.3">
      <c r="B224" s="149" t="s">
        <v>2846</v>
      </c>
      <c r="C224" s="148">
        <f t="shared" ca="1" si="2"/>
        <v>189</v>
      </c>
      <c r="D224" s="87">
        <v>19147999</v>
      </c>
      <c r="E224" s="159" t="s">
        <v>4872</v>
      </c>
      <c r="F224" s="252">
        <v>44743</v>
      </c>
      <c r="G224" s="155">
        <f>IF(F224&lt;&gt;"",'CONCEPTOS Y PARAMETROS'!$M$2-YEAR(F224),"")</f>
        <v>3</v>
      </c>
      <c r="H224" s="158">
        <v>0</v>
      </c>
      <c r="I224" s="156" t="str">
        <f>IFERROR(VLOOKUP(J224,CARGOS!A:F,2,0),"")</f>
        <v>79511</v>
      </c>
      <c r="J224" s="88" t="s">
        <v>1162</v>
      </c>
      <c r="K224" s="142" t="s">
        <v>4650</v>
      </c>
      <c r="L224" s="251">
        <v>130</v>
      </c>
    </row>
    <row r="225" spans="2:12" ht="15.75" thickBot="1" x14ac:dyDescent="0.3">
      <c r="B225" s="149" t="s">
        <v>2846</v>
      </c>
      <c r="C225" s="148">
        <f t="shared" ca="1" si="2"/>
        <v>190</v>
      </c>
      <c r="D225" s="87">
        <v>19285648</v>
      </c>
      <c r="E225" s="159" t="s">
        <v>4873</v>
      </c>
      <c r="F225" s="252">
        <v>44531</v>
      </c>
      <c r="G225" s="155">
        <f>IF(F225&lt;&gt;"",'CONCEPTOS Y PARAMETROS'!$M$2-YEAR(F225),"")</f>
        <v>4</v>
      </c>
      <c r="H225" s="158">
        <v>0</v>
      </c>
      <c r="I225" s="156" t="str">
        <f>IFERROR(VLOOKUP(J225,CARGOS!A:F,2,0),"")</f>
        <v>79511</v>
      </c>
      <c r="J225" s="88" t="s">
        <v>1162</v>
      </c>
      <c r="K225" s="142" t="s">
        <v>4650</v>
      </c>
      <c r="L225" s="251">
        <v>130</v>
      </c>
    </row>
    <row r="226" spans="2:12" ht="15.75" thickBot="1" x14ac:dyDescent="0.3">
      <c r="B226" s="149" t="s">
        <v>2846</v>
      </c>
      <c r="C226" s="148">
        <f t="shared" ca="1" si="2"/>
        <v>191</v>
      </c>
      <c r="D226" s="87">
        <v>19286780</v>
      </c>
      <c r="E226" s="159" t="s">
        <v>4874</v>
      </c>
      <c r="F226" s="252">
        <v>42492</v>
      </c>
      <c r="G226" s="155">
        <f>IF(F226&lt;&gt;"",'CONCEPTOS Y PARAMETROS'!$M$2-YEAR(F226),"")</f>
        <v>9</v>
      </c>
      <c r="H226" s="158">
        <v>0</v>
      </c>
      <c r="I226" s="156" t="str">
        <f>IFERROR(VLOOKUP(J226,CARGOS!A:F,2,0),"")</f>
        <v>12113</v>
      </c>
      <c r="J226" s="88" t="s">
        <v>326</v>
      </c>
      <c r="K226" s="142" t="s">
        <v>4950</v>
      </c>
      <c r="L226" s="251">
        <v>221</v>
      </c>
    </row>
    <row r="227" spans="2:12" ht="15.75" thickBot="1" x14ac:dyDescent="0.3">
      <c r="B227" s="149" t="s">
        <v>2846</v>
      </c>
      <c r="C227" s="148">
        <f t="shared" ca="1" si="2"/>
        <v>192</v>
      </c>
      <c r="D227" s="87">
        <v>19287100</v>
      </c>
      <c r="E227" s="159" t="s">
        <v>4875</v>
      </c>
      <c r="F227" s="252">
        <v>44713</v>
      </c>
      <c r="G227" s="155">
        <f>IF(F227&lt;&gt;"",'CONCEPTOS Y PARAMETROS'!$M$2-YEAR(F227),"")</f>
        <v>3</v>
      </c>
      <c r="H227" s="158">
        <v>0</v>
      </c>
      <c r="I227" s="156" t="str">
        <f>IFERROR(VLOOKUP(J227,CARGOS!A:F,2,0),"")</f>
        <v>79341</v>
      </c>
      <c r="J227" s="88" t="s">
        <v>2381</v>
      </c>
      <c r="K227" s="142" t="s">
        <v>4649</v>
      </c>
      <c r="L227" s="251">
        <v>192</v>
      </c>
    </row>
    <row r="228" spans="2:12" ht="15.75" thickBot="1" x14ac:dyDescent="0.3">
      <c r="B228" s="149" t="s">
        <v>2846</v>
      </c>
      <c r="C228" s="148">
        <f t="shared" ca="1" si="2"/>
        <v>193</v>
      </c>
      <c r="D228" s="87">
        <v>19610534</v>
      </c>
      <c r="E228" s="159" t="s">
        <v>4876</v>
      </c>
      <c r="F228" s="252">
        <v>44713</v>
      </c>
      <c r="G228" s="155">
        <f>IF(F228&lt;&gt;"",'CONCEPTOS Y PARAMETROS'!$M$2-YEAR(F228),"")</f>
        <v>3</v>
      </c>
      <c r="H228" s="158">
        <v>0</v>
      </c>
      <c r="I228" s="156" t="str">
        <f>IFERROR(VLOOKUP(J228,CARGOS!A:F,2,0),"")</f>
        <v>79511</v>
      </c>
      <c r="J228" s="88" t="s">
        <v>1162</v>
      </c>
      <c r="K228" s="142" t="s">
        <v>4649</v>
      </c>
      <c r="L228" s="251">
        <v>192</v>
      </c>
    </row>
    <row r="229" spans="2:12" ht="15.75" thickBot="1" x14ac:dyDescent="0.3">
      <c r="B229" s="149" t="s">
        <v>2846</v>
      </c>
      <c r="C229" s="148">
        <f t="shared" ca="1" si="2"/>
        <v>194</v>
      </c>
      <c r="D229" s="87">
        <v>19610565</v>
      </c>
      <c r="E229" s="159" t="s">
        <v>4877</v>
      </c>
      <c r="F229" s="252">
        <v>44713</v>
      </c>
      <c r="G229" s="155">
        <f>IF(F229&lt;&gt;"",'CONCEPTOS Y PARAMETROS'!$M$2-YEAR(F229),"")</f>
        <v>3</v>
      </c>
      <c r="H229" s="158">
        <v>0</v>
      </c>
      <c r="I229" s="156" t="str">
        <f>IFERROR(VLOOKUP(J229,CARGOS!A:F,2,0),"")</f>
        <v>79511</v>
      </c>
      <c r="J229" s="88" t="s">
        <v>1162</v>
      </c>
      <c r="K229" s="142" t="s">
        <v>4649</v>
      </c>
      <c r="L229" s="251">
        <v>192</v>
      </c>
    </row>
    <row r="230" spans="2:12" ht="15.75" thickBot="1" x14ac:dyDescent="0.3">
      <c r="B230" s="149" t="s">
        <v>2846</v>
      </c>
      <c r="C230" s="148">
        <f t="shared" ca="1" si="2"/>
        <v>195</v>
      </c>
      <c r="D230" s="87">
        <v>19643106</v>
      </c>
      <c r="E230" s="159" t="s">
        <v>4878</v>
      </c>
      <c r="F230" s="252">
        <v>44713</v>
      </c>
      <c r="G230" s="155">
        <f>IF(F230&lt;&gt;"",'CONCEPTOS Y PARAMETROS'!$M$2-YEAR(F230),"")</f>
        <v>3</v>
      </c>
      <c r="H230" s="158">
        <v>0</v>
      </c>
      <c r="I230" s="156" t="str">
        <f>IFERROR(VLOOKUP(J230,CARGOS!A:F,2,0),"")</f>
        <v>79511</v>
      </c>
      <c r="J230" s="88" t="s">
        <v>1162</v>
      </c>
      <c r="K230" s="142" t="s">
        <v>4650</v>
      </c>
      <c r="L230" s="251">
        <v>130</v>
      </c>
    </row>
    <row r="231" spans="2:12" ht="15.75" thickBot="1" x14ac:dyDescent="0.3">
      <c r="B231" s="149" t="s">
        <v>2846</v>
      </c>
      <c r="C231" s="148">
        <f t="shared" ca="1" si="2"/>
        <v>196</v>
      </c>
      <c r="D231" s="87">
        <v>19643405</v>
      </c>
      <c r="E231" s="159" t="s">
        <v>4879</v>
      </c>
      <c r="F231" s="252">
        <v>43221</v>
      </c>
      <c r="G231" s="155">
        <f>IF(F231&lt;&gt;"",'CONCEPTOS Y PARAMETROS'!$M$2-YEAR(F231),"")</f>
        <v>7</v>
      </c>
      <c r="H231" s="158">
        <v>0</v>
      </c>
      <c r="I231" s="156" t="str">
        <f>IFERROR(VLOOKUP(J231,CARGOS!A:F,2,0),"")</f>
        <v>79512</v>
      </c>
      <c r="J231" s="88" t="s">
        <v>1164</v>
      </c>
      <c r="K231" s="142" t="s">
        <v>4647</v>
      </c>
      <c r="L231" s="251">
        <v>219</v>
      </c>
    </row>
    <row r="232" spans="2:12" ht="15.75" thickBot="1" x14ac:dyDescent="0.3">
      <c r="B232" s="149" t="s">
        <v>2846</v>
      </c>
      <c r="C232" s="148">
        <f t="shared" ca="1" si="2"/>
        <v>197</v>
      </c>
      <c r="D232" s="87">
        <v>19644743</v>
      </c>
      <c r="E232" s="159" t="s">
        <v>4880</v>
      </c>
      <c r="F232" s="252">
        <v>43967</v>
      </c>
      <c r="G232" s="155">
        <f>IF(F232&lt;&gt;"",'CONCEPTOS Y PARAMETROS'!$M$2-YEAR(F232),"")</f>
        <v>5</v>
      </c>
      <c r="H232" s="158">
        <v>0</v>
      </c>
      <c r="I232" s="156" t="str">
        <f>IFERROR(VLOOKUP(J232,CARGOS!A:F,2,0),"")</f>
        <v>23451</v>
      </c>
      <c r="J232" s="88" t="s">
        <v>226</v>
      </c>
      <c r="K232" s="142" t="s">
        <v>4648</v>
      </c>
      <c r="L232" s="251">
        <v>277</v>
      </c>
    </row>
    <row r="233" spans="2:12" ht="15.75" thickBot="1" x14ac:dyDescent="0.3">
      <c r="B233" s="149" t="s">
        <v>2846</v>
      </c>
      <c r="C233" s="148">
        <f t="shared" ca="1" si="2"/>
        <v>198</v>
      </c>
      <c r="D233" s="87">
        <v>19644756</v>
      </c>
      <c r="E233" s="159" t="s">
        <v>4881</v>
      </c>
      <c r="F233" s="252">
        <v>44470</v>
      </c>
      <c r="G233" s="155">
        <f>IF(F233&lt;&gt;"",'CONCEPTOS Y PARAMETROS'!$M$2-YEAR(F233),"")</f>
        <v>4</v>
      </c>
      <c r="H233" s="158">
        <v>0</v>
      </c>
      <c r="I233" s="156" t="str">
        <f>IFERROR(VLOOKUP(J233,CARGOS!A:F,2,0),"")</f>
        <v>77141</v>
      </c>
      <c r="J233" s="88" t="s">
        <v>907</v>
      </c>
      <c r="K233" s="142" t="s">
        <v>4650</v>
      </c>
      <c r="L233" s="251">
        <v>130</v>
      </c>
    </row>
    <row r="234" spans="2:12" ht="15.75" thickBot="1" x14ac:dyDescent="0.3">
      <c r="B234" s="149" t="s">
        <v>2846</v>
      </c>
      <c r="C234" s="148">
        <f t="shared" ca="1" si="2"/>
        <v>199</v>
      </c>
      <c r="D234" s="87">
        <v>19794217</v>
      </c>
      <c r="E234" s="159" t="s">
        <v>4882</v>
      </c>
      <c r="F234" s="252">
        <v>44683</v>
      </c>
      <c r="G234" s="155">
        <f>IF(F234&lt;&gt;"",'CONCEPTOS Y PARAMETROS'!$M$2-YEAR(F234),"")</f>
        <v>3</v>
      </c>
      <c r="H234" s="158">
        <v>0</v>
      </c>
      <c r="I234" s="156" t="str">
        <f>IFERROR(VLOOKUP(J234,CARGOS!A:F,2,0),"")</f>
        <v>79511</v>
      </c>
      <c r="J234" s="88" t="s">
        <v>1162</v>
      </c>
      <c r="K234" s="142" t="s">
        <v>4649</v>
      </c>
      <c r="L234" s="251">
        <v>192</v>
      </c>
    </row>
    <row r="235" spans="2:12" ht="15.75" thickBot="1" x14ac:dyDescent="0.3">
      <c r="B235" s="149" t="s">
        <v>2846</v>
      </c>
      <c r="C235" s="148">
        <f t="shared" ca="1" si="2"/>
        <v>200</v>
      </c>
      <c r="D235" s="87">
        <v>19794343</v>
      </c>
      <c r="E235" s="159" t="s">
        <v>4883</v>
      </c>
      <c r="F235" s="252">
        <v>44743</v>
      </c>
      <c r="G235" s="155">
        <f>IF(F235&lt;&gt;"",'CONCEPTOS Y PARAMETROS'!$M$2-YEAR(F235),"")</f>
        <v>3</v>
      </c>
      <c r="H235" s="158">
        <v>0</v>
      </c>
      <c r="I235" s="156" t="str">
        <f>IFERROR(VLOOKUP(J235,CARGOS!A:F,2,0),"")</f>
        <v>79511</v>
      </c>
      <c r="J235" s="88" t="s">
        <v>1162</v>
      </c>
      <c r="K235" s="142" t="s">
        <v>4649</v>
      </c>
      <c r="L235" s="251">
        <v>192</v>
      </c>
    </row>
    <row r="236" spans="2:12" ht="15.75" thickBot="1" x14ac:dyDescent="0.3">
      <c r="B236" s="149" t="s">
        <v>2846</v>
      </c>
      <c r="C236" s="148">
        <f t="shared" ca="1" si="2"/>
        <v>201</v>
      </c>
      <c r="D236" s="87">
        <v>19899949</v>
      </c>
      <c r="E236" s="159" t="s">
        <v>4884</v>
      </c>
      <c r="F236" s="252">
        <v>44743</v>
      </c>
      <c r="G236" s="155">
        <f>IF(F236&lt;&gt;"",'CONCEPTOS Y PARAMETROS'!$M$2-YEAR(F236),"")</f>
        <v>3</v>
      </c>
      <c r="H236" s="158">
        <v>0</v>
      </c>
      <c r="I236" s="156" t="str">
        <f>IFERROR(VLOOKUP(J236,CARGOS!A:F,2,0),"")</f>
        <v>79511</v>
      </c>
      <c r="J236" s="88" t="s">
        <v>1162</v>
      </c>
      <c r="K236" s="142" t="s">
        <v>4649</v>
      </c>
      <c r="L236" s="251">
        <v>192</v>
      </c>
    </row>
    <row r="237" spans="2:12" ht="15.75" thickBot="1" x14ac:dyDescent="0.3">
      <c r="B237" s="149" t="s">
        <v>2846</v>
      </c>
      <c r="C237" s="148">
        <f t="shared" ca="1" si="2"/>
        <v>202</v>
      </c>
      <c r="D237" s="87">
        <v>20038908</v>
      </c>
      <c r="E237" s="159" t="s">
        <v>4885</v>
      </c>
      <c r="F237" s="252">
        <v>43770</v>
      </c>
      <c r="G237" s="155">
        <f>IF(F237&lt;&gt;"",'CONCEPTOS Y PARAMETROS'!$M$2-YEAR(F237),"")</f>
        <v>6</v>
      </c>
      <c r="H237" s="158">
        <v>0</v>
      </c>
      <c r="I237" s="156" t="str">
        <f>IFERROR(VLOOKUP(J237,CARGOS!A:F,2,0),"")</f>
        <v>79512</v>
      </c>
      <c r="J237" s="88" t="s">
        <v>1164</v>
      </c>
      <c r="K237" s="142" t="s">
        <v>4946</v>
      </c>
      <c r="L237" s="251">
        <v>150</v>
      </c>
    </row>
    <row r="238" spans="2:12" ht="15.75" thickBot="1" x14ac:dyDescent="0.3">
      <c r="B238" s="149" t="s">
        <v>2846</v>
      </c>
      <c r="C238" s="148">
        <f t="shared" ca="1" si="2"/>
        <v>203</v>
      </c>
      <c r="D238" s="87">
        <v>20133149</v>
      </c>
      <c r="E238" s="159" t="s">
        <v>4886</v>
      </c>
      <c r="F238" s="252">
        <v>44743</v>
      </c>
      <c r="G238" s="155">
        <f>IF(F238&lt;&gt;"",'CONCEPTOS Y PARAMETROS'!$M$2-YEAR(F238),"")</f>
        <v>3</v>
      </c>
      <c r="H238" s="158">
        <v>0</v>
      </c>
      <c r="I238" s="156" t="str">
        <f>IFERROR(VLOOKUP(J238,CARGOS!A:F,2,0),"")</f>
        <v>79341</v>
      </c>
      <c r="J238" s="88" t="s">
        <v>2381</v>
      </c>
      <c r="K238" s="142" t="s">
        <v>4649</v>
      </c>
      <c r="L238" s="251">
        <v>192</v>
      </c>
    </row>
    <row r="239" spans="2:12" ht="15.75" thickBot="1" x14ac:dyDescent="0.3">
      <c r="B239" s="149" t="s">
        <v>2846</v>
      </c>
      <c r="C239" s="148">
        <f t="shared" ca="1" si="2"/>
        <v>204</v>
      </c>
      <c r="D239" s="87">
        <v>20401711</v>
      </c>
      <c r="E239" s="159" t="s">
        <v>4887</v>
      </c>
      <c r="F239" s="252">
        <v>44363</v>
      </c>
      <c r="G239" s="155">
        <f>IF(F239&lt;&gt;"",'CONCEPTOS Y PARAMETROS'!$M$2-YEAR(F239),"")</f>
        <v>4</v>
      </c>
      <c r="H239" s="158">
        <v>2</v>
      </c>
      <c r="I239" s="156" t="str">
        <f>IFERROR(VLOOKUP(J239,CARGOS!A:F,2,0),"")</f>
        <v>79512</v>
      </c>
      <c r="J239" s="88" t="s">
        <v>1164</v>
      </c>
      <c r="K239" s="142" t="s">
        <v>4647</v>
      </c>
      <c r="L239" s="251">
        <v>219</v>
      </c>
    </row>
    <row r="240" spans="2:12" ht="15.75" thickBot="1" x14ac:dyDescent="0.3">
      <c r="B240" s="149" t="s">
        <v>2846</v>
      </c>
      <c r="C240" s="148">
        <f t="shared" ca="1" si="2"/>
        <v>205</v>
      </c>
      <c r="D240" s="87">
        <v>20603227</v>
      </c>
      <c r="E240" s="159" t="s">
        <v>4888</v>
      </c>
      <c r="F240" s="252">
        <v>44470</v>
      </c>
      <c r="G240" s="155">
        <f>IF(F240&lt;&gt;"",'CONCEPTOS Y PARAMETROS'!$M$2-YEAR(F240),"")</f>
        <v>4</v>
      </c>
      <c r="H240" s="158">
        <v>0</v>
      </c>
      <c r="I240" s="156" t="str">
        <f>IFERROR(VLOOKUP(J240,CARGOS!A:F,2,0),"")</f>
        <v>79341</v>
      </c>
      <c r="J240" s="88" t="s">
        <v>2381</v>
      </c>
      <c r="K240" s="142" t="s">
        <v>4649</v>
      </c>
      <c r="L240" s="251">
        <v>192</v>
      </c>
    </row>
    <row r="241" spans="2:12" ht="15.75" thickBot="1" x14ac:dyDescent="0.3">
      <c r="B241" s="149" t="s">
        <v>2846</v>
      </c>
      <c r="C241" s="148">
        <f t="shared" ca="1" si="2"/>
        <v>206</v>
      </c>
      <c r="D241" s="87">
        <v>20705979</v>
      </c>
      <c r="E241" s="159" t="s">
        <v>4889</v>
      </c>
      <c r="F241" s="252">
        <v>44531</v>
      </c>
      <c r="G241" s="155">
        <f>IF(F241&lt;&gt;"",'CONCEPTOS Y PARAMETROS'!$M$2-YEAR(F241),"")</f>
        <v>4</v>
      </c>
      <c r="H241" s="158">
        <v>0</v>
      </c>
      <c r="I241" s="156" t="str">
        <f>IFERROR(VLOOKUP(J241,CARGOS!A:F,2,0),"")</f>
        <v>79341</v>
      </c>
      <c r="J241" s="88" t="s">
        <v>2381</v>
      </c>
      <c r="K241" s="142" t="s">
        <v>4649</v>
      </c>
      <c r="L241" s="251">
        <v>192</v>
      </c>
    </row>
    <row r="242" spans="2:12" ht="15.75" thickBot="1" x14ac:dyDescent="0.3">
      <c r="B242" s="149" t="s">
        <v>2846</v>
      </c>
      <c r="C242" s="148">
        <f t="shared" ca="1" si="2"/>
        <v>207</v>
      </c>
      <c r="D242" s="87">
        <v>20707490</v>
      </c>
      <c r="E242" s="159" t="s">
        <v>4890</v>
      </c>
      <c r="F242" s="252">
        <v>42751</v>
      </c>
      <c r="G242" s="155">
        <f>IF(F242&lt;&gt;"",'CONCEPTOS Y PARAMETROS'!$M$2-YEAR(F242),"")</f>
        <v>8</v>
      </c>
      <c r="H242" s="158">
        <v>0</v>
      </c>
      <c r="I242" s="156" t="str">
        <f>IFERROR(VLOOKUP(J242,CARGOS!A:F,2,0),"")</f>
        <v>79521</v>
      </c>
      <c r="J242" s="88" t="s">
        <v>2469</v>
      </c>
      <c r="K242" s="142" t="s">
        <v>4643</v>
      </c>
      <c r="L242" s="251">
        <v>279</v>
      </c>
    </row>
    <row r="243" spans="2:12" ht="15.75" thickBot="1" x14ac:dyDescent="0.3">
      <c r="B243" s="149" t="s">
        <v>2846</v>
      </c>
      <c r="C243" s="148">
        <f t="shared" ca="1" si="2"/>
        <v>208</v>
      </c>
      <c r="D243" s="87">
        <v>20789286</v>
      </c>
      <c r="E243" s="159" t="s">
        <v>4891</v>
      </c>
      <c r="F243" s="252">
        <v>44713</v>
      </c>
      <c r="G243" s="155">
        <f>IF(F243&lt;&gt;"",'CONCEPTOS Y PARAMETROS'!$M$2-YEAR(F243),"")</f>
        <v>3</v>
      </c>
      <c r="H243" s="158">
        <v>0</v>
      </c>
      <c r="I243" s="156" t="str">
        <f>IFERROR(VLOOKUP(J243,CARGOS!A:F,2,0),"")</f>
        <v>12114</v>
      </c>
      <c r="J243" s="88" t="s">
        <v>328</v>
      </c>
      <c r="K243" s="142" t="s">
        <v>4646</v>
      </c>
      <c r="L243" s="251">
        <v>246</v>
      </c>
    </row>
    <row r="244" spans="2:12" ht="15.75" thickBot="1" x14ac:dyDescent="0.3">
      <c r="B244" s="149" t="s">
        <v>2846</v>
      </c>
      <c r="C244" s="148">
        <f t="shared" ca="1" si="2"/>
        <v>209</v>
      </c>
      <c r="D244" s="87">
        <v>21061582</v>
      </c>
      <c r="E244" s="159" t="s">
        <v>4892</v>
      </c>
      <c r="F244" s="252">
        <v>44743</v>
      </c>
      <c r="G244" s="155">
        <f>IF(F244&lt;&gt;"",'CONCEPTOS Y PARAMETROS'!$M$2-YEAR(F244),"")</f>
        <v>3</v>
      </c>
      <c r="H244" s="158">
        <v>0</v>
      </c>
      <c r="I244" s="156" t="str">
        <f>IFERROR(VLOOKUP(J244,CARGOS!A:F,2,0),"")</f>
        <v>79511</v>
      </c>
      <c r="J244" s="88" t="s">
        <v>1162</v>
      </c>
      <c r="K244" s="142" t="s">
        <v>4650</v>
      </c>
      <c r="L244" s="251">
        <v>130</v>
      </c>
    </row>
    <row r="245" spans="2:12" ht="15.75" thickBot="1" x14ac:dyDescent="0.3">
      <c r="B245" s="149" t="s">
        <v>2846</v>
      </c>
      <c r="C245" s="148">
        <f t="shared" ca="1" si="2"/>
        <v>210</v>
      </c>
      <c r="D245" s="87">
        <v>21061789</v>
      </c>
      <c r="E245" s="159" t="s">
        <v>4893</v>
      </c>
      <c r="F245" s="252">
        <v>44713</v>
      </c>
      <c r="G245" s="155">
        <f>IF(F245&lt;&gt;"",'CONCEPTOS Y PARAMETROS'!$M$2-YEAR(F245),"")</f>
        <v>3</v>
      </c>
      <c r="H245" s="158">
        <v>0</v>
      </c>
      <c r="I245" s="156" t="str">
        <f>IFERROR(VLOOKUP(J245,CARGOS!A:F,2,0),"")</f>
        <v>35121</v>
      </c>
      <c r="J245" s="88" t="s">
        <v>34</v>
      </c>
      <c r="K245" s="142" t="s">
        <v>4646</v>
      </c>
      <c r="L245" s="251">
        <v>246</v>
      </c>
    </row>
    <row r="246" spans="2:12" ht="15.75" thickBot="1" x14ac:dyDescent="0.3">
      <c r="B246" s="149" t="s">
        <v>2846</v>
      </c>
      <c r="C246" s="148">
        <f t="shared" ca="1" si="2"/>
        <v>211</v>
      </c>
      <c r="D246" s="87">
        <v>21061805</v>
      </c>
      <c r="E246" s="159" t="s">
        <v>4894</v>
      </c>
      <c r="F246" s="252">
        <v>44683</v>
      </c>
      <c r="G246" s="155">
        <f>IF(F246&lt;&gt;"",'CONCEPTOS Y PARAMETROS'!$M$2-YEAR(F246),"")</f>
        <v>3</v>
      </c>
      <c r="H246" s="158">
        <v>0</v>
      </c>
      <c r="I246" s="156" t="str">
        <f>IFERROR(VLOOKUP(J246,CARGOS!A:F,2,0),"")</f>
        <v>36321</v>
      </c>
      <c r="J246" s="88" t="s">
        <v>1998</v>
      </c>
      <c r="K246" s="142" t="s">
        <v>4646</v>
      </c>
      <c r="L246" s="251">
        <v>246</v>
      </c>
    </row>
    <row r="247" spans="2:12" ht="15.75" thickBot="1" x14ac:dyDescent="0.3">
      <c r="B247" s="149" t="s">
        <v>2846</v>
      </c>
      <c r="C247" s="148">
        <f t="shared" ca="1" si="2"/>
        <v>212</v>
      </c>
      <c r="D247" s="87">
        <v>21209137</v>
      </c>
      <c r="E247" s="159" t="s">
        <v>4895</v>
      </c>
      <c r="F247" s="252">
        <v>44652</v>
      </c>
      <c r="G247" s="155">
        <f>IF(F247&lt;&gt;"",'CONCEPTOS Y PARAMETROS'!$M$2-YEAR(F247),"")</f>
        <v>3</v>
      </c>
      <c r="H247" s="158">
        <v>0</v>
      </c>
      <c r="I247" s="156" t="str">
        <f>IFERROR(VLOOKUP(J247,CARGOS!A:F,2,0),"")</f>
        <v>34234</v>
      </c>
      <c r="J247" s="88" t="s">
        <v>980</v>
      </c>
      <c r="K247" s="142" t="s">
        <v>4646</v>
      </c>
      <c r="L247" s="251">
        <v>246</v>
      </c>
    </row>
    <row r="248" spans="2:12" ht="15.75" thickBot="1" x14ac:dyDescent="0.3">
      <c r="B248" s="149" t="s">
        <v>2846</v>
      </c>
      <c r="C248" s="148">
        <f t="shared" ca="1" si="2"/>
        <v>213</v>
      </c>
      <c r="D248" s="87">
        <v>21365212</v>
      </c>
      <c r="E248" s="159" t="s">
        <v>4896</v>
      </c>
      <c r="F248" s="252">
        <v>44317</v>
      </c>
      <c r="G248" s="155">
        <f>IF(F248&lt;&gt;"",'CONCEPTOS Y PARAMETROS'!$M$2-YEAR(F248),"")</f>
        <v>4</v>
      </c>
      <c r="H248" s="158">
        <v>0</v>
      </c>
      <c r="I248" s="156" t="str">
        <f>IFERROR(VLOOKUP(J248,CARGOS!A:F,2,0),"")</f>
        <v>12111</v>
      </c>
      <c r="J248" s="88" t="s">
        <v>322</v>
      </c>
      <c r="K248" s="142" t="s">
        <v>4650</v>
      </c>
      <c r="L248" s="251">
        <v>130</v>
      </c>
    </row>
    <row r="249" spans="2:12" ht="15.75" thickBot="1" x14ac:dyDescent="0.3">
      <c r="B249" s="149" t="s">
        <v>2846</v>
      </c>
      <c r="C249" s="148">
        <f t="shared" ca="1" si="2"/>
        <v>214</v>
      </c>
      <c r="D249" s="87">
        <v>21365989</v>
      </c>
      <c r="E249" s="159" t="s">
        <v>4897</v>
      </c>
      <c r="F249" s="252">
        <v>44599</v>
      </c>
      <c r="G249" s="155">
        <f>IF(F249&lt;&gt;"",'CONCEPTOS Y PARAMETROS'!$M$2-YEAR(F249),"")</f>
        <v>3</v>
      </c>
      <c r="H249" s="158">
        <v>0</v>
      </c>
      <c r="I249" s="156" t="str">
        <f>IFERROR(VLOOKUP(J249,CARGOS!A:F,2,0),"")</f>
        <v>79511</v>
      </c>
      <c r="J249" s="88" t="s">
        <v>1162</v>
      </c>
      <c r="K249" s="142" t="s">
        <v>4650</v>
      </c>
      <c r="L249" s="251">
        <v>130</v>
      </c>
    </row>
    <row r="250" spans="2:12" ht="15.75" thickBot="1" x14ac:dyDescent="0.3">
      <c r="B250" s="149" t="s">
        <v>2846</v>
      </c>
      <c r="C250" s="148">
        <f t="shared" ca="1" si="2"/>
        <v>215</v>
      </c>
      <c r="D250" s="87">
        <v>21367629</v>
      </c>
      <c r="E250" s="159" t="s">
        <v>4898</v>
      </c>
      <c r="F250" s="252">
        <v>44440</v>
      </c>
      <c r="G250" s="155">
        <f>IF(F250&lt;&gt;"",'CONCEPTOS Y PARAMETROS'!$M$2-YEAR(F250),"")</f>
        <v>4</v>
      </c>
      <c r="H250" s="158">
        <v>0</v>
      </c>
      <c r="I250" s="156" t="str">
        <f>IFERROR(VLOOKUP(J250,CARGOS!A:F,2,0),"")</f>
        <v>79511</v>
      </c>
      <c r="J250" s="88" t="s">
        <v>1162</v>
      </c>
      <c r="K250" s="142" t="s">
        <v>4650</v>
      </c>
      <c r="L250" s="251">
        <v>130</v>
      </c>
    </row>
    <row r="251" spans="2:12" ht="15.75" thickBot="1" x14ac:dyDescent="0.3">
      <c r="B251" s="149" t="s">
        <v>2846</v>
      </c>
      <c r="C251" s="148">
        <f t="shared" ca="1" si="2"/>
        <v>216</v>
      </c>
      <c r="D251" s="87">
        <v>22622493</v>
      </c>
      <c r="E251" s="159" t="s">
        <v>4899</v>
      </c>
      <c r="F251" s="252">
        <v>44363</v>
      </c>
      <c r="G251" s="155">
        <f>IF(F251&lt;&gt;"",'CONCEPTOS Y PARAMETROS'!$M$2-YEAR(F251),"")</f>
        <v>4</v>
      </c>
      <c r="H251" s="158">
        <v>0</v>
      </c>
      <c r="I251" s="156" t="str">
        <f>IFERROR(VLOOKUP(J251,CARGOS!A:F,2,0),"")</f>
        <v>79511</v>
      </c>
      <c r="J251" s="88" t="s">
        <v>1162</v>
      </c>
      <c r="K251" s="142" t="s">
        <v>4650</v>
      </c>
      <c r="L251" s="251">
        <v>130</v>
      </c>
    </row>
    <row r="252" spans="2:12" ht="15.75" thickBot="1" x14ac:dyDescent="0.3">
      <c r="B252" s="149" t="s">
        <v>2846</v>
      </c>
      <c r="C252" s="148">
        <f t="shared" ca="1" si="2"/>
        <v>217</v>
      </c>
      <c r="D252" s="87">
        <v>23594994</v>
      </c>
      <c r="E252" s="159" t="s">
        <v>4900</v>
      </c>
      <c r="F252" s="252">
        <v>44317</v>
      </c>
      <c r="G252" s="155">
        <f>IF(F252&lt;&gt;"",'CONCEPTOS Y PARAMETROS'!$M$2-YEAR(F252),"")</f>
        <v>4</v>
      </c>
      <c r="H252" s="158">
        <v>0</v>
      </c>
      <c r="I252" s="156" t="str">
        <f>IFERROR(VLOOKUP(J252,CARGOS!A:F,2,0),"")</f>
        <v>79511</v>
      </c>
      <c r="J252" s="88" t="s">
        <v>1162</v>
      </c>
      <c r="K252" s="142" t="s">
        <v>4650</v>
      </c>
      <c r="L252" s="251">
        <v>130</v>
      </c>
    </row>
    <row r="253" spans="2:12" ht="15.75" thickBot="1" x14ac:dyDescent="0.3">
      <c r="B253" s="149" t="s">
        <v>2846</v>
      </c>
      <c r="C253" s="148">
        <f t="shared" ca="1" si="2"/>
        <v>218</v>
      </c>
      <c r="D253" s="87">
        <v>23782360</v>
      </c>
      <c r="E253" s="159" t="s">
        <v>4901</v>
      </c>
      <c r="F253" s="252">
        <v>39203</v>
      </c>
      <c r="G253" s="155">
        <f>IF(F253&lt;&gt;"",'CONCEPTOS Y PARAMETROS'!$M$2-YEAR(F253),"")</f>
        <v>18</v>
      </c>
      <c r="H253" s="158">
        <v>0</v>
      </c>
      <c r="I253" s="156" t="str">
        <f>IFERROR(VLOOKUP(J253,CARGOS!A:F,2,0),"")</f>
        <v>12123</v>
      </c>
      <c r="J253" s="88" t="s">
        <v>77</v>
      </c>
      <c r="K253" s="142" t="s">
        <v>4940</v>
      </c>
      <c r="L253" s="251">
        <v>285</v>
      </c>
    </row>
    <row r="254" spans="2:12" ht="15.75" thickBot="1" x14ac:dyDescent="0.3">
      <c r="B254" s="149" t="s">
        <v>2846</v>
      </c>
      <c r="C254" s="148">
        <f t="shared" ca="1" si="2"/>
        <v>219</v>
      </c>
      <c r="D254" s="87">
        <v>23960738</v>
      </c>
      <c r="E254" s="159" t="s">
        <v>4902</v>
      </c>
      <c r="F254" s="252">
        <v>43497</v>
      </c>
      <c r="G254" s="155">
        <f>IF(F254&lt;&gt;"",'CONCEPTOS Y PARAMETROS'!$M$2-YEAR(F254),"")</f>
        <v>6</v>
      </c>
      <c r="H254" s="158">
        <v>0</v>
      </c>
      <c r="I254" s="156" t="str">
        <f>IFERROR(VLOOKUP(J254,CARGOS!A:F,2,0),"")</f>
        <v>36321</v>
      </c>
      <c r="J254" s="88" t="s">
        <v>1998</v>
      </c>
      <c r="K254" s="142" t="s">
        <v>4648</v>
      </c>
      <c r="L254" s="251">
        <v>277</v>
      </c>
    </row>
    <row r="255" spans="2:12" ht="15.75" thickBot="1" x14ac:dyDescent="0.3">
      <c r="B255" s="149" t="s">
        <v>2846</v>
      </c>
      <c r="C255" s="148">
        <f t="shared" ca="1" si="2"/>
        <v>220</v>
      </c>
      <c r="D255" s="87">
        <v>24135378</v>
      </c>
      <c r="E255" s="159" t="s">
        <v>4903</v>
      </c>
      <c r="F255" s="252">
        <v>43862</v>
      </c>
      <c r="G255" s="155">
        <f>IF(F255&lt;&gt;"",'CONCEPTOS Y PARAMETROS'!$M$2-YEAR(F255),"")</f>
        <v>5</v>
      </c>
      <c r="H255" s="158">
        <v>0</v>
      </c>
      <c r="I255" s="156" t="str">
        <f>IFERROR(VLOOKUP(J255,CARGOS!A:F,2,0),"")</f>
        <v>12114</v>
      </c>
      <c r="J255" s="88" t="s">
        <v>328</v>
      </c>
      <c r="K255" s="142" t="s">
        <v>4648</v>
      </c>
      <c r="L255" s="251">
        <v>277</v>
      </c>
    </row>
    <row r="256" spans="2:12" ht="15.75" thickBot="1" x14ac:dyDescent="0.3">
      <c r="B256" s="149" t="s">
        <v>2846</v>
      </c>
      <c r="C256" s="148">
        <f t="shared" ca="1" si="2"/>
        <v>221</v>
      </c>
      <c r="D256" s="87">
        <v>24136737</v>
      </c>
      <c r="E256" s="159" t="s">
        <v>4904</v>
      </c>
      <c r="F256" s="252">
        <v>44743</v>
      </c>
      <c r="G256" s="155">
        <f>IF(F256&lt;&gt;"",'CONCEPTOS Y PARAMETROS'!$M$2-YEAR(F256),"")</f>
        <v>3</v>
      </c>
      <c r="H256" s="158">
        <v>0</v>
      </c>
      <c r="I256" s="156" t="str">
        <f>IFERROR(VLOOKUP(J256,CARGOS!A:F,2,0),"")</f>
        <v>79511</v>
      </c>
      <c r="J256" s="88" t="s">
        <v>1162</v>
      </c>
      <c r="K256" s="142" t="s">
        <v>4650</v>
      </c>
      <c r="L256" s="251">
        <v>130</v>
      </c>
    </row>
    <row r="257" spans="2:12" ht="15.75" thickBot="1" x14ac:dyDescent="0.3">
      <c r="B257" s="149" t="s">
        <v>2846</v>
      </c>
      <c r="C257" s="148">
        <f t="shared" ca="1" si="2"/>
        <v>222</v>
      </c>
      <c r="D257" s="87">
        <v>24136795</v>
      </c>
      <c r="E257" s="159" t="s">
        <v>4905</v>
      </c>
      <c r="F257" s="252">
        <v>44600</v>
      </c>
      <c r="G257" s="155">
        <f>IF(F257&lt;&gt;"",'CONCEPTOS Y PARAMETROS'!$M$2-YEAR(F257),"")</f>
        <v>3</v>
      </c>
      <c r="H257" s="158">
        <v>0</v>
      </c>
      <c r="I257" s="156" t="str">
        <f>IFERROR(VLOOKUP(J257,CARGOS!A:F,2,0),"")</f>
        <v>34232</v>
      </c>
      <c r="J257" s="88" t="s">
        <v>4956</v>
      </c>
      <c r="K257" s="142" t="s">
        <v>4650</v>
      </c>
      <c r="L257" s="251">
        <v>130</v>
      </c>
    </row>
    <row r="258" spans="2:12" ht="15.75" thickBot="1" x14ac:dyDescent="0.3">
      <c r="B258" s="149" t="s">
        <v>2846</v>
      </c>
      <c r="C258" s="148">
        <f t="shared" ca="1" si="2"/>
        <v>223</v>
      </c>
      <c r="D258" s="87">
        <v>24410168</v>
      </c>
      <c r="E258" s="159" t="s">
        <v>4957</v>
      </c>
      <c r="F258" s="252">
        <v>43009</v>
      </c>
      <c r="G258" s="155">
        <f>IF(F258&lt;&gt;"",'CONCEPTOS Y PARAMETROS'!$M$2-YEAR(F258),"")</f>
        <v>8</v>
      </c>
      <c r="H258" s="158">
        <v>0</v>
      </c>
      <c r="I258" s="156" t="str">
        <f>IFERROR(VLOOKUP(J258,CARGOS!A:F,2,0),"")</f>
        <v>21113</v>
      </c>
      <c r="J258" s="88" t="s">
        <v>694</v>
      </c>
      <c r="K258" s="142" t="s">
        <v>4950</v>
      </c>
      <c r="L258" s="251">
        <v>221</v>
      </c>
    </row>
    <row r="259" spans="2:12" ht="15.75" thickBot="1" x14ac:dyDescent="0.3">
      <c r="B259" s="149" t="s">
        <v>2846</v>
      </c>
      <c r="C259" s="148">
        <f t="shared" ca="1" si="2"/>
        <v>224</v>
      </c>
      <c r="D259" s="87">
        <v>24565372</v>
      </c>
      <c r="E259" s="159" t="s">
        <v>4906</v>
      </c>
      <c r="F259" s="252">
        <v>40360</v>
      </c>
      <c r="G259" s="155">
        <f>IF(F259&lt;&gt;"",'CONCEPTOS Y PARAMETROS'!$M$2-YEAR(F259),"")</f>
        <v>15</v>
      </c>
      <c r="H259" s="158">
        <v>0</v>
      </c>
      <c r="I259" s="156" t="str">
        <f>IFERROR(VLOOKUP(J259,CARGOS!A:F,2,0),"")</f>
        <v>31330</v>
      </c>
      <c r="J259" s="88" t="s">
        <v>471</v>
      </c>
      <c r="K259" s="142" t="s">
        <v>4943</v>
      </c>
      <c r="L259" s="251">
        <v>174</v>
      </c>
    </row>
    <row r="260" spans="2:12" ht="15.75" thickBot="1" x14ac:dyDescent="0.3">
      <c r="B260" s="149" t="s">
        <v>2846</v>
      </c>
      <c r="C260" s="148">
        <f t="shared" ca="1" si="2"/>
        <v>225</v>
      </c>
      <c r="D260" s="87">
        <v>24566115</v>
      </c>
      <c r="E260" s="159" t="s">
        <v>4907</v>
      </c>
      <c r="F260" s="252">
        <v>44348</v>
      </c>
      <c r="G260" s="155">
        <f>IF(F260&lt;&gt;"",'CONCEPTOS Y PARAMETROS'!$M$2-YEAR(F260),"")</f>
        <v>4</v>
      </c>
      <c r="H260" s="158">
        <v>0</v>
      </c>
      <c r="I260" s="156" t="str">
        <f>IFERROR(VLOOKUP(J260,CARGOS!A:F,2,0),"")</f>
        <v>12114</v>
      </c>
      <c r="J260" s="88" t="s">
        <v>328</v>
      </c>
      <c r="K260" s="142" t="s">
        <v>4646</v>
      </c>
      <c r="L260" s="251">
        <v>246</v>
      </c>
    </row>
    <row r="261" spans="2:12" ht="15.75" thickBot="1" x14ac:dyDescent="0.3">
      <c r="B261" s="149" t="s">
        <v>2846</v>
      </c>
      <c r="C261" s="148">
        <f t="shared" ca="1" si="2"/>
        <v>226</v>
      </c>
      <c r="D261" s="87">
        <v>25006139</v>
      </c>
      <c r="E261" s="159" t="s">
        <v>4908</v>
      </c>
      <c r="F261" s="252">
        <v>43512</v>
      </c>
      <c r="G261" s="155">
        <f>IF(F261&lt;&gt;"",'CONCEPTOS Y PARAMETROS'!$M$2-YEAR(F261),"")</f>
        <v>6</v>
      </c>
      <c r="H261" s="158">
        <v>0</v>
      </c>
      <c r="I261" s="156" t="str">
        <f>IFERROR(VLOOKUP(J261,CARGOS!A:F,2,0),"")</f>
        <v>79511</v>
      </c>
      <c r="J261" s="88" t="s">
        <v>1162</v>
      </c>
      <c r="K261" s="142" t="s">
        <v>4946</v>
      </c>
      <c r="L261" s="251">
        <v>150</v>
      </c>
    </row>
    <row r="262" spans="2:12" ht="15.75" thickBot="1" x14ac:dyDescent="0.3">
      <c r="B262" s="149" t="s">
        <v>2846</v>
      </c>
      <c r="C262" s="148">
        <f t="shared" ca="1" si="2"/>
        <v>227</v>
      </c>
      <c r="D262" s="87">
        <v>25096069</v>
      </c>
      <c r="E262" s="215" t="s">
        <v>4909</v>
      </c>
      <c r="F262" s="216">
        <v>44599</v>
      </c>
      <c r="G262" s="155">
        <f>IF(F262&lt;&gt;"",'CONCEPTOS Y PARAMETROS'!$M$2-YEAR(F262),"")</f>
        <v>3</v>
      </c>
      <c r="H262" s="158">
        <v>0</v>
      </c>
      <c r="I262" s="156" t="str">
        <f>IFERROR(VLOOKUP(J262,CARGOS!A:F,2,0),"")</f>
        <v>79511</v>
      </c>
      <c r="J262" s="88" t="s">
        <v>1162</v>
      </c>
      <c r="K262" s="142" t="s">
        <v>4646</v>
      </c>
      <c r="L262" s="251">
        <v>246</v>
      </c>
    </row>
    <row r="263" spans="2:12" ht="15.75" thickBot="1" x14ac:dyDescent="0.3">
      <c r="B263" s="149" t="s">
        <v>2846</v>
      </c>
      <c r="C263" s="148">
        <f t="shared" ca="1" si="2"/>
        <v>228</v>
      </c>
      <c r="D263" s="87">
        <v>25173983</v>
      </c>
      <c r="E263" s="159" t="s">
        <v>4910</v>
      </c>
      <c r="F263" s="252">
        <v>44363</v>
      </c>
      <c r="G263" s="155">
        <f>IF(F263&lt;&gt;"",'CONCEPTOS Y PARAMETROS'!$M$2-YEAR(F263),"")</f>
        <v>4</v>
      </c>
      <c r="H263" s="158">
        <v>0</v>
      </c>
      <c r="I263" s="156" t="str">
        <f>IFERROR(VLOOKUP(J263,CARGOS!A:F,2,0),"")</f>
        <v>79511</v>
      </c>
      <c r="J263" s="88" t="s">
        <v>1162</v>
      </c>
      <c r="K263" s="142" t="s">
        <v>4650</v>
      </c>
      <c r="L263" s="251">
        <v>130</v>
      </c>
    </row>
    <row r="264" spans="2:12" ht="15.75" thickBot="1" x14ac:dyDescent="0.3">
      <c r="B264" s="149" t="s">
        <v>2846</v>
      </c>
      <c r="C264" s="148">
        <f t="shared" ca="1" si="2"/>
        <v>229</v>
      </c>
      <c r="D264" s="87">
        <v>25303390</v>
      </c>
      <c r="E264" s="159" t="s">
        <v>4911</v>
      </c>
      <c r="F264" s="252">
        <v>43862</v>
      </c>
      <c r="G264" s="155">
        <f>IF(F264&lt;&gt;"",'CONCEPTOS Y PARAMETROS'!$M$2-YEAR(F264),"")</f>
        <v>5</v>
      </c>
      <c r="H264" s="158">
        <v>0</v>
      </c>
      <c r="I264" s="156" t="str">
        <f>IFERROR(VLOOKUP(J264,CARGOS!A:F,2,0),"")</f>
        <v>79511</v>
      </c>
      <c r="J264" s="88" t="s">
        <v>1162</v>
      </c>
      <c r="K264" s="142" t="s">
        <v>4946</v>
      </c>
      <c r="L264" s="251">
        <v>150</v>
      </c>
    </row>
    <row r="265" spans="2:12" ht="15.75" thickBot="1" x14ac:dyDescent="0.3">
      <c r="B265" s="149" t="s">
        <v>2846</v>
      </c>
      <c r="C265" s="148">
        <f t="shared" ca="1" si="2"/>
        <v>230</v>
      </c>
      <c r="D265" s="87">
        <v>25604733</v>
      </c>
      <c r="E265" s="159" t="s">
        <v>4912</v>
      </c>
      <c r="F265" s="252">
        <v>43754</v>
      </c>
      <c r="G265" s="155">
        <f>IF(F265&lt;&gt;"",'CONCEPTOS Y PARAMETROS'!$M$2-YEAR(F265),"")</f>
        <v>6</v>
      </c>
      <c r="H265" s="158">
        <v>0</v>
      </c>
      <c r="I265" s="156" t="str">
        <f>IFERROR(VLOOKUP(J265,CARGOS!A:F,2,0),"")</f>
        <v>34231</v>
      </c>
      <c r="J265" s="88" t="s">
        <v>976</v>
      </c>
      <c r="K265" s="142" t="s">
        <v>4946</v>
      </c>
      <c r="L265" s="251">
        <v>150</v>
      </c>
    </row>
    <row r="266" spans="2:12" ht="15.75" thickBot="1" x14ac:dyDescent="0.3">
      <c r="B266" s="149" t="s">
        <v>2846</v>
      </c>
      <c r="C266" s="148">
        <f t="shared" ca="1" si="2"/>
        <v>231</v>
      </c>
      <c r="D266" s="87">
        <v>25619540</v>
      </c>
      <c r="E266" s="159" t="s">
        <v>4913</v>
      </c>
      <c r="F266" s="252">
        <v>44743</v>
      </c>
      <c r="G266" s="155">
        <f>IF(F266&lt;&gt;"",'CONCEPTOS Y PARAMETROS'!$M$2-YEAR(F266),"")</f>
        <v>3</v>
      </c>
      <c r="H266" s="158">
        <v>0</v>
      </c>
      <c r="I266" s="156" t="str">
        <f>IFERROR(VLOOKUP(J266,CARGOS!A:F,2,0),"")</f>
        <v>79511</v>
      </c>
      <c r="J266" s="88" t="s">
        <v>1162</v>
      </c>
      <c r="K266" s="142" t="s">
        <v>4650</v>
      </c>
      <c r="L266" s="251">
        <v>130</v>
      </c>
    </row>
    <row r="267" spans="2:12" ht="15.75" thickBot="1" x14ac:dyDescent="0.3">
      <c r="B267" s="149" t="s">
        <v>2846</v>
      </c>
      <c r="C267" s="148">
        <f t="shared" ca="1" si="2"/>
        <v>232</v>
      </c>
      <c r="D267" s="87">
        <v>26094609</v>
      </c>
      <c r="E267" s="159" t="s">
        <v>4914</v>
      </c>
      <c r="F267" s="252">
        <v>44713</v>
      </c>
      <c r="G267" s="155">
        <f>IF(F267&lt;&gt;"",'CONCEPTOS Y PARAMETROS'!$M$2-YEAR(F267),"")</f>
        <v>3</v>
      </c>
      <c r="H267" s="158">
        <v>0</v>
      </c>
      <c r="I267" s="156" t="str">
        <f>IFERROR(VLOOKUP(J267,CARGOS!A:F,2,0),"")</f>
        <v>12114</v>
      </c>
      <c r="J267" s="88" t="s">
        <v>328</v>
      </c>
      <c r="K267" s="142" t="s">
        <v>4646</v>
      </c>
      <c r="L267" s="251">
        <v>246</v>
      </c>
    </row>
    <row r="268" spans="2:12" ht="15.75" thickBot="1" x14ac:dyDescent="0.3">
      <c r="B268" s="149" t="s">
        <v>2846</v>
      </c>
      <c r="C268" s="148">
        <f t="shared" ca="1" si="2"/>
        <v>233</v>
      </c>
      <c r="D268" s="87">
        <v>26114271</v>
      </c>
      <c r="E268" s="159" t="s">
        <v>4915</v>
      </c>
      <c r="F268" s="252">
        <v>44636</v>
      </c>
      <c r="G268" s="155">
        <f>IF(F268&lt;&gt;"",'CONCEPTOS Y PARAMETROS'!$M$2-YEAR(F268),"")</f>
        <v>3</v>
      </c>
      <c r="H268" s="158">
        <v>0</v>
      </c>
      <c r="I268" s="156" t="str">
        <f>IFERROR(VLOOKUP(J268,CARGOS!A:F,2,0),"")</f>
        <v>35121</v>
      </c>
      <c r="J268" s="88" t="s">
        <v>34</v>
      </c>
      <c r="K268" s="142" t="s">
        <v>4646</v>
      </c>
      <c r="L268" s="251">
        <v>246</v>
      </c>
    </row>
    <row r="269" spans="2:12" ht="15.75" thickBot="1" x14ac:dyDescent="0.3">
      <c r="B269" s="149" t="s">
        <v>2846</v>
      </c>
      <c r="C269" s="148">
        <f t="shared" ca="1" si="2"/>
        <v>234</v>
      </c>
      <c r="D269" s="87">
        <v>26191823</v>
      </c>
      <c r="E269" s="159" t="s">
        <v>4916</v>
      </c>
      <c r="F269" s="252">
        <v>44470</v>
      </c>
      <c r="G269" s="155">
        <f>IF(F269&lt;&gt;"",'CONCEPTOS Y PARAMETROS'!$M$2-YEAR(F269),"")</f>
        <v>4</v>
      </c>
      <c r="H269" s="158">
        <v>0</v>
      </c>
      <c r="I269" s="156" t="str">
        <f>IFERROR(VLOOKUP(J269,CARGOS!A:F,2,0),"")</f>
        <v>35121</v>
      </c>
      <c r="J269" s="88" t="s">
        <v>34</v>
      </c>
      <c r="K269" s="142" t="s">
        <v>4646</v>
      </c>
      <c r="L269" s="251">
        <v>246</v>
      </c>
    </row>
    <row r="270" spans="2:12" ht="15.75" thickBot="1" x14ac:dyDescent="0.3">
      <c r="B270" s="149" t="s">
        <v>2846</v>
      </c>
      <c r="C270" s="148">
        <f t="shared" ca="1" si="2"/>
        <v>235</v>
      </c>
      <c r="D270" s="87">
        <v>26413871</v>
      </c>
      <c r="E270" s="159" t="s">
        <v>4917</v>
      </c>
      <c r="F270" s="252">
        <v>44228</v>
      </c>
      <c r="G270" s="155">
        <f>IF(F270&lt;&gt;"",'CONCEPTOS Y PARAMETROS'!$M$2-YEAR(F270),"")</f>
        <v>4</v>
      </c>
      <c r="H270" s="158">
        <v>0</v>
      </c>
      <c r="I270" s="156" t="str">
        <f>IFERROR(VLOOKUP(J270,CARGOS!A:F,2,0),"")</f>
        <v>79511</v>
      </c>
      <c r="J270" s="88" t="s">
        <v>1162</v>
      </c>
      <c r="K270" s="142" t="s">
        <v>4650</v>
      </c>
      <c r="L270" s="251">
        <v>130</v>
      </c>
    </row>
    <row r="271" spans="2:12" ht="15.75" thickBot="1" x14ac:dyDescent="0.3">
      <c r="B271" s="149" t="s">
        <v>2846</v>
      </c>
      <c r="C271" s="148">
        <f t="shared" ca="1" si="2"/>
        <v>236</v>
      </c>
      <c r="D271" s="87">
        <v>26591879</v>
      </c>
      <c r="E271" s="159" t="s">
        <v>4918</v>
      </c>
      <c r="F271" s="252">
        <v>43587</v>
      </c>
      <c r="G271" s="155">
        <f>IF(F271&lt;&gt;"",'CONCEPTOS Y PARAMETROS'!$M$2-YEAR(F271),"")</f>
        <v>6</v>
      </c>
      <c r="H271" s="158">
        <v>0</v>
      </c>
      <c r="I271" s="156" t="str">
        <f>IFERROR(VLOOKUP(J271,CARGOS!A:F,2,0),"")</f>
        <v>36322</v>
      </c>
      <c r="J271" s="88" t="s">
        <v>2000</v>
      </c>
      <c r="K271" s="142" t="s">
        <v>4648</v>
      </c>
      <c r="L271" s="251">
        <v>277</v>
      </c>
    </row>
    <row r="272" spans="2:12" ht="15.75" thickBot="1" x14ac:dyDescent="0.3">
      <c r="B272" s="149" t="s">
        <v>2846</v>
      </c>
      <c r="C272" s="148">
        <f t="shared" ca="1" si="2"/>
        <v>237</v>
      </c>
      <c r="D272" s="87">
        <v>26690908</v>
      </c>
      <c r="E272" s="159" t="s">
        <v>4919</v>
      </c>
      <c r="F272" s="252">
        <v>44228</v>
      </c>
      <c r="G272" s="155">
        <f>IF(F272&lt;&gt;"",'CONCEPTOS Y PARAMETROS'!$M$2-YEAR(F272),"")</f>
        <v>4</v>
      </c>
      <c r="H272" s="158">
        <v>0</v>
      </c>
      <c r="I272" s="156" t="str">
        <f>IFERROR(VLOOKUP(J272,CARGOS!A:F,2,0),"")</f>
        <v>79511</v>
      </c>
      <c r="J272" s="88" t="s">
        <v>1162</v>
      </c>
      <c r="K272" s="142" t="s">
        <v>4650</v>
      </c>
      <c r="L272" s="251">
        <v>130</v>
      </c>
    </row>
    <row r="273" spans="2:12" ht="15.75" thickBot="1" x14ac:dyDescent="0.3">
      <c r="B273" s="149" t="s">
        <v>2846</v>
      </c>
      <c r="C273" s="148">
        <f t="shared" ca="1" si="2"/>
        <v>238</v>
      </c>
      <c r="D273" s="87">
        <v>26962104</v>
      </c>
      <c r="E273" s="159" t="s">
        <v>4920</v>
      </c>
      <c r="F273" s="252">
        <v>44393</v>
      </c>
      <c r="G273" s="155">
        <f>IF(F273&lt;&gt;"",'CONCEPTOS Y PARAMETROS'!$M$2-YEAR(F273),"")</f>
        <v>4</v>
      </c>
      <c r="H273" s="158">
        <v>0</v>
      </c>
      <c r="I273" s="156" t="str">
        <f>IFERROR(VLOOKUP(J273,CARGOS!A:F,2,0),"")</f>
        <v>12111</v>
      </c>
      <c r="J273" s="88" t="s">
        <v>322</v>
      </c>
      <c r="K273" s="142" t="s">
        <v>4650</v>
      </c>
      <c r="L273" s="251">
        <v>130</v>
      </c>
    </row>
    <row r="274" spans="2:12" ht="15.75" thickBot="1" x14ac:dyDescent="0.3">
      <c r="B274" s="149" t="s">
        <v>2846</v>
      </c>
      <c r="C274" s="148">
        <f t="shared" ca="1" si="2"/>
        <v>239</v>
      </c>
      <c r="D274" s="87">
        <v>27151132</v>
      </c>
      <c r="E274" s="159" t="s">
        <v>4921</v>
      </c>
      <c r="F274" s="252">
        <v>44243</v>
      </c>
      <c r="G274" s="155">
        <f>IF(F274&lt;&gt;"",'CONCEPTOS Y PARAMETROS'!$M$2-YEAR(F274),"")</f>
        <v>4</v>
      </c>
      <c r="H274" s="158">
        <v>0</v>
      </c>
      <c r="I274" s="156" t="str">
        <f>IFERROR(VLOOKUP(J274,CARGOS!A:F,2,0),"")</f>
        <v>24311</v>
      </c>
      <c r="J274" s="88" t="s">
        <v>2092</v>
      </c>
      <c r="K274" s="142" t="s">
        <v>4650</v>
      </c>
      <c r="L274" s="251">
        <v>130</v>
      </c>
    </row>
    <row r="275" spans="2:12" ht="15.75" thickBot="1" x14ac:dyDescent="0.3">
      <c r="B275" s="149" t="s">
        <v>2846</v>
      </c>
      <c r="C275" s="148">
        <f t="shared" ca="1" si="2"/>
        <v>240</v>
      </c>
      <c r="D275" s="87">
        <v>27415737</v>
      </c>
      <c r="E275" s="159" t="s">
        <v>4922</v>
      </c>
      <c r="F275" s="252">
        <v>44363</v>
      </c>
      <c r="G275" s="155">
        <f>IF(F275&lt;&gt;"",'CONCEPTOS Y PARAMETROS'!$M$2-YEAR(F275),"")</f>
        <v>4</v>
      </c>
      <c r="H275" s="158">
        <v>0</v>
      </c>
      <c r="I275" s="156" t="str">
        <f>IFERROR(VLOOKUP(J275,CARGOS!A:F,2,0),"")</f>
        <v>12111</v>
      </c>
      <c r="J275" s="88" t="s">
        <v>322</v>
      </c>
      <c r="K275" s="142" t="s">
        <v>4650</v>
      </c>
      <c r="L275" s="251">
        <v>130</v>
      </c>
    </row>
    <row r="276" spans="2:12" ht="15.75" thickBot="1" x14ac:dyDescent="0.3">
      <c r="B276" s="149" t="s">
        <v>2846</v>
      </c>
      <c r="C276" s="148">
        <f t="shared" ca="1" si="2"/>
        <v>241</v>
      </c>
      <c r="D276" s="87">
        <v>27415888</v>
      </c>
      <c r="E276" s="159" t="s">
        <v>4923</v>
      </c>
      <c r="F276" s="252">
        <v>44713</v>
      </c>
      <c r="G276" s="155">
        <f>IF(F276&lt;&gt;"",'CONCEPTOS Y PARAMETROS'!$M$2-YEAR(F276),"")</f>
        <v>3</v>
      </c>
      <c r="H276" s="158">
        <v>3</v>
      </c>
      <c r="I276" s="156" t="str">
        <f>IFERROR(VLOOKUP(J276,CARGOS!A:F,2,0),"")</f>
        <v>34232</v>
      </c>
      <c r="J276" s="88" t="s">
        <v>4956</v>
      </c>
      <c r="K276" s="142" t="s">
        <v>4946</v>
      </c>
      <c r="L276" s="251">
        <v>150</v>
      </c>
    </row>
    <row r="277" spans="2:12" ht="15.75" thickBot="1" x14ac:dyDescent="0.3">
      <c r="B277" s="149" t="s">
        <v>2846</v>
      </c>
      <c r="C277" s="148">
        <f t="shared" ca="1" si="2"/>
        <v>242</v>
      </c>
      <c r="D277" s="87">
        <v>27889180</v>
      </c>
      <c r="E277" s="159" t="s">
        <v>4924</v>
      </c>
      <c r="F277" s="252">
        <v>44393</v>
      </c>
      <c r="G277" s="155">
        <f>IF(F277&lt;&gt;"",'CONCEPTOS Y PARAMETROS'!$M$2-YEAR(F277),"")</f>
        <v>4</v>
      </c>
      <c r="H277" s="158">
        <v>0</v>
      </c>
      <c r="I277" s="156" t="str">
        <f>IFERROR(VLOOKUP(J277,CARGOS!A:F,2,0),"")</f>
        <v>79330</v>
      </c>
      <c r="J277" s="88" t="s">
        <v>477</v>
      </c>
      <c r="K277" s="142" t="s">
        <v>4650</v>
      </c>
      <c r="L277" s="251">
        <v>130</v>
      </c>
    </row>
    <row r="278" spans="2:12" ht="15.75" thickBot="1" x14ac:dyDescent="0.3">
      <c r="B278" s="149" t="s">
        <v>2846</v>
      </c>
      <c r="C278" s="148">
        <f t="shared" ca="1" si="2"/>
        <v>243</v>
      </c>
      <c r="D278" s="87">
        <v>27889243</v>
      </c>
      <c r="E278" s="159" t="s">
        <v>4925</v>
      </c>
      <c r="F278" s="252">
        <v>44577</v>
      </c>
      <c r="G278" s="155">
        <f>IF(F278&lt;&gt;"",'CONCEPTOS Y PARAMETROS'!$M$2-YEAR(F278),"")</f>
        <v>3</v>
      </c>
      <c r="H278" s="158">
        <v>0</v>
      </c>
      <c r="I278" s="156" t="str">
        <f>IFERROR(VLOOKUP(J278,CARGOS!A:F,2,0),"")</f>
        <v>36321</v>
      </c>
      <c r="J278" s="88" t="s">
        <v>1998</v>
      </c>
      <c r="K278" s="142" t="s">
        <v>4646</v>
      </c>
      <c r="L278" s="251">
        <v>246</v>
      </c>
    </row>
    <row r="279" spans="2:12" ht="15.75" thickBot="1" x14ac:dyDescent="0.3">
      <c r="B279" s="149" t="s">
        <v>2846</v>
      </c>
      <c r="C279" s="148">
        <f t="shared" ca="1" si="2"/>
        <v>244</v>
      </c>
      <c r="D279" s="87">
        <v>28079765</v>
      </c>
      <c r="E279" s="159" t="s">
        <v>4926</v>
      </c>
      <c r="F279" s="252">
        <v>44348</v>
      </c>
      <c r="G279" s="155">
        <f>IF(F279&lt;&gt;"",'CONCEPTOS Y PARAMETROS'!$M$2-YEAR(F279),"")</f>
        <v>4</v>
      </c>
      <c r="H279" s="158">
        <v>0</v>
      </c>
      <c r="I279" s="156" t="str">
        <f>IFERROR(VLOOKUP(J279,CARGOS!A:F,2,0),"")</f>
        <v>12111</v>
      </c>
      <c r="J279" s="88" t="s">
        <v>322</v>
      </c>
      <c r="K279" s="142" t="s">
        <v>4650</v>
      </c>
      <c r="L279" s="251">
        <v>130</v>
      </c>
    </row>
    <row r="280" spans="2:12" ht="15.75" thickBot="1" x14ac:dyDescent="0.3">
      <c r="B280" s="149" t="s">
        <v>2846</v>
      </c>
      <c r="C280" s="148">
        <f t="shared" ca="1" si="2"/>
        <v>245</v>
      </c>
      <c r="D280" s="87">
        <v>28096003</v>
      </c>
      <c r="E280" s="159" t="s">
        <v>4927</v>
      </c>
      <c r="F280" s="252">
        <v>44228</v>
      </c>
      <c r="G280" s="155">
        <f>IF(F280&lt;&gt;"",'CONCEPTOS Y PARAMETROS'!$M$2-YEAR(F280),"")</f>
        <v>4</v>
      </c>
      <c r="H280" s="158">
        <v>0</v>
      </c>
      <c r="I280" s="156" t="str">
        <f>IFERROR(VLOOKUP(J280,CARGOS!A:F,2,0),"")</f>
        <v>79511</v>
      </c>
      <c r="J280" s="88" t="s">
        <v>1162</v>
      </c>
      <c r="K280" s="142" t="s">
        <v>4650</v>
      </c>
      <c r="L280" s="251">
        <v>130</v>
      </c>
    </row>
    <row r="281" spans="2:12" ht="15.75" thickBot="1" x14ac:dyDescent="0.3">
      <c r="B281" s="149" t="s">
        <v>2846</v>
      </c>
      <c r="C281" s="148">
        <f t="shared" ca="1" si="2"/>
        <v>246</v>
      </c>
      <c r="D281" s="87">
        <v>28445465</v>
      </c>
      <c r="E281" s="159" t="s">
        <v>4928</v>
      </c>
      <c r="F281" s="252">
        <v>43770</v>
      </c>
      <c r="G281" s="155">
        <f>IF(F281&lt;&gt;"",'CONCEPTOS Y PARAMETROS'!$M$2-YEAR(F281),"")</f>
        <v>6</v>
      </c>
      <c r="H281" s="158">
        <v>0</v>
      </c>
      <c r="I281" s="156" t="str">
        <f>IFERROR(VLOOKUP(J281,CARGOS!A:F,2,0),"")</f>
        <v>12111</v>
      </c>
      <c r="J281" s="88" t="s">
        <v>322</v>
      </c>
      <c r="K281" s="142" t="s">
        <v>4946</v>
      </c>
      <c r="L281" s="251">
        <v>150</v>
      </c>
    </row>
    <row r="282" spans="2:12" ht="15.75" thickBot="1" x14ac:dyDescent="0.3">
      <c r="B282" s="149" t="s">
        <v>2846</v>
      </c>
      <c r="C282" s="148">
        <f t="shared" ca="1" si="2"/>
        <v>247</v>
      </c>
      <c r="D282" s="87">
        <v>29585477</v>
      </c>
      <c r="E282" s="215" t="s">
        <v>4929</v>
      </c>
      <c r="F282" s="216">
        <v>43512</v>
      </c>
      <c r="G282" s="155">
        <f>IF(F282&lt;&gt;"",'CONCEPTOS Y PARAMETROS'!$M$2-YEAR(F282),"")</f>
        <v>6</v>
      </c>
      <c r="H282" s="158">
        <v>0</v>
      </c>
      <c r="I282" s="156" t="str">
        <f>IFERROR(VLOOKUP(J282,CARGOS!A:F,2,0),"")</f>
        <v>34231</v>
      </c>
      <c r="J282" s="88" t="s">
        <v>976</v>
      </c>
      <c r="K282" s="142" t="s">
        <v>4946</v>
      </c>
      <c r="L282" s="251">
        <v>150</v>
      </c>
    </row>
    <row r="283" spans="2:12" ht="15.75" thickBot="1" x14ac:dyDescent="0.3">
      <c r="B283" s="149" t="s">
        <v>2846</v>
      </c>
      <c r="C283" s="148">
        <f t="shared" ca="1" si="2"/>
        <v>248</v>
      </c>
      <c r="D283" s="87">
        <v>29916508</v>
      </c>
      <c r="E283" s="159" t="s">
        <v>4930</v>
      </c>
      <c r="F283" s="252">
        <v>44378</v>
      </c>
      <c r="G283" s="155">
        <f>IF(F283&lt;&gt;"",'CONCEPTOS Y PARAMETROS'!$M$2-YEAR(F283),"")</f>
        <v>4</v>
      </c>
      <c r="H283" s="158">
        <v>0</v>
      </c>
      <c r="I283" s="156" t="str">
        <f>IFERROR(VLOOKUP(J283,CARGOS!A:F,2,0),"")</f>
        <v>79511</v>
      </c>
      <c r="J283" s="88" t="s">
        <v>1162</v>
      </c>
      <c r="K283" s="142" t="s">
        <v>4650</v>
      </c>
      <c r="L283" s="251">
        <v>130</v>
      </c>
    </row>
    <row r="284" spans="2:12" ht="15.75" thickBot="1" x14ac:dyDescent="0.3">
      <c r="B284" s="149" t="s">
        <v>2846</v>
      </c>
      <c r="C284" s="148">
        <f t="shared" ca="1" si="2"/>
        <v>249</v>
      </c>
      <c r="D284" s="87">
        <v>30600641</v>
      </c>
      <c r="E284" s="159" t="s">
        <v>4931</v>
      </c>
      <c r="F284" s="252">
        <v>44455</v>
      </c>
      <c r="G284" s="155">
        <f>IF(F284&lt;&gt;"",'CONCEPTOS Y PARAMETROS'!$M$2-YEAR(F284),"")</f>
        <v>4</v>
      </c>
      <c r="H284" s="158">
        <v>0</v>
      </c>
      <c r="I284" s="156" t="str">
        <f>IFERROR(VLOOKUP(J284,CARGOS!A:F,2,0),"")</f>
        <v>12111</v>
      </c>
      <c r="J284" s="88" t="s">
        <v>322</v>
      </c>
      <c r="K284" s="142" t="s">
        <v>4650</v>
      </c>
      <c r="L284" s="251">
        <v>130</v>
      </c>
    </row>
    <row r="285" spans="2:12" ht="15.75" thickBot="1" x14ac:dyDescent="0.3">
      <c r="B285" s="149" t="s">
        <v>2846</v>
      </c>
      <c r="C285" s="148">
        <f t="shared" ca="1" si="2"/>
        <v>250</v>
      </c>
      <c r="D285" s="87">
        <v>8719807</v>
      </c>
      <c r="E285" s="159" t="s">
        <v>4668</v>
      </c>
      <c r="F285" s="252">
        <v>39874</v>
      </c>
      <c r="G285" s="155">
        <f>IF(F285&lt;&gt;"",'CONCEPTOS Y PARAMETROS'!$M$2-YEAR(F285),"")</f>
        <v>16</v>
      </c>
      <c r="H285" s="158">
        <v>4</v>
      </c>
      <c r="I285" s="156" t="str">
        <f>IFERROR(VLOOKUP(J285,CARGOS!A:F,2,0),"")</f>
        <v>35125</v>
      </c>
      <c r="J285" s="88" t="s">
        <v>42</v>
      </c>
      <c r="K285" s="142" t="s">
        <v>4947</v>
      </c>
      <c r="L285" s="251">
        <v>316</v>
      </c>
    </row>
    <row r="286" spans="2:12" ht="15.75" thickBot="1" x14ac:dyDescent="0.3">
      <c r="B286" s="149" t="s">
        <v>2846</v>
      </c>
      <c r="C286" s="148">
        <f t="shared" ca="1" si="2"/>
        <v>251</v>
      </c>
      <c r="D286" s="87">
        <v>9311822</v>
      </c>
      <c r="E286" s="159" t="s">
        <v>4670</v>
      </c>
      <c r="F286" s="252">
        <v>37662</v>
      </c>
      <c r="G286" s="155">
        <f>IF(F286&lt;&gt;"",'CONCEPTOS Y PARAMETROS'!$M$2-YEAR(F286),"")</f>
        <v>22</v>
      </c>
      <c r="H286" s="158">
        <v>0</v>
      </c>
      <c r="I286" s="156" t="str">
        <f>IFERROR(VLOOKUP(J286,CARGOS!A:F,2,0),"")</f>
        <v>12113</v>
      </c>
      <c r="J286" s="88" t="s">
        <v>326</v>
      </c>
      <c r="K286" s="142" t="s">
        <v>4937</v>
      </c>
      <c r="L286" s="251">
        <v>177</v>
      </c>
    </row>
    <row r="287" spans="2:12" ht="15.75" thickBot="1" x14ac:dyDescent="0.3">
      <c r="B287" s="149" t="s">
        <v>2846</v>
      </c>
      <c r="C287" s="148">
        <f t="shared" ca="1" si="2"/>
        <v>252</v>
      </c>
      <c r="D287" s="87">
        <v>9495661</v>
      </c>
      <c r="E287" s="159" t="s">
        <v>4958</v>
      </c>
      <c r="F287" s="252">
        <v>39692</v>
      </c>
      <c r="G287" s="155">
        <f>IF(F287&lt;&gt;"",'CONCEPTOS Y PARAMETROS'!$M$2-YEAR(F287),"")</f>
        <v>17</v>
      </c>
      <c r="H287" s="158">
        <v>0</v>
      </c>
      <c r="I287" s="156" t="str">
        <f>IFERROR(VLOOKUP(J287,CARGOS!A:F,2,0),"")</f>
        <v>79532</v>
      </c>
      <c r="J287" s="88" t="s">
        <v>1558</v>
      </c>
      <c r="K287" s="142" t="s">
        <v>4934</v>
      </c>
      <c r="L287" s="251">
        <v>176</v>
      </c>
    </row>
    <row r="288" spans="2:12" ht="15.75" thickBot="1" x14ac:dyDescent="0.3">
      <c r="B288" s="149" t="s">
        <v>2846</v>
      </c>
      <c r="C288" s="148">
        <f t="shared" ca="1" si="2"/>
        <v>253</v>
      </c>
      <c r="D288" s="87">
        <v>10404528</v>
      </c>
      <c r="E288" s="159" t="s">
        <v>4669</v>
      </c>
      <c r="F288" s="252">
        <v>37622</v>
      </c>
      <c r="G288" s="155">
        <f>IF(F288&lt;&gt;"",'CONCEPTOS Y PARAMETROS'!$M$2-YEAR(F288),"")</f>
        <v>22</v>
      </c>
      <c r="H288" s="158">
        <v>0</v>
      </c>
      <c r="I288" s="156" t="str">
        <f>IFERROR(VLOOKUP(J288,CARGOS!A:F,2,0),"")</f>
        <v>12124</v>
      </c>
      <c r="J288" s="88" t="s">
        <v>79</v>
      </c>
      <c r="K288" s="142" t="s">
        <v>4935</v>
      </c>
      <c r="L288" s="251">
        <v>287</v>
      </c>
    </row>
    <row r="289" spans="2:12" ht="15.75" thickBot="1" x14ac:dyDescent="0.3">
      <c r="B289" s="149" t="s">
        <v>2846</v>
      </c>
      <c r="C289" s="148">
        <f t="shared" ca="1" si="2"/>
        <v>254</v>
      </c>
      <c r="D289" s="87">
        <v>10912595</v>
      </c>
      <c r="E289" s="159" t="s">
        <v>4681</v>
      </c>
      <c r="F289" s="252">
        <v>36039</v>
      </c>
      <c r="G289" s="155">
        <f>IF(F289&lt;&gt;"",'CONCEPTOS Y PARAMETROS'!$M$2-YEAR(F289),"")</f>
        <v>27</v>
      </c>
      <c r="H289" s="158">
        <v>0</v>
      </c>
      <c r="I289" s="156" t="str">
        <f>IFERROR(VLOOKUP(J289,CARGOS!A:F,2,0),"")</f>
        <v>79512</v>
      </c>
      <c r="J289" s="88" t="s">
        <v>1164</v>
      </c>
      <c r="K289" s="142" t="s">
        <v>4937</v>
      </c>
      <c r="L289" s="251">
        <v>177</v>
      </c>
    </row>
    <row r="290" spans="2:12" ht="15.75" thickBot="1" x14ac:dyDescent="0.3">
      <c r="B290" s="149" t="s">
        <v>2846</v>
      </c>
      <c r="C290" s="148">
        <f t="shared" ca="1" si="2"/>
        <v>255</v>
      </c>
      <c r="D290" s="87">
        <v>11798459</v>
      </c>
      <c r="E290" s="159" t="s">
        <v>4666</v>
      </c>
      <c r="F290" s="252">
        <v>41471</v>
      </c>
      <c r="G290" s="155">
        <f>IF(F290&lt;&gt;"",'CONCEPTOS Y PARAMETROS'!$M$2-YEAR(F290),"")</f>
        <v>12</v>
      </c>
      <c r="H290" s="158">
        <v>10</v>
      </c>
      <c r="I290" s="156" t="str">
        <f>IFERROR(VLOOKUP(J290,CARGOS!A:F,2,0),"")</f>
        <v>12130</v>
      </c>
      <c r="J290" s="88" t="s">
        <v>81</v>
      </c>
      <c r="K290" s="142" t="s">
        <v>4935</v>
      </c>
      <c r="L290" s="251">
        <v>287</v>
      </c>
    </row>
    <row r="291" spans="2:12" ht="15.75" thickBot="1" x14ac:dyDescent="0.3">
      <c r="B291" s="149" t="s">
        <v>2846</v>
      </c>
      <c r="C291" s="148">
        <f t="shared" ref="C291:C306" ca="1" si="3">OFFSET(C291,-1,0)+1</f>
        <v>256</v>
      </c>
      <c r="D291" s="87">
        <v>11894534</v>
      </c>
      <c r="E291" s="159" t="s">
        <v>4667</v>
      </c>
      <c r="F291" s="252">
        <v>41334</v>
      </c>
      <c r="G291" s="155">
        <f>IF(F291&lt;&gt;"",'CONCEPTOS Y PARAMETROS'!$M$2-YEAR(F291),"")</f>
        <v>12</v>
      </c>
      <c r="H291" s="158">
        <v>13</v>
      </c>
      <c r="I291" s="156" t="str">
        <f>IFERROR(VLOOKUP(J291,CARGOS!A:F,2,0),"")</f>
        <v>12130</v>
      </c>
      <c r="J291" s="88" t="s">
        <v>81</v>
      </c>
      <c r="K291" s="142" t="s">
        <v>4935</v>
      </c>
      <c r="L291" s="251">
        <v>287</v>
      </c>
    </row>
    <row r="292" spans="2:12" ht="15.75" thickBot="1" x14ac:dyDescent="0.3">
      <c r="B292" s="149" t="s">
        <v>2846</v>
      </c>
      <c r="C292" s="148">
        <f t="shared" ca="1" si="3"/>
        <v>257</v>
      </c>
      <c r="D292" s="87">
        <v>12542413</v>
      </c>
      <c r="E292" s="159" t="s">
        <v>4675</v>
      </c>
      <c r="F292" s="252">
        <v>36434</v>
      </c>
      <c r="G292" s="155">
        <f>IF(F292&lt;&gt;"",'CONCEPTOS Y PARAMETROS'!$M$2-YEAR(F292),"")</f>
        <v>26</v>
      </c>
      <c r="H292" s="158">
        <v>0</v>
      </c>
      <c r="I292" s="156" t="str">
        <f>IFERROR(VLOOKUP(J292,CARGOS!A:F,2,0),"")</f>
        <v>79512</v>
      </c>
      <c r="J292" s="88" t="s">
        <v>1164</v>
      </c>
      <c r="K292" s="142" t="s">
        <v>4937</v>
      </c>
      <c r="L292" s="251">
        <v>177</v>
      </c>
    </row>
    <row r="293" spans="2:12" ht="15.75" thickBot="1" x14ac:dyDescent="0.3">
      <c r="B293" s="149" t="s">
        <v>2846</v>
      </c>
      <c r="C293" s="148">
        <f t="shared" ca="1" si="3"/>
        <v>258</v>
      </c>
      <c r="D293" s="87">
        <v>13462511</v>
      </c>
      <c r="E293" s="159" t="s">
        <v>4673</v>
      </c>
      <c r="F293" s="252">
        <v>43738</v>
      </c>
      <c r="G293" s="155">
        <f>IF(F293&lt;&gt;"",'CONCEPTOS Y PARAMETROS'!$M$2-YEAR(F293),"")</f>
        <v>6</v>
      </c>
      <c r="H293" s="158">
        <v>0</v>
      </c>
      <c r="I293" s="156" t="str">
        <f>IFERROR(VLOOKUP(J293,CARGOS!A:F,2,0),"")</f>
        <v>35121</v>
      </c>
      <c r="J293" s="88" t="s">
        <v>34</v>
      </c>
      <c r="K293" s="142" t="s">
        <v>4948</v>
      </c>
      <c r="L293" s="251">
        <v>307</v>
      </c>
    </row>
    <row r="294" spans="2:12" ht="15.75" thickBot="1" x14ac:dyDescent="0.3">
      <c r="B294" s="149" t="s">
        <v>2846</v>
      </c>
      <c r="C294" s="148">
        <f t="shared" ca="1" si="3"/>
        <v>259</v>
      </c>
      <c r="D294" s="87">
        <v>13462933</v>
      </c>
      <c r="E294" s="159" t="s">
        <v>4672</v>
      </c>
      <c r="F294" s="252">
        <v>39454</v>
      </c>
      <c r="G294" s="155">
        <f>IF(F294&lt;&gt;"",'CONCEPTOS Y PARAMETROS'!$M$2-YEAR(F294),"")</f>
        <v>17</v>
      </c>
      <c r="H294" s="158">
        <v>6</v>
      </c>
      <c r="I294" s="156" t="str">
        <f>IFERROR(VLOOKUP(J294,CARGOS!A:F,2,0),"")</f>
        <v>12130</v>
      </c>
      <c r="J294" s="88" t="s">
        <v>81</v>
      </c>
      <c r="K294" s="142" t="s">
        <v>4935</v>
      </c>
      <c r="L294" s="251">
        <v>287</v>
      </c>
    </row>
    <row r="295" spans="2:12" ht="15.75" thickBot="1" x14ac:dyDescent="0.3">
      <c r="B295" s="149" t="s">
        <v>2846</v>
      </c>
      <c r="C295" s="148">
        <f t="shared" ca="1" si="3"/>
        <v>260</v>
      </c>
      <c r="D295" s="87">
        <v>13896239</v>
      </c>
      <c r="E295" s="159" t="s">
        <v>4688</v>
      </c>
      <c r="F295" s="252">
        <v>42416</v>
      </c>
      <c r="G295" s="155">
        <f>IF(F295&lt;&gt;"",'CONCEPTOS Y PARAMETROS'!$M$2-YEAR(F295),"")</f>
        <v>9</v>
      </c>
      <c r="H295" s="158">
        <v>0</v>
      </c>
      <c r="I295" s="156" t="str">
        <f>IFERROR(VLOOKUP(J295,CARGOS!A:F,2,0),"")</f>
        <v>13413</v>
      </c>
      <c r="J295" s="88" t="s">
        <v>220</v>
      </c>
      <c r="K295" s="142" t="s">
        <v>4952</v>
      </c>
      <c r="L295" s="251">
        <v>170</v>
      </c>
    </row>
    <row r="296" spans="2:12" ht="15.75" thickBot="1" x14ac:dyDescent="0.3">
      <c r="B296" s="149" t="s">
        <v>2846</v>
      </c>
      <c r="C296" s="148">
        <f t="shared" ca="1" si="3"/>
        <v>261</v>
      </c>
      <c r="D296" s="87">
        <v>15752048</v>
      </c>
      <c r="E296" s="159" t="s">
        <v>4674</v>
      </c>
      <c r="F296" s="252">
        <v>39679</v>
      </c>
      <c r="G296" s="155">
        <f>IF(F296&lt;&gt;"",'CONCEPTOS Y PARAMETROS'!$M$2-YEAR(F296),"")</f>
        <v>17</v>
      </c>
      <c r="H296" s="158">
        <v>0</v>
      </c>
      <c r="I296" s="156" t="str">
        <f>IFERROR(VLOOKUP(J296,CARGOS!A:F,2,0),"")</f>
        <v>79512</v>
      </c>
      <c r="J296" s="88" t="s">
        <v>1164</v>
      </c>
      <c r="K296" s="142" t="s">
        <v>4951</v>
      </c>
      <c r="L296" s="251">
        <v>314</v>
      </c>
    </row>
    <row r="297" spans="2:12" ht="15.75" thickBot="1" x14ac:dyDescent="0.3">
      <c r="B297" s="149" t="s">
        <v>2846</v>
      </c>
      <c r="C297" s="148">
        <f t="shared" ca="1" si="3"/>
        <v>262</v>
      </c>
      <c r="D297" s="87">
        <v>15752183</v>
      </c>
      <c r="E297" s="159" t="s">
        <v>4684</v>
      </c>
      <c r="F297" s="252">
        <v>38930</v>
      </c>
      <c r="G297" s="155">
        <f>IF(F297&lt;&gt;"",'CONCEPTOS Y PARAMETROS'!$M$2-YEAR(F297),"")</f>
        <v>19</v>
      </c>
      <c r="H297" s="158">
        <v>1</v>
      </c>
      <c r="I297" s="156" t="str">
        <f>IFERROR(VLOOKUP(J297,CARGOS!A:F,2,0),"")</f>
        <v>13414</v>
      </c>
      <c r="J297" s="88" t="s">
        <v>222</v>
      </c>
      <c r="K297" s="142" t="s">
        <v>4935</v>
      </c>
      <c r="L297" s="251">
        <v>287</v>
      </c>
    </row>
    <row r="298" spans="2:12" ht="15.75" thickBot="1" x14ac:dyDescent="0.3">
      <c r="B298" s="149" t="s">
        <v>2846</v>
      </c>
      <c r="C298" s="148">
        <f t="shared" ca="1" si="3"/>
        <v>263</v>
      </c>
      <c r="D298" s="87">
        <v>18457406</v>
      </c>
      <c r="E298" s="159" t="s">
        <v>4676</v>
      </c>
      <c r="F298" s="252">
        <v>41548</v>
      </c>
      <c r="G298" s="155">
        <f>IF(F298&lt;&gt;"",'CONCEPTOS Y PARAMETROS'!$M$2-YEAR(F298),"")</f>
        <v>12</v>
      </c>
      <c r="H298" s="158">
        <v>0</v>
      </c>
      <c r="I298" s="156" t="str">
        <f>IFERROR(VLOOKUP(J298,CARGOS!A:F,2,0),"")</f>
        <v>41153</v>
      </c>
      <c r="J298" s="88" t="s">
        <v>1214</v>
      </c>
      <c r="K298" s="142" t="s">
        <v>4642</v>
      </c>
      <c r="L298" s="251">
        <v>281</v>
      </c>
    </row>
    <row r="299" spans="2:12" ht="15.75" thickBot="1" x14ac:dyDescent="0.3">
      <c r="B299" s="149" t="s">
        <v>2846</v>
      </c>
      <c r="C299" s="148">
        <f t="shared" ca="1" si="3"/>
        <v>264</v>
      </c>
      <c r="D299" s="87">
        <v>20790947</v>
      </c>
      <c r="E299" s="159" t="s">
        <v>4686</v>
      </c>
      <c r="F299" s="252">
        <v>43967</v>
      </c>
      <c r="G299" s="155">
        <f>IF(F299&lt;&gt;"",'CONCEPTOS Y PARAMETROS'!$M$2-YEAR(F299),"")</f>
        <v>5</v>
      </c>
      <c r="H299" s="158">
        <v>0</v>
      </c>
      <c r="I299" s="156" t="str">
        <f>IFERROR(VLOOKUP(J299,CARGOS!A:F,2,0),"")</f>
        <v>12113</v>
      </c>
      <c r="J299" s="88" t="s">
        <v>326</v>
      </c>
      <c r="K299" s="142" t="s">
        <v>4647</v>
      </c>
      <c r="L299" s="251">
        <v>219</v>
      </c>
    </row>
    <row r="300" spans="2:12" ht="15.75" thickBot="1" x14ac:dyDescent="0.3">
      <c r="B300" s="149" t="s">
        <v>2846</v>
      </c>
      <c r="C300" s="148">
        <f t="shared" ca="1" si="3"/>
        <v>265</v>
      </c>
      <c r="D300" s="87">
        <v>21592108</v>
      </c>
      <c r="E300" s="159" t="s">
        <v>4682</v>
      </c>
      <c r="F300" s="252">
        <v>43024</v>
      </c>
      <c r="G300" s="155">
        <f>IF(F300&lt;&gt;"",'CONCEPTOS Y PARAMETROS'!$M$2-YEAR(F300),"")</f>
        <v>8</v>
      </c>
      <c r="H300" s="158">
        <v>0</v>
      </c>
      <c r="I300" s="156" t="str">
        <f>IFERROR(VLOOKUP(J300,CARGOS!A:F,2,0),"")</f>
        <v>13361</v>
      </c>
      <c r="J300" s="88" t="s">
        <v>1926</v>
      </c>
      <c r="K300" s="142" t="s">
        <v>4950</v>
      </c>
      <c r="L300" s="251">
        <v>221</v>
      </c>
    </row>
    <row r="301" spans="2:12" ht="15.75" thickBot="1" x14ac:dyDescent="0.3">
      <c r="B301" s="149" t="s">
        <v>2846</v>
      </c>
      <c r="C301" s="148">
        <f t="shared" ca="1" si="3"/>
        <v>266</v>
      </c>
      <c r="D301" s="87">
        <v>26155093</v>
      </c>
      <c r="E301" s="159" t="s">
        <v>4671</v>
      </c>
      <c r="F301" s="252">
        <v>44409</v>
      </c>
      <c r="G301" s="155">
        <f>IF(F301&lt;&gt;"",'CONCEPTOS Y PARAMETROS'!$M$2-YEAR(F301),"")</f>
        <v>4</v>
      </c>
      <c r="H301" s="158">
        <v>0</v>
      </c>
      <c r="I301" s="156" t="str">
        <f>IFERROR(VLOOKUP(J301,CARGOS!A:F,2,0),"")</f>
        <v>35121</v>
      </c>
      <c r="J301" s="88" t="s">
        <v>34</v>
      </c>
      <c r="K301" s="142" t="s">
        <v>4646</v>
      </c>
      <c r="L301" s="251">
        <v>246</v>
      </c>
    </row>
    <row r="302" spans="2:12" ht="15.75" thickBot="1" x14ac:dyDescent="0.3">
      <c r="B302" s="149" t="s">
        <v>2846</v>
      </c>
      <c r="C302" s="148">
        <f t="shared" ca="1" si="3"/>
        <v>267</v>
      </c>
      <c r="D302" s="214"/>
      <c r="E302" s="253" t="s">
        <v>4653</v>
      </c>
      <c r="F302" s="252">
        <v>44927</v>
      </c>
      <c r="G302" s="155">
        <f>IF(F302&lt;&gt;"",'CONCEPTOS Y PARAMETROS'!$M$2-YEAR(F302),"")</f>
        <v>2</v>
      </c>
      <c r="H302" s="158">
        <v>0</v>
      </c>
      <c r="I302" s="156" t="str">
        <f>IFERROR(VLOOKUP(J302,CARGOS!A:F,2,0),"")</f>
        <v>79532</v>
      </c>
      <c r="J302" s="88" t="s">
        <v>1558</v>
      </c>
      <c r="K302" s="142" t="s">
        <v>4646</v>
      </c>
      <c r="L302" s="251">
        <v>246</v>
      </c>
    </row>
    <row r="303" spans="2:12" ht="15.75" thickBot="1" x14ac:dyDescent="0.3">
      <c r="B303" s="149" t="s">
        <v>2846</v>
      </c>
      <c r="C303" s="148">
        <f t="shared" ca="1" si="3"/>
        <v>268</v>
      </c>
      <c r="D303" s="87"/>
      <c r="E303" s="159" t="s">
        <v>4653</v>
      </c>
      <c r="F303" s="252">
        <v>44927</v>
      </c>
      <c r="G303" s="155">
        <f>IF(F303&lt;&gt;"",'CONCEPTOS Y PARAMETROS'!$M$2-YEAR(F303),"")</f>
        <v>2</v>
      </c>
      <c r="H303" s="158">
        <v>0</v>
      </c>
      <c r="I303" s="156" t="str">
        <f>IFERROR(VLOOKUP(J303,CARGOS!A:F,2,0),"")</f>
        <v>34233</v>
      </c>
      <c r="J303" s="88" t="s">
        <v>978</v>
      </c>
      <c r="K303" s="142" t="s">
        <v>4649</v>
      </c>
      <c r="L303" s="251">
        <v>192</v>
      </c>
    </row>
    <row r="304" spans="2:12" ht="15.75" thickBot="1" x14ac:dyDescent="0.3">
      <c r="B304" s="149" t="s">
        <v>2846</v>
      </c>
      <c r="C304" s="148">
        <f t="shared" ca="1" si="3"/>
        <v>269</v>
      </c>
      <c r="D304" s="87"/>
      <c r="E304" s="159" t="s">
        <v>4653</v>
      </c>
      <c r="F304" s="252">
        <v>44927</v>
      </c>
      <c r="G304" s="155">
        <f>IF(F304&lt;&gt;"",'CONCEPTOS Y PARAMETROS'!$M$2-YEAR(F304),"")</f>
        <v>2</v>
      </c>
      <c r="H304" s="158">
        <v>0</v>
      </c>
      <c r="I304" s="156" t="str">
        <f>IFERROR(VLOOKUP(J304,CARGOS!A:F,2,0),"")</f>
        <v>34231</v>
      </c>
      <c r="J304" s="88" t="s">
        <v>976</v>
      </c>
      <c r="K304" s="142" t="s">
        <v>4650</v>
      </c>
      <c r="L304" s="251">
        <v>130</v>
      </c>
    </row>
    <row r="305" spans="2:12" ht="15.75" thickBot="1" x14ac:dyDescent="0.3">
      <c r="B305" s="149" t="s">
        <v>2846</v>
      </c>
      <c r="C305" s="148">
        <f t="shared" ca="1" si="3"/>
        <v>270</v>
      </c>
      <c r="D305" s="87"/>
      <c r="E305" s="159" t="s">
        <v>4653</v>
      </c>
      <c r="F305" s="252">
        <v>44927</v>
      </c>
      <c r="G305" s="155">
        <f>IF(F305&lt;&gt;"",'CONCEPTOS Y PARAMETROS'!$M$2-YEAR(F305),"")</f>
        <v>2</v>
      </c>
      <c r="H305" s="158">
        <v>0</v>
      </c>
      <c r="I305" s="156" t="str">
        <f>IFERROR(VLOOKUP(J305,CARGOS!A:F,2,0),"")</f>
        <v>17211</v>
      </c>
      <c r="J305" s="88" t="s">
        <v>1496</v>
      </c>
      <c r="K305" s="142" t="s">
        <v>4650</v>
      </c>
      <c r="L305" s="251">
        <v>130</v>
      </c>
    </row>
    <row r="306" spans="2:12" ht="15.75" thickBot="1" x14ac:dyDescent="0.3">
      <c r="B306" s="149" t="s">
        <v>2846</v>
      </c>
      <c r="C306" s="148">
        <f t="shared" ca="1" si="3"/>
        <v>271</v>
      </c>
      <c r="D306" s="87"/>
      <c r="E306" s="159" t="s">
        <v>4653</v>
      </c>
      <c r="F306" s="252">
        <v>44927</v>
      </c>
      <c r="G306" s="155">
        <f>IF(F306&lt;&gt;"",'CONCEPTOS Y PARAMETROS'!$M$2-YEAR(F306),"")</f>
        <v>2</v>
      </c>
      <c r="H306" s="158">
        <v>0</v>
      </c>
      <c r="I306" s="156" t="str">
        <f>IFERROR(VLOOKUP(J306,CARGOS!A:F,2,0),"")</f>
        <v>17213</v>
      </c>
      <c r="J306" s="88" t="s">
        <v>1498</v>
      </c>
      <c r="K306" s="142" t="s">
        <v>4650</v>
      </c>
      <c r="L306" s="251">
        <v>130</v>
      </c>
    </row>
    <row r="307" spans="2:12" ht="15.75" thickBot="1" x14ac:dyDescent="0.3">
      <c r="B307" s="254"/>
      <c r="C307" s="147">
        <f ca="1">C306</f>
        <v>271</v>
      </c>
      <c r="D307" s="1848" t="s">
        <v>4562</v>
      </c>
      <c r="E307" s="1848"/>
      <c r="F307" s="1848"/>
      <c r="G307" s="1848"/>
      <c r="H307" s="1848"/>
      <c r="I307" s="1848"/>
      <c r="J307" s="1848"/>
      <c r="K307" s="1849"/>
      <c r="L307" s="137">
        <v>58511</v>
      </c>
    </row>
    <row r="308" spans="2:12" ht="15.75" thickBot="1" x14ac:dyDescent="0.3">
      <c r="B308" s="1857" t="s">
        <v>4563</v>
      </c>
      <c r="C308" s="1858"/>
      <c r="D308" s="1859"/>
      <c r="E308" s="224"/>
      <c r="F308" s="225"/>
      <c r="G308" s="226"/>
      <c r="H308" s="226"/>
      <c r="I308" s="126"/>
      <c r="J308" s="126"/>
      <c r="K308" s="255"/>
      <c r="L308" s="255"/>
    </row>
    <row r="309" spans="2:12" ht="15.75" thickBot="1" x14ac:dyDescent="0.3">
      <c r="B309" s="249" t="s">
        <v>2834</v>
      </c>
      <c r="C309" s="228">
        <v>1</v>
      </c>
      <c r="D309" s="87">
        <v>5505183</v>
      </c>
      <c r="E309" s="256" t="s">
        <v>4959</v>
      </c>
      <c r="F309" s="230">
        <v>44562</v>
      </c>
      <c r="G309" s="155">
        <f>IF(F309&lt;&gt;"",'CONCEPTOS Y PARAMETROS'!$M$2-YEAR(F309),"")</f>
        <v>3</v>
      </c>
      <c r="H309" s="155">
        <v>0</v>
      </c>
      <c r="I309" s="156" t="str">
        <f>IFERROR(VLOOKUP(J309,CARGOS!A:F,2,0),"")</f>
        <v>7152</v>
      </c>
      <c r="J309" s="86" t="s">
        <v>2568</v>
      </c>
      <c r="K309" s="257">
        <v>3</v>
      </c>
      <c r="L309" s="231">
        <v>152</v>
      </c>
    </row>
    <row r="310" spans="2:12" ht="15.75" thickBot="1" x14ac:dyDescent="0.3">
      <c r="B310" s="227" t="s">
        <v>2834</v>
      </c>
      <c r="C310" s="148">
        <f t="shared" ref="C310:C400" ca="1" si="4">OFFSET(C310,-1,0)+1</f>
        <v>2</v>
      </c>
      <c r="D310" s="87">
        <v>5757455</v>
      </c>
      <c r="E310" s="160" t="s">
        <v>4960</v>
      </c>
      <c r="F310" s="233">
        <v>39409</v>
      </c>
      <c r="G310" s="155">
        <f>IF(F310&lt;&gt;"",'CONCEPTOS Y PARAMETROS'!$M$2-YEAR(F310),"")</f>
        <v>18</v>
      </c>
      <c r="H310" s="157">
        <v>0</v>
      </c>
      <c r="I310" s="156" t="str">
        <f>IFERROR(VLOOKUP(J310,CARGOS!A:F,2,0),"")</f>
        <v>2129</v>
      </c>
      <c r="J310" s="87" t="s">
        <v>3320</v>
      </c>
      <c r="K310" s="258">
        <v>5</v>
      </c>
      <c r="L310" s="234">
        <v>171</v>
      </c>
    </row>
    <row r="311" spans="2:12" ht="15.75" thickBot="1" x14ac:dyDescent="0.3">
      <c r="B311" s="227" t="s">
        <v>2834</v>
      </c>
      <c r="C311" s="148">
        <f t="shared" ca="1" si="4"/>
        <v>3</v>
      </c>
      <c r="D311" s="87">
        <v>5762185</v>
      </c>
      <c r="E311" s="160" t="s">
        <v>4961</v>
      </c>
      <c r="F311" s="233">
        <v>37622</v>
      </c>
      <c r="G311" s="155">
        <f>IF(F311&lt;&gt;"",'CONCEPTOS Y PARAMETROS'!$M$2-YEAR(F311),"")</f>
        <v>22</v>
      </c>
      <c r="H311" s="157">
        <v>0</v>
      </c>
      <c r="I311" s="156" t="str">
        <f>IFERROR(VLOOKUP(J311,CARGOS!A:F,2,0),"")</f>
        <v>8201</v>
      </c>
      <c r="J311" s="87" t="s">
        <v>2830</v>
      </c>
      <c r="K311" s="258">
        <v>5</v>
      </c>
      <c r="L311" s="234">
        <v>171</v>
      </c>
    </row>
    <row r="312" spans="2:12" ht="15.75" thickBot="1" x14ac:dyDescent="0.3">
      <c r="B312" s="227" t="s">
        <v>2834</v>
      </c>
      <c r="C312" s="148">
        <f t="shared" ca="1" si="4"/>
        <v>4</v>
      </c>
      <c r="D312" s="87">
        <v>6332524</v>
      </c>
      <c r="E312" s="160" t="s">
        <v>4962</v>
      </c>
      <c r="F312" s="233">
        <v>42948</v>
      </c>
      <c r="G312" s="155">
        <f>IF(F312&lt;&gt;"",'CONCEPTOS Y PARAMETROS'!$M$2-YEAR(F312),"")</f>
        <v>8</v>
      </c>
      <c r="H312" s="157">
        <v>0</v>
      </c>
      <c r="I312" s="156" t="str">
        <f>IFERROR(VLOOKUP(J312,CARGOS!A:F,2,0),"")</f>
        <v>2129</v>
      </c>
      <c r="J312" s="87" t="s">
        <v>3320</v>
      </c>
      <c r="K312" s="258">
        <v>5</v>
      </c>
      <c r="L312" s="234">
        <v>171</v>
      </c>
    </row>
    <row r="313" spans="2:12" ht="15.75" thickBot="1" x14ac:dyDescent="0.3">
      <c r="B313" s="227" t="s">
        <v>2834</v>
      </c>
      <c r="C313" s="148">
        <f t="shared" ca="1" si="4"/>
        <v>5</v>
      </c>
      <c r="D313" s="87">
        <v>6902701</v>
      </c>
      <c r="E313" s="160" t="s">
        <v>4963</v>
      </c>
      <c r="F313" s="233">
        <v>44228</v>
      </c>
      <c r="G313" s="155">
        <f>IF(F313&lt;&gt;"",'CONCEPTOS Y PARAMETROS'!$M$2-YEAR(F313),"")</f>
        <v>4</v>
      </c>
      <c r="H313" s="157">
        <v>0</v>
      </c>
      <c r="I313" s="156" t="str">
        <f>IFERROR(VLOOKUP(J313,CARGOS!A:F,2,0),"")</f>
        <v>7129</v>
      </c>
      <c r="J313" s="87" t="s">
        <v>2703</v>
      </c>
      <c r="K313" s="258">
        <v>2</v>
      </c>
      <c r="L313" s="234">
        <v>142</v>
      </c>
    </row>
    <row r="314" spans="2:12" ht="15.75" thickBot="1" x14ac:dyDescent="0.3">
      <c r="B314" s="227" t="s">
        <v>2834</v>
      </c>
      <c r="C314" s="148">
        <f t="shared" ca="1" si="4"/>
        <v>6</v>
      </c>
      <c r="D314" s="87">
        <v>7252065</v>
      </c>
      <c r="E314" s="259" t="s">
        <v>4964</v>
      </c>
      <c r="F314" s="233">
        <v>43891</v>
      </c>
      <c r="G314" s="155">
        <f>IF(F314&lt;&gt;"",'CONCEPTOS Y PARAMETROS'!$M$2-YEAR(F314),"")</f>
        <v>5</v>
      </c>
      <c r="H314" s="157">
        <v>0</v>
      </c>
      <c r="I314" s="156" t="str">
        <f>IFERROR(VLOOKUP(J314,CARGOS!A:F,2,0),"")</f>
        <v>7152</v>
      </c>
      <c r="J314" s="87" t="s">
        <v>2568</v>
      </c>
      <c r="K314" s="258">
        <v>3</v>
      </c>
      <c r="L314" s="234">
        <v>152</v>
      </c>
    </row>
    <row r="315" spans="2:12" ht="15.75" thickBot="1" x14ac:dyDescent="0.3">
      <c r="B315" s="227" t="s">
        <v>2834</v>
      </c>
      <c r="C315" s="148">
        <f t="shared" ca="1" si="4"/>
        <v>7</v>
      </c>
      <c r="D315" s="87">
        <v>7773593</v>
      </c>
      <c r="E315" s="160" t="s">
        <v>4965</v>
      </c>
      <c r="F315" s="233">
        <v>44212</v>
      </c>
      <c r="G315" s="155">
        <f>IF(F315&lt;&gt;"",'CONCEPTOS Y PARAMETROS'!$M$2-YEAR(F315),"")</f>
        <v>4</v>
      </c>
      <c r="H315" s="157">
        <v>0</v>
      </c>
      <c r="I315" s="156" t="str">
        <f>IFERROR(VLOOKUP(J315,CARGOS!A:F,2,0),"")</f>
        <v>7152</v>
      </c>
      <c r="J315" s="87" t="s">
        <v>2568</v>
      </c>
      <c r="K315" s="258">
        <v>3</v>
      </c>
      <c r="L315" s="234">
        <v>152</v>
      </c>
    </row>
    <row r="316" spans="2:12" ht="15.75" thickBot="1" x14ac:dyDescent="0.3">
      <c r="B316" s="227" t="s">
        <v>2834</v>
      </c>
      <c r="C316" s="148">
        <f t="shared" ca="1" si="4"/>
        <v>8</v>
      </c>
      <c r="D316" s="87">
        <v>9008311</v>
      </c>
      <c r="E316" s="160" t="s">
        <v>4966</v>
      </c>
      <c r="F316" s="233">
        <v>39265</v>
      </c>
      <c r="G316" s="155">
        <f>IF(F316&lt;&gt;"",'CONCEPTOS Y PARAMETROS'!$M$2-YEAR(F316),"")</f>
        <v>18</v>
      </c>
      <c r="H316" s="157">
        <v>0</v>
      </c>
      <c r="I316" s="156" t="str">
        <f>IFERROR(VLOOKUP(J316,CARGOS!A:F,2,0),"")</f>
        <v>7152</v>
      </c>
      <c r="J316" s="87" t="s">
        <v>2568</v>
      </c>
      <c r="K316" s="258">
        <v>3</v>
      </c>
      <c r="L316" s="234">
        <v>152</v>
      </c>
    </row>
    <row r="317" spans="2:12" ht="15.75" thickBot="1" x14ac:dyDescent="0.3">
      <c r="B317" s="227" t="s">
        <v>2834</v>
      </c>
      <c r="C317" s="148">
        <f t="shared" ca="1" si="4"/>
        <v>9</v>
      </c>
      <c r="D317" s="87">
        <v>9011963</v>
      </c>
      <c r="E317" s="160" t="s">
        <v>4967</v>
      </c>
      <c r="F317" s="233">
        <v>39820</v>
      </c>
      <c r="G317" s="155">
        <f>IF(F317&lt;&gt;"",'CONCEPTOS Y PARAMETROS'!$M$2-YEAR(F317),"")</f>
        <v>16</v>
      </c>
      <c r="H317" s="157">
        <v>0</v>
      </c>
      <c r="I317" s="156" t="str">
        <f>IFERROR(VLOOKUP(J317,CARGOS!A:F,2,0),"")</f>
        <v>7152</v>
      </c>
      <c r="J317" s="87" t="s">
        <v>2568</v>
      </c>
      <c r="K317" s="258">
        <v>3</v>
      </c>
      <c r="L317" s="234">
        <v>152</v>
      </c>
    </row>
    <row r="318" spans="2:12" ht="15.75" thickBot="1" x14ac:dyDescent="0.3">
      <c r="B318" s="227" t="s">
        <v>2834</v>
      </c>
      <c r="C318" s="148">
        <f t="shared" ca="1" si="4"/>
        <v>10</v>
      </c>
      <c r="D318" s="87">
        <v>9100500</v>
      </c>
      <c r="E318" s="160" t="s">
        <v>4968</v>
      </c>
      <c r="F318" s="233">
        <v>39496</v>
      </c>
      <c r="G318" s="155">
        <f>IF(F318&lt;&gt;"",'CONCEPTOS Y PARAMETROS'!$M$2-YEAR(F318),"")</f>
        <v>17</v>
      </c>
      <c r="H318" s="157">
        <v>0</v>
      </c>
      <c r="I318" s="156" t="str">
        <f>IFERROR(VLOOKUP(J318,CARGOS!A:F,2,0),"")</f>
        <v>7102</v>
      </c>
      <c r="J318" s="87" t="s">
        <v>2511</v>
      </c>
      <c r="K318" s="258">
        <v>1</v>
      </c>
      <c r="L318" s="234">
        <v>130</v>
      </c>
    </row>
    <row r="319" spans="2:12" ht="15.75" thickBot="1" x14ac:dyDescent="0.3">
      <c r="B319" s="227" t="s">
        <v>2834</v>
      </c>
      <c r="C319" s="148">
        <f t="shared" ca="1" si="4"/>
        <v>11</v>
      </c>
      <c r="D319" s="87">
        <v>9110498</v>
      </c>
      <c r="E319" s="160" t="s">
        <v>4969</v>
      </c>
      <c r="F319" s="233">
        <v>37508</v>
      </c>
      <c r="G319" s="155">
        <f>IF(F319&lt;&gt;"",'CONCEPTOS Y PARAMETROS'!$M$2-YEAR(F319),"")</f>
        <v>23</v>
      </c>
      <c r="H319" s="157">
        <v>0</v>
      </c>
      <c r="I319" s="156" t="str">
        <f>IFERROR(VLOOKUP(J319,CARGOS!A:F,2,0),"")</f>
        <v>7152</v>
      </c>
      <c r="J319" s="87" t="s">
        <v>2568</v>
      </c>
      <c r="K319" s="258">
        <v>3</v>
      </c>
      <c r="L319" s="234">
        <v>152</v>
      </c>
    </row>
    <row r="320" spans="2:12" ht="15.75" thickBot="1" x14ac:dyDescent="0.3">
      <c r="B320" s="227" t="s">
        <v>2834</v>
      </c>
      <c r="C320" s="148">
        <f t="shared" ca="1" si="4"/>
        <v>12</v>
      </c>
      <c r="D320" s="87">
        <v>9163994</v>
      </c>
      <c r="E320" s="160" t="s">
        <v>4970</v>
      </c>
      <c r="F320" s="233">
        <v>43770</v>
      </c>
      <c r="G320" s="155">
        <f>IF(F320&lt;&gt;"",'CONCEPTOS Y PARAMETROS'!$M$2-YEAR(F320),"")</f>
        <v>6</v>
      </c>
      <c r="H320" s="157">
        <v>0</v>
      </c>
      <c r="I320" s="156" t="str">
        <f>IFERROR(VLOOKUP(J320,CARGOS!A:F,2,0),"")</f>
        <v>7201</v>
      </c>
      <c r="J320" s="87" t="s">
        <v>2540</v>
      </c>
      <c r="K320" s="258">
        <v>5</v>
      </c>
      <c r="L320" s="234">
        <v>171</v>
      </c>
    </row>
    <row r="321" spans="2:12" ht="15.75" thickBot="1" x14ac:dyDescent="0.3">
      <c r="B321" s="227" t="s">
        <v>2834</v>
      </c>
      <c r="C321" s="148">
        <f t="shared" ca="1" si="4"/>
        <v>13</v>
      </c>
      <c r="D321" s="87">
        <v>9167342</v>
      </c>
      <c r="E321" s="160" t="s">
        <v>4971</v>
      </c>
      <c r="F321" s="233">
        <v>43845</v>
      </c>
      <c r="G321" s="155">
        <f>IF(F321&lt;&gt;"",'CONCEPTOS Y PARAMETROS'!$M$2-YEAR(F321),"")</f>
        <v>5</v>
      </c>
      <c r="H321" s="157">
        <v>0</v>
      </c>
      <c r="I321" s="156" t="str">
        <f>IFERROR(VLOOKUP(J321,CARGOS!A:F,2,0),"")</f>
        <v>1151</v>
      </c>
      <c r="J321" s="87" t="s">
        <v>2536</v>
      </c>
      <c r="K321" s="258">
        <v>3</v>
      </c>
      <c r="L321" s="234">
        <v>152</v>
      </c>
    </row>
    <row r="322" spans="2:12" ht="15.75" thickBot="1" x14ac:dyDescent="0.3">
      <c r="B322" s="227" t="s">
        <v>2834</v>
      </c>
      <c r="C322" s="148">
        <f t="shared" ca="1" si="4"/>
        <v>14</v>
      </c>
      <c r="D322" s="87">
        <v>10178456</v>
      </c>
      <c r="E322" s="160" t="s">
        <v>4972</v>
      </c>
      <c r="F322" s="233">
        <v>44287</v>
      </c>
      <c r="G322" s="155">
        <f>IF(F322&lt;&gt;"",'CONCEPTOS Y PARAMETROS'!$M$2-YEAR(F322),"")</f>
        <v>4</v>
      </c>
      <c r="H322" s="157">
        <v>0</v>
      </c>
      <c r="I322" s="156" t="str">
        <f>IFERROR(VLOOKUP(J322,CARGOS!A:F,2,0),"")</f>
        <v>7102</v>
      </c>
      <c r="J322" s="87" t="s">
        <v>2511</v>
      </c>
      <c r="K322" s="258">
        <v>1</v>
      </c>
      <c r="L322" s="234">
        <v>130</v>
      </c>
    </row>
    <row r="323" spans="2:12" ht="15.75" thickBot="1" x14ac:dyDescent="0.3">
      <c r="B323" s="227" t="s">
        <v>2834</v>
      </c>
      <c r="C323" s="148">
        <f t="shared" ca="1" si="4"/>
        <v>15</v>
      </c>
      <c r="D323" s="87">
        <v>9310477</v>
      </c>
      <c r="E323" s="160" t="s">
        <v>4973</v>
      </c>
      <c r="F323" s="233">
        <v>44075</v>
      </c>
      <c r="G323" s="155">
        <f>IF(F323&lt;&gt;"",'CONCEPTOS Y PARAMETROS'!$M$2-YEAR(F323),"")</f>
        <v>5</v>
      </c>
      <c r="H323" s="157">
        <v>0</v>
      </c>
      <c r="I323" s="156" t="str">
        <f>IFERROR(VLOOKUP(J323,CARGOS!A:F,2,0),"")</f>
        <v>1151</v>
      </c>
      <c r="J323" s="87" t="s">
        <v>2536</v>
      </c>
      <c r="K323" s="258">
        <v>3</v>
      </c>
      <c r="L323" s="234">
        <v>152</v>
      </c>
    </row>
    <row r="324" spans="2:12" ht="15.75" thickBot="1" x14ac:dyDescent="0.3">
      <c r="B324" s="227" t="s">
        <v>2834</v>
      </c>
      <c r="C324" s="148">
        <f t="shared" ca="1" si="4"/>
        <v>16</v>
      </c>
      <c r="D324" s="87">
        <v>9323739</v>
      </c>
      <c r="E324" s="160" t="s">
        <v>4974</v>
      </c>
      <c r="F324" s="233">
        <v>39300</v>
      </c>
      <c r="G324" s="155">
        <f>IF(F324&lt;&gt;"",'CONCEPTOS Y PARAMETROS'!$M$2-YEAR(F324),"")</f>
        <v>18</v>
      </c>
      <c r="H324" s="157">
        <v>0</v>
      </c>
      <c r="I324" s="156" t="str">
        <f>IFERROR(VLOOKUP(J324,CARGOS!A:F,2,0),"")</f>
        <v>7152</v>
      </c>
      <c r="J324" s="87" t="s">
        <v>2568</v>
      </c>
      <c r="K324" s="258">
        <v>3</v>
      </c>
      <c r="L324" s="234">
        <v>152</v>
      </c>
    </row>
    <row r="325" spans="2:12" ht="15.75" thickBot="1" x14ac:dyDescent="0.3">
      <c r="B325" s="227" t="s">
        <v>2834</v>
      </c>
      <c r="C325" s="148">
        <f t="shared" ca="1" si="4"/>
        <v>17</v>
      </c>
      <c r="D325" s="87">
        <v>9325664</v>
      </c>
      <c r="E325" s="160" t="s">
        <v>4975</v>
      </c>
      <c r="F325" s="233">
        <v>42948</v>
      </c>
      <c r="G325" s="155">
        <f>IF(F325&lt;&gt;"",'CONCEPTOS Y PARAMETROS'!$M$2-YEAR(F325),"")</f>
        <v>8</v>
      </c>
      <c r="H325" s="157">
        <v>0</v>
      </c>
      <c r="I325" s="156" t="str">
        <f>IFERROR(VLOOKUP(J325,CARGOS!A:F,2,0),"")</f>
        <v>7152</v>
      </c>
      <c r="J325" s="87" t="s">
        <v>2568</v>
      </c>
      <c r="K325" s="258">
        <v>3</v>
      </c>
      <c r="L325" s="234">
        <v>152</v>
      </c>
    </row>
    <row r="326" spans="2:12" ht="15.75" thickBot="1" x14ac:dyDescent="0.3">
      <c r="B326" s="227" t="s">
        <v>2834</v>
      </c>
      <c r="C326" s="148">
        <f t="shared" ca="1" si="4"/>
        <v>18</v>
      </c>
      <c r="D326" s="87">
        <v>9328045</v>
      </c>
      <c r="E326" s="160" t="s">
        <v>4976</v>
      </c>
      <c r="F326" s="233">
        <v>44212</v>
      </c>
      <c r="G326" s="155">
        <f>IF(F326&lt;&gt;"",'CONCEPTOS Y PARAMETROS'!$M$2-YEAR(F326),"")</f>
        <v>4</v>
      </c>
      <c r="H326" s="157">
        <v>0</v>
      </c>
      <c r="I326" s="156" t="str">
        <f>IFERROR(VLOOKUP(J326,CARGOS!A:F,2,0),"")</f>
        <v>7152</v>
      </c>
      <c r="J326" s="87" t="s">
        <v>2568</v>
      </c>
      <c r="K326" s="258">
        <v>3</v>
      </c>
      <c r="L326" s="234">
        <v>152</v>
      </c>
    </row>
    <row r="327" spans="2:12" ht="15.75" thickBot="1" x14ac:dyDescent="0.3">
      <c r="B327" s="227" t="s">
        <v>2834</v>
      </c>
      <c r="C327" s="148">
        <f t="shared" ca="1" si="4"/>
        <v>19</v>
      </c>
      <c r="D327" s="87">
        <v>10317435</v>
      </c>
      <c r="E327" s="160" t="s">
        <v>4977</v>
      </c>
      <c r="F327" s="233">
        <v>39559</v>
      </c>
      <c r="G327" s="155">
        <f>IF(F327&lt;&gt;"",'CONCEPTOS Y PARAMETROS'!$M$2-YEAR(F327),"")</f>
        <v>17</v>
      </c>
      <c r="H327" s="157">
        <v>0</v>
      </c>
      <c r="I327" s="156" t="str">
        <f>IFERROR(VLOOKUP(J327,CARGOS!A:F,2,0),"")</f>
        <v>7102</v>
      </c>
      <c r="J327" s="87" t="s">
        <v>2511</v>
      </c>
      <c r="K327" s="258">
        <v>1</v>
      </c>
      <c r="L327" s="234">
        <v>130</v>
      </c>
    </row>
    <row r="328" spans="2:12" ht="15.75" thickBot="1" x14ac:dyDescent="0.3">
      <c r="B328" s="227" t="s">
        <v>2834</v>
      </c>
      <c r="C328" s="148">
        <f t="shared" ca="1" si="4"/>
        <v>20</v>
      </c>
      <c r="D328" s="87">
        <v>10396367</v>
      </c>
      <c r="E328" s="160" t="s">
        <v>4978</v>
      </c>
      <c r="F328" s="233">
        <v>39722</v>
      </c>
      <c r="G328" s="155">
        <f>IF(F328&lt;&gt;"",'CONCEPTOS Y PARAMETROS'!$M$2-YEAR(F328),"")</f>
        <v>17</v>
      </c>
      <c r="H328" s="157">
        <v>0</v>
      </c>
      <c r="I328" s="156" t="str">
        <f>IFERROR(VLOOKUP(J328,CARGOS!A:F,2,0),"")</f>
        <v>2129</v>
      </c>
      <c r="J328" s="87" t="s">
        <v>3320</v>
      </c>
      <c r="K328" s="258">
        <v>5</v>
      </c>
      <c r="L328" s="234">
        <v>171</v>
      </c>
    </row>
    <row r="329" spans="2:12" ht="15.75" thickBot="1" x14ac:dyDescent="0.3">
      <c r="B329" s="227" t="s">
        <v>2834</v>
      </c>
      <c r="C329" s="148">
        <f t="shared" ca="1" si="4"/>
        <v>21</v>
      </c>
      <c r="D329" s="87">
        <v>10401329</v>
      </c>
      <c r="E329" s="160" t="s">
        <v>4979</v>
      </c>
      <c r="F329" s="233">
        <v>39539</v>
      </c>
      <c r="G329" s="155">
        <f>IF(F329&lt;&gt;"",'CONCEPTOS Y PARAMETROS'!$M$2-YEAR(F329),"")</f>
        <v>17</v>
      </c>
      <c r="H329" s="157">
        <v>0</v>
      </c>
      <c r="I329" s="156" t="str">
        <f>IFERROR(VLOOKUP(J329,CARGOS!A:F,2,0),"")</f>
        <v>7206</v>
      </c>
      <c r="J329" s="87" t="s">
        <v>2623</v>
      </c>
      <c r="K329" s="258">
        <v>5</v>
      </c>
      <c r="L329" s="234">
        <v>171</v>
      </c>
    </row>
    <row r="330" spans="2:12" ht="15.75" thickBot="1" x14ac:dyDescent="0.3">
      <c r="B330" s="227" t="s">
        <v>2834</v>
      </c>
      <c r="C330" s="148">
        <f t="shared" ca="1" si="4"/>
        <v>22</v>
      </c>
      <c r="D330" s="87">
        <v>10403834</v>
      </c>
      <c r="E330" s="160" t="s">
        <v>4980</v>
      </c>
      <c r="F330" s="233">
        <v>44348</v>
      </c>
      <c r="G330" s="155">
        <f>IF(F330&lt;&gt;"",'CONCEPTOS Y PARAMETROS'!$M$2-YEAR(F330),"")</f>
        <v>4</v>
      </c>
      <c r="H330" s="157">
        <v>0</v>
      </c>
      <c r="I330" s="156" t="str">
        <f>IFERROR(VLOOKUP(J330,CARGOS!A:F,2,0),"")</f>
        <v>2129</v>
      </c>
      <c r="J330" s="87" t="s">
        <v>3320</v>
      </c>
      <c r="K330" s="258">
        <v>5</v>
      </c>
      <c r="L330" s="234">
        <v>171</v>
      </c>
    </row>
    <row r="331" spans="2:12" ht="15.75" thickBot="1" x14ac:dyDescent="0.3">
      <c r="B331" s="227" t="s">
        <v>2834</v>
      </c>
      <c r="C331" s="148">
        <f t="shared" ca="1" si="4"/>
        <v>23</v>
      </c>
      <c r="D331" s="87">
        <v>10906517</v>
      </c>
      <c r="E331" s="160" t="s">
        <v>4981</v>
      </c>
      <c r="F331" s="233">
        <v>41276</v>
      </c>
      <c r="G331" s="155">
        <f>IF(F331&lt;&gt;"",'CONCEPTOS Y PARAMETROS'!$M$2-YEAR(F331),"")</f>
        <v>12</v>
      </c>
      <c r="H331" s="157">
        <v>0</v>
      </c>
      <c r="I331" s="156" t="str">
        <f>IFERROR(VLOOKUP(J331,CARGOS!A:F,2,0),"")</f>
        <v>7174</v>
      </c>
      <c r="J331" s="87" t="s">
        <v>2619</v>
      </c>
      <c r="K331" s="258">
        <v>4</v>
      </c>
      <c r="L331" s="234">
        <v>161</v>
      </c>
    </row>
    <row r="332" spans="2:12" ht="15.75" thickBot="1" x14ac:dyDescent="0.3">
      <c r="B332" s="227" t="s">
        <v>2834</v>
      </c>
      <c r="C332" s="148">
        <f t="shared" ca="1" si="4"/>
        <v>24</v>
      </c>
      <c r="D332" s="87">
        <v>10907687</v>
      </c>
      <c r="E332" s="160" t="s">
        <v>4982</v>
      </c>
      <c r="F332" s="233">
        <v>38749</v>
      </c>
      <c r="G332" s="155">
        <f>IF(F332&lt;&gt;"",'CONCEPTOS Y PARAMETROS'!$M$2-YEAR(F332),"")</f>
        <v>19</v>
      </c>
      <c r="H332" s="157">
        <v>0</v>
      </c>
      <c r="I332" s="156" t="str">
        <f>IFERROR(VLOOKUP(J332,CARGOS!A:F,2,0),"")</f>
        <v>2129</v>
      </c>
      <c r="J332" s="87" t="s">
        <v>3320</v>
      </c>
      <c r="K332" s="258">
        <v>5</v>
      </c>
      <c r="L332" s="234">
        <v>171</v>
      </c>
    </row>
    <row r="333" spans="2:12" ht="15.75" thickBot="1" x14ac:dyDescent="0.3">
      <c r="B333" s="227" t="s">
        <v>2834</v>
      </c>
      <c r="C333" s="148">
        <f t="shared" ca="1" si="4"/>
        <v>25</v>
      </c>
      <c r="D333" s="87">
        <v>10908543</v>
      </c>
      <c r="E333" s="160" t="s">
        <v>4983</v>
      </c>
      <c r="F333" s="233">
        <v>42751</v>
      </c>
      <c r="G333" s="155">
        <f>IF(F333&lt;&gt;"",'CONCEPTOS Y PARAMETROS'!$M$2-YEAR(F333),"")</f>
        <v>8</v>
      </c>
      <c r="H333" s="157">
        <v>0</v>
      </c>
      <c r="I333" s="156" t="str">
        <f>IFERROR(VLOOKUP(J333,CARGOS!A:F,2,0),"")</f>
        <v>2129</v>
      </c>
      <c r="J333" s="87" t="s">
        <v>3320</v>
      </c>
      <c r="K333" s="258">
        <v>5</v>
      </c>
      <c r="L333" s="234">
        <v>171</v>
      </c>
    </row>
    <row r="334" spans="2:12" ht="15.75" thickBot="1" x14ac:dyDescent="0.3">
      <c r="B334" s="227" t="s">
        <v>2834</v>
      </c>
      <c r="C334" s="148">
        <f t="shared" ca="1" si="4"/>
        <v>26</v>
      </c>
      <c r="D334" s="87">
        <v>10909678</v>
      </c>
      <c r="E334" s="160" t="s">
        <v>4984</v>
      </c>
      <c r="F334" s="233">
        <v>43952</v>
      </c>
      <c r="G334" s="155">
        <f>IF(F334&lt;&gt;"",'CONCEPTOS Y PARAMETROS'!$M$2-YEAR(F334),"")</f>
        <v>5</v>
      </c>
      <c r="H334" s="157">
        <v>0</v>
      </c>
      <c r="I334" s="156" t="str">
        <f>IFERROR(VLOOKUP(J334,CARGOS!A:F,2,0),"")</f>
        <v>7102</v>
      </c>
      <c r="J334" s="87" t="s">
        <v>2511</v>
      </c>
      <c r="K334" s="258">
        <v>1</v>
      </c>
      <c r="L334" s="234">
        <v>130</v>
      </c>
    </row>
    <row r="335" spans="2:12" ht="15.75" thickBot="1" x14ac:dyDescent="0.3">
      <c r="B335" s="227" t="s">
        <v>2834</v>
      </c>
      <c r="C335" s="148">
        <f t="shared" ca="1" si="4"/>
        <v>27</v>
      </c>
      <c r="D335" s="87">
        <v>10909819</v>
      </c>
      <c r="E335" s="160" t="s">
        <v>4985</v>
      </c>
      <c r="F335" s="233">
        <v>43359</v>
      </c>
      <c r="G335" s="155">
        <f>IF(F335&lt;&gt;"",'CONCEPTOS Y PARAMETROS'!$M$2-YEAR(F335),"")</f>
        <v>7</v>
      </c>
      <c r="H335" s="157">
        <v>0</v>
      </c>
      <c r="I335" s="156" t="str">
        <f>IFERROR(VLOOKUP(J335,CARGOS!A:F,2,0),"")</f>
        <v>2129</v>
      </c>
      <c r="J335" s="87" t="s">
        <v>3320</v>
      </c>
      <c r="K335" s="258">
        <v>5</v>
      </c>
      <c r="L335" s="234">
        <v>171</v>
      </c>
    </row>
    <row r="336" spans="2:12" ht="15.75" thickBot="1" x14ac:dyDescent="0.3">
      <c r="B336" s="227" t="s">
        <v>2834</v>
      </c>
      <c r="C336" s="148">
        <f t="shared" ca="1" si="4"/>
        <v>28</v>
      </c>
      <c r="D336" s="87">
        <v>10912635</v>
      </c>
      <c r="E336" s="160" t="s">
        <v>4986</v>
      </c>
      <c r="F336" s="233">
        <v>44348</v>
      </c>
      <c r="G336" s="155">
        <f>IF(F336&lt;&gt;"",'CONCEPTOS Y PARAMETROS'!$M$2-YEAR(F336),"")</f>
        <v>4</v>
      </c>
      <c r="H336" s="157">
        <v>0</v>
      </c>
      <c r="I336" s="156" t="str">
        <f>IFERROR(VLOOKUP(J336,CARGOS!A:F,2,0),"")</f>
        <v>1151</v>
      </c>
      <c r="J336" s="87" t="s">
        <v>2536</v>
      </c>
      <c r="K336" s="258">
        <v>3</v>
      </c>
      <c r="L336" s="234">
        <v>152</v>
      </c>
    </row>
    <row r="337" spans="2:12" ht="15.75" thickBot="1" x14ac:dyDescent="0.3">
      <c r="B337" s="227" t="s">
        <v>2834</v>
      </c>
      <c r="C337" s="148">
        <f t="shared" ca="1" si="4"/>
        <v>29</v>
      </c>
      <c r="D337" s="87">
        <v>10915274</v>
      </c>
      <c r="E337" s="160" t="s">
        <v>4987</v>
      </c>
      <c r="F337" s="233">
        <v>44635</v>
      </c>
      <c r="G337" s="155">
        <f>IF(F337&lt;&gt;"",'CONCEPTOS Y PARAMETROS'!$M$2-YEAR(F337),"")</f>
        <v>3</v>
      </c>
      <c r="H337" s="157">
        <v>0</v>
      </c>
      <c r="I337" s="156" t="str">
        <f>IFERROR(VLOOKUP(J337,CARGOS!A:F,2,0),"")</f>
        <v>7152</v>
      </c>
      <c r="J337" s="87" t="s">
        <v>2568</v>
      </c>
      <c r="K337" s="258">
        <v>3</v>
      </c>
      <c r="L337" s="234">
        <v>152</v>
      </c>
    </row>
    <row r="338" spans="2:12" ht="15.75" thickBot="1" x14ac:dyDescent="0.3">
      <c r="B338" s="227" t="s">
        <v>2834</v>
      </c>
      <c r="C338" s="148">
        <f t="shared" ca="1" si="4"/>
        <v>30</v>
      </c>
      <c r="D338" s="87">
        <v>11129355</v>
      </c>
      <c r="E338" s="160" t="s">
        <v>4988</v>
      </c>
      <c r="F338" s="233">
        <v>39539</v>
      </c>
      <c r="G338" s="155">
        <f>IF(F338&lt;&gt;"",'CONCEPTOS Y PARAMETROS'!$M$2-YEAR(F338),"")</f>
        <v>17</v>
      </c>
      <c r="H338" s="157">
        <v>0</v>
      </c>
      <c r="I338" s="156" t="str">
        <f>IFERROR(VLOOKUP(J338,CARGOS!A:F,2,0),"")</f>
        <v>7152</v>
      </c>
      <c r="J338" s="87" t="s">
        <v>2568</v>
      </c>
      <c r="K338" s="258">
        <v>3</v>
      </c>
      <c r="L338" s="234">
        <v>152</v>
      </c>
    </row>
    <row r="339" spans="2:12" ht="15.75" thickBot="1" x14ac:dyDescent="0.3">
      <c r="B339" s="227" t="s">
        <v>2834</v>
      </c>
      <c r="C339" s="148">
        <f t="shared" ca="1" si="4"/>
        <v>31</v>
      </c>
      <c r="D339" s="87">
        <v>11315202</v>
      </c>
      <c r="E339" s="160" t="s">
        <v>4989</v>
      </c>
      <c r="F339" s="233">
        <v>39539</v>
      </c>
      <c r="G339" s="155">
        <f>IF(F339&lt;&gt;"",'CONCEPTOS Y PARAMETROS'!$M$2-YEAR(F339),"")</f>
        <v>17</v>
      </c>
      <c r="H339" s="157">
        <v>0</v>
      </c>
      <c r="I339" s="156" t="str">
        <f>IFERROR(VLOOKUP(J339,CARGOS!A:F,2,0),"")</f>
        <v>2129</v>
      </c>
      <c r="J339" s="87" t="s">
        <v>3320</v>
      </c>
      <c r="K339" s="258">
        <v>5</v>
      </c>
      <c r="L339" s="234">
        <v>171</v>
      </c>
    </row>
    <row r="340" spans="2:12" ht="15.75" thickBot="1" x14ac:dyDescent="0.3">
      <c r="B340" s="227" t="s">
        <v>2834</v>
      </c>
      <c r="C340" s="148">
        <f t="shared" ca="1" si="4"/>
        <v>32</v>
      </c>
      <c r="D340" s="87">
        <v>11321681</v>
      </c>
      <c r="E340" s="160" t="s">
        <v>4990</v>
      </c>
      <c r="F340" s="233">
        <v>44805</v>
      </c>
      <c r="G340" s="155">
        <f>IF(F340&lt;&gt;"",'CONCEPTOS Y PARAMETROS'!$M$2-YEAR(F340),"")</f>
        <v>3</v>
      </c>
      <c r="H340" s="157">
        <v>0</v>
      </c>
      <c r="I340" s="156" t="str">
        <f>IFERROR(VLOOKUP(J340,CARGOS!A:F,2,0),"")</f>
        <v>7152</v>
      </c>
      <c r="J340" s="87" t="s">
        <v>2568</v>
      </c>
      <c r="K340" s="258">
        <v>3</v>
      </c>
      <c r="L340" s="234">
        <v>152</v>
      </c>
    </row>
    <row r="341" spans="2:12" ht="15.75" thickBot="1" x14ac:dyDescent="0.3">
      <c r="B341" s="227" t="s">
        <v>2834</v>
      </c>
      <c r="C341" s="148">
        <f t="shared" ca="1" si="4"/>
        <v>33</v>
      </c>
      <c r="D341" s="87">
        <v>11321782</v>
      </c>
      <c r="E341" s="160" t="s">
        <v>4991</v>
      </c>
      <c r="F341" s="233">
        <v>43815</v>
      </c>
      <c r="G341" s="155">
        <f>IF(F341&lt;&gt;"",'CONCEPTOS Y PARAMETROS'!$M$2-YEAR(F341),"")</f>
        <v>6</v>
      </c>
      <c r="H341" s="157">
        <v>0</v>
      </c>
      <c r="I341" s="156" t="str">
        <f>IFERROR(VLOOKUP(J341,CARGOS!A:F,2,0),"")</f>
        <v>2129</v>
      </c>
      <c r="J341" s="87" t="s">
        <v>3320</v>
      </c>
      <c r="K341" s="258">
        <v>5</v>
      </c>
      <c r="L341" s="234">
        <v>171</v>
      </c>
    </row>
    <row r="342" spans="2:12" ht="15.75" thickBot="1" x14ac:dyDescent="0.3">
      <c r="B342" s="227" t="s">
        <v>2834</v>
      </c>
      <c r="C342" s="148">
        <f t="shared" ca="1" si="4"/>
        <v>34</v>
      </c>
      <c r="D342" s="87">
        <v>11324931</v>
      </c>
      <c r="E342" s="160" t="s">
        <v>4992</v>
      </c>
      <c r="F342" s="233">
        <v>38784</v>
      </c>
      <c r="G342" s="155">
        <f>IF(F342&lt;&gt;"",'CONCEPTOS Y PARAMETROS'!$M$2-YEAR(F342),"")</f>
        <v>19</v>
      </c>
      <c r="H342" s="157">
        <v>0</v>
      </c>
      <c r="I342" s="156" t="str">
        <f>IFERROR(VLOOKUP(J342,CARGOS!A:F,2,0),"")</f>
        <v>2129</v>
      </c>
      <c r="J342" s="87" t="s">
        <v>3320</v>
      </c>
      <c r="K342" s="258">
        <v>5</v>
      </c>
      <c r="L342" s="234">
        <v>171</v>
      </c>
    </row>
    <row r="343" spans="2:12" ht="15.75" thickBot="1" x14ac:dyDescent="0.3">
      <c r="B343" s="227" t="s">
        <v>2834</v>
      </c>
      <c r="C343" s="148">
        <f t="shared" ca="1" si="4"/>
        <v>35</v>
      </c>
      <c r="D343" s="87">
        <v>11894400</v>
      </c>
      <c r="E343" s="160" t="s">
        <v>4993</v>
      </c>
      <c r="F343" s="233">
        <v>44287</v>
      </c>
      <c r="G343" s="155">
        <f>IF(F343&lt;&gt;"",'CONCEPTOS Y PARAMETROS'!$M$2-YEAR(F343),"")</f>
        <v>4</v>
      </c>
      <c r="H343" s="157">
        <v>0</v>
      </c>
      <c r="I343" s="156" t="str">
        <f>IFERROR(VLOOKUP(J343,CARGOS!A:F,2,0),"")</f>
        <v>2129</v>
      </c>
      <c r="J343" s="87" t="s">
        <v>3320</v>
      </c>
      <c r="K343" s="258">
        <v>5</v>
      </c>
      <c r="L343" s="234">
        <v>171</v>
      </c>
    </row>
    <row r="344" spans="2:12" ht="15.75" thickBot="1" x14ac:dyDescent="0.3">
      <c r="B344" s="227" t="s">
        <v>2834</v>
      </c>
      <c r="C344" s="148">
        <f t="shared" ca="1" si="4"/>
        <v>36</v>
      </c>
      <c r="D344" s="87">
        <v>11897863</v>
      </c>
      <c r="E344" s="259" t="s">
        <v>4994</v>
      </c>
      <c r="F344" s="233">
        <v>41548</v>
      </c>
      <c r="G344" s="155">
        <f>IF(F344&lt;&gt;"",'CONCEPTOS Y PARAMETROS'!$M$2-YEAR(F344),"")</f>
        <v>12</v>
      </c>
      <c r="H344" s="157">
        <v>0</v>
      </c>
      <c r="I344" s="156" t="str">
        <f>IFERROR(VLOOKUP(J344,CARGOS!A:F,2,0),"")</f>
        <v>7102</v>
      </c>
      <c r="J344" s="87" t="s">
        <v>2511</v>
      </c>
      <c r="K344" s="258">
        <v>1</v>
      </c>
      <c r="L344" s="234">
        <v>130</v>
      </c>
    </row>
    <row r="345" spans="2:12" ht="15.75" thickBot="1" x14ac:dyDescent="0.3">
      <c r="B345" s="227" t="s">
        <v>2834</v>
      </c>
      <c r="C345" s="148">
        <f t="shared" ca="1" si="4"/>
        <v>37</v>
      </c>
      <c r="D345" s="87">
        <v>12038359</v>
      </c>
      <c r="E345" s="160" t="s">
        <v>4995</v>
      </c>
      <c r="F345" s="233">
        <v>38103</v>
      </c>
      <c r="G345" s="155">
        <f>IF(F345&lt;&gt;"",'CONCEPTOS Y PARAMETROS'!$M$2-YEAR(F345),"")</f>
        <v>21</v>
      </c>
      <c r="H345" s="157">
        <v>0</v>
      </c>
      <c r="I345" s="156" t="str">
        <f>IFERROR(VLOOKUP(J345,CARGOS!A:F,2,0),"")</f>
        <v>2129</v>
      </c>
      <c r="J345" s="87" t="s">
        <v>3320</v>
      </c>
      <c r="K345" s="258">
        <v>5</v>
      </c>
      <c r="L345" s="234">
        <v>171</v>
      </c>
    </row>
    <row r="346" spans="2:12" ht="15.75" thickBot="1" x14ac:dyDescent="0.3">
      <c r="B346" s="227" t="s">
        <v>2834</v>
      </c>
      <c r="C346" s="148">
        <f t="shared" ca="1" si="4"/>
        <v>38</v>
      </c>
      <c r="D346" s="87">
        <v>12043135</v>
      </c>
      <c r="E346" s="160" t="s">
        <v>4996</v>
      </c>
      <c r="F346" s="233">
        <v>43724</v>
      </c>
      <c r="G346" s="155">
        <f>IF(F346&lt;&gt;"",'CONCEPTOS Y PARAMETROS'!$M$2-YEAR(F346),"")</f>
        <v>6</v>
      </c>
      <c r="H346" s="157">
        <v>0</v>
      </c>
      <c r="I346" s="156" t="str">
        <f>IFERROR(VLOOKUP(J346,CARGOS!A:F,2,0),"")</f>
        <v>2129</v>
      </c>
      <c r="J346" s="87" t="s">
        <v>3320</v>
      </c>
      <c r="K346" s="258">
        <v>5</v>
      </c>
      <c r="L346" s="234">
        <v>171</v>
      </c>
    </row>
    <row r="347" spans="2:12" ht="15.75" thickBot="1" x14ac:dyDescent="0.3">
      <c r="B347" s="227" t="s">
        <v>2834</v>
      </c>
      <c r="C347" s="148">
        <f t="shared" ca="1" si="4"/>
        <v>39</v>
      </c>
      <c r="D347" s="87">
        <v>12044124</v>
      </c>
      <c r="E347" s="160" t="s">
        <v>4997</v>
      </c>
      <c r="F347" s="233">
        <v>39539</v>
      </c>
      <c r="G347" s="155">
        <f>IF(F347&lt;&gt;"",'CONCEPTOS Y PARAMETROS'!$M$2-YEAR(F347),"")</f>
        <v>17</v>
      </c>
      <c r="H347" s="157">
        <v>0</v>
      </c>
      <c r="I347" s="156" t="str">
        <f>IFERROR(VLOOKUP(J347,CARGOS!A:F,2,0),"")</f>
        <v>7152</v>
      </c>
      <c r="J347" s="87" t="s">
        <v>2568</v>
      </c>
      <c r="K347" s="258">
        <v>3</v>
      </c>
      <c r="L347" s="234">
        <v>152</v>
      </c>
    </row>
    <row r="348" spans="2:12" ht="15.75" thickBot="1" x14ac:dyDescent="0.3">
      <c r="B348" s="227" t="s">
        <v>2834</v>
      </c>
      <c r="C348" s="148">
        <f t="shared" ca="1" si="4"/>
        <v>40</v>
      </c>
      <c r="D348" s="87">
        <v>12044754</v>
      </c>
      <c r="E348" s="160" t="s">
        <v>4998</v>
      </c>
      <c r="F348" s="233">
        <v>43481</v>
      </c>
      <c r="G348" s="155">
        <f>IF(F348&lt;&gt;"",'CONCEPTOS Y PARAMETROS'!$M$2-YEAR(F348),"")</f>
        <v>6</v>
      </c>
      <c r="H348" s="157">
        <v>0</v>
      </c>
      <c r="I348" s="156" t="str">
        <f>IFERROR(VLOOKUP(J348,CARGOS!A:F,2,0),"")</f>
        <v>7152</v>
      </c>
      <c r="J348" s="87" t="s">
        <v>2568</v>
      </c>
      <c r="K348" s="258">
        <v>3</v>
      </c>
      <c r="L348" s="234">
        <v>152</v>
      </c>
    </row>
    <row r="349" spans="2:12" ht="15.75" thickBot="1" x14ac:dyDescent="0.3">
      <c r="B349" s="227" t="s">
        <v>2834</v>
      </c>
      <c r="C349" s="148">
        <f t="shared" ca="1" si="4"/>
        <v>41</v>
      </c>
      <c r="D349" s="87">
        <v>12046834</v>
      </c>
      <c r="E349" s="160" t="s">
        <v>4999</v>
      </c>
      <c r="F349" s="233">
        <v>43313</v>
      </c>
      <c r="G349" s="155">
        <f>IF(F349&lt;&gt;"",'CONCEPTOS Y PARAMETROS'!$M$2-YEAR(F349),"")</f>
        <v>7</v>
      </c>
      <c r="H349" s="157">
        <v>0</v>
      </c>
      <c r="I349" s="156" t="str">
        <f>IFERROR(VLOOKUP(J349,CARGOS!A:F,2,0),"")</f>
        <v>2129</v>
      </c>
      <c r="J349" s="87" t="s">
        <v>3320</v>
      </c>
      <c r="K349" s="258">
        <v>5</v>
      </c>
      <c r="L349" s="234">
        <v>171</v>
      </c>
    </row>
    <row r="350" spans="2:12" ht="15.75" thickBot="1" x14ac:dyDescent="0.3">
      <c r="B350" s="227" t="s">
        <v>2834</v>
      </c>
      <c r="C350" s="148">
        <f t="shared" ca="1" si="4"/>
        <v>42</v>
      </c>
      <c r="D350" s="87">
        <v>12047016</v>
      </c>
      <c r="E350" s="160" t="s">
        <v>5000</v>
      </c>
      <c r="F350" s="233">
        <v>42948</v>
      </c>
      <c r="G350" s="155">
        <f>IF(F350&lt;&gt;"",'CONCEPTOS Y PARAMETROS'!$M$2-YEAR(F350),"")</f>
        <v>8</v>
      </c>
      <c r="H350" s="157">
        <v>0</v>
      </c>
      <c r="I350" s="156" t="str">
        <f>IFERROR(VLOOKUP(J350,CARGOS!A:F,2,0),"")</f>
        <v>2129</v>
      </c>
      <c r="J350" s="87" t="s">
        <v>3320</v>
      </c>
      <c r="K350" s="258">
        <v>5</v>
      </c>
      <c r="L350" s="234">
        <v>171</v>
      </c>
    </row>
    <row r="351" spans="2:12" ht="15.75" thickBot="1" x14ac:dyDescent="0.3">
      <c r="B351" s="227" t="s">
        <v>2834</v>
      </c>
      <c r="C351" s="148">
        <f t="shared" ca="1" si="4"/>
        <v>43</v>
      </c>
      <c r="D351" s="87">
        <v>12457325</v>
      </c>
      <c r="E351" s="160" t="s">
        <v>5001</v>
      </c>
      <c r="F351" s="233">
        <v>42948</v>
      </c>
      <c r="G351" s="155">
        <f>IF(F351&lt;&gt;"",'CONCEPTOS Y PARAMETROS'!$M$2-YEAR(F351),"")</f>
        <v>8</v>
      </c>
      <c r="H351" s="157">
        <v>0</v>
      </c>
      <c r="I351" s="156" t="str">
        <f>IFERROR(VLOOKUP(J351,CARGOS!A:F,2,0),"")</f>
        <v>7152</v>
      </c>
      <c r="J351" s="87" t="s">
        <v>2568</v>
      </c>
      <c r="K351" s="258">
        <v>3</v>
      </c>
      <c r="L351" s="234">
        <v>152</v>
      </c>
    </row>
    <row r="352" spans="2:12" ht="15.75" thickBot="1" x14ac:dyDescent="0.3">
      <c r="B352" s="227" t="s">
        <v>2834</v>
      </c>
      <c r="C352" s="148">
        <f t="shared" ca="1" si="4"/>
        <v>44</v>
      </c>
      <c r="D352" s="87">
        <v>12797543</v>
      </c>
      <c r="E352" s="160" t="s">
        <v>5002</v>
      </c>
      <c r="F352" s="233">
        <v>42948</v>
      </c>
      <c r="G352" s="155">
        <f>IF(F352&lt;&gt;"",'CONCEPTOS Y PARAMETROS'!$M$2-YEAR(F352),"")</f>
        <v>8</v>
      </c>
      <c r="H352" s="157">
        <v>0</v>
      </c>
      <c r="I352" s="156" t="str">
        <f>IFERROR(VLOOKUP(J352,CARGOS!A:F,2,0),"")</f>
        <v>7152</v>
      </c>
      <c r="J352" s="87" t="s">
        <v>2568</v>
      </c>
      <c r="K352" s="258">
        <v>3</v>
      </c>
      <c r="L352" s="234">
        <v>152</v>
      </c>
    </row>
    <row r="353" spans="2:12" ht="15.75" thickBot="1" x14ac:dyDescent="0.3">
      <c r="B353" s="227" t="s">
        <v>2834</v>
      </c>
      <c r="C353" s="148">
        <f t="shared" ca="1" si="4"/>
        <v>45</v>
      </c>
      <c r="D353" s="87">
        <v>12797598</v>
      </c>
      <c r="E353" s="160" t="s">
        <v>5003</v>
      </c>
      <c r="F353" s="233">
        <v>44635</v>
      </c>
      <c r="G353" s="155">
        <f>IF(F353&lt;&gt;"",'CONCEPTOS Y PARAMETROS'!$M$2-YEAR(F353),"")</f>
        <v>3</v>
      </c>
      <c r="H353" s="157">
        <v>0</v>
      </c>
      <c r="I353" s="156" t="str">
        <f>IFERROR(VLOOKUP(J353,CARGOS!A:F,2,0),"")</f>
        <v>2129</v>
      </c>
      <c r="J353" s="87" t="s">
        <v>3320</v>
      </c>
      <c r="K353" s="258">
        <v>5</v>
      </c>
      <c r="L353" s="234">
        <v>171</v>
      </c>
    </row>
    <row r="354" spans="2:12" ht="15.75" thickBot="1" x14ac:dyDescent="0.3">
      <c r="B354" s="227" t="s">
        <v>2834</v>
      </c>
      <c r="C354" s="148">
        <f t="shared" ca="1" si="4"/>
        <v>46</v>
      </c>
      <c r="D354" s="87">
        <v>13049800</v>
      </c>
      <c r="E354" s="160" t="s">
        <v>5004</v>
      </c>
      <c r="F354" s="233">
        <v>42171</v>
      </c>
      <c r="G354" s="155">
        <f>IF(F354&lt;&gt;"",'CONCEPTOS Y PARAMETROS'!$M$2-YEAR(F354),"")</f>
        <v>10</v>
      </c>
      <c r="H354" s="157">
        <v>0</v>
      </c>
      <c r="I354" s="156" t="str">
        <f>IFERROR(VLOOKUP(J354,CARGOS!A:F,2,0),"")</f>
        <v>7102</v>
      </c>
      <c r="J354" s="87" t="s">
        <v>2511</v>
      </c>
      <c r="K354" s="258">
        <v>1</v>
      </c>
      <c r="L354" s="234">
        <v>130</v>
      </c>
    </row>
    <row r="355" spans="2:12" ht="15.75" thickBot="1" x14ac:dyDescent="0.3">
      <c r="B355" s="227" t="s">
        <v>2834</v>
      </c>
      <c r="C355" s="148">
        <f t="shared" ca="1" si="4"/>
        <v>47</v>
      </c>
      <c r="D355" s="87">
        <v>13260758</v>
      </c>
      <c r="E355" s="160" t="s">
        <v>5005</v>
      </c>
      <c r="F355" s="233">
        <v>39118</v>
      </c>
      <c r="G355" s="155">
        <f>IF(F355&lt;&gt;"",'CONCEPTOS Y PARAMETROS'!$M$2-YEAR(F355),"")</f>
        <v>18</v>
      </c>
      <c r="H355" s="157">
        <v>0</v>
      </c>
      <c r="I355" s="156" t="str">
        <f>IFERROR(VLOOKUP(J355,CARGOS!A:F,2,0),"")</f>
        <v>8201</v>
      </c>
      <c r="J355" s="87" t="s">
        <v>2830</v>
      </c>
      <c r="K355" s="258">
        <v>5</v>
      </c>
      <c r="L355" s="234">
        <v>171</v>
      </c>
    </row>
    <row r="356" spans="2:12" ht="15.75" thickBot="1" x14ac:dyDescent="0.3">
      <c r="B356" s="227" t="s">
        <v>2834</v>
      </c>
      <c r="C356" s="148">
        <f t="shared" ca="1" si="4"/>
        <v>48</v>
      </c>
      <c r="D356" s="87">
        <v>13376729</v>
      </c>
      <c r="E356" s="160" t="s">
        <v>5006</v>
      </c>
      <c r="F356" s="233">
        <v>42948</v>
      </c>
      <c r="G356" s="155">
        <f>IF(F356&lt;&gt;"",'CONCEPTOS Y PARAMETROS'!$M$2-YEAR(F356),"")</f>
        <v>8</v>
      </c>
      <c r="H356" s="157">
        <v>0</v>
      </c>
      <c r="I356" s="156" t="str">
        <f>IFERROR(VLOOKUP(J356,CARGOS!A:F,2,0),"")</f>
        <v>8201</v>
      </c>
      <c r="J356" s="87" t="s">
        <v>2830</v>
      </c>
      <c r="K356" s="258">
        <v>5</v>
      </c>
      <c r="L356" s="234">
        <v>171</v>
      </c>
    </row>
    <row r="357" spans="2:12" ht="15.75" thickBot="1" x14ac:dyDescent="0.3">
      <c r="B357" s="227" t="s">
        <v>2834</v>
      </c>
      <c r="C357" s="148">
        <f t="shared" ca="1" si="4"/>
        <v>49</v>
      </c>
      <c r="D357" s="87">
        <v>13522771</v>
      </c>
      <c r="E357" s="160" t="s">
        <v>5007</v>
      </c>
      <c r="F357" s="233">
        <v>44228</v>
      </c>
      <c r="G357" s="155">
        <f>IF(F357&lt;&gt;"",'CONCEPTOS Y PARAMETROS'!$M$2-YEAR(F357),"")</f>
        <v>4</v>
      </c>
      <c r="H357" s="157">
        <v>0</v>
      </c>
      <c r="I357" s="156" t="str">
        <f>IFERROR(VLOOKUP(J357,CARGOS!A:F,2,0),"")</f>
        <v>7102</v>
      </c>
      <c r="J357" s="87" t="s">
        <v>2511</v>
      </c>
      <c r="K357" s="258">
        <v>1</v>
      </c>
      <c r="L357" s="234">
        <v>130</v>
      </c>
    </row>
    <row r="358" spans="2:12" ht="15.75" thickBot="1" x14ac:dyDescent="0.3">
      <c r="B358" s="227" t="s">
        <v>2834</v>
      </c>
      <c r="C358" s="148">
        <f t="shared" ca="1" si="4"/>
        <v>50</v>
      </c>
      <c r="D358" s="87">
        <v>13745328</v>
      </c>
      <c r="E358" s="160" t="s">
        <v>5008</v>
      </c>
      <c r="F358" s="233">
        <v>44805</v>
      </c>
      <c r="G358" s="155">
        <f>IF(F358&lt;&gt;"",'CONCEPTOS Y PARAMETROS'!$M$2-YEAR(F358),"")</f>
        <v>3</v>
      </c>
      <c r="H358" s="157">
        <v>0</v>
      </c>
      <c r="I358" s="156" t="str">
        <f>IFERROR(VLOOKUP(J358,CARGOS!A:F,2,0),"")</f>
        <v>7152</v>
      </c>
      <c r="J358" s="87" t="s">
        <v>2568</v>
      </c>
      <c r="K358" s="258">
        <v>3</v>
      </c>
      <c r="L358" s="234">
        <v>152</v>
      </c>
    </row>
    <row r="359" spans="2:12" ht="15.75" thickBot="1" x14ac:dyDescent="0.3">
      <c r="B359" s="227" t="s">
        <v>2834</v>
      </c>
      <c r="C359" s="148">
        <f t="shared" ca="1" si="4"/>
        <v>51</v>
      </c>
      <c r="D359" s="87">
        <v>13996661</v>
      </c>
      <c r="E359" s="160" t="s">
        <v>5009</v>
      </c>
      <c r="F359" s="233">
        <v>44743</v>
      </c>
      <c r="G359" s="155">
        <f>IF(F359&lt;&gt;"",'CONCEPTOS Y PARAMETROS'!$M$2-YEAR(F359),"")</f>
        <v>3</v>
      </c>
      <c r="H359" s="157">
        <v>0</v>
      </c>
      <c r="I359" s="156" t="str">
        <f>IFERROR(VLOOKUP(J359,CARGOS!A:F,2,0),"")</f>
        <v>7152</v>
      </c>
      <c r="J359" s="87" t="s">
        <v>2568</v>
      </c>
      <c r="K359" s="258">
        <v>3</v>
      </c>
      <c r="L359" s="234">
        <v>152</v>
      </c>
    </row>
    <row r="360" spans="2:12" ht="15.75" thickBot="1" x14ac:dyDescent="0.3">
      <c r="B360" s="227" t="s">
        <v>2834</v>
      </c>
      <c r="C360" s="148">
        <f t="shared" ca="1" si="4"/>
        <v>52</v>
      </c>
      <c r="D360" s="87">
        <v>13996885</v>
      </c>
      <c r="E360" s="160" t="s">
        <v>5010</v>
      </c>
      <c r="F360" s="233">
        <v>44363</v>
      </c>
      <c r="G360" s="155">
        <f>IF(F360&lt;&gt;"",'CONCEPTOS Y PARAMETROS'!$M$2-YEAR(F360),"")</f>
        <v>4</v>
      </c>
      <c r="H360" s="157">
        <v>0</v>
      </c>
      <c r="I360" s="156" t="str">
        <f>IFERROR(VLOOKUP(J360,CARGOS!A:F,2,0),"")</f>
        <v>7174</v>
      </c>
      <c r="J360" s="87" t="s">
        <v>2619</v>
      </c>
      <c r="K360" s="258">
        <v>4</v>
      </c>
      <c r="L360" s="234">
        <v>161</v>
      </c>
    </row>
    <row r="361" spans="2:12" ht="15.75" thickBot="1" x14ac:dyDescent="0.3">
      <c r="B361" s="227" t="s">
        <v>2834</v>
      </c>
      <c r="C361" s="148">
        <f t="shared" ca="1" si="4"/>
        <v>53</v>
      </c>
      <c r="D361" s="87">
        <v>14149971</v>
      </c>
      <c r="E361" s="160" t="s">
        <v>5011</v>
      </c>
      <c r="F361" s="233">
        <v>41091</v>
      </c>
      <c r="G361" s="155">
        <f>IF(F361&lt;&gt;"",'CONCEPTOS Y PARAMETROS'!$M$2-YEAR(F361),"")</f>
        <v>13</v>
      </c>
      <c r="H361" s="157">
        <v>0</v>
      </c>
      <c r="I361" s="156" t="str">
        <f>IFERROR(VLOOKUP(J361,CARGOS!A:F,2,0),"")</f>
        <v>7102</v>
      </c>
      <c r="J361" s="87" t="s">
        <v>2511</v>
      </c>
      <c r="K361" s="258">
        <v>1</v>
      </c>
      <c r="L361" s="234">
        <v>130</v>
      </c>
    </row>
    <row r="362" spans="2:12" ht="15.75" thickBot="1" x14ac:dyDescent="0.3">
      <c r="B362" s="227" t="s">
        <v>2834</v>
      </c>
      <c r="C362" s="148">
        <f t="shared" ca="1" si="4"/>
        <v>54</v>
      </c>
      <c r="D362" s="87">
        <v>14150495</v>
      </c>
      <c r="E362" s="160" t="s">
        <v>5012</v>
      </c>
      <c r="F362" s="233">
        <v>44228</v>
      </c>
      <c r="G362" s="155">
        <f>IF(F362&lt;&gt;"",'CONCEPTOS Y PARAMETROS'!$M$2-YEAR(F362),"")</f>
        <v>4</v>
      </c>
      <c r="H362" s="157">
        <v>0</v>
      </c>
      <c r="I362" s="156" t="str">
        <f>IFERROR(VLOOKUP(J362,CARGOS!A:F,2,0),"")</f>
        <v>7201</v>
      </c>
      <c r="J362" s="87" t="s">
        <v>2540</v>
      </c>
      <c r="K362" s="258">
        <v>5</v>
      </c>
      <c r="L362" s="234">
        <v>171</v>
      </c>
    </row>
    <row r="363" spans="2:12" ht="15.75" thickBot="1" x14ac:dyDescent="0.3">
      <c r="B363" s="227" t="s">
        <v>2834</v>
      </c>
      <c r="C363" s="148">
        <f t="shared" ca="1" si="4"/>
        <v>55</v>
      </c>
      <c r="D363" s="87">
        <v>14599616</v>
      </c>
      <c r="E363" s="160" t="s">
        <v>5013</v>
      </c>
      <c r="F363" s="233">
        <v>43525</v>
      </c>
      <c r="G363" s="155">
        <f>IF(F363&lt;&gt;"",'CONCEPTOS Y PARAMETROS'!$M$2-YEAR(F363),"")</f>
        <v>6</v>
      </c>
      <c r="H363" s="157">
        <v>0</v>
      </c>
      <c r="I363" s="156" t="str">
        <f>IFERROR(VLOOKUP(J363,CARGOS!A:F,2,0),"")</f>
        <v>7102</v>
      </c>
      <c r="J363" s="87" t="s">
        <v>2511</v>
      </c>
      <c r="K363" s="258">
        <v>1</v>
      </c>
      <c r="L363" s="234">
        <v>130</v>
      </c>
    </row>
    <row r="364" spans="2:12" ht="15.75" thickBot="1" x14ac:dyDescent="0.3">
      <c r="B364" s="227" t="s">
        <v>2834</v>
      </c>
      <c r="C364" s="148">
        <f t="shared" ca="1" si="4"/>
        <v>56</v>
      </c>
      <c r="D364" s="87">
        <v>14718369</v>
      </c>
      <c r="E364" s="160" t="s">
        <v>5014</v>
      </c>
      <c r="F364" s="233">
        <v>43147</v>
      </c>
      <c r="G364" s="155">
        <f>IF(F364&lt;&gt;"",'CONCEPTOS Y PARAMETROS'!$M$2-YEAR(F364),"")</f>
        <v>7</v>
      </c>
      <c r="H364" s="157">
        <v>0</v>
      </c>
      <c r="I364" s="156" t="str">
        <f>IFERROR(VLOOKUP(J364,CARGOS!A:F,2,0),"")</f>
        <v>7102</v>
      </c>
      <c r="J364" s="87" t="s">
        <v>2511</v>
      </c>
      <c r="K364" s="258">
        <v>1</v>
      </c>
      <c r="L364" s="234">
        <v>130</v>
      </c>
    </row>
    <row r="365" spans="2:12" ht="15.75" thickBot="1" x14ac:dyDescent="0.3">
      <c r="B365" s="227" t="s">
        <v>2834</v>
      </c>
      <c r="C365" s="148">
        <f t="shared" ca="1" si="4"/>
        <v>57</v>
      </c>
      <c r="D365" s="87">
        <v>14718468</v>
      </c>
      <c r="E365" s="160" t="s">
        <v>5015</v>
      </c>
      <c r="F365" s="233">
        <v>42948</v>
      </c>
      <c r="G365" s="155">
        <f>IF(F365&lt;&gt;"",'CONCEPTOS Y PARAMETROS'!$M$2-YEAR(F365),"")</f>
        <v>8</v>
      </c>
      <c r="H365" s="157">
        <v>0</v>
      </c>
      <c r="I365" s="156" t="str">
        <f>IFERROR(VLOOKUP(J365,CARGOS!A:F,2,0),"")</f>
        <v>7201</v>
      </c>
      <c r="J365" s="87" t="s">
        <v>2540</v>
      </c>
      <c r="K365" s="258">
        <v>5</v>
      </c>
      <c r="L365" s="234">
        <v>171</v>
      </c>
    </row>
    <row r="366" spans="2:12" ht="15.75" thickBot="1" x14ac:dyDescent="0.3">
      <c r="B366" s="227" t="s">
        <v>2834</v>
      </c>
      <c r="C366" s="148">
        <f t="shared" ca="1" si="4"/>
        <v>58</v>
      </c>
      <c r="D366" s="87">
        <v>14719205</v>
      </c>
      <c r="E366" s="160" t="s">
        <v>5016</v>
      </c>
      <c r="F366" s="233">
        <v>39861</v>
      </c>
      <c r="G366" s="155">
        <f>IF(F366&lt;&gt;"",'CONCEPTOS Y PARAMETROS'!$M$2-YEAR(F366),"")</f>
        <v>16</v>
      </c>
      <c r="H366" s="157">
        <v>0</v>
      </c>
      <c r="I366" s="156" t="str">
        <f>IFERROR(VLOOKUP(J366,CARGOS!A:F,2,0),"")</f>
        <v>7152</v>
      </c>
      <c r="J366" s="87" t="s">
        <v>2568</v>
      </c>
      <c r="K366" s="258">
        <v>3</v>
      </c>
      <c r="L366" s="234">
        <v>152</v>
      </c>
    </row>
    <row r="367" spans="2:12" ht="15.75" thickBot="1" x14ac:dyDescent="0.3">
      <c r="B367" s="227" t="s">
        <v>2834</v>
      </c>
      <c r="C367" s="148">
        <f t="shared" ca="1" si="4"/>
        <v>59</v>
      </c>
      <c r="D367" s="87">
        <v>14719356</v>
      </c>
      <c r="E367" s="160" t="s">
        <v>5017</v>
      </c>
      <c r="F367" s="233">
        <v>44348</v>
      </c>
      <c r="G367" s="155">
        <f>IF(F367&lt;&gt;"",'CONCEPTOS Y PARAMETROS'!$M$2-YEAR(F367),"")</f>
        <v>4</v>
      </c>
      <c r="H367" s="157">
        <v>0</v>
      </c>
      <c r="I367" s="156" t="str">
        <f>IFERROR(VLOOKUP(J367,CARGOS!A:F,2,0),"")</f>
        <v>7152</v>
      </c>
      <c r="J367" s="87" t="s">
        <v>2568</v>
      </c>
      <c r="K367" s="258">
        <v>3</v>
      </c>
      <c r="L367" s="234">
        <v>152</v>
      </c>
    </row>
    <row r="368" spans="2:12" ht="15.75" thickBot="1" x14ac:dyDescent="0.3">
      <c r="B368" s="227" t="s">
        <v>2834</v>
      </c>
      <c r="C368" s="148">
        <f t="shared" ca="1" si="4"/>
        <v>60</v>
      </c>
      <c r="D368" s="87">
        <v>14780893</v>
      </c>
      <c r="E368" s="160" t="s">
        <v>5018</v>
      </c>
      <c r="F368" s="233">
        <v>41570</v>
      </c>
      <c r="G368" s="155">
        <f>IF(F368&lt;&gt;"",'CONCEPTOS Y PARAMETROS'!$M$2-YEAR(F368),"")</f>
        <v>12</v>
      </c>
      <c r="H368" s="157">
        <v>0</v>
      </c>
      <c r="I368" s="156" t="str">
        <f>IFERROR(VLOOKUP(J368,CARGOS!A:F,2,0),"")</f>
        <v>7152</v>
      </c>
      <c r="J368" s="87" t="s">
        <v>2568</v>
      </c>
      <c r="K368" s="258">
        <v>3</v>
      </c>
      <c r="L368" s="234">
        <v>152</v>
      </c>
    </row>
    <row r="369" spans="2:12" ht="15.75" thickBot="1" x14ac:dyDescent="0.3">
      <c r="B369" s="227" t="s">
        <v>2834</v>
      </c>
      <c r="C369" s="148">
        <f t="shared" ca="1" si="4"/>
        <v>61</v>
      </c>
      <c r="D369" s="87">
        <v>14928047</v>
      </c>
      <c r="E369" s="160" t="s">
        <v>5019</v>
      </c>
      <c r="F369" s="233">
        <v>43297</v>
      </c>
      <c r="G369" s="155">
        <f>IF(F369&lt;&gt;"",'CONCEPTOS Y PARAMETROS'!$M$2-YEAR(F369),"")</f>
        <v>7</v>
      </c>
      <c r="H369" s="157">
        <v>0</v>
      </c>
      <c r="I369" s="156" t="str">
        <f>IFERROR(VLOOKUP(J369,CARGOS!A:F,2,0),"")</f>
        <v>2129</v>
      </c>
      <c r="J369" s="87" t="s">
        <v>3320</v>
      </c>
      <c r="K369" s="258">
        <v>5</v>
      </c>
      <c r="L369" s="234">
        <v>171</v>
      </c>
    </row>
    <row r="370" spans="2:12" ht="15.75" thickBot="1" x14ac:dyDescent="0.3">
      <c r="B370" s="227" t="s">
        <v>2834</v>
      </c>
      <c r="C370" s="148">
        <f t="shared" ca="1" si="4"/>
        <v>62</v>
      </c>
      <c r="D370" s="87">
        <v>14986675</v>
      </c>
      <c r="E370" s="160" t="s">
        <v>5020</v>
      </c>
      <c r="F370" s="233">
        <v>44805</v>
      </c>
      <c r="G370" s="155">
        <f>IF(F370&lt;&gt;"",'CONCEPTOS Y PARAMETROS'!$M$2-YEAR(F370),"")</f>
        <v>3</v>
      </c>
      <c r="H370" s="157">
        <v>0</v>
      </c>
      <c r="I370" s="156" t="str">
        <f>IFERROR(VLOOKUP(J370,CARGOS!A:F,2,0),"")</f>
        <v>7152</v>
      </c>
      <c r="J370" s="87" t="s">
        <v>2568</v>
      </c>
      <c r="K370" s="258">
        <v>3</v>
      </c>
      <c r="L370" s="234">
        <v>152</v>
      </c>
    </row>
    <row r="371" spans="2:12" ht="15.75" thickBot="1" x14ac:dyDescent="0.3">
      <c r="B371" s="227" t="s">
        <v>2834</v>
      </c>
      <c r="C371" s="148">
        <f t="shared" ca="1" si="4"/>
        <v>63</v>
      </c>
      <c r="D371" s="87">
        <v>15583194</v>
      </c>
      <c r="E371" s="160" t="s">
        <v>5021</v>
      </c>
      <c r="F371" s="233">
        <v>44166</v>
      </c>
      <c r="G371" s="155">
        <f>IF(F371&lt;&gt;"",'CONCEPTOS Y PARAMETROS'!$M$2-YEAR(F371),"")</f>
        <v>5</v>
      </c>
      <c r="H371" s="157">
        <v>8</v>
      </c>
      <c r="I371" s="156" t="str">
        <f>IFERROR(VLOOKUP(J371,CARGOS!A:F,2,0),"")</f>
        <v>2129</v>
      </c>
      <c r="J371" s="87" t="s">
        <v>3320</v>
      </c>
      <c r="K371" s="258">
        <v>5</v>
      </c>
      <c r="L371" s="234">
        <v>171</v>
      </c>
    </row>
    <row r="372" spans="2:12" ht="15.75" thickBot="1" x14ac:dyDescent="0.3">
      <c r="B372" s="227" t="s">
        <v>2834</v>
      </c>
      <c r="C372" s="148">
        <f t="shared" ca="1" si="4"/>
        <v>64</v>
      </c>
      <c r="D372" s="87">
        <v>15952512</v>
      </c>
      <c r="E372" s="160" t="s">
        <v>5022</v>
      </c>
      <c r="F372" s="233">
        <v>40725</v>
      </c>
      <c r="G372" s="155">
        <f>IF(F372&lt;&gt;"",'CONCEPTOS Y PARAMETROS'!$M$2-YEAR(F372),"")</f>
        <v>14</v>
      </c>
      <c r="H372" s="157">
        <v>0</v>
      </c>
      <c r="I372" s="156" t="str">
        <f>IFERROR(VLOOKUP(J372,CARGOS!A:F,2,0),"")</f>
        <v>7102</v>
      </c>
      <c r="J372" s="87" t="s">
        <v>2511</v>
      </c>
      <c r="K372" s="258">
        <v>1</v>
      </c>
      <c r="L372" s="234">
        <v>130</v>
      </c>
    </row>
    <row r="373" spans="2:12" ht="15.75" thickBot="1" x14ac:dyDescent="0.3">
      <c r="B373" s="227" t="s">
        <v>2834</v>
      </c>
      <c r="C373" s="148">
        <f t="shared" ca="1" si="4"/>
        <v>65</v>
      </c>
      <c r="D373" s="87">
        <v>15953703</v>
      </c>
      <c r="E373" s="160" t="s">
        <v>5023</v>
      </c>
      <c r="F373" s="233">
        <v>38718</v>
      </c>
      <c r="G373" s="155">
        <f>IF(F373&lt;&gt;"",'CONCEPTOS Y PARAMETROS'!$M$2-YEAR(F373),"")</f>
        <v>19</v>
      </c>
      <c r="H373" s="157">
        <v>0</v>
      </c>
      <c r="I373" s="156" t="str">
        <f>IFERROR(VLOOKUP(J373,CARGOS!A:F,2,0),"")</f>
        <v>7152</v>
      </c>
      <c r="J373" s="87" t="s">
        <v>2568</v>
      </c>
      <c r="K373" s="258">
        <v>3</v>
      </c>
      <c r="L373" s="234">
        <v>152</v>
      </c>
    </row>
    <row r="374" spans="2:12" ht="15.75" thickBot="1" x14ac:dyDescent="0.3">
      <c r="B374" s="227" t="s">
        <v>2834</v>
      </c>
      <c r="C374" s="148">
        <f t="shared" ca="1" si="4"/>
        <v>66</v>
      </c>
      <c r="D374" s="87">
        <v>16266801</v>
      </c>
      <c r="E374" s="160" t="s">
        <v>5024</v>
      </c>
      <c r="F374" s="233">
        <v>39496</v>
      </c>
      <c r="G374" s="155">
        <f>IF(F374&lt;&gt;"",'CONCEPTOS Y PARAMETROS'!$M$2-YEAR(F374),"")</f>
        <v>17</v>
      </c>
      <c r="H374" s="157">
        <v>0</v>
      </c>
      <c r="I374" s="156" t="str">
        <f>IFERROR(VLOOKUP(J374,CARGOS!A:F,2,0),"")</f>
        <v>2129</v>
      </c>
      <c r="J374" s="87" t="s">
        <v>3320</v>
      </c>
      <c r="K374" s="258">
        <v>5</v>
      </c>
      <c r="L374" s="234">
        <v>171</v>
      </c>
    </row>
    <row r="375" spans="2:12" ht="15.75" thickBot="1" x14ac:dyDescent="0.3">
      <c r="B375" s="227" t="s">
        <v>2834</v>
      </c>
      <c r="C375" s="148">
        <f t="shared" ca="1" si="4"/>
        <v>67</v>
      </c>
      <c r="D375" s="87">
        <v>16738049</v>
      </c>
      <c r="E375" s="160" t="s">
        <v>5025</v>
      </c>
      <c r="F375" s="233">
        <v>44805</v>
      </c>
      <c r="G375" s="155">
        <f>IF(F375&lt;&gt;"",'CONCEPTOS Y PARAMETROS'!$M$2-YEAR(F375),"")</f>
        <v>3</v>
      </c>
      <c r="H375" s="157">
        <v>0</v>
      </c>
      <c r="I375" s="156" t="str">
        <f>IFERROR(VLOOKUP(J375,CARGOS!A:F,2,0),"")</f>
        <v>2129</v>
      </c>
      <c r="J375" s="87" t="s">
        <v>3320</v>
      </c>
      <c r="K375" s="258">
        <v>5</v>
      </c>
      <c r="L375" s="234">
        <v>171</v>
      </c>
    </row>
    <row r="376" spans="2:12" ht="15.75" thickBot="1" x14ac:dyDescent="0.3">
      <c r="B376" s="227" t="s">
        <v>2834</v>
      </c>
      <c r="C376" s="148">
        <f t="shared" ca="1" si="4"/>
        <v>68</v>
      </c>
      <c r="D376" s="87">
        <v>16881526</v>
      </c>
      <c r="E376" s="160" t="s">
        <v>5026</v>
      </c>
      <c r="F376" s="233">
        <v>44470</v>
      </c>
      <c r="G376" s="155">
        <f>IF(F376&lt;&gt;"",'CONCEPTOS Y PARAMETROS'!$M$2-YEAR(F376),"")</f>
        <v>4</v>
      </c>
      <c r="H376" s="157">
        <v>0</v>
      </c>
      <c r="I376" s="156" t="str">
        <f>IFERROR(VLOOKUP(J376,CARGOS!A:F,2,0),"")</f>
        <v>7102</v>
      </c>
      <c r="J376" s="87" t="s">
        <v>2511</v>
      </c>
      <c r="K376" s="258">
        <v>1</v>
      </c>
      <c r="L376" s="234">
        <v>130</v>
      </c>
    </row>
    <row r="377" spans="2:12" ht="15.75" thickBot="1" x14ac:dyDescent="0.3">
      <c r="B377" s="227" t="s">
        <v>2834</v>
      </c>
      <c r="C377" s="148">
        <f t="shared" ca="1" si="4"/>
        <v>69</v>
      </c>
      <c r="D377" s="87">
        <v>17093567</v>
      </c>
      <c r="E377" s="160" t="s">
        <v>5027</v>
      </c>
      <c r="F377" s="233">
        <v>39449</v>
      </c>
      <c r="G377" s="155">
        <f>IF(F377&lt;&gt;"",'CONCEPTOS Y PARAMETROS'!$M$2-YEAR(F377),"")</f>
        <v>17</v>
      </c>
      <c r="H377" s="157">
        <v>0</v>
      </c>
      <c r="I377" s="156" t="str">
        <f>IFERROR(VLOOKUP(J377,CARGOS!A:F,2,0),"")</f>
        <v>7152</v>
      </c>
      <c r="J377" s="87" t="s">
        <v>2568</v>
      </c>
      <c r="K377" s="258">
        <v>3</v>
      </c>
      <c r="L377" s="234">
        <v>152</v>
      </c>
    </row>
    <row r="378" spans="2:12" ht="15.75" thickBot="1" x14ac:dyDescent="0.3">
      <c r="B378" s="227" t="s">
        <v>2834</v>
      </c>
      <c r="C378" s="148">
        <f t="shared" ca="1" si="4"/>
        <v>70</v>
      </c>
      <c r="D378" s="87">
        <v>17095084</v>
      </c>
      <c r="E378" s="160" t="s">
        <v>5028</v>
      </c>
      <c r="F378" s="233">
        <v>44317</v>
      </c>
      <c r="G378" s="155">
        <f>IF(F378&lt;&gt;"",'CONCEPTOS Y PARAMETROS'!$M$2-YEAR(F378),"")</f>
        <v>4</v>
      </c>
      <c r="H378" s="157">
        <v>0</v>
      </c>
      <c r="I378" s="156" t="str">
        <f>IFERROR(VLOOKUP(J378,CARGOS!A:F,2,0),"")</f>
        <v>2129</v>
      </c>
      <c r="J378" s="87" t="s">
        <v>3320</v>
      </c>
      <c r="K378" s="258">
        <v>5</v>
      </c>
      <c r="L378" s="234">
        <v>171</v>
      </c>
    </row>
    <row r="379" spans="2:12" ht="15.75" thickBot="1" x14ac:dyDescent="0.3">
      <c r="B379" s="227" t="s">
        <v>2834</v>
      </c>
      <c r="C379" s="148">
        <f t="shared" ca="1" si="4"/>
        <v>71</v>
      </c>
      <c r="D379" s="87">
        <v>17267173</v>
      </c>
      <c r="E379" s="160" t="s">
        <v>5029</v>
      </c>
      <c r="F379" s="233">
        <v>44317</v>
      </c>
      <c r="G379" s="155">
        <f>IF(F379&lt;&gt;"",'CONCEPTOS Y PARAMETROS'!$M$2-YEAR(F379),"")</f>
        <v>4</v>
      </c>
      <c r="H379" s="157">
        <v>0</v>
      </c>
      <c r="I379" s="156" t="str">
        <f>IFERROR(VLOOKUP(J379,CARGOS!A:F,2,0),"")</f>
        <v>7204</v>
      </c>
      <c r="J379" s="87" t="s">
        <v>2615</v>
      </c>
      <c r="K379" s="258">
        <v>5</v>
      </c>
      <c r="L379" s="234">
        <v>171</v>
      </c>
    </row>
    <row r="380" spans="2:12" ht="15.75" thickBot="1" x14ac:dyDescent="0.3">
      <c r="B380" s="227" t="s">
        <v>2834</v>
      </c>
      <c r="C380" s="148">
        <f t="shared" ca="1" si="4"/>
        <v>72</v>
      </c>
      <c r="D380" s="87">
        <v>17864665</v>
      </c>
      <c r="E380" s="160" t="s">
        <v>5030</v>
      </c>
      <c r="F380" s="233">
        <v>42948</v>
      </c>
      <c r="G380" s="155">
        <f>IF(F380&lt;&gt;"",'CONCEPTOS Y PARAMETROS'!$M$2-YEAR(F380),"")</f>
        <v>8</v>
      </c>
      <c r="H380" s="157">
        <v>0</v>
      </c>
      <c r="I380" s="156" t="str">
        <f>IFERROR(VLOOKUP(J380,CARGOS!A:F,2,0),"")</f>
        <v>7174</v>
      </c>
      <c r="J380" s="87" t="s">
        <v>2619</v>
      </c>
      <c r="K380" s="258">
        <v>4</v>
      </c>
      <c r="L380" s="234">
        <v>161</v>
      </c>
    </row>
    <row r="381" spans="2:12" ht="15.75" thickBot="1" x14ac:dyDescent="0.3">
      <c r="B381" s="227" t="s">
        <v>2834</v>
      </c>
      <c r="C381" s="148">
        <f t="shared" ca="1" si="4"/>
        <v>73</v>
      </c>
      <c r="D381" s="87">
        <v>18096338</v>
      </c>
      <c r="E381" s="160" t="s">
        <v>5031</v>
      </c>
      <c r="F381" s="233">
        <v>39463</v>
      </c>
      <c r="G381" s="155">
        <f>IF(F381&lt;&gt;"",'CONCEPTOS Y PARAMETROS'!$M$2-YEAR(F381),"")</f>
        <v>17</v>
      </c>
      <c r="H381" s="157">
        <v>3</v>
      </c>
      <c r="I381" s="156" t="str">
        <f>IFERROR(VLOOKUP(J381,CARGOS!A:F,2,0),"")</f>
        <v>2129</v>
      </c>
      <c r="J381" s="87" t="s">
        <v>3320</v>
      </c>
      <c r="K381" s="258">
        <v>5</v>
      </c>
      <c r="L381" s="234">
        <v>171</v>
      </c>
    </row>
    <row r="382" spans="2:12" ht="15.75" thickBot="1" x14ac:dyDescent="0.3">
      <c r="B382" s="227" t="s">
        <v>2834</v>
      </c>
      <c r="C382" s="148">
        <f t="shared" ca="1" si="4"/>
        <v>74</v>
      </c>
      <c r="D382" s="87">
        <v>18350780</v>
      </c>
      <c r="E382" s="160" t="s">
        <v>5032</v>
      </c>
      <c r="F382" s="233">
        <v>43116</v>
      </c>
      <c r="G382" s="155">
        <f>IF(F382&lt;&gt;"",'CONCEPTOS Y PARAMETROS'!$M$2-YEAR(F382),"")</f>
        <v>7</v>
      </c>
      <c r="H382" s="157">
        <v>0</v>
      </c>
      <c r="I382" s="156" t="str">
        <f>IFERROR(VLOOKUP(J382,CARGOS!A:F,2,0),"")</f>
        <v>8201</v>
      </c>
      <c r="J382" s="87" t="s">
        <v>2830</v>
      </c>
      <c r="K382" s="258">
        <v>5</v>
      </c>
      <c r="L382" s="234">
        <v>171</v>
      </c>
    </row>
    <row r="383" spans="2:12" ht="15.75" thickBot="1" x14ac:dyDescent="0.3">
      <c r="B383" s="227" t="s">
        <v>2834</v>
      </c>
      <c r="C383" s="148">
        <f t="shared" ca="1" si="4"/>
        <v>75</v>
      </c>
      <c r="D383" s="87">
        <v>18456167</v>
      </c>
      <c r="E383" s="160" t="s">
        <v>5033</v>
      </c>
      <c r="F383" s="233">
        <v>44516</v>
      </c>
      <c r="G383" s="155">
        <f>IF(F383&lt;&gt;"",'CONCEPTOS Y PARAMETROS'!$M$2-YEAR(F383),"")</f>
        <v>4</v>
      </c>
      <c r="H383" s="157">
        <v>0</v>
      </c>
      <c r="I383" s="156" t="str">
        <f>IFERROR(VLOOKUP(J383,CARGOS!A:F,2,0),"")</f>
        <v>2129</v>
      </c>
      <c r="J383" s="87" t="s">
        <v>3320</v>
      </c>
      <c r="K383" s="258">
        <v>5</v>
      </c>
      <c r="L383" s="234">
        <v>171</v>
      </c>
    </row>
    <row r="384" spans="2:12" ht="15.75" thickBot="1" x14ac:dyDescent="0.3">
      <c r="B384" s="227" t="s">
        <v>2834</v>
      </c>
      <c r="C384" s="148">
        <f t="shared" ca="1" si="4"/>
        <v>76</v>
      </c>
      <c r="D384" s="87">
        <v>19286087</v>
      </c>
      <c r="E384" s="160" t="s">
        <v>5034</v>
      </c>
      <c r="F384" s="233">
        <v>44348</v>
      </c>
      <c r="G384" s="155">
        <f>IF(F384&lt;&gt;"",'CONCEPTOS Y PARAMETROS'!$M$2-YEAR(F384),"")</f>
        <v>4</v>
      </c>
      <c r="H384" s="157">
        <v>0</v>
      </c>
      <c r="I384" s="156" t="str">
        <f>IFERROR(VLOOKUP(J384,CARGOS!A:F,2,0),"")</f>
        <v>3174</v>
      </c>
      <c r="J384" s="87" t="s">
        <v>3328</v>
      </c>
      <c r="K384" s="258">
        <v>4</v>
      </c>
      <c r="L384" s="234">
        <v>161</v>
      </c>
    </row>
    <row r="385" spans="2:12" ht="15.75" thickBot="1" x14ac:dyDescent="0.3">
      <c r="B385" s="227" t="s">
        <v>2834</v>
      </c>
      <c r="C385" s="148">
        <f t="shared" ca="1" si="4"/>
        <v>77</v>
      </c>
      <c r="D385" s="87">
        <v>20039961</v>
      </c>
      <c r="E385" s="160" t="s">
        <v>5035</v>
      </c>
      <c r="F385" s="233">
        <v>38412</v>
      </c>
      <c r="G385" s="155">
        <f>IF(F385&lt;&gt;"",'CONCEPTOS Y PARAMETROS'!$M$2-YEAR(F385),"")</f>
        <v>20</v>
      </c>
      <c r="H385" s="157">
        <v>0</v>
      </c>
      <c r="I385" s="156" t="str">
        <f>IFERROR(VLOOKUP(J385,CARGOS!A:F,2,0),"")</f>
        <v>7102</v>
      </c>
      <c r="J385" s="87" t="s">
        <v>2511</v>
      </c>
      <c r="K385" s="258">
        <v>1</v>
      </c>
      <c r="L385" s="234">
        <v>130</v>
      </c>
    </row>
    <row r="386" spans="2:12" ht="15.75" thickBot="1" x14ac:dyDescent="0.3">
      <c r="B386" s="227" t="s">
        <v>2834</v>
      </c>
      <c r="C386" s="148">
        <f t="shared" ca="1" si="4"/>
        <v>78</v>
      </c>
      <c r="D386" s="87">
        <v>20040649</v>
      </c>
      <c r="E386" s="160" t="s">
        <v>5036</v>
      </c>
      <c r="F386" s="233">
        <v>44743</v>
      </c>
      <c r="G386" s="155">
        <f>IF(F386&lt;&gt;"",'CONCEPTOS Y PARAMETROS'!$M$2-YEAR(F386),"")</f>
        <v>3</v>
      </c>
      <c r="H386" s="157">
        <v>0</v>
      </c>
      <c r="I386" s="156" t="str">
        <f>IFERROR(VLOOKUP(J386,CARGOS!A:F,2,0),"")</f>
        <v>7174</v>
      </c>
      <c r="J386" s="87" t="s">
        <v>2619</v>
      </c>
      <c r="K386" s="258">
        <v>4</v>
      </c>
      <c r="L386" s="234">
        <v>161</v>
      </c>
    </row>
    <row r="387" spans="2:12" ht="15.75" thickBot="1" x14ac:dyDescent="0.3">
      <c r="B387" s="227" t="s">
        <v>2834</v>
      </c>
      <c r="C387" s="148">
        <f t="shared" ca="1" si="4"/>
        <v>79</v>
      </c>
      <c r="D387" s="87">
        <v>21366579</v>
      </c>
      <c r="E387" s="160" t="s">
        <v>5037</v>
      </c>
      <c r="F387" s="233">
        <v>44774</v>
      </c>
      <c r="G387" s="155">
        <f>IF(F387&lt;&gt;"",'CONCEPTOS Y PARAMETROS'!$M$2-YEAR(F387),"")</f>
        <v>3</v>
      </c>
      <c r="H387" s="157">
        <v>0</v>
      </c>
      <c r="I387" s="156" t="str">
        <f>IFERROR(VLOOKUP(J387,CARGOS!A:F,2,0),"")</f>
        <v>7129</v>
      </c>
      <c r="J387" s="87" t="s">
        <v>2703</v>
      </c>
      <c r="K387" s="258">
        <v>2</v>
      </c>
      <c r="L387" s="234">
        <v>142</v>
      </c>
    </row>
    <row r="388" spans="2:12" ht="15.75" thickBot="1" x14ac:dyDescent="0.3">
      <c r="B388" s="227" t="s">
        <v>2834</v>
      </c>
      <c r="C388" s="148">
        <f t="shared" ca="1" si="4"/>
        <v>80</v>
      </c>
      <c r="D388" s="87">
        <v>23254845</v>
      </c>
      <c r="E388" s="160" t="s">
        <v>5038</v>
      </c>
      <c r="F388" s="233">
        <v>44332</v>
      </c>
      <c r="G388" s="155">
        <f>IF(F388&lt;&gt;"",'CONCEPTOS Y PARAMETROS'!$M$2-YEAR(F388),"")</f>
        <v>4</v>
      </c>
      <c r="H388" s="157">
        <v>0</v>
      </c>
      <c r="I388" s="156" t="str">
        <f>IFERROR(VLOOKUP(J388,CARGOS!A:F,2,0),"")</f>
        <v>7152</v>
      </c>
      <c r="J388" s="87" t="s">
        <v>2568</v>
      </c>
      <c r="K388" s="258">
        <v>3</v>
      </c>
      <c r="L388" s="234">
        <v>152</v>
      </c>
    </row>
    <row r="389" spans="2:12" ht="15.75" thickBot="1" x14ac:dyDescent="0.3">
      <c r="B389" s="227" t="s">
        <v>2834</v>
      </c>
      <c r="C389" s="148">
        <f t="shared" ca="1" si="4"/>
        <v>81</v>
      </c>
      <c r="D389" s="87">
        <v>25173228</v>
      </c>
      <c r="E389" s="160" t="s">
        <v>5039</v>
      </c>
      <c r="F389" s="233">
        <v>44531</v>
      </c>
      <c r="G389" s="155">
        <f>IF(F389&lt;&gt;"",'CONCEPTOS Y PARAMETROS'!$M$2-YEAR(F389),"")</f>
        <v>4</v>
      </c>
      <c r="H389" s="157">
        <v>0</v>
      </c>
      <c r="I389" s="156" t="str">
        <f>IFERROR(VLOOKUP(J389,CARGOS!A:F,2,0),"")</f>
        <v>7152</v>
      </c>
      <c r="J389" s="87" t="s">
        <v>2568</v>
      </c>
      <c r="K389" s="258">
        <v>3</v>
      </c>
      <c r="L389" s="234">
        <v>152</v>
      </c>
    </row>
    <row r="390" spans="2:12" ht="15.75" thickBot="1" x14ac:dyDescent="0.3">
      <c r="B390" s="227" t="s">
        <v>2834</v>
      </c>
      <c r="C390" s="148">
        <f t="shared" ca="1" si="4"/>
        <v>82</v>
      </c>
      <c r="D390" s="87">
        <v>25631811</v>
      </c>
      <c r="E390" s="160" t="s">
        <v>5040</v>
      </c>
      <c r="F390" s="233">
        <v>44440</v>
      </c>
      <c r="G390" s="155">
        <f>IF(F390&lt;&gt;"",'CONCEPTOS Y PARAMETROS'!$M$2-YEAR(F390),"")</f>
        <v>4</v>
      </c>
      <c r="H390" s="157">
        <v>0</v>
      </c>
      <c r="I390" s="156" t="str">
        <f>IFERROR(VLOOKUP(J390,CARGOS!A:F,2,0),"")</f>
        <v>2129</v>
      </c>
      <c r="J390" s="87" t="s">
        <v>3320</v>
      </c>
      <c r="K390" s="258">
        <v>5</v>
      </c>
      <c r="L390" s="234">
        <v>171</v>
      </c>
    </row>
    <row r="391" spans="2:12" ht="15.75" thickBot="1" x14ac:dyDescent="0.3">
      <c r="B391" s="227" t="s">
        <v>2834</v>
      </c>
      <c r="C391" s="148">
        <f t="shared" ca="1" si="4"/>
        <v>83</v>
      </c>
      <c r="D391" s="87">
        <v>25919888</v>
      </c>
      <c r="E391" s="259" t="s">
        <v>5041</v>
      </c>
      <c r="F391" s="260">
        <v>44805</v>
      </c>
      <c r="G391" s="155">
        <f>IF(F391&lt;&gt;"",'CONCEPTOS Y PARAMETROS'!$M$2-YEAR(F391),"")</f>
        <v>3</v>
      </c>
      <c r="H391" s="157">
        <v>0</v>
      </c>
      <c r="I391" s="156" t="str">
        <f>IFERROR(VLOOKUP(J391,CARGOS!A:F,2,0),"")</f>
        <v>7102</v>
      </c>
      <c r="J391" s="87" t="s">
        <v>2511</v>
      </c>
      <c r="K391" s="258">
        <v>1</v>
      </c>
      <c r="L391" s="234">
        <v>130</v>
      </c>
    </row>
    <row r="392" spans="2:12" ht="15.75" thickBot="1" x14ac:dyDescent="0.3">
      <c r="B392" s="227" t="s">
        <v>2834</v>
      </c>
      <c r="C392" s="148">
        <f t="shared" ca="1" si="4"/>
        <v>84</v>
      </c>
      <c r="D392" s="87">
        <v>27415509</v>
      </c>
      <c r="E392" s="259" t="s">
        <v>5042</v>
      </c>
      <c r="F392" s="233">
        <v>43678</v>
      </c>
      <c r="G392" s="155">
        <f>IF(F392&lt;&gt;"",'CONCEPTOS Y PARAMETROS'!$M$2-YEAR(F392),"")</f>
        <v>6</v>
      </c>
      <c r="H392" s="157">
        <v>0</v>
      </c>
      <c r="I392" s="156" t="str">
        <f>IFERROR(VLOOKUP(J392,CARGOS!A:F,2,0),"")</f>
        <v>7152</v>
      </c>
      <c r="J392" s="87" t="s">
        <v>2568</v>
      </c>
      <c r="K392" s="258">
        <v>3</v>
      </c>
      <c r="L392" s="234">
        <v>152</v>
      </c>
    </row>
    <row r="393" spans="2:12" ht="15.75" thickBot="1" x14ac:dyDescent="0.3">
      <c r="B393" s="227" t="s">
        <v>2834</v>
      </c>
      <c r="C393" s="148">
        <f t="shared" ca="1" si="4"/>
        <v>85</v>
      </c>
      <c r="D393" s="87">
        <v>27470077</v>
      </c>
      <c r="E393" s="160" t="s">
        <v>5043</v>
      </c>
      <c r="F393" s="233">
        <v>44743</v>
      </c>
      <c r="G393" s="155">
        <f>IF(F393&lt;&gt;"",'CONCEPTOS Y PARAMETROS'!$M$2-YEAR(F393),"")</f>
        <v>3</v>
      </c>
      <c r="H393" s="157">
        <v>0</v>
      </c>
      <c r="I393" s="156" t="str">
        <f>IFERROR(VLOOKUP(J393,CARGOS!A:F,2,0),"")</f>
        <v>7102</v>
      </c>
      <c r="J393" s="87" t="s">
        <v>2511</v>
      </c>
      <c r="K393" s="258">
        <v>1</v>
      </c>
      <c r="L393" s="234">
        <v>130</v>
      </c>
    </row>
    <row r="394" spans="2:12" ht="15.75" thickBot="1" x14ac:dyDescent="0.3">
      <c r="B394" s="227" t="s">
        <v>2834</v>
      </c>
      <c r="C394" s="148">
        <f t="shared" ca="1" si="4"/>
        <v>86</v>
      </c>
      <c r="D394" s="87">
        <v>29539270</v>
      </c>
      <c r="E394" s="160" t="s">
        <v>5044</v>
      </c>
      <c r="F394" s="233">
        <v>44287</v>
      </c>
      <c r="G394" s="155">
        <f>IF(F394&lt;&gt;"",'CONCEPTOS Y PARAMETROS'!$M$2-YEAR(F394),"")</f>
        <v>4</v>
      </c>
      <c r="H394" s="157">
        <v>0</v>
      </c>
      <c r="I394" s="156" t="str">
        <f>IFERROR(VLOOKUP(J394,CARGOS!A:F,2,0),"")</f>
        <v>7152</v>
      </c>
      <c r="J394" s="87" t="s">
        <v>2568</v>
      </c>
      <c r="K394" s="258">
        <v>3</v>
      </c>
      <c r="L394" s="234">
        <v>152</v>
      </c>
    </row>
    <row r="395" spans="2:12" ht="15.75" thickBot="1" x14ac:dyDescent="0.3">
      <c r="B395" s="227" t="s">
        <v>2834</v>
      </c>
      <c r="C395" s="148">
        <f t="shared" ca="1" si="4"/>
        <v>87</v>
      </c>
      <c r="D395" s="87">
        <v>29994277</v>
      </c>
      <c r="E395" s="160" t="s">
        <v>5045</v>
      </c>
      <c r="F395" s="252">
        <v>44562</v>
      </c>
      <c r="G395" s="155">
        <f>IF(F395&lt;&gt;"",'CONCEPTOS Y PARAMETROS'!$M$2-YEAR(F395),"")</f>
        <v>3</v>
      </c>
      <c r="H395" s="157">
        <v>0</v>
      </c>
      <c r="I395" s="156" t="str">
        <f>IFERROR(VLOOKUP(J395,CARGOS!A:F,2,0),"")</f>
        <v>7152</v>
      </c>
      <c r="J395" s="87" t="s">
        <v>2568</v>
      </c>
      <c r="K395" s="258">
        <v>3</v>
      </c>
      <c r="L395" s="234">
        <v>152</v>
      </c>
    </row>
    <row r="396" spans="2:12" ht="15.75" thickBot="1" x14ac:dyDescent="0.3">
      <c r="B396" s="227" t="s">
        <v>2834</v>
      </c>
      <c r="C396" s="148">
        <f t="shared" ca="1" si="4"/>
        <v>88</v>
      </c>
      <c r="D396" s="87">
        <v>32084560</v>
      </c>
      <c r="E396" s="259" t="s">
        <v>5046</v>
      </c>
      <c r="F396" s="233">
        <v>44348</v>
      </c>
      <c r="G396" s="155">
        <f>IF(F396&lt;&gt;"",'CONCEPTOS Y PARAMETROS'!$M$2-YEAR(F396),"")</f>
        <v>4</v>
      </c>
      <c r="H396" s="157">
        <v>0</v>
      </c>
      <c r="I396" s="156" t="str">
        <f>IFERROR(VLOOKUP(J396,CARGOS!A:F,2,0),"")</f>
        <v>2129</v>
      </c>
      <c r="J396" s="87" t="s">
        <v>3320</v>
      </c>
      <c r="K396" s="258">
        <v>5</v>
      </c>
      <c r="L396" s="234">
        <v>171</v>
      </c>
    </row>
    <row r="397" spans="2:12" ht="15.75" thickBot="1" x14ac:dyDescent="0.3">
      <c r="B397" s="227" t="s">
        <v>2834</v>
      </c>
      <c r="C397" s="148">
        <f t="shared" ca="1" si="4"/>
        <v>89</v>
      </c>
      <c r="D397" s="87"/>
      <c r="E397" s="160" t="s">
        <v>4653</v>
      </c>
      <c r="F397" s="233">
        <v>44927</v>
      </c>
      <c r="G397" s="155">
        <f>IF(F397&lt;&gt;"",'CONCEPTOS Y PARAMETROS'!$M$2-YEAR(F397),"")</f>
        <v>2</v>
      </c>
      <c r="H397" s="157">
        <v>0</v>
      </c>
      <c r="I397" s="156" t="str">
        <f>IFERROR(VLOOKUP(J397,CARGOS!A:F,2,0),"")</f>
        <v>7102</v>
      </c>
      <c r="J397" s="87" t="s">
        <v>2511</v>
      </c>
      <c r="K397" s="258">
        <v>1</v>
      </c>
      <c r="L397" s="234">
        <v>130</v>
      </c>
    </row>
    <row r="398" spans="2:12" ht="15.75" thickBot="1" x14ac:dyDescent="0.3">
      <c r="B398" s="227" t="s">
        <v>2834</v>
      </c>
      <c r="C398" s="148">
        <f t="shared" ca="1" si="4"/>
        <v>90</v>
      </c>
      <c r="D398" s="87"/>
      <c r="E398" s="160" t="s">
        <v>4653</v>
      </c>
      <c r="F398" s="233">
        <v>44927</v>
      </c>
      <c r="G398" s="155">
        <f>IF(F398&lt;&gt;"",'CONCEPTOS Y PARAMETROS'!$M$2-YEAR(F398),"")</f>
        <v>2</v>
      </c>
      <c r="H398" s="157">
        <v>0</v>
      </c>
      <c r="I398" s="156" t="str">
        <f>IFERROR(VLOOKUP(J398,CARGOS!A:F,2,0),"")</f>
        <v>7152</v>
      </c>
      <c r="J398" s="87" t="s">
        <v>2568</v>
      </c>
      <c r="K398" s="258">
        <v>3</v>
      </c>
      <c r="L398" s="234">
        <v>152</v>
      </c>
    </row>
    <row r="399" spans="2:12" ht="15.75" thickBot="1" x14ac:dyDescent="0.3">
      <c r="B399" s="227" t="s">
        <v>2834</v>
      </c>
      <c r="C399" s="148">
        <f t="shared" ca="1" si="4"/>
        <v>91</v>
      </c>
      <c r="D399" s="87"/>
      <c r="E399" s="160" t="s">
        <v>4653</v>
      </c>
      <c r="F399" s="233">
        <v>44927</v>
      </c>
      <c r="G399" s="155">
        <f>IF(F399&lt;&gt;"",'CONCEPTOS Y PARAMETROS'!$M$2-YEAR(F399),"")</f>
        <v>2</v>
      </c>
      <c r="H399" s="157">
        <v>0</v>
      </c>
      <c r="I399" s="156" t="str">
        <f>IFERROR(VLOOKUP(J399,CARGOS!A:F,2,0),"")</f>
        <v>7152</v>
      </c>
      <c r="J399" s="87" t="s">
        <v>2568</v>
      </c>
      <c r="K399" s="258">
        <v>3</v>
      </c>
      <c r="L399" s="234">
        <v>152</v>
      </c>
    </row>
    <row r="400" spans="2:12" x14ac:dyDescent="0.25">
      <c r="B400" s="227" t="s">
        <v>2834</v>
      </c>
      <c r="C400" s="148">
        <f t="shared" ca="1" si="4"/>
        <v>92</v>
      </c>
      <c r="D400" s="87"/>
      <c r="E400" s="160" t="s">
        <v>4653</v>
      </c>
      <c r="F400" s="252">
        <v>44927</v>
      </c>
      <c r="G400" s="155">
        <f>IF(F400&lt;&gt;"",'CONCEPTOS Y PARAMETROS'!$M$2-YEAR(F400),"")</f>
        <v>2</v>
      </c>
      <c r="H400" s="157">
        <v>0</v>
      </c>
      <c r="I400" s="156" t="str">
        <f>IFERROR(VLOOKUP(J400,CARGOS!A:F,2,0),"")</f>
        <v>2127</v>
      </c>
      <c r="J400" s="87" t="s">
        <v>2566</v>
      </c>
      <c r="K400" s="258">
        <v>2</v>
      </c>
      <c r="L400" s="234">
        <v>142</v>
      </c>
    </row>
    <row r="401" spans="2:12" ht="15.75" thickBot="1" x14ac:dyDescent="0.3">
      <c r="B401" s="226"/>
      <c r="C401" s="261">
        <f ca="1">COUNT(C309:C400)</f>
        <v>92</v>
      </c>
      <c r="D401" s="1853" t="s">
        <v>4493</v>
      </c>
      <c r="E401" s="1853"/>
      <c r="F401" s="1853"/>
      <c r="G401" s="1853"/>
      <c r="H401" s="1853"/>
      <c r="I401" s="1853"/>
      <c r="J401" s="1853"/>
      <c r="K401" s="1854"/>
      <c r="L401" s="143">
        <v>14293</v>
      </c>
    </row>
    <row r="402" spans="2:12" ht="15.75" thickBot="1" x14ac:dyDescent="0.3">
      <c r="B402" s="226"/>
      <c r="C402" s="261"/>
      <c r="D402" s="1848"/>
      <c r="E402" s="1848"/>
      <c r="F402" s="1848"/>
      <c r="G402" s="1848"/>
      <c r="H402" s="1848"/>
      <c r="I402" s="1848"/>
      <c r="J402" s="1848"/>
      <c r="K402" s="1849"/>
      <c r="L402" s="143"/>
    </row>
    <row r="403" spans="2:12" x14ac:dyDescent="0.25">
      <c r="F403" s="265"/>
      <c r="G403" s="265"/>
      <c r="H403" s="265"/>
    </row>
    <row r="404" spans="2:12" ht="15.75" thickBot="1" x14ac:dyDescent="0.3">
      <c r="F404" s="265"/>
      <c r="G404" s="265"/>
      <c r="H404" s="265"/>
    </row>
    <row r="405" spans="2:12" ht="15.75" thickBot="1" x14ac:dyDescent="0.3">
      <c r="C405" s="266">
        <f ca="1">C34+C307+C401</f>
        <v>393</v>
      </c>
      <c r="D405" s="1850" t="s">
        <v>2875</v>
      </c>
      <c r="E405" s="1851"/>
      <c r="F405" s="1851"/>
      <c r="G405" s="1851"/>
      <c r="H405" s="1851"/>
      <c r="I405" s="1851"/>
      <c r="J405" s="1852"/>
      <c r="K405" s="144"/>
      <c r="L405" s="145">
        <v>83410</v>
      </c>
    </row>
    <row r="406" spans="2:12" x14ac:dyDescent="0.25">
      <c r="L406" s="106"/>
    </row>
    <row r="407" spans="2:12" x14ac:dyDescent="0.25">
      <c r="F407" s="265"/>
      <c r="G407" s="265"/>
      <c r="H407" s="265"/>
      <c r="L407" s="106"/>
    </row>
    <row r="408" spans="2:12" x14ac:dyDescent="0.25">
      <c r="F408" s="265"/>
      <c r="G408" s="265"/>
      <c r="H408" s="265"/>
      <c r="L408" s="268">
        <v>1000920</v>
      </c>
    </row>
    <row r="409" spans="2:12" x14ac:dyDescent="0.25">
      <c r="F409" s="265"/>
      <c r="G409" s="265"/>
      <c r="H409" s="265"/>
      <c r="L409" s="269">
        <v>1000920</v>
      </c>
    </row>
    <row r="410" spans="2:12" x14ac:dyDescent="0.25">
      <c r="F410" s="265"/>
      <c r="G410" s="265"/>
      <c r="H410" s="265"/>
      <c r="L410" s="106"/>
    </row>
  </sheetData>
  <mergeCells count="8">
    <mergeCell ref="D402:K402"/>
    <mergeCell ref="D405:J405"/>
    <mergeCell ref="D401:K401"/>
    <mergeCell ref="B3:D3"/>
    <mergeCell ref="D34:K34"/>
    <mergeCell ref="B35:D35"/>
    <mergeCell ref="D307:K307"/>
    <mergeCell ref="B308:D308"/>
  </mergeCells>
  <dataValidations count="1">
    <dataValidation type="list" allowBlank="1" showInputMessage="1" showErrorMessage="1" sqref="B309:B402 B36:B307 B4:B34">
      <formula1>"EMPLEADO,OBRERO,BOMBERO"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B1:S17"/>
  <sheetViews>
    <sheetView view="pageBreakPreview" zoomScale="71" zoomScaleNormal="60" zoomScaleSheetLayoutView="71" zoomScalePageLayoutView="80" workbookViewId="0">
      <selection activeCell="A4" sqref="A4"/>
    </sheetView>
  </sheetViews>
  <sheetFormatPr baseColWidth="10" defaultRowHeight="15" x14ac:dyDescent="0.25"/>
  <cols>
    <col min="1" max="1" width="5.28515625" style="279" customWidth="1"/>
    <col min="2" max="2" width="21.28515625" style="275" customWidth="1"/>
    <col min="3" max="3" width="17" style="275" customWidth="1"/>
    <col min="4" max="4" width="13.5703125" style="316" bestFit="1" customWidth="1"/>
    <col min="5" max="5" width="13.5703125" style="317" customWidth="1"/>
    <col min="6" max="6" width="13.42578125" style="316" bestFit="1" customWidth="1"/>
    <col min="7" max="7" width="13.7109375" style="317" customWidth="1"/>
    <col min="8" max="8" width="13.42578125" style="316" bestFit="1" customWidth="1"/>
    <col min="9" max="9" width="13.5703125" style="317" customWidth="1"/>
    <col min="10" max="10" width="13.42578125" style="316" bestFit="1" customWidth="1"/>
    <col min="11" max="11" width="13.7109375" style="317" customWidth="1"/>
    <col min="12" max="12" width="13.42578125" style="316" bestFit="1" customWidth="1"/>
    <col min="13" max="13" width="13.7109375" style="317" customWidth="1"/>
    <col min="14" max="14" width="13.42578125" style="316" bestFit="1" customWidth="1"/>
    <col min="15" max="15" width="13.85546875" style="317" customWidth="1"/>
    <col min="16" max="16" width="14.7109375" style="316" customWidth="1"/>
    <col min="17" max="17" width="12.85546875" style="315" hidden="1" customWidth="1"/>
    <col min="18" max="18" width="13.7109375" style="317" customWidth="1"/>
    <col min="19" max="19" width="11.42578125" style="316"/>
    <col min="20" max="16384" width="11.42578125" style="279"/>
  </cols>
  <sheetData>
    <row r="1" spans="2:19" x14ac:dyDescent="0.25">
      <c r="B1" s="274"/>
      <c r="C1" s="274"/>
      <c r="D1" s="275"/>
      <c r="E1" s="276"/>
      <c r="F1" s="275"/>
      <c r="G1" s="276"/>
      <c r="H1" s="275"/>
      <c r="I1" s="276"/>
      <c r="J1" s="275"/>
      <c r="K1" s="276"/>
      <c r="L1" s="275"/>
      <c r="M1" s="276"/>
      <c r="N1" s="277"/>
      <c r="O1" s="276"/>
      <c r="P1" s="275"/>
      <c r="Q1" s="278"/>
      <c r="R1" s="276"/>
      <c r="S1" s="275"/>
    </row>
    <row r="2" spans="2:19" ht="18.75" x14ac:dyDescent="0.3">
      <c r="B2" s="280" t="s">
        <v>5053</v>
      </c>
      <c r="C2" s="281"/>
      <c r="D2" s="275"/>
      <c r="E2" s="276"/>
      <c r="F2" s="275"/>
      <c r="G2" s="276"/>
      <c r="H2" s="275"/>
      <c r="I2" s="276"/>
      <c r="J2" s="275"/>
      <c r="K2" s="276"/>
      <c r="L2" s="275"/>
      <c r="M2" s="276"/>
      <c r="N2" s="277"/>
      <c r="O2" s="276"/>
      <c r="P2" s="275"/>
      <c r="Q2" s="278"/>
      <c r="R2" s="276"/>
      <c r="S2" s="275"/>
    </row>
    <row r="3" spans="2:19" ht="19.5" thickBot="1" x14ac:dyDescent="0.35">
      <c r="B3" s="282" t="s">
        <v>5054</v>
      </c>
      <c r="C3" s="283"/>
      <c r="D3" s="275"/>
      <c r="E3" s="276"/>
      <c r="F3" s="275"/>
      <c r="G3" s="276"/>
      <c r="H3" s="275"/>
      <c r="I3" s="276"/>
      <c r="J3" s="275"/>
      <c r="K3" s="276"/>
      <c r="L3" s="275"/>
      <c r="M3" s="276"/>
      <c r="N3" s="277"/>
      <c r="O3" s="276"/>
      <c r="P3" s="275"/>
      <c r="Q3" s="278"/>
      <c r="R3" s="276"/>
      <c r="S3" s="275"/>
    </row>
    <row r="4" spans="2:19" s="288" customFormat="1" ht="16.5" thickBot="1" x14ac:dyDescent="0.3">
      <c r="B4" s="1862" t="s">
        <v>5055</v>
      </c>
      <c r="C4" s="1863"/>
      <c r="D4" s="284">
        <v>44317</v>
      </c>
      <c r="E4" s="285">
        <v>44621</v>
      </c>
      <c r="F4" s="286">
        <v>44317</v>
      </c>
      <c r="G4" s="285">
        <v>44621</v>
      </c>
      <c r="H4" s="286">
        <v>44317</v>
      </c>
      <c r="I4" s="285">
        <v>44621</v>
      </c>
      <c r="J4" s="286">
        <v>44317</v>
      </c>
      <c r="K4" s="285">
        <v>44621</v>
      </c>
      <c r="L4" s="286">
        <v>44317</v>
      </c>
      <c r="M4" s="285">
        <v>44621</v>
      </c>
      <c r="N4" s="286">
        <v>44317</v>
      </c>
      <c r="O4" s="285">
        <v>44621</v>
      </c>
      <c r="P4" s="286">
        <v>44317</v>
      </c>
      <c r="Q4" s="287">
        <v>44501</v>
      </c>
      <c r="R4" s="285">
        <v>44621</v>
      </c>
      <c r="S4" s="275"/>
    </row>
    <row r="5" spans="2:19" s="288" customFormat="1" ht="57.75" customHeight="1" thickBot="1" x14ac:dyDescent="0.3">
      <c r="B5" s="289"/>
      <c r="C5" s="290"/>
      <c r="D5" s="291" t="s">
        <v>5056</v>
      </c>
      <c r="E5" s="292" t="s">
        <v>5056</v>
      </c>
      <c r="F5" s="293" t="s">
        <v>5057</v>
      </c>
      <c r="G5" s="294" t="s">
        <v>5057</v>
      </c>
      <c r="H5" s="293" t="s">
        <v>5058</v>
      </c>
      <c r="I5" s="294" t="s">
        <v>5058</v>
      </c>
      <c r="J5" s="293" t="s">
        <v>5059</v>
      </c>
      <c r="K5" s="294" t="s">
        <v>5059</v>
      </c>
      <c r="L5" s="293" t="s">
        <v>5060</v>
      </c>
      <c r="M5" s="294" t="s">
        <v>5060</v>
      </c>
      <c r="N5" s="293" t="s">
        <v>5061</v>
      </c>
      <c r="O5" s="294" t="s">
        <v>5061</v>
      </c>
      <c r="P5" s="293" t="s">
        <v>5062</v>
      </c>
      <c r="Q5" s="295" t="s">
        <v>5063</v>
      </c>
      <c r="R5" s="294" t="s">
        <v>5062</v>
      </c>
      <c r="S5" s="275"/>
    </row>
    <row r="6" spans="2:19" s="288" customFormat="1" ht="25.5" customHeight="1" x14ac:dyDescent="0.25">
      <c r="B6" s="1864" t="s">
        <v>5064</v>
      </c>
      <c r="C6" s="1865"/>
      <c r="D6" s="1866"/>
      <c r="E6" s="1866"/>
      <c r="F6" s="1866"/>
      <c r="G6" s="1866"/>
      <c r="H6" s="1866"/>
      <c r="I6" s="1866"/>
      <c r="J6" s="1866"/>
      <c r="K6" s="1866"/>
      <c r="L6" s="1866"/>
      <c r="M6" s="1866"/>
      <c r="N6" s="1866"/>
      <c r="O6" s="1866"/>
      <c r="P6" s="1866"/>
      <c r="Q6" s="1867"/>
      <c r="R6" s="276"/>
      <c r="S6" s="275"/>
    </row>
    <row r="7" spans="2:19" ht="32.25" customHeight="1" x14ac:dyDescent="0.25">
      <c r="B7" s="1860" t="s">
        <v>5065</v>
      </c>
      <c r="C7" s="296" t="s">
        <v>5066</v>
      </c>
      <c r="D7" s="297">
        <v>7</v>
      </c>
      <c r="E7" s="298">
        <f>'TAB EMP'!B2</f>
        <v>130</v>
      </c>
      <c r="F7" s="299"/>
      <c r="G7" s="300"/>
      <c r="H7" s="299"/>
      <c r="I7" s="300"/>
      <c r="J7" s="299"/>
      <c r="K7" s="300"/>
      <c r="L7" s="299"/>
      <c r="M7" s="300"/>
      <c r="N7" s="299"/>
      <c r="O7" s="300"/>
      <c r="P7" s="299"/>
      <c r="Q7" s="301"/>
      <c r="R7" s="300"/>
      <c r="S7" s="275"/>
    </row>
    <row r="8" spans="2:19" ht="32.25" customHeight="1" x14ac:dyDescent="0.25">
      <c r="B8" s="1868"/>
      <c r="C8" s="302" t="s">
        <v>5067</v>
      </c>
      <c r="D8" s="299"/>
      <c r="E8" s="300"/>
      <c r="F8" s="297">
        <v>8.5399999999999991</v>
      </c>
      <c r="G8" s="298">
        <f>'TAB EMP'!B3</f>
        <v>150</v>
      </c>
      <c r="H8" s="299"/>
      <c r="I8" s="300"/>
      <c r="J8" s="299"/>
      <c r="K8" s="300"/>
      <c r="L8" s="299"/>
      <c r="M8" s="300"/>
      <c r="N8" s="299"/>
      <c r="O8" s="300"/>
      <c r="P8" s="299"/>
      <c r="Q8" s="301"/>
      <c r="R8" s="300"/>
      <c r="S8" s="275"/>
    </row>
    <row r="9" spans="2:19" ht="32.25" customHeight="1" x14ac:dyDescent="0.25">
      <c r="B9" s="1861"/>
      <c r="C9" s="302" t="s">
        <v>5068</v>
      </c>
      <c r="D9" s="299"/>
      <c r="E9" s="300"/>
      <c r="F9" s="299"/>
      <c r="G9" s="300"/>
      <c r="H9" s="297">
        <v>10.08</v>
      </c>
      <c r="I9" s="298">
        <f>'TAB EMP'!B4</f>
        <v>170</v>
      </c>
      <c r="J9" s="297">
        <v>10.220000000000001</v>
      </c>
      <c r="K9" s="298">
        <f>'TAB EMP'!B5</f>
        <v>172</v>
      </c>
      <c r="L9" s="297">
        <v>10.36</v>
      </c>
      <c r="M9" s="298">
        <f>'TAB EMP'!B6</f>
        <v>174</v>
      </c>
      <c r="N9" s="297">
        <v>10.5</v>
      </c>
      <c r="O9" s="298">
        <f>'TAB EMP'!B7</f>
        <v>176</v>
      </c>
      <c r="P9" s="297">
        <v>10.64</v>
      </c>
      <c r="Q9" s="303">
        <v>2736000</v>
      </c>
      <c r="R9" s="298">
        <f>'TAB EMP'!B8</f>
        <v>177</v>
      </c>
      <c r="S9" s="275"/>
    </row>
    <row r="10" spans="2:19" ht="30.75" customHeight="1" x14ac:dyDescent="0.25">
      <c r="B10" s="1869" t="s">
        <v>5069</v>
      </c>
      <c r="C10" s="1869"/>
      <c r="D10" s="1869"/>
      <c r="E10" s="1869"/>
      <c r="F10" s="1869"/>
      <c r="G10" s="1869"/>
      <c r="H10" s="1869"/>
      <c r="I10" s="1869"/>
      <c r="J10" s="1869"/>
      <c r="K10" s="1869"/>
      <c r="L10" s="1869"/>
      <c r="M10" s="1869"/>
      <c r="N10" s="1869"/>
      <c r="O10" s="1869"/>
      <c r="P10" s="1869"/>
      <c r="Q10" s="1869"/>
      <c r="R10" s="276"/>
      <c r="S10" s="275"/>
    </row>
    <row r="11" spans="2:19" ht="32.25" customHeight="1" x14ac:dyDescent="0.25">
      <c r="B11" s="1860" t="s">
        <v>5070</v>
      </c>
      <c r="C11" s="302" t="s">
        <v>5071</v>
      </c>
      <c r="D11" s="297">
        <v>11.76</v>
      </c>
      <c r="E11" s="298">
        <f>'TAB EMP'!B9</f>
        <v>192</v>
      </c>
      <c r="F11" s="299"/>
      <c r="G11" s="300"/>
      <c r="H11" s="299"/>
      <c r="I11" s="300"/>
      <c r="J11" s="299"/>
      <c r="K11" s="300"/>
      <c r="L11" s="299"/>
      <c r="M11" s="300"/>
      <c r="N11" s="299"/>
      <c r="O11" s="300"/>
      <c r="P11" s="299"/>
      <c r="Q11" s="301"/>
      <c r="R11" s="300"/>
      <c r="S11" s="275"/>
    </row>
    <row r="12" spans="2:19" ht="32.25" customHeight="1" x14ac:dyDescent="0.25">
      <c r="B12" s="1861"/>
      <c r="C12" s="302" t="s">
        <v>5072</v>
      </c>
      <c r="D12" s="299"/>
      <c r="E12" s="300"/>
      <c r="F12" s="297">
        <v>13.86</v>
      </c>
      <c r="G12" s="298">
        <f>'TAB EMP'!B10</f>
        <v>219</v>
      </c>
      <c r="H12" s="297">
        <v>14</v>
      </c>
      <c r="I12" s="298">
        <f>'TAB EMP'!B11</f>
        <v>221</v>
      </c>
      <c r="J12" s="297">
        <v>14.14</v>
      </c>
      <c r="K12" s="298">
        <f>'TAB EMP'!B12</f>
        <v>223</v>
      </c>
      <c r="L12" s="297">
        <v>14.28</v>
      </c>
      <c r="M12" s="298">
        <f>'TAB EMP'!B13</f>
        <v>225</v>
      </c>
      <c r="N12" s="297">
        <v>14.42</v>
      </c>
      <c r="O12" s="298">
        <f>'TAB EMP'!B14</f>
        <v>226</v>
      </c>
      <c r="P12" s="297">
        <v>14.56</v>
      </c>
      <c r="Q12" s="303">
        <v>3744000</v>
      </c>
      <c r="R12" s="298">
        <f>'TAB EMP'!B15</f>
        <v>228</v>
      </c>
      <c r="S12" s="275"/>
    </row>
    <row r="13" spans="2:19" ht="29.25" customHeight="1" x14ac:dyDescent="0.25">
      <c r="B13" s="1869" t="s">
        <v>5073</v>
      </c>
      <c r="C13" s="1869"/>
      <c r="D13" s="1869"/>
      <c r="E13" s="1869"/>
      <c r="F13" s="1869"/>
      <c r="G13" s="1869"/>
      <c r="H13" s="1869"/>
      <c r="I13" s="1869"/>
      <c r="J13" s="1869"/>
      <c r="K13" s="1869"/>
      <c r="L13" s="1869"/>
      <c r="M13" s="1869"/>
      <c r="N13" s="1869"/>
      <c r="O13" s="1869"/>
      <c r="P13" s="1869"/>
      <c r="Q13" s="1869"/>
      <c r="R13" s="276"/>
      <c r="S13" s="275"/>
    </row>
    <row r="14" spans="2:19" ht="32.25" customHeight="1" x14ac:dyDescent="0.25">
      <c r="B14" s="1860" t="s">
        <v>5074</v>
      </c>
      <c r="C14" s="302" t="s">
        <v>5075</v>
      </c>
      <c r="D14" s="297">
        <v>15.96</v>
      </c>
      <c r="E14" s="298">
        <f>'TAB EMP'!B16</f>
        <v>246</v>
      </c>
      <c r="F14" s="299"/>
      <c r="G14" s="300"/>
      <c r="H14" s="299"/>
      <c r="I14" s="300"/>
      <c r="J14" s="299"/>
      <c r="K14" s="300"/>
      <c r="L14" s="299"/>
      <c r="M14" s="300"/>
      <c r="N14" s="299"/>
      <c r="O14" s="300"/>
      <c r="P14" s="299"/>
      <c r="Q14" s="301"/>
      <c r="R14" s="300"/>
      <c r="S14" s="275"/>
    </row>
    <row r="15" spans="2:19" ht="32.25" customHeight="1" x14ac:dyDescent="0.25">
      <c r="B15" s="1861"/>
      <c r="C15" s="302" t="s">
        <v>5076</v>
      </c>
      <c r="D15" s="299"/>
      <c r="E15" s="300"/>
      <c r="F15" s="297">
        <v>18.34</v>
      </c>
      <c r="G15" s="298">
        <f>'TAB EMP'!B17</f>
        <v>277</v>
      </c>
      <c r="H15" s="297">
        <v>18.48</v>
      </c>
      <c r="I15" s="298">
        <f>'TAB EMP'!B18</f>
        <v>279</v>
      </c>
      <c r="J15" s="297">
        <v>18.62</v>
      </c>
      <c r="K15" s="298">
        <f>'TAB EMP'!B19</f>
        <v>281</v>
      </c>
      <c r="L15" s="297">
        <v>18.760000000000002</v>
      </c>
      <c r="M15" s="298">
        <f>'TAB EMP'!B20</f>
        <v>283</v>
      </c>
      <c r="N15" s="297">
        <v>18.899999999999999</v>
      </c>
      <c r="O15" s="298">
        <f>'TAB EMP'!B21</f>
        <v>285</v>
      </c>
      <c r="P15" s="297">
        <v>19.04</v>
      </c>
      <c r="Q15" s="303">
        <v>4896000</v>
      </c>
      <c r="R15" s="298">
        <f>'TAB EMP'!B22</f>
        <v>287</v>
      </c>
      <c r="S15" s="275"/>
    </row>
    <row r="16" spans="2:19" ht="68.25" customHeight="1" thickBot="1" x14ac:dyDescent="0.3">
      <c r="B16" s="304" t="s">
        <v>5077</v>
      </c>
      <c r="C16" s="305" t="s">
        <v>5078</v>
      </c>
      <c r="D16" s="306">
        <v>20.440000000000001</v>
      </c>
      <c r="E16" s="307">
        <f>'TAB EMP'!B23</f>
        <v>305</v>
      </c>
      <c r="F16" s="306">
        <v>20.58</v>
      </c>
      <c r="G16" s="307">
        <f>'TAB EMP'!B24</f>
        <v>307</v>
      </c>
      <c r="H16" s="306">
        <v>20.72</v>
      </c>
      <c r="I16" s="307">
        <f>'TAB EMP'!B25</f>
        <v>308</v>
      </c>
      <c r="J16" s="306">
        <v>20.86</v>
      </c>
      <c r="K16" s="307">
        <f>'TAB EMP'!B26</f>
        <v>310</v>
      </c>
      <c r="L16" s="306">
        <v>21</v>
      </c>
      <c r="M16" s="307">
        <f>'TAB EMP'!B27</f>
        <v>312</v>
      </c>
      <c r="N16" s="297">
        <v>21.14</v>
      </c>
      <c r="O16" s="307">
        <f>'TAB EMP'!B28</f>
        <v>314</v>
      </c>
      <c r="P16" s="306">
        <v>21.28</v>
      </c>
      <c r="Q16" s="308">
        <v>5472000</v>
      </c>
      <c r="R16" s="307">
        <f>'TAB EMP'!B29</f>
        <v>316</v>
      </c>
      <c r="S16" s="275"/>
    </row>
    <row r="17" spans="2:19" ht="20.100000000000001" customHeight="1" x14ac:dyDescent="0.25">
      <c r="B17" s="309"/>
      <c r="C17" s="309"/>
      <c r="D17" s="310"/>
      <c r="E17" s="311"/>
      <c r="F17" s="312"/>
      <c r="G17" s="313"/>
      <c r="H17" s="312"/>
      <c r="I17" s="313"/>
      <c r="J17" s="312"/>
      <c r="K17" s="313"/>
      <c r="L17" s="312"/>
      <c r="M17" s="313"/>
      <c r="N17" s="314"/>
      <c r="O17" s="313"/>
      <c r="P17" s="312"/>
      <c r="R17" s="313"/>
      <c r="S17" s="275"/>
    </row>
  </sheetData>
  <mergeCells count="7">
    <mergeCell ref="B14:B15"/>
    <mergeCell ref="B4:C4"/>
    <mergeCell ref="B6:Q6"/>
    <mergeCell ref="B7:B9"/>
    <mergeCell ref="B10:Q10"/>
    <mergeCell ref="B11:B12"/>
    <mergeCell ref="B13:Q13"/>
  </mergeCells>
  <pageMargins left="0.31496062992125984" right="0.31496062992125984" top="1.2630314960629923" bottom="0.74803149606299213" header="0.31496062992125984" footer="0.31496062992125984"/>
  <pageSetup paperSize="9" scale="59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35"/>
  <sheetViews>
    <sheetView workbookViewId="0">
      <pane ySplit="1800" topLeftCell="A82" activePane="bottomLeft"/>
      <selection activeCell="A4" sqref="A4"/>
      <selection pane="bottomLeft" activeCell="A4" sqref="A4"/>
    </sheetView>
  </sheetViews>
  <sheetFormatPr baseColWidth="10" defaultRowHeight="15" x14ac:dyDescent="0.25"/>
  <cols>
    <col min="1" max="1" width="5.28515625" style="593" customWidth="1"/>
    <col min="2" max="2" width="12.7109375" style="593" bestFit="1" customWidth="1"/>
    <col min="3" max="3" width="38" style="593" customWidth="1"/>
    <col min="4" max="5" width="11.42578125" style="880"/>
    <col min="6" max="6" width="13.7109375" style="880" customWidth="1"/>
    <col min="7" max="16384" width="11.42578125" style="593"/>
  </cols>
  <sheetData>
    <row r="2" spans="1:11" x14ac:dyDescent="0.25">
      <c r="C2" s="593" t="s">
        <v>5782</v>
      </c>
    </row>
    <row r="4" spans="1:11" s="879" customFormat="1" ht="30" x14ac:dyDescent="0.25">
      <c r="A4" s="882"/>
      <c r="B4" s="883" t="s">
        <v>2</v>
      </c>
      <c r="C4" s="883" t="s">
        <v>3</v>
      </c>
      <c r="D4" s="883" t="s">
        <v>5781</v>
      </c>
      <c r="E4" s="883" t="s">
        <v>4661</v>
      </c>
      <c r="F4" s="883" t="s">
        <v>5780</v>
      </c>
      <c r="G4" s="883" t="s">
        <v>5100</v>
      </c>
      <c r="H4" s="883" t="s">
        <v>5099</v>
      </c>
      <c r="I4" s="883" t="s">
        <v>5925</v>
      </c>
      <c r="J4" s="883" t="s">
        <v>5926</v>
      </c>
      <c r="K4" s="883" t="s">
        <v>5927</v>
      </c>
    </row>
    <row r="5" spans="1:11" s="879" customFormat="1" x14ac:dyDescent="0.25">
      <c r="A5" s="879" t="s">
        <v>5785</v>
      </c>
      <c r="B5" s="881">
        <v>19591141</v>
      </c>
      <c r="C5" s="593" t="s">
        <v>5206</v>
      </c>
      <c r="D5" s="879" t="s">
        <v>5800</v>
      </c>
      <c r="E5" s="879" t="s">
        <v>5800</v>
      </c>
      <c r="F5" s="879" t="s">
        <v>5800</v>
      </c>
      <c r="I5" s="879" t="s">
        <v>5800</v>
      </c>
      <c r="J5" s="879" t="s">
        <v>5800</v>
      </c>
      <c r="K5" s="879" t="s">
        <v>5800</v>
      </c>
    </row>
    <row r="6" spans="1:11" s="879" customFormat="1" x14ac:dyDescent="0.25">
      <c r="A6" s="879" t="s">
        <v>5785</v>
      </c>
      <c r="B6" s="881">
        <v>15827671</v>
      </c>
      <c r="C6" s="593" t="s">
        <v>5208</v>
      </c>
      <c r="D6" s="879" t="s">
        <v>5801</v>
      </c>
      <c r="E6" s="879" t="s">
        <v>5800</v>
      </c>
      <c r="F6" s="879" t="s">
        <v>5801</v>
      </c>
      <c r="I6" s="879" t="s">
        <v>5800</v>
      </c>
      <c r="J6" s="879" t="s">
        <v>5800</v>
      </c>
      <c r="K6" s="879" t="s">
        <v>5800</v>
      </c>
    </row>
    <row r="7" spans="1:11" s="879" customFormat="1" x14ac:dyDescent="0.25">
      <c r="B7" s="881"/>
      <c r="C7" s="593"/>
    </row>
    <row r="8" spans="1:11" x14ac:dyDescent="0.25">
      <c r="A8" s="593" t="s">
        <v>5784</v>
      </c>
      <c r="B8" s="881">
        <v>14719612</v>
      </c>
      <c r="C8" s="593" t="s">
        <v>4793</v>
      </c>
      <c r="D8" s="879" t="s">
        <v>5800</v>
      </c>
      <c r="E8" s="879" t="s">
        <v>5800</v>
      </c>
      <c r="F8" s="879" t="s">
        <v>5800</v>
      </c>
      <c r="I8" s="879" t="s">
        <v>5800</v>
      </c>
      <c r="J8" s="879" t="s">
        <v>5800</v>
      </c>
      <c r="K8" s="879" t="s">
        <v>5800</v>
      </c>
    </row>
    <row r="9" spans="1:11" x14ac:dyDescent="0.25">
      <c r="A9" s="593" t="s">
        <v>5784</v>
      </c>
      <c r="B9" s="881">
        <v>24565372</v>
      </c>
      <c r="C9" s="593" t="s">
        <v>4906</v>
      </c>
      <c r="D9" s="879" t="s">
        <v>5800</v>
      </c>
      <c r="E9" s="879" t="s">
        <v>5800</v>
      </c>
      <c r="F9" s="879" t="s">
        <v>5800</v>
      </c>
      <c r="I9" s="879" t="s">
        <v>5800</v>
      </c>
      <c r="J9" s="879" t="s">
        <v>5800</v>
      </c>
      <c r="K9" s="879" t="s">
        <v>5800</v>
      </c>
    </row>
    <row r="10" spans="1:11" x14ac:dyDescent="0.25">
      <c r="A10" s="593" t="s">
        <v>5784</v>
      </c>
      <c r="B10" s="881">
        <v>11798459</v>
      </c>
      <c r="C10" s="593" t="s">
        <v>4666</v>
      </c>
      <c r="D10" s="879" t="s">
        <v>5801</v>
      </c>
      <c r="E10" s="879" t="s">
        <v>5801</v>
      </c>
      <c r="F10" s="879" t="s">
        <v>5800</v>
      </c>
    </row>
    <row r="11" spans="1:11" x14ac:dyDescent="0.25">
      <c r="B11" s="881"/>
    </row>
    <row r="12" spans="1:11" x14ac:dyDescent="0.25">
      <c r="A12" s="593" t="s">
        <v>5784</v>
      </c>
      <c r="B12" s="881">
        <v>9162243</v>
      </c>
      <c r="C12" s="593" t="s">
        <v>4698</v>
      </c>
      <c r="D12" s="879" t="s">
        <v>5801</v>
      </c>
      <c r="E12" s="879" t="s">
        <v>5800</v>
      </c>
      <c r="F12" s="879" t="s">
        <v>5801</v>
      </c>
    </row>
    <row r="13" spans="1:11" x14ac:dyDescent="0.25">
      <c r="A13" s="593" t="s">
        <v>5784</v>
      </c>
      <c r="B13" s="881">
        <v>11318697</v>
      </c>
      <c r="C13" s="593" t="s">
        <v>4742</v>
      </c>
      <c r="D13" s="879" t="s">
        <v>5801</v>
      </c>
      <c r="E13" s="879" t="s">
        <v>5800</v>
      </c>
      <c r="F13" s="879" t="s">
        <v>5801</v>
      </c>
    </row>
    <row r="14" spans="1:11" x14ac:dyDescent="0.25">
      <c r="A14" s="593" t="s">
        <v>5784</v>
      </c>
      <c r="B14" s="881">
        <v>16883267</v>
      </c>
      <c r="C14" s="593" t="s">
        <v>4831</v>
      </c>
      <c r="D14" s="879" t="s">
        <v>5801</v>
      </c>
      <c r="E14" s="879" t="s">
        <v>5800</v>
      </c>
      <c r="F14" s="879" t="s">
        <v>5801</v>
      </c>
    </row>
    <row r="15" spans="1:11" x14ac:dyDescent="0.25">
      <c r="A15" s="593" t="s">
        <v>5784</v>
      </c>
      <c r="B15" s="881">
        <v>23782360</v>
      </c>
      <c r="C15" s="593" t="s">
        <v>4901</v>
      </c>
      <c r="D15" s="879" t="s">
        <v>5801</v>
      </c>
      <c r="E15" s="879" t="s">
        <v>5800</v>
      </c>
      <c r="F15" s="879" t="s">
        <v>5801</v>
      </c>
    </row>
    <row r="16" spans="1:11" x14ac:dyDescent="0.25">
      <c r="A16" s="593" t="s">
        <v>5783</v>
      </c>
      <c r="B16" s="881">
        <v>14719205</v>
      </c>
      <c r="C16" s="593" t="s">
        <v>5016</v>
      </c>
      <c r="D16" s="879" t="s">
        <v>5801</v>
      </c>
      <c r="E16" s="879" t="s">
        <v>5800</v>
      </c>
      <c r="F16" s="879" t="s">
        <v>5801</v>
      </c>
    </row>
    <row r="17" spans="1:11" x14ac:dyDescent="0.25">
      <c r="B17" s="881"/>
      <c r="D17" s="879"/>
      <c r="E17" s="879"/>
      <c r="F17" s="879"/>
    </row>
    <row r="18" spans="1:11" x14ac:dyDescent="0.25">
      <c r="A18" s="593" t="s">
        <v>5784</v>
      </c>
      <c r="B18" s="881">
        <v>9328224</v>
      </c>
      <c r="C18" s="593" t="s">
        <v>4709</v>
      </c>
      <c r="D18" s="879"/>
      <c r="E18" s="879"/>
      <c r="F18" s="879"/>
      <c r="H18" s="593" t="s">
        <v>5801</v>
      </c>
    </row>
    <row r="19" spans="1:11" x14ac:dyDescent="0.25">
      <c r="A19" s="593" t="s">
        <v>5928</v>
      </c>
      <c r="B19" s="881">
        <v>11320533</v>
      </c>
      <c r="C19" s="593" t="s">
        <v>4744</v>
      </c>
      <c r="D19" s="879"/>
      <c r="E19" s="879"/>
      <c r="F19" s="879"/>
      <c r="H19" s="593" t="s">
        <v>5801</v>
      </c>
    </row>
    <row r="20" spans="1:11" x14ac:dyDescent="0.25">
      <c r="A20" s="593" t="s">
        <v>5784</v>
      </c>
      <c r="B20" s="881">
        <v>14599252</v>
      </c>
      <c r="C20" s="593" t="s">
        <v>4790</v>
      </c>
      <c r="H20" s="593" t="s">
        <v>5801</v>
      </c>
    </row>
    <row r="21" spans="1:11" x14ac:dyDescent="0.25">
      <c r="A21" s="593" t="s">
        <v>5784</v>
      </c>
      <c r="B21" s="881">
        <v>16376698</v>
      </c>
      <c r="C21" s="593" t="s">
        <v>4821</v>
      </c>
      <c r="H21" s="593" t="s">
        <v>5801</v>
      </c>
    </row>
    <row r="22" spans="1:11" x14ac:dyDescent="0.25">
      <c r="A22" s="593" t="s">
        <v>5783</v>
      </c>
      <c r="B22" s="881">
        <v>9110498</v>
      </c>
      <c r="C22" s="593" t="s">
        <v>4969</v>
      </c>
      <c r="G22" s="593" t="s">
        <v>5801</v>
      </c>
    </row>
    <row r="23" spans="1:11" x14ac:dyDescent="0.25">
      <c r="A23" s="593" t="s">
        <v>5783</v>
      </c>
      <c r="B23" s="881">
        <v>11129355</v>
      </c>
      <c r="C23" s="593" t="s">
        <v>4988</v>
      </c>
      <c r="H23" s="593" t="s">
        <v>5801</v>
      </c>
    </row>
    <row r="24" spans="1:11" x14ac:dyDescent="0.25">
      <c r="B24" s="881"/>
    </row>
    <row r="25" spans="1:11" x14ac:dyDescent="0.25">
      <c r="A25" s="593" t="s">
        <v>5784</v>
      </c>
      <c r="B25" s="881">
        <v>5762861</v>
      </c>
      <c r="C25" s="593" t="s">
        <v>4691</v>
      </c>
      <c r="I25" s="593" t="s">
        <v>5800</v>
      </c>
      <c r="J25" s="593" t="s">
        <v>5800</v>
      </c>
      <c r="K25" s="593" t="s">
        <v>5801</v>
      </c>
    </row>
    <row r="26" spans="1:11" x14ac:dyDescent="0.25">
      <c r="A26" s="593" t="s">
        <v>5784</v>
      </c>
      <c r="B26" s="881">
        <v>9177323</v>
      </c>
      <c r="C26" s="593" t="s">
        <v>4700</v>
      </c>
      <c r="I26" s="593" t="s">
        <v>5800</v>
      </c>
      <c r="J26" s="593" t="s">
        <v>5800</v>
      </c>
      <c r="K26" s="593" t="s">
        <v>5801</v>
      </c>
    </row>
    <row r="27" spans="1:11" x14ac:dyDescent="0.25">
      <c r="A27" s="593" t="s">
        <v>5783</v>
      </c>
      <c r="B27" s="881">
        <v>5757455</v>
      </c>
      <c r="C27" s="593" t="s">
        <v>4960</v>
      </c>
      <c r="I27" s="593" t="s">
        <v>5800</v>
      </c>
      <c r="J27" s="593" t="s">
        <v>5800</v>
      </c>
      <c r="K27" s="593" t="s">
        <v>5801</v>
      </c>
    </row>
    <row r="28" spans="1:11" x14ac:dyDescent="0.25">
      <c r="A28" s="593" t="s">
        <v>5783</v>
      </c>
      <c r="B28" s="881">
        <v>9011963</v>
      </c>
      <c r="C28" s="593" t="s">
        <v>4967</v>
      </c>
      <c r="I28" s="593" t="s">
        <v>5800</v>
      </c>
      <c r="J28" s="593" t="s">
        <v>5800</v>
      </c>
      <c r="K28" s="593" t="s">
        <v>5801</v>
      </c>
    </row>
    <row r="29" spans="1:11" x14ac:dyDescent="0.25">
      <c r="B29" s="881"/>
    </row>
    <row r="30" spans="1:11" x14ac:dyDescent="0.25">
      <c r="B30" s="881"/>
    </row>
    <row r="31" spans="1:11" x14ac:dyDescent="0.25">
      <c r="B31" s="881"/>
    </row>
    <row r="32" spans="1:11" x14ac:dyDescent="0.25">
      <c r="B32" s="881"/>
    </row>
    <row r="33" spans="2:2" x14ac:dyDescent="0.25">
      <c r="B33" s="881"/>
    </row>
    <row r="34" spans="2:2" x14ac:dyDescent="0.25">
      <c r="B34" s="881"/>
    </row>
    <row r="35" spans="2:2" x14ac:dyDescent="0.25">
      <c r="B35" s="881"/>
    </row>
  </sheetData>
  <pageMargins left="0.7" right="0.7" top="0.75" bottom="0.75" header="0.3" footer="0.3"/>
  <pageSetup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V79"/>
  <sheetViews>
    <sheetView view="pageBreakPreview" topLeftCell="A31" zoomScale="57" zoomScaleNormal="70" zoomScaleSheetLayoutView="57" workbookViewId="0">
      <selection activeCell="A4" sqref="A4"/>
    </sheetView>
  </sheetViews>
  <sheetFormatPr baseColWidth="10" defaultRowHeight="15" x14ac:dyDescent="0.25"/>
  <cols>
    <col min="1" max="1" width="6.7109375" style="364" customWidth="1"/>
    <col min="2" max="2" width="20.42578125" style="364" customWidth="1"/>
    <col min="3" max="3" width="16.7109375" style="364" customWidth="1"/>
    <col min="4" max="4" width="20.7109375" style="364" customWidth="1"/>
    <col min="5" max="5" width="13.5703125" style="364" customWidth="1"/>
    <col min="6" max="6" width="18.28515625" style="364" customWidth="1"/>
    <col min="7" max="7" width="12.85546875" style="364" customWidth="1"/>
    <col min="8" max="8" width="21.42578125" style="364" customWidth="1"/>
    <col min="9" max="12" width="13.5703125" style="364" customWidth="1"/>
    <col min="13" max="13" width="15.5703125" style="364" customWidth="1"/>
    <col min="14" max="14" width="18" style="364" customWidth="1"/>
    <col min="15" max="15" width="18.28515625" style="364" customWidth="1"/>
    <col min="16" max="16" width="23.140625" style="364" customWidth="1"/>
    <col min="17" max="17" width="18.28515625" style="364" customWidth="1"/>
    <col min="18" max="18" width="23.140625" style="364" customWidth="1"/>
    <col min="19" max="19" width="20" style="364" customWidth="1"/>
    <col min="20" max="20" width="26.140625" style="364" hidden="1" customWidth="1"/>
    <col min="21" max="21" width="11.42578125" style="364" customWidth="1"/>
    <col min="22" max="22" width="21" style="364" customWidth="1"/>
    <col min="23" max="256" width="11.42578125" style="364"/>
    <col min="257" max="257" width="6.7109375" style="364" customWidth="1"/>
    <col min="258" max="258" width="20.42578125" style="364" customWidth="1"/>
    <col min="259" max="259" width="14.42578125" style="364" customWidth="1"/>
    <col min="260" max="260" width="20.7109375" style="364" customWidth="1"/>
    <col min="261" max="261" width="13.5703125" style="364" customWidth="1"/>
    <col min="262" max="262" width="18.28515625" style="364" customWidth="1"/>
    <col min="263" max="263" width="12.85546875" style="364" customWidth="1"/>
    <col min="264" max="264" width="21.42578125" style="364" customWidth="1"/>
    <col min="265" max="268" width="13.5703125" style="364" customWidth="1"/>
    <col min="269" max="269" width="15.5703125" style="364" customWidth="1"/>
    <col min="270" max="270" width="18" style="364" customWidth="1"/>
    <col min="271" max="271" width="18.28515625" style="364" customWidth="1"/>
    <col min="272" max="272" width="23.140625" style="364" customWidth="1"/>
    <col min="273" max="273" width="18.28515625" style="364" customWidth="1"/>
    <col min="274" max="274" width="23.140625" style="364" customWidth="1"/>
    <col min="275" max="275" width="20" style="364" customWidth="1"/>
    <col min="276" max="276" width="0" style="364" hidden="1" customWidth="1"/>
    <col min="277" max="277" width="11.42578125" style="364" customWidth="1"/>
    <col min="278" max="278" width="21" style="364" customWidth="1"/>
    <col min="279" max="512" width="11.42578125" style="364"/>
    <col min="513" max="513" width="6.7109375" style="364" customWidth="1"/>
    <col min="514" max="514" width="20.42578125" style="364" customWidth="1"/>
    <col min="515" max="515" width="14.42578125" style="364" customWidth="1"/>
    <col min="516" max="516" width="20.7109375" style="364" customWidth="1"/>
    <col min="517" max="517" width="13.5703125" style="364" customWidth="1"/>
    <col min="518" max="518" width="18.28515625" style="364" customWidth="1"/>
    <col min="519" max="519" width="12.85546875" style="364" customWidth="1"/>
    <col min="520" max="520" width="21.42578125" style="364" customWidth="1"/>
    <col min="521" max="524" width="13.5703125" style="364" customWidth="1"/>
    <col min="525" max="525" width="15.5703125" style="364" customWidth="1"/>
    <col min="526" max="526" width="18" style="364" customWidth="1"/>
    <col min="527" max="527" width="18.28515625" style="364" customWidth="1"/>
    <col min="528" max="528" width="23.140625" style="364" customWidth="1"/>
    <col min="529" max="529" width="18.28515625" style="364" customWidth="1"/>
    <col min="530" max="530" width="23.140625" style="364" customWidth="1"/>
    <col min="531" max="531" width="20" style="364" customWidth="1"/>
    <col min="532" max="532" width="0" style="364" hidden="1" customWidth="1"/>
    <col min="533" max="533" width="11.42578125" style="364" customWidth="1"/>
    <col min="534" max="534" width="21" style="364" customWidth="1"/>
    <col min="535" max="768" width="11.42578125" style="364"/>
    <col min="769" max="769" width="6.7109375" style="364" customWidth="1"/>
    <col min="770" max="770" width="20.42578125" style="364" customWidth="1"/>
    <col min="771" max="771" width="14.42578125" style="364" customWidth="1"/>
    <col min="772" max="772" width="20.7109375" style="364" customWidth="1"/>
    <col min="773" max="773" width="13.5703125" style="364" customWidth="1"/>
    <col min="774" max="774" width="18.28515625" style="364" customWidth="1"/>
    <col min="775" max="775" width="12.85546875" style="364" customWidth="1"/>
    <col min="776" max="776" width="21.42578125" style="364" customWidth="1"/>
    <col min="777" max="780" width="13.5703125" style="364" customWidth="1"/>
    <col min="781" max="781" width="15.5703125" style="364" customWidth="1"/>
    <col min="782" max="782" width="18" style="364" customWidth="1"/>
    <col min="783" max="783" width="18.28515625" style="364" customWidth="1"/>
    <col min="784" max="784" width="23.140625" style="364" customWidth="1"/>
    <col min="785" max="785" width="18.28515625" style="364" customWidth="1"/>
    <col min="786" max="786" width="23.140625" style="364" customWidth="1"/>
    <col min="787" max="787" width="20" style="364" customWidth="1"/>
    <col min="788" max="788" width="0" style="364" hidden="1" customWidth="1"/>
    <col min="789" max="789" width="11.42578125" style="364" customWidth="1"/>
    <col min="790" max="790" width="21" style="364" customWidth="1"/>
    <col min="791" max="1024" width="11.42578125" style="364"/>
    <col min="1025" max="1025" width="6.7109375" style="364" customWidth="1"/>
    <col min="1026" max="1026" width="20.42578125" style="364" customWidth="1"/>
    <col min="1027" max="1027" width="14.42578125" style="364" customWidth="1"/>
    <col min="1028" max="1028" width="20.7109375" style="364" customWidth="1"/>
    <col min="1029" max="1029" width="13.5703125" style="364" customWidth="1"/>
    <col min="1030" max="1030" width="18.28515625" style="364" customWidth="1"/>
    <col min="1031" max="1031" width="12.85546875" style="364" customWidth="1"/>
    <col min="1032" max="1032" width="21.42578125" style="364" customWidth="1"/>
    <col min="1033" max="1036" width="13.5703125" style="364" customWidth="1"/>
    <col min="1037" max="1037" width="15.5703125" style="364" customWidth="1"/>
    <col min="1038" max="1038" width="18" style="364" customWidth="1"/>
    <col min="1039" max="1039" width="18.28515625" style="364" customWidth="1"/>
    <col min="1040" max="1040" width="23.140625" style="364" customWidth="1"/>
    <col min="1041" max="1041" width="18.28515625" style="364" customWidth="1"/>
    <col min="1042" max="1042" width="23.140625" style="364" customWidth="1"/>
    <col min="1043" max="1043" width="20" style="364" customWidth="1"/>
    <col min="1044" max="1044" width="0" style="364" hidden="1" customWidth="1"/>
    <col min="1045" max="1045" width="11.42578125" style="364" customWidth="1"/>
    <col min="1046" max="1046" width="21" style="364" customWidth="1"/>
    <col min="1047" max="1280" width="11.42578125" style="364"/>
    <col min="1281" max="1281" width="6.7109375" style="364" customWidth="1"/>
    <col min="1282" max="1282" width="20.42578125" style="364" customWidth="1"/>
    <col min="1283" max="1283" width="14.42578125" style="364" customWidth="1"/>
    <col min="1284" max="1284" width="20.7109375" style="364" customWidth="1"/>
    <col min="1285" max="1285" width="13.5703125" style="364" customWidth="1"/>
    <col min="1286" max="1286" width="18.28515625" style="364" customWidth="1"/>
    <col min="1287" max="1287" width="12.85546875" style="364" customWidth="1"/>
    <col min="1288" max="1288" width="21.42578125" style="364" customWidth="1"/>
    <col min="1289" max="1292" width="13.5703125" style="364" customWidth="1"/>
    <col min="1293" max="1293" width="15.5703125" style="364" customWidth="1"/>
    <col min="1294" max="1294" width="18" style="364" customWidth="1"/>
    <col min="1295" max="1295" width="18.28515625" style="364" customWidth="1"/>
    <col min="1296" max="1296" width="23.140625" style="364" customWidth="1"/>
    <col min="1297" max="1297" width="18.28515625" style="364" customWidth="1"/>
    <col min="1298" max="1298" width="23.140625" style="364" customWidth="1"/>
    <col min="1299" max="1299" width="20" style="364" customWidth="1"/>
    <col min="1300" max="1300" width="0" style="364" hidden="1" customWidth="1"/>
    <col min="1301" max="1301" width="11.42578125" style="364" customWidth="1"/>
    <col min="1302" max="1302" width="21" style="364" customWidth="1"/>
    <col min="1303" max="1536" width="11.42578125" style="364"/>
    <col min="1537" max="1537" width="6.7109375" style="364" customWidth="1"/>
    <col min="1538" max="1538" width="20.42578125" style="364" customWidth="1"/>
    <col min="1539" max="1539" width="14.42578125" style="364" customWidth="1"/>
    <col min="1540" max="1540" width="20.7109375" style="364" customWidth="1"/>
    <col min="1541" max="1541" width="13.5703125" style="364" customWidth="1"/>
    <col min="1542" max="1542" width="18.28515625" style="364" customWidth="1"/>
    <col min="1543" max="1543" width="12.85546875" style="364" customWidth="1"/>
    <col min="1544" max="1544" width="21.42578125" style="364" customWidth="1"/>
    <col min="1545" max="1548" width="13.5703125" style="364" customWidth="1"/>
    <col min="1549" max="1549" width="15.5703125" style="364" customWidth="1"/>
    <col min="1550" max="1550" width="18" style="364" customWidth="1"/>
    <col min="1551" max="1551" width="18.28515625" style="364" customWidth="1"/>
    <col min="1552" max="1552" width="23.140625" style="364" customWidth="1"/>
    <col min="1553" max="1553" width="18.28515625" style="364" customWidth="1"/>
    <col min="1554" max="1554" width="23.140625" style="364" customWidth="1"/>
    <col min="1555" max="1555" width="20" style="364" customWidth="1"/>
    <col min="1556" max="1556" width="0" style="364" hidden="1" customWidth="1"/>
    <col min="1557" max="1557" width="11.42578125" style="364" customWidth="1"/>
    <col min="1558" max="1558" width="21" style="364" customWidth="1"/>
    <col min="1559" max="1792" width="11.42578125" style="364"/>
    <col min="1793" max="1793" width="6.7109375" style="364" customWidth="1"/>
    <col min="1794" max="1794" width="20.42578125" style="364" customWidth="1"/>
    <col min="1795" max="1795" width="14.42578125" style="364" customWidth="1"/>
    <col min="1796" max="1796" width="20.7109375" style="364" customWidth="1"/>
    <col min="1797" max="1797" width="13.5703125" style="364" customWidth="1"/>
    <col min="1798" max="1798" width="18.28515625" style="364" customWidth="1"/>
    <col min="1799" max="1799" width="12.85546875" style="364" customWidth="1"/>
    <col min="1800" max="1800" width="21.42578125" style="364" customWidth="1"/>
    <col min="1801" max="1804" width="13.5703125" style="364" customWidth="1"/>
    <col min="1805" max="1805" width="15.5703125" style="364" customWidth="1"/>
    <col min="1806" max="1806" width="18" style="364" customWidth="1"/>
    <col min="1807" max="1807" width="18.28515625" style="364" customWidth="1"/>
    <col min="1808" max="1808" width="23.140625" style="364" customWidth="1"/>
    <col min="1809" max="1809" width="18.28515625" style="364" customWidth="1"/>
    <col min="1810" max="1810" width="23.140625" style="364" customWidth="1"/>
    <col min="1811" max="1811" width="20" style="364" customWidth="1"/>
    <col min="1812" max="1812" width="0" style="364" hidden="1" customWidth="1"/>
    <col min="1813" max="1813" width="11.42578125" style="364" customWidth="1"/>
    <col min="1814" max="1814" width="21" style="364" customWidth="1"/>
    <col min="1815" max="2048" width="11.42578125" style="364"/>
    <col min="2049" max="2049" width="6.7109375" style="364" customWidth="1"/>
    <col min="2050" max="2050" width="20.42578125" style="364" customWidth="1"/>
    <col min="2051" max="2051" width="14.42578125" style="364" customWidth="1"/>
    <col min="2052" max="2052" width="20.7109375" style="364" customWidth="1"/>
    <col min="2053" max="2053" width="13.5703125" style="364" customWidth="1"/>
    <col min="2054" max="2054" width="18.28515625" style="364" customWidth="1"/>
    <col min="2055" max="2055" width="12.85546875" style="364" customWidth="1"/>
    <col min="2056" max="2056" width="21.42578125" style="364" customWidth="1"/>
    <col min="2057" max="2060" width="13.5703125" style="364" customWidth="1"/>
    <col min="2061" max="2061" width="15.5703125" style="364" customWidth="1"/>
    <col min="2062" max="2062" width="18" style="364" customWidth="1"/>
    <col min="2063" max="2063" width="18.28515625" style="364" customWidth="1"/>
    <col min="2064" max="2064" width="23.140625" style="364" customWidth="1"/>
    <col min="2065" max="2065" width="18.28515625" style="364" customWidth="1"/>
    <col min="2066" max="2066" width="23.140625" style="364" customWidth="1"/>
    <col min="2067" max="2067" width="20" style="364" customWidth="1"/>
    <col min="2068" max="2068" width="0" style="364" hidden="1" customWidth="1"/>
    <col min="2069" max="2069" width="11.42578125" style="364" customWidth="1"/>
    <col min="2070" max="2070" width="21" style="364" customWidth="1"/>
    <col min="2071" max="2304" width="11.42578125" style="364"/>
    <col min="2305" max="2305" width="6.7109375" style="364" customWidth="1"/>
    <col min="2306" max="2306" width="20.42578125" style="364" customWidth="1"/>
    <col min="2307" max="2307" width="14.42578125" style="364" customWidth="1"/>
    <col min="2308" max="2308" width="20.7109375" style="364" customWidth="1"/>
    <col min="2309" max="2309" width="13.5703125" style="364" customWidth="1"/>
    <col min="2310" max="2310" width="18.28515625" style="364" customWidth="1"/>
    <col min="2311" max="2311" width="12.85546875" style="364" customWidth="1"/>
    <col min="2312" max="2312" width="21.42578125" style="364" customWidth="1"/>
    <col min="2313" max="2316" width="13.5703125" style="364" customWidth="1"/>
    <col min="2317" max="2317" width="15.5703125" style="364" customWidth="1"/>
    <col min="2318" max="2318" width="18" style="364" customWidth="1"/>
    <col min="2319" max="2319" width="18.28515625" style="364" customWidth="1"/>
    <col min="2320" max="2320" width="23.140625" style="364" customWidth="1"/>
    <col min="2321" max="2321" width="18.28515625" style="364" customWidth="1"/>
    <col min="2322" max="2322" width="23.140625" style="364" customWidth="1"/>
    <col min="2323" max="2323" width="20" style="364" customWidth="1"/>
    <col min="2324" max="2324" width="0" style="364" hidden="1" customWidth="1"/>
    <col min="2325" max="2325" width="11.42578125" style="364" customWidth="1"/>
    <col min="2326" max="2326" width="21" style="364" customWidth="1"/>
    <col min="2327" max="2560" width="11.42578125" style="364"/>
    <col min="2561" max="2561" width="6.7109375" style="364" customWidth="1"/>
    <col min="2562" max="2562" width="20.42578125" style="364" customWidth="1"/>
    <col min="2563" max="2563" width="14.42578125" style="364" customWidth="1"/>
    <col min="2564" max="2564" width="20.7109375" style="364" customWidth="1"/>
    <col min="2565" max="2565" width="13.5703125" style="364" customWidth="1"/>
    <col min="2566" max="2566" width="18.28515625" style="364" customWidth="1"/>
    <col min="2567" max="2567" width="12.85546875" style="364" customWidth="1"/>
    <col min="2568" max="2568" width="21.42578125" style="364" customWidth="1"/>
    <col min="2569" max="2572" width="13.5703125" style="364" customWidth="1"/>
    <col min="2573" max="2573" width="15.5703125" style="364" customWidth="1"/>
    <col min="2574" max="2574" width="18" style="364" customWidth="1"/>
    <col min="2575" max="2575" width="18.28515625" style="364" customWidth="1"/>
    <col min="2576" max="2576" width="23.140625" style="364" customWidth="1"/>
    <col min="2577" max="2577" width="18.28515625" style="364" customWidth="1"/>
    <col min="2578" max="2578" width="23.140625" style="364" customWidth="1"/>
    <col min="2579" max="2579" width="20" style="364" customWidth="1"/>
    <col min="2580" max="2580" width="0" style="364" hidden="1" customWidth="1"/>
    <col min="2581" max="2581" width="11.42578125" style="364" customWidth="1"/>
    <col min="2582" max="2582" width="21" style="364" customWidth="1"/>
    <col min="2583" max="2816" width="11.42578125" style="364"/>
    <col min="2817" max="2817" width="6.7109375" style="364" customWidth="1"/>
    <col min="2818" max="2818" width="20.42578125" style="364" customWidth="1"/>
    <col min="2819" max="2819" width="14.42578125" style="364" customWidth="1"/>
    <col min="2820" max="2820" width="20.7109375" style="364" customWidth="1"/>
    <col min="2821" max="2821" width="13.5703125" style="364" customWidth="1"/>
    <col min="2822" max="2822" width="18.28515625" style="364" customWidth="1"/>
    <col min="2823" max="2823" width="12.85546875" style="364" customWidth="1"/>
    <col min="2824" max="2824" width="21.42578125" style="364" customWidth="1"/>
    <col min="2825" max="2828" width="13.5703125" style="364" customWidth="1"/>
    <col min="2829" max="2829" width="15.5703125" style="364" customWidth="1"/>
    <col min="2830" max="2830" width="18" style="364" customWidth="1"/>
    <col min="2831" max="2831" width="18.28515625" style="364" customWidth="1"/>
    <col min="2832" max="2832" width="23.140625" style="364" customWidth="1"/>
    <col min="2833" max="2833" width="18.28515625" style="364" customWidth="1"/>
    <col min="2834" max="2834" width="23.140625" style="364" customWidth="1"/>
    <col min="2835" max="2835" width="20" style="364" customWidth="1"/>
    <col min="2836" max="2836" width="0" style="364" hidden="1" customWidth="1"/>
    <col min="2837" max="2837" width="11.42578125" style="364" customWidth="1"/>
    <col min="2838" max="2838" width="21" style="364" customWidth="1"/>
    <col min="2839" max="3072" width="11.42578125" style="364"/>
    <col min="3073" max="3073" width="6.7109375" style="364" customWidth="1"/>
    <col min="3074" max="3074" width="20.42578125" style="364" customWidth="1"/>
    <col min="3075" max="3075" width="14.42578125" style="364" customWidth="1"/>
    <col min="3076" max="3076" width="20.7109375" style="364" customWidth="1"/>
    <col min="3077" max="3077" width="13.5703125" style="364" customWidth="1"/>
    <col min="3078" max="3078" width="18.28515625" style="364" customWidth="1"/>
    <col min="3079" max="3079" width="12.85546875" style="364" customWidth="1"/>
    <col min="3080" max="3080" width="21.42578125" style="364" customWidth="1"/>
    <col min="3081" max="3084" width="13.5703125" style="364" customWidth="1"/>
    <col min="3085" max="3085" width="15.5703125" style="364" customWidth="1"/>
    <col min="3086" max="3086" width="18" style="364" customWidth="1"/>
    <col min="3087" max="3087" width="18.28515625" style="364" customWidth="1"/>
    <col min="3088" max="3088" width="23.140625" style="364" customWidth="1"/>
    <col min="3089" max="3089" width="18.28515625" style="364" customWidth="1"/>
    <col min="3090" max="3090" width="23.140625" style="364" customWidth="1"/>
    <col min="3091" max="3091" width="20" style="364" customWidth="1"/>
    <col min="3092" max="3092" width="0" style="364" hidden="1" customWidth="1"/>
    <col min="3093" max="3093" width="11.42578125" style="364" customWidth="1"/>
    <col min="3094" max="3094" width="21" style="364" customWidth="1"/>
    <col min="3095" max="3328" width="11.42578125" style="364"/>
    <col min="3329" max="3329" width="6.7109375" style="364" customWidth="1"/>
    <col min="3330" max="3330" width="20.42578125" style="364" customWidth="1"/>
    <col min="3331" max="3331" width="14.42578125" style="364" customWidth="1"/>
    <col min="3332" max="3332" width="20.7109375" style="364" customWidth="1"/>
    <col min="3333" max="3333" width="13.5703125" style="364" customWidth="1"/>
    <col min="3334" max="3334" width="18.28515625" style="364" customWidth="1"/>
    <col min="3335" max="3335" width="12.85546875" style="364" customWidth="1"/>
    <col min="3336" max="3336" width="21.42578125" style="364" customWidth="1"/>
    <col min="3337" max="3340" width="13.5703125" style="364" customWidth="1"/>
    <col min="3341" max="3341" width="15.5703125" style="364" customWidth="1"/>
    <col min="3342" max="3342" width="18" style="364" customWidth="1"/>
    <col min="3343" max="3343" width="18.28515625" style="364" customWidth="1"/>
    <col min="3344" max="3344" width="23.140625" style="364" customWidth="1"/>
    <col min="3345" max="3345" width="18.28515625" style="364" customWidth="1"/>
    <col min="3346" max="3346" width="23.140625" style="364" customWidth="1"/>
    <col min="3347" max="3347" width="20" style="364" customWidth="1"/>
    <col min="3348" max="3348" width="0" style="364" hidden="1" customWidth="1"/>
    <col min="3349" max="3349" width="11.42578125" style="364" customWidth="1"/>
    <col min="3350" max="3350" width="21" style="364" customWidth="1"/>
    <col min="3351" max="3584" width="11.42578125" style="364"/>
    <col min="3585" max="3585" width="6.7109375" style="364" customWidth="1"/>
    <col min="3586" max="3586" width="20.42578125" style="364" customWidth="1"/>
    <col min="3587" max="3587" width="14.42578125" style="364" customWidth="1"/>
    <col min="3588" max="3588" width="20.7109375" style="364" customWidth="1"/>
    <col min="3589" max="3589" width="13.5703125" style="364" customWidth="1"/>
    <col min="3590" max="3590" width="18.28515625" style="364" customWidth="1"/>
    <col min="3591" max="3591" width="12.85546875" style="364" customWidth="1"/>
    <col min="3592" max="3592" width="21.42578125" style="364" customWidth="1"/>
    <col min="3593" max="3596" width="13.5703125" style="364" customWidth="1"/>
    <col min="3597" max="3597" width="15.5703125" style="364" customWidth="1"/>
    <col min="3598" max="3598" width="18" style="364" customWidth="1"/>
    <col min="3599" max="3599" width="18.28515625" style="364" customWidth="1"/>
    <col min="3600" max="3600" width="23.140625" style="364" customWidth="1"/>
    <col min="3601" max="3601" width="18.28515625" style="364" customWidth="1"/>
    <col min="3602" max="3602" width="23.140625" style="364" customWidth="1"/>
    <col min="3603" max="3603" width="20" style="364" customWidth="1"/>
    <col min="3604" max="3604" width="0" style="364" hidden="1" customWidth="1"/>
    <col min="3605" max="3605" width="11.42578125" style="364" customWidth="1"/>
    <col min="3606" max="3606" width="21" style="364" customWidth="1"/>
    <col min="3607" max="3840" width="11.42578125" style="364"/>
    <col min="3841" max="3841" width="6.7109375" style="364" customWidth="1"/>
    <col min="3842" max="3842" width="20.42578125" style="364" customWidth="1"/>
    <col min="3843" max="3843" width="14.42578125" style="364" customWidth="1"/>
    <col min="3844" max="3844" width="20.7109375" style="364" customWidth="1"/>
    <col min="3845" max="3845" width="13.5703125" style="364" customWidth="1"/>
    <col min="3846" max="3846" width="18.28515625" style="364" customWidth="1"/>
    <col min="3847" max="3847" width="12.85546875" style="364" customWidth="1"/>
    <col min="3848" max="3848" width="21.42578125" style="364" customWidth="1"/>
    <col min="3849" max="3852" width="13.5703125" style="364" customWidth="1"/>
    <col min="3853" max="3853" width="15.5703125" style="364" customWidth="1"/>
    <col min="3854" max="3854" width="18" style="364" customWidth="1"/>
    <col min="3855" max="3855" width="18.28515625" style="364" customWidth="1"/>
    <col min="3856" max="3856" width="23.140625" style="364" customWidth="1"/>
    <col min="3857" max="3857" width="18.28515625" style="364" customWidth="1"/>
    <col min="3858" max="3858" width="23.140625" style="364" customWidth="1"/>
    <col min="3859" max="3859" width="20" style="364" customWidth="1"/>
    <col min="3860" max="3860" width="0" style="364" hidden="1" customWidth="1"/>
    <col min="3861" max="3861" width="11.42578125" style="364" customWidth="1"/>
    <col min="3862" max="3862" width="21" style="364" customWidth="1"/>
    <col min="3863" max="4096" width="11.42578125" style="364"/>
    <col min="4097" max="4097" width="6.7109375" style="364" customWidth="1"/>
    <col min="4098" max="4098" width="20.42578125" style="364" customWidth="1"/>
    <col min="4099" max="4099" width="14.42578125" style="364" customWidth="1"/>
    <col min="4100" max="4100" width="20.7109375" style="364" customWidth="1"/>
    <col min="4101" max="4101" width="13.5703125" style="364" customWidth="1"/>
    <col min="4102" max="4102" width="18.28515625" style="364" customWidth="1"/>
    <col min="4103" max="4103" width="12.85546875" style="364" customWidth="1"/>
    <col min="4104" max="4104" width="21.42578125" style="364" customWidth="1"/>
    <col min="4105" max="4108" width="13.5703125" style="364" customWidth="1"/>
    <col min="4109" max="4109" width="15.5703125" style="364" customWidth="1"/>
    <col min="4110" max="4110" width="18" style="364" customWidth="1"/>
    <col min="4111" max="4111" width="18.28515625" style="364" customWidth="1"/>
    <col min="4112" max="4112" width="23.140625" style="364" customWidth="1"/>
    <col min="4113" max="4113" width="18.28515625" style="364" customWidth="1"/>
    <col min="4114" max="4114" width="23.140625" style="364" customWidth="1"/>
    <col min="4115" max="4115" width="20" style="364" customWidth="1"/>
    <col min="4116" max="4116" width="0" style="364" hidden="1" customWidth="1"/>
    <col min="4117" max="4117" width="11.42578125" style="364" customWidth="1"/>
    <col min="4118" max="4118" width="21" style="364" customWidth="1"/>
    <col min="4119" max="4352" width="11.42578125" style="364"/>
    <col min="4353" max="4353" width="6.7109375" style="364" customWidth="1"/>
    <col min="4354" max="4354" width="20.42578125" style="364" customWidth="1"/>
    <col min="4355" max="4355" width="14.42578125" style="364" customWidth="1"/>
    <col min="4356" max="4356" width="20.7109375" style="364" customWidth="1"/>
    <col min="4357" max="4357" width="13.5703125" style="364" customWidth="1"/>
    <col min="4358" max="4358" width="18.28515625" style="364" customWidth="1"/>
    <col min="4359" max="4359" width="12.85546875" style="364" customWidth="1"/>
    <col min="4360" max="4360" width="21.42578125" style="364" customWidth="1"/>
    <col min="4361" max="4364" width="13.5703125" style="364" customWidth="1"/>
    <col min="4365" max="4365" width="15.5703125" style="364" customWidth="1"/>
    <col min="4366" max="4366" width="18" style="364" customWidth="1"/>
    <col min="4367" max="4367" width="18.28515625" style="364" customWidth="1"/>
    <col min="4368" max="4368" width="23.140625" style="364" customWidth="1"/>
    <col min="4369" max="4369" width="18.28515625" style="364" customWidth="1"/>
    <col min="4370" max="4370" width="23.140625" style="364" customWidth="1"/>
    <col min="4371" max="4371" width="20" style="364" customWidth="1"/>
    <col min="4372" max="4372" width="0" style="364" hidden="1" customWidth="1"/>
    <col min="4373" max="4373" width="11.42578125" style="364" customWidth="1"/>
    <col min="4374" max="4374" width="21" style="364" customWidth="1"/>
    <col min="4375" max="4608" width="11.42578125" style="364"/>
    <col min="4609" max="4609" width="6.7109375" style="364" customWidth="1"/>
    <col min="4610" max="4610" width="20.42578125" style="364" customWidth="1"/>
    <col min="4611" max="4611" width="14.42578125" style="364" customWidth="1"/>
    <col min="4612" max="4612" width="20.7109375" style="364" customWidth="1"/>
    <col min="4613" max="4613" width="13.5703125" style="364" customWidth="1"/>
    <col min="4614" max="4614" width="18.28515625" style="364" customWidth="1"/>
    <col min="4615" max="4615" width="12.85546875" style="364" customWidth="1"/>
    <col min="4616" max="4616" width="21.42578125" style="364" customWidth="1"/>
    <col min="4617" max="4620" width="13.5703125" style="364" customWidth="1"/>
    <col min="4621" max="4621" width="15.5703125" style="364" customWidth="1"/>
    <col min="4622" max="4622" width="18" style="364" customWidth="1"/>
    <col min="4623" max="4623" width="18.28515625" style="364" customWidth="1"/>
    <col min="4624" max="4624" width="23.140625" style="364" customWidth="1"/>
    <col min="4625" max="4625" width="18.28515625" style="364" customWidth="1"/>
    <col min="4626" max="4626" width="23.140625" style="364" customWidth="1"/>
    <col min="4627" max="4627" width="20" style="364" customWidth="1"/>
    <col min="4628" max="4628" width="0" style="364" hidden="1" customWidth="1"/>
    <col min="4629" max="4629" width="11.42578125" style="364" customWidth="1"/>
    <col min="4630" max="4630" width="21" style="364" customWidth="1"/>
    <col min="4631" max="4864" width="11.42578125" style="364"/>
    <col min="4865" max="4865" width="6.7109375" style="364" customWidth="1"/>
    <col min="4866" max="4866" width="20.42578125" style="364" customWidth="1"/>
    <col min="4867" max="4867" width="14.42578125" style="364" customWidth="1"/>
    <col min="4868" max="4868" width="20.7109375" style="364" customWidth="1"/>
    <col min="4869" max="4869" width="13.5703125" style="364" customWidth="1"/>
    <col min="4870" max="4870" width="18.28515625" style="364" customWidth="1"/>
    <col min="4871" max="4871" width="12.85546875" style="364" customWidth="1"/>
    <col min="4872" max="4872" width="21.42578125" style="364" customWidth="1"/>
    <col min="4873" max="4876" width="13.5703125" style="364" customWidth="1"/>
    <col min="4877" max="4877" width="15.5703125" style="364" customWidth="1"/>
    <col min="4878" max="4878" width="18" style="364" customWidth="1"/>
    <col min="4879" max="4879" width="18.28515625" style="364" customWidth="1"/>
    <col min="4880" max="4880" width="23.140625" style="364" customWidth="1"/>
    <col min="4881" max="4881" width="18.28515625" style="364" customWidth="1"/>
    <col min="4882" max="4882" width="23.140625" style="364" customWidth="1"/>
    <col min="4883" max="4883" width="20" style="364" customWidth="1"/>
    <col min="4884" max="4884" width="0" style="364" hidden="1" customWidth="1"/>
    <col min="4885" max="4885" width="11.42578125" style="364" customWidth="1"/>
    <col min="4886" max="4886" width="21" style="364" customWidth="1"/>
    <col min="4887" max="5120" width="11.42578125" style="364"/>
    <col min="5121" max="5121" width="6.7109375" style="364" customWidth="1"/>
    <col min="5122" max="5122" width="20.42578125" style="364" customWidth="1"/>
    <col min="5123" max="5123" width="14.42578125" style="364" customWidth="1"/>
    <col min="5124" max="5124" width="20.7109375" style="364" customWidth="1"/>
    <col min="5125" max="5125" width="13.5703125" style="364" customWidth="1"/>
    <col min="5126" max="5126" width="18.28515625" style="364" customWidth="1"/>
    <col min="5127" max="5127" width="12.85546875" style="364" customWidth="1"/>
    <col min="5128" max="5128" width="21.42578125" style="364" customWidth="1"/>
    <col min="5129" max="5132" width="13.5703125" style="364" customWidth="1"/>
    <col min="5133" max="5133" width="15.5703125" style="364" customWidth="1"/>
    <col min="5134" max="5134" width="18" style="364" customWidth="1"/>
    <col min="5135" max="5135" width="18.28515625" style="364" customWidth="1"/>
    <col min="5136" max="5136" width="23.140625" style="364" customWidth="1"/>
    <col min="5137" max="5137" width="18.28515625" style="364" customWidth="1"/>
    <col min="5138" max="5138" width="23.140625" style="364" customWidth="1"/>
    <col min="5139" max="5139" width="20" style="364" customWidth="1"/>
    <col min="5140" max="5140" width="0" style="364" hidden="1" customWidth="1"/>
    <col min="5141" max="5141" width="11.42578125" style="364" customWidth="1"/>
    <col min="5142" max="5142" width="21" style="364" customWidth="1"/>
    <col min="5143" max="5376" width="11.42578125" style="364"/>
    <col min="5377" max="5377" width="6.7109375" style="364" customWidth="1"/>
    <col min="5378" max="5378" width="20.42578125" style="364" customWidth="1"/>
    <col min="5379" max="5379" width="14.42578125" style="364" customWidth="1"/>
    <col min="5380" max="5380" width="20.7109375" style="364" customWidth="1"/>
    <col min="5381" max="5381" width="13.5703125" style="364" customWidth="1"/>
    <col min="5382" max="5382" width="18.28515625" style="364" customWidth="1"/>
    <col min="5383" max="5383" width="12.85546875" style="364" customWidth="1"/>
    <col min="5384" max="5384" width="21.42578125" style="364" customWidth="1"/>
    <col min="5385" max="5388" width="13.5703125" style="364" customWidth="1"/>
    <col min="5389" max="5389" width="15.5703125" style="364" customWidth="1"/>
    <col min="5390" max="5390" width="18" style="364" customWidth="1"/>
    <col min="5391" max="5391" width="18.28515625" style="364" customWidth="1"/>
    <col min="5392" max="5392" width="23.140625" style="364" customWidth="1"/>
    <col min="5393" max="5393" width="18.28515625" style="364" customWidth="1"/>
    <col min="5394" max="5394" width="23.140625" style="364" customWidth="1"/>
    <col min="5395" max="5395" width="20" style="364" customWidth="1"/>
    <col min="5396" max="5396" width="0" style="364" hidden="1" customWidth="1"/>
    <col min="5397" max="5397" width="11.42578125" style="364" customWidth="1"/>
    <col min="5398" max="5398" width="21" style="364" customWidth="1"/>
    <col min="5399" max="5632" width="11.42578125" style="364"/>
    <col min="5633" max="5633" width="6.7109375" style="364" customWidth="1"/>
    <col min="5634" max="5634" width="20.42578125" style="364" customWidth="1"/>
    <col min="5635" max="5635" width="14.42578125" style="364" customWidth="1"/>
    <col min="5636" max="5636" width="20.7109375" style="364" customWidth="1"/>
    <col min="5637" max="5637" width="13.5703125" style="364" customWidth="1"/>
    <col min="5638" max="5638" width="18.28515625" style="364" customWidth="1"/>
    <col min="5639" max="5639" width="12.85546875" style="364" customWidth="1"/>
    <col min="5640" max="5640" width="21.42578125" style="364" customWidth="1"/>
    <col min="5641" max="5644" width="13.5703125" style="364" customWidth="1"/>
    <col min="5645" max="5645" width="15.5703125" style="364" customWidth="1"/>
    <col min="5646" max="5646" width="18" style="364" customWidth="1"/>
    <col min="5647" max="5647" width="18.28515625" style="364" customWidth="1"/>
    <col min="5648" max="5648" width="23.140625" style="364" customWidth="1"/>
    <col min="5649" max="5649" width="18.28515625" style="364" customWidth="1"/>
    <col min="5650" max="5650" width="23.140625" style="364" customWidth="1"/>
    <col min="5651" max="5651" width="20" style="364" customWidth="1"/>
    <col min="5652" max="5652" width="0" style="364" hidden="1" customWidth="1"/>
    <col min="5653" max="5653" width="11.42578125" style="364" customWidth="1"/>
    <col min="5654" max="5654" width="21" style="364" customWidth="1"/>
    <col min="5655" max="5888" width="11.42578125" style="364"/>
    <col min="5889" max="5889" width="6.7109375" style="364" customWidth="1"/>
    <col min="5890" max="5890" width="20.42578125" style="364" customWidth="1"/>
    <col min="5891" max="5891" width="14.42578125" style="364" customWidth="1"/>
    <col min="5892" max="5892" width="20.7109375" style="364" customWidth="1"/>
    <col min="5893" max="5893" width="13.5703125" style="364" customWidth="1"/>
    <col min="5894" max="5894" width="18.28515625" style="364" customWidth="1"/>
    <col min="5895" max="5895" width="12.85546875" style="364" customWidth="1"/>
    <col min="5896" max="5896" width="21.42578125" style="364" customWidth="1"/>
    <col min="5897" max="5900" width="13.5703125" style="364" customWidth="1"/>
    <col min="5901" max="5901" width="15.5703125" style="364" customWidth="1"/>
    <col min="5902" max="5902" width="18" style="364" customWidth="1"/>
    <col min="5903" max="5903" width="18.28515625" style="364" customWidth="1"/>
    <col min="5904" max="5904" width="23.140625" style="364" customWidth="1"/>
    <col min="5905" max="5905" width="18.28515625" style="364" customWidth="1"/>
    <col min="5906" max="5906" width="23.140625" style="364" customWidth="1"/>
    <col min="5907" max="5907" width="20" style="364" customWidth="1"/>
    <col min="5908" max="5908" width="0" style="364" hidden="1" customWidth="1"/>
    <col min="5909" max="5909" width="11.42578125" style="364" customWidth="1"/>
    <col min="5910" max="5910" width="21" style="364" customWidth="1"/>
    <col min="5911" max="6144" width="11.42578125" style="364"/>
    <col min="6145" max="6145" width="6.7109375" style="364" customWidth="1"/>
    <col min="6146" max="6146" width="20.42578125" style="364" customWidth="1"/>
    <col min="6147" max="6147" width="14.42578125" style="364" customWidth="1"/>
    <col min="6148" max="6148" width="20.7109375" style="364" customWidth="1"/>
    <col min="6149" max="6149" width="13.5703125" style="364" customWidth="1"/>
    <col min="6150" max="6150" width="18.28515625" style="364" customWidth="1"/>
    <col min="6151" max="6151" width="12.85546875" style="364" customWidth="1"/>
    <col min="6152" max="6152" width="21.42578125" style="364" customWidth="1"/>
    <col min="6153" max="6156" width="13.5703125" style="364" customWidth="1"/>
    <col min="6157" max="6157" width="15.5703125" style="364" customWidth="1"/>
    <col min="6158" max="6158" width="18" style="364" customWidth="1"/>
    <col min="6159" max="6159" width="18.28515625" style="364" customWidth="1"/>
    <col min="6160" max="6160" width="23.140625" style="364" customWidth="1"/>
    <col min="6161" max="6161" width="18.28515625" style="364" customWidth="1"/>
    <col min="6162" max="6162" width="23.140625" style="364" customWidth="1"/>
    <col min="6163" max="6163" width="20" style="364" customWidth="1"/>
    <col min="6164" max="6164" width="0" style="364" hidden="1" customWidth="1"/>
    <col min="6165" max="6165" width="11.42578125" style="364" customWidth="1"/>
    <col min="6166" max="6166" width="21" style="364" customWidth="1"/>
    <col min="6167" max="6400" width="11.42578125" style="364"/>
    <col min="6401" max="6401" width="6.7109375" style="364" customWidth="1"/>
    <col min="6402" max="6402" width="20.42578125" style="364" customWidth="1"/>
    <col min="6403" max="6403" width="14.42578125" style="364" customWidth="1"/>
    <col min="6404" max="6404" width="20.7109375" style="364" customWidth="1"/>
    <col min="6405" max="6405" width="13.5703125" style="364" customWidth="1"/>
    <col min="6406" max="6406" width="18.28515625" style="364" customWidth="1"/>
    <col min="6407" max="6407" width="12.85546875" style="364" customWidth="1"/>
    <col min="6408" max="6408" width="21.42578125" style="364" customWidth="1"/>
    <col min="6409" max="6412" width="13.5703125" style="364" customWidth="1"/>
    <col min="6413" max="6413" width="15.5703125" style="364" customWidth="1"/>
    <col min="6414" max="6414" width="18" style="364" customWidth="1"/>
    <col min="6415" max="6415" width="18.28515625" style="364" customWidth="1"/>
    <col min="6416" max="6416" width="23.140625" style="364" customWidth="1"/>
    <col min="6417" max="6417" width="18.28515625" style="364" customWidth="1"/>
    <col min="6418" max="6418" width="23.140625" style="364" customWidth="1"/>
    <col min="6419" max="6419" width="20" style="364" customWidth="1"/>
    <col min="6420" max="6420" width="0" style="364" hidden="1" customWidth="1"/>
    <col min="6421" max="6421" width="11.42578125" style="364" customWidth="1"/>
    <col min="6422" max="6422" width="21" style="364" customWidth="1"/>
    <col min="6423" max="6656" width="11.42578125" style="364"/>
    <col min="6657" max="6657" width="6.7109375" style="364" customWidth="1"/>
    <col min="6658" max="6658" width="20.42578125" style="364" customWidth="1"/>
    <col min="6659" max="6659" width="14.42578125" style="364" customWidth="1"/>
    <col min="6660" max="6660" width="20.7109375" style="364" customWidth="1"/>
    <col min="6661" max="6661" width="13.5703125" style="364" customWidth="1"/>
    <col min="6662" max="6662" width="18.28515625" style="364" customWidth="1"/>
    <col min="6663" max="6663" width="12.85546875" style="364" customWidth="1"/>
    <col min="6664" max="6664" width="21.42578125" style="364" customWidth="1"/>
    <col min="6665" max="6668" width="13.5703125" style="364" customWidth="1"/>
    <col min="6669" max="6669" width="15.5703125" style="364" customWidth="1"/>
    <col min="6670" max="6670" width="18" style="364" customWidth="1"/>
    <col min="6671" max="6671" width="18.28515625" style="364" customWidth="1"/>
    <col min="6672" max="6672" width="23.140625" style="364" customWidth="1"/>
    <col min="6673" max="6673" width="18.28515625" style="364" customWidth="1"/>
    <col min="6674" max="6674" width="23.140625" style="364" customWidth="1"/>
    <col min="6675" max="6675" width="20" style="364" customWidth="1"/>
    <col min="6676" max="6676" width="0" style="364" hidden="1" customWidth="1"/>
    <col min="6677" max="6677" width="11.42578125" style="364" customWidth="1"/>
    <col min="6678" max="6678" width="21" style="364" customWidth="1"/>
    <col min="6679" max="6912" width="11.42578125" style="364"/>
    <col min="6913" max="6913" width="6.7109375" style="364" customWidth="1"/>
    <col min="6914" max="6914" width="20.42578125" style="364" customWidth="1"/>
    <col min="6915" max="6915" width="14.42578125" style="364" customWidth="1"/>
    <col min="6916" max="6916" width="20.7109375" style="364" customWidth="1"/>
    <col min="6917" max="6917" width="13.5703125" style="364" customWidth="1"/>
    <col min="6918" max="6918" width="18.28515625" style="364" customWidth="1"/>
    <col min="6919" max="6919" width="12.85546875" style="364" customWidth="1"/>
    <col min="6920" max="6920" width="21.42578125" style="364" customWidth="1"/>
    <col min="6921" max="6924" width="13.5703125" style="364" customWidth="1"/>
    <col min="6925" max="6925" width="15.5703125" style="364" customWidth="1"/>
    <col min="6926" max="6926" width="18" style="364" customWidth="1"/>
    <col min="6927" max="6927" width="18.28515625" style="364" customWidth="1"/>
    <col min="6928" max="6928" width="23.140625" style="364" customWidth="1"/>
    <col min="6929" max="6929" width="18.28515625" style="364" customWidth="1"/>
    <col min="6930" max="6930" width="23.140625" style="364" customWidth="1"/>
    <col min="6931" max="6931" width="20" style="364" customWidth="1"/>
    <col min="6932" max="6932" width="0" style="364" hidden="1" customWidth="1"/>
    <col min="6933" max="6933" width="11.42578125" style="364" customWidth="1"/>
    <col min="6934" max="6934" width="21" style="364" customWidth="1"/>
    <col min="6935" max="7168" width="11.42578125" style="364"/>
    <col min="7169" max="7169" width="6.7109375" style="364" customWidth="1"/>
    <col min="7170" max="7170" width="20.42578125" style="364" customWidth="1"/>
    <col min="7171" max="7171" width="14.42578125" style="364" customWidth="1"/>
    <col min="7172" max="7172" width="20.7109375" style="364" customWidth="1"/>
    <col min="7173" max="7173" width="13.5703125" style="364" customWidth="1"/>
    <col min="7174" max="7174" width="18.28515625" style="364" customWidth="1"/>
    <col min="7175" max="7175" width="12.85546875" style="364" customWidth="1"/>
    <col min="7176" max="7176" width="21.42578125" style="364" customWidth="1"/>
    <col min="7177" max="7180" width="13.5703125" style="364" customWidth="1"/>
    <col min="7181" max="7181" width="15.5703125" style="364" customWidth="1"/>
    <col min="7182" max="7182" width="18" style="364" customWidth="1"/>
    <col min="7183" max="7183" width="18.28515625" style="364" customWidth="1"/>
    <col min="7184" max="7184" width="23.140625" style="364" customWidth="1"/>
    <col min="7185" max="7185" width="18.28515625" style="364" customWidth="1"/>
    <col min="7186" max="7186" width="23.140625" style="364" customWidth="1"/>
    <col min="7187" max="7187" width="20" style="364" customWidth="1"/>
    <col min="7188" max="7188" width="0" style="364" hidden="1" customWidth="1"/>
    <col min="7189" max="7189" width="11.42578125" style="364" customWidth="1"/>
    <col min="7190" max="7190" width="21" style="364" customWidth="1"/>
    <col min="7191" max="7424" width="11.42578125" style="364"/>
    <col min="7425" max="7425" width="6.7109375" style="364" customWidth="1"/>
    <col min="7426" max="7426" width="20.42578125" style="364" customWidth="1"/>
    <col min="7427" max="7427" width="14.42578125" style="364" customWidth="1"/>
    <col min="7428" max="7428" width="20.7109375" style="364" customWidth="1"/>
    <col min="7429" max="7429" width="13.5703125" style="364" customWidth="1"/>
    <col min="7430" max="7430" width="18.28515625" style="364" customWidth="1"/>
    <col min="7431" max="7431" width="12.85546875" style="364" customWidth="1"/>
    <col min="7432" max="7432" width="21.42578125" style="364" customWidth="1"/>
    <col min="7433" max="7436" width="13.5703125" style="364" customWidth="1"/>
    <col min="7437" max="7437" width="15.5703125" style="364" customWidth="1"/>
    <col min="7438" max="7438" width="18" style="364" customWidth="1"/>
    <col min="7439" max="7439" width="18.28515625" style="364" customWidth="1"/>
    <col min="7440" max="7440" width="23.140625" style="364" customWidth="1"/>
    <col min="7441" max="7441" width="18.28515625" style="364" customWidth="1"/>
    <col min="7442" max="7442" width="23.140625" style="364" customWidth="1"/>
    <col min="7443" max="7443" width="20" style="364" customWidth="1"/>
    <col min="7444" max="7444" width="0" style="364" hidden="1" customWidth="1"/>
    <col min="7445" max="7445" width="11.42578125" style="364" customWidth="1"/>
    <col min="7446" max="7446" width="21" style="364" customWidth="1"/>
    <col min="7447" max="7680" width="11.42578125" style="364"/>
    <col min="7681" max="7681" width="6.7109375" style="364" customWidth="1"/>
    <col min="7682" max="7682" width="20.42578125" style="364" customWidth="1"/>
    <col min="7683" max="7683" width="14.42578125" style="364" customWidth="1"/>
    <col min="7684" max="7684" width="20.7109375" style="364" customWidth="1"/>
    <col min="7685" max="7685" width="13.5703125" style="364" customWidth="1"/>
    <col min="7686" max="7686" width="18.28515625" style="364" customWidth="1"/>
    <col min="7687" max="7687" width="12.85546875" style="364" customWidth="1"/>
    <col min="7688" max="7688" width="21.42578125" style="364" customWidth="1"/>
    <col min="7689" max="7692" width="13.5703125" style="364" customWidth="1"/>
    <col min="7693" max="7693" width="15.5703125" style="364" customWidth="1"/>
    <col min="7694" max="7694" width="18" style="364" customWidth="1"/>
    <col min="7695" max="7695" width="18.28515625" style="364" customWidth="1"/>
    <col min="7696" max="7696" width="23.140625" style="364" customWidth="1"/>
    <col min="7697" max="7697" width="18.28515625" style="364" customWidth="1"/>
    <col min="7698" max="7698" width="23.140625" style="364" customWidth="1"/>
    <col min="7699" max="7699" width="20" style="364" customWidth="1"/>
    <col min="7700" max="7700" width="0" style="364" hidden="1" customWidth="1"/>
    <col min="7701" max="7701" width="11.42578125" style="364" customWidth="1"/>
    <col min="7702" max="7702" width="21" style="364" customWidth="1"/>
    <col min="7703" max="7936" width="11.42578125" style="364"/>
    <col min="7937" max="7937" width="6.7109375" style="364" customWidth="1"/>
    <col min="7938" max="7938" width="20.42578125" style="364" customWidth="1"/>
    <col min="7939" max="7939" width="14.42578125" style="364" customWidth="1"/>
    <col min="7940" max="7940" width="20.7109375" style="364" customWidth="1"/>
    <col min="7941" max="7941" width="13.5703125" style="364" customWidth="1"/>
    <col min="7942" max="7942" width="18.28515625" style="364" customWidth="1"/>
    <col min="7943" max="7943" width="12.85546875" style="364" customWidth="1"/>
    <col min="7944" max="7944" width="21.42578125" style="364" customWidth="1"/>
    <col min="7945" max="7948" width="13.5703125" style="364" customWidth="1"/>
    <col min="7949" max="7949" width="15.5703125" style="364" customWidth="1"/>
    <col min="7950" max="7950" width="18" style="364" customWidth="1"/>
    <col min="7951" max="7951" width="18.28515625" style="364" customWidth="1"/>
    <col min="7952" max="7952" width="23.140625" style="364" customWidth="1"/>
    <col min="7953" max="7953" width="18.28515625" style="364" customWidth="1"/>
    <col min="7954" max="7954" width="23.140625" style="364" customWidth="1"/>
    <col min="7955" max="7955" width="20" style="364" customWidth="1"/>
    <col min="7956" max="7956" width="0" style="364" hidden="1" customWidth="1"/>
    <col min="7957" max="7957" width="11.42578125" style="364" customWidth="1"/>
    <col min="7958" max="7958" width="21" style="364" customWidth="1"/>
    <col min="7959" max="8192" width="11.42578125" style="364"/>
    <col min="8193" max="8193" width="6.7109375" style="364" customWidth="1"/>
    <col min="8194" max="8194" width="20.42578125" style="364" customWidth="1"/>
    <col min="8195" max="8195" width="14.42578125" style="364" customWidth="1"/>
    <col min="8196" max="8196" width="20.7109375" style="364" customWidth="1"/>
    <col min="8197" max="8197" width="13.5703125" style="364" customWidth="1"/>
    <col min="8198" max="8198" width="18.28515625" style="364" customWidth="1"/>
    <col min="8199" max="8199" width="12.85546875" style="364" customWidth="1"/>
    <col min="8200" max="8200" width="21.42578125" style="364" customWidth="1"/>
    <col min="8201" max="8204" width="13.5703125" style="364" customWidth="1"/>
    <col min="8205" max="8205" width="15.5703125" style="364" customWidth="1"/>
    <col min="8206" max="8206" width="18" style="364" customWidth="1"/>
    <col min="8207" max="8207" width="18.28515625" style="364" customWidth="1"/>
    <col min="8208" max="8208" width="23.140625" style="364" customWidth="1"/>
    <col min="8209" max="8209" width="18.28515625" style="364" customWidth="1"/>
    <col min="8210" max="8210" width="23.140625" style="364" customWidth="1"/>
    <col min="8211" max="8211" width="20" style="364" customWidth="1"/>
    <col min="8212" max="8212" width="0" style="364" hidden="1" customWidth="1"/>
    <col min="8213" max="8213" width="11.42578125" style="364" customWidth="1"/>
    <col min="8214" max="8214" width="21" style="364" customWidth="1"/>
    <col min="8215" max="8448" width="11.42578125" style="364"/>
    <col min="8449" max="8449" width="6.7109375" style="364" customWidth="1"/>
    <col min="8450" max="8450" width="20.42578125" style="364" customWidth="1"/>
    <col min="8451" max="8451" width="14.42578125" style="364" customWidth="1"/>
    <col min="8452" max="8452" width="20.7109375" style="364" customWidth="1"/>
    <col min="8453" max="8453" width="13.5703125" style="364" customWidth="1"/>
    <col min="8454" max="8454" width="18.28515625" style="364" customWidth="1"/>
    <col min="8455" max="8455" width="12.85546875" style="364" customWidth="1"/>
    <col min="8456" max="8456" width="21.42578125" style="364" customWidth="1"/>
    <col min="8457" max="8460" width="13.5703125" style="364" customWidth="1"/>
    <col min="8461" max="8461" width="15.5703125" style="364" customWidth="1"/>
    <col min="8462" max="8462" width="18" style="364" customWidth="1"/>
    <col min="8463" max="8463" width="18.28515625" style="364" customWidth="1"/>
    <col min="8464" max="8464" width="23.140625" style="364" customWidth="1"/>
    <col min="8465" max="8465" width="18.28515625" style="364" customWidth="1"/>
    <col min="8466" max="8466" width="23.140625" style="364" customWidth="1"/>
    <col min="8467" max="8467" width="20" style="364" customWidth="1"/>
    <col min="8468" max="8468" width="0" style="364" hidden="1" customWidth="1"/>
    <col min="8469" max="8469" width="11.42578125" style="364" customWidth="1"/>
    <col min="8470" max="8470" width="21" style="364" customWidth="1"/>
    <col min="8471" max="8704" width="11.42578125" style="364"/>
    <col min="8705" max="8705" width="6.7109375" style="364" customWidth="1"/>
    <col min="8706" max="8706" width="20.42578125" style="364" customWidth="1"/>
    <col min="8707" max="8707" width="14.42578125" style="364" customWidth="1"/>
    <col min="8708" max="8708" width="20.7109375" style="364" customWidth="1"/>
    <col min="8709" max="8709" width="13.5703125" style="364" customWidth="1"/>
    <col min="8710" max="8710" width="18.28515625" style="364" customWidth="1"/>
    <col min="8711" max="8711" width="12.85546875" style="364" customWidth="1"/>
    <col min="8712" max="8712" width="21.42578125" style="364" customWidth="1"/>
    <col min="8713" max="8716" width="13.5703125" style="364" customWidth="1"/>
    <col min="8717" max="8717" width="15.5703125" style="364" customWidth="1"/>
    <col min="8718" max="8718" width="18" style="364" customWidth="1"/>
    <col min="8719" max="8719" width="18.28515625" style="364" customWidth="1"/>
    <col min="8720" max="8720" width="23.140625" style="364" customWidth="1"/>
    <col min="8721" max="8721" width="18.28515625" style="364" customWidth="1"/>
    <col min="8722" max="8722" width="23.140625" style="364" customWidth="1"/>
    <col min="8723" max="8723" width="20" style="364" customWidth="1"/>
    <col min="8724" max="8724" width="0" style="364" hidden="1" customWidth="1"/>
    <col min="8725" max="8725" width="11.42578125" style="364" customWidth="1"/>
    <col min="8726" max="8726" width="21" style="364" customWidth="1"/>
    <col min="8727" max="8960" width="11.42578125" style="364"/>
    <col min="8961" max="8961" width="6.7109375" style="364" customWidth="1"/>
    <col min="8962" max="8962" width="20.42578125" style="364" customWidth="1"/>
    <col min="8963" max="8963" width="14.42578125" style="364" customWidth="1"/>
    <col min="8964" max="8964" width="20.7109375" style="364" customWidth="1"/>
    <col min="8965" max="8965" width="13.5703125" style="364" customWidth="1"/>
    <col min="8966" max="8966" width="18.28515625" style="364" customWidth="1"/>
    <col min="8967" max="8967" width="12.85546875" style="364" customWidth="1"/>
    <col min="8968" max="8968" width="21.42578125" style="364" customWidth="1"/>
    <col min="8969" max="8972" width="13.5703125" style="364" customWidth="1"/>
    <col min="8973" max="8973" width="15.5703125" style="364" customWidth="1"/>
    <col min="8974" max="8974" width="18" style="364" customWidth="1"/>
    <col min="8975" max="8975" width="18.28515625" style="364" customWidth="1"/>
    <col min="8976" max="8976" width="23.140625" style="364" customWidth="1"/>
    <col min="8977" max="8977" width="18.28515625" style="364" customWidth="1"/>
    <col min="8978" max="8978" width="23.140625" style="364" customWidth="1"/>
    <col min="8979" max="8979" width="20" style="364" customWidth="1"/>
    <col min="8980" max="8980" width="0" style="364" hidden="1" customWidth="1"/>
    <col min="8981" max="8981" width="11.42578125" style="364" customWidth="1"/>
    <col min="8982" max="8982" width="21" style="364" customWidth="1"/>
    <col min="8983" max="9216" width="11.42578125" style="364"/>
    <col min="9217" max="9217" width="6.7109375" style="364" customWidth="1"/>
    <col min="9218" max="9218" width="20.42578125" style="364" customWidth="1"/>
    <col min="9219" max="9219" width="14.42578125" style="364" customWidth="1"/>
    <col min="9220" max="9220" width="20.7109375" style="364" customWidth="1"/>
    <col min="9221" max="9221" width="13.5703125" style="364" customWidth="1"/>
    <col min="9222" max="9222" width="18.28515625" style="364" customWidth="1"/>
    <col min="9223" max="9223" width="12.85546875" style="364" customWidth="1"/>
    <col min="9224" max="9224" width="21.42578125" style="364" customWidth="1"/>
    <col min="9225" max="9228" width="13.5703125" style="364" customWidth="1"/>
    <col min="9229" max="9229" width="15.5703125" style="364" customWidth="1"/>
    <col min="9230" max="9230" width="18" style="364" customWidth="1"/>
    <col min="9231" max="9231" width="18.28515625" style="364" customWidth="1"/>
    <col min="9232" max="9232" width="23.140625" style="364" customWidth="1"/>
    <col min="9233" max="9233" width="18.28515625" style="364" customWidth="1"/>
    <col min="9234" max="9234" width="23.140625" style="364" customWidth="1"/>
    <col min="9235" max="9235" width="20" style="364" customWidth="1"/>
    <col min="9236" max="9236" width="0" style="364" hidden="1" customWidth="1"/>
    <col min="9237" max="9237" width="11.42578125" style="364" customWidth="1"/>
    <col min="9238" max="9238" width="21" style="364" customWidth="1"/>
    <col min="9239" max="9472" width="11.42578125" style="364"/>
    <col min="9473" max="9473" width="6.7109375" style="364" customWidth="1"/>
    <col min="9474" max="9474" width="20.42578125" style="364" customWidth="1"/>
    <col min="9475" max="9475" width="14.42578125" style="364" customWidth="1"/>
    <col min="9476" max="9476" width="20.7109375" style="364" customWidth="1"/>
    <col min="9477" max="9477" width="13.5703125" style="364" customWidth="1"/>
    <col min="9478" max="9478" width="18.28515625" style="364" customWidth="1"/>
    <col min="9479" max="9479" width="12.85546875" style="364" customWidth="1"/>
    <col min="9480" max="9480" width="21.42578125" style="364" customWidth="1"/>
    <col min="9481" max="9484" width="13.5703125" style="364" customWidth="1"/>
    <col min="9485" max="9485" width="15.5703125" style="364" customWidth="1"/>
    <col min="9486" max="9486" width="18" style="364" customWidth="1"/>
    <col min="9487" max="9487" width="18.28515625" style="364" customWidth="1"/>
    <col min="9488" max="9488" width="23.140625" style="364" customWidth="1"/>
    <col min="9489" max="9489" width="18.28515625" style="364" customWidth="1"/>
    <col min="9490" max="9490" width="23.140625" style="364" customWidth="1"/>
    <col min="9491" max="9491" width="20" style="364" customWidth="1"/>
    <col min="9492" max="9492" width="0" style="364" hidden="1" customWidth="1"/>
    <col min="9493" max="9493" width="11.42578125" style="364" customWidth="1"/>
    <col min="9494" max="9494" width="21" style="364" customWidth="1"/>
    <col min="9495" max="9728" width="11.42578125" style="364"/>
    <col min="9729" max="9729" width="6.7109375" style="364" customWidth="1"/>
    <col min="9730" max="9730" width="20.42578125" style="364" customWidth="1"/>
    <col min="9731" max="9731" width="14.42578125" style="364" customWidth="1"/>
    <col min="9732" max="9732" width="20.7109375" style="364" customWidth="1"/>
    <col min="9733" max="9733" width="13.5703125" style="364" customWidth="1"/>
    <col min="9734" max="9734" width="18.28515625" style="364" customWidth="1"/>
    <col min="9735" max="9735" width="12.85546875" style="364" customWidth="1"/>
    <col min="9736" max="9736" width="21.42578125" style="364" customWidth="1"/>
    <col min="9737" max="9740" width="13.5703125" style="364" customWidth="1"/>
    <col min="9741" max="9741" width="15.5703125" style="364" customWidth="1"/>
    <col min="9742" max="9742" width="18" style="364" customWidth="1"/>
    <col min="9743" max="9743" width="18.28515625" style="364" customWidth="1"/>
    <col min="9744" max="9744" width="23.140625" style="364" customWidth="1"/>
    <col min="9745" max="9745" width="18.28515625" style="364" customWidth="1"/>
    <col min="9746" max="9746" width="23.140625" style="364" customWidth="1"/>
    <col min="9747" max="9747" width="20" style="364" customWidth="1"/>
    <col min="9748" max="9748" width="0" style="364" hidden="1" customWidth="1"/>
    <col min="9749" max="9749" width="11.42578125" style="364" customWidth="1"/>
    <col min="9750" max="9750" width="21" style="364" customWidth="1"/>
    <col min="9751" max="9984" width="11.42578125" style="364"/>
    <col min="9985" max="9985" width="6.7109375" style="364" customWidth="1"/>
    <col min="9986" max="9986" width="20.42578125" style="364" customWidth="1"/>
    <col min="9987" max="9987" width="14.42578125" style="364" customWidth="1"/>
    <col min="9988" max="9988" width="20.7109375" style="364" customWidth="1"/>
    <col min="9989" max="9989" width="13.5703125" style="364" customWidth="1"/>
    <col min="9990" max="9990" width="18.28515625" style="364" customWidth="1"/>
    <col min="9991" max="9991" width="12.85546875" style="364" customWidth="1"/>
    <col min="9992" max="9992" width="21.42578125" style="364" customWidth="1"/>
    <col min="9993" max="9996" width="13.5703125" style="364" customWidth="1"/>
    <col min="9997" max="9997" width="15.5703125" style="364" customWidth="1"/>
    <col min="9998" max="9998" width="18" style="364" customWidth="1"/>
    <col min="9999" max="9999" width="18.28515625" style="364" customWidth="1"/>
    <col min="10000" max="10000" width="23.140625" style="364" customWidth="1"/>
    <col min="10001" max="10001" width="18.28515625" style="364" customWidth="1"/>
    <col min="10002" max="10002" width="23.140625" style="364" customWidth="1"/>
    <col min="10003" max="10003" width="20" style="364" customWidth="1"/>
    <col min="10004" max="10004" width="0" style="364" hidden="1" customWidth="1"/>
    <col min="10005" max="10005" width="11.42578125" style="364" customWidth="1"/>
    <col min="10006" max="10006" width="21" style="364" customWidth="1"/>
    <col min="10007" max="10240" width="11.42578125" style="364"/>
    <col min="10241" max="10241" width="6.7109375" style="364" customWidth="1"/>
    <col min="10242" max="10242" width="20.42578125" style="364" customWidth="1"/>
    <col min="10243" max="10243" width="14.42578125" style="364" customWidth="1"/>
    <col min="10244" max="10244" width="20.7109375" style="364" customWidth="1"/>
    <col min="10245" max="10245" width="13.5703125" style="364" customWidth="1"/>
    <col min="10246" max="10246" width="18.28515625" style="364" customWidth="1"/>
    <col min="10247" max="10247" width="12.85546875" style="364" customWidth="1"/>
    <col min="10248" max="10248" width="21.42578125" style="364" customWidth="1"/>
    <col min="10249" max="10252" width="13.5703125" style="364" customWidth="1"/>
    <col min="10253" max="10253" width="15.5703125" style="364" customWidth="1"/>
    <col min="10254" max="10254" width="18" style="364" customWidth="1"/>
    <col min="10255" max="10255" width="18.28515625" style="364" customWidth="1"/>
    <col min="10256" max="10256" width="23.140625" style="364" customWidth="1"/>
    <col min="10257" max="10257" width="18.28515625" style="364" customWidth="1"/>
    <col min="10258" max="10258" width="23.140625" style="364" customWidth="1"/>
    <col min="10259" max="10259" width="20" style="364" customWidth="1"/>
    <col min="10260" max="10260" width="0" style="364" hidden="1" customWidth="1"/>
    <col min="10261" max="10261" width="11.42578125" style="364" customWidth="1"/>
    <col min="10262" max="10262" width="21" style="364" customWidth="1"/>
    <col min="10263" max="10496" width="11.42578125" style="364"/>
    <col min="10497" max="10497" width="6.7109375" style="364" customWidth="1"/>
    <col min="10498" max="10498" width="20.42578125" style="364" customWidth="1"/>
    <col min="10499" max="10499" width="14.42578125" style="364" customWidth="1"/>
    <col min="10500" max="10500" width="20.7109375" style="364" customWidth="1"/>
    <col min="10501" max="10501" width="13.5703125" style="364" customWidth="1"/>
    <col min="10502" max="10502" width="18.28515625" style="364" customWidth="1"/>
    <col min="10503" max="10503" width="12.85546875" style="364" customWidth="1"/>
    <col min="10504" max="10504" width="21.42578125" style="364" customWidth="1"/>
    <col min="10505" max="10508" width="13.5703125" style="364" customWidth="1"/>
    <col min="10509" max="10509" width="15.5703125" style="364" customWidth="1"/>
    <col min="10510" max="10510" width="18" style="364" customWidth="1"/>
    <col min="10511" max="10511" width="18.28515625" style="364" customWidth="1"/>
    <col min="10512" max="10512" width="23.140625" style="364" customWidth="1"/>
    <col min="10513" max="10513" width="18.28515625" style="364" customWidth="1"/>
    <col min="10514" max="10514" width="23.140625" style="364" customWidth="1"/>
    <col min="10515" max="10515" width="20" style="364" customWidth="1"/>
    <col min="10516" max="10516" width="0" style="364" hidden="1" customWidth="1"/>
    <col min="10517" max="10517" width="11.42578125" style="364" customWidth="1"/>
    <col min="10518" max="10518" width="21" style="364" customWidth="1"/>
    <col min="10519" max="10752" width="11.42578125" style="364"/>
    <col min="10753" max="10753" width="6.7109375" style="364" customWidth="1"/>
    <col min="10754" max="10754" width="20.42578125" style="364" customWidth="1"/>
    <col min="10755" max="10755" width="14.42578125" style="364" customWidth="1"/>
    <col min="10756" max="10756" width="20.7109375" style="364" customWidth="1"/>
    <col min="10757" max="10757" width="13.5703125" style="364" customWidth="1"/>
    <col min="10758" max="10758" width="18.28515625" style="364" customWidth="1"/>
    <col min="10759" max="10759" width="12.85546875" style="364" customWidth="1"/>
    <col min="10760" max="10760" width="21.42578125" style="364" customWidth="1"/>
    <col min="10761" max="10764" width="13.5703125" style="364" customWidth="1"/>
    <col min="10765" max="10765" width="15.5703125" style="364" customWidth="1"/>
    <col min="10766" max="10766" width="18" style="364" customWidth="1"/>
    <col min="10767" max="10767" width="18.28515625" style="364" customWidth="1"/>
    <col min="10768" max="10768" width="23.140625" style="364" customWidth="1"/>
    <col min="10769" max="10769" width="18.28515625" style="364" customWidth="1"/>
    <col min="10770" max="10770" width="23.140625" style="364" customWidth="1"/>
    <col min="10771" max="10771" width="20" style="364" customWidth="1"/>
    <col min="10772" max="10772" width="0" style="364" hidden="1" customWidth="1"/>
    <col min="10773" max="10773" width="11.42578125" style="364" customWidth="1"/>
    <col min="10774" max="10774" width="21" style="364" customWidth="1"/>
    <col min="10775" max="11008" width="11.42578125" style="364"/>
    <col min="11009" max="11009" width="6.7109375" style="364" customWidth="1"/>
    <col min="11010" max="11010" width="20.42578125" style="364" customWidth="1"/>
    <col min="11011" max="11011" width="14.42578125" style="364" customWidth="1"/>
    <col min="11012" max="11012" width="20.7109375" style="364" customWidth="1"/>
    <col min="11013" max="11013" width="13.5703125" style="364" customWidth="1"/>
    <col min="11014" max="11014" width="18.28515625" style="364" customWidth="1"/>
    <col min="11015" max="11015" width="12.85546875" style="364" customWidth="1"/>
    <col min="11016" max="11016" width="21.42578125" style="364" customWidth="1"/>
    <col min="11017" max="11020" width="13.5703125" style="364" customWidth="1"/>
    <col min="11021" max="11021" width="15.5703125" style="364" customWidth="1"/>
    <col min="11022" max="11022" width="18" style="364" customWidth="1"/>
    <col min="11023" max="11023" width="18.28515625" style="364" customWidth="1"/>
    <col min="11024" max="11024" width="23.140625" style="364" customWidth="1"/>
    <col min="11025" max="11025" width="18.28515625" style="364" customWidth="1"/>
    <col min="11026" max="11026" width="23.140625" style="364" customWidth="1"/>
    <col min="11027" max="11027" width="20" style="364" customWidth="1"/>
    <col min="11028" max="11028" width="0" style="364" hidden="1" customWidth="1"/>
    <col min="11029" max="11029" width="11.42578125" style="364" customWidth="1"/>
    <col min="11030" max="11030" width="21" style="364" customWidth="1"/>
    <col min="11031" max="11264" width="11.42578125" style="364"/>
    <col min="11265" max="11265" width="6.7109375" style="364" customWidth="1"/>
    <col min="11266" max="11266" width="20.42578125" style="364" customWidth="1"/>
    <col min="11267" max="11267" width="14.42578125" style="364" customWidth="1"/>
    <col min="11268" max="11268" width="20.7109375" style="364" customWidth="1"/>
    <col min="11269" max="11269" width="13.5703125" style="364" customWidth="1"/>
    <col min="11270" max="11270" width="18.28515625" style="364" customWidth="1"/>
    <col min="11271" max="11271" width="12.85546875" style="364" customWidth="1"/>
    <col min="11272" max="11272" width="21.42578125" style="364" customWidth="1"/>
    <col min="11273" max="11276" width="13.5703125" style="364" customWidth="1"/>
    <col min="11277" max="11277" width="15.5703125" style="364" customWidth="1"/>
    <col min="11278" max="11278" width="18" style="364" customWidth="1"/>
    <col min="11279" max="11279" width="18.28515625" style="364" customWidth="1"/>
    <col min="11280" max="11280" width="23.140625" style="364" customWidth="1"/>
    <col min="11281" max="11281" width="18.28515625" style="364" customWidth="1"/>
    <col min="11282" max="11282" width="23.140625" style="364" customWidth="1"/>
    <col min="11283" max="11283" width="20" style="364" customWidth="1"/>
    <col min="11284" max="11284" width="0" style="364" hidden="1" customWidth="1"/>
    <col min="11285" max="11285" width="11.42578125" style="364" customWidth="1"/>
    <col min="11286" max="11286" width="21" style="364" customWidth="1"/>
    <col min="11287" max="11520" width="11.42578125" style="364"/>
    <col min="11521" max="11521" width="6.7109375" style="364" customWidth="1"/>
    <col min="11522" max="11522" width="20.42578125" style="364" customWidth="1"/>
    <col min="11523" max="11523" width="14.42578125" style="364" customWidth="1"/>
    <col min="11524" max="11524" width="20.7109375" style="364" customWidth="1"/>
    <col min="11525" max="11525" width="13.5703125" style="364" customWidth="1"/>
    <col min="11526" max="11526" width="18.28515625" style="364" customWidth="1"/>
    <col min="11527" max="11527" width="12.85546875" style="364" customWidth="1"/>
    <col min="11528" max="11528" width="21.42578125" style="364" customWidth="1"/>
    <col min="11529" max="11532" width="13.5703125" style="364" customWidth="1"/>
    <col min="11533" max="11533" width="15.5703125" style="364" customWidth="1"/>
    <col min="11534" max="11534" width="18" style="364" customWidth="1"/>
    <col min="11535" max="11535" width="18.28515625" style="364" customWidth="1"/>
    <col min="11536" max="11536" width="23.140625" style="364" customWidth="1"/>
    <col min="11537" max="11537" width="18.28515625" style="364" customWidth="1"/>
    <col min="11538" max="11538" width="23.140625" style="364" customWidth="1"/>
    <col min="11539" max="11539" width="20" style="364" customWidth="1"/>
    <col min="11540" max="11540" width="0" style="364" hidden="1" customWidth="1"/>
    <col min="11541" max="11541" width="11.42578125" style="364" customWidth="1"/>
    <col min="11542" max="11542" width="21" style="364" customWidth="1"/>
    <col min="11543" max="11776" width="11.42578125" style="364"/>
    <col min="11777" max="11777" width="6.7109375" style="364" customWidth="1"/>
    <col min="11778" max="11778" width="20.42578125" style="364" customWidth="1"/>
    <col min="11779" max="11779" width="14.42578125" style="364" customWidth="1"/>
    <col min="11780" max="11780" width="20.7109375" style="364" customWidth="1"/>
    <col min="11781" max="11781" width="13.5703125" style="364" customWidth="1"/>
    <col min="11782" max="11782" width="18.28515625" style="364" customWidth="1"/>
    <col min="11783" max="11783" width="12.85546875" style="364" customWidth="1"/>
    <col min="11784" max="11784" width="21.42578125" style="364" customWidth="1"/>
    <col min="11785" max="11788" width="13.5703125" style="364" customWidth="1"/>
    <col min="11789" max="11789" width="15.5703125" style="364" customWidth="1"/>
    <col min="11790" max="11790" width="18" style="364" customWidth="1"/>
    <col min="11791" max="11791" width="18.28515625" style="364" customWidth="1"/>
    <col min="11792" max="11792" width="23.140625" style="364" customWidth="1"/>
    <col min="11793" max="11793" width="18.28515625" style="364" customWidth="1"/>
    <col min="11794" max="11794" width="23.140625" style="364" customWidth="1"/>
    <col min="11795" max="11795" width="20" style="364" customWidth="1"/>
    <col min="11796" max="11796" width="0" style="364" hidden="1" customWidth="1"/>
    <col min="11797" max="11797" width="11.42578125" style="364" customWidth="1"/>
    <col min="11798" max="11798" width="21" style="364" customWidth="1"/>
    <col min="11799" max="12032" width="11.42578125" style="364"/>
    <col min="12033" max="12033" width="6.7109375" style="364" customWidth="1"/>
    <col min="12034" max="12034" width="20.42578125" style="364" customWidth="1"/>
    <col min="12035" max="12035" width="14.42578125" style="364" customWidth="1"/>
    <col min="12036" max="12036" width="20.7109375" style="364" customWidth="1"/>
    <col min="12037" max="12037" width="13.5703125" style="364" customWidth="1"/>
    <col min="12038" max="12038" width="18.28515625" style="364" customWidth="1"/>
    <col min="12039" max="12039" width="12.85546875" style="364" customWidth="1"/>
    <col min="12040" max="12040" width="21.42578125" style="364" customWidth="1"/>
    <col min="12041" max="12044" width="13.5703125" style="364" customWidth="1"/>
    <col min="12045" max="12045" width="15.5703125" style="364" customWidth="1"/>
    <col min="12046" max="12046" width="18" style="364" customWidth="1"/>
    <col min="12047" max="12047" width="18.28515625" style="364" customWidth="1"/>
    <col min="12048" max="12048" width="23.140625" style="364" customWidth="1"/>
    <col min="12049" max="12049" width="18.28515625" style="364" customWidth="1"/>
    <col min="12050" max="12050" width="23.140625" style="364" customWidth="1"/>
    <col min="12051" max="12051" width="20" style="364" customWidth="1"/>
    <col min="12052" max="12052" width="0" style="364" hidden="1" customWidth="1"/>
    <col min="12053" max="12053" width="11.42578125" style="364" customWidth="1"/>
    <col min="12054" max="12054" width="21" style="364" customWidth="1"/>
    <col min="12055" max="12288" width="11.42578125" style="364"/>
    <col min="12289" max="12289" width="6.7109375" style="364" customWidth="1"/>
    <col min="12290" max="12290" width="20.42578125" style="364" customWidth="1"/>
    <col min="12291" max="12291" width="14.42578125" style="364" customWidth="1"/>
    <col min="12292" max="12292" width="20.7109375" style="364" customWidth="1"/>
    <col min="12293" max="12293" width="13.5703125" style="364" customWidth="1"/>
    <col min="12294" max="12294" width="18.28515625" style="364" customWidth="1"/>
    <col min="12295" max="12295" width="12.85546875" style="364" customWidth="1"/>
    <col min="12296" max="12296" width="21.42578125" style="364" customWidth="1"/>
    <col min="12297" max="12300" width="13.5703125" style="364" customWidth="1"/>
    <col min="12301" max="12301" width="15.5703125" style="364" customWidth="1"/>
    <col min="12302" max="12302" width="18" style="364" customWidth="1"/>
    <col min="12303" max="12303" width="18.28515625" style="364" customWidth="1"/>
    <col min="12304" max="12304" width="23.140625" style="364" customWidth="1"/>
    <col min="12305" max="12305" width="18.28515625" style="364" customWidth="1"/>
    <col min="12306" max="12306" width="23.140625" style="364" customWidth="1"/>
    <col min="12307" max="12307" width="20" style="364" customWidth="1"/>
    <col min="12308" max="12308" width="0" style="364" hidden="1" customWidth="1"/>
    <col min="12309" max="12309" width="11.42578125" style="364" customWidth="1"/>
    <col min="12310" max="12310" width="21" style="364" customWidth="1"/>
    <col min="12311" max="12544" width="11.42578125" style="364"/>
    <col min="12545" max="12545" width="6.7109375" style="364" customWidth="1"/>
    <col min="12546" max="12546" width="20.42578125" style="364" customWidth="1"/>
    <col min="12547" max="12547" width="14.42578125" style="364" customWidth="1"/>
    <col min="12548" max="12548" width="20.7109375" style="364" customWidth="1"/>
    <col min="12549" max="12549" width="13.5703125" style="364" customWidth="1"/>
    <col min="12550" max="12550" width="18.28515625" style="364" customWidth="1"/>
    <col min="12551" max="12551" width="12.85546875" style="364" customWidth="1"/>
    <col min="12552" max="12552" width="21.42578125" style="364" customWidth="1"/>
    <col min="12553" max="12556" width="13.5703125" style="364" customWidth="1"/>
    <col min="12557" max="12557" width="15.5703125" style="364" customWidth="1"/>
    <col min="12558" max="12558" width="18" style="364" customWidth="1"/>
    <col min="12559" max="12559" width="18.28515625" style="364" customWidth="1"/>
    <col min="12560" max="12560" width="23.140625" style="364" customWidth="1"/>
    <col min="12561" max="12561" width="18.28515625" style="364" customWidth="1"/>
    <col min="12562" max="12562" width="23.140625" style="364" customWidth="1"/>
    <col min="12563" max="12563" width="20" style="364" customWidth="1"/>
    <col min="12564" max="12564" width="0" style="364" hidden="1" customWidth="1"/>
    <col min="12565" max="12565" width="11.42578125" style="364" customWidth="1"/>
    <col min="12566" max="12566" width="21" style="364" customWidth="1"/>
    <col min="12567" max="12800" width="11.42578125" style="364"/>
    <col min="12801" max="12801" width="6.7109375" style="364" customWidth="1"/>
    <col min="12802" max="12802" width="20.42578125" style="364" customWidth="1"/>
    <col min="12803" max="12803" width="14.42578125" style="364" customWidth="1"/>
    <col min="12804" max="12804" width="20.7109375" style="364" customWidth="1"/>
    <col min="12805" max="12805" width="13.5703125" style="364" customWidth="1"/>
    <col min="12806" max="12806" width="18.28515625" style="364" customWidth="1"/>
    <col min="12807" max="12807" width="12.85546875" style="364" customWidth="1"/>
    <col min="12808" max="12808" width="21.42578125" style="364" customWidth="1"/>
    <col min="12809" max="12812" width="13.5703125" style="364" customWidth="1"/>
    <col min="12813" max="12813" width="15.5703125" style="364" customWidth="1"/>
    <col min="12814" max="12814" width="18" style="364" customWidth="1"/>
    <col min="12815" max="12815" width="18.28515625" style="364" customWidth="1"/>
    <col min="12816" max="12816" width="23.140625" style="364" customWidth="1"/>
    <col min="12817" max="12817" width="18.28515625" style="364" customWidth="1"/>
    <col min="12818" max="12818" width="23.140625" style="364" customWidth="1"/>
    <col min="12819" max="12819" width="20" style="364" customWidth="1"/>
    <col min="12820" max="12820" width="0" style="364" hidden="1" customWidth="1"/>
    <col min="12821" max="12821" width="11.42578125" style="364" customWidth="1"/>
    <col min="12822" max="12822" width="21" style="364" customWidth="1"/>
    <col min="12823" max="13056" width="11.42578125" style="364"/>
    <col min="13057" max="13057" width="6.7109375" style="364" customWidth="1"/>
    <col min="13058" max="13058" width="20.42578125" style="364" customWidth="1"/>
    <col min="13059" max="13059" width="14.42578125" style="364" customWidth="1"/>
    <col min="13060" max="13060" width="20.7109375" style="364" customWidth="1"/>
    <col min="13061" max="13061" width="13.5703125" style="364" customWidth="1"/>
    <col min="13062" max="13062" width="18.28515625" style="364" customWidth="1"/>
    <col min="13063" max="13063" width="12.85546875" style="364" customWidth="1"/>
    <col min="13064" max="13064" width="21.42578125" style="364" customWidth="1"/>
    <col min="13065" max="13068" width="13.5703125" style="364" customWidth="1"/>
    <col min="13069" max="13069" width="15.5703125" style="364" customWidth="1"/>
    <col min="13070" max="13070" width="18" style="364" customWidth="1"/>
    <col min="13071" max="13071" width="18.28515625" style="364" customWidth="1"/>
    <col min="13072" max="13072" width="23.140625" style="364" customWidth="1"/>
    <col min="13073" max="13073" width="18.28515625" style="364" customWidth="1"/>
    <col min="13074" max="13074" width="23.140625" style="364" customWidth="1"/>
    <col min="13075" max="13075" width="20" style="364" customWidth="1"/>
    <col min="13076" max="13076" width="0" style="364" hidden="1" customWidth="1"/>
    <col min="13077" max="13077" width="11.42578125" style="364" customWidth="1"/>
    <col min="13078" max="13078" width="21" style="364" customWidth="1"/>
    <col min="13079" max="13312" width="11.42578125" style="364"/>
    <col min="13313" max="13313" width="6.7109375" style="364" customWidth="1"/>
    <col min="13314" max="13314" width="20.42578125" style="364" customWidth="1"/>
    <col min="13315" max="13315" width="14.42578125" style="364" customWidth="1"/>
    <col min="13316" max="13316" width="20.7109375" style="364" customWidth="1"/>
    <col min="13317" max="13317" width="13.5703125" style="364" customWidth="1"/>
    <col min="13318" max="13318" width="18.28515625" style="364" customWidth="1"/>
    <col min="13319" max="13319" width="12.85546875" style="364" customWidth="1"/>
    <col min="13320" max="13320" width="21.42578125" style="364" customWidth="1"/>
    <col min="13321" max="13324" width="13.5703125" style="364" customWidth="1"/>
    <col min="13325" max="13325" width="15.5703125" style="364" customWidth="1"/>
    <col min="13326" max="13326" width="18" style="364" customWidth="1"/>
    <col min="13327" max="13327" width="18.28515625" style="364" customWidth="1"/>
    <col min="13328" max="13328" width="23.140625" style="364" customWidth="1"/>
    <col min="13329" max="13329" width="18.28515625" style="364" customWidth="1"/>
    <col min="13330" max="13330" width="23.140625" style="364" customWidth="1"/>
    <col min="13331" max="13331" width="20" style="364" customWidth="1"/>
    <col min="13332" max="13332" width="0" style="364" hidden="1" customWidth="1"/>
    <col min="13333" max="13333" width="11.42578125" style="364" customWidth="1"/>
    <col min="13334" max="13334" width="21" style="364" customWidth="1"/>
    <col min="13335" max="13568" width="11.42578125" style="364"/>
    <col min="13569" max="13569" width="6.7109375" style="364" customWidth="1"/>
    <col min="13570" max="13570" width="20.42578125" style="364" customWidth="1"/>
    <col min="13571" max="13571" width="14.42578125" style="364" customWidth="1"/>
    <col min="13572" max="13572" width="20.7109375" style="364" customWidth="1"/>
    <col min="13573" max="13573" width="13.5703125" style="364" customWidth="1"/>
    <col min="13574" max="13574" width="18.28515625" style="364" customWidth="1"/>
    <col min="13575" max="13575" width="12.85546875" style="364" customWidth="1"/>
    <col min="13576" max="13576" width="21.42578125" style="364" customWidth="1"/>
    <col min="13577" max="13580" width="13.5703125" style="364" customWidth="1"/>
    <col min="13581" max="13581" width="15.5703125" style="364" customWidth="1"/>
    <col min="13582" max="13582" width="18" style="364" customWidth="1"/>
    <col min="13583" max="13583" width="18.28515625" style="364" customWidth="1"/>
    <col min="13584" max="13584" width="23.140625" style="364" customWidth="1"/>
    <col min="13585" max="13585" width="18.28515625" style="364" customWidth="1"/>
    <col min="13586" max="13586" width="23.140625" style="364" customWidth="1"/>
    <col min="13587" max="13587" width="20" style="364" customWidth="1"/>
    <col min="13588" max="13588" width="0" style="364" hidden="1" customWidth="1"/>
    <col min="13589" max="13589" width="11.42578125" style="364" customWidth="1"/>
    <col min="13590" max="13590" width="21" style="364" customWidth="1"/>
    <col min="13591" max="13824" width="11.42578125" style="364"/>
    <col min="13825" max="13825" width="6.7109375" style="364" customWidth="1"/>
    <col min="13826" max="13826" width="20.42578125" style="364" customWidth="1"/>
    <col min="13827" max="13827" width="14.42578125" style="364" customWidth="1"/>
    <col min="13828" max="13828" width="20.7109375" style="364" customWidth="1"/>
    <col min="13829" max="13829" width="13.5703125" style="364" customWidth="1"/>
    <col min="13830" max="13830" width="18.28515625" style="364" customWidth="1"/>
    <col min="13831" max="13831" width="12.85546875" style="364" customWidth="1"/>
    <col min="13832" max="13832" width="21.42578125" style="364" customWidth="1"/>
    <col min="13833" max="13836" width="13.5703125" style="364" customWidth="1"/>
    <col min="13837" max="13837" width="15.5703125" style="364" customWidth="1"/>
    <col min="13838" max="13838" width="18" style="364" customWidth="1"/>
    <col min="13839" max="13839" width="18.28515625" style="364" customWidth="1"/>
    <col min="13840" max="13840" width="23.140625" style="364" customWidth="1"/>
    <col min="13841" max="13841" width="18.28515625" style="364" customWidth="1"/>
    <col min="13842" max="13842" width="23.140625" style="364" customWidth="1"/>
    <col min="13843" max="13843" width="20" style="364" customWidth="1"/>
    <col min="13844" max="13844" width="0" style="364" hidden="1" customWidth="1"/>
    <col min="13845" max="13845" width="11.42578125" style="364" customWidth="1"/>
    <col min="13846" max="13846" width="21" style="364" customWidth="1"/>
    <col min="13847" max="14080" width="11.42578125" style="364"/>
    <col min="14081" max="14081" width="6.7109375" style="364" customWidth="1"/>
    <col min="14082" max="14082" width="20.42578125" style="364" customWidth="1"/>
    <col min="14083" max="14083" width="14.42578125" style="364" customWidth="1"/>
    <col min="14084" max="14084" width="20.7109375" style="364" customWidth="1"/>
    <col min="14085" max="14085" width="13.5703125" style="364" customWidth="1"/>
    <col min="14086" max="14086" width="18.28515625" style="364" customWidth="1"/>
    <col min="14087" max="14087" width="12.85546875" style="364" customWidth="1"/>
    <col min="14088" max="14088" width="21.42578125" style="364" customWidth="1"/>
    <col min="14089" max="14092" width="13.5703125" style="364" customWidth="1"/>
    <col min="14093" max="14093" width="15.5703125" style="364" customWidth="1"/>
    <col min="14094" max="14094" width="18" style="364" customWidth="1"/>
    <col min="14095" max="14095" width="18.28515625" style="364" customWidth="1"/>
    <col min="14096" max="14096" width="23.140625" style="364" customWidth="1"/>
    <col min="14097" max="14097" width="18.28515625" style="364" customWidth="1"/>
    <col min="14098" max="14098" width="23.140625" style="364" customWidth="1"/>
    <col min="14099" max="14099" width="20" style="364" customWidth="1"/>
    <col min="14100" max="14100" width="0" style="364" hidden="1" customWidth="1"/>
    <col min="14101" max="14101" width="11.42578125" style="364" customWidth="1"/>
    <col min="14102" max="14102" width="21" style="364" customWidth="1"/>
    <col min="14103" max="14336" width="11.42578125" style="364"/>
    <col min="14337" max="14337" width="6.7109375" style="364" customWidth="1"/>
    <col min="14338" max="14338" width="20.42578125" style="364" customWidth="1"/>
    <col min="14339" max="14339" width="14.42578125" style="364" customWidth="1"/>
    <col min="14340" max="14340" width="20.7109375" style="364" customWidth="1"/>
    <col min="14341" max="14341" width="13.5703125" style="364" customWidth="1"/>
    <col min="14342" max="14342" width="18.28515625" style="364" customWidth="1"/>
    <col min="14343" max="14343" width="12.85546875" style="364" customWidth="1"/>
    <col min="14344" max="14344" width="21.42578125" style="364" customWidth="1"/>
    <col min="14345" max="14348" width="13.5703125" style="364" customWidth="1"/>
    <col min="14349" max="14349" width="15.5703125" style="364" customWidth="1"/>
    <col min="14350" max="14350" width="18" style="364" customWidth="1"/>
    <col min="14351" max="14351" width="18.28515625" style="364" customWidth="1"/>
    <col min="14352" max="14352" width="23.140625" style="364" customWidth="1"/>
    <col min="14353" max="14353" width="18.28515625" style="364" customWidth="1"/>
    <col min="14354" max="14354" width="23.140625" style="364" customWidth="1"/>
    <col min="14355" max="14355" width="20" style="364" customWidth="1"/>
    <col min="14356" max="14356" width="0" style="364" hidden="1" customWidth="1"/>
    <col min="14357" max="14357" width="11.42578125" style="364" customWidth="1"/>
    <col min="14358" max="14358" width="21" style="364" customWidth="1"/>
    <col min="14359" max="14592" width="11.42578125" style="364"/>
    <col min="14593" max="14593" width="6.7109375" style="364" customWidth="1"/>
    <col min="14594" max="14594" width="20.42578125" style="364" customWidth="1"/>
    <col min="14595" max="14595" width="14.42578125" style="364" customWidth="1"/>
    <col min="14596" max="14596" width="20.7109375" style="364" customWidth="1"/>
    <col min="14597" max="14597" width="13.5703125" style="364" customWidth="1"/>
    <col min="14598" max="14598" width="18.28515625" style="364" customWidth="1"/>
    <col min="14599" max="14599" width="12.85546875" style="364" customWidth="1"/>
    <col min="14600" max="14600" width="21.42578125" style="364" customWidth="1"/>
    <col min="14601" max="14604" width="13.5703125" style="364" customWidth="1"/>
    <col min="14605" max="14605" width="15.5703125" style="364" customWidth="1"/>
    <col min="14606" max="14606" width="18" style="364" customWidth="1"/>
    <col min="14607" max="14607" width="18.28515625" style="364" customWidth="1"/>
    <col min="14608" max="14608" width="23.140625" style="364" customWidth="1"/>
    <col min="14609" max="14609" width="18.28515625" style="364" customWidth="1"/>
    <col min="14610" max="14610" width="23.140625" style="364" customWidth="1"/>
    <col min="14611" max="14611" width="20" style="364" customWidth="1"/>
    <col min="14612" max="14612" width="0" style="364" hidden="1" customWidth="1"/>
    <col min="14613" max="14613" width="11.42578125" style="364" customWidth="1"/>
    <col min="14614" max="14614" width="21" style="364" customWidth="1"/>
    <col min="14615" max="14848" width="11.42578125" style="364"/>
    <col min="14849" max="14849" width="6.7109375" style="364" customWidth="1"/>
    <col min="14850" max="14850" width="20.42578125" style="364" customWidth="1"/>
    <col min="14851" max="14851" width="14.42578125" style="364" customWidth="1"/>
    <col min="14852" max="14852" width="20.7109375" style="364" customWidth="1"/>
    <col min="14853" max="14853" width="13.5703125" style="364" customWidth="1"/>
    <col min="14854" max="14854" width="18.28515625" style="364" customWidth="1"/>
    <col min="14855" max="14855" width="12.85546875" style="364" customWidth="1"/>
    <col min="14856" max="14856" width="21.42578125" style="364" customWidth="1"/>
    <col min="14857" max="14860" width="13.5703125" style="364" customWidth="1"/>
    <col min="14861" max="14861" width="15.5703125" style="364" customWidth="1"/>
    <col min="14862" max="14862" width="18" style="364" customWidth="1"/>
    <col min="14863" max="14863" width="18.28515625" style="364" customWidth="1"/>
    <col min="14864" max="14864" width="23.140625" style="364" customWidth="1"/>
    <col min="14865" max="14865" width="18.28515625" style="364" customWidth="1"/>
    <col min="14866" max="14866" width="23.140625" style="364" customWidth="1"/>
    <col min="14867" max="14867" width="20" style="364" customWidth="1"/>
    <col min="14868" max="14868" width="0" style="364" hidden="1" customWidth="1"/>
    <col min="14869" max="14869" width="11.42578125" style="364" customWidth="1"/>
    <col min="14870" max="14870" width="21" style="364" customWidth="1"/>
    <col min="14871" max="15104" width="11.42578125" style="364"/>
    <col min="15105" max="15105" width="6.7109375" style="364" customWidth="1"/>
    <col min="15106" max="15106" width="20.42578125" style="364" customWidth="1"/>
    <col min="15107" max="15107" width="14.42578125" style="364" customWidth="1"/>
    <col min="15108" max="15108" width="20.7109375" style="364" customWidth="1"/>
    <col min="15109" max="15109" width="13.5703125" style="364" customWidth="1"/>
    <col min="15110" max="15110" width="18.28515625" style="364" customWidth="1"/>
    <col min="15111" max="15111" width="12.85546875" style="364" customWidth="1"/>
    <col min="15112" max="15112" width="21.42578125" style="364" customWidth="1"/>
    <col min="15113" max="15116" width="13.5703125" style="364" customWidth="1"/>
    <col min="15117" max="15117" width="15.5703125" style="364" customWidth="1"/>
    <col min="15118" max="15118" width="18" style="364" customWidth="1"/>
    <col min="15119" max="15119" width="18.28515625" style="364" customWidth="1"/>
    <col min="15120" max="15120" width="23.140625" style="364" customWidth="1"/>
    <col min="15121" max="15121" width="18.28515625" style="364" customWidth="1"/>
    <col min="15122" max="15122" width="23.140625" style="364" customWidth="1"/>
    <col min="15123" max="15123" width="20" style="364" customWidth="1"/>
    <col min="15124" max="15124" width="0" style="364" hidden="1" customWidth="1"/>
    <col min="15125" max="15125" width="11.42578125" style="364" customWidth="1"/>
    <col min="15126" max="15126" width="21" style="364" customWidth="1"/>
    <col min="15127" max="15360" width="11.42578125" style="364"/>
    <col min="15361" max="15361" width="6.7109375" style="364" customWidth="1"/>
    <col min="15362" max="15362" width="20.42578125" style="364" customWidth="1"/>
    <col min="15363" max="15363" width="14.42578125" style="364" customWidth="1"/>
    <col min="15364" max="15364" width="20.7109375" style="364" customWidth="1"/>
    <col min="15365" max="15365" width="13.5703125" style="364" customWidth="1"/>
    <col min="15366" max="15366" width="18.28515625" style="364" customWidth="1"/>
    <col min="15367" max="15367" width="12.85546875" style="364" customWidth="1"/>
    <col min="15368" max="15368" width="21.42578125" style="364" customWidth="1"/>
    <col min="15369" max="15372" width="13.5703125" style="364" customWidth="1"/>
    <col min="15373" max="15373" width="15.5703125" style="364" customWidth="1"/>
    <col min="15374" max="15374" width="18" style="364" customWidth="1"/>
    <col min="15375" max="15375" width="18.28515625" style="364" customWidth="1"/>
    <col min="15376" max="15376" width="23.140625" style="364" customWidth="1"/>
    <col min="15377" max="15377" width="18.28515625" style="364" customWidth="1"/>
    <col min="15378" max="15378" width="23.140625" style="364" customWidth="1"/>
    <col min="15379" max="15379" width="20" style="364" customWidth="1"/>
    <col min="15380" max="15380" width="0" style="364" hidden="1" customWidth="1"/>
    <col min="15381" max="15381" width="11.42578125" style="364" customWidth="1"/>
    <col min="15382" max="15382" width="21" style="364" customWidth="1"/>
    <col min="15383" max="15616" width="11.42578125" style="364"/>
    <col min="15617" max="15617" width="6.7109375" style="364" customWidth="1"/>
    <col min="15618" max="15618" width="20.42578125" style="364" customWidth="1"/>
    <col min="15619" max="15619" width="14.42578125" style="364" customWidth="1"/>
    <col min="15620" max="15620" width="20.7109375" style="364" customWidth="1"/>
    <col min="15621" max="15621" width="13.5703125" style="364" customWidth="1"/>
    <col min="15622" max="15622" width="18.28515625" style="364" customWidth="1"/>
    <col min="15623" max="15623" width="12.85546875" style="364" customWidth="1"/>
    <col min="15624" max="15624" width="21.42578125" style="364" customWidth="1"/>
    <col min="15625" max="15628" width="13.5703125" style="364" customWidth="1"/>
    <col min="15629" max="15629" width="15.5703125" style="364" customWidth="1"/>
    <col min="15630" max="15630" width="18" style="364" customWidth="1"/>
    <col min="15631" max="15631" width="18.28515625" style="364" customWidth="1"/>
    <col min="15632" max="15632" width="23.140625" style="364" customWidth="1"/>
    <col min="15633" max="15633" width="18.28515625" style="364" customWidth="1"/>
    <col min="15634" max="15634" width="23.140625" style="364" customWidth="1"/>
    <col min="15635" max="15635" width="20" style="364" customWidth="1"/>
    <col min="15636" max="15636" width="0" style="364" hidden="1" customWidth="1"/>
    <col min="15637" max="15637" width="11.42578125" style="364" customWidth="1"/>
    <col min="15638" max="15638" width="21" style="364" customWidth="1"/>
    <col min="15639" max="15872" width="11.42578125" style="364"/>
    <col min="15873" max="15873" width="6.7109375" style="364" customWidth="1"/>
    <col min="15874" max="15874" width="20.42578125" style="364" customWidth="1"/>
    <col min="15875" max="15875" width="14.42578125" style="364" customWidth="1"/>
    <col min="15876" max="15876" width="20.7109375" style="364" customWidth="1"/>
    <col min="15877" max="15877" width="13.5703125" style="364" customWidth="1"/>
    <col min="15878" max="15878" width="18.28515625" style="364" customWidth="1"/>
    <col min="15879" max="15879" width="12.85546875" style="364" customWidth="1"/>
    <col min="15880" max="15880" width="21.42578125" style="364" customWidth="1"/>
    <col min="15881" max="15884" width="13.5703125" style="364" customWidth="1"/>
    <col min="15885" max="15885" width="15.5703125" style="364" customWidth="1"/>
    <col min="15886" max="15886" width="18" style="364" customWidth="1"/>
    <col min="15887" max="15887" width="18.28515625" style="364" customWidth="1"/>
    <col min="15888" max="15888" width="23.140625" style="364" customWidth="1"/>
    <col min="15889" max="15889" width="18.28515625" style="364" customWidth="1"/>
    <col min="15890" max="15890" width="23.140625" style="364" customWidth="1"/>
    <col min="15891" max="15891" width="20" style="364" customWidth="1"/>
    <col min="15892" max="15892" width="0" style="364" hidden="1" customWidth="1"/>
    <col min="15893" max="15893" width="11.42578125" style="364" customWidth="1"/>
    <col min="15894" max="15894" width="21" style="364" customWidth="1"/>
    <col min="15895" max="16128" width="11.42578125" style="364"/>
    <col min="16129" max="16129" width="6.7109375" style="364" customWidth="1"/>
    <col min="16130" max="16130" width="20.42578125" style="364" customWidth="1"/>
    <col min="16131" max="16131" width="14.42578125" style="364" customWidth="1"/>
    <col min="16132" max="16132" width="20.7109375" style="364" customWidth="1"/>
    <col min="16133" max="16133" width="13.5703125" style="364" customWidth="1"/>
    <col min="16134" max="16134" width="18.28515625" style="364" customWidth="1"/>
    <col min="16135" max="16135" width="12.85546875" style="364" customWidth="1"/>
    <col min="16136" max="16136" width="21.42578125" style="364" customWidth="1"/>
    <col min="16137" max="16140" width="13.5703125" style="364" customWidth="1"/>
    <col min="16141" max="16141" width="15.5703125" style="364" customWidth="1"/>
    <col min="16142" max="16142" width="18" style="364" customWidth="1"/>
    <col min="16143" max="16143" width="18.28515625" style="364" customWidth="1"/>
    <col min="16144" max="16144" width="23.140625" style="364" customWidth="1"/>
    <col min="16145" max="16145" width="18.28515625" style="364" customWidth="1"/>
    <col min="16146" max="16146" width="23.140625" style="364" customWidth="1"/>
    <col min="16147" max="16147" width="20" style="364" customWidth="1"/>
    <col min="16148" max="16148" width="0" style="364" hidden="1" customWidth="1"/>
    <col min="16149" max="16149" width="11.42578125" style="364" customWidth="1"/>
    <col min="16150" max="16150" width="21" style="364" customWidth="1"/>
    <col min="16151" max="16384" width="11.42578125" style="364"/>
  </cols>
  <sheetData>
    <row r="1" spans="1:22" ht="27" customHeight="1" thickBot="1" x14ac:dyDescent="0.4">
      <c r="D1" s="1870" t="s">
        <v>6710</v>
      </c>
      <c r="E1" s="1870"/>
      <c r="F1" s="1870"/>
      <c r="G1" s="1870"/>
    </row>
    <row r="2" spans="1:22" ht="23.25" customHeight="1" thickBot="1" x14ac:dyDescent="0.3">
      <c r="O2" s="1181"/>
      <c r="P2" s="1181"/>
      <c r="Q2" s="1181"/>
      <c r="S2" s="1182" t="s">
        <v>6710</v>
      </c>
      <c r="T2" s="1183" t="s">
        <v>4492</v>
      </c>
    </row>
    <row r="3" spans="1:22" ht="76.5" customHeight="1" thickBot="1" x14ac:dyDescent="0.3">
      <c r="A3" s="1184" t="s">
        <v>6711</v>
      </c>
      <c r="B3" s="1185" t="s">
        <v>5562</v>
      </c>
      <c r="C3" s="1186" t="s">
        <v>6712</v>
      </c>
      <c r="D3" s="1186" t="s">
        <v>5</v>
      </c>
      <c r="E3" s="1186" t="s">
        <v>1</v>
      </c>
      <c r="F3" s="1187" t="s">
        <v>4</v>
      </c>
      <c r="G3" s="1188" t="s">
        <v>6713</v>
      </c>
      <c r="H3" s="1186" t="s">
        <v>6714</v>
      </c>
      <c r="I3" s="1189" t="s">
        <v>6715</v>
      </c>
      <c r="J3" s="1189" t="s">
        <v>6716</v>
      </c>
      <c r="K3" s="1189" t="s">
        <v>2851</v>
      </c>
      <c r="L3" s="1189" t="s">
        <v>6717</v>
      </c>
      <c r="M3" s="1189" t="s">
        <v>6718</v>
      </c>
      <c r="N3" s="1190" t="s">
        <v>9</v>
      </c>
      <c r="O3" s="1191" t="s">
        <v>6719</v>
      </c>
      <c r="P3" s="1192" t="s">
        <v>5794</v>
      </c>
      <c r="Q3" s="1192" t="s">
        <v>5795</v>
      </c>
      <c r="R3" s="1193" t="s">
        <v>6720</v>
      </c>
      <c r="S3" s="1194" t="s">
        <v>6721</v>
      </c>
      <c r="T3" s="1195" t="s">
        <v>6722</v>
      </c>
    </row>
    <row r="4" spans="1:22" s="1211" customFormat="1" ht="72.75" thickBot="1" x14ac:dyDescent="0.35">
      <c r="A4" s="1196" t="s">
        <v>6723</v>
      </c>
      <c r="B4" s="1197" t="s">
        <v>6724</v>
      </c>
      <c r="C4" s="1198">
        <v>5757048</v>
      </c>
      <c r="D4" s="1197" t="s">
        <v>893</v>
      </c>
      <c r="E4" s="1199">
        <v>99</v>
      </c>
      <c r="F4" s="1200">
        <v>44197</v>
      </c>
      <c r="G4" s="1201">
        <v>3</v>
      </c>
      <c r="H4" s="1202">
        <v>277</v>
      </c>
      <c r="I4" s="1203">
        <v>0</v>
      </c>
      <c r="J4" s="1203">
        <v>130</v>
      </c>
      <c r="K4" s="1203">
        <f>+H4*2%</f>
        <v>5.54</v>
      </c>
      <c r="L4" s="1203">
        <f>ROUND(SUM(+H4+I4+J4+K4)*25%,2)</f>
        <v>103.14</v>
      </c>
      <c r="M4" s="1204">
        <f>SUM(I4:L4)</f>
        <v>238.68</v>
      </c>
      <c r="N4" s="1205">
        <v>0</v>
      </c>
      <c r="O4" s="1206">
        <f>H4+M4+N4</f>
        <v>515.68000000000006</v>
      </c>
      <c r="P4" s="1207">
        <v>180</v>
      </c>
      <c r="Q4" s="1208">
        <v>150</v>
      </c>
      <c r="R4" s="1209">
        <f>(((O4))/30*P4/12+(O4))/30*Q4</f>
        <v>3867.6</v>
      </c>
      <c r="S4" s="1210">
        <f>R4/4</f>
        <v>966.9</v>
      </c>
      <c r="T4" s="1210">
        <f>S4</f>
        <v>966.9</v>
      </c>
      <c r="V4" s="1212"/>
    </row>
    <row r="5" spans="1:22" s="1211" customFormat="1" ht="72.75" thickBot="1" x14ac:dyDescent="0.35">
      <c r="A5" s="1213" t="s">
        <v>6725</v>
      </c>
      <c r="B5" s="1214" t="s">
        <v>6726</v>
      </c>
      <c r="C5" s="1215">
        <v>24566781</v>
      </c>
      <c r="D5" s="1214" t="s">
        <v>6727</v>
      </c>
      <c r="E5" s="1216" t="s">
        <v>4646</v>
      </c>
      <c r="F5" s="1217">
        <v>45323</v>
      </c>
      <c r="G5" s="1218">
        <v>0</v>
      </c>
      <c r="H5" s="1202">
        <v>246</v>
      </c>
      <c r="I5" s="1203">
        <v>25</v>
      </c>
      <c r="J5" s="1203">
        <v>130</v>
      </c>
      <c r="K5" s="1203">
        <v>0</v>
      </c>
      <c r="L5" s="1203">
        <f>ROUND(SUM(+H5+I5+J5+K5)*25%,2)</f>
        <v>100.25</v>
      </c>
      <c r="M5" s="1204">
        <f>SUM(I5:L5)</f>
        <v>255.25</v>
      </c>
      <c r="N5" s="1205">
        <v>0</v>
      </c>
      <c r="O5" s="1206">
        <f t="shared" ref="O5:O7" si="0">H5+M5+N5</f>
        <v>501.25</v>
      </c>
      <c r="P5" s="1207">
        <v>165</v>
      </c>
      <c r="Q5" s="1208">
        <v>137.5</v>
      </c>
      <c r="R5" s="1209">
        <f>(((O5))/30*P5/12+(O5))/30*Q5</f>
        <v>3350.3689236111113</v>
      </c>
      <c r="S5" s="1210">
        <f>R5/4</f>
        <v>837.59223090277783</v>
      </c>
      <c r="T5" s="1210">
        <f>S5</f>
        <v>837.59223090277783</v>
      </c>
      <c r="V5" s="1212"/>
    </row>
    <row r="6" spans="1:22" s="1211" customFormat="1" ht="72.75" thickBot="1" x14ac:dyDescent="0.35">
      <c r="A6" s="1213" t="s">
        <v>6725</v>
      </c>
      <c r="B6" s="1219" t="s">
        <v>6728</v>
      </c>
      <c r="C6" s="1215">
        <v>18376706</v>
      </c>
      <c r="D6" s="1214" t="s">
        <v>2251</v>
      </c>
      <c r="E6" s="1216" t="s">
        <v>4649</v>
      </c>
      <c r="F6" s="1217">
        <v>45352</v>
      </c>
      <c r="G6" s="1218">
        <v>0</v>
      </c>
      <c r="H6" s="1220">
        <v>192</v>
      </c>
      <c r="I6" s="1203">
        <v>0</v>
      </c>
      <c r="J6" s="1203">
        <v>130</v>
      </c>
      <c r="K6" s="1203">
        <v>0</v>
      </c>
      <c r="L6" s="1203">
        <f>ROUND(SUM(+H6+I6+J6+K6)*25%,2)</f>
        <v>80.5</v>
      </c>
      <c r="M6" s="1204">
        <f>SUM(I6:L6)</f>
        <v>210.5</v>
      </c>
      <c r="N6" s="1205">
        <v>0</v>
      </c>
      <c r="O6" s="1206">
        <f t="shared" si="0"/>
        <v>402.5</v>
      </c>
      <c r="P6" s="1207">
        <v>150</v>
      </c>
      <c r="Q6" s="1208" t="s">
        <v>6729</v>
      </c>
      <c r="R6" s="1209">
        <f>(((O6))/30*P6/12+(O6))/30*Q6</f>
        <v>2375.8680555555557</v>
      </c>
      <c r="S6" s="1210">
        <f>R6/4</f>
        <v>593.96701388888891</v>
      </c>
      <c r="T6" s="1210">
        <f>S6</f>
        <v>593.96701388888891</v>
      </c>
      <c r="V6" s="1212"/>
    </row>
    <row r="7" spans="1:22" s="1211" customFormat="1" ht="72.75" thickBot="1" x14ac:dyDescent="0.35">
      <c r="A7" s="1213" t="s">
        <v>6725</v>
      </c>
      <c r="B7" s="1221" t="s">
        <v>6730</v>
      </c>
      <c r="C7" s="1222">
        <v>12332586</v>
      </c>
      <c r="D7" s="1223" t="s">
        <v>2884</v>
      </c>
      <c r="E7" s="1216" t="s">
        <v>4650</v>
      </c>
      <c r="F7" s="1224">
        <v>45385</v>
      </c>
      <c r="G7" s="1201">
        <v>0</v>
      </c>
      <c r="H7" s="1225">
        <v>130</v>
      </c>
      <c r="I7" s="1203">
        <v>12.5</v>
      </c>
      <c r="J7" s="1203">
        <v>130</v>
      </c>
      <c r="K7" s="1203">
        <v>0</v>
      </c>
      <c r="L7" s="1203">
        <f>ROUND(SUM(+H7+I7+J7+K7)*25%,2)</f>
        <v>68.13</v>
      </c>
      <c r="M7" s="1204">
        <f>SUM(I7:L7)</f>
        <v>210.63</v>
      </c>
      <c r="N7" s="1205">
        <v>0</v>
      </c>
      <c r="O7" s="1206">
        <f t="shared" si="0"/>
        <v>340.63</v>
      </c>
      <c r="P7" s="1226">
        <v>120</v>
      </c>
      <c r="Q7" s="1227" t="s">
        <v>6731</v>
      </c>
      <c r="R7" s="1209">
        <f>(((O7))/30*P7/12+(O7))/30*Q7</f>
        <v>1513.911111111111</v>
      </c>
      <c r="S7" s="1210">
        <f>R7/4</f>
        <v>378.47777777777776</v>
      </c>
      <c r="T7" s="1210">
        <f>S7</f>
        <v>378.47777777777776</v>
      </c>
      <c r="V7" s="1212"/>
    </row>
    <row r="8" spans="1:22" ht="21.75" thickBot="1" x14ac:dyDescent="0.4">
      <c r="H8" s="1228"/>
      <c r="I8" s="1228"/>
      <c r="J8" s="1228"/>
      <c r="K8" s="1228"/>
      <c r="L8" s="1228"/>
      <c r="M8" s="1228"/>
      <c r="N8" s="1228"/>
      <c r="O8" s="1229">
        <f>SUM(O4:O7)</f>
        <v>1760.06</v>
      </c>
      <c r="P8" s="1229"/>
      <c r="Q8" s="1229"/>
      <c r="R8" s="1230"/>
      <c r="S8" s="1230">
        <f>SUM(S4:S7)</f>
        <v>2776.9370225694443</v>
      </c>
      <c r="T8" s="1230">
        <f>SUM(T4:T7)</f>
        <v>2776.9370225694443</v>
      </c>
    </row>
    <row r="9" spans="1:22" ht="21.75" thickBot="1" x14ac:dyDescent="0.4">
      <c r="F9" s="1231"/>
      <c r="H9" s="1228"/>
      <c r="I9" s="1228"/>
      <c r="J9" s="1228"/>
      <c r="K9" s="1228"/>
      <c r="L9" s="1228"/>
      <c r="M9" s="1228"/>
      <c r="N9" s="1228"/>
      <c r="O9" s="1232"/>
      <c r="P9" s="1232"/>
      <c r="Q9" s="1232"/>
      <c r="R9" s="1233"/>
      <c r="S9" s="1233"/>
      <c r="T9" s="1233"/>
    </row>
    <row r="10" spans="1:22" ht="21.75" thickBot="1" x14ac:dyDescent="0.4">
      <c r="F10" s="1231"/>
      <c r="H10" s="1228"/>
      <c r="I10" s="1228"/>
      <c r="J10" s="1228"/>
      <c r="K10" s="1228"/>
      <c r="L10" s="1228"/>
      <c r="M10" s="1228"/>
      <c r="N10" s="1228"/>
      <c r="O10" s="1234">
        <f>O8</f>
        <v>1760.06</v>
      </c>
      <c r="P10" s="1234"/>
      <c r="Q10" s="1234"/>
      <c r="R10" s="1235"/>
      <c r="S10" s="1235">
        <f>S8</f>
        <v>2776.9370225694443</v>
      </c>
      <c r="T10" s="1235">
        <f>T8</f>
        <v>2776.9370225694443</v>
      </c>
    </row>
    <row r="12" spans="1:22" x14ac:dyDescent="0.25">
      <c r="I12" s="593"/>
      <c r="J12" s="593"/>
      <c r="K12" s="593"/>
      <c r="L12" s="593"/>
      <c r="M12" s="593"/>
      <c r="N12" s="593"/>
    </row>
    <row r="13" spans="1:22" x14ac:dyDescent="0.25">
      <c r="D13" s="1236">
        <v>180</v>
      </c>
      <c r="H13" s="1236">
        <v>150</v>
      </c>
      <c r="I13" s="1237"/>
      <c r="J13" s="1237"/>
      <c r="K13" s="1237"/>
      <c r="L13" s="1237"/>
      <c r="M13" s="593"/>
      <c r="N13" s="593"/>
    </row>
    <row r="14" spans="1:22" ht="26.25" customHeight="1" x14ac:dyDescent="0.25">
      <c r="B14" s="1871" t="s">
        <v>6732</v>
      </c>
      <c r="C14" s="1871"/>
      <c r="D14" s="1871"/>
      <c r="F14" s="1871" t="s">
        <v>6732</v>
      </c>
      <c r="G14" s="1871"/>
      <c r="H14" s="1871"/>
      <c r="I14" s="1237"/>
      <c r="J14" s="1237"/>
      <c r="K14" s="1237"/>
      <c r="L14" s="1238" t="s">
        <v>4443</v>
      </c>
      <c r="M14" s="1872" t="s">
        <v>6733</v>
      </c>
      <c r="N14" s="1872"/>
    </row>
    <row r="15" spans="1:22" s="1239" customFormat="1" ht="25.5" customHeight="1" thickBot="1" x14ac:dyDescent="0.3">
      <c r="B15" s="1873" t="s">
        <v>6734</v>
      </c>
      <c r="C15" s="1874"/>
      <c r="D15" s="1875"/>
      <c r="F15" s="1873" t="s">
        <v>6735</v>
      </c>
      <c r="G15" s="1874"/>
      <c r="H15" s="1875"/>
      <c r="I15" s="1240"/>
      <c r="J15" s="1240"/>
      <c r="K15" s="1240"/>
      <c r="L15" s="1240"/>
      <c r="M15" s="1241">
        <v>150</v>
      </c>
      <c r="N15" s="1241">
        <f>M15/4</f>
        <v>37.5</v>
      </c>
      <c r="O15" s="1242" t="s">
        <v>6736</v>
      </c>
    </row>
    <row r="16" spans="1:22" ht="30.75" thickBot="1" x14ac:dyDescent="0.3">
      <c r="B16" s="1243" t="s">
        <v>6737</v>
      </c>
      <c r="C16" s="1244" t="s">
        <v>6738</v>
      </c>
      <c r="D16" s="1245" t="s">
        <v>6739</v>
      </c>
      <c r="F16" s="1243" t="s">
        <v>6737</v>
      </c>
      <c r="G16" s="1244" t="s">
        <v>6738</v>
      </c>
      <c r="H16" s="1245" t="s">
        <v>6740</v>
      </c>
      <c r="I16" s="1246"/>
      <c r="J16" s="1246"/>
      <c r="K16" s="1246"/>
      <c r="L16" s="1246"/>
      <c r="M16" s="593"/>
      <c r="N16" s="593"/>
      <c r="R16" s="1876"/>
      <c r="S16" s="1876"/>
      <c r="T16" s="1876"/>
    </row>
    <row r="17" spans="2:20" s="1249" customFormat="1" ht="27.75" customHeight="1" thickBot="1" x14ac:dyDescent="0.45">
      <c r="B17" s="1247" t="s">
        <v>2865</v>
      </c>
      <c r="C17" s="1248">
        <v>12</v>
      </c>
      <c r="D17" s="1248">
        <f>$D$13/12*C17</f>
        <v>180</v>
      </c>
      <c r="F17" s="1247" t="s">
        <v>2865</v>
      </c>
      <c r="G17" s="1248">
        <v>12</v>
      </c>
      <c r="H17" s="1248">
        <f>$H$13/12*G17</f>
        <v>150</v>
      </c>
      <c r="I17" s="1250"/>
      <c r="J17" s="1250"/>
      <c r="K17" s="1250"/>
      <c r="L17" s="1250"/>
      <c r="M17" s="1251"/>
      <c r="N17" s="1251"/>
      <c r="R17" s="1252"/>
      <c r="S17" s="1252"/>
      <c r="T17" s="1252"/>
    </row>
    <row r="18" spans="2:20" s="1249" customFormat="1" ht="27.75" customHeight="1" thickBot="1" x14ac:dyDescent="0.45">
      <c r="B18" s="1247" t="s">
        <v>2866</v>
      </c>
      <c r="C18" s="1248">
        <v>11</v>
      </c>
      <c r="D18" s="1248">
        <f t="shared" ref="D18:D28" si="1">$D$13/12*C18</f>
        <v>165</v>
      </c>
      <c r="F18" s="1247" t="s">
        <v>2866</v>
      </c>
      <c r="G18" s="1248">
        <v>11</v>
      </c>
      <c r="H18" s="1248">
        <f t="shared" ref="H18:H28" si="2">$H$13/12*G18</f>
        <v>137.5</v>
      </c>
      <c r="I18" s="1253"/>
      <c r="J18" s="1253"/>
      <c r="K18" s="1250"/>
      <c r="L18" s="1250"/>
      <c r="R18" s="1252"/>
      <c r="S18" s="1252"/>
      <c r="T18" s="1252"/>
    </row>
    <row r="19" spans="2:20" s="1249" customFormat="1" ht="27.75" customHeight="1" thickBot="1" x14ac:dyDescent="0.45">
      <c r="B19" s="1247" t="s">
        <v>2867</v>
      </c>
      <c r="C19" s="1248">
        <v>10</v>
      </c>
      <c r="D19" s="1248">
        <f t="shared" si="1"/>
        <v>150</v>
      </c>
      <c r="F19" s="1247" t="s">
        <v>2867</v>
      </c>
      <c r="G19" s="1248">
        <v>10</v>
      </c>
      <c r="H19" s="1248">
        <f t="shared" si="2"/>
        <v>125</v>
      </c>
      <c r="I19" s="1253"/>
      <c r="J19" s="1253"/>
      <c r="K19" s="1250"/>
      <c r="L19" s="1250"/>
      <c r="R19" s="1252"/>
      <c r="S19" s="1252"/>
      <c r="T19" s="1252"/>
    </row>
    <row r="20" spans="2:20" s="1249" customFormat="1" ht="27.75" customHeight="1" thickBot="1" x14ac:dyDescent="0.45">
      <c r="B20" s="1247" t="s">
        <v>2868</v>
      </c>
      <c r="C20" s="1248">
        <v>9</v>
      </c>
      <c r="D20" s="1248">
        <f t="shared" si="1"/>
        <v>135</v>
      </c>
      <c r="F20" s="1247" t="s">
        <v>2868</v>
      </c>
      <c r="G20" s="1248">
        <v>9</v>
      </c>
      <c r="H20" s="1248">
        <f t="shared" si="2"/>
        <v>112.5</v>
      </c>
      <c r="I20" s="1253"/>
      <c r="J20" s="1253"/>
      <c r="K20" s="1250"/>
      <c r="L20" s="1250"/>
      <c r="R20" s="1877"/>
      <c r="S20" s="1877"/>
      <c r="T20" s="1877"/>
    </row>
    <row r="21" spans="2:20" s="1249" customFormat="1" ht="27.75" customHeight="1" thickBot="1" x14ac:dyDescent="0.45">
      <c r="B21" s="1247" t="s">
        <v>2869</v>
      </c>
      <c r="C21" s="1248">
        <v>8</v>
      </c>
      <c r="D21" s="1248">
        <f t="shared" si="1"/>
        <v>120</v>
      </c>
      <c r="F21" s="1247" t="s">
        <v>2869</v>
      </c>
      <c r="G21" s="1248">
        <v>8</v>
      </c>
      <c r="H21" s="1248">
        <f t="shared" si="2"/>
        <v>100</v>
      </c>
      <c r="I21" s="1253"/>
      <c r="J21" s="1253"/>
      <c r="K21" s="1250"/>
      <c r="L21" s="1250"/>
    </row>
    <row r="22" spans="2:20" s="1249" customFormat="1" ht="27.75" customHeight="1" thickBot="1" x14ac:dyDescent="0.45">
      <c r="B22" s="1247" t="s">
        <v>2870</v>
      </c>
      <c r="C22" s="1248">
        <v>7</v>
      </c>
      <c r="D22" s="1248">
        <f t="shared" si="1"/>
        <v>105</v>
      </c>
      <c r="F22" s="1247" t="s">
        <v>2870</v>
      </c>
      <c r="G22" s="1248">
        <v>7</v>
      </c>
      <c r="H22" s="1248">
        <f t="shared" si="2"/>
        <v>87.5</v>
      </c>
      <c r="I22" s="1253"/>
      <c r="J22" s="1253"/>
      <c r="K22" s="1250"/>
      <c r="L22" s="1250"/>
    </row>
    <row r="23" spans="2:20" s="1249" customFormat="1" ht="27.75" customHeight="1" thickBot="1" x14ac:dyDescent="0.45">
      <c r="B23" s="1247" t="s">
        <v>2863</v>
      </c>
      <c r="C23" s="1248">
        <v>6</v>
      </c>
      <c r="D23" s="1248">
        <f t="shared" si="1"/>
        <v>90</v>
      </c>
      <c r="F23" s="1247" t="s">
        <v>2863</v>
      </c>
      <c r="G23" s="1248">
        <v>6</v>
      </c>
      <c r="H23" s="1248">
        <f t="shared" si="2"/>
        <v>75</v>
      </c>
      <c r="I23" s="1253"/>
      <c r="J23" s="1253"/>
      <c r="K23" s="1250"/>
      <c r="L23" s="1250"/>
    </row>
    <row r="24" spans="2:20" s="1249" customFormat="1" ht="27.75" customHeight="1" thickBot="1" x14ac:dyDescent="0.45">
      <c r="B24" s="1247" t="s">
        <v>2871</v>
      </c>
      <c r="C24" s="1248">
        <v>5</v>
      </c>
      <c r="D24" s="1248">
        <f t="shared" si="1"/>
        <v>75</v>
      </c>
      <c r="F24" s="1247" t="s">
        <v>2871</v>
      </c>
      <c r="G24" s="1248">
        <v>5</v>
      </c>
      <c r="H24" s="1248">
        <f t="shared" si="2"/>
        <v>62.5</v>
      </c>
      <c r="I24" s="1253"/>
      <c r="J24" s="1253"/>
      <c r="K24" s="1250"/>
      <c r="L24" s="1250"/>
    </row>
    <row r="25" spans="2:20" s="1249" customFormat="1" ht="27.75" customHeight="1" thickBot="1" x14ac:dyDescent="0.45">
      <c r="B25" s="1247" t="s">
        <v>2872</v>
      </c>
      <c r="C25" s="1248">
        <v>4</v>
      </c>
      <c r="D25" s="1248">
        <f t="shared" si="1"/>
        <v>60</v>
      </c>
      <c r="F25" s="1247" t="s">
        <v>2872</v>
      </c>
      <c r="G25" s="1248">
        <v>4</v>
      </c>
      <c r="H25" s="1248">
        <f t="shared" si="2"/>
        <v>50</v>
      </c>
      <c r="I25" s="1253"/>
      <c r="J25" s="1253"/>
      <c r="K25" s="1250"/>
      <c r="L25" s="1250"/>
    </row>
    <row r="26" spans="2:20" s="1249" customFormat="1" ht="27.75" customHeight="1" thickBot="1" x14ac:dyDescent="0.45">
      <c r="B26" s="1247" t="s">
        <v>2873</v>
      </c>
      <c r="C26" s="1248">
        <v>3</v>
      </c>
      <c r="D26" s="1248">
        <f t="shared" si="1"/>
        <v>45</v>
      </c>
      <c r="F26" s="1247" t="s">
        <v>2873</v>
      </c>
      <c r="G26" s="1248">
        <v>3</v>
      </c>
      <c r="H26" s="1248">
        <f t="shared" si="2"/>
        <v>37.5</v>
      </c>
      <c r="I26" s="1253"/>
      <c r="J26" s="1253"/>
      <c r="K26" s="1250"/>
      <c r="L26" s="1250"/>
    </row>
    <row r="27" spans="2:20" s="1249" customFormat="1" ht="27.75" customHeight="1" thickBot="1" x14ac:dyDescent="0.45">
      <c r="B27" s="1247" t="s">
        <v>2895</v>
      </c>
      <c r="C27" s="1248">
        <v>2</v>
      </c>
      <c r="D27" s="1248">
        <f t="shared" si="1"/>
        <v>30</v>
      </c>
      <c r="F27" s="1247" t="s">
        <v>2895</v>
      </c>
      <c r="G27" s="1248">
        <v>2</v>
      </c>
      <c r="H27" s="1248">
        <f t="shared" si="2"/>
        <v>25</v>
      </c>
      <c r="I27" s="1253"/>
      <c r="J27" s="1253"/>
      <c r="K27" s="1250"/>
      <c r="L27" s="1250"/>
    </row>
    <row r="28" spans="2:20" s="1249" customFormat="1" ht="27.75" customHeight="1" thickBot="1" x14ac:dyDescent="0.45">
      <c r="B28" s="1247" t="s">
        <v>2896</v>
      </c>
      <c r="C28" s="1248">
        <v>1</v>
      </c>
      <c r="D28" s="1248">
        <f t="shared" si="1"/>
        <v>15</v>
      </c>
      <c r="F28" s="1247" t="s">
        <v>2896</v>
      </c>
      <c r="G28" s="1248">
        <v>1</v>
      </c>
      <c r="H28" s="1248">
        <f t="shared" si="2"/>
        <v>12.5</v>
      </c>
      <c r="I28" s="1253"/>
      <c r="J28" s="1253"/>
      <c r="K28" s="1250"/>
      <c r="L28" s="1250"/>
    </row>
    <row r="31" spans="2:20" ht="15.75" thickBot="1" x14ac:dyDescent="0.3"/>
    <row r="32" spans="2:20" ht="38.25" customHeight="1" thickBot="1" x14ac:dyDescent="0.3">
      <c r="B32" s="1878" t="s">
        <v>6741</v>
      </c>
      <c r="C32" s="1879"/>
      <c r="E32" s="1878" t="s">
        <v>6742</v>
      </c>
      <c r="F32" s="1880"/>
    </row>
    <row r="33" spans="2:21" ht="49.5" customHeight="1" thickBot="1" x14ac:dyDescent="0.4">
      <c r="B33" s="1881" t="s">
        <v>6743</v>
      </c>
      <c r="C33" s="1882"/>
      <c r="E33" s="1881" t="s">
        <v>6744</v>
      </c>
      <c r="F33" s="1882"/>
      <c r="T33" s="1252" t="s">
        <v>6745</v>
      </c>
      <c r="U33" s="1254"/>
    </row>
    <row r="34" spans="2:21" ht="23.25" x14ac:dyDescent="0.35">
      <c r="T34" s="1255">
        <f>(((O4/30)*180)/12)</f>
        <v>257.83999999999997</v>
      </c>
      <c r="U34" s="1254"/>
    </row>
    <row r="35" spans="2:21" ht="23.25" x14ac:dyDescent="0.35">
      <c r="T35" s="1255">
        <f>(((O4/30)*150)/12)</f>
        <v>214.86666666666667</v>
      </c>
      <c r="U35" s="1254"/>
    </row>
    <row r="36" spans="2:21" ht="23.25" x14ac:dyDescent="0.35">
      <c r="T36" s="1252"/>
      <c r="U36" s="1254"/>
    </row>
    <row r="37" spans="2:21" ht="23.25" x14ac:dyDescent="0.35">
      <c r="T37" s="1256">
        <f>T34+T35</f>
        <v>472.70666666666665</v>
      </c>
      <c r="U37" s="1254"/>
    </row>
    <row r="38" spans="2:21" ht="23.25" x14ac:dyDescent="0.35">
      <c r="T38" s="1252"/>
      <c r="U38" s="1254"/>
    </row>
    <row r="39" spans="2:21" ht="23.25" x14ac:dyDescent="0.35">
      <c r="T39" s="1252" t="s">
        <v>6746</v>
      </c>
      <c r="U39" s="1254"/>
    </row>
    <row r="40" spans="2:21" x14ac:dyDescent="0.25">
      <c r="T40" s="1254"/>
      <c r="U40" s="1254"/>
    </row>
    <row r="41" spans="2:21" x14ac:dyDescent="0.25">
      <c r="T41" s="1254"/>
      <c r="U41" s="1254"/>
    </row>
    <row r="61" spans="19:20" x14ac:dyDescent="0.25">
      <c r="S61" s="1257" t="s">
        <v>6747</v>
      </c>
      <c r="T61" s="1257" t="s">
        <v>6748</v>
      </c>
    </row>
    <row r="62" spans="19:20" ht="15.75" x14ac:dyDescent="0.25">
      <c r="S62" s="1258">
        <f>((O4/30*180/12))</f>
        <v>257.83999999999997</v>
      </c>
      <c r="T62" s="1259">
        <f>((O4+S62)/30)*150/4</f>
        <v>966.9</v>
      </c>
    </row>
    <row r="79" spans="2:2" x14ac:dyDescent="0.25">
      <c r="B79" s="364" t="s">
        <v>6749</v>
      </c>
    </row>
  </sheetData>
  <mergeCells count="12">
    <mergeCell ref="R16:T16"/>
    <mergeCell ref="R20:T20"/>
    <mergeCell ref="B32:C32"/>
    <mergeCell ref="E32:F32"/>
    <mergeCell ref="B33:C33"/>
    <mergeCell ref="E33:F33"/>
    <mergeCell ref="D1:G1"/>
    <mergeCell ref="B14:D14"/>
    <mergeCell ref="F14:H14"/>
    <mergeCell ref="M14:N14"/>
    <mergeCell ref="B15:D15"/>
    <mergeCell ref="F15:H15"/>
  </mergeCells>
  <pageMargins left="0.39370078740157483" right="0.39370078740157483" top="0.39370078740157483" bottom="0.39370078740157483" header="0.31496062992125984" footer="0.31496062992125984"/>
  <pageSetup paperSize="9" scale="3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33</vt:i4>
      </vt:variant>
    </vt:vector>
  </HeadingPairs>
  <TitlesOfParts>
    <vt:vector size="57" baseType="lpstr">
      <vt:lpstr>APORTE FAOV</vt:lpstr>
      <vt:lpstr>Aporte SSO-SPF</vt:lpstr>
      <vt:lpstr>RETENC FAOV</vt:lpstr>
      <vt:lpstr>Retencion SSO-SPF</vt:lpstr>
      <vt:lpstr>Imprimir 4TO Agui </vt:lpstr>
      <vt:lpstr>Imprimir CT</vt:lpstr>
      <vt:lpstr>Imprimir 2a</vt:lpstr>
      <vt:lpstr>Aportes</vt:lpstr>
      <vt:lpstr>CALC BONO+OPERAC</vt:lpstr>
      <vt:lpstr>Imprimir 1a</vt:lpstr>
      <vt:lpstr>NOMINA</vt:lpstr>
      <vt:lpstr>Hoja3</vt:lpstr>
      <vt:lpstr>HIJOS 12 AÑOS</vt:lpstr>
      <vt:lpstr>Hoja2</vt:lpstr>
      <vt:lpstr>CONCEPTOS Y PARAMETROS</vt:lpstr>
      <vt:lpstr>HIJOS </vt:lpstr>
      <vt:lpstr>Hoja1</vt:lpstr>
      <vt:lpstr>TAB EMP</vt:lpstr>
      <vt:lpstr>TAB OBR</vt:lpstr>
      <vt:lpstr>CARGOS</vt:lpstr>
      <vt:lpstr>CARGOS POA</vt:lpstr>
      <vt:lpstr>TAB EMP (2)</vt:lpstr>
      <vt:lpstr>Varios</vt:lpstr>
      <vt:lpstr>EJEMPLO CALCULO AGUINALDOS NUEV</vt:lpstr>
      <vt:lpstr>'APORTE FAOV'!Área_de_impresión</vt:lpstr>
      <vt:lpstr>'Aporte SSO-SPF'!Área_de_impresión</vt:lpstr>
      <vt:lpstr>Aportes!Área_de_impresión</vt:lpstr>
      <vt:lpstr>'CALC BONO+OPERAC'!Área_de_impresión</vt:lpstr>
      <vt:lpstr>'EJEMPLO CALCULO AGUINALDOS NUEV'!Área_de_impresión</vt:lpstr>
      <vt:lpstr>'Imprimir 2a'!Área_de_impresión</vt:lpstr>
      <vt:lpstr>'Imprimir 4TO Agui '!Área_de_impresión</vt:lpstr>
      <vt:lpstr>'Imprimir CT'!Área_de_impresión</vt:lpstr>
      <vt:lpstr>NOMINA!Área_de_impresión</vt:lpstr>
      <vt:lpstr>'RETENC FAOV'!Área_de_impresión</vt:lpstr>
      <vt:lpstr>'Retencion SSO-SPF'!Área_de_impresión</vt:lpstr>
      <vt:lpstr>'TAB EMP (2)'!Área_de_impresión</vt:lpstr>
      <vt:lpstr>BONONOCTURN</vt:lpstr>
      <vt:lpstr>CESTAT</vt:lpstr>
      <vt:lpstr>DIAF</vt:lpstr>
      <vt:lpstr>DIASDESC</vt:lpstr>
      <vt:lpstr>DIRECTIVOS</vt:lpstr>
      <vt:lpstr>Empleado</vt:lpstr>
      <vt:lpstr>HIJOS</vt:lpstr>
      <vt:lpstr>HORASE</vt:lpstr>
      <vt:lpstr>MES</vt:lpstr>
      <vt:lpstr>Obrero</vt:lpstr>
      <vt:lpstr>TABEMP</vt:lpstr>
      <vt:lpstr>TABOBR</vt:lpstr>
      <vt:lpstr>'APORTE FAOV'!Títulos_a_imprimir</vt:lpstr>
      <vt:lpstr>'Aporte SSO-SPF'!Títulos_a_imprimir</vt:lpstr>
      <vt:lpstr>Aportes!Títulos_a_imprimir</vt:lpstr>
      <vt:lpstr>'Imprimir 1a'!Títulos_a_imprimir</vt:lpstr>
      <vt:lpstr>'Imprimir 2a'!Títulos_a_imprimir</vt:lpstr>
      <vt:lpstr>'Imprimir 4TO Agui '!Títulos_a_imprimir</vt:lpstr>
      <vt:lpstr>'Imprimir CT'!Títulos_a_imprimir</vt:lpstr>
      <vt:lpstr>'RETENC FAOV'!Títulos_a_imprimir</vt:lpstr>
      <vt:lpstr>'Retencion SSO-SPF'!Títulos_a_imprimir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rrhh_01</dc:creator>
  <cp:lastModifiedBy>PERSONAL</cp:lastModifiedBy>
  <cp:lastPrinted>2025-09-16T15:19:51Z</cp:lastPrinted>
  <dcterms:created xsi:type="dcterms:W3CDTF">2017-01-20T14:29:13Z</dcterms:created>
  <dcterms:modified xsi:type="dcterms:W3CDTF">2025-09-16T15:21:25Z</dcterms:modified>
</cp:coreProperties>
</file>